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<sst xmlns="http://schemas.openxmlformats.org/spreadsheetml/2006/main" count="7600" uniqueCount="7600">
  <si>
    <t>Date Type:</t>
  </si>
  <si>
    <t>Shipped Date</t>
  </si>
  <si>
    <t>Start Date:</t>
  </si>
  <si>
    <t>08/01/2025</t>
  </si>
  <si>
    <t>End Date:</t>
  </si>
  <si>
    <t>08/31/2025</t>
  </si>
  <si>
    <t>Report Run Date:</t>
  </si>
  <si>
    <t>09/08/2025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</si>
  <si>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</si>
  <si>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</si>
  <si>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</si>
  <si>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</si>
  <si>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</si>
  <si>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</si>
  <si>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</si>
  <si>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</si>
  <si>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CSNSTORES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</si>
  <si>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</si>
  <si>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</si>
  <si>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</si>
  <si>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</si>
  <si>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</si>
  <si>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</si>
  <si>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</si>
  <si>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</si>
  <si>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</si>
  <si>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</si>
  <si>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</si>
  <si>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</si>
  <si>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</si>
  <si>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</si>
  <si>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</si>
  <si>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</si>
  <si>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</si>
  <si>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</si>
  <si>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</si>
  <si>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</si>
  <si>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</si>
  <si>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</si>
  <si>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</si>
  <si>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</si>
  <si>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</si>
  <si>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</si>
  <si>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</si>
  <si>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</si>
  <si>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</si>
  <si>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</si>
  <si>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</si>
  <si>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</si>
  <si>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</si>
  <si>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</si>
  <si>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</si>
  <si>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</si>
  <si>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</si>
  <si>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</si>
  <si>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</si>
  <si>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</si>
  <si>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</si>
  <si>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</si>
  <si>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09/06</t>
  </si>
  <si>
    <t>09/13</t>
  </si>
  <si>
    <t>09/20</t>
  </si>
  <si>
    <t>09/27</t>
  </si>
  <si>
    <t>10/04</t>
  </si>
  <si>
    <t>10/11</t>
  </si>
  <si>
    <t>10/18</t>
  </si>
  <si>
    <t>10/25</t>
  </si>
  <si>
    <t>11/01</t>
  </si>
  <si>
    <t>11/08</t>
  </si>
  <si>
    <t>11/15</t>
  </si>
  <si>
    <t>11/22</t>
  </si>
  <si>
    <t>11/29</t>
  </si>
  <si>
    <t>12/06</t>
  </si>
  <si>
    <t>12/13</t>
  </si>
  <si>
    <t>12/20</t>
  </si>
  <si>
    <t>12/27</t>
  </si>
  <si>
    <t>01/03</t>
  </si>
  <si>
    <t>01/10</t>
  </si>
  <si>
    <t>01/17</t>
  </si>
  <si>
    <t>01/24</t>
  </si>
  <si>
    <t>01/31</t>
  </si>
  <si>
    <t>02/07</t>
  </si>
  <si>
    <t>02/14</t>
  </si>
  <si>
    <t>02/21</t>
  </si>
  <si>
    <t>02/28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</si>
  <si>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</si>
  <si>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</si>
  <si>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</si>
  <si>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</si>
  <si>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</si>
  <si>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</si>
  <si>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</si>
  <si>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</si>
  <si>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</si>
  <si>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</si>
  <si>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</si>
  <si>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</si>
  <si>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</si>
  <si>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</si>
  <si>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</si>
  <si>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</si>
  <si>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</si>
  <si>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</si>
  <si>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</si>
  <si>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</si>
  <si>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</si>
  <si>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</si>
  <si>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</si>
  <si>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</si>
  <si>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</si>
  <si>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</si>
  <si>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</si>
  <si>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</si>
  <si>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</si>
  <si>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</si>
  <si>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</si>
  <si>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</si>
  <si>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</si>
  <si>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</si>
  <si>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</si>
  <si>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</si>
  <si>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</si>
  <si>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</si>
  <si>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</si>
  <si>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</si>
  <si>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</si>
  <si>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</si>
  <si>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</si>
  <si>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</si>
  <si>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</si>
  <si>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</si>
  <si>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</si>
  <si>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</si>
  <si>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</si>
  <si>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</si>
  <si>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WES</t>
  </si>
  <si>
    <t>08/04/2025</t>
  </si>
  <si>
    <t>08/05/2025</t>
  </si>
  <si>
    <t>08/21/2025</t>
  </si>
  <si>
    <t>08/25/2025</t>
  </si>
  <si>
    <t>08/26/2025</t>
  </si>
  <si>
    <t>09/02/2025</t>
  </si>
  <si>
    <t>09/03/2025</t>
  </si>
  <si>
    <t>09/04/2025</t>
  </si>
  <si>
    <t>09/05/2025</t>
  </si>
  <si>
    <t>09/07/2025</t>
  </si>
  <si>
    <t>09/17/2025</t>
  </si>
  <si>
    <t>09/20/2025</t>
  </si>
  <si>
    <t>09/22/2025</t>
  </si>
  <si>
    <t>09/27/2025</t>
  </si>
  <si>
    <t>09/28/2025</t>
  </si>
  <si>
    <t>10/01/2025</t>
  </si>
  <si>
    <t>10/02/2025</t>
  </si>
  <si>
    <t>10/03/2025</t>
  </si>
  <si>
    <t>10/04/2025</t>
  </si>
  <si>
    <t>10/06/2025</t>
  </si>
  <si>
    <t>10/07/2025</t>
  </si>
  <si>
    <t>10/09/2025</t>
  </si>
  <si>
    <t>10/10/2025</t>
  </si>
  <si>
    <t>10/11/2025</t>
  </si>
  <si>
    <t>10/12/2025</t>
  </si>
  <si>
    <t>10/13/2025</t>
  </si>
  <si>
    <t>10/14/2025</t>
  </si>
  <si>
    <t>10/17/2025</t>
  </si>
  <si>
    <t>10/18/2025</t>
  </si>
  <si>
    <t>10/19/2025</t>
  </si>
  <si>
    <t>10/21/2025</t>
  </si>
  <si>
    <t>10/22/2025</t>
  </si>
  <si>
    <t>10/23/2025</t>
  </si>
  <si>
    <t>10/28/2025</t>
  </si>
  <si>
    <t>10/29/2025</t>
  </si>
  <si>
    <t>11/01/2025</t>
  </si>
  <si>
    <t>11/02/2025</t>
  </si>
  <si>
    <t>11/04/2025</t>
  </si>
  <si>
    <t>11/05/2025</t>
  </si>
  <si>
    <t>11/06/2025</t>
  </si>
  <si>
    <t>11/07/2025</t>
  </si>
  <si>
    <t>11/08/2025</t>
  </si>
  <si>
    <t>11/09/2025</t>
  </si>
  <si>
    <t>11/11/2025</t>
  </si>
  <si>
    <t>11/12/2025</t>
  </si>
  <si>
    <t>11/13/2025</t>
  </si>
  <si>
    <t>11/14/2025</t>
  </si>
  <si>
    <t>11/15/2025</t>
  </si>
  <si>
    <t>11/17/2025</t>
  </si>
  <si>
    <t>11/18/2025</t>
  </si>
  <si>
    <t>11/19/2025</t>
  </si>
  <si>
    <t>11/20/2025</t>
  </si>
  <si>
    <t>11/23/2025</t>
  </si>
  <si>
    <t>11/25/2025</t>
  </si>
  <si>
    <t>11/26/2025</t>
  </si>
  <si>
    <t>11/27/2025</t>
  </si>
  <si>
    <t>11/29/2025</t>
  </si>
  <si>
    <t>11/30/2025</t>
  </si>
  <si>
    <t>12/01/2025</t>
  </si>
  <si>
    <t>12/02/2025</t>
  </si>
  <si>
    <t>12/03/2025</t>
  </si>
  <si>
    <t>12/04/2025</t>
  </si>
  <si>
    <t>12/05/2025</t>
  </si>
  <si>
    <t>12/06/2025</t>
  </si>
  <si>
    <t>12/08/2025</t>
  </si>
  <si>
    <t>12/10/2025</t>
  </si>
  <si>
    <t>12/12/2025</t>
  </si>
  <si>
    <t>12/15/2025</t>
  </si>
  <si>
    <t>12/17/2025</t>
  </si>
  <si>
    <t>12/18/2025</t>
  </si>
  <si>
    <t>12/22/2025</t>
  </si>
  <si>
    <t>12/23/2025</t>
  </si>
  <si>
    <t>12/24/2025</t>
  </si>
  <si>
    <t>12/25/2025</t>
  </si>
  <si>
    <t>12/30/2025</t>
  </si>
  <si>
    <t>12/31/2025</t>
  </si>
  <si>
    <t>01/01/2026</t>
  </si>
  <si>
    <t>01/02/2026</t>
  </si>
  <si>
    <t>01/06/2026</t>
  </si>
  <si>
    <t>01/07/2026</t>
  </si>
  <si>
    <t>01/08/2026</t>
  </si>
  <si>
    <t>01/13/2026</t>
  </si>
  <si>
    <t>01/17/2026</t>
  </si>
  <si>
    <t>01/22/2026</t>
  </si>
  <si>
    <t>01/23/2026</t>
  </si>
  <si>
    <t>Inventory</t>
  </si>
  <si>
    <t>WOS</t>
  </si>
  <si>
    <t>BASI16-0416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</si>
  <si>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</si>
  <si>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</si>
  <si>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</si>
  <si>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</si>
  <si>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</si>
  <si>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</si>
  <si>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 XL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</si>
  <si>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</si>
  <si>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</si>
  <si>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</si>
  <si>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</si>
  <si>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</si>
  <si>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</si>
  <si>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</si>
  <si>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</si>
  <si>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</si>
  <si>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</si>
  <si>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AAFESDS,AMAZON,AMAZONDS,JCPENNEY01,KOHLDSN,MACY02,OLLIIX,TGTDVS,WALMARTDS</t>
  </si>
  <si>
    <t>ANEW1143</t>
  </si>
  <si>
    <t>Bedding</t>
  </si>
  <si>
    <t>Tier 3</t>
  </si>
  <si>
    <t>Setup</t>
  </si>
  <si>
    <t>10/29/2016</t>
  </si>
  <si>
    <t>6/30/2017</t>
  </si>
  <si>
    <t>No</t>
  </si>
  <si>
    <t>BASI16-0382</t>
  </si>
  <si>
    <t>Full</t>
  </si>
  <si>
    <t>AAFESDS,AMAZON,JCPENNEY01,KOHLDSN,MACY02,OLLIIX,TGTDVS,WALMARTDS</t>
  </si>
  <si>
    <t>7/30/2016</t>
  </si>
  <si>
    <t>2/16/2017</t>
  </si>
  <si>
    <t>HHD20-1963</t>
  </si>
  <si>
    <t>HHL</t>
  </si>
  <si>
    <t>Harbor House</t>
  </si>
  <si>
    <t>SHEET/SHEET SET</t>
  </si>
  <si>
    <t>Sheet/Sheet Set</t>
  </si>
  <si>
    <t>100% Egyptian Cotton</t>
  </si>
  <si>
    <t>Sateen Sheet Set</t>
  </si>
  <si>
    <t>Queen</t>
  </si>
  <si>
    <t>NEW</t>
  </si>
  <si>
    <t>Cotton</t>
  </si>
  <si>
    <t>4</t>
  </si>
  <si>
    <t>Hospitality</t>
  </si>
  <si>
    <t>9/3/2025</t>
  </si>
  <si>
    <t>9/27/2025</t>
  </si>
  <si>
    <t>HUH10132</t>
  </si>
  <si>
    <t>HHD20-1964</t>
  </si>
  <si>
    <t>King</t>
  </si>
  <si>
    <t>HHD20-1965</t>
  </si>
  <si>
    <t>Cal King</t>
  </si>
  <si>
    <t>HHD21-1944</t>
  </si>
  <si>
    <t>PILLOWCASE</t>
  </si>
  <si>
    <t>Pillowcase</t>
  </si>
  <si>
    <t>Sateen Pillowcase Set</t>
  </si>
  <si>
    <t>King Sham</t>
  </si>
  <si>
    <t>2</t>
  </si>
  <si>
    <t>HUH10130</t>
  </si>
  <si>
    <t>HHD20-1966</t>
  </si>
  <si>
    <t>Split King</t>
  </si>
  <si>
    <t>5</t>
  </si>
  <si>
    <t>HHD21-1943</t>
  </si>
  <si>
    <t>Standard Sham</t>
  </si>
  <si>
    <t>HUH10131</t>
  </si>
  <si>
    <t>HHD20-1967</t>
  </si>
  <si>
    <t>Gray</t>
  </si>
  <si>
    <t>HHD20-1968</t>
  </si>
  <si>
    <t>HHD20-1969</t>
  </si>
  <si>
    <t>HHD20-1970</t>
  </si>
  <si>
    <t>HHD21-1946</t>
  </si>
  <si>
    <t>Grey</t>
  </si>
  <si>
    <t>HHD21-1945</t>
  </si>
  <si>
    <t>HHD20-1959</t>
  </si>
  <si>
    <t>Ivory</t>
  </si>
  <si>
    <t>HHD20-1960</t>
  </si>
  <si>
    <t>HHD20-1961</t>
  </si>
  <si>
    <t>HHD21-1942</t>
  </si>
  <si>
    <t>HHD20-1962</t>
  </si>
  <si>
    <t>HHD21-1941</t>
  </si>
  <si>
    <t>HHD20-1975</t>
  </si>
  <si>
    <t>Linen</t>
  </si>
  <si>
    <t>HHD20-1976</t>
  </si>
  <si>
    <t>HHD20-1977</t>
  </si>
  <si>
    <t>HHD21-1950</t>
  </si>
  <si>
    <t>HHD20-1978</t>
  </si>
  <si>
    <t>HHD21-1949</t>
  </si>
  <si>
    <t>HHD20-1971</t>
  </si>
  <si>
    <t>Sage</t>
  </si>
  <si>
    <t>HHD20-1972</t>
  </si>
  <si>
    <t>HHD20-1973</t>
  </si>
  <si>
    <t>HHD21-1948</t>
  </si>
  <si>
    <t>HHD20-1974</t>
  </si>
  <si>
    <t>HHD21-1947</t>
  </si>
  <si>
    <t>HHD20-1955</t>
  </si>
  <si>
    <t>White</t>
  </si>
  <si>
    <t>HHD20-1956</t>
  </si>
  <si>
    <t>HHD20-1957</t>
  </si>
  <si>
    <t>HHD21-1940</t>
  </si>
  <si>
    <t>HHD20-1958</t>
  </si>
  <si>
    <t>HHD21-1939</t>
  </si>
  <si>
    <t>MP20-8943</t>
  </si>
  <si>
    <t>SHET</t>
  </si>
  <si>
    <t>Madison Park</t>
  </si>
  <si>
    <t>1000 Thread Count</t>
  </si>
  <si>
    <t>HeiQ Smart Temperature Cotton Blend 4 PC Sheet Set</t>
  </si>
  <si>
    <t>Inactive</t>
  </si>
  <si>
    <t>CVC</t>
  </si>
  <si>
    <t>Glam/Luxury</t>
  </si>
  <si>
    <t>N/A</t>
  </si>
  <si>
    <t>Open</t>
  </si>
  <si>
    <t>MP20-8944</t>
  </si>
  <si>
    <t>A++</t>
  </si>
  <si>
    <t>MP20-8945</t>
  </si>
  <si>
    <t>MP20-8946</t>
  </si>
  <si>
    <t>A</t>
  </si>
  <si>
    <t>MP20-8931</t>
  </si>
  <si>
    <t>Charcoal</t>
  </si>
  <si>
    <t>MP20-8932</t>
  </si>
  <si>
    <t>MP20-8933</t>
  </si>
  <si>
    <t>MP20-8934</t>
  </si>
  <si>
    <t>MP20-8923</t>
  </si>
  <si>
    <t>MP20-8924</t>
  </si>
  <si>
    <t>MP20-8925</t>
  </si>
  <si>
    <t>MP20-8926</t>
  </si>
  <si>
    <t>MP20-8939</t>
  </si>
  <si>
    <t>MP20-8940</t>
  </si>
  <si>
    <t>MP20-8941</t>
  </si>
  <si>
    <t>MP20-8942</t>
  </si>
  <si>
    <t>MP20-8927</t>
  </si>
  <si>
    <t>Seafoam</t>
  </si>
  <si>
    <t>MP20-8928</t>
  </si>
  <si>
    <t>MP20-8929</t>
  </si>
  <si>
    <t>MP20-8930</t>
  </si>
  <si>
    <t>MP20-8935</t>
  </si>
  <si>
    <t>MP20-8936</t>
  </si>
  <si>
    <t>MP20-8937</t>
  </si>
  <si>
    <t>MP20-8938</t>
  </si>
  <si>
    <t>MPS10-100</t>
  </si>
  <si>
    <t>Madison Park Signature</t>
  </si>
  <si>
    <t>COMFORTER (SET)</t>
  </si>
  <si>
    <t>Down Alternative Comforter Filler</t>
  </si>
  <si>
    <t>1000 Thread Count Cotton Blend</t>
  </si>
  <si>
    <t>Diamond Quilting Down Alternative Comforter</t>
  </si>
  <si>
    <t>Full/Queen</t>
  </si>
  <si>
    <t>PF002112</t>
  </si>
  <si>
    <t>BLK01,JCPENNEY01,KOHLDSN,MACY02,OLLIIX,OVERSTOCK01,TGTDVS,ZOLA</t>
  </si>
  <si>
    <t>BDIS1212</t>
  </si>
  <si>
    <t>8/23/2016</t>
  </si>
  <si>
    <t>9/9/2016</t>
  </si>
  <si>
    <t>MPS10-101</t>
  </si>
  <si>
    <t>King/Cal King</t>
  </si>
  <si>
    <t>BLK01,DESINC,FINGERHUTDS,JCPENNEY01,KOHLDSN,MACY02,NRTPORT,OLLIIX,OVERSTOCK01,TGTDVS,ZOLA</t>
  </si>
  <si>
    <t>11/4/2016</t>
  </si>
  <si>
    <t>MP20-8505</t>
  </si>
  <si>
    <t>1500 Thread Count</t>
  </si>
  <si>
    <t>Cotton Blend 4 PC Sheet Set</t>
  </si>
  <si>
    <t>Black</t>
  </si>
  <si>
    <t>PP001239;PF006418</t>
  </si>
  <si>
    <t>11/2/2024</t>
  </si>
  <si>
    <t>KOHLDSN,MACY02,ZOLA</t>
  </si>
  <si>
    <t>ALTH2202</t>
  </si>
  <si>
    <t>Tier 2</t>
  </si>
  <si>
    <t>4/3/2025</t>
  </si>
  <si>
    <t>MP20-4852</t>
  </si>
  <si>
    <t>PF002376</t>
  </si>
  <si>
    <t>9/2/2017</t>
  </si>
  <si>
    <t>BLK01,HDDS,JCPENNEY01,KOHLDSN,MACY02,OLLIIX,OVERSTOCK01,TGTDVS</t>
  </si>
  <si>
    <t>8/30/2017</t>
  </si>
  <si>
    <t>12/17/2018</t>
  </si>
  <si>
    <t>BASI16-0386</t>
  </si>
  <si>
    <t>2" Gel Memory Foam with 3M Cover</t>
  </si>
  <si>
    <t>Mattress Topper</t>
  </si>
  <si>
    <t>Twin</t>
  </si>
  <si>
    <t>PF002107</t>
  </si>
  <si>
    <t>KOHLDSN,OLLIIX,TGTDVS</t>
  </si>
  <si>
    <t>ANEW2840</t>
  </si>
  <si>
    <t>9/17/2018</t>
  </si>
  <si>
    <t>BASI16-0387</t>
  </si>
  <si>
    <t>MACY02,OLLIIX</t>
  </si>
  <si>
    <t>2/21/2017</t>
  </si>
  <si>
    <t>MPE20-1046</t>
  </si>
  <si>
    <t>Madison Park Essentials</t>
  </si>
  <si>
    <t>200 Thread Count Printed Cotton</t>
  </si>
  <si>
    <t>Sheet Set</t>
  </si>
  <si>
    <t>Black Island</t>
  </si>
  <si>
    <t>Close-out</t>
  </si>
  <si>
    <t>C</t>
  </si>
  <si>
    <t>PP001858;PF006130</t>
  </si>
  <si>
    <t>Coastal</t>
  </si>
  <si>
    <t>4/6/2024</t>
  </si>
  <si>
    <t>AMAZON,JCPENNEY01,KOHLDSN,TGTDVS</t>
  </si>
  <si>
    <t>RBSE3565</t>
  </si>
  <si>
    <t>Tier 4</t>
  </si>
  <si>
    <t>4/11/2024</t>
  </si>
  <si>
    <t>7/29/2024</t>
  </si>
  <si>
    <t>MPE20-1014</t>
  </si>
  <si>
    <t>Blue Stripe</t>
  </si>
  <si>
    <t>PP001858;PF005942</t>
  </si>
  <si>
    <t>Striped</t>
  </si>
  <si>
    <t>3/22/2023</t>
  </si>
  <si>
    <t>AMAZON,JCPENNEY01,KOHLDSN,MACY02,TGTDVS</t>
  </si>
  <si>
    <t>4/18/2023</t>
  </si>
  <si>
    <t>6/20/2023</t>
  </si>
  <si>
    <t>MPE20-1015</t>
  </si>
  <si>
    <t>Grey Stripe</t>
  </si>
  <si>
    <t>PP001858;PF005943</t>
  </si>
  <si>
    <t>AMAZON,DLBRAND,JCPENNEY01,MACY02,OVERSTOCK01,TGTDVS</t>
  </si>
  <si>
    <t>7/31/2023</t>
  </si>
  <si>
    <t>BASI16-0417</t>
  </si>
  <si>
    <t>3" Gel Memory Foam</t>
  </si>
  <si>
    <t>All Season Reversible Hypoallergenic Cooling Mattress Topper</t>
  </si>
  <si>
    <t>PF002106</t>
  </si>
  <si>
    <t>AMAZON,BLK01,HSNDS,MACY02,OLLIIX,TGTDVS</t>
  </si>
  <si>
    <t>ANEW1127</t>
  </si>
  <si>
    <t>11/15/2016</t>
  </si>
  <si>
    <t>BASI16-0420</t>
  </si>
  <si>
    <t>BEALLSDS,BLK01,HSNDS,MACY02,OLLIIX,TGTDVS,ZOLA</t>
  </si>
  <si>
    <t>12/5/2016</t>
  </si>
  <si>
    <t>BASI16-0421</t>
  </si>
  <si>
    <t>AMAZON,BLK01,HSNDS,MACY02,OLLIIX,OVERSTOCK01,TGTDVS,WALMARTDS</t>
  </si>
  <si>
    <t>2/22/2017</t>
  </si>
  <si>
    <t>BASI16-0391</t>
  </si>
  <si>
    <t>3" Gel Memory Foam with 3M Cover</t>
  </si>
  <si>
    <t>PF002108</t>
  </si>
  <si>
    <t>AAFESDS,MACY02,OLLIIX,TGTDVS</t>
  </si>
  <si>
    <t>ANEW2841</t>
  </si>
  <si>
    <t>3/13/2017</t>
  </si>
  <si>
    <t>BASI16-0392</t>
  </si>
  <si>
    <t>AAFESDS,AMAZON,JCPENNEY01,KOHLDSN,MACY02,OLLIIX,OVERSTOCK01,TGTDVS,ZOLA</t>
  </si>
  <si>
    <t>3/14/2017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</si>
  <si>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</si>
  <si>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</si>
  <si>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</si>
  <si>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</si>
  <si>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</si>
  <si>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AMAZON,HDDS,MACY02,TGTDVS</t>
  </si>
  <si>
    <t>ANEW1130</t>
  </si>
  <si>
    <t>12/4/2016</t>
  </si>
  <si>
    <t>BASI16-0477</t>
  </si>
  <si>
    <t>AMAZON,BLK01,HDDS,JCPENNEY01,OLLIIX,TGTDVS</t>
  </si>
  <si>
    <t>1/30/2017</t>
  </si>
  <si>
    <t>BASI16-0478</t>
  </si>
  <si>
    <t>AAFESDS,BEALLSDS,BLK01,HDDS,JCPENNEY01,MACY02,OLLIIX,TGTDVS,WALMARTDS,ZOLA</t>
  </si>
  <si>
    <t>BASI16-0479</t>
  </si>
  <si>
    <t>AAFESDS,HDDS,JCPENNEY01,MACY02,OLLIIX,TGTDVS,ZOLA</t>
  </si>
  <si>
    <t>4/24/2017</t>
  </si>
  <si>
    <t>MP20-8248</t>
  </si>
  <si>
    <t>300 Thread Count Organic Cotton</t>
  </si>
  <si>
    <t>Deep Pocket Sheet Set</t>
  </si>
  <si>
    <t>PP001890;PF006022</t>
  </si>
  <si>
    <t>8/26/2023</t>
  </si>
  <si>
    <t>AMAZON,JCPENNEY01,KOHLDSN,OLLIIX,OVERSTOCK01,TGTDVS</t>
  </si>
  <si>
    <t>NCWA2546</t>
  </si>
  <si>
    <t>10/31/2023</t>
  </si>
  <si>
    <t>1/15/2024</t>
  </si>
  <si>
    <t>MP20-8254</t>
  </si>
  <si>
    <t>PP001890;PF006025</t>
  </si>
  <si>
    <t>AMAZON,DLBRAND,HDDS,KOHLDSN,OLLIIX,TGTDVS</t>
  </si>
  <si>
    <t>1/2/2024</t>
  </si>
  <si>
    <t>CSP20-1515</t>
  </si>
  <si>
    <t>Clean Spaces</t>
  </si>
  <si>
    <t>300TC BCI Cotton</t>
  </si>
  <si>
    <t>300TC BCI Cotton Sheet Set</t>
  </si>
  <si>
    <t>Donation</t>
  </si>
  <si>
    <t>PP001750;PF005685</t>
  </si>
  <si>
    <t>5/26/2022</t>
  </si>
  <si>
    <t>DESINC,HHGLOBALTTS,JCPENNEY01,TGTDVS</t>
  </si>
  <si>
    <t>CEAH1028</t>
  </si>
  <si>
    <t>6/5/2022</t>
  </si>
  <si>
    <t>8/10/2022</t>
  </si>
  <si>
    <t>Yes</t>
  </si>
  <si>
    <t>CSP20-1503</t>
  </si>
  <si>
    <t>PF005683;PP001750</t>
  </si>
  <si>
    <t>HHGLOBALTTS,JCPENNEY01,MACY02,TGTDVS</t>
  </si>
  <si>
    <t>8/22/2022</t>
  </si>
  <si>
    <t>MP20-1189</t>
  </si>
  <si>
    <t>3M Microcell</t>
  </si>
  <si>
    <t>Luxurious Brushed Microfiber Deep Pocket Sheet Set</t>
  </si>
  <si>
    <t>PF001786</t>
  </si>
  <si>
    <t>Microfiber</t>
  </si>
  <si>
    <t>BLK01,JCPENNEY01,KOHLDSN,TGTDVS</t>
  </si>
  <si>
    <t>CHLH5539</t>
  </si>
  <si>
    <t>7/10/2015</t>
  </si>
  <si>
    <t>MP20-4388</t>
  </si>
  <si>
    <t>Blush</t>
  </si>
  <si>
    <t>PF001792</t>
  </si>
  <si>
    <t>5/17/2017</t>
  </si>
  <si>
    <t>AMAZONDS,HSNDS,JCPENNEY01,KOHLDSN,MACY02,WALMARTDS</t>
  </si>
  <si>
    <t>4/6/2017</t>
  </si>
  <si>
    <t>11/7/2017</t>
  </si>
  <si>
    <t>MP20-4393</t>
  </si>
  <si>
    <t>AMAZON,AMAZONDS,BLK01,HDDS,JCPENNEY01,KOHLDSN,MACY02</t>
  </si>
  <si>
    <t>3/27/2018</t>
  </si>
  <si>
    <t>MP20-2383</t>
  </si>
  <si>
    <t>PF001789</t>
  </si>
  <si>
    <t>JCPENNEY01,KOHLDSN,MACY02</t>
  </si>
  <si>
    <t>7/3/2017</t>
  </si>
  <si>
    <t>MP20-2443</t>
  </si>
  <si>
    <t>BLK01,HDDS,JCPENNEY01,KOHLDSN,MACY02,NRTPORT</t>
  </si>
  <si>
    <t>10/6/2016</t>
  </si>
  <si>
    <t>MP20-2384</t>
  </si>
  <si>
    <t>BLK01,DLBRAND,JCPENNEY01,KOHLDSN,MACY02,NRTPORT,OLLIIX,ZOLA</t>
  </si>
  <si>
    <t>6/30/2016</t>
  </si>
  <si>
    <t>MP20-2385</t>
  </si>
  <si>
    <t>BLK01,DESINC,DLBRAND,JCPENNEY01,KOHLDSN,MACY02,OLLIIX,ZOLA</t>
  </si>
  <si>
    <t>6/28/2016</t>
  </si>
  <si>
    <t>MP20-2387</t>
  </si>
  <si>
    <t>AMAZON,JCPENNEY01,KOHLDSN,MACY02</t>
  </si>
  <si>
    <t>9/19/2016</t>
  </si>
  <si>
    <t>MP20-1180</t>
  </si>
  <si>
    <t>PF001785</t>
  </si>
  <si>
    <t>JCPENNEY01,KOHLDSN,OLLIIX,TGTDVS</t>
  </si>
  <si>
    <t>7/14/2015</t>
  </si>
  <si>
    <t>MP20-1181</t>
  </si>
  <si>
    <t>JCPENNEY01,KOHLDSN,MACY02,TGTDVS</t>
  </si>
  <si>
    <t>8/10/2015</t>
  </si>
  <si>
    <t>MP20-1184</t>
  </si>
  <si>
    <t>BLK01,HSNDS,JCPENNEY01,KOHLDSN,MACY02,OVERSTOCK01</t>
  </si>
  <si>
    <t>10/12/2015</t>
  </si>
  <si>
    <t>MP20-1190</t>
  </si>
  <si>
    <t>Khaki</t>
  </si>
  <si>
    <t>PF001787</t>
  </si>
  <si>
    <t>BLK01,JCPENNEY01,KOHLDSN,MACY02</t>
  </si>
  <si>
    <t>MP20-1193</t>
  </si>
  <si>
    <t>BLK01,HDDS,HSNDS,JCPENNEY01,KOHLDSN,MACY02,OLLIIX,OVERSTOCK01,TGTDVS</t>
  </si>
  <si>
    <t>8/14/2015</t>
  </si>
  <si>
    <t>MP20-1194</t>
  </si>
  <si>
    <t>MP20-6334</t>
  </si>
  <si>
    <t>Purple</t>
  </si>
  <si>
    <t>PP001177;PF004673</t>
  </si>
  <si>
    <t>3</t>
  </si>
  <si>
    <t>5/4/2019</t>
  </si>
  <si>
    <t>HDDS,JCPENNEY01,KOHLDSN,MACY02</t>
  </si>
  <si>
    <t>6/6/2019</t>
  </si>
  <si>
    <t>8/22/2019</t>
  </si>
  <si>
    <t>MP20-2388</t>
  </si>
  <si>
    <t>PF001791</t>
  </si>
  <si>
    <t>AMAZON,JCPENNEY01,KOHLDSN,MACY02,OLLIIX</t>
  </si>
  <si>
    <t>8/3/2016</t>
  </si>
  <si>
    <t>MP20-2389</t>
  </si>
  <si>
    <t>AMAZON,AMAZONDS,BLK01,DLBRAND,HSNDS,JCPENNEY01,KOHLDSN,MACY02</t>
  </si>
  <si>
    <t>MP20-2392</t>
  </si>
  <si>
    <t>AMAZON,BLK01,HSNDS,JCPENNEY01,KOHLDSN,OLLIIX</t>
  </si>
  <si>
    <t>12/11/2017</t>
  </si>
  <si>
    <t>MP20-6344</t>
  </si>
  <si>
    <t>Teal</t>
  </si>
  <si>
    <t>PP001177;PF004674</t>
  </si>
  <si>
    <t>DESINC,HDDS,KOHLDSN</t>
  </si>
  <si>
    <t>6/7/2019</t>
  </si>
  <si>
    <t>4/2/2020</t>
  </si>
  <si>
    <t>MP20-2445</t>
  </si>
  <si>
    <t>PF001784</t>
  </si>
  <si>
    <t>11/5/2025</t>
  </si>
  <si>
    <t>BLK01,HDDS,JCPENNEY01,KOHLDSN,MACY02,OLLIIX</t>
  </si>
  <si>
    <t>6/23/2016</t>
  </si>
  <si>
    <t>MP20-1176</t>
  </si>
  <si>
    <t>BLK01,JCPENNEY01,KOHLDSN,MACY02,OLLIIX,TGTDVS,WALMARTDS</t>
  </si>
  <si>
    <t>6/1/2015</t>
  </si>
  <si>
    <t>MP20-1179</t>
  </si>
  <si>
    <t>8/26/2016</t>
  </si>
  <si>
    <t>SHET20-732</t>
  </si>
  <si>
    <t>Peak Performance</t>
  </si>
  <si>
    <t>3M Scotchgard Micro Fleece</t>
  </si>
  <si>
    <t>Anti-Pill Sheet Set</t>
  </si>
  <si>
    <t>PF001798</t>
  </si>
  <si>
    <t>Fleece</t>
  </si>
  <si>
    <t>MACY02,TGTDVS,WALMARTDS</t>
  </si>
  <si>
    <t>CHLH4570</t>
  </si>
  <si>
    <t>9/10/2015</t>
  </si>
  <si>
    <t>SHET20-734</t>
  </si>
  <si>
    <t>KOHLDSN,MACY02</t>
  </si>
  <si>
    <t>11/24/2015</t>
  </si>
  <si>
    <t>SHET20-727</t>
  </si>
  <si>
    <t>Mink</t>
  </si>
  <si>
    <t>PF001797</t>
  </si>
  <si>
    <t>MACY02</t>
  </si>
  <si>
    <t>8/31/2015</t>
  </si>
  <si>
    <t>SHET20-587</t>
  </si>
  <si>
    <t>Navy</t>
  </si>
  <si>
    <t>PF001794</t>
  </si>
  <si>
    <t>MACY02,TGTDVS</t>
  </si>
  <si>
    <t>1/9/2015</t>
  </si>
  <si>
    <t>AM73-0247</t>
  </si>
  <si>
    <t>TOWL</t>
  </si>
  <si>
    <t>Super Listing</t>
  </si>
  <si>
    <t>BATH TOWEL</t>
  </si>
  <si>
    <t>Bath Towel</t>
  </si>
  <si>
    <t>400GSM Essential Bundle</t>
  </si>
  <si>
    <t>Quick Dry 100% Cotton 6pc Towel Set</t>
  </si>
  <si>
    <t>6-Piece</t>
  </si>
  <si>
    <t>Beige</t>
  </si>
  <si>
    <t>PP001999;PF006439</t>
  </si>
  <si>
    <t>6</t>
  </si>
  <si>
    <t>6/27/2024</t>
  </si>
  <si>
    <t>AMAZON,AMAZONDS,JCPENNEY01,KOHLDSN,MACY02,NRTPORT,OVERSTOCK01</t>
  </si>
  <si>
    <t>NGIN1216</t>
  </si>
  <si>
    <t>Bath</t>
  </si>
  <si>
    <t>Tier S</t>
  </si>
  <si>
    <t>9/4/2024</t>
  </si>
  <si>
    <t>AM73-0246</t>
  </si>
  <si>
    <t>Quick Dry 100% Cotton 12pc Towel Set</t>
  </si>
  <si>
    <t>12-Piece</t>
  </si>
  <si>
    <t>C+</t>
  </si>
  <si>
    <t>12</t>
  </si>
  <si>
    <t>8/14/2024</t>
  </si>
  <si>
    <t>AMAZON,BLK01,JCPENNEY01,KOHLDSN,MACY02,NRTPORT</t>
  </si>
  <si>
    <t>AM73-0249</t>
  </si>
  <si>
    <t>Quick Dry 100% Cotton Towel Set</t>
  </si>
  <si>
    <t>4-Piece</t>
  </si>
  <si>
    <t>AMAZONDS,BLK01,JCPENNEY01,KOHLDSN,MACY02</t>
  </si>
  <si>
    <t>AM73-0261</t>
  </si>
  <si>
    <t>PP001999;PF006442</t>
  </si>
  <si>
    <t>BLK01,KOHLDSN,MACY02</t>
  </si>
  <si>
    <t>AM73-0260</t>
  </si>
  <si>
    <t>AMAZON,AMAZONDS,HDDS,JCPENNEY01,KOHLDSN,MACY02,NRTPORT</t>
  </si>
  <si>
    <t>AM73-0255</t>
  </si>
  <si>
    <t>PP001999;PF006438</t>
  </si>
  <si>
    <t>AMAZON,JCPENNEY01,KOHLDSN,MACY02,NRTPORT</t>
  </si>
  <si>
    <t>AM73-0254</t>
  </si>
  <si>
    <t>AMAZON,AMAZONDS,HDDS,KOHLDSN,MACY02</t>
  </si>
  <si>
    <t>11/4/2024</t>
  </si>
  <si>
    <t>AM73-0257</t>
  </si>
  <si>
    <t>7/17/2025</t>
  </si>
  <si>
    <t>AM73-0251</t>
  </si>
  <si>
    <t>Indigo</t>
  </si>
  <si>
    <t>PP001999;PF006440</t>
  </si>
  <si>
    <t>BLK01,JCPENNEY01,KOHLDSN,MACY02,NRTPORT,OVERSTOCK01</t>
  </si>
  <si>
    <t>AM73-0250</t>
  </si>
  <si>
    <t>AMAZONDS,BLK01,HDDS,JCPENNEY01,KOHLDSN,MACY02</t>
  </si>
  <si>
    <t>12/20/2024</t>
  </si>
  <si>
    <t>AM73-0253</t>
  </si>
  <si>
    <t>KOHLDSN,MACY02,NRTPORT</t>
  </si>
  <si>
    <t>AM73-0259</t>
  </si>
  <si>
    <t>PP001999;PF006441</t>
  </si>
  <si>
    <t>AMAZONDS,JCPENNEY01,KOHLDSN,MACY02,NRTPORT</t>
  </si>
  <si>
    <t>AM73-0258</t>
  </si>
  <si>
    <t>AM73-0289</t>
  </si>
  <si>
    <t>AMAZON,KOHLDSN,MACY02</t>
  </si>
  <si>
    <t>AM73-0243</t>
  </si>
  <si>
    <t>PP001999;PF006437</t>
  </si>
  <si>
    <t>AMAZONDS,KOHLDSN,MACY02,NRTPORT</t>
  </si>
  <si>
    <t>AM73-0242</t>
  </si>
  <si>
    <t>AMAZONDS,BLK01,HDDS,JCPENNEY01,KOHLDSN,MACY02,OVERSTOCK01</t>
  </si>
  <si>
    <t>10/31/2024</t>
  </si>
  <si>
    <t>AM73-0245</t>
  </si>
  <si>
    <t>MP20-6519</t>
  </si>
  <si>
    <t>525 Thread Count</t>
  </si>
  <si>
    <t>Cotton Blend Sheet Set</t>
  </si>
  <si>
    <t>PP001317;PF004758</t>
  </si>
  <si>
    <t>Traditional</t>
  </si>
  <si>
    <t>8/12/2019</t>
  </si>
  <si>
    <t>BLK01,DESINC,JCPENNEY01,KOHLDSN,MACY02,OVERSTOCK01,TGTDVS</t>
  </si>
  <si>
    <t>NCWA1636</t>
  </si>
  <si>
    <t>9/11/2019</t>
  </si>
  <si>
    <t>3/23/2020</t>
  </si>
  <si>
    <t>BR20-4700</t>
  </si>
  <si>
    <t>Beautyrest</t>
  </si>
  <si>
    <t>600 Thread Count</t>
  </si>
  <si>
    <t>Cooling Cotton Blend 4 PC Sheet Set</t>
  </si>
  <si>
    <t>PP001188;PF006417</t>
  </si>
  <si>
    <t>Modern/Contemporary</t>
  </si>
  <si>
    <t>AMAZON,BLK01,JCPENNEY01,KOHLDSN,MACY02,OVERSTOCK01,TGTDVS</t>
  </si>
  <si>
    <t>AAHR1052</t>
  </si>
  <si>
    <t>Tier 1</t>
  </si>
  <si>
    <t>11/1/2024</t>
  </si>
  <si>
    <t>11/29/2024</t>
  </si>
  <si>
    <t>MP20-8983</t>
  </si>
  <si>
    <t>MP20-8984</t>
  </si>
  <si>
    <t>MP20-8985</t>
  </si>
  <si>
    <t>BR20-4703</t>
  </si>
  <si>
    <t>JCPENNEY01,KOHLDSN,MACY02,OVERSTOCK01</t>
  </si>
  <si>
    <t>12/12/2024</t>
  </si>
  <si>
    <t>MP20-8986</t>
  </si>
  <si>
    <t>MP20-8963</t>
  </si>
  <si>
    <t>MP20-8964</t>
  </si>
  <si>
    <t>MP20-8965</t>
  </si>
  <si>
    <t>A+</t>
  </si>
  <si>
    <t>MP20-8966</t>
  </si>
  <si>
    <t>MP20-8967</t>
  </si>
  <si>
    <t>MP20-8968</t>
  </si>
  <si>
    <t>MP20-8969</t>
  </si>
  <si>
    <t>MP20-8970</t>
  </si>
  <si>
    <t>MP20-8955</t>
  </si>
  <si>
    <t>MP20-8956</t>
  </si>
  <si>
    <t>MP20-8957</t>
  </si>
  <si>
    <t>MP20-8958</t>
  </si>
  <si>
    <t>MP20-8951</t>
  </si>
  <si>
    <t>MP20-8952</t>
  </si>
  <si>
    <t>MP20-8953</t>
  </si>
  <si>
    <t>MP20-8954</t>
  </si>
  <si>
    <t>MP20-8971</t>
  </si>
  <si>
    <t>MP20-8972</t>
  </si>
  <si>
    <t>MP20-8973</t>
  </si>
  <si>
    <t>MP20-8974</t>
  </si>
  <si>
    <t>MP20-8975</t>
  </si>
  <si>
    <t>MP20-8976</t>
  </si>
  <si>
    <t>MP20-8977</t>
  </si>
  <si>
    <t>MP20-8978</t>
  </si>
  <si>
    <t>MP20-8959</t>
  </si>
  <si>
    <t>MP20-8960</t>
  </si>
  <si>
    <t>MP20-8961</t>
  </si>
  <si>
    <t>MP20-8962</t>
  </si>
  <si>
    <t>MP20-8979</t>
  </si>
  <si>
    <t>MP20-8980</t>
  </si>
  <si>
    <t>MP20-8981</t>
  </si>
  <si>
    <t>MP20-8982</t>
  </si>
  <si>
    <t>MP20-8947</t>
  </si>
  <si>
    <t>MP20-8948</t>
  </si>
  <si>
    <t>MP20-8949</t>
  </si>
  <si>
    <t>MP20-8950</t>
  </si>
  <si>
    <t>SHET20-511</t>
  </si>
  <si>
    <t>600 Thread Count Pima Cotton</t>
  </si>
  <si>
    <t>Pima Cotton Sheet Set</t>
  </si>
  <si>
    <t>Gold</t>
  </si>
  <si>
    <t>PF001747</t>
  </si>
  <si>
    <t>9/2/2025</t>
  </si>
  <si>
    <t>BLK01,JCPENNEY01,KOHLDSN,MACY02,OLLIIX,OVERSTOCK01</t>
  </si>
  <si>
    <t>CHMB1017</t>
  </si>
  <si>
    <t>6/2/2015</t>
  </si>
  <si>
    <t>MP20-7167</t>
  </si>
  <si>
    <t>7</t>
  </si>
  <si>
    <t>4/8/2020</t>
  </si>
  <si>
    <t>4/9/2020</t>
  </si>
  <si>
    <t>4/15/2020</t>
  </si>
  <si>
    <t>MP20-8001</t>
  </si>
  <si>
    <t>PF005753</t>
  </si>
  <si>
    <t>7/19/2022</t>
  </si>
  <si>
    <t>DLBRAND,JCPENNEY01,KOHLDSN,MACY02,OVERSTOCK01,TGTDVS</t>
  </si>
  <si>
    <t>8/5/2022</t>
  </si>
  <si>
    <t>1/19/2023</t>
  </si>
  <si>
    <t>MP20-6424</t>
  </si>
  <si>
    <t>800 Thread Count</t>
  </si>
  <si>
    <t>Cotton Blend Sateen Sheet Set</t>
  </si>
  <si>
    <t>PP001297;PF004729</t>
  </si>
  <si>
    <t>8/15/2019</t>
  </si>
  <si>
    <t>DESINC,JCPENNEY01,LOWESDS,MACY02,OVERSTOCK01,TGTDVS,ZOLA</t>
  </si>
  <si>
    <t>DBYC3044</t>
  </si>
  <si>
    <t>1/10/2020</t>
  </si>
  <si>
    <t>MP20-7158</t>
  </si>
  <si>
    <t>3/19/2020</t>
  </si>
  <si>
    <t>BLK01,HDDS,JCPENNEY01,KOHLDSN,MACY02,OVERSTOCK01,TGTDVS</t>
  </si>
  <si>
    <t>4/6/2020</t>
  </si>
  <si>
    <t>4/29/2020</t>
  </si>
  <si>
    <t>MPH20-0012</t>
  </si>
  <si>
    <t>PF004072</t>
  </si>
  <si>
    <t>11/27/2017</t>
  </si>
  <si>
    <t>DLBRAND,JCPENNEY01,KOHLDSN,MACY02,OLLIIX,TGTDVS</t>
  </si>
  <si>
    <t>2/2/2018</t>
  </si>
  <si>
    <t>2/20/2018</t>
  </si>
  <si>
    <t>MP20-7156</t>
  </si>
  <si>
    <t>PF004072;PP001297</t>
  </si>
  <si>
    <t>JCPENNEY01,KOHLDSN,MACY02,OVERSTOCK01,TGTDVS</t>
  </si>
  <si>
    <t>4/28/2020</t>
  </si>
  <si>
    <t>MP20-6427</t>
  </si>
  <si>
    <t>PP001297;PF004730</t>
  </si>
  <si>
    <t>JCPENNEY01,KOHLDSN,MACY02,OLLIIX,OVERSTOCK01,TGTDVS,ZOLA</t>
  </si>
  <si>
    <t>9/23/2019</t>
  </si>
  <si>
    <t>MPS73-550</t>
  </si>
  <si>
    <t>800GSM</t>
  </si>
  <si>
    <t>Ultra-Soft 100% Cotton Absorbent Towel Set</t>
  </si>
  <si>
    <t>8-Piece</t>
  </si>
  <si>
    <t>Bright Red</t>
  </si>
  <si>
    <t>PP001046</t>
  </si>
  <si>
    <t>8</t>
  </si>
  <si>
    <t>11/28/2024</t>
  </si>
  <si>
    <t>1/1/2026</t>
  </si>
  <si>
    <t>AMAZONDS,BLK01,JCPENNEY01,KOHLDSN,MACY02,OLLIIX,OVERSTOCK01</t>
  </si>
  <si>
    <t>BDIS1132</t>
  </si>
  <si>
    <t>11/27/2024</t>
  </si>
  <si>
    <t>12/10/2024</t>
  </si>
  <si>
    <t>MPS73-539</t>
  </si>
  <si>
    <t>Olive Green</t>
  </si>
  <si>
    <t>PP001046;PF006306</t>
  </si>
  <si>
    <t>7/25/2024</t>
  </si>
  <si>
    <t>AMAZON,AMAZONDS,JCPENNEY01,KOHLDSN,MACY02,NRTPORT,OLLIIX,OVERSTOCK01,TGTDVS</t>
  </si>
  <si>
    <t>8/26/2024</t>
  </si>
  <si>
    <t>9/3/2024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</si>
  <si>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</si>
  <si>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</si>
  <si>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</si>
  <si>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</si>
  <si>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</si>
  <si>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</si>
  <si>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</si>
  <si>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</si>
  <si>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1</t>
  </si>
  <si>
    <t>Other</t>
  </si>
  <si>
    <t>Mid-Century</t>
  </si>
  <si>
    <t>5/16/2022</t>
  </si>
  <si>
    <t>KOHLDSN,OLLIIX,OVERSTOCK01</t>
  </si>
  <si>
    <t>HTN10012</t>
  </si>
  <si>
    <t>Lighting</t>
  </si>
  <si>
    <t>5/25/2022</t>
  </si>
  <si>
    <t>10/12/2022</t>
  </si>
  <si>
    <t>MP95G-0286</t>
  </si>
  <si>
    <t>ART</t>
  </si>
  <si>
    <t>CANVAS</t>
  </si>
  <si>
    <t>Framed Graphics</t>
  </si>
  <si>
    <t>Abstract Reveal</t>
  </si>
  <si>
    <t>Framed Glass and Gallery Matted Wall Art</t>
  </si>
  <si>
    <t>Neutral</t>
  </si>
  <si>
    <t>PP001665</t>
  </si>
  <si>
    <t>Abstract</t>
  </si>
  <si>
    <t>6/2/2021</t>
  </si>
  <si>
    <t>AMAZON,AMAZONDS,AMERSIGNDS,HDDS,HOUZZ,KIRKLANDDS,KOHLDSN,MACY02,OLLIIX,OVERSTOCK01,ROOMECOM,TGTDVS</t>
  </si>
  <si>
    <t>NCWA2047</t>
  </si>
  <si>
    <t>Decorative Accent - Wall Accents</t>
  </si>
  <si>
    <t>7/29/2021</t>
  </si>
  <si>
    <t>8/10/2021</t>
  </si>
  <si>
    <t>CC73-0014</t>
  </si>
  <si>
    <t>Croscill</t>
  </si>
  <si>
    <t>Adana</t>
  </si>
  <si>
    <t>Ultra Soft Turkish Towel</t>
  </si>
  <si>
    <t>9/27/2022</t>
  </si>
  <si>
    <t>DLCROSCILL,JCPENNEY01,KOHLDSN,MACY02,OLLIIX</t>
  </si>
  <si>
    <t>CFSC1011</t>
  </si>
  <si>
    <t>3/17/2023</t>
  </si>
  <si>
    <t>4/9/2024</t>
  </si>
  <si>
    <t>CC73-0008</t>
  </si>
  <si>
    <t>JCPENNEY01,KOHLDSN,MACY02,OLLIIX,OVERSTOCK01</t>
  </si>
  <si>
    <t>CC73-0011</t>
  </si>
  <si>
    <t>Wheat</t>
  </si>
  <si>
    <t>10/13/2023</t>
  </si>
  <si>
    <t>CC73-0012</t>
  </si>
  <si>
    <t>Hand</t>
  </si>
  <si>
    <t>CFSC1013</t>
  </si>
  <si>
    <t>CC73-0006</t>
  </si>
  <si>
    <t>DLCROSCILL,KOHLDSN,MACY02,OLLIIX,OVERSTOCK01</t>
  </si>
  <si>
    <t>5/29/2023</t>
  </si>
  <si>
    <t>ID40-1013</t>
  </si>
  <si>
    <t>WIN</t>
  </si>
  <si>
    <t>Intelligent Design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</si>
  <si>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</si>
  <si>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</si>
  <si>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</si>
  <si>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</si>
  <si>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</si>
  <si>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</si>
  <si>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</si>
  <si>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Aqua</t>
  </si>
  <si>
    <t>PF001672</t>
  </si>
  <si>
    <t>Geometric</t>
  </si>
  <si>
    <t>Total Blackout</t>
  </si>
  <si>
    <t>AMAZON,AMAZONDS,JCPENNEY01,KOHLDSN,TGTDVS</t>
  </si>
  <si>
    <t>ZPCD6011</t>
  </si>
  <si>
    <t>Window</t>
  </si>
  <si>
    <t>11/5/2016</t>
  </si>
  <si>
    <t>11/7/2016</t>
  </si>
  <si>
    <t>MPE10-1165</t>
  </si>
  <si>
    <t>ADUL</t>
  </si>
  <si>
    <t>Comforter (Set)</t>
  </si>
  <si>
    <t>Adele</t>
  </si>
  <si>
    <t>Colette</t>
  </si>
  <si>
    <t>Margot</t>
  </si>
  <si>
    <t>4 Pieces Comforter Set with Decorative Pillows</t>
  </si>
  <si>
    <t>Twin/Twin XL</t>
  </si>
  <si>
    <t>TBD</t>
  </si>
  <si>
    <t>Polyester</t>
  </si>
  <si>
    <t>Floral</t>
  </si>
  <si>
    <t>Vintage/Shabby Chic</t>
  </si>
  <si>
    <t>Farmhouse/Country/Cottage</t>
  </si>
  <si>
    <t>9/4/2025</t>
  </si>
  <si>
    <t>BADI1283</t>
  </si>
  <si>
    <t>MPE10-1166</t>
  </si>
  <si>
    <t>5 Pieces Comforter Set with Decorative Pillows</t>
  </si>
  <si>
    <t>MPE10-1167</t>
  </si>
  <si>
    <t>MPE10-1168</t>
  </si>
  <si>
    <t>Pink</t>
  </si>
  <si>
    <t>MPE10-1169</t>
  </si>
  <si>
    <t>MPE10-1170</t>
  </si>
  <si>
    <t>II151-0114</t>
  </si>
  <si>
    <t>INK+IVY</t>
  </si>
  <si>
    <t>LGT-PENDANTS</t>
  </si>
  <si>
    <t>Pendants</t>
  </si>
  <si>
    <t>Farmhouse Metal Pendant</t>
  </si>
  <si>
    <t>One Size</t>
  </si>
  <si>
    <t>White/Black</t>
  </si>
  <si>
    <t>1/21/2022</t>
  </si>
  <si>
    <t>OLLIIX</t>
  </si>
  <si>
    <t>JLZF1296</t>
  </si>
  <si>
    <t>2/28/2022</t>
  </si>
  <si>
    <t>1/16/2023</t>
  </si>
  <si>
    <t>MP12-7513</t>
  </si>
  <si>
    <t>BLK</t>
  </si>
  <si>
    <t>DUVET&amp;DUVET SET</t>
  </si>
  <si>
    <t>Duvet Mini Set</t>
  </si>
  <si>
    <t>Adelyn</t>
  </si>
  <si>
    <t>Aurora</t>
  </si>
  <si>
    <t>Back Print Brushed Fur Duvet Cover Set</t>
  </si>
  <si>
    <t>PF002183;PP001640</t>
  </si>
  <si>
    <t>Faux Fur</t>
  </si>
  <si>
    <t>8/25/2021</t>
  </si>
  <si>
    <t>DLBRAND,JCPENNEY01,KOHLDSN,MACY02,TGTDVS</t>
  </si>
  <si>
    <t>NCWA2125</t>
  </si>
  <si>
    <t>9/22/2021</t>
  </si>
  <si>
    <t>10/11/2021</t>
  </si>
  <si>
    <t>MP12-7514</t>
  </si>
  <si>
    <t>8/27/2021</t>
  </si>
  <si>
    <t>DLBRAND,HDDS,JCPENNEY01,MACY02,NRTPORT,OLLIIX,OVERSTOCK01,TGTDVS</t>
  </si>
  <si>
    <t>10/4/2021</t>
  </si>
  <si>
    <t>UH10-2527</t>
  </si>
  <si>
    <t>Urban Habitat</t>
  </si>
  <si>
    <t>Comforter Mini Set</t>
  </si>
  <si>
    <t>Adrian</t>
  </si>
  <si>
    <t>Blaire</t>
  </si>
  <si>
    <t>Maren</t>
  </si>
  <si>
    <t>Botanical Cotton Comforter Set</t>
  </si>
  <si>
    <t>PF006182</t>
  </si>
  <si>
    <t>Botanical</t>
  </si>
  <si>
    <t>4/5/2024</t>
  </si>
  <si>
    <t>HDDS,JCPENNEY01,KOHLDSN,MACY02,OLLIIX,OVERSTOCK01,TGTDVS</t>
  </si>
  <si>
    <t>UBHB1274</t>
  </si>
  <si>
    <t>10/7/2024</t>
  </si>
  <si>
    <t>UH12-2529</t>
  </si>
  <si>
    <t>Botanical Cotton Duvet Cover Set</t>
  </si>
  <si>
    <t>JCPENNEY01,MACY02,OVERSTOCK01,TGTDVS</t>
  </si>
  <si>
    <t>UBHB1275</t>
  </si>
  <si>
    <t>UH10-2528</t>
  </si>
  <si>
    <t>JCPENNEY01,KOHLDSN,MACY02,OLLIIX,OVERSTOCK01,TGTDVS</t>
  </si>
  <si>
    <t>11/25/2024</t>
  </si>
  <si>
    <t>5DS73-0236</t>
  </si>
  <si>
    <t>510 Design</t>
  </si>
  <si>
    <t>Aegean</t>
  </si>
  <si>
    <t>100% Turkish Cotton 6 Piece Towel Set</t>
  </si>
  <si>
    <t>PP001568;PF005268</t>
  </si>
  <si>
    <t>11/28/2020</t>
  </si>
  <si>
    <t>BLK01,FINGERHUTDS,HDDS,JCPENNEY01,KIRKLANDDS,KOHLDSN,MACY02,OLLIIX,OVERSTOCK01,TGTDVS</t>
  </si>
  <si>
    <t>NGIN1089</t>
  </si>
  <si>
    <t>12/3/2020</t>
  </si>
  <si>
    <t>3/8/2021</t>
  </si>
  <si>
    <t>5DS73-0234</t>
  </si>
  <si>
    <t>PP001568;PF005266</t>
  </si>
  <si>
    <t>BLK01,FINGERHUTDS,JCPENNEY01,KIRKLANDDS,KOHLDSN,MACY02,OLLIIX,TGTDVS</t>
  </si>
  <si>
    <t>1/28/2021</t>
  </si>
  <si>
    <t>5DS73-0232</t>
  </si>
  <si>
    <t>PP001568;PF005264</t>
  </si>
  <si>
    <t>1/27/2021</t>
  </si>
  <si>
    <t>MT153-0078</t>
  </si>
  <si>
    <t>LGT-TABLE LAMPS</t>
  </si>
  <si>
    <t>Table Task Lamps</t>
  </si>
  <si>
    <t>Aelorian</t>
  </si>
  <si>
    <t>Table Lamp 28"H</t>
  </si>
  <si>
    <t>Antique Brass</t>
  </si>
  <si>
    <t>B-</t>
  </si>
  <si>
    <t>MT Bedford</t>
  </si>
  <si>
    <t>4/10/2024</t>
  </si>
  <si>
    <t>AMAZON,KOHLDSN,OLLIIX,OVERSTOCK01</t>
  </si>
  <si>
    <t>MSTT6267</t>
  </si>
  <si>
    <t>8/25/2024</t>
  </si>
  <si>
    <t>2/7/2025</t>
  </si>
  <si>
    <t>II153-0156</t>
  </si>
  <si>
    <t>Alarid</t>
  </si>
  <si>
    <t>16" Ceramic Table Lamp</t>
  </si>
  <si>
    <t>Cream</t>
  </si>
  <si>
    <t>6/18/2024</t>
  </si>
  <si>
    <t>KIRKLANDDS,KOHLDSN</t>
  </si>
  <si>
    <t>IKIY1196</t>
  </si>
  <si>
    <t>WR51-3922</t>
  </si>
  <si>
    <t>Woolrich</t>
  </si>
  <si>
    <t>BLANKET</t>
  </si>
  <si>
    <t>Blanket</t>
  </si>
  <si>
    <t>Alberta</t>
  </si>
  <si>
    <t>Cotton Blend Blanket</t>
  </si>
  <si>
    <t>Grey Aztec</t>
  </si>
  <si>
    <t>Boho</t>
  </si>
  <si>
    <t>WR51-3923</t>
  </si>
  <si>
    <t>WR51-3924</t>
  </si>
  <si>
    <t>WR50-4088</t>
  </si>
  <si>
    <t>THROW</t>
  </si>
  <si>
    <t>Throw</t>
  </si>
  <si>
    <t>Cotton Blend Throw</t>
  </si>
  <si>
    <t>50x60"</t>
  </si>
  <si>
    <t>WR51-3919</t>
  </si>
  <si>
    <t>Ivory Stripe</t>
  </si>
  <si>
    <t>WR51-3920</t>
  </si>
  <si>
    <t>WR51-3921</t>
  </si>
  <si>
    <t>WR50-4087</t>
  </si>
  <si>
    <t>WR51-3925</t>
  </si>
  <si>
    <t>Neutral Aztec</t>
  </si>
  <si>
    <t>WR51-3926</t>
  </si>
  <si>
    <t>WR51-3927</t>
  </si>
  <si>
    <t>WR50-4089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</si>
  <si>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</si>
  <si>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</si>
  <si>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</si>
  <si>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</si>
  <si>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</si>
  <si>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</si>
  <si>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</si>
  <si>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</si>
  <si>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HDDS,JCPENNEY01,KOHLDSN,NRTPORT,TGTDVS,WALMARTDS</t>
  </si>
  <si>
    <t>EBRD5178</t>
  </si>
  <si>
    <t>9/6/2016</t>
  </si>
  <si>
    <t>FB150-1162</t>
  </si>
  <si>
    <t>Alexis</t>
  </si>
  <si>
    <t>6-Light Metal Chandelier</t>
  </si>
  <si>
    <t>Antique Brass/Black</t>
  </si>
  <si>
    <t>3/4/2022</t>
  </si>
  <si>
    <t>HTN10013</t>
  </si>
  <si>
    <t>5/18/2022</t>
  </si>
  <si>
    <t>2/2/2023</t>
  </si>
  <si>
    <t>MPE10-1054</t>
  </si>
  <si>
    <t>BIAB</t>
  </si>
  <si>
    <t>Jeanie</t>
  </si>
  <si>
    <t>Karissa</t>
  </si>
  <si>
    <t>Comforter Set with Bed Sheets</t>
  </si>
  <si>
    <t>PP001856;PF006281</t>
  </si>
  <si>
    <t>Transitional Modern</t>
  </si>
  <si>
    <t>5/9/2024</t>
  </si>
  <si>
    <t>AMAZON,AMAZONDS,DESINC,KOHLDSN,MACY02,OVERSTOCK01</t>
  </si>
  <si>
    <t>BADI1247</t>
  </si>
  <si>
    <t>8/7/2024</t>
  </si>
  <si>
    <t>10/3/2024</t>
  </si>
  <si>
    <t>TN10-0347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</si>
  <si>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</si>
  <si>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</si>
  <si>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</si>
  <si>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</si>
  <si>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</si>
  <si>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Classic</t>
  </si>
  <si>
    <t>7/17/2018</t>
  </si>
  <si>
    <t>KOHLDSN,MACY02,OLLIIX,TGTDVS</t>
  </si>
  <si>
    <t>SLPH1102</t>
  </si>
  <si>
    <t>8/6/2018</t>
  </si>
  <si>
    <t>2/5/2019</t>
  </si>
  <si>
    <t>II12-554</t>
  </si>
  <si>
    <t>Alpine</t>
  </si>
  <si>
    <t>3 Piece Duvet Cover Mini Set</t>
  </si>
  <si>
    <t>PF001636;PP000371</t>
  </si>
  <si>
    <t>Plain Fabric</t>
  </si>
  <si>
    <t>Mid-Century Modern</t>
  </si>
  <si>
    <t>Casual|Modern/Contemporary</t>
  </si>
  <si>
    <t>AMAZON,JCPENNEY01,KOHLDSN,MACY02,NRTPORT,TGTDVS</t>
  </si>
  <si>
    <t>MCRW7051</t>
  </si>
  <si>
    <t>9/28/2015</t>
  </si>
  <si>
    <t>II12-555</t>
  </si>
  <si>
    <t>KOHLDSN,MACY02,NRTPORT,OVERSTOCK01,TGTDVS</t>
  </si>
  <si>
    <t>10/13/2015</t>
  </si>
  <si>
    <t>II10-785</t>
  </si>
  <si>
    <t>3 Piece Comforter Mini Set</t>
  </si>
  <si>
    <t>Yellow</t>
  </si>
  <si>
    <t>PF001638;PP000371</t>
  </si>
  <si>
    <t>AMAZON,DLBRAND,HDDS,JCPENNEY01,KOHLDSN,MACY02,OLLIIX,OVERSTOCK01,TGTDVS</t>
  </si>
  <si>
    <t>MCRW7050</t>
  </si>
  <si>
    <t>9/28/2016</t>
  </si>
  <si>
    <t>11/3/2016</t>
  </si>
  <si>
    <t>II12-788</t>
  </si>
  <si>
    <t>AMAZON,AMAZONDS,JCPENNEY01,KOHLDSN,MACY02,OLLIIX,TGTDVS</t>
  </si>
  <si>
    <t>MPS115-0261A</t>
  </si>
  <si>
    <t>FUR</t>
  </si>
  <si>
    <t>BED</t>
  </si>
  <si>
    <t>Alston</t>
  </si>
  <si>
    <t>HB:64.5"W X 49.25"H X 2.25"T; FB:64.5" X 35.5"H X 2.25"T</t>
  </si>
  <si>
    <t>MPS115-0261B</t>
  </si>
  <si>
    <t>Rails:81"L X 3"W X 1"T;Support Legs:2"W X 2"D" X 8.75"H</t>
  </si>
  <si>
    <t>WR10-4106</t>
  </si>
  <si>
    <t>Alton</t>
  </si>
  <si>
    <t>Plush to Sherpa Down Alternative Comforter Set</t>
  </si>
  <si>
    <t>Black/Black</t>
  </si>
  <si>
    <t>Berber</t>
  </si>
  <si>
    <t>Rustic/Lodge/Cabin</t>
  </si>
  <si>
    <t>WR10-4107</t>
  </si>
  <si>
    <t>MT100-0184</t>
  </si>
  <si>
    <t>Martha Stewart</t>
  </si>
  <si>
    <t>ACCENT CHAIR</t>
  </si>
  <si>
    <t>Accent Chair</t>
  </si>
  <si>
    <t>Linen/Blue</t>
  </si>
  <si>
    <t>3/25/2025</t>
  </si>
  <si>
    <t>MSTT6494</t>
  </si>
  <si>
    <t>MP10-7684</t>
  </si>
  <si>
    <t>Amara</t>
  </si>
  <si>
    <t>Eve</t>
  </si>
  <si>
    <t>Faux Fur Comforter Set</t>
  </si>
  <si>
    <t>PP001673;PF005564</t>
  </si>
  <si>
    <t>10/28/2021</t>
  </si>
  <si>
    <t>JCPENNEY01,TGTDVS</t>
  </si>
  <si>
    <t>NCWA2181</t>
  </si>
  <si>
    <t>11/3/2021</t>
  </si>
  <si>
    <t>12/8/2021</t>
  </si>
  <si>
    <t>MP116-1291</t>
  </si>
  <si>
    <t>HEADBOARD</t>
  </si>
  <si>
    <t>Headboard</t>
  </si>
  <si>
    <t>Amelia</t>
  </si>
  <si>
    <t>Upholstered Wingback Headboard with Button Tufting &amp; Nailhead Trim</t>
  </si>
  <si>
    <t>Beige Woven</t>
  </si>
  <si>
    <t>MP116-1290</t>
  </si>
  <si>
    <t>Queen/Full</t>
  </si>
  <si>
    <t>MP116-1289</t>
  </si>
  <si>
    <t>Baldwin</t>
  </si>
  <si>
    <t>Janice</t>
  </si>
  <si>
    <t>Black Velvet</t>
  </si>
  <si>
    <t>12/2/2025</t>
  </si>
  <si>
    <t>MP116-1288</t>
  </si>
  <si>
    <t>MP116-1293</t>
  </si>
  <si>
    <t>Dark Grey Woven</t>
  </si>
  <si>
    <t>MP116-1292</t>
  </si>
  <si>
    <t>MT150-0066</t>
  </si>
  <si>
    <t>8-Light Traditional Metal Chandelier</t>
  </si>
  <si>
    <t>Glossy White</t>
  </si>
  <si>
    <t>11/18/2022</t>
  </si>
  <si>
    <t>KOHLDSN</t>
  </si>
  <si>
    <t>MSTT5488</t>
  </si>
  <si>
    <t>11/25/2022</t>
  </si>
  <si>
    <t>SS40-0201</t>
  </si>
  <si>
    <t>SunSmart</t>
  </si>
  <si>
    <t>Loraine</t>
  </si>
  <si>
    <t>Enid</t>
  </si>
  <si>
    <t>Knitted Jacquard Paisley Total Blackout Grommet Top Curtain Panel</t>
  </si>
  <si>
    <t>50x95"</t>
  </si>
  <si>
    <t>PP001613;PF005414</t>
  </si>
  <si>
    <t>Damask</t>
  </si>
  <si>
    <t>4/26/2021</t>
  </si>
  <si>
    <t>AMAZONDS,DESINC,JCPENNEY01,KOHLDSN,OLLIIX,OVERSTOCK01,TGTDVS</t>
  </si>
  <si>
    <t>TDFM1017</t>
  </si>
  <si>
    <t>5/6/2021</t>
  </si>
  <si>
    <t>5/28/2021</t>
  </si>
  <si>
    <t>MP70-8825</t>
  </si>
  <si>
    <t>BATH</t>
  </si>
  <si>
    <t>SHOWER CURTAIN</t>
  </si>
  <si>
    <t>Shower Curtain</t>
  </si>
  <si>
    <t>Amherst</t>
  </si>
  <si>
    <t>Eastridge</t>
  </si>
  <si>
    <t>Salem</t>
  </si>
  <si>
    <t>Faux Silk Shower Curtain</t>
  </si>
  <si>
    <t>72x84"</t>
  </si>
  <si>
    <t>Pieced</t>
  </si>
  <si>
    <t>9/28/2025</t>
  </si>
  <si>
    <t>MP70-8823</t>
  </si>
  <si>
    <t>MP70-8819</t>
  </si>
  <si>
    <t>MP72-5075</t>
  </si>
  <si>
    <t>BATH RUG</t>
  </si>
  <si>
    <t>Bath Rug</t>
  </si>
  <si>
    <t>Cotton Tufted Bath Rug</t>
  </si>
  <si>
    <t>24x60"</t>
  </si>
  <si>
    <t>Color Block</t>
  </si>
  <si>
    <t>Transitional</t>
  </si>
  <si>
    <t>10/18/2017</t>
  </si>
  <si>
    <t>HDDS,JCPENNEY01,KOHLDSN,MACY02,OLLIIX,TGTDVS</t>
  </si>
  <si>
    <t>CHRL8637</t>
  </si>
  <si>
    <t>12/10/2017</t>
  </si>
  <si>
    <t>8/30/2018</t>
  </si>
  <si>
    <t>MP70-8818</t>
  </si>
  <si>
    <t>MP70-8817</t>
  </si>
  <si>
    <t>72x72"</t>
  </si>
  <si>
    <t>MP70-8822</t>
  </si>
  <si>
    <t>Coral</t>
  </si>
  <si>
    <t>MP70-8821</t>
  </si>
  <si>
    <t>Natural</t>
  </si>
  <si>
    <t>MP70-8820</t>
  </si>
  <si>
    <t>MP70-8816</t>
  </si>
  <si>
    <t>Sage Green</t>
  </si>
  <si>
    <t>MP70-8815</t>
  </si>
  <si>
    <t>MP70-8824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</si>
  <si>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</si>
  <si>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</si>
  <si>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</si>
  <si>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</si>
  <si>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</si>
  <si>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</si>
  <si>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</si>
  <si>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PP001985;PF006366</t>
  </si>
  <si>
    <t>8/15/2024</t>
  </si>
  <si>
    <t>KOHLDSN,MACY02,TGTDVS</t>
  </si>
  <si>
    <t>SAI10136</t>
  </si>
  <si>
    <t>10/2/2024</t>
  </si>
  <si>
    <t>7/18/2025</t>
  </si>
  <si>
    <t>SI54-0070</t>
  </si>
  <si>
    <t>Blue Geo</t>
  </si>
  <si>
    <t>PP001985;PF006369</t>
  </si>
  <si>
    <t>9/21/2024</t>
  </si>
  <si>
    <t>BLK01,KOHLDSN,MACY02,TGTDVS</t>
  </si>
  <si>
    <t>10/4/2024</t>
  </si>
  <si>
    <t>12/9/2024</t>
  </si>
  <si>
    <t>SI54-0066</t>
  </si>
  <si>
    <t>Brown</t>
  </si>
  <si>
    <t>PP001985;PF006365</t>
  </si>
  <si>
    <t>9/20/2024</t>
  </si>
  <si>
    <t>HDDS,TGTDVS</t>
  </si>
  <si>
    <t>SI54-0068</t>
  </si>
  <si>
    <t>Brown Geo</t>
  </si>
  <si>
    <t>PP001985;PF006367</t>
  </si>
  <si>
    <t>TGTDVS</t>
  </si>
  <si>
    <t>SI54-0065</t>
  </si>
  <si>
    <t>PP001985;PF006364</t>
  </si>
  <si>
    <t>AMAZON,TGTDVS</t>
  </si>
  <si>
    <t>9/27/2024</t>
  </si>
  <si>
    <t>1/16/2025</t>
  </si>
  <si>
    <t>SI54-0069</t>
  </si>
  <si>
    <t>Grey Geo</t>
  </si>
  <si>
    <t>PP001985;PF006368</t>
  </si>
  <si>
    <t>MACY02,OLLIIX,TGTDVS</t>
  </si>
  <si>
    <t>SI54-0064</t>
  </si>
  <si>
    <t>PP001985;PF006363</t>
  </si>
  <si>
    <t>OLLIIX,OVERSTOCK01,TGTDVS</t>
  </si>
  <si>
    <t>11/7/2024</t>
  </si>
  <si>
    <t>MP40-8747</t>
  </si>
  <si>
    <t>Anaheim</t>
  </si>
  <si>
    <t>Salford</t>
  </si>
  <si>
    <t>Preston</t>
  </si>
  <si>
    <t>Plaid Faux Leather Tab Top Curtain Panel with Fleece Lining</t>
  </si>
  <si>
    <t>Plaid</t>
  </si>
  <si>
    <t>MP40-8685</t>
  </si>
  <si>
    <t>50x108"</t>
  </si>
  <si>
    <t>2/20/2025</t>
  </si>
  <si>
    <t>AMAZON</t>
  </si>
  <si>
    <t>NCWA1710</t>
  </si>
  <si>
    <t>6/9/2025</t>
  </si>
  <si>
    <t>MP40-8748</t>
  </si>
  <si>
    <t>MP40-8740</t>
  </si>
  <si>
    <t>Plaid Rod Pocket and Back Tab Curtain Panel with Fleece Lining</t>
  </si>
  <si>
    <t>Denim Blue</t>
  </si>
  <si>
    <t>5/21/2025</t>
  </si>
  <si>
    <t>NCWA1714</t>
  </si>
  <si>
    <t>9/1/2025</t>
  </si>
  <si>
    <t>MP40-8743</t>
  </si>
  <si>
    <t>50x63"</t>
  </si>
  <si>
    <t>Green</t>
  </si>
  <si>
    <t>MP40-8744</t>
  </si>
  <si>
    <t>MP40-8276</t>
  </si>
  <si>
    <t>PP001397;PF006072</t>
  </si>
  <si>
    <t>Light Filtering</t>
  </si>
  <si>
    <t>10/12/2023</t>
  </si>
  <si>
    <t>AMAZON,JCPENNEY01,TGTDVS</t>
  </si>
  <si>
    <t>10/20/2023</t>
  </si>
  <si>
    <t>11/27/2023</t>
  </si>
  <si>
    <t>MP40-8745</t>
  </si>
  <si>
    <t>MP40-8683</t>
  </si>
  <si>
    <t>6/4/2025</t>
  </si>
  <si>
    <t>MP40-8746</t>
  </si>
  <si>
    <t>CC51-0024</t>
  </si>
  <si>
    <t>Andaz</t>
  </si>
  <si>
    <t>Solid Cotton Blanket</t>
  </si>
  <si>
    <t>AMAZON,JCPENNEY01,KOHLDSN,MACY02,OVERSTOCK01</t>
  </si>
  <si>
    <t>CFSC1002</t>
  </si>
  <si>
    <t>3/7/2023</t>
  </si>
  <si>
    <t>8/31/2023</t>
  </si>
  <si>
    <t>CC51-0023</t>
  </si>
  <si>
    <t>AMAZON,KOHLDSN,MACY02,OVERSTOCK01</t>
  </si>
  <si>
    <t>5/15/2023</t>
  </si>
  <si>
    <t>MP40-1297</t>
  </si>
  <si>
    <t>Andora</t>
  </si>
  <si>
    <t>Eliza</t>
  </si>
  <si>
    <t>Aden</t>
  </si>
  <si>
    <t>Curtain Panel</t>
  </si>
  <si>
    <t>PF003823</t>
  </si>
  <si>
    <t>ASHFURNDS,JCPENNEY01,KOHLDSN,TGTDVS,WALMARTDS</t>
  </si>
  <si>
    <t>MCRR6024</t>
  </si>
  <si>
    <t>2/18/2015</t>
  </si>
  <si>
    <t>MP40-1296</t>
  </si>
  <si>
    <t>PF003962</t>
  </si>
  <si>
    <t>DESINC,HDDS,JCPENNEY01,KOHLDSN</t>
  </si>
  <si>
    <t>2/17/2015</t>
  </si>
  <si>
    <t>MP40-1298</t>
  </si>
  <si>
    <t>AMAZON,AMAZONDS,ASHFURNDS,DESINC,HDDS,JCPENNEY01,KOHLDSN</t>
  </si>
  <si>
    <t>2/23/2015</t>
  </si>
  <si>
    <t>MP40-1782</t>
  </si>
  <si>
    <t>PF003840</t>
  </si>
  <si>
    <t>AMAZON,ASHFURNDS,DESINC,DLBRAND,HDDS,JCPENNEY01,KOHLDSN,OLLIIX</t>
  </si>
  <si>
    <t>9/18/2015</t>
  </si>
  <si>
    <t>MP40-718</t>
  </si>
  <si>
    <t>B+</t>
  </si>
  <si>
    <t>PF003816</t>
  </si>
  <si>
    <t>AMAZON,ASHFURNDS,DESINC,JCPENNEY01,KOHLDSN,OLLIIX,TGTDVS,WALMARTDS</t>
  </si>
  <si>
    <t>1/8/2015</t>
  </si>
  <si>
    <t>MP70-8811</t>
  </si>
  <si>
    <t>Anna</t>
  </si>
  <si>
    <t>Lydia</t>
  </si>
  <si>
    <t>Angie</t>
  </si>
  <si>
    <t>Sheer Shower Curtain</t>
  </si>
  <si>
    <t>MP70-8810</t>
  </si>
  <si>
    <t>9/23/2025</t>
  </si>
  <si>
    <t>MP70-8809</t>
  </si>
  <si>
    <t>MP70-8808</t>
  </si>
  <si>
    <t>HH10-1995</t>
  </si>
  <si>
    <t>Anslee</t>
  </si>
  <si>
    <t>3 Piece Cotton Yarn Dyed Comforter Set</t>
  </si>
  <si>
    <t>Jacquard Fabric</t>
  </si>
  <si>
    <t>Coastal/Nautical</t>
  </si>
  <si>
    <t>HH12-1999</t>
  </si>
  <si>
    <t>Duvet&amp;Duvet Set</t>
  </si>
  <si>
    <t>3 Piece Cotton Yarn Dyed Duvet Cover Set</t>
  </si>
  <si>
    <t>HH10-1996</t>
  </si>
  <si>
    <t>HH12-2000</t>
  </si>
  <si>
    <t>HH10-1993</t>
  </si>
  <si>
    <t>HH12-1997</t>
  </si>
  <si>
    <t>HH10-1994</t>
  </si>
  <si>
    <t>HH12-1998</t>
  </si>
  <si>
    <t>II153-0159</t>
  </si>
  <si>
    <t>Aquaviva</t>
  </si>
  <si>
    <t xml:space="preserve">Aquaviva </t>
  </si>
  <si>
    <t>Confetti Glass Table Lamp</t>
  </si>
  <si>
    <t>Artisan</t>
  </si>
  <si>
    <t>IKIY1198</t>
  </si>
  <si>
    <t>MP70-8632</t>
  </si>
  <si>
    <t>Arbor Waffle</t>
  </si>
  <si>
    <t>108x72"</t>
  </si>
  <si>
    <t>12/19/2024</t>
  </si>
  <si>
    <t>NCWA2744</t>
  </si>
  <si>
    <t>1/2/2025</t>
  </si>
  <si>
    <t>3/4/2025</t>
  </si>
  <si>
    <t>MP70-8630</t>
  </si>
  <si>
    <t>36x72''</t>
  </si>
  <si>
    <t>12/11/2024</t>
  </si>
  <si>
    <t>2/14/2025</t>
  </si>
  <si>
    <t>MP70-8625</t>
  </si>
  <si>
    <t>3/20/2025</t>
  </si>
  <si>
    <t>BASI50-0415</t>
  </si>
  <si>
    <t>Filled Throw</t>
  </si>
  <si>
    <t>Arctic</t>
  </si>
  <si>
    <t>Polar</t>
  </si>
  <si>
    <t>Ultra Plush Down Alternative Throw</t>
  </si>
  <si>
    <t>Chocolate</t>
  </si>
  <si>
    <t>PF002121;PP000376</t>
  </si>
  <si>
    <t>BLK01,JCPENNEY01,KOHLDSN,MACY02,OLLIIX,OVERSTOCK01,TGTDVS</t>
  </si>
  <si>
    <t>ALCT8424</t>
  </si>
  <si>
    <t>8/29/2016</t>
  </si>
  <si>
    <t>9/14/2016</t>
  </si>
  <si>
    <t>BASI50-0414</t>
  </si>
  <si>
    <t>PF002120;PP000376</t>
  </si>
  <si>
    <t>4/15/2017</t>
  </si>
  <si>
    <t>JCPENNEY01,KOHLDSN,MACY02,OLLIIX,TGTDVS,WALMARTDS</t>
  </si>
  <si>
    <t>9/13/2016</t>
  </si>
  <si>
    <t>BASI50-0413</t>
  </si>
  <si>
    <t>4/8/2017</t>
  </si>
  <si>
    <t>JCPENNEY01,KOHLDSN,MACY02,OLLIIX,TGTDVS</t>
  </si>
  <si>
    <t>9/2/2016</t>
  </si>
  <si>
    <t>AM10-0079</t>
  </si>
  <si>
    <t>Aria</t>
  </si>
  <si>
    <t>Milan</t>
  </si>
  <si>
    <t>Senia</t>
  </si>
  <si>
    <t>Floral Print Reversible Comforter Set</t>
  </si>
  <si>
    <t>PP001924;PF006144</t>
  </si>
  <si>
    <t>Farm House</t>
  </si>
  <si>
    <t>9/29/2023</t>
  </si>
  <si>
    <t>DESINC,HDDS,JCPENNEY01,KOHLDSN,MACY02,OVERSTOCK01,TGTDVS</t>
  </si>
  <si>
    <t>NGIN1143</t>
  </si>
  <si>
    <t>10/26/2023</t>
  </si>
  <si>
    <t>1/18/2024</t>
  </si>
  <si>
    <t>II151-0136</t>
  </si>
  <si>
    <t>Geometric Bamboo Pendant</t>
  </si>
  <si>
    <t>Farm House|Transitional</t>
  </si>
  <si>
    <t>10/14/2022</t>
  </si>
  <si>
    <t>AMAZON,ZOLA</t>
  </si>
  <si>
    <t>IKIY1090</t>
  </si>
  <si>
    <t>10/25/2022</t>
  </si>
  <si>
    <t>11/6/2024</t>
  </si>
  <si>
    <t>AM10-0077</t>
  </si>
  <si>
    <t>Floral Print Revesible Comforter Set</t>
  </si>
  <si>
    <t>PP001924;PF006379</t>
  </si>
  <si>
    <t>AMAZON,BLK01,DESINC,HDDS,HHGLOBALTTS,KOHLDSN,MACY02,NRTPORT,OVERSTOCK01,TGTDVS</t>
  </si>
  <si>
    <t>5/16/2024</t>
  </si>
  <si>
    <t>MP70-8596</t>
  </si>
  <si>
    <t>Ariana Ombre Waffle</t>
  </si>
  <si>
    <t>72x78"</t>
  </si>
  <si>
    <t>11/26/2024</t>
  </si>
  <si>
    <t>AMAZONDS</t>
  </si>
  <si>
    <t>NCWA2735</t>
  </si>
  <si>
    <t>2/18/2025</t>
  </si>
  <si>
    <t>CH10-011</t>
  </si>
  <si>
    <t>Chapel Hill</t>
  </si>
  <si>
    <t>Arlo</t>
  </si>
  <si>
    <t>Oversized Comforter Set</t>
  </si>
  <si>
    <t>PF006290</t>
  </si>
  <si>
    <t>7/16/2024</t>
  </si>
  <si>
    <t>CAPQ1020</t>
  </si>
  <si>
    <t>1/13/2025</t>
  </si>
  <si>
    <t>MP10-6012</t>
  </si>
  <si>
    <t>Arya</t>
  </si>
  <si>
    <t>Nova</t>
  </si>
  <si>
    <t>Alivia</t>
  </si>
  <si>
    <t>Embroidered Medallion Faux Fur Ultra Plush Comforter Mini Set</t>
  </si>
  <si>
    <t>PF004440</t>
  </si>
  <si>
    <t>Medallion</t>
  </si>
  <si>
    <t>BOHO</t>
  </si>
  <si>
    <t>9/12/2018</t>
  </si>
  <si>
    <t>AMAZON,KOHLDSN,MACY02,OLLIIX,OVERSTOCK01,TGTDVS,WALMARTDS</t>
  </si>
  <si>
    <t>OPHL2713</t>
  </si>
  <si>
    <t>9/25/2018</t>
  </si>
  <si>
    <t>10/10/2018</t>
  </si>
  <si>
    <t>MP12-7517</t>
  </si>
  <si>
    <t>Embroidered Medallion Faux Fur Ultra Plush Duvet Cover Set</t>
  </si>
  <si>
    <t>PF002189;PP001639</t>
  </si>
  <si>
    <t>6/26/2021</t>
  </si>
  <si>
    <t>DLBRAND,MACY02,OVERSTOCK01,TGTDVS,ZOLA</t>
  </si>
  <si>
    <t>NCWA2063</t>
  </si>
  <si>
    <t>8/11/2021</t>
  </si>
  <si>
    <t>10/1/2021</t>
  </si>
  <si>
    <t>II72-1359</t>
  </si>
  <si>
    <t>Asher</t>
  </si>
  <si>
    <t>22x58"</t>
  </si>
  <si>
    <t>II72-1358</t>
  </si>
  <si>
    <t>20x32"</t>
  </si>
  <si>
    <t>II72-1357</t>
  </si>
  <si>
    <t>II72-1356</t>
  </si>
  <si>
    <t>MP103-1245</t>
  </si>
  <si>
    <t>MOTION</t>
  </si>
  <si>
    <t>Swivel</t>
  </si>
  <si>
    <t>Ashton</t>
  </si>
  <si>
    <t>Upholstered Swivel Chair with Wood Base</t>
  </si>
  <si>
    <t>3/13/2024</t>
  </si>
  <si>
    <t>KIRKLANDDS,OLLIIX,ROOMECOM</t>
  </si>
  <si>
    <t>NCWA2713</t>
  </si>
  <si>
    <t>Accent Furniture</t>
  </si>
  <si>
    <t>8/24/2024</t>
  </si>
  <si>
    <t>12/2/2024</t>
  </si>
  <si>
    <t>MZ12-509</t>
  </si>
  <si>
    <t>Garrett</t>
  </si>
  <si>
    <t>Cody</t>
  </si>
  <si>
    <t>Duvet Cover Set</t>
  </si>
  <si>
    <t>Khaki/Navy</t>
  </si>
  <si>
    <t>PF000057</t>
  </si>
  <si>
    <t>AMAZON,DESINC,JCPENNEY01,MACY02,OLLIIX,TGTDVS</t>
  </si>
  <si>
    <t>TRNT2362</t>
  </si>
  <si>
    <t>11/19/2016</t>
  </si>
  <si>
    <t>11/21/2016</t>
  </si>
  <si>
    <t>MP103-1246</t>
  </si>
  <si>
    <t>DLBRAND,KIRKLANDDS,OLLIIX,OVERSTOCK01</t>
  </si>
  <si>
    <t>MP103-0908</t>
  </si>
  <si>
    <t>Manual Recliner</t>
  </si>
  <si>
    <t>Athena</t>
  </si>
  <si>
    <t>Jimmy</t>
  </si>
  <si>
    <t>Cranberry</t>
  </si>
  <si>
    <t>Push Back Recliner</t>
  </si>
  <si>
    <t>1/7/2020</t>
  </si>
  <si>
    <t>ASHFURNDS,HDDS,KOHLDSN,MACY02F,ROOMECOM</t>
  </si>
  <si>
    <t>NCWA1795</t>
  </si>
  <si>
    <t>Upholstery</t>
  </si>
  <si>
    <t>1/14/2020</t>
  </si>
  <si>
    <t>3/12/2020</t>
  </si>
  <si>
    <t>MP13-8806</t>
  </si>
  <si>
    <t>COVERLET&amp;BEDSPR</t>
  </si>
  <si>
    <t>Coverlet &amp; Bedspread</t>
  </si>
  <si>
    <t>Attingham</t>
  </si>
  <si>
    <t>Danville</t>
  </si>
  <si>
    <t>Longmont</t>
  </si>
  <si>
    <t>7 Piece Quilt Set with Euro Shams and Throw Pillows</t>
  </si>
  <si>
    <t>Hotel</t>
  </si>
  <si>
    <t>8/16/2025</t>
  </si>
  <si>
    <t>MP13-8807</t>
  </si>
  <si>
    <t>OVERSTOCK01</t>
  </si>
  <si>
    <t>MP13-8804</t>
  </si>
  <si>
    <t>Red</t>
  </si>
  <si>
    <t>MP13-8805</t>
  </si>
  <si>
    <t>MP40-2679</t>
  </si>
  <si>
    <t>Aubrey</t>
  </si>
  <si>
    <t>Whitman</t>
  </si>
  <si>
    <t>Charlotte</t>
  </si>
  <si>
    <t>Jacquard Curtain Panel Pair</t>
  </si>
  <si>
    <t>Blue/Brown</t>
  </si>
  <si>
    <t>PF003389;PP000381</t>
  </si>
  <si>
    <t>Paisley</t>
  </si>
  <si>
    <t>AMAZON,DESINC,HDDS,KOHLDSN,TGTDVS</t>
  </si>
  <si>
    <t>ALCT7364</t>
  </si>
  <si>
    <t>8/25/2016</t>
  </si>
  <si>
    <t>MP40-2713</t>
  </si>
  <si>
    <t>Burgundy</t>
  </si>
  <si>
    <t>PF003393;PP000381</t>
  </si>
  <si>
    <t>AMAZON,ASHFURNDS,BLK01,DESINC,JCPENNEY01,TGTDVS</t>
  </si>
  <si>
    <t>10/24/2016</t>
  </si>
  <si>
    <t>5DS104-0047</t>
  </si>
  <si>
    <t>BAR STOOL</t>
  </si>
  <si>
    <t>Counter Stool</t>
  </si>
  <si>
    <t>Upholstered Counter Stool with Nailhead Trim Set of 2</t>
  </si>
  <si>
    <t>7/27/2024</t>
  </si>
  <si>
    <t>KOHLDSN,ROOMECOM</t>
  </si>
  <si>
    <t>NGIN1214</t>
  </si>
  <si>
    <t>Furniture -Kitchen and Dining</t>
  </si>
  <si>
    <t>8/31/2024</t>
  </si>
  <si>
    <t>MP154-0200</t>
  </si>
  <si>
    <t>LGT-FLOOR LAMPS</t>
  </si>
  <si>
    <t>Floor Lamps</t>
  </si>
  <si>
    <t>Auburn</t>
  </si>
  <si>
    <t>Arched Floor Lamp with Marble Base</t>
  </si>
  <si>
    <t>10/14/2019</t>
  </si>
  <si>
    <t>AMAZONDS,OLLIIX,OVERSTOCK01,ROOMECOM,TGTDVS,ZOLA</t>
  </si>
  <si>
    <t>NCWA1749</t>
  </si>
  <si>
    <t>12/12/2019</t>
  </si>
  <si>
    <t>1/21/2020</t>
  </si>
  <si>
    <t>FB151-1188</t>
  </si>
  <si>
    <t>Bell Shaped Hanging Glass Pendant Light</t>
  </si>
  <si>
    <t>Dia.9"</t>
  </si>
  <si>
    <t>Gold/Amber</t>
  </si>
  <si>
    <t>AMAZONDS,KOHLDSN,OLLIIX,OVERSTOCK01</t>
  </si>
  <si>
    <t>WRSE1539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</si>
  <si>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</si>
  <si>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</si>
  <si>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</si>
  <si>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</si>
  <si>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</si>
  <si>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</si>
  <si>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</si>
  <si>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</si>
  <si>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AMAZONDS,AMERSIGNDS,HDDS,LAMPDS,MACY02F,OLLIIX</t>
  </si>
  <si>
    <t>ALTH8282</t>
  </si>
  <si>
    <t>8/8/2019</t>
  </si>
  <si>
    <t>8/16/2019</t>
  </si>
  <si>
    <t>MP95F-0359</t>
  </si>
  <si>
    <t>DEC. MIRROR</t>
  </si>
  <si>
    <t>Decor Mirror</t>
  </si>
  <si>
    <t>Aurelia</t>
  </si>
  <si>
    <t>Rounded Rectangle Fluted Wall Mirror</t>
  </si>
  <si>
    <t>5/28/2024</t>
  </si>
  <si>
    <t>HDDS,JCPENNEY01,OLLIIX,TGTDVS</t>
  </si>
  <si>
    <t>NCWA2701</t>
  </si>
  <si>
    <t>7/28/2024</t>
  </si>
  <si>
    <t>10/8/2024</t>
  </si>
  <si>
    <t>CH103-0001</t>
  </si>
  <si>
    <t>FUO</t>
  </si>
  <si>
    <t>Recliner</t>
  </si>
  <si>
    <t>Ava</t>
  </si>
  <si>
    <t>Power Modern Recliner</t>
  </si>
  <si>
    <t>ORT</t>
  </si>
  <si>
    <t>4/17/2024</t>
  </si>
  <si>
    <t>CAPQ1019</t>
  </si>
  <si>
    <t>9/10/2024</t>
  </si>
  <si>
    <t>10/25/2024</t>
  </si>
  <si>
    <t>CH30-0027</t>
  </si>
  <si>
    <t>NORMAL PILLOW</t>
  </si>
  <si>
    <t>Other Pillows</t>
  </si>
  <si>
    <t>Solid Square Pillow</t>
  </si>
  <si>
    <t>20x20"</t>
  </si>
  <si>
    <t>Dark Taupe</t>
  </si>
  <si>
    <t>CAPQ1035</t>
  </si>
  <si>
    <t>CH30-0028</t>
  </si>
  <si>
    <t>Light Grey</t>
  </si>
  <si>
    <t>CH103-0042</t>
  </si>
  <si>
    <t>MP40-3596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</si>
  <si>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</si>
  <si>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</si>
  <si>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</si>
  <si>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</si>
  <si>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</si>
  <si>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</si>
  <si>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</si>
  <si>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AMAZON,AMAZONDS,JCPENNEY01,TGTDVS</t>
  </si>
  <si>
    <t>CHLH5226</t>
  </si>
  <si>
    <t>8/15/2016</t>
  </si>
  <si>
    <t>10/31/2016</t>
  </si>
  <si>
    <t>CCL40-0047</t>
  </si>
  <si>
    <t>Croscill Classics</t>
  </si>
  <si>
    <t>Avignon</t>
  </si>
  <si>
    <t>Pleat Curtain Panel with Tieback (Single)</t>
  </si>
  <si>
    <t>26x84"</t>
  </si>
  <si>
    <t>11/14/2022</t>
  </si>
  <si>
    <t>AMAZONDS,DLCROSCILL,JCPENNEY01,OLLIIX,OVERSTOCK01</t>
  </si>
  <si>
    <t>CKSC1011</t>
  </si>
  <si>
    <t>3/31/2023</t>
  </si>
  <si>
    <t>4/12/2023</t>
  </si>
  <si>
    <t>CCL40-0048</t>
  </si>
  <si>
    <t>26x96"</t>
  </si>
  <si>
    <t>DLCROSCILL,OLLIIX,OVERSTOCK01</t>
  </si>
  <si>
    <t>5/11/2023</t>
  </si>
  <si>
    <t>CCL40-0051</t>
  </si>
  <si>
    <t>Silver</t>
  </si>
  <si>
    <t>JCPENNEY01,OLLIIX</t>
  </si>
  <si>
    <t>3/30/2023</t>
  </si>
  <si>
    <t>8/14/2023</t>
  </si>
  <si>
    <t>CCL40-0042</t>
  </si>
  <si>
    <t>JCPENNEY01,KOHLDSN</t>
  </si>
  <si>
    <t>7/2/2024</t>
  </si>
  <si>
    <t>FPF20-0532</t>
  </si>
  <si>
    <t>Avila</t>
  </si>
  <si>
    <t>Hayes</t>
  </si>
  <si>
    <t>Saffron</t>
  </si>
  <si>
    <t>Tufted Back Counter Stool</t>
  </si>
  <si>
    <t>PF000802;PP000092</t>
  </si>
  <si>
    <t>AMAZON,KIRKLANDDS,ROOMECOM</t>
  </si>
  <si>
    <t>LTRN4744</t>
  </si>
  <si>
    <t>AM10-0379</t>
  </si>
  <si>
    <t>Avril</t>
  </si>
  <si>
    <t>Nami</t>
  </si>
  <si>
    <t>Ombak</t>
  </si>
  <si>
    <t>Fluffy Ribbed Plush Comforter Set</t>
  </si>
  <si>
    <t>Blush Ombre</t>
  </si>
  <si>
    <t>Cottage/Country</t>
  </si>
  <si>
    <t>9/5/2024</t>
  </si>
  <si>
    <t>NGIN1204</t>
  </si>
  <si>
    <t>9/22/2024</t>
  </si>
  <si>
    <t>10/18/2024</t>
  </si>
  <si>
    <t>AM10-0380</t>
  </si>
  <si>
    <t>Grey Ombre</t>
  </si>
  <si>
    <t>AMAZONDS,BLK01,JCPENNEY01,KOHLDSN,MACY02,NRTPORT,OVERSTOCK01,TGTDVS</t>
  </si>
  <si>
    <t>AM10-0274</t>
  </si>
  <si>
    <t>PP001997;PF006412</t>
  </si>
  <si>
    <t>6/20/2024</t>
  </si>
  <si>
    <t>AMAZONDS,BLK01,JCPENNEY01,KIRKLANDDS,KOHLDSN,MACY02,NRTPORT</t>
  </si>
  <si>
    <t>8/22/2024</t>
  </si>
  <si>
    <t>9/25/2024</t>
  </si>
  <si>
    <t>AM10-0535</t>
  </si>
  <si>
    <t>Bailey</t>
  </si>
  <si>
    <t>Darby</t>
  </si>
  <si>
    <t>Niro/Malani</t>
  </si>
  <si>
    <t>Diamond Pucker Woven Comforter Set</t>
  </si>
  <si>
    <t>2/27/2025</t>
  </si>
  <si>
    <t>AMAZON,MACY02</t>
  </si>
  <si>
    <t>NGIN1244</t>
  </si>
  <si>
    <t>3/10/2025</t>
  </si>
  <si>
    <t>AM10-0537</t>
  </si>
  <si>
    <t>2/28/2025</t>
  </si>
  <si>
    <t>AMAZON,AMAZONDS,BEALLSDS,KOHLDSN</t>
  </si>
  <si>
    <t>7/21/2025</t>
  </si>
  <si>
    <t>AM10-0161</t>
  </si>
  <si>
    <t>PP001966;PF006263</t>
  </si>
  <si>
    <t>AMAZONDS,KOHLDSN,MACY02</t>
  </si>
  <si>
    <t>AM10-0162</t>
  </si>
  <si>
    <t>3/17/2025</t>
  </si>
  <si>
    <t>AM10-0163</t>
  </si>
  <si>
    <t>3/24/2025</t>
  </si>
  <si>
    <t>AM10-0164</t>
  </si>
  <si>
    <t>PP001966;PF006264</t>
  </si>
  <si>
    <t>AMAZON,HDDS,KOHLDSN,MACY02,OVERSTOCK01</t>
  </si>
  <si>
    <t>AM10-0166</t>
  </si>
  <si>
    <t>KOHLDSN,OVERSTOCK01</t>
  </si>
  <si>
    <t>4/24/2025</t>
  </si>
  <si>
    <t>AM10-0532</t>
  </si>
  <si>
    <t>AM10-0534</t>
  </si>
  <si>
    <t>HDDS,KOHLDSN,MACY02,OLLIIX</t>
  </si>
  <si>
    <t>AM10-0158</t>
  </si>
  <si>
    <t>PP001966;PF006262</t>
  </si>
  <si>
    <t>AM10-0159</t>
  </si>
  <si>
    <t>AMAZON,KOHLDSN,MACY02,OLLIIX</t>
  </si>
  <si>
    <t>4/29/2025</t>
  </si>
  <si>
    <t>AM10-0160</t>
  </si>
  <si>
    <t>KOHLDSN,MACY02,OLLIIX,OVERSTOCK01</t>
  </si>
  <si>
    <t>6/10/2025</t>
  </si>
  <si>
    <t>AM51-0514</t>
  </si>
  <si>
    <t>Bamboo Cotton</t>
  </si>
  <si>
    <t>Rayon from Bamboo Cotton Blanket</t>
  </si>
  <si>
    <t>4/1/2025</t>
  </si>
  <si>
    <t>NGIN1247</t>
  </si>
  <si>
    <t>6/6/2025</t>
  </si>
  <si>
    <t>AM51-0515</t>
  </si>
  <si>
    <t>2/1/2025</t>
  </si>
  <si>
    <t>KOHLDSN,MACY02,NRTPORT,OVERSTOCK01</t>
  </si>
  <si>
    <t>4/7/2025</t>
  </si>
  <si>
    <t>AM51-0516</t>
  </si>
  <si>
    <t>11/9/2025</t>
  </si>
  <si>
    <t>JCPENNEY01,KOHLDSN,MACY02,NRTPORT</t>
  </si>
  <si>
    <t>AM51-0517</t>
  </si>
  <si>
    <t>7/7/2025</t>
  </si>
  <si>
    <t>AM51-0518</t>
  </si>
  <si>
    <t>DLBRAND,HHGLOBALTTS,KOHLDSN,MACY02,NRTPORT</t>
  </si>
  <si>
    <t>7/16/2025</t>
  </si>
  <si>
    <t>AM51-0520</t>
  </si>
  <si>
    <t>AM51-0529</t>
  </si>
  <si>
    <t>Light Blue</t>
  </si>
  <si>
    <t>6/23/2025</t>
  </si>
  <si>
    <t>AM51-0523</t>
  </si>
  <si>
    <t>DLBRAND,KOHLDSN,MACY02,NRTPORT</t>
  </si>
  <si>
    <t>5/16/2025</t>
  </si>
  <si>
    <t>AM51-0524</t>
  </si>
  <si>
    <t>6/3/2025</t>
  </si>
  <si>
    <t>AM51-0526</t>
  </si>
  <si>
    <t>HDDS,JCPENNEY01,KOHLDSN,MACY02,OVERSTOCK01</t>
  </si>
  <si>
    <t>AM51-0511</t>
  </si>
  <si>
    <t>II30-998</t>
  </si>
  <si>
    <t>Bea</t>
  </si>
  <si>
    <t>Embroidered Cotton Oblong Pillow with Tassels</t>
  </si>
  <si>
    <t>Oblong</t>
  </si>
  <si>
    <t>Global Inspired</t>
  </si>
  <si>
    <t>Casual|Farm House</t>
  </si>
  <si>
    <t>1/6/2018</t>
  </si>
  <si>
    <t>AMAZON,BLK01,DLBRAND,JCPENNEY01,KOHLDSN,MACY02,OLLIIX,TGTDVS</t>
  </si>
  <si>
    <t>UNRS6428</t>
  </si>
  <si>
    <t>1/18/2018</t>
  </si>
  <si>
    <t>2/8/2018</t>
  </si>
  <si>
    <t>ID95C-0059</t>
  </si>
  <si>
    <t>Canvas</t>
  </si>
  <si>
    <t>Beach Dogs</t>
  </si>
  <si>
    <t>Chihuahua Canvas Wall Art</t>
  </si>
  <si>
    <t>Chihuahua/Blue Multi</t>
  </si>
  <si>
    <t>Animal</t>
  </si>
  <si>
    <t>10/7/2023</t>
  </si>
  <si>
    <t>JCPENNEY01,KOHLDSN,MACY02,OLLIIX</t>
  </si>
  <si>
    <t>JLZL1290</t>
  </si>
  <si>
    <t>10/16/2023</t>
  </si>
  <si>
    <t>ID95C-0054</t>
  </si>
  <si>
    <t>Corgi Canvas Wall Art</t>
  </si>
  <si>
    <t>Corgi/Blue Multi</t>
  </si>
  <si>
    <t>10/6/2023</t>
  </si>
  <si>
    <t>AMAZON,JCPENNEY01,KOHLDSN,MACY02,OLLIIX,TGTDVS</t>
  </si>
  <si>
    <t>JLZL1295</t>
  </si>
  <si>
    <t>5/13/2024</t>
  </si>
  <si>
    <t>ID95C-0058</t>
  </si>
  <si>
    <t>Golden Retriever Canvas Wall Art</t>
  </si>
  <si>
    <t>Golden Retriever/Blue Multi</t>
  </si>
  <si>
    <t>JLZL1297</t>
  </si>
  <si>
    <t>5/20/2024</t>
  </si>
  <si>
    <t>ID95C-0057</t>
  </si>
  <si>
    <t>Pomeranian Canvas Wall Art</t>
  </si>
  <si>
    <t>Pomeranian/Blue Multi</t>
  </si>
  <si>
    <t>JLZL1288</t>
  </si>
  <si>
    <t>2/21/2024</t>
  </si>
  <si>
    <t>MP40-7494</t>
  </si>
  <si>
    <t>Beals</t>
  </si>
  <si>
    <t>Barnet</t>
  </si>
  <si>
    <t>Bayer</t>
  </si>
  <si>
    <t>Faux Linen Tab Top Fleece Lined Curtain Panel</t>
  </si>
  <si>
    <t>PP001631;PF005475</t>
  </si>
  <si>
    <t>7/10/2021</t>
  </si>
  <si>
    <t>AMAZON,BLK01,JCPENNEY01,KOHLDSN,OVERSTOCK01</t>
  </si>
  <si>
    <t>NCWA2118</t>
  </si>
  <si>
    <t>8/13/2021</t>
  </si>
  <si>
    <t>11/15/2021</t>
  </si>
  <si>
    <t>MPS115-0345</t>
  </si>
  <si>
    <t>Bed</t>
  </si>
  <si>
    <t>Beckett</t>
  </si>
  <si>
    <t>Turned Wood Spindle Bed</t>
  </si>
  <si>
    <t>Antique Cream</t>
  </si>
  <si>
    <t>Farmhouse</t>
  </si>
  <si>
    <t>MPS115-0346</t>
  </si>
  <si>
    <t>Morocco Brown</t>
  </si>
  <si>
    <t>BASI10-0314</t>
  </si>
  <si>
    <t>Protector</t>
  </si>
  <si>
    <t>Bed Guardian</t>
  </si>
  <si>
    <t>3M Scotchgard Comforter Protector</t>
  </si>
  <si>
    <t>PF002095</t>
  </si>
  <si>
    <t>AMAZON,KOHLDSN,MACY02,OLLIIX,TGTDVS,WALMARTDS</t>
  </si>
  <si>
    <t>ANEW1114</t>
  </si>
  <si>
    <t>11/30/2015</t>
  </si>
  <si>
    <t>MP104-1123</t>
  </si>
  <si>
    <t>Belfast</t>
  </si>
  <si>
    <t>Nomad</t>
  </si>
  <si>
    <t>Westly</t>
  </si>
  <si>
    <t>12/17/2021</t>
  </si>
  <si>
    <t>DBYC3660</t>
  </si>
  <si>
    <t>3/14/2022</t>
  </si>
  <si>
    <t>MP10-8405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</si>
  <si>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</si>
  <si>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</si>
  <si>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</si>
  <si>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</si>
  <si>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</si>
  <si>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</si>
  <si>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BLK01,JCPENNEY01,KOHLDSN,MACY02,OLLIIX</t>
  </si>
  <si>
    <t>NCWA2700</t>
  </si>
  <si>
    <t>11/5/2024</t>
  </si>
  <si>
    <t>MP13-8782</t>
  </si>
  <si>
    <t>Bedspread</t>
  </si>
  <si>
    <t>Bellagio</t>
  </si>
  <si>
    <t>Venetian</t>
  </si>
  <si>
    <t>Mirage</t>
  </si>
  <si>
    <t>5 Piece Reversible Jacquard Bedspread Set</t>
  </si>
  <si>
    <t>PF003397;PP000614</t>
  </si>
  <si>
    <t>Glam/Luxury|Transitional Modern</t>
  </si>
  <si>
    <t>AMAZON,OVERSTOCK01</t>
  </si>
  <si>
    <t>DRBH4423</t>
  </si>
  <si>
    <t>MP13-8783</t>
  </si>
  <si>
    <t>AMAZONDS,OVERSTOCK01</t>
  </si>
  <si>
    <t>SS40-0061</t>
  </si>
  <si>
    <t>Bentley</t>
  </si>
  <si>
    <t>Abel</t>
  </si>
  <si>
    <t>Byron</t>
  </si>
  <si>
    <t>Ogee Knitted Jacquard Total Blackout Curtain Panel</t>
  </si>
  <si>
    <t>PP000358;PF004025</t>
  </si>
  <si>
    <t>AMAZON,JCPENNEY01,KOHLDSN,LOWESDS,TGTDVS</t>
  </si>
  <si>
    <t>MCRW8157</t>
  </si>
  <si>
    <t>12/19/2017</t>
  </si>
  <si>
    <t>2/13/2018</t>
  </si>
  <si>
    <t>BASI10-0257</t>
  </si>
  <si>
    <t>Benton</t>
  </si>
  <si>
    <t>Canton</t>
  </si>
  <si>
    <t>All Season 2 in 1 Down Alternative Comforter</t>
  </si>
  <si>
    <t>PF002081</t>
  </si>
  <si>
    <t>AMERSIGNDS,BLK01,JCPENNEY01,KOHLDSN,MACY02,OLLIIX,OVERSTOCK01,TGTDVS</t>
  </si>
  <si>
    <t>ANEW3991</t>
  </si>
  <si>
    <t>5/7/2015</t>
  </si>
  <si>
    <t>BASI10-0258</t>
  </si>
  <si>
    <t>4/19/2017</t>
  </si>
  <si>
    <t>AMERSIGNDS,BLK01,JCPENNEY01,KIRKLANDDS,KOHLDSN,MACY02,OLLIIX,OVERSTOCK01</t>
  </si>
  <si>
    <t>6/22/2015</t>
  </si>
  <si>
    <t>WR9201030822-05</t>
  </si>
  <si>
    <t>Bernston</t>
  </si>
  <si>
    <t>Faux Wool to Faux Fur Down Alternative Comforter Set</t>
  </si>
  <si>
    <t>Gray Plaid</t>
  </si>
  <si>
    <t>PP001883;PF006005</t>
  </si>
  <si>
    <t>Lodge/Cabin</t>
  </si>
  <si>
    <t>8/9/2022</t>
  </si>
  <si>
    <t>TGTDVS,WALMARTDS</t>
  </si>
  <si>
    <t>XBYB1055</t>
  </si>
  <si>
    <t>2/23/2023</t>
  </si>
  <si>
    <t>5/1/2023</t>
  </si>
  <si>
    <t>WR9201030822-06</t>
  </si>
  <si>
    <t>KOHLDSN,TGTDVS,WALMARTDS</t>
  </si>
  <si>
    <t>WR9201030822-08</t>
  </si>
  <si>
    <t>Green Plaid</t>
  </si>
  <si>
    <t>PP001883;PF006006</t>
  </si>
  <si>
    <t>8/15/2022</t>
  </si>
  <si>
    <t>KOHLDSN,TGTDVS</t>
  </si>
  <si>
    <t>WR9201030822-09</t>
  </si>
  <si>
    <t>4/4/2023</t>
  </si>
  <si>
    <t>WR9201030822-02</t>
  </si>
  <si>
    <t>Red Buffalo Check</t>
  </si>
  <si>
    <t>PP001883;PF006004</t>
  </si>
  <si>
    <t>WR9201030822-03</t>
  </si>
  <si>
    <t>MP100-0152</t>
  </si>
  <si>
    <t>DINING CHAIR</t>
  </si>
  <si>
    <t>Dining Chair</t>
  </si>
  <si>
    <t>Bexley</t>
  </si>
  <si>
    <t>Larkin</t>
  </si>
  <si>
    <t>Oda</t>
  </si>
  <si>
    <t>Rounded Back Dining Chair</t>
  </si>
  <si>
    <t>PF001053;PP000096</t>
  </si>
  <si>
    <t>HOUZZ,KIRKLANDDS,KOHLDSN,OLLIIX,ROOMECOM</t>
  </si>
  <si>
    <t>LGLY3824</t>
  </si>
  <si>
    <t>2/23/2017</t>
  </si>
  <si>
    <t>MP10-921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</si>
  <si>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</si>
  <si>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</si>
  <si>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</si>
  <si>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</si>
  <si>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</si>
  <si>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</si>
  <si>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AMAZON,AMAZONDS,BLK01,JCPENNEY01,KOHLDSN,MACY02,OVERSTOCK01</t>
  </si>
  <si>
    <t>LATR6370</t>
  </si>
  <si>
    <t>3/30/2015</t>
  </si>
  <si>
    <t>CCL30-0031</t>
  </si>
  <si>
    <t>Normal Pillow</t>
  </si>
  <si>
    <t>Biron</t>
  </si>
  <si>
    <t>Square Decor Pillow</t>
  </si>
  <si>
    <t>18x18"</t>
  </si>
  <si>
    <t>Vintage</t>
  </si>
  <si>
    <t>10/26/2022</t>
  </si>
  <si>
    <t>BLK01,DLCROSCILL,JCPENNEY01</t>
  </si>
  <si>
    <t>CKSC1013</t>
  </si>
  <si>
    <t>6/12/2023</t>
  </si>
  <si>
    <t>MP10-8212</t>
  </si>
  <si>
    <t>Blair</t>
  </si>
  <si>
    <t>Dakota</t>
  </si>
  <si>
    <t>Ruched Fur Down Alternative Comforter Set</t>
  </si>
  <si>
    <t>PP001807;PF005999</t>
  </si>
  <si>
    <t>7/5/2023</t>
  </si>
  <si>
    <t>JCPENNEY01,MACY02,NRTPORT,OLLIIX,TGTDVS</t>
  </si>
  <si>
    <t>NCWA2418</t>
  </si>
  <si>
    <t>7/24/2023</t>
  </si>
  <si>
    <t>7/28/2023</t>
  </si>
  <si>
    <t>MP10-950</t>
  </si>
  <si>
    <t>Anderson</t>
  </si>
  <si>
    <t>Burnett</t>
  </si>
  <si>
    <t>7 Piece Comforter Set</t>
  </si>
  <si>
    <t>PF002701</t>
  </si>
  <si>
    <t>Satin/Polyoni</t>
  </si>
  <si>
    <t>Casual|Traditional</t>
  </si>
  <si>
    <t>DBYH4441</t>
  </si>
  <si>
    <t>1/12/2015</t>
  </si>
  <si>
    <t>II100-0495</t>
  </si>
  <si>
    <t>Arm Chair</t>
  </si>
  <si>
    <t>Blake</t>
  </si>
  <si>
    <t>Handcrafted Rattan Upholstered Accent Arm Chair</t>
  </si>
  <si>
    <t>IKIY1116</t>
  </si>
  <si>
    <t>3/21/2023</t>
  </si>
  <si>
    <t>11/18/2024</t>
  </si>
  <si>
    <t>AM10-0128</t>
  </si>
  <si>
    <t>Calvin</t>
  </si>
  <si>
    <t>Owain/Erik</t>
  </si>
  <si>
    <t>Stripe Textured Print Comforter Set</t>
  </si>
  <si>
    <t>Navy/Blue</t>
  </si>
  <si>
    <t>PP001959;PF006236</t>
  </si>
  <si>
    <t>2/2/2024</t>
  </si>
  <si>
    <t>BLK01,DESINC,HDDS,JCPENNEY01,KIRKLANDDS,KOHLDSN,MACY02,NRTPORT,OVERSTOCK01,TGTDVS</t>
  </si>
  <si>
    <t>NGIN1168</t>
  </si>
  <si>
    <t>3/10/2024</t>
  </si>
  <si>
    <t>4/19/2024</t>
  </si>
  <si>
    <t>ID12-2334</t>
  </si>
  <si>
    <t>Liam</t>
  </si>
  <si>
    <t>Reeve</t>
  </si>
  <si>
    <t>Plaid Duvet Cover Set</t>
  </si>
  <si>
    <t>Tan/Gray</t>
  </si>
  <si>
    <t>PF006203</t>
  </si>
  <si>
    <t>3/16/2024</t>
  </si>
  <si>
    <t>JLZL1328</t>
  </si>
  <si>
    <t>12/3/2024</t>
  </si>
  <si>
    <t>MP13-8132</t>
  </si>
  <si>
    <t>Coverlet Mini Set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</si>
  <si>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</si>
  <si>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</si>
  <si>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</si>
  <si>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</si>
  <si>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</si>
  <si>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</si>
  <si>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AMAZON,DLBRAND,JCPENNEY01,KOHLDSN,TGTDVS</t>
  </si>
  <si>
    <t>NCWA2437</t>
  </si>
  <si>
    <t>11/11/2022</t>
  </si>
  <si>
    <t>11/28/2022</t>
  </si>
  <si>
    <t>MP13-8133</t>
  </si>
  <si>
    <t>JCPENNEY01</t>
  </si>
  <si>
    <t>12/22/2023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</si>
  <si>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</si>
  <si>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</si>
  <si>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</si>
  <si>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</si>
  <si>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</si>
  <si>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</si>
  <si>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</si>
  <si>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AMAZON,ASHFURNDS,KIRKLANDDS,MACY02,OVERSTOCK01,ROOMECOM,TGTDVS</t>
  </si>
  <si>
    <t>NCWA1387</t>
  </si>
  <si>
    <t>2/13/2019</t>
  </si>
  <si>
    <t>10/18/2019</t>
  </si>
  <si>
    <t>MP95C-0133</t>
  </si>
  <si>
    <t>Blue Lagoon 2</t>
  </si>
  <si>
    <t>Abstract 2-piece Framed Canvas Wall Art Set</t>
  </si>
  <si>
    <t>PP000609</t>
  </si>
  <si>
    <t>10/12/2017</t>
  </si>
  <si>
    <t>AMAZONDS,AMERSIGNDS,ASHFURNDS,HDDS,KOHLDSN,MACY02,OLLIIX,TGTDVS</t>
  </si>
  <si>
    <t>HIDN2559</t>
  </si>
  <si>
    <t>12/21/2017</t>
  </si>
  <si>
    <t>1/8/2018</t>
  </si>
  <si>
    <t>II103-0498</t>
  </si>
  <si>
    <t>Bonn</t>
  </si>
  <si>
    <t>Upholstered 360 Degree Swivel Chair</t>
  </si>
  <si>
    <t>2/22/2023</t>
  </si>
  <si>
    <t>KIRKLANDDS,MACY02F,OLLIIX,TGTDVS,ZOLA</t>
  </si>
  <si>
    <t>IKIY1118</t>
  </si>
  <si>
    <t>3/27/2023</t>
  </si>
  <si>
    <t>9/1/2023</t>
  </si>
  <si>
    <t>II103-0564</t>
  </si>
  <si>
    <t>2/28/2024</t>
  </si>
  <si>
    <t>AMAZONDS,KOHLDSN,OLLIIX</t>
  </si>
  <si>
    <t>4/8/2024</t>
  </si>
  <si>
    <t>6/10/2024</t>
  </si>
  <si>
    <t>II103-0563</t>
  </si>
  <si>
    <t>KOHLDSN,OLLIIX,OVERSTOCK01,ROOMECOM</t>
  </si>
  <si>
    <t>6/16/2025</t>
  </si>
  <si>
    <t>HHD12-1953</t>
  </si>
  <si>
    <t>100% Cotton Sateen Duvet Cover Set</t>
  </si>
  <si>
    <t>HUH10136</t>
  </si>
  <si>
    <t>HHD12-1954</t>
  </si>
  <si>
    <t>HHLD2C</t>
  </si>
  <si>
    <t>HHD12-1951</t>
  </si>
  <si>
    <t>Terracotta/Linen</t>
  </si>
  <si>
    <t>HHD50-1914</t>
  </si>
  <si>
    <t>Botswana Animal Print</t>
  </si>
  <si>
    <t>Faux Fur Throw Blanket</t>
  </si>
  <si>
    <t>60x80"</t>
  </si>
  <si>
    <t>Bobcat</t>
  </si>
  <si>
    <t>HUH10135</t>
  </si>
  <si>
    <t>HHD50-1911</t>
  </si>
  <si>
    <t>Leopard</t>
  </si>
  <si>
    <t>HHLD2C,OVERSTOCK01</t>
  </si>
  <si>
    <t>HHD50-1913</t>
  </si>
  <si>
    <t>Polar Bear</t>
  </si>
  <si>
    <t>HHD50-1912</t>
  </si>
  <si>
    <t>Snow Leopard</t>
  </si>
  <si>
    <t>AM10-0290</t>
  </si>
  <si>
    <t>Boulder Stripe</t>
  </si>
  <si>
    <t>Cascade Stripe</t>
  </si>
  <si>
    <t>Highland Stripe</t>
  </si>
  <si>
    <t>Pieced Faux Suede Comforter Set</t>
  </si>
  <si>
    <t>Brick</t>
  </si>
  <si>
    <t>PP001926;PF006375</t>
  </si>
  <si>
    <t>Microsuede</t>
  </si>
  <si>
    <t>7/18/2024</t>
  </si>
  <si>
    <t>BLK01,JCPENNEY01,KOHLDSN,OVERSTOCK01</t>
  </si>
  <si>
    <t>NGIN1201</t>
  </si>
  <si>
    <t>8/12/2024</t>
  </si>
  <si>
    <t>7/23/2025</t>
  </si>
  <si>
    <t>AM10-0291</t>
  </si>
  <si>
    <t>AMAZONDS,BLK01,DESINC,HDDS,JCPENNEY01,KOHLDSN,MACY02,OVERSTOCK01</t>
  </si>
  <si>
    <t>AM10-0292</t>
  </si>
  <si>
    <t>BLK01,DESINC,HDDS,JCPENNEY01,KOHLDSN,MACY02</t>
  </si>
  <si>
    <t>10/22/2024</t>
  </si>
  <si>
    <t>AM10-0293</t>
  </si>
  <si>
    <t>PP001926;PF006376</t>
  </si>
  <si>
    <t>II21-1304</t>
  </si>
  <si>
    <t>Bree Knit</t>
  </si>
  <si>
    <t>Oblong Pillow Cover</t>
  </si>
  <si>
    <t>12x20"</t>
  </si>
  <si>
    <t>PP001571;PF006068</t>
  </si>
  <si>
    <t>Acrylic</t>
  </si>
  <si>
    <t>DLBRAND,KOHLDSN,OLLIIX,TGTDVS</t>
  </si>
  <si>
    <t>CHMB1988</t>
  </si>
  <si>
    <t>11/28/2023</t>
  </si>
  <si>
    <t>II21-1301</t>
  </si>
  <si>
    <t>Square Pillow Cover</t>
  </si>
  <si>
    <t>CHMB1994</t>
  </si>
  <si>
    <t>1/20/2025</t>
  </si>
  <si>
    <t>II21-1307</t>
  </si>
  <si>
    <t>Euro Pillow Cover</t>
  </si>
  <si>
    <t>26x26"</t>
  </si>
  <si>
    <t>AMAZONDS,KOHLDSN,OLLIIX,TGTDVS</t>
  </si>
  <si>
    <t>2/27/2024</t>
  </si>
  <si>
    <t>II30-1141</t>
  </si>
  <si>
    <t>PP001571;PF005282</t>
  </si>
  <si>
    <t>1/16/2021</t>
  </si>
  <si>
    <t>DLBRAND,JCPENNEY01,OVERSTOCK01,TGTDVS</t>
  </si>
  <si>
    <t>1/17/2021</t>
  </si>
  <si>
    <t>2/12/2021</t>
  </si>
  <si>
    <t>II30-1139</t>
  </si>
  <si>
    <t>1/13/2021</t>
  </si>
  <si>
    <t>1/24/2021</t>
  </si>
  <si>
    <t>2/8/2021</t>
  </si>
  <si>
    <t>II30-737</t>
  </si>
  <si>
    <t>PF003487</t>
  </si>
  <si>
    <t>8/17/2016</t>
  </si>
  <si>
    <t>II30-871</t>
  </si>
  <si>
    <t>AMAZON,JCPENNEY01,KOHLDSN,MACY02,OLLIIX,OVERSTOCK01,TGTDVS</t>
  </si>
  <si>
    <t>2/24/2017</t>
  </si>
  <si>
    <t>3/21/2017</t>
  </si>
  <si>
    <t>II21-1305</t>
  </si>
  <si>
    <t>PP001571;PF006066</t>
  </si>
  <si>
    <t>HH13-1883</t>
  </si>
  <si>
    <t>Harbor House Blue</t>
  </si>
  <si>
    <t>Breeze</t>
  </si>
  <si>
    <t xml:space="preserve">Cotton Gauze  Embroidered Quilt Set</t>
  </si>
  <si>
    <t>OLLIIX,OVERSTOCK01</t>
  </si>
  <si>
    <t>HUH10140</t>
  </si>
  <si>
    <t>HH13-1886</t>
  </si>
  <si>
    <t>Taupe</t>
  </si>
  <si>
    <t>HH13-1884</t>
  </si>
  <si>
    <t>HDDS,OLLIIX</t>
  </si>
  <si>
    <t>HH11-1893</t>
  </si>
  <si>
    <t>BED SKIRT&amp;SHAM</t>
  </si>
  <si>
    <t>Bed Skirt&amp;Sham</t>
  </si>
  <si>
    <t xml:space="preserve">Cotton Gauze  Embroidered Euro Sham</t>
  </si>
  <si>
    <t>Euro Sham</t>
  </si>
  <si>
    <t>HUH10142</t>
  </si>
  <si>
    <t>WR50-1348</t>
  </si>
  <si>
    <t>Brewster</t>
  </si>
  <si>
    <t>Softspun Down Alternative Filled Throw</t>
  </si>
  <si>
    <t>50x70"</t>
  </si>
  <si>
    <t>PF002054</t>
  </si>
  <si>
    <t>QMP2400</t>
  </si>
  <si>
    <t>12/31/2015</t>
  </si>
  <si>
    <t>1/2/2015</t>
  </si>
  <si>
    <t>MP50-8017</t>
  </si>
  <si>
    <t>Bristol</t>
  </si>
  <si>
    <t>Sienna</t>
  </si>
  <si>
    <t>Solid Premium Faux Fur Throw</t>
  </si>
  <si>
    <t>PP001791;PF005768</t>
  </si>
  <si>
    <t>10/18/2022</t>
  </si>
  <si>
    <t>JCPENNEY01,KOHLDSN,MACY02,TGTDVS,ZOLA</t>
  </si>
  <si>
    <t>NCWA2430</t>
  </si>
  <si>
    <t>UH12-2258</t>
  </si>
  <si>
    <t>Brooklyn</t>
  </si>
  <si>
    <t>Maize</t>
  </si>
  <si>
    <t>Kay</t>
  </si>
  <si>
    <t>Cotton Jacquard Duvet Cover Set with Euro Shams and Throw Pillows</t>
  </si>
  <si>
    <t>PP000834;PF004683</t>
  </si>
  <si>
    <t>Shabby Chic</t>
  </si>
  <si>
    <t>Cottage/Country|Farmhouse</t>
  </si>
  <si>
    <t>5/14/2019</t>
  </si>
  <si>
    <t>EDIV1310</t>
  </si>
  <si>
    <t>5/16/2019</t>
  </si>
  <si>
    <t>6/13/2019</t>
  </si>
  <si>
    <t>UH12-2260</t>
  </si>
  <si>
    <t>AMAZON,AMAZONDS,JCPENNEY01,MACY02</t>
  </si>
  <si>
    <t>5/28/2019</t>
  </si>
  <si>
    <t>UH12-2163</t>
  </si>
  <si>
    <t>PP000834;PF004166</t>
  </si>
  <si>
    <t>12/26/2017</t>
  </si>
  <si>
    <t>AMAZON,AMAZONDS,KOHLDSN,MACY02,TGTDVS</t>
  </si>
  <si>
    <t>3/21/2018</t>
  </si>
  <si>
    <t>UH10-0200</t>
  </si>
  <si>
    <t>Cotton Jacquard Comforter Set with Euro Shams and Throw Pillows</t>
  </si>
  <si>
    <t>PF002470</t>
  </si>
  <si>
    <t>4/22/2017</t>
  </si>
  <si>
    <t>AMAZON,AMAZONDS,KOHLDSN,MACY02,OLLIIX,OVERSTOCK01,TGTDVS,ZOLA</t>
  </si>
  <si>
    <t>EDIV1213</t>
  </si>
  <si>
    <t>6/5/2017</t>
  </si>
  <si>
    <t>UH10-2263</t>
  </si>
  <si>
    <t>PP000834;PF004684</t>
  </si>
  <si>
    <t>AMAZONDS,ASHFURNDS,BLK01,KOHLDSN,MACY02,OLLIIX,TGTDVS</t>
  </si>
  <si>
    <t>UH12-0207</t>
  </si>
  <si>
    <t>PF002471</t>
  </si>
  <si>
    <t>AMAZON,KOHLDSN,MACY02,NRTPORT,OVERSTOCK01,TGTDVS</t>
  </si>
  <si>
    <t>6/7/2017</t>
  </si>
  <si>
    <t>UH12-0209</t>
  </si>
  <si>
    <t>AMAZON,JCPENNEY01,MACY02</t>
  </si>
  <si>
    <t>UH70-2242</t>
  </si>
  <si>
    <t>Cotton Jacquard Pom Pom Shower Curtain</t>
  </si>
  <si>
    <t>70x72"</t>
  </si>
  <si>
    <t>PF002471;PP000834</t>
  </si>
  <si>
    <t>12/27/2018</t>
  </si>
  <si>
    <t>AMAZON,BEALLSDS,HDDS,HOUZZ,JCPENNEY01,KOHLDSN,MACY02,OLLIIX,TGTDVS,WALMARTDS</t>
  </si>
  <si>
    <t>UBHB1190</t>
  </si>
  <si>
    <t>1/16/2019</t>
  </si>
  <si>
    <t>1/30/2019</t>
  </si>
  <si>
    <t>UH12-2497</t>
  </si>
  <si>
    <t>Rust</t>
  </si>
  <si>
    <t>PP000834;PF006097</t>
  </si>
  <si>
    <t>12/30/2023</t>
  </si>
  <si>
    <t>AMAZON,HDDS,JCPENNEY01,KOHLDSN,TGTDVS</t>
  </si>
  <si>
    <t>1/1/2024</t>
  </si>
  <si>
    <t>12/30/2024</t>
  </si>
  <si>
    <t>UH12-2499</t>
  </si>
  <si>
    <t>KOHLDSN,MACY02,OVERSTOCK01,TGTDVS</t>
  </si>
  <si>
    <t>2/12/2024</t>
  </si>
  <si>
    <t>II153-0148</t>
  </si>
  <si>
    <t>Bryson</t>
  </si>
  <si>
    <t>Dome-Shaped 2-Light Metal Table Lamp</t>
  </si>
  <si>
    <t>6/9/2023</t>
  </si>
  <si>
    <t>AMAZON,AMAZONDS,KOHLDSN,MACY02,OLLIIX,OVERSTOCK01,ROOMECOM,ZOLA</t>
  </si>
  <si>
    <t>IKIY1133</t>
  </si>
  <si>
    <t>6/23/2023</t>
  </si>
  <si>
    <t>8/3/2023</t>
  </si>
  <si>
    <t>II12-1332</t>
  </si>
  <si>
    <t>Cairo</t>
  </si>
  <si>
    <t>3 Piece Cotton Jacquard Duvet Set</t>
  </si>
  <si>
    <t>PF006275;PP001968</t>
  </si>
  <si>
    <t>7/24/2024</t>
  </si>
  <si>
    <t>9/20/2025</t>
  </si>
  <si>
    <t>AMAZON,DLBRAND,KOHLDSN,MACY02,OLLIIX</t>
  </si>
  <si>
    <t>IKIY1193</t>
  </si>
  <si>
    <t>12/16/2024</t>
  </si>
  <si>
    <t>II10-1331</t>
  </si>
  <si>
    <t>3 Piece Cotton Jacquard Comforter Set</t>
  </si>
  <si>
    <t>AMAZON,AMAZONDS,KOHLDSN,OVERSTOCK01,TGTDVS</t>
  </si>
  <si>
    <t>IKIY1192</t>
  </si>
  <si>
    <t>II12-1333</t>
  </si>
  <si>
    <t>AMAZON,DLBRAND,TGTDVS</t>
  </si>
  <si>
    <t>5/1/2025</t>
  </si>
  <si>
    <t>II150-0153</t>
  </si>
  <si>
    <t>Calista</t>
  </si>
  <si>
    <t>8-Light Metal Chandelier with Globe Bulbs</t>
  </si>
  <si>
    <t>Gold/Clear</t>
  </si>
  <si>
    <t>2/1/2024</t>
  </si>
  <si>
    <t>OLLIIX,ROOMECOM</t>
  </si>
  <si>
    <t>IKIY1170</t>
  </si>
  <si>
    <t>3/11/2024</t>
  </si>
  <si>
    <t>CCA70-0021</t>
  </si>
  <si>
    <t>Croscill Casual</t>
  </si>
  <si>
    <t>Calistoga</t>
  </si>
  <si>
    <t>Matelasse Shower Curtain</t>
  </si>
  <si>
    <t>9/28/2022</t>
  </si>
  <si>
    <t>DLCROSCILL,JCPENNEY01,KOHLDSN,OLLIIX</t>
  </si>
  <si>
    <t>CMSC1007</t>
  </si>
  <si>
    <t>CCA70-0020</t>
  </si>
  <si>
    <t>JCPENNEY01,KOHLDSN,OLLIIX,OVERSTOCK01</t>
  </si>
  <si>
    <t>7/6/2023</t>
  </si>
  <si>
    <t>UHK10-0234</t>
  </si>
  <si>
    <t>Urban Habitat Kids</t>
  </si>
  <si>
    <t>Callie</t>
  </si>
  <si>
    <t>Ensley</t>
  </si>
  <si>
    <t>Kelsey</t>
  </si>
  <si>
    <t>Cotton Jacquard Pom Pom Comforter Set</t>
  </si>
  <si>
    <t>Pink Multi</t>
  </si>
  <si>
    <t>PF004432</t>
  </si>
  <si>
    <t>Polka Dots</t>
  </si>
  <si>
    <t>4/26/2025</t>
  </si>
  <si>
    <t>HDDS,MACY02</t>
  </si>
  <si>
    <t>VBDN1064</t>
  </si>
  <si>
    <t>UHK10-0235</t>
  </si>
  <si>
    <t>4/18/2025</t>
  </si>
  <si>
    <t>UH12-2299</t>
  </si>
  <si>
    <t>Calum</t>
  </si>
  <si>
    <t>Charlie</t>
  </si>
  <si>
    <t>Corey</t>
  </si>
  <si>
    <t>Cotton Duvet Cover Set</t>
  </si>
  <si>
    <t>PP001337;PF004808</t>
  </si>
  <si>
    <t>8/27/2019</t>
  </si>
  <si>
    <t>MACY02,OVERSTOCK01,TGTDVS</t>
  </si>
  <si>
    <t>UBHB1204</t>
  </si>
  <si>
    <t>9/19/2019</t>
  </si>
  <si>
    <t>10/25/2019</t>
  </si>
  <si>
    <t>AM10-0109</t>
  </si>
  <si>
    <t>Camden</t>
  </si>
  <si>
    <t>Reese</t>
  </si>
  <si>
    <t>Leighton</t>
  </si>
  <si>
    <t>Chambray Print Microfiber Comforter Set with Bed Sheets</t>
  </si>
  <si>
    <t>PP001923;PF006142</t>
  </si>
  <si>
    <t>Print</t>
  </si>
  <si>
    <t>11/3/2023</t>
  </si>
  <si>
    <t>AMAZON,AMAZONDS,HDDS,KOHLDSN,MACY02,NRTPORT,TGTDVS</t>
  </si>
  <si>
    <t>NGIN1188</t>
  </si>
  <si>
    <t>6/6/2024</t>
  </si>
  <si>
    <t>9/24/2024</t>
  </si>
  <si>
    <t>AM10-0112</t>
  </si>
  <si>
    <t>HDDS,KOHLDSN,NRTPORT</t>
  </si>
  <si>
    <t>9/23/2024</t>
  </si>
  <si>
    <t>AM10-0105</t>
  </si>
  <si>
    <t>PP001923;PF006141</t>
  </si>
  <si>
    <t>AMAZON,BLK01,DESINC,KOHLDSN,MACY02,NRTPORT,OVERSTOCK01,TGTDVS</t>
  </si>
  <si>
    <t>AM10-0107</t>
  </si>
  <si>
    <t>BLK01,HDDS,MACY02,NRTPORT,OLLIIX,OVERSTOCK01,TGTDVS</t>
  </si>
  <si>
    <t>MZ10-0560</t>
  </si>
  <si>
    <t>Camille</t>
  </si>
  <si>
    <t>Corinne</t>
  </si>
  <si>
    <t>Cora</t>
  </si>
  <si>
    <t>Floral Comforter Set</t>
  </si>
  <si>
    <t>PP000796;PF004119</t>
  </si>
  <si>
    <t>AMAZONDS,BLK01,FINGERHUTDS,HDDS,JCPENNEY01,KOHLDSN,MACY02,NRTPORT,OLLIIX,TGTDVS</t>
  </si>
  <si>
    <t>ZMIE7678</t>
  </si>
  <si>
    <t>1/26/2018</t>
  </si>
  <si>
    <t>1/30/2018</t>
  </si>
  <si>
    <t>MP12-7299</t>
  </si>
  <si>
    <t>Camillia</t>
  </si>
  <si>
    <t>Maia</t>
  </si>
  <si>
    <t>Ramona</t>
  </si>
  <si>
    <t>3 Piece Cotton Duvet Cover Set</t>
  </si>
  <si>
    <t>PP001567;PF005263</t>
  </si>
  <si>
    <t>12/14/2020</t>
  </si>
  <si>
    <t>ASHFURNDS,JCPENNEY01,MACY02,OVERSTOCK01,TGTDVS</t>
  </si>
  <si>
    <t>NCWA1929</t>
  </si>
  <si>
    <t>1/18/2021</t>
  </si>
  <si>
    <t>MP103-1284</t>
  </si>
  <si>
    <t>Candace</t>
  </si>
  <si>
    <t>Power Recliner 3-in-1 with Swivel, Glider, USB Ports</t>
  </si>
  <si>
    <t>NCWA2772</t>
  </si>
  <si>
    <t>MP103-1285</t>
  </si>
  <si>
    <t>MP103-1283</t>
  </si>
  <si>
    <t>MP70-8885</t>
  </si>
  <si>
    <t>Candice</t>
  </si>
  <si>
    <t>MP70-8884</t>
  </si>
  <si>
    <t>MP70-8883</t>
  </si>
  <si>
    <t>MP70-8882</t>
  </si>
  <si>
    <t>MP70-8881</t>
  </si>
  <si>
    <t>MP70-8880</t>
  </si>
  <si>
    <t>MP10-5283</t>
  </si>
  <si>
    <t>Cape Cod</t>
  </si>
  <si>
    <t>Chatham</t>
  </si>
  <si>
    <t>Bedford</t>
  </si>
  <si>
    <t>7 Piece Cotton Sateen Comforter Set</t>
  </si>
  <si>
    <t>PP000578;PF004079</t>
  </si>
  <si>
    <t>Sateen</t>
  </si>
  <si>
    <t>Casual|Transitional</t>
  </si>
  <si>
    <t>AMAZON,JCPENNEY01,KOHLDSN,MACY02,OLLIIX,OVERSTOCK01</t>
  </si>
  <si>
    <t>HLDS8541</t>
  </si>
  <si>
    <t>11/6/2017</t>
  </si>
  <si>
    <t>1/17/2018</t>
  </si>
  <si>
    <t>MP108-0642</t>
  </si>
  <si>
    <t>Captiva</t>
  </si>
  <si>
    <t>Callaway</t>
  </si>
  <si>
    <t>Hastings</t>
  </si>
  <si>
    <t>Dining Side Chair (Set of 2)</t>
  </si>
  <si>
    <t>12/15/2017</t>
  </si>
  <si>
    <t>AMERSIGNDS,HDDS,HOUZZ,KOHLDSN,OLLIIX,OVERSTOCK01</t>
  </si>
  <si>
    <t>NCWA1347</t>
  </si>
  <si>
    <t>1/9/2019</t>
  </si>
  <si>
    <t>2/19/2019</t>
  </si>
  <si>
    <t>MP10-8204</t>
  </si>
  <si>
    <t>Caralie</t>
  </si>
  <si>
    <t>Evian</t>
  </si>
  <si>
    <t>Tulia</t>
  </si>
  <si>
    <t>5 Piece Seersucker Comforter Set with Throw Pillows</t>
  </si>
  <si>
    <t>PP001862;PF005960</t>
  </si>
  <si>
    <t>Seersucker</t>
  </si>
  <si>
    <t>AMAZON,BLK01,DESINC,KOHLDSN,MACY02,TGTDVS</t>
  </si>
  <si>
    <t>NCWA2497</t>
  </si>
  <si>
    <t>5/16/2023</t>
  </si>
  <si>
    <t>7/11/2023</t>
  </si>
  <si>
    <t>MP13-8206</t>
  </si>
  <si>
    <t>Coverlet</t>
  </si>
  <si>
    <t>4 Piece Seersucker Quilt Set with Throw Pillow</t>
  </si>
  <si>
    <t>PP001862;PF005961</t>
  </si>
  <si>
    <t>AMAZON,AMAZONDS,BLK01,JCPENNEY01,KIRKLANDDS,KOHLDSN,MACY02,OVERSTOCK01,TGTDVS</t>
  </si>
  <si>
    <t>NCWA2498</t>
  </si>
  <si>
    <t>6/19/2023</t>
  </si>
  <si>
    <t>MP10-8792</t>
  </si>
  <si>
    <t>8/2/2025</t>
  </si>
  <si>
    <t>AMAZON,AMAZONDS,HDDS</t>
  </si>
  <si>
    <t>MP13-8794</t>
  </si>
  <si>
    <t>4 Piece Seersucker Quilt Set with Throw</t>
  </si>
  <si>
    <t>MP10-8793</t>
  </si>
  <si>
    <t>8/5/2025</t>
  </si>
  <si>
    <t>CH100-1002</t>
  </si>
  <si>
    <t>Carly</t>
  </si>
  <si>
    <t>Swivel Chair</t>
  </si>
  <si>
    <t>3/1/2024</t>
  </si>
  <si>
    <t>CAPQ1041</t>
  </si>
  <si>
    <t>CH100-0058</t>
  </si>
  <si>
    <t>MP10-8486</t>
  </si>
  <si>
    <t>Carolina</t>
  </si>
  <si>
    <t>Bianca</t>
  </si>
  <si>
    <t>Beverley</t>
  </si>
  <si>
    <t>7 Piece Stripe Comforter and Quilt Set</t>
  </si>
  <si>
    <t>PP001987;PF006372</t>
  </si>
  <si>
    <t>NCWA2726</t>
  </si>
  <si>
    <t>MP10-8487</t>
  </si>
  <si>
    <t>MP10-8488</t>
  </si>
  <si>
    <t>AMAZONDS,MACY02,OLLIIX</t>
  </si>
  <si>
    <t>MP51-8426</t>
  </si>
  <si>
    <t>Carved Plush</t>
  </si>
  <si>
    <t>PP001953;PF006224</t>
  </si>
  <si>
    <t>Plush</t>
  </si>
  <si>
    <t>4/2/2024</t>
  </si>
  <si>
    <t>NCWA2681</t>
  </si>
  <si>
    <t>4/12/2024</t>
  </si>
  <si>
    <t>1/7/2025</t>
  </si>
  <si>
    <t>MP51-8427</t>
  </si>
  <si>
    <t>3/30/2024</t>
  </si>
  <si>
    <t>AMAZON,AMAZONDS,JCPENNEY01,KOHLDSN,MACY02,OLLIIX,OVERSTOCK01,TGTDVS</t>
  </si>
  <si>
    <t>MP51-8423</t>
  </si>
  <si>
    <t>PP001953;PF006223</t>
  </si>
  <si>
    <t>AMAZONDS,JCPENNEY01,KOHLDSN,MACY02,TGTDVS</t>
  </si>
  <si>
    <t>3/28/2025</t>
  </si>
  <si>
    <t>MP51-8424</t>
  </si>
  <si>
    <t>5/7/2025</t>
  </si>
  <si>
    <t>MP51-8425</t>
  </si>
  <si>
    <t>AMAZON,AMAZONDS,HDDS,JCPENNEY01,KOHLDSN,MACY02,OLLIIX,TGTDVS</t>
  </si>
  <si>
    <t>MP51-8418</t>
  </si>
  <si>
    <t>PP001953;PF006221</t>
  </si>
  <si>
    <t>AMAZON,BLK01,JCPENNEY01,KOHLDSN,MACY02,OLLIIX,TGTDVS</t>
  </si>
  <si>
    <t>MP51-8420</t>
  </si>
  <si>
    <t>PP001953;PF006222</t>
  </si>
  <si>
    <t>MP51-8421</t>
  </si>
  <si>
    <t>ID12-2360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</si>
  <si>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</si>
  <si>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</si>
  <si>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</si>
  <si>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</si>
  <si>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</si>
  <si>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</si>
  <si>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</si>
  <si>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AMAZON,JCPENNEY01,KOHLDSN,MACY02,NRTPORT,OVERSTOCK01,TGTDVS</t>
  </si>
  <si>
    <t>JLZL1317</t>
  </si>
  <si>
    <t>4/3/2024</t>
  </si>
  <si>
    <t>7/11/2024</t>
  </si>
  <si>
    <t>ID10-2385</t>
  </si>
  <si>
    <t>Cassiopeia</t>
  </si>
  <si>
    <t>Lisa</t>
  </si>
  <si>
    <t>Watercolor Tie Dye Printed Comforter Set with Throw Pillow</t>
  </si>
  <si>
    <t>PP001904;PF006265</t>
  </si>
  <si>
    <t>7/6/2024</t>
  </si>
  <si>
    <t>JLZL1193</t>
  </si>
  <si>
    <t>ID12-2388</t>
  </si>
  <si>
    <t>Watercolor Tie Dye Printed Duvet Cover Set with Throw Pillow</t>
  </si>
  <si>
    <t>7/5/2024</t>
  </si>
  <si>
    <t>JLZL1192</t>
  </si>
  <si>
    <t>ID12-2389</t>
  </si>
  <si>
    <t>1/31/2025</t>
  </si>
  <si>
    <t>ID12-2390</t>
  </si>
  <si>
    <t>JCPENNEY01,OVERSTOCK01</t>
  </si>
  <si>
    <t>SS40-0097</t>
  </si>
  <si>
    <t>Cassius</t>
  </si>
  <si>
    <t>Odessa</t>
  </si>
  <si>
    <t>Jacquard Lined Total Blackout Rod Pocket/Back Tab Curtain Panel</t>
  </si>
  <si>
    <t>Grey/Silver</t>
  </si>
  <si>
    <t>PF004522;PP001040</t>
  </si>
  <si>
    <t>12/9/2018</t>
  </si>
  <si>
    <t>ASHFURNDS,KOHLDSN</t>
  </si>
  <si>
    <t>ARGD3019</t>
  </si>
  <si>
    <t>12/26/2018</t>
  </si>
  <si>
    <t>2/4/2019</t>
  </si>
  <si>
    <t>MP13-2533</t>
  </si>
  <si>
    <t>Celeste</t>
  </si>
  <si>
    <t>Isabella</t>
  </si>
  <si>
    <t>4 Piece Microfiber Reversible Ruffle Quilt Set with Throw Pillow</t>
  </si>
  <si>
    <t>PF002762</t>
  </si>
  <si>
    <t>Cottage/Country|Farm House</t>
  </si>
  <si>
    <t>AMAZON,AMAZONDS,BLK01,HSNDS,JCPENNEY01,KOHLDSN,OVERSTOCK01,TGTDVS</t>
  </si>
  <si>
    <t>LARK7698</t>
  </si>
  <si>
    <t>FB153-1158</t>
  </si>
  <si>
    <t>Celine</t>
  </si>
  <si>
    <t>Textured Ceramic Table Lamp</t>
  </si>
  <si>
    <t>10/18/2021</t>
  </si>
  <si>
    <t>JCPENNEY01,OLLIIX,OVERSTOCK01,TGTDVS</t>
  </si>
  <si>
    <t>HTN10004</t>
  </si>
  <si>
    <t>11/7/2021</t>
  </si>
  <si>
    <t>12/3/2021</t>
  </si>
  <si>
    <t>MT154-0065</t>
  </si>
  <si>
    <t>Charlton</t>
  </si>
  <si>
    <t>Metal Floor Lamp with Glass Cylinder Shade</t>
  </si>
  <si>
    <t>MT Perry Street</t>
  </si>
  <si>
    <t>MSTT5489</t>
  </si>
  <si>
    <t>HH30-255</t>
  </si>
  <si>
    <t>Chelsea</t>
  </si>
  <si>
    <t>Cotton Oblong Pillow</t>
  </si>
  <si>
    <t>12x18"</t>
  </si>
  <si>
    <t>PF003320</t>
  </si>
  <si>
    <t>AMAZON,BLK01,KOHLDSN,MACY02,OLLIIX</t>
  </si>
  <si>
    <t>HUH1043</t>
  </si>
  <si>
    <t>NS10-1849</t>
  </si>
  <si>
    <t>N Natori</t>
  </si>
  <si>
    <t>Cherry Blossom</t>
  </si>
  <si>
    <t>Multi</t>
  </si>
  <si>
    <t>PF002588</t>
  </si>
  <si>
    <t>MACY02,OVERSTOCK01</t>
  </si>
  <si>
    <t>NTI1707</t>
  </si>
  <si>
    <t>ID20-290</t>
  </si>
  <si>
    <t>Chevron</t>
  </si>
  <si>
    <t>Printed Microfiber Sheet Set</t>
  </si>
  <si>
    <t>PF001576</t>
  </si>
  <si>
    <t>AMAZONDS,TGTDVS,WALMARTDS</t>
  </si>
  <si>
    <t>VVRE3633</t>
  </si>
  <si>
    <t>8/19/2015</t>
  </si>
  <si>
    <t>5DS153-0053</t>
  </si>
  <si>
    <t>Chique</t>
  </si>
  <si>
    <t>Tap-Control and Dimmable Accent Table Lamp with Power Outlet</t>
  </si>
  <si>
    <t>7/4/2024</t>
  </si>
  <si>
    <t>DESINC,KOHLDSN,OLLIIX</t>
  </si>
  <si>
    <t>NGIN1207</t>
  </si>
  <si>
    <t>ID10-2326</t>
  </si>
  <si>
    <t>Christa</t>
  </si>
  <si>
    <t>Kaia</t>
  </si>
  <si>
    <t>Lena</t>
  </si>
  <si>
    <t>Floral Striped Comforter Set</t>
  </si>
  <si>
    <t>PF006201</t>
  </si>
  <si>
    <t>3/27/2024</t>
  </si>
  <si>
    <t>11/4/2025</t>
  </si>
  <si>
    <t>AMAZON,AMAZONDS,ASHFURNDS,BLK01,HDDS,JCPENNEY01,KOHLDSN,MACY02,NRTPORT,OLLIIX,OVERSTOCK01,TGTDVS</t>
  </si>
  <si>
    <t>JLZL1330</t>
  </si>
  <si>
    <t>ID12-2329</t>
  </si>
  <si>
    <t>Floral Striped Duvet Cover Set</t>
  </si>
  <si>
    <t>JLZL1331</t>
  </si>
  <si>
    <t>7/15/2024</t>
  </si>
  <si>
    <t>MPS10-596</t>
  </si>
  <si>
    <t>Cirque</t>
  </si>
  <si>
    <t>Jacquard Oversized Duvet Style Comforter Set</t>
  </si>
  <si>
    <t>NCWB1279</t>
  </si>
  <si>
    <t>IIF19-0031D</t>
  </si>
  <si>
    <t>Clark</t>
  </si>
  <si>
    <t>22 x 19 1/2x 38 1/2"</t>
  </si>
  <si>
    <t>Pecan</t>
  </si>
  <si>
    <t>CASTLEGATE</t>
  </si>
  <si>
    <t>10/4/2025</t>
  </si>
  <si>
    <t>IIF19-0031A</t>
  </si>
  <si>
    <t>79 x 4 1/2 x 38 1/2"</t>
  </si>
  <si>
    <t>IIF19-0031C</t>
  </si>
  <si>
    <t>81 x 1 3/4 x 6"</t>
  </si>
  <si>
    <t>IIF19-0031B</t>
  </si>
  <si>
    <t>FB: 79 x 2 x 14"; SL: 76 x 76 3/4 x 3/4"</t>
  </si>
  <si>
    <t>CCL11-0024</t>
  </si>
  <si>
    <t>Sham</t>
  </si>
  <si>
    <t>Clermont</t>
  </si>
  <si>
    <t>European Pillow Sham</t>
  </si>
  <si>
    <t>10/24/2022</t>
  </si>
  <si>
    <t>CKSC1014</t>
  </si>
  <si>
    <t>CCL11-0025</t>
  </si>
  <si>
    <t>DLCROSCILL</t>
  </si>
  <si>
    <t>7/3/2023</t>
  </si>
  <si>
    <t>UHK12-0055</t>
  </si>
  <si>
    <t>Intelligent Design Kids</t>
  </si>
  <si>
    <t>Cloud</t>
  </si>
  <si>
    <t>Bliss</t>
  </si>
  <si>
    <t>Euphoria</t>
  </si>
  <si>
    <t>Cotton Printed Duvet Cover Set</t>
  </si>
  <si>
    <t>PP000645;PF004077</t>
  </si>
  <si>
    <t>HRBE1981</t>
  </si>
  <si>
    <t>12/4/2017</t>
  </si>
  <si>
    <t>12/18/2017</t>
  </si>
  <si>
    <t>HH10-396</t>
  </si>
  <si>
    <t>Coastline</t>
  </si>
  <si>
    <t>Oversized Cotton Jacquard Comforter Set</t>
  </si>
  <si>
    <t>PF003317</t>
  </si>
  <si>
    <t>AMAZON,HDDS,HSNDS,OVERSTOCK01</t>
  </si>
  <si>
    <t>HUH10113</t>
  </si>
  <si>
    <t>1/5/2015</t>
  </si>
  <si>
    <t>HH12-1545</t>
  </si>
  <si>
    <t>5 Piece Duvet Set</t>
  </si>
  <si>
    <t>PF003318</t>
  </si>
  <si>
    <t>JCPENNEY01,MACY02,OVERSTOCK01</t>
  </si>
  <si>
    <t>HUH1736</t>
  </si>
  <si>
    <t>5/10/2016</t>
  </si>
  <si>
    <t>HH12-1546</t>
  </si>
  <si>
    <t>JCPENNEY01,MACY02,NRTPORT,OVERSTOCK01</t>
  </si>
  <si>
    <t>5/8/2016</t>
  </si>
  <si>
    <t>NS11-3662</t>
  </si>
  <si>
    <t>Cocoon</t>
  </si>
  <si>
    <t>Quilt Top Euro Sham</t>
  </si>
  <si>
    <t>PP001696;PF005608</t>
  </si>
  <si>
    <t>11/2/2021</t>
  </si>
  <si>
    <t>MBSA1050</t>
  </si>
  <si>
    <t>11/19/2021</t>
  </si>
  <si>
    <t>2/2/2022</t>
  </si>
  <si>
    <t>NS12-3655</t>
  </si>
  <si>
    <t>3 Piece Quilt Top Duvet Cover Mini Set</t>
  </si>
  <si>
    <t>PP001696;PF005609</t>
  </si>
  <si>
    <t>JCPENNEY01,MACY02,OLLIIX,OVERSTOCK01</t>
  </si>
  <si>
    <t>MBSA1054</t>
  </si>
  <si>
    <t>12/14/2021</t>
  </si>
  <si>
    <t>NS10-3654</t>
  </si>
  <si>
    <t>3 Piece Quilt Top Comforter Mini Set</t>
  </si>
  <si>
    <t>AMERSIGNDS,ASHFURNDS,BLK01,JCPENNEY01,KOHLDSN,MACY02,OLLIIX,OVERSTOCK01</t>
  </si>
  <si>
    <t>MBSA1053</t>
  </si>
  <si>
    <t>NS12-3656</t>
  </si>
  <si>
    <t>ASHFURNDS,JCPENNEY01,KOHLDSN,MACY02,OLLIIX</t>
  </si>
  <si>
    <t>NS11-3657</t>
  </si>
  <si>
    <t>ASHFURNDS,JCPENNEY01,NRTPORT,OLLIIX</t>
  </si>
  <si>
    <t>5/2/2022</t>
  </si>
  <si>
    <t>II10-1261</t>
  </si>
  <si>
    <t>3 Piece Cotton Comforter Set</t>
  </si>
  <si>
    <t>Gray/Navy</t>
  </si>
  <si>
    <t>PP001505;PF005755</t>
  </si>
  <si>
    <t>8/3/2022</t>
  </si>
  <si>
    <t>AMAZONDS,KOHLDSN,MACY02,OVERSTOCK01</t>
  </si>
  <si>
    <t>IKIY1016</t>
  </si>
  <si>
    <t>8/30/2022</t>
  </si>
  <si>
    <t>II12-1119</t>
  </si>
  <si>
    <t>Gray/Yellow</t>
  </si>
  <si>
    <t>PP001505;PF005117</t>
  </si>
  <si>
    <t>10/21/2020</t>
  </si>
  <si>
    <t>9/17/2025</t>
  </si>
  <si>
    <t>AMAZON,JCPENNEY01,MACY02,OLLIIX,OVERSTOCK01,TGTDVS</t>
  </si>
  <si>
    <t>IKIY1015</t>
  </si>
  <si>
    <t>10/26/2020</t>
  </si>
  <si>
    <t>11/10/2020</t>
  </si>
  <si>
    <t>MP51-8193</t>
  </si>
  <si>
    <t>Filled Blanket</t>
  </si>
  <si>
    <t>Coleman</t>
  </si>
  <si>
    <t>Campbell</t>
  </si>
  <si>
    <t>Reversible HeiQ Smart Temperature Down Alternative Blanket</t>
  </si>
  <si>
    <t>PP001231;PF005947</t>
  </si>
  <si>
    <t>4/10/2023</t>
  </si>
  <si>
    <t>NCWA1655</t>
  </si>
  <si>
    <t>6/24/2024</t>
  </si>
  <si>
    <t>MP51-8138</t>
  </si>
  <si>
    <t>PP001231;PF005884</t>
  </si>
  <si>
    <t>12/7/2022</t>
  </si>
  <si>
    <t>AMAZON,AMAZONDS,BLK01,JCPENNEY01,KOHLDSN,MACY02,NRTPORT,OVERSTOCK01,TGTDVS</t>
  </si>
  <si>
    <t>1/9/2023</t>
  </si>
  <si>
    <t>6/26/2023</t>
  </si>
  <si>
    <t>MP104-0062</t>
  </si>
  <si>
    <t>Bar Stool</t>
  </si>
  <si>
    <t>Colfax</t>
  </si>
  <si>
    <t>Weldon</t>
  </si>
  <si>
    <t>Lorsted</t>
  </si>
  <si>
    <t>30-Inch Bar Stool</t>
  </si>
  <si>
    <t>PF000305;PP000127</t>
  </si>
  <si>
    <t>8/16/2017</t>
  </si>
  <si>
    <t>HDDS,KOHLDSN,ROOMECOM</t>
  </si>
  <si>
    <t>GCEO3250</t>
  </si>
  <si>
    <t>12/20/2016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</si>
  <si>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</si>
  <si>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</si>
  <si>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</si>
  <si>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</si>
  <si>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</si>
  <si>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</si>
  <si>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</si>
  <si>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</si>
  <si>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Room Darkening</t>
  </si>
  <si>
    <t>10/7/2020</t>
  </si>
  <si>
    <t>NGIN1051</t>
  </si>
  <si>
    <t>10/16/2020</t>
  </si>
  <si>
    <t>1/8/2021</t>
  </si>
  <si>
    <t>5DS40-0284</t>
  </si>
  <si>
    <t>37x95"</t>
  </si>
  <si>
    <t>PP000910;PF006008</t>
  </si>
  <si>
    <t>6/13/2023</t>
  </si>
  <si>
    <t>6/27/2023</t>
  </si>
  <si>
    <t>7/27/2023</t>
  </si>
  <si>
    <t>5DS40-0287</t>
  </si>
  <si>
    <t>37x84"</t>
  </si>
  <si>
    <t>Grey/Copper</t>
  </si>
  <si>
    <t>PP000910;PF006132</t>
  </si>
  <si>
    <t>5/24/2024</t>
  </si>
  <si>
    <t>ASHFURNDS,JCPENNEY01</t>
  </si>
  <si>
    <t>8/23/2024</t>
  </si>
  <si>
    <t>5DS40-0285</t>
  </si>
  <si>
    <t>White/Gold</t>
  </si>
  <si>
    <t>PP000910;PF006131</t>
  </si>
  <si>
    <t>ASHFURNDS,JCPENNEY01,KOHLDSN,OLLIIX</t>
  </si>
  <si>
    <t>10/11/2024</t>
  </si>
  <si>
    <t>5DS40-0286</t>
  </si>
  <si>
    <t>ASHFURNDS,KOHLDSN,NRTPORT</t>
  </si>
  <si>
    <t>FMY011JBH</t>
  </si>
  <si>
    <t>Colton</t>
  </si>
  <si>
    <t>Robin</t>
  </si>
  <si>
    <t>Track Arm Club Chair</t>
  </si>
  <si>
    <t>PF000577;PP000128</t>
  </si>
  <si>
    <t>ASHFURNDS,KOHLDSN,MACY02F,OVERSTOCK01</t>
  </si>
  <si>
    <t>LGLY7485</t>
  </si>
  <si>
    <t>UH20-2466</t>
  </si>
  <si>
    <t>Comfort Cool Jersey Knit</t>
  </si>
  <si>
    <t>Nylon Blend Sheet Set</t>
  </si>
  <si>
    <t>PP001859;PF005950</t>
  </si>
  <si>
    <t>Jersey</t>
  </si>
  <si>
    <t>AMAZON,KOHLDSN,TGTDVS</t>
  </si>
  <si>
    <t>UBHB1276</t>
  </si>
  <si>
    <t>UH10-2506</t>
  </si>
  <si>
    <t>Oversized Down Alternative Comforter</t>
  </si>
  <si>
    <t>PP001912;PF006110</t>
  </si>
  <si>
    <t>12/6/2023</t>
  </si>
  <si>
    <t>AMAZON,AMAZONDS,KOHLDSN,MACY02,OLLIIX,OVERSTOCK01,TGTDVS</t>
  </si>
  <si>
    <t>UBHB1271</t>
  </si>
  <si>
    <t>12/11/2023</t>
  </si>
  <si>
    <t>UH20-2468</t>
  </si>
  <si>
    <t>AMAZON,KOHLDSN,MACY02,TGTDVS</t>
  </si>
  <si>
    <t>UH10-2508</t>
  </si>
  <si>
    <t>12/5/2023</t>
  </si>
  <si>
    <t>AMAZON,BLK01,KOHLDSN,MACY02,NRTPORT,OLLIIX,OVERSTOCK01,TGTDVS</t>
  </si>
  <si>
    <t>3/4/2024</t>
  </si>
  <si>
    <t>UH10-2500</t>
  </si>
  <si>
    <t>PF006108;PP001912</t>
  </si>
  <si>
    <t>AMAZON,AMAZONDS,KOHLDSN,MACY02,OLLIIX,TGTDVS</t>
  </si>
  <si>
    <t>UH20-2463</t>
  </si>
  <si>
    <t>PP001859;PF005949</t>
  </si>
  <si>
    <t>AMAZON,AMAZONDS,BLK01,JCPENNEY01,KOHLDSN,MACY02,OVERSTOCK01,TGTDVS</t>
  </si>
  <si>
    <t>4/22/2024</t>
  </si>
  <si>
    <t>UH20-2454</t>
  </si>
  <si>
    <t>PP001859;PF005948</t>
  </si>
  <si>
    <t>AMAZON,AMAZONDS,KOHLDSN,MACY02,OVERSTOCK01,TGTDVS</t>
  </si>
  <si>
    <t>4/28/2025</t>
  </si>
  <si>
    <t>UH10-2503</t>
  </si>
  <si>
    <t>PP001912;PF006109</t>
  </si>
  <si>
    <t>AMAZON,AMAZONDS,BLK01,KOHLDSN,MACY02,OVERSTOCK01,TGTDVS</t>
  </si>
  <si>
    <t>UH10-2504</t>
  </si>
  <si>
    <t>AMAZON,BLK01,KOHLDSN,MACY02,NRTPORT,OVERSTOCK01,TGTDVS</t>
  </si>
  <si>
    <t>SS40-0143</t>
  </si>
  <si>
    <t>Como</t>
  </si>
  <si>
    <t>Aberdeen</t>
  </si>
  <si>
    <t>Tonal Printed Faux Silk Room Darkening Curtain Panel Pair</t>
  </si>
  <si>
    <t>42x95"</t>
  </si>
  <si>
    <t>PP001428;PF004984</t>
  </si>
  <si>
    <t>1/3/2020</t>
  </si>
  <si>
    <t>DESINC,JCPENNEY01,KOHLDSN,TGTDVS</t>
  </si>
  <si>
    <t>TDFM1008</t>
  </si>
  <si>
    <t>1/6/2020</t>
  </si>
  <si>
    <t>1/20/2020</t>
  </si>
  <si>
    <t>MP40-7435</t>
  </si>
  <si>
    <t>Roman Shade</t>
  </si>
  <si>
    <t>Printed Faux Silk Room Darkening Cordless Roman Shade</t>
  </si>
  <si>
    <t>27x64"</t>
  </si>
  <si>
    <t>PP001428;PF004982</t>
  </si>
  <si>
    <t>5/17/2021</t>
  </si>
  <si>
    <t>NCWA2000</t>
  </si>
  <si>
    <t>5/21/2021</t>
  </si>
  <si>
    <t>10/8/2021</t>
  </si>
  <si>
    <t>MP40-7437</t>
  </si>
  <si>
    <t>33x64"</t>
  </si>
  <si>
    <t>7/9/2021</t>
  </si>
  <si>
    <t>MP40-7439</t>
  </si>
  <si>
    <t>39x64"</t>
  </si>
  <si>
    <t>AMAZONDS,HDDS,JCPENNEY01,TGTDVS</t>
  </si>
  <si>
    <t>SS40-0140</t>
  </si>
  <si>
    <t>PP001428;PF004983</t>
  </si>
  <si>
    <t>AMAZONDS,ASHFURNDS,DESINC,JCPENNEY01,KOHLDSN,OLLIIX,TGTDVS</t>
  </si>
  <si>
    <t>MP40-7446</t>
  </si>
  <si>
    <t>31x64"</t>
  </si>
  <si>
    <t>11/1/2021</t>
  </si>
  <si>
    <t>MP40-7447</t>
  </si>
  <si>
    <t>AMAZON,AMAZONDS,DESINC,JCPENNEY01,KOHLDSN</t>
  </si>
  <si>
    <t>MP40-7448</t>
  </si>
  <si>
    <t>35x64"</t>
  </si>
  <si>
    <t>AMAZON,AMAZONDS,DESINC,TGTDVS</t>
  </si>
  <si>
    <t>MP40-7449</t>
  </si>
  <si>
    <t>AMAZON,AMAZONDS,KOHLDSN,TGTDVS</t>
  </si>
  <si>
    <t>BR55-4071</t>
  </si>
  <si>
    <t>ELEC MATT PAD</t>
  </si>
  <si>
    <t>Elect Matt Pad</t>
  </si>
  <si>
    <t>Cool Touch</t>
  </si>
  <si>
    <t>Heated Mattress Pad</t>
  </si>
  <si>
    <t>PP001881;PF005998</t>
  </si>
  <si>
    <t>TCKF1641</t>
  </si>
  <si>
    <t>10/30/2023</t>
  </si>
  <si>
    <t>12/12/2023</t>
  </si>
  <si>
    <t>BR55-4073</t>
  </si>
  <si>
    <t>BLK01,BLOOM02,JCPENNEY01,MACY02</t>
  </si>
  <si>
    <t>11/6/2023</t>
  </si>
  <si>
    <t>HHD10-1935</t>
  </si>
  <si>
    <t>Cooling</t>
  </si>
  <si>
    <t>Reversible Tencel Comforter Blanket</t>
  </si>
  <si>
    <t>Nylon</t>
  </si>
  <si>
    <t>6/19/2025</t>
  </si>
  <si>
    <t>1/6/2026</t>
  </si>
  <si>
    <t>HUH10134</t>
  </si>
  <si>
    <t>HHD20-1903</t>
  </si>
  <si>
    <t>Stretch Jersey Sheet Set</t>
  </si>
  <si>
    <t>12/6/2025</t>
  </si>
  <si>
    <t>HUH10133</t>
  </si>
  <si>
    <t>HHD20-1904</t>
  </si>
  <si>
    <t>AMAZON,NRTPORT</t>
  </si>
  <si>
    <t>HHD10-1936</t>
  </si>
  <si>
    <t>HHD20-1905</t>
  </si>
  <si>
    <t>HHD20-1906</t>
  </si>
  <si>
    <t>HHD10-1931</t>
  </si>
  <si>
    <t>AMAZONDS,HHLD2C</t>
  </si>
  <si>
    <t>HHD10-1932</t>
  </si>
  <si>
    <t>HHD20-1907</t>
  </si>
  <si>
    <t>HHLD2C,NRTPORT</t>
  </si>
  <si>
    <t>HHD20-1908</t>
  </si>
  <si>
    <t>AMAZON,AMAZONDS</t>
  </si>
  <si>
    <t>HHD20-1909</t>
  </si>
  <si>
    <t>HHLD2C,NRTPORT,OLLIIX</t>
  </si>
  <si>
    <t>HHD20-1910</t>
  </si>
  <si>
    <t>HHD10-1929</t>
  </si>
  <si>
    <t>HHD20-1899</t>
  </si>
  <si>
    <t>NRTPORT,OVERSTOCK01</t>
  </si>
  <si>
    <t>HHD20-1900</t>
  </si>
  <si>
    <t>AMAZONDS,HHLD2C,NRTPORT</t>
  </si>
  <si>
    <t>HHD10-1930</t>
  </si>
  <si>
    <t>HHD20-1901</t>
  </si>
  <si>
    <t>HHD20-1902</t>
  </si>
  <si>
    <t>HHD10-1933</t>
  </si>
  <si>
    <t>AMAZON,HHLD2C</t>
  </si>
  <si>
    <t>HHD10-1934</t>
  </si>
  <si>
    <t>AMAZON,HHLD2C,NRTPORT</t>
  </si>
  <si>
    <t>HHD10-1927</t>
  </si>
  <si>
    <t>HHD20-1895</t>
  </si>
  <si>
    <t>HHD20-1896</t>
  </si>
  <si>
    <t>HHD10-1928</t>
  </si>
  <si>
    <t>HHD20-1897</t>
  </si>
  <si>
    <t>HHD20-1898</t>
  </si>
  <si>
    <t>SI50-0024</t>
  </si>
  <si>
    <t>Cooling Touch</t>
  </si>
  <si>
    <t>Down Alternative Throw</t>
  </si>
  <si>
    <t>PP001964;PF006252</t>
  </si>
  <si>
    <t>6/4/2024</t>
  </si>
  <si>
    <t>AMAZON,BLK01,HDDS,KOHLDSN,MACY02,OVERSTOCK01,TGTDVS</t>
  </si>
  <si>
    <t>SAI10133</t>
  </si>
  <si>
    <t>Tier S-E</t>
  </si>
  <si>
    <t>SI50-0021</t>
  </si>
  <si>
    <t>PP001964;PF006249</t>
  </si>
  <si>
    <t>AMAZON,HDDS,KOHLDSN,MACY02,TGTDVS</t>
  </si>
  <si>
    <t>11/22/2024</t>
  </si>
  <si>
    <t>SI50-0022</t>
  </si>
  <si>
    <t>Tan</t>
  </si>
  <si>
    <t>PP001964;PF006250</t>
  </si>
  <si>
    <t>AMAZON,HDDS,KIRKLANDDS,KOHLDSN,MACY02,TGTDVS</t>
  </si>
  <si>
    <t>SI10-0018</t>
  </si>
  <si>
    <t>PP001962;PF006247</t>
  </si>
  <si>
    <t>7/3/2024</t>
  </si>
  <si>
    <t>SAI10131</t>
  </si>
  <si>
    <t>7/10/2024</t>
  </si>
  <si>
    <t>SI51-0012</t>
  </si>
  <si>
    <t>Down Alternative Blanket</t>
  </si>
  <si>
    <t>PP001965;PF006253</t>
  </si>
  <si>
    <t>AMAZON,AMAZONDS,BLK01,HDDS,JCPENNEY01,KOHLDSN,MACY02,TGTDVS</t>
  </si>
  <si>
    <t>SAI10132</t>
  </si>
  <si>
    <t>SI10-0019</t>
  </si>
  <si>
    <t>SI51-0013</t>
  </si>
  <si>
    <t>AMAZON,AMAZONDS,BLK01,HDDS,JCPENNEY01,KOHLDSN,MACY02,OVERSTOCK01,TGTDVS</t>
  </si>
  <si>
    <t>MZK10-268</t>
  </si>
  <si>
    <t>Mi Zone Kids</t>
  </si>
  <si>
    <t>Elsie</t>
  </si>
  <si>
    <t>Sophie</t>
  </si>
  <si>
    <t>Pompom Clip Jacquard Comforter Set</t>
  </si>
  <si>
    <t>PF006137</t>
  </si>
  <si>
    <t>3/5/2024</t>
  </si>
  <si>
    <t>AMAZONDS,HDDS,JCPENNEY01,KOHLDSN,OLLIIX,TGTDVS</t>
  </si>
  <si>
    <t>NDHB1049</t>
  </si>
  <si>
    <t>4/1/2024</t>
  </si>
  <si>
    <t>6/25/2024</t>
  </si>
  <si>
    <t>ST54-0290</t>
  </si>
  <si>
    <t>Serta</t>
  </si>
  <si>
    <t>Electric Blanket</t>
  </si>
  <si>
    <t>Corded Plush</t>
  </si>
  <si>
    <t>Heated Blanket</t>
  </si>
  <si>
    <t>PP001892;PF006035</t>
  </si>
  <si>
    <t>JCPENNEY01,KOHLDSN,TGTDVS</t>
  </si>
  <si>
    <t>LF10306</t>
  </si>
  <si>
    <t>11/8/2023</t>
  </si>
  <si>
    <t>1/24/2024</t>
  </si>
  <si>
    <t>ST54-0291</t>
  </si>
  <si>
    <t>9/21/2023</t>
  </si>
  <si>
    <t>JCPENNEY01,MACY02</t>
  </si>
  <si>
    <t>11/1/2023</t>
  </si>
  <si>
    <t>11/21/2023</t>
  </si>
  <si>
    <t>ST54-0292</t>
  </si>
  <si>
    <t>ST54-0293</t>
  </si>
  <si>
    <t>12/8/2023</t>
  </si>
  <si>
    <t>ST54-0294</t>
  </si>
  <si>
    <t>PP001892;PF006036</t>
  </si>
  <si>
    <t>11/29/2023</t>
  </si>
  <si>
    <t>ST54-0295</t>
  </si>
  <si>
    <t>JCPENNEY01,KOHLDSN,OVERSTOCK01</t>
  </si>
  <si>
    <t>12/20/2023</t>
  </si>
  <si>
    <t>ST54-0296</t>
  </si>
  <si>
    <t>ST54-0297</t>
  </si>
  <si>
    <t>ST54-0288</t>
  </si>
  <si>
    <t>PP001892;PF006034</t>
  </si>
  <si>
    <t>12/2/2023</t>
  </si>
  <si>
    <t>ST54-0289</t>
  </si>
  <si>
    <t>ST54-0282</t>
  </si>
  <si>
    <t>PP001892;PF006033</t>
  </si>
  <si>
    <t>1/8/2024</t>
  </si>
  <si>
    <t>ST54-0283</t>
  </si>
  <si>
    <t>JCPENNEY01,OVERSTOCK01,TGTDVS</t>
  </si>
  <si>
    <t>12/18/2023</t>
  </si>
  <si>
    <t>ST54-0284</t>
  </si>
  <si>
    <t>CCL40-0056</t>
  </si>
  <si>
    <t>Cornelli</t>
  </si>
  <si>
    <t>Embroidery Curtain Panel (Single)</t>
  </si>
  <si>
    <t>52x96"</t>
  </si>
  <si>
    <t>DESINC,DLCROSCILL,JCPENNEY01</t>
  </si>
  <si>
    <t>CKSC1007</t>
  </si>
  <si>
    <t>9/19/2023</t>
  </si>
  <si>
    <t>CCL40-0055</t>
  </si>
  <si>
    <t>52x84"</t>
  </si>
  <si>
    <t>DLCROSCILL,JCPENNEY01</t>
  </si>
  <si>
    <t>CCL40-0054</t>
  </si>
  <si>
    <t>9/12/2023</t>
  </si>
  <si>
    <t>CCL40-0053</t>
  </si>
  <si>
    <t>CC71-0040</t>
  </si>
  <si>
    <t>BATH ACCESSORIES</t>
  </si>
  <si>
    <t>Bath Accessory</t>
  </si>
  <si>
    <t>Corsica</t>
  </si>
  <si>
    <t>Silver Marbled Resin Tumbler</t>
  </si>
  <si>
    <t>10/17/2022</t>
  </si>
  <si>
    <t>CFSC1005</t>
  </si>
  <si>
    <t>UH95C-0030</t>
  </si>
  <si>
    <t>Cosmic Curl</t>
  </si>
  <si>
    <t>3-piece Framed Canvas Wall Art Set</t>
  </si>
  <si>
    <t>Black/Taupe</t>
  </si>
  <si>
    <t>PP001611</t>
  </si>
  <si>
    <t>2/10/2021</t>
  </si>
  <si>
    <t>AMERSIGNDS,HDDS,KIRKLANDDS,KOHLDSN,OLLIIX,ZOLA</t>
  </si>
  <si>
    <t>UBHB1227</t>
  </si>
  <si>
    <t>2/23/2021</t>
  </si>
  <si>
    <t>3/31/2021</t>
  </si>
  <si>
    <t>AM20-0603</t>
  </si>
  <si>
    <t>Cotton 144TC</t>
  </si>
  <si>
    <t>100% Cotton Solid Sheet Set</t>
  </si>
  <si>
    <t>8/9/2025</t>
  </si>
  <si>
    <t>NGIN1226</t>
  </si>
  <si>
    <t>AM20-0604</t>
  </si>
  <si>
    <t>AM20-0361</t>
  </si>
  <si>
    <t>PP001988;PF006385</t>
  </si>
  <si>
    <t>AMAZON,HDDS,KOHLDSN,MACY02,NRTPORT</t>
  </si>
  <si>
    <t>10/10/2024</t>
  </si>
  <si>
    <t>2/3/2025</t>
  </si>
  <si>
    <t>AM20-0362</t>
  </si>
  <si>
    <t>AMAZON,MACY02,OVERSTOCK01</t>
  </si>
  <si>
    <t>AM20-0363</t>
  </si>
  <si>
    <t>7/1/2025</t>
  </si>
  <si>
    <t>AM20-0364</t>
  </si>
  <si>
    <t>AMAZONDS,HDDS,MACY02</t>
  </si>
  <si>
    <t>10/15/2024</t>
  </si>
  <si>
    <t>AM20-0347</t>
  </si>
  <si>
    <t>Dark Gray</t>
  </si>
  <si>
    <t>PP001988;PF006382</t>
  </si>
  <si>
    <t>AMAZON,AMAZONDS,DESINC,KOHLDSN,NRTPORT</t>
  </si>
  <si>
    <t>AM20-0348</t>
  </si>
  <si>
    <t>10/3/2025</t>
  </si>
  <si>
    <t>AMAZON,AMAZONDS,HDDS,KOHLDSN,TGTDVS</t>
  </si>
  <si>
    <t>12/1/2024</t>
  </si>
  <si>
    <t>AM20-0349</t>
  </si>
  <si>
    <t>7/12/2024</t>
  </si>
  <si>
    <t>1/13/2026</t>
  </si>
  <si>
    <t>AMAZON,MACY02,NRTPORT</t>
  </si>
  <si>
    <t>11/19/2024</t>
  </si>
  <si>
    <t>AM20-0351</t>
  </si>
  <si>
    <t>AMAZON,AMAZONDS,KOHLDSN,MACY02</t>
  </si>
  <si>
    <t>9/26/2024</t>
  </si>
  <si>
    <t>AM20-0352</t>
  </si>
  <si>
    <t>AM20-0475</t>
  </si>
  <si>
    <t>Printed Cotton Sheets</t>
  </si>
  <si>
    <t>Diamond Blue</t>
  </si>
  <si>
    <t>HDDS,KOHLDSN,NRTPORT,OLLIIX,OVERSTOCK01</t>
  </si>
  <si>
    <t>12/5/2024</t>
  </si>
  <si>
    <t>5/9/2025</t>
  </si>
  <si>
    <t>AM20-0477</t>
  </si>
  <si>
    <t>KOHLDSN,NRTPORT</t>
  </si>
  <si>
    <t>7/29/2025</t>
  </si>
  <si>
    <t>AM20-0479</t>
  </si>
  <si>
    <t>DESINC,KOHLDSN,OVERSTOCK01</t>
  </si>
  <si>
    <t>AM20-0482</t>
  </si>
  <si>
    <t>Diamond Grey</t>
  </si>
  <si>
    <t>BLK01,HDDS,KOHLDSN,OVERSTOCK01</t>
  </si>
  <si>
    <t>1/28/2025</t>
  </si>
  <si>
    <t>AM20-0484</t>
  </si>
  <si>
    <t>HDDS,KOHLDSN</t>
  </si>
  <si>
    <t>AM20-0485</t>
  </si>
  <si>
    <t>HDDS,NRTPORT</t>
  </si>
  <si>
    <t>AM20-0601</t>
  </si>
  <si>
    <t>AM20-0602</t>
  </si>
  <si>
    <t>AM20-0360</t>
  </si>
  <si>
    <t>PP001988;PF006384</t>
  </si>
  <si>
    <t>AMAZONDS,HDDS</t>
  </si>
  <si>
    <t>AM20-0599</t>
  </si>
  <si>
    <t>9/18/2025</t>
  </si>
  <si>
    <t>AM20-0600</t>
  </si>
  <si>
    <t>AM20-0353</t>
  </si>
  <si>
    <t>PP001988;PF006383</t>
  </si>
  <si>
    <t>AMAZONDS,KOHLDSN,NRTPORT</t>
  </si>
  <si>
    <t>12/27/2024</t>
  </si>
  <si>
    <t>AM20-0356</t>
  </si>
  <si>
    <t>AMAZONDS,KOHLDSN</t>
  </si>
  <si>
    <t>AM20-0346</t>
  </si>
  <si>
    <t>PP001988;PF006381</t>
  </si>
  <si>
    <t>BR55-0202</t>
  </si>
  <si>
    <t>Cotton Blend</t>
  </si>
  <si>
    <t>PF003436</t>
  </si>
  <si>
    <t>AMAZON,HSNDS,JCPENNEY01,KOHLDSN,MACY02,OVERSTOCK01,WALMARTDS</t>
  </si>
  <si>
    <t>AAHR1040</t>
  </si>
  <si>
    <t>ID20-2462</t>
  </si>
  <si>
    <t>Cotton Blend Jersey Knit</t>
  </si>
  <si>
    <t>All Season Sheet Set</t>
  </si>
  <si>
    <t>PP001991;PF006396</t>
  </si>
  <si>
    <t>EBRD5172</t>
  </si>
  <si>
    <t>ID20-2463</t>
  </si>
  <si>
    <t>10/30/2024</t>
  </si>
  <si>
    <t>AMAZONDS,JCPENNEY01,MACY02,TGTDVS</t>
  </si>
  <si>
    <t>ID20-2456</t>
  </si>
  <si>
    <t>PP001991;PF006395</t>
  </si>
  <si>
    <t>1/7/2026</t>
  </si>
  <si>
    <t>AMAZON,MACY02,OLLIIX,TGTDVS</t>
  </si>
  <si>
    <t>ID20-2451</t>
  </si>
  <si>
    <t>PP001991;PF006394</t>
  </si>
  <si>
    <t>11/12/2024</t>
  </si>
  <si>
    <t>AMAZON,HDDS,JCPENNEY01,KOHLDSN,MACY02</t>
  </si>
  <si>
    <t>5/13/2025</t>
  </si>
  <si>
    <t>WR20-4091</t>
  </si>
  <si>
    <t>Cotton Flannel</t>
  </si>
  <si>
    <t>100% Cotton Flannel Printed Sheet Set</t>
  </si>
  <si>
    <t>Andrews</t>
  </si>
  <si>
    <t>Flannel</t>
  </si>
  <si>
    <t>8/22/2025</t>
  </si>
  <si>
    <t>XBYB1077</t>
  </si>
  <si>
    <t>WR20-4092</t>
  </si>
  <si>
    <t>WR20-4093</t>
  </si>
  <si>
    <t>WR20-4094</t>
  </si>
  <si>
    <t>WR20-4095</t>
  </si>
  <si>
    <t>8/21/2025</t>
  </si>
  <si>
    <t>WR20-3958</t>
  </si>
  <si>
    <t>Black Pine Trees</t>
  </si>
  <si>
    <t>PP000952;PF006050</t>
  </si>
  <si>
    <t>Novelty</t>
  </si>
  <si>
    <t>7/26/2023</t>
  </si>
  <si>
    <t>WLR1263</t>
  </si>
  <si>
    <t>WR20-3959</t>
  </si>
  <si>
    <t>WR20-3960</t>
  </si>
  <si>
    <t>AMAZON,KOHLDSN,MACY02,OVERSTOCK01,TGTDVS</t>
  </si>
  <si>
    <t>11/10/2023</t>
  </si>
  <si>
    <t>WR20-3961</t>
  </si>
  <si>
    <t>AMAZON,AMAZONDS,FINGERHUTDS,JCPENNEY01,KOHLDSN,MACY02,OVERSTOCK01,TGTDVS</t>
  </si>
  <si>
    <t>WR20-3962</t>
  </si>
  <si>
    <t>WR20-3313</t>
  </si>
  <si>
    <t>Black/White Scottie Dogs</t>
  </si>
  <si>
    <t>PP001647;PF005505</t>
  </si>
  <si>
    <t>9/7/2021</t>
  </si>
  <si>
    <t>10/9/2021</t>
  </si>
  <si>
    <t>9/14/2022</t>
  </si>
  <si>
    <t>WR20-2044</t>
  </si>
  <si>
    <t>Blue Plaid</t>
  </si>
  <si>
    <t>PF002306</t>
  </si>
  <si>
    <t>9/28/2017</t>
  </si>
  <si>
    <t>AMAZON,FINGERHUTDS,JCPENNEY01,KOHLDSN,MACY02,OLLIIX,OVERSTOCK01</t>
  </si>
  <si>
    <t>WR20-2045</t>
  </si>
  <si>
    <t>AMAZON,AMAZONDS,FINGERHUTDS,JCPENNEY01,KOHLDSN,MACY02,OLLIIX</t>
  </si>
  <si>
    <t>12/12/2017</t>
  </si>
  <si>
    <t>WR20-2281</t>
  </si>
  <si>
    <t>Blue Sheep</t>
  </si>
  <si>
    <t>PP000952;PF004385</t>
  </si>
  <si>
    <t>8/7/2018</t>
  </si>
  <si>
    <t>AAFESDS,AMAZON,MACY02,TGTDVS,WALMARTDS</t>
  </si>
  <si>
    <t>9/5/2018</t>
  </si>
  <si>
    <t>10/23/2018</t>
  </si>
  <si>
    <t>WR20-3999</t>
  </si>
  <si>
    <t>Blue Snowflake</t>
  </si>
  <si>
    <t>PF002274;PP000952</t>
  </si>
  <si>
    <t>9/17/2024</t>
  </si>
  <si>
    <t>11/20/2024</t>
  </si>
  <si>
    <t>WR20-4000</t>
  </si>
  <si>
    <t>WR20-1788</t>
  </si>
  <si>
    <t>PF002274</t>
  </si>
  <si>
    <t>AAFESDS,AMAZON,BLK01,JCPENNEY01,KOHLDSN,MACY02,TGTDVS,WALMARTDS</t>
  </si>
  <si>
    <t>WR20-1789</t>
  </si>
  <si>
    <t>10/4/2016</t>
  </si>
  <si>
    <t>WR20-2031</t>
  </si>
  <si>
    <t>Blue Winter Frost</t>
  </si>
  <si>
    <t>PF002302</t>
  </si>
  <si>
    <t>11/7/2025</t>
  </si>
  <si>
    <t>AMAZON,FINGERHUTDS,HDDS,JCPENNEY01,KOHLDSN,MACY02,OVERSTOCK01,WALMARTDS</t>
  </si>
  <si>
    <t>WR20-2032</t>
  </si>
  <si>
    <t>11/13/2017</t>
  </si>
  <si>
    <t>WR20-2033</t>
  </si>
  <si>
    <t>AMAZONDS,HDDS,HSNDS,JCPENNEY01,MACY02</t>
  </si>
  <si>
    <t>WR20-1798</t>
  </si>
  <si>
    <t>Brown Plaid</t>
  </si>
  <si>
    <t>PF002272</t>
  </si>
  <si>
    <t>AAFESDS,AMAZON,AMAZONDS,MACY02,WALMARTDS</t>
  </si>
  <si>
    <t>10/13/2016</t>
  </si>
  <si>
    <t>WR20-4101</t>
  </si>
  <si>
    <t>Finton</t>
  </si>
  <si>
    <t>WR20-4102</t>
  </si>
  <si>
    <t>WR20-4103</t>
  </si>
  <si>
    <t>WR20-4104</t>
  </si>
  <si>
    <t>WR20-4105</t>
  </si>
  <si>
    <t>WR20-3989</t>
  </si>
  <si>
    <t>Gray Deer Toile</t>
  </si>
  <si>
    <t>PP000952;PF006331</t>
  </si>
  <si>
    <t>Scenic</t>
  </si>
  <si>
    <t>10/1/2025</t>
  </si>
  <si>
    <t>1/6/2025</t>
  </si>
  <si>
    <t>WR20-3990</t>
  </si>
  <si>
    <t>WR20-3993</t>
  </si>
  <si>
    <t>AMAZONDS,JCPENNEY01,MACY02</t>
  </si>
  <si>
    <t>WR20-4004</t>
  </si>
  <si>
    <t>PF002271;PP000952</t>
  </si>
  <si>
    <t>9/18/2024</t>
  </si>
  <si>
    <t>HDDS,JCPENNEY01,OLLIIX,OVERSTOCK01,TGTDVS</t>
  </si>
  <si>
    <t>WR20-4005</t>
  </si>
  <si>
    <t>WR20-3953</t>
  </si>
  <si>
    <t>Green Tree Trip</t>
  </si>
  <si>
    <t>PP000952;PF006049</t>
  </si>
  <si>
    <t>11/13/2023</t>
  </si>
  <si>
    <t>WR20-3954</t>
  </si>
  <si>
    <t>11/9/2023</t>
  </si>
  <si>
    <t>WR20-3956</t>
  </si>
  <si>
    <t>WR20-3957</t>
  </si>
  <si>
    <t>WR20-3984</t>
  </si>
  <si>
    <t>Green Trees &amp; Trucks</t>
  </si>
  <si>
    <t>PP000952;PF006330</t>
  </si>
  <si>
    <t>AMAZON,JCPENNEY01</t>
  </si>
  <si>
    <t>10/28/2024</t>
  </si>
  <si>
    <t>12/4/2024</t>
  </si>
  <si>
    <t>WR20-3985</t>
  </si>
  <si>
    <t>WR20-3986</t>
  </si>
  <si>
    <t>HDDS,KOHLDSN,MACY02,TGTDVS</t>
  </si>
  <si>
    <t>2/12/2025</t>
  </si>
  <si>
    <t>WR20-3987</t>
  </si>
  <si>
    <t>AMAZON,BLK01,TGTDVS</t>
  </si>
  <si>
    <t>WR20-3988</t>
  </si>
  <si>
    <t>WR20-2282</t>
  </si>
  <si>
    <t>Grey Moose</t>
  </si>
  <si>
    <t>PP000952;PF004384</t>
  </si>
  <si>
    <t>11/1/2025</t>
  </si>
  <si>
    <t>10/24/2018</t>
  </si>
  <si>
    <t>WR20-2283</t>
  </si>
  <si>
    <t>AAFESDS,AMAZON,JCPENNEY01,KOHLDSN,MACY02</t>
  </si>
  <si>
    <t>11/1/2018</t>
  </si>
  <si>
    <t>WR20-2284</t>
  </si>
  <si>
    <t>11/7/2018</t>
  </si>
  <si>
    <t>WR20-2047</t>
  </si>
  <si>
    <t>Grey Plaid</t>
  </si>
  <si>
    <t>PF002307</t>
  </si>
  <si>
    <t>9/29/2017</t>
  </si>
  <si>
    <t>WR20-4008</t>
  </si>
  <si>
    <t>Grey Ski Jump</t>
  </si>
  <si>
    <t>PP000952;PF006340</t>
  </si>
  <si>
    <t>WR20-4009</t>
  </si>
  <si>
    <t>WR20-4010</t>
  </si>
  <si>
    <t>1/3/2025</t>
  </si>
  <si>
    <t>WR20-4011</t>
  </si>
  <si>
    <t>WR20-4012</t>
  </si>
  <si>
    <t>WR20-4086</t>
  </si>
  <si>
    <t>Pine Branches</t>
  </si>
  <si>
    <t>WR20-4087</t>
  </si>
  <si>
    <t>WR20-4088</t>
  </si>
  <si>
    <t>WR20-4089</t>
  </si>
  <si>
    <t>WR20-4090</t>
  </si>
  <si>
    <t>WR20-4001</t>
  </si>
  <si>
    <t>Red Plaid</t>
  </si>
  <si>
    <t>PF002273;PP000952</t>
  </si>
  <si>
    <t>WR20-4002</t>
  </si>
  <si>
    <t>AMAZONDS,HDDS,JCPENNEY01,KOHLDSN,MACY02,TGTDVS</t>
  </si>
  <si>
    <t>WR20-1800</t>
  </si>
  <si>
    <t>PF002273</t>
  </si>
  <si>
    <t>AMAZON,AMAZONDS,BLK01,FINGERHUTDS,JCPENNEY01,KOHLDSN,MACY02,OLLIIX</t>
  </si>
  <si>
    <t>WR20-1801</t>
  </si>
  <si>
    <t>8/29/2017</t>
  </si>
  <si>
    <t>AMAZON,AMAZONDS,FINGERHUTDS,HSNDS,JCPENNEY01,KOHLDSN,MACY02,OLLIIX,WALMARTDS</t>
  </si>
  <si>
    <t>10/19/2016</t>
  </si>
  <si>
    <t>WR20-2287</t>
  </si>
  <si>
    <t>Red/Black Buffalo Check</t>
  </si>
  <si>
    <t>AMAZONDS,JCPENNEY01,KOHLDSN,MACY02,NRTPORT,OVERSTOCK01</t>
  </si>
  <si>
    <t>WR20-4096</t>
  </si>
  <si>
    <t>Stag Head</t>
  </si>
  <si>
    <t>WR20-4097</t>
  </si>
  <si>
    <t>WR20-4098</t>
  </si>
  <si>
    <t>WR20-4099</t>
  </si>
  <si>
    <t>WR20-4100</t>
  </si>
  <si>
    <t>WR20-2071</t>
  </si>
  <si>
    <t>Tan Cars</t>
  </si>
  <si>
    <t>PF002312</t>
  </si>
  <si>
    <t>AMAZON,BLK01,JCPENNEY01,KOHLDSN,MACY02,OVERSTOCK01,WALMARTDS</t>
  </si>
  <si>
    <t>11/15/2017</t>
  </si>
  <si>
    <t>WR20-2041</t>
  </si>
  <si>
    <t>PF002305</t>
  </si>
  <si>
    <t>WR20-2042</t>
  </si>
  <si>
    <t>AMAZON,FINGERHUTDS,JCPENNEY01,MACY02</t>
  </si>
  <si>
    <t>11/14/2017</t>
  </si>
  <si>
    <t>WR20-2069</t>
  </si>
  <si>
    <t>Tan Dog</t>
  </si>
  <si>
    <t>PF002311</t>
  </si>
  <si>
    <t>AMAZON,KOHLDSN,MACY02,WALMARTDS</t>
  </si>
  <si>
    <t>12/3/2018</t>
  </si>
  <si>
    <t>WR20-2037</t>
  </si>
  <si>
    <t>PF002304</t>
  </si>
  <si>
    <t>9/21/2017</t>
  </si>
  <si>
    <t>11/30/2017</t>
  </si>
  <si>
    <t>WR20-2038</t>
  </si>
  <si>
    <t>WR20-2039</t>
  </si>
  <si>
    <t>AMAZON,AMAZONDS,JCPENNEY01,KOHLDSN,MACY02,TGTDVS,WALMARTDS</t>
  </si>
  <si>
    <t>WR20-3994</t>
  </si>
  <si>
    <t>Tan Plaid</t>
  </si>
  <si>
    <t>PP000952;PF006332</t>
  </si>
  <si>
    <t>9/16/2024</t>
  </si>
  <si>
    <t>WR20-3995</t>
  </si>
  <si>
    <t>AMAZONDS,JCPENNEY01,KOHLDSN,MACY02</t>
  </si>
  <si>
    <t>10/16/2024</t>
  </si>
  <si>
    <t>WR20-3997</t>
  </si>
  <si>
    <t>WR20-3998</t>
  </si>
  <si>
    <t>11/21/2024</t>
  </si>
  <si>
    <t>TN20-0359</t>
  </si>
  <si>
    <t>Cozy Cotton Flannel</t>
  </si>
  <si>
    <t>Printed Sheet Set</t>
  </si>
  <si>
    <t>Aqua Dots</t>
  </si>
  <si>
    <t>PP000954;PF004388</t>
  </si>
  <si>
    <t>8/29/2018</t>
  </si>
  <si>
    <t>10/2/2025</t>
  </si>
  <si>
    <t>AMAZON,AMAZONDS,DESINC,JCPENNEY01,MACY02,OLLIIX,TGTDVS</t>
  </si>
  <si>
    <t>HLDY4705</t>
  </si>
  <si>
    <t>10/7/2018</t>
  </si>
  <si>
    <t>10/4/2019</t>
  </si>
  <si>
    <t>TN20-0361</t>
  </si>
  <si>
    <t>AMAZON,AMAZONDS,DESINC,JCPENNEY01,MACY02,OVERSTOCK01,TGTDVS</t>
  </si>
  <si>
    <t>10/3/2018</t>
  </si>
  <si>
    <t>1/17/2020</t>
  </si>
  <si>
    <t>TN20-0362</t>
  </si>
  <si>
    <t>AMAZON,AMAZONDS,BLK01,DESINC,JCPENNEY01,KOHLDSN,MACY02,TGTDVS</t>
  </si>
  <si>
    <t>9/10/2018</t>
  </si>
  <si>
    <t>11/15/2019</t>
  </si>
  <si>
    <t>TN20-0363</t>
  </si>
  <si>
    <t>AMAZON,AMAZONDS,BLK01,JCPENNEY01,KOHLDSN,MACY02,NRTPORT</t>
  </si>
  <si>
    <t>12/31/2019</t>
  </si>
  <si>
    <t>TN20-0222</t>
  </si>
  <si>
    <t>Aqua French Bulldog</t>
  </si>
  <si>
    <t>PF002289</t>
  </si>
  <si>
    <t>AMAZON,AMAZONDS,DESINC,FINGERHUTDS,JCPENNEY01,KOHLDSN,MACY02,TGTDVS</t>
  </si>
  <si>
    <t>3/1/2019</t>
  </si>
  <si>
    <t>TN20-0223</t>
  </si>
  <si>
    <t>AMAZON,FINGERHUTDS,JCPENNEY01,KOHLDSN,MACY02,NRTPORT,OVERSTOCK01,TGTDVS</t>
  </si>
  <si>
    <t>11/22/2017</t>
  </si>
  <si>
    <t>TN20-0225</t>
  </si>
  <si>
    <t>AMAZON,AMAZONDS,BLK01,DESINC,FINGERHUTDS,JCPENNEY01,KOHLDSN,MACY02,TGTDVS</t>
  </si>
  <si>
    <t>11/26/2019</t>
  </si>
  <si>
    <t>TN20-0226</t>
  </si>
  <si>
    <t>1/11/2021</t>
  </si>
  <si>
    <t>TN20-0410</t>
  </si>
  <si>
    <t>Bear</t>
  </si>
  <si>
    <t>PP000954;PF004714</t>
  </si>
  <si>
    <t>7/25/2019</t>
  </si>
  <si>
    <t>AMAZON,AMAZONDS,JCPENNEY01,KOHLDSN,MACY02,TGTDVS</t>
  </si>
  <si>
    <t>11/6/2019</t>
  </si>
  <si>
    <t>TN20-0412</t>
  </si>
  <si>
    <t>AMAZON,AMAZONDS,JCPENNEY01,MACY02,TGTDVS,WALMARTDS</t>
  </si>
  <si>
    <t>11/5/2019</t>
  </si>
  <si>
    <t>TN20-0413</t>
  </si>
  <si>
    <t>AMAZON,DESINC,JCPENNEY01,KOHLDSN,MACY02,WALMARTDS</t>
  </si>
  <si>
    <t>11/1/2019</t>
  </si>
  <si>
    <t>TN20-0414</t>
  </si>
  <si>
    <t>AMAZON,BLK01,JCPENNEY01,KOHLDSN,WALMARTDS</t>
  </si>
  <si>
    <t>11/4/2019</t>
  </si>
  <si>
    <t>TN20-0638</t>
  </si>
  <si>
    <t>Beige Windowpane</t>
  </si>
  <si>
    <t>TN20-0639</t>
  </si>
  <si>
    <t>TN20-0608</t>
  </si>
  <si>
    <t>TN20-0609</t>
  </si>
  <si>
    <t>TN20-0610</t>
  </si>
  <si>
    <t>TN20-0634</t>
  </si>
  <si>
    <t>Beige/White Stripes</t>
  </si>
  <si>
    <t>TN20-0635</t>
  </si>
  <si>
    <t>TN20-0599</t>
  </si>
  <si>
    <t>TN20-0600</t>
  </si>
  <si>
    <t>TN20-0601</t>
  </si>
  <si>
    <t>TN20-0602</t>
  </si>
  <si>
    <t>TN20-0642</t>
  </si>
  <si>
    <t>Black Snowflakes</t>
  </si>
  <si>
    <t>TN20-0643</t>
  </si>
  <si>
    <t>TN20-0615</t>
  </si>
  <si>
    <t>TN20-0616</t>
  </si>
  <si>
    <t>TN20-0617</t>
  </si>
  <si>
    <t>TN20-0618</t>
  </si>
  <si>
    <t>TN20-0386</t>
  </si>
  <si>
    <t>Blue Forest</t>
  </si>
  <si>
    <t>PP000954;PF004392</t>
  </si>
  <si>
    <t>AMAZON,AMAZONDS,DESINC,HSNDS,JCPENNEY01,KOHLDSN,MACY02,OLLIIX,OVERSTOCK01,TGTDVS,WALMARTDS</t>
  </si>
  <si>
    <t>11/12/2018</t>
  </si>
  <si>
    <t>TN20-0387</t>
  </si>
  <si>
    <t>AMAZON,FINGERHUTDS,HSNDS,JCPENNEY01,KOHLDSN,OLLIIX</t>
  </si>
  <si>
    <t>TN20-0245</t>
  </si>
  <si>
    <t>PF002292</t>
  </si>
  <si>
    <t>AMAZON,JCPENNEY01,KOHLDSN,MACY02,NRTPORT,TGTDVS,WALMARTDS</t>
  </si>
  <si>
    <t>11/25/2019</t>
  </si>
  <si>
    <t>TN20-0081</t>
  </si>
  <si>
    <t>PF002280</t>
  </si>
  <si>
    <t>4/21/2017</t>
  </si>
  <si>
    <t>AMAZON,AMAZONDS,BLK01,JCPENNEY01,KOHLDSN,MACY02,WALMARTDS</t>
  </si>
  <si>
    <t>12/4/2018</t>
  </si>
  <si>
    <t>TN20-0263</t>
  </si>
  <si>
    <t>Blue Polar Bears</t>
  </si>
  <si>
    <t>PF002295</t>
  </si>
  <si>
    <t>AMAZON,AMAZONDS,JCPENNEY01,KOHLDSN,MACY02,NRTPORT,OVERSTOCK01,WALMARTDS</t>
  </si>
  <si>
    <t>TN20-0264</t>
  </si>
  <si>
    <t>AMAZON,AMAZONDS,JCPENNEY01,KOHLDSN,MACY02,NRTPORT</t>
  </si>
  <si>
    <t>9/9/2024</t>
  </si>
  <si>
    <t>TN20-0265</t>
  </si>
  <si>
    <t>AMAZON,DESINC,JCPENNEY01,KOHLDSN,MACY02</t>
  </si>
  <si>
    <t>11/20/2017</t>
  </si>
  <si>
    <t>TN20-0266</t>
  </si>
  <si>
    <t>AMAZON,DESINC,HSNDS,JCPENNEY01,KOHLDSN,MACY02,OLLIIX,OVERSTOCK01</t>
  </si>
  <si>
    <t>TN20-0267</t>
  </si>
  <si>
    <t>AMAZON,AMAZONDS,DESINC,HSNDS,JCPENNEY01,KOHLDSN,MACY02,OLLIIX</t>
  </si>
  <si>
    <t>TN20-0121</t>
  </si>
  <si>
    <t>Blue Solid</t>
  </si>
  <si>
    <t>PF002288</t>
  </si>
  <si>
    <t>AMAZON,AMAZONDS,DESINC,FINGERHUTDS,JCPENNEY01,KOHLDSN,MACY02,NRTPORT,TGTDVS,WALMARTDS</t>
  </si>
  <si>
    <t>9/20/2016</t>
  </si>
  <si>
    <t>11/29/2016</t>
  </si>
  <si>
    <t>TN20-0122</t>
  </si>
  <si>
    <t>AMAZON,JCPENNEY01,KOHLDSN,MACY02,OLLIIX,TGTDVS,WALMARTDS</t>
  </si>
  <si>
    <t>9/21/2018</t>
  </si>
  <si>
    <t>TN20-0417</t>
  </si>
  <si>
    <t>Blush Dots</t>
  </si>
  <si>
    <t>PP000954;PF004715</t>
  </si>
  <si>
    <t>8/5/2019</t>
  </si>
  <si>
    <t>AMAZON,AMAZONDS,DESINC,JCPENNEY01,KOHLDSN,MACY02,NRTPORT,TGTDVS</t>
  </si>
  <si>
    <t>10/21/2019</t>
  </si>
  <si>
    <t>TN20-0419</t>
  </si>
  <si>
    <t>AMAZON,DESINC,JCPENNEY01,MACY02,OVERSTOCK01,TGTDVS</t>
  </si>
  <si>
    <t>TN20-0569</t>
  </si>
  <si>
    <t>Gray Herringbone Check</t>
  </si>
  <si>
    <t>PP000954;PF006338</t>
  </si>
  <si>
    <t>Gingham</t>
  </si>
  <si>
    <t>AMAZON,DESINC,JCPENNEY01,KOHLDSN,MACY02,NRTPORT,TGTDVS</t>
  </si>
  <si>
    <t>11/11/2024</t>
  </si>
  <si>
    <t>TN20-0570</t>
  </si>
  <si>
    <t>AMAZON,AMAZONDS,DESINC,HDDS,JCPENNEY01,KOHLDSN,MACY02,NRTPORT,OLLIIX,OVERSTOCK01,TGTDVS</t>
  </si>
  <si>
    <t>TN20-0571</t>
  </si>
  <si>
    <t>AMAZON,DESINC,JCPENNEY01,MACY02,TGTDVS</t>
  </si>
  <si>
    <t>TN20-0573</t>
  </si>
  <si>
    <t>HDDS,JCPENNEY01,MACY02,NRTPORT</t>
  </si>
  <si>
    <t>TN20-0574</t>
  </si>
  <si>
    <t>HDDS,JCPENNEY01,KOHLDSN,OVERSTOCK01,TGTDVS</t>
  </si>
  <si>
    <t>TN20-0510</t>
  </si>
  <si>
    <t>Gray Skiers</t>
  </si>
  <si>
    <t>PP000954;PF006047</t>
  </si>
  <si>
    <t>8/30/2023</t>
  </si>
  <si>
    <t>AMAZON,JCPENNEY01,MACY02,TGTDVS</t>
  </si>
  <si>
    <t>12/1/2023</t>
  </si>
  <si>
    <t>TN20-0511</t>
  </si>
  <si>
    <t>AMAZON,JCPENNEY01,MACY02,OVERSTOCK01,TGTDVS</t>
  </si>
  <si>
    <t>1/22/2024</t>
  </si>
  <si>
    <t>TN20-0512</t>
  </si>
  <si>
    <t>2/26/2024</t>
  </si>
  <si>
    <t>TN20-0513</t>
  </si>
  <si>
    <t>12/4/2023</t>
  </si>
  <si>
    <t>TN20-0514</t>
  </si>
  <si>
    <t>TN20-0515</t>
  </si>
  <si>
    <t>AMAZON,MACY02,TGTDVS</t>
  </si>
  <si>
    <t>3/7/2025</t>
  </si>
  <si>
    <t>TN20-0516</t>
  </si>
  <si>
    <t>Gray/Taupe Nordic</t>
  </si>
  <si>
    <t>PP000954;PF006048</t>
  </si>
  <si>
    <t>8/19/2023</t>
  </si>
  <si>
    <t>AMAZON,DESINC,JCPENNEY01,KOHLDSN,MACY02,TGTDVS</t>
  </si>
  <si>
    <t>TN20-0517</t>
  </si>
  <si>
    <t>TN20-0518</t>
  </si>
  <si>
    <t>AMAZON,AMAZONDS,JCPENNEY01,MACY02,OVERSTOCK01</t>
  </si>
  <si>
    <t>TN20-0520</t>
  </si>
  <si>
    <t>AMAZON,JCPENNEY01,MACY02,NRTPORT,TGTDVS</t>
  </si>
  <si>
    <t>TN20-0521</t>
  </si>
  <si>
    <t>DESINC,MACY02</t>
  </si>
  <si>
    <t>TN20-0377</t>
  </si>
  <si>
    <t>Grey Dogs</t>
  </si>
  <si>
    <t>PP000954;PF004390</t>
  </si>
  <si>
    <t>AMAZON,AMAZONDS,JCPENNEY01,KOHLDSN,OLLIIX,OVERSTOCK01,TGTDVS,WALMARTDS</t>
  </si>
  <si>
    <t>9/11/2018</t>
  </si>
  <si>
    <t>TN20-0379</t>
  </si>
  <si>
    <t>AMAZON,AMAZONDS,JCPENNEY01,KOHLDSN,MACY02,OLLIIX,OVERSTOCK01,TGTDVS,WALMARTDS</t>
  </si>
  <si>
    <t>TN20-0381</t>
  </si>
  <si>
    <t>AMAZONDS,JCPENNEY01,KOHLDSN</t>
  </si>
  <si>
    <t>TN20-0353</t>
  </si>
  <si>
    <t>Grey Dots</t>
  </si>
  <si>
    <t>PP000954;PF004387</t>
  </si>
  <si>
    <t>TN20-0356</t>
  </si>
  <si>
    <t>9/7/2019</t>
  </si>
  <si>
    <t>TN20-0357</t>
  </si>
  <si>
    <t>AMAZON,AMAZONDS,JCPENNEY01,KOHLDSN,MACY02,NRTPORT,TGTDVS</t>
  </si>
  <si>
    <t>TN20-0239</t>
  </si>
  <si>
    <t>PF002291</t>
  </si>
  <si>
    <t>AMAZON,DESINC,JCPENNEY01,KOHLDSN,OVERSTOCK01,WALMARTDS</t>
  </si>
  <si>
    <t>TN20-0241</t>
  </si>
  <si>
    <t>TN20-0242</t>
  </si>
  <si>
    <t>AMAZON,AMAZONDS,BLK01,JCPENNEY01,KOHLDSN,TGTDVS</t>
  </si>
  <si>
    <t>TN20-0243</t>
  </si>
  <si>
    <t>11/24/2017</t>
  </si>
  <si>
    <t>TN20-0244</t>
  </si>
  <si>
    <t>AMAZON,JCPENNEY01,KOHLDSN,TGTDVS,WALMARTDS</t>
  </si>
  <si>
    <t>TN20-0367</t>
  </si>
  <si>
    <t>Grey Penguins</t>
  </si>
  <si>
    <t>PP000954;PF004389</t>
  </si>
  <si>
    <t>AMAZONDS,DESINC,FINGERHUTDS,JCPENNEY01,KOHLDSN,MACY02,TGTDVS,WALMARTDS</t>
  </si>
  <si>
    <t>TN20-0368</t>
  </si>
  <si>
    <t>AMAZON,BLK01,JCPENNEY01,KOHLDSN,MACY02,NRTPORT,OLLIIX,OVERSTOCK01,TGTDVS</t>
  </si>
  <si>
    <t>11/15/2018</t>
  </si>
  <si>
    <t>TN20-0369</t>
  </si>
  <si>
    <t>11/6/2025</t>
  </si>
  <si>
    <t>AMAZON,AMAZONDS,JCPENNEY01,KOHLDSN,MACY02,OLLIIX,TGTDVS,WALMARTDS</t>
  </si>
  <si>
    <t>11/6/2018</t>
  </si>
  <si>
    <t>TN20-0106</t>
  </si>
  <si>
    <t>Grey Solid</t>
  </si>
  <si>
    <t>PF002287</t>
  </si>
  <si>
    <t>AMAZON,AMAZONDS,FINGERHUTDS,JCPENNEY01,MACY02,TGTDVS</t>
  </si>
  <si>
    <t>9/20/2018</t>
  </si>
  <si>
    <t>TN20-0107</t>
  </si>
  <si>
    <t>AMAZON,AMAZONDS,JCPENNEY01,MACY02,OVERSTOCK01,TGTDVS</t>
  </si>
  <si>
    <t>9/19/2018</t>
  </si>
  <si>
    <t>TN20-0109</t>
  </si>
  <si>
    <t>AMAZON,BLK01,JCPENNEY01,KOHLDSN,MACY02,TGTDVS</t>
  </si>
  <si>
    <t>10/5/2018</t>
  </si>
  <si>
    <t>TN20-0110</t>
  </si>
  <si>
    <t>AMAZONDS,JCPENNEY01,TGTDVS</t>
  </si>
  <si>
    <t>TN20-0640</t>
  </si>
  <si>
    <t>Grey Windowpane</t>
  </si>
  <si>
    <t>TN20-0641</t>
  </si>
  <si>
    <t>TN20-0612</t>
  </si>
  <si>
    <t>TN20-0613</t>
  </si>
  <si>
    <t>TN20-0614</t>
  </si>
  <si>
    <t>TN20-0648</t>
  </si>
  <si>
    <t>Ikat tree</t>
  </si>
  <si>
    <t>TN20-0649</t>
  </si>
  <si>
    <t>TN20-0628</t>
  </si>
  <si>
    <t>8/14/2025</t>
  </si>
  <si>
    <t>SLPH1154</t>
  </si>
  <si>
    <t>TN20-0629</t>
  </si>
  <si>
    <t>8/13/2025</t>
  </si>
  <si>
    <t>TN20-0630</t>
  </si>
  <si>
    <t>TN20-0631</t>
  </si>
  <si>
    <t>TN20-0111</t>
  </si>
  <si>
    <t>Ivory Solid</t>
  </si>
  <si>
    <t>PF002286</t>
  </si>
  <si>
    <t>9/20/2017</t>
  </si>
  <si>
    <t>9/24/2018</t>
  </si>
  <si>
    <t>TN20-0113</t>
  </si>
  <si>
    <t>AMAZON,AMAZONDS,BLK01,DESINC,FINGERHUTDS,JCPENNEY01,KOHLDSN,MACY02,OVERSTOCK01,TGTDVS</t>
  </si>
  <si>
    <t>11/14/2016</t>
  </si>
  <si>
    <t>TN20-0114</t>
  </si>
  <si>
    <t>11/25/2016</t>
  </si>
  <si>
    <t>TN20-0115</t>
  </si>
  <si>
    <t>AMAZON,AMAZONDS,JCPENNEY01,NRTPORT,OVERSTOCK01</t>
  </si>
  <si>
    <t>10/29/2018</t>
  </si>
  <si>
    <t>TN20-0269</t>
  </si>
  <si>
    <t>Multi Forest Animals</t>
  </si>
  <si>
    <t>PF002296</t>
  </si>
  <si>
    <t>AMAZON,AMAZONDS,BLK01,DESINC,FINGERHUTDS,JCPENNEY01,KOHLDSN,MACY02,NRTPORT,OLLIIX,TGTDVS,WALMARTDS</t>
  </si>
  <si>
    <t>TN20-0272</t>
  </si>
  <si>
    <t>8/25/2025</t>
  </si>
  <si>
    <t>AMAZON,BLK01,JCPENNEY01,KOHLDSN,MACY02,OLLIIX,OVERSTOCK01,TGTDVS,WALMARTDS</t>
  </si>
  <si>
    <t>TN20-0273</t>
  </si>
  <si>
    <t>AMAZON,AMAZONDS,BLK01,DESINC,HHGLOBALTTS,JCPENNEY01,KOHLDSN,MACY02,OLLIIX</t>
  </si>
  <si>
    <t>TN20-0252</t>
  </si>
  <si>
    <t>Multi Leaves</t>
  </si>
  <si>
    <t>PF002294</t>
  </si>
  <si>
    <t>10/6/2017</t>
  </si>
  <si>
    <t>AMAZON,AMAZONDS,DESINC,JCPENNEY01,KOHLDSN,MACY02,OVERSTOCK01,TGTDVS</t>
  </si>
  <si>
    <t>TN20-0256</t>
  </si>
  <si>
    <t>TN20-0371</t>
  </si>
  <si>
    <t>Multi Sloth</t>
  </si>
  <si>
    <t>PP000954;PF004391</t>
  </si>
  <si>
    <t>AMAZON,AMAZONDS,DESINC,FINGERHUTDS,JCPENNEY01,MACY02,OLLIIX,TGTDVS</t>
  </si>
  <si>
    <t>9/6/2024</t>
  </si>
  <si>
    <t>TN20-0373</t>
  </si>
  <si>
    <t>AMAZON,BLK01,FINGERHUTDS,JCPENNEY01,KOHLDSN,MACY02,WALMARTDS</t>
  </si>
  <si>
    <t>10/17/2019</t>
  </si>
  <si>
    <t>TN20-0374</t>
  </si>
  <si>
    <t>AMAZONDS,JCPENNEY01,KOHLDSN,OLLIIX,TGTDVS</t>
  </si>
  <si>
    <t>10/28/2020</t>
  </si>
  <si>
    <t>TN20-0375</t>
  </si>
  <si>
    <t>AMAZON,BLK01,KOHLDSN,MACY02,TGTDVS</t>
  </si>
  <si>
    <t>TN20-0227</t>
  </si>
  <si>
    <t>Pink French Bulldog</t>
  </si>
  <si>
    <t>PF002290</t>
  </si>
  <si>
    <t>AMAZON,AMAZONDS,BLK01,DESINC,JCPENNEY01,MACY02,OLLIIX,TGTDVS</t>
  </si>
  <si>
    <t>1/11/2019</t>
  </si>
  <si>
    <t>TN20-0228</t>
  </si>
  <si>
    <t>AMAZON,AMAZONDS,JCPENNEY01,KOHLDSN,MACY02,NRTPORT,OVERSTOCK01,TGTDVS</t>
  </si>
  <si>
    <t>1/29/2019</t>
  </si>
  <si>
    <t>TN20-0229</t>
  </si>
  <si>
    <t>TN20-0231</t>
  </si>
  <si>
    <t>6/17/2020</t>
  </si>
  <si>
    <t>TN20-0275</t>
  </si>
  <si>
    <t>Pink Plaid</t>
  </si>
  <si>
    <t>PF002297</t>
  </si>
  <si>
    <t>TN20-0277</t>
  </si>
  <si>
    <t>AMAZON,JCPENNEY01,MACY02,TGTDVS,WALMARTDS</t>
  </si>
  <si>
    <t>TN20-0066</t>
  </si>
  <si>
    <t>Pink/Grey Snowflakes</t>
  </si>
  <si>
    <t>PF002277</t>
  </si>
  <si>
    <t>9/8/2017</t>
  </si>
  <si>
    <t>AMAZON,FINGERHUTDS,JCPENNEY01,MACY02,WALMARTDS</t>
  </si>
  <si>
    <t>10/5/2016</t>
  </si>
  <si>
    <t>TN20-0067</t>
  </si>
  <si>
    <t>10/28/2016</t>
  </si>
  <si>
    <t>TN20-0076</t>
  </si>
  <si>
    <t>PF002279</t>
  </si>
  <si>
    <t>12/11/2016</t>
  </si>
  <si>
    <t>TN20-0077</t>
  </si>
  <si>
    <t>AMAZON,BLK01,FINGERHUTDS,KOHLDSN,MACY02,TGTDVS</t>
  </si>
  <si>
    <t>TN20-0079</t>
  </si>
  <si>
    <t>11/28/2016</t>
  </si>
  <si>
    <t>TN20-0080</t>
  </si>
  <si>
    <t>12/27/2016</t>
  </si>
  <si>
    <t>TN20-0424</t>
  </si>
  <si>
    <t>Reindeer</t>
  </si>
  <si>
    <t>PP000954;PF004716</t>
  </si>
  <si>
    <t>AMAZONDS,JCPENNEY01,MACY02,NRTPORT,OLLIIX</t>
  </si>
  <si>
    <t>11/11/2019</t>
  </si>
  <si>
    <t>TN20-0636</t>
  </si>
  <si>
    <t>Sage Winter Fauna</t>
  </si>
  <si>
    <t>TN20-0637</t>
  </si>
  <si>
    <t>TN20-0603</t>
  </si>
  <si>
    <t>TN20-0604</t>
  </si>
  <si>
    <t>TN20-0605</t>
  </si>
  <si>
    <t>TN20-0606</t>
  </si>
  <si>
    <t>TN20-0405</t>
  </si>
  <si>
    <t>Seafoam Llama</t>
  </si>
  <si>
    <t>PP000954;PF004713</t>
  </si>
  <si>
    <t>11/12/2019</t>
  </si>
  <si>
    <t>TN20-0406</t>
  </si>
  <si>
    <t>TN20-0407</t>
  </si>
  <si>
    <t>AMAZON,AMAZONDS,BLK01,DESINC,JCPENNEY01,KOHLDSN,MACY02,TGTDVS,WALMARTDS</t>
  </si>
  <si>
    <t>10/19/2019</t>
  </si>
  <si>
    <t>TN20-0408</t>
  </si>
  <si>
    <t>AMAZON,AMAZONDS,BLK01,FINGERHUTDS,JCPENNEY01,KOHLDSN,MACY02,NRTPORT,OLLIIX,TGTDVS,WALMARTDS</t>
  </si>
  <si>
    <t>10/31/2019</t>
  </si>
  <si>
    <t>TN20-0409</t>
  </si>
  <si>
    <t>AMAZON,BLK01,JCPENNEY01,KOHLDSN,MACY02,TGTDVS,WALMARTDS</t>
  </si>
  <si>
    <t>10/30/2019</t>
  </si>
  <si>
    <t>TN20-0644</t>
  </si>
  <si>
    <t>Snowflake</t>
  </si>
  <si>
    <t>TN20-0645</t>
  </si>
  <si>
    <t>TN20-0620</t>
  </si>
  <si>
    <t>TN20-0621</t>
  </si>
  <si>
    <t>TN20-0622</t>
  </si>
  <si>
    <t>TN20-0623</t>
  </si>
  <si>
    <t>TN20-0210</t>
  </si>
  <si>
    <t>PF002278</t>
  </si>
  <si>
    <t>AMAZON,AMAZONDS,FINGERHUTDS,JCPENNEY01,KOHLDSN,MACY02,OLLIIX,OVERSTOCK01,TGTDVS,WALMARTDS</t>
  </si>
  <si>
    <t>9/7/2017</t>
  </si>
  <si>
    <t>10/30/2017</t>
  </si>
  <si>
    <t>TN20-0072</t>
  </si>
  <si>
    <t>AMAZON,BLK01,HSNDS,JCPENNEY01,KOHLDSN,MACY02,TGTDVS</t>
  </si>
  <si>
    <t>12/12/2016</t>
  </si>
  <si>
    <t>TN20-0073</t>
  </si>
  <si>
    <t>AMAZON,BLK01,DESINC,FINGERHUTDS,JCPENNEY01,KOHLDSN,MACY02,NRTPORT,OVERSTOCK01,TGTDVS</t>
  </si>
  <si>
    <t>12/6/2016</t>
  </si>
  <si>
    <t>TN20-0120</t>
  </si>
  <si>
    <t>Tan Solid</t>
  </si>
  <si>
    <t>PF002285</t>
  </si>
  <si>
    <t>AMAZON,JCPENNEY01,TGTDVS,WALMARTDS</t>
  </si>
  <si>
    <t>10/14/2018</t>
  </si>
  <si>
    <t>TN20-0061</t>
  </si>
  <si>
    <t>Tan/Blue Snowflakes</t>
  </si>
  <si>
    <t>PF002276</t>
  </si>
  <si>
    <t>AMAZON,JCPENNEY01,MACY02,NRTPORT</t>
  </si>
  <si>
    <t>TN20-0064</t>
  </si>
  <si>
    <t>AMAZON,BLK01,JCPENNEY01,KOHLDSN,MACY02</t>
  </si>
  <si>
    <t>10/11/2016</t>
  </si>
  <si>
    <t>TN20-0646</t>
  </si>
  <si>
    <t>Toile pine trees</t>
  </si>
  <si>
    <t>TN20-0647</t>
  </si>
  <si>
    <t>TN20-0624</t>
  </si>
  <si>
    <t>TN20-0626</t>
  </si>
  <si>
    <t>TN20-0627</t>
  </si>
  <si>
    <t>8/15/2025</t>
  </si>
  <si>
    <t>TN20-0632</t>
  </si>
  <si>
    <t>White Tossed Botanical</t>
  </si>
  <si>
    <t>TN20-0633</t>
  </si>
  <si>
    <t>TN20-0595</t>
  </si>
  <si>
    <t>TN20-0596</t>
  </si>
  <si>
    <t>TN20-0597</t>
  </si>
  <si>
    <t>TN20-0598</t>
  </si>
  <si>
    <t>TN20-0563</t>
  </si>
  <si>
    <t>White Village Print</t>
  </si>
  <si>
    <t>PP000954;PF006337</t>
  </si>
  <si>
    <t>DESINC,KOHLDSN,MACY02,TGTDVS</t>
  </si>
  <si>
    <t>TN20-0564</t>
  </si>
  <si>
    <t>TN20-0565</t>
  </si>
  <si>
    <t>JCPENNEY01,MACY02,OLLIIX,TGTDVS</t>
  </si>
  <si>
    <t>12/23/2024</t>
  </si>
  <si>
    <t>TN20-0566</t>
  </si>
  <si>
    <t>9/15/2024</t>
  </si>
  <si>
    <t>DESINC,JCPENNEY01,KOHLDSN,MACY02,OVERSTOCK01,TGTDVS</t>
  </si>
  <si>
    <t>TN20-0567</t>
  </si>
  <si>
    <t>DESINC,JCPENNEY01,KOHLDSN</t>
  </si>
  <si>
    <t>TN20-0568</t>
  </si>
  <si>
    <t>9/19/2024</t>
  </si>
  <si>
    <t>ID20-1536</t>
  </si>
  <si>
    <t>Cozy Soft</t>
  </si>
  <si>
    <t>Cotton Flannel Printed Sheet Set</t>
  </si>
  <si>
    <t>Blue Stars</t>
  </si>
  <si>
    <t>PP000944;PF004352</t>
  </si>
  <si>
    <t>6/21/2018</t>
  </si>
  <si>
    <t>JLZL1042</t>
  </si>
  <si>
    <t>7/24/2018</t>
  </si>
  <si>
    <t>ID20-2045</t>
  </si>
  <si>
    <t>Grey Sloths</t>
  </si>
  <si>
    <t>PP000944;PF005497</t>
  </si>
  <si>
    <t>9/15/2021</t>
  </si>
  <si>
    <t>AMAZONDS,BLK01,HDDS,JCPENNEY01,KOHLDSN,MACY02,NRTPORT,OVERSTOCK01,TGTDVS</t>
  </si>
  <si>
    <t>2/14/2022</t>
  </si>
  <si>
    <t>ID20-2047</t>
  </si>
  <si>
    <t>AMAZONDS,BLK01,HDDS,JCPENNEY01,KOHLDSN,MACY02,TGTDVS</t>
  </si>
  <si>
    <t>10/27/2021</t>
  </si>
  <si>
    <t>ID20-1542</t>
  </si>
  <si>
    <t>Grey Stars</t>
  </si>
  <si>
    <t>PP000944;PF004353</t>
  </si>
  <si>
    <t>AMAZONDS,JCPENNEY01,KOHLDSN,MACY02,NRTPORT,OLLIIX,TGTDVS,WALMARTDS</t>
  </si>
  <si>
    <t>11/28/2018</t>
  </si>
  <si>
    <t>ID20-1559</t>
  </si>
  <si>
    <t>Grey/Pink Dots</t>
  </si>
  <si>
    <t>PP000944;PF004357</t>
  </si>
  <si>
    <t>AMAZON,AMAZONDS,FINGERHUTDS,JCPENNEY01,KOHLDSN,MACY02,NRTPORT,OVERSTOCK01,TGTDVS</t>
  </si>
  <si>
    <t>ID20-2500</t>
  </si>
  <si>
    <t>100% Cotton Flannel Pigment Printed Sheet Set</t>
  </si>
  <si>
    <t>Happy Bows</t>
  </si>
  <si>
    <t>JLZL1373</t>
  </si>
  <si>
    <t>ID20-2501</t>
  </si>
  <si>
    <t>JLZL1370</t>
  </si>
  <si>
    <t>ID20-2502</t>
  </si>
  <si>
    <t>JLZL1364</t>
  </si>
  <si>
    <t>ID20-2503</t>
  </si>
  <si>
    <t>JLZL1367</t>
  </si>
  <si>
    <t>ID20-2508</t>
  </si>
  <si>
    <t>Holiday Doodles</t>
  </si>
  <si>
    <t>JLZL1365</t>
  </si>
  <si>
    <t>ID20-2509</t>
  </si>
  <si>
    <t>JLZL1374</t>
  </si>
  <si>
    <t>ID20-2510</t>
  </si>
  <si>
    <t>JLZL1366</t>
  </si>
  <si>
    <t>ID20-2511</t>
  </si>
  <si>
    <t>JLZL1369</t>
  </si>
  <si>
    <t>ID20-1533</t>
  </si>
  <si>
    <t>Pink Llamas</t>
  </si>
  <si>
    <t>PP000944;PF004351</t>
  </si>
  <si>
    <t>AMAZON,AMAZONDS,HDDS,JCPENNEY01,KOHLDSN,MACY02,NRTPORT,TGTDVS</t>
  </si>
  <si>
    <t>11/5/2018</t>
  </si>
  <si>
    <t>ID20-1751</t>
  </si>
  <si>
    <t>Pink/Grey Hedgehogs</t>
  </si>
  <si>
    <t>PP000944;PF004717</t>
  </si>
  <si>
    <t>ID20-1549</t>
  </si>
  <si>
    <t>Seafoam Foxes</t>
  </si>
  <si>
    <t>PP000944;PF004355</t>
  </si>
  <si>
    <t>AMAZON,HDDS,JCPENNEY01,MACY02,NRTPORT,OVERSTOCK01,TGTDVS,WALMARTDS</t>
  </si>
  <si>
    <t>10/16/2018</t>
  </si>
  <si>
    <t>ID20-1550</t>
  </si>
  <si>
    <t>AMAZON,AMAZONDS,HDDS,JCPENNEY01,KOHLDSN,MACY02,NRTPORT,TGTDVS,WALMARTDS</t>
  </si>
  <si>
    <t>ID20-2504</t>
  </si>
  <si>
    <t>Tree Block</t>
  </si>
  <si>
    <t>JLZL1371</t>
  </si>
  <si>
    <t>ID20-2505</t>
  </si>
  <si>
    <t>JLZL1363</t>
  </si>
  <si>
    <t>ID20-2506</t>
  </si>
  <si>
    <t>JLZL1368</t>
  </si>
  <si>
    <t>ID20-2507</t>
  </si>
  <si>
    <t>JLZL1372</t>
  </si>
  <si>
    <t>ID20-2448</t>
  </si>
  <si>
    <t>White Holiday Trees</t>
  </si>
  <si>
    <t>PP000944;PF006314</t>
  </si>
  <si>
    <t>8/20/2024</t>
  </si>
  <si>
    <t>ID20-2449</t>
  </si>
  <si>
    <t>AMAZON,AMAZONDS,JCPENNEY01,MACY02,TGTDVS</t>
  </si>
  <si>
    <t>FPF18-0414</t>
  </si>
  <si>
    <t>Crackle</t>
  </si>
  <si>
    <t>PF000018;PP000022</t>
  </si>
  <si>
    <t>4/12/2017</t>
  </si>
  <si>
    <t>LAMPDS,OLLIIX</t>
  </si>
  <si>
    <t>MITN1468</t>
  </si>
  <si>
    <t>6/29/2016</t>
  </si>
  <si>
    <t>FB150-1191</t>
  </si>
  <si>
    <t>Curiana</t>
  </si>
  <si>
    <t>5-light Linear Chandelier with Textured Glass Shades</t>
  </si>
  <si>
    <t>JLZF1404</t>
  </si>
  <si>
    <t>II103-0600</t>
  </si>
  <si>
    <t>5/8/2025</t>
  </si>
  <si>
    <t>JLZF1411</t>
  </si>
  <si>
    <t>II103-0609</t>
  </si>
  <si>
    <t>II103-0610</t>
  </si>
  <si>
    <t>MP10-8477</t>
  </si>
  <si>
    <t>Dallas</t>
  </si>
  <si>
    <t>Houston</t>
  </si>
  <si>
    <t>Caldwell</t>
  </si>
  <si>
    <t>7 Piece Micro Corduroy Comforter Set</t>
  </si>
  <si>
    <t>PP001978;PF006312</t>
  </si>
  <si>
    <t>Corduroy</t>
  </si>
  <si>
    <t>ALTL3370</t>
  </si>
  <si>
    <t>9/14/2024</t>
  </si>
  <si>
    <t>5DS100-0039</t>
  </si>
  <si>
    <t>Dani</t>
  </si>
  <si>
    <t>Tufted back Accent Chair</t>
  </si>
  <si>
    <t>3/6/2024</t>
  </si>
  <si>
    <t>HDDS,KOHLDSN,OLLIIX</t>
  </si>
  <si>
    <t>NGIN1137</t>
  </si>
  <si>
    <t>6/3/2024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</si>
  <si>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</si>
  <si>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</si>
  <si>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</si>
  <si>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</si>
  <si>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</si>
  <si>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</si>
  <si>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</si>
  <si>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Industrial</t>
  </si>
  <si>
    <t>7/21/2022</t>
  </si>
  <si>
    <t>NCWA2369</t>
  </si>
  <si>
    <t>Furniture -Home Office</t>
  </si>
  <si>
    <t>7/26/2022</t>
  </si>
  <si>
    <t>11/17/2022</t>
  </si>
  <si>
    <t>ID10-176</t>
  </si>
  <si>
    <t>Daryl</t>
  </si>
  <si>
    <t>Chet</t>
  </si>
  <si>
    <t>Comforter Set</t>
  </si>
  <si>
    <t>PF001601</t>
  </si>
  <si>
    <t>HDDS,KOHLDSN,MACY02,OLLIIX,OVERSTOCK01,TGTDVS</t>
  </si>
  <si>
    <t>THRE7493</t>
  </si>
  <si>
    <t>ID10-501</t>
  </si>
  <si>
    <t>BLK01,HDDS,HHGLOBALTTS,KOHLDSN,MACY02,NRTPORT,ROOMECOM,TGTDVS</t>
  </si>
  <si>
    <t>9/14/2015</t>
  </si>
  <si>
    <t>MP10-2795</t>
  </si>
  <si>
    <t>Dawn</t>
  </si>
  <si>
    <t>Vanessa</t>
  </si>
  <si>
    <t>Stella</t>
  </si>
  <si>
    <t>9 Piece Cotton Percale Comforter Set</t>
  </si>
  <si>
    <t>PF003408;PP000407</t>
  </si>
  <si>
    <t>Percale</t>
  </si>
  <si>
    <t>9</t>
  </si>
  <si>
    <t>Shabby Chic|Transitional</t>
  </si>
  <si>
    <t>BLK01,KOHLDSN,OVERSTOCK01,TGTDVS</t>
  </si>
  <si>
    <t>ATGR7043</t>
  </si>
  <si>
    <t>MP13-8601</t>
  </si>
  <si>
    <t>6 Piece Cotton Percale Quilt Set with Throw Pillows</t>
  </si>
  <si>
    <t>PP000407</t>
  </si>
  <si>
    <t>12/18/2024</t>
  </si>
  <si>
    <t>NCWA2746</t>
  </si>
  <si>
    <t>4/9/2025</t>
  </si>
  <si>
    <t>MP10-8599</t>
  </si>
  <si>
    <t>12/8/2025</t>
  </si>
  <si>
    <t>12/31/2024</t>
  </si>
  <si>
    <t>4/4/2025</t>
  </si>
  <si>
    <t>MP13-8602</t>
  </si>
  <si>
    <t>AMAZON,AMAZONDS,DLBRAND,KOHLDSN,MACY02,OLLIIX</t>
  </si>
  <si>
    <t>5DS150-0044</t>
  </si>
  <si>
    <t>Devon</t>
  </si>
  <si>
    <t>6-Light Chandelier with Bowl Shaped Glass Shades</t>
  </si>
  <si>
    <t>9/8/2022</t>
  </si>
  <si>
    <t>KOHLDSN,OLLIIX</t>
  </si>
  <si>
    <t>NGIN1129</t>
  </si>
  <si>
    <t>11/16/2022</t>
  </si>
  <si>
    <t>MP73-8853</t>
  </si>
  <si>
    <t>Diagonal Ribbed</t>
  </si>
  <si>
    <t>100% Cotton Quick Dry Diagonal Ribbed 6pcs Towel Set</t>
  </si>
  <si>
    <t>PP002000</t>
  </si>
  <si>
    <t>9/7/2025</t>
  </si>
  <si>
    <t>MP73-8865</t>
  </si>
  <si>
    <t>100% Cotton Quick Dry Diagonal Ribbed 6pcs Washcloths Set</t>
  </si>
  <si>
    <t>MP73-8859</t>
  </si>
  <si>
    <t>100% Cotton Quick Dry Diagonal Ribbed 4pcs Hand Towel Set</t>
  </si>
  <si>
    <t>MP73-8871</t>
  </si>
  <si>
    <t>100% Cotton Quick Dry Diagonal Ribbed 4pcs Bath Towel Set</t>
  </si>
  <si>
    <t>MP73-8854</t>
  </si>
  <si>
    <t>MP73-8866</t>
  </si>
  <si>
    <t>MP73-8860</t>
  </si>
  <si>
    <t>MP73-8872</t>
  </si>
  <si>
    <t>MP73-8856</t>
  </si>
  <si>
    <t>MP73-8868</t>
  </si>
  <si>
    <t>MP73-8862</t>
  </si>
  <si>
    <t>MP73-8874</t>
  </si>
  <si>
    <t>MP73-8857</t>
  </si>
  <si>
    <t>MP73-8869</t>
  </si>
  <si>
    <t>MP73-8863</t>
  </si>
  <si>
    <t>MP73-8875</t>
  </si>
  <si>
    <t>MP73-8855</t>
  </si>
  <si>
    <t>Turquoise</t>
  </si>
  <si>
    <t>MP73-8867</t>
  </si>
  <si>
    <t>MP73-8861</t>
  </si>
  <si>
    <t>MP73-8873</t>
  </si>
  <si>
    <t>MP73-8852</t>
  </si>
  <si>
    <t>MP73-8864</t>
  </si>
  <si>
    <t>MP73-8858</t>
  </si>
  <si>
    <t>MP73-8870</t>
  </si>
  <si>
    <t>ID10-2313</t>
  </si>
  <si>
    <t>Dream Puff</t>
  </si>
  <si>
    <t>Down Alternative Comforter Set</t>
  </si>
  <si>
    <t>PP001937;PF006180</t>
  </si>
  <si>
    <t>5/30/2024</t>
  </si>
  <si>
    <t>JLZL1351</t>
  </si>
  <si>
    <t>ID10-2307</t>
  </si>
  <si>
    <t>Rose</t>
  </si>
  <si>
    <t>PP001937;PF006178</t>
  </si>
  <si>
    <t>ID16-2317</t>
  </si>
  <si>
    <t>Mattress Pad</t>
  </si>
  <si>
    <t>Overfilled Down Alternative Mattress Pad</t>
  </si>
  <si>
    <t>PP001938;PF006181</t>
  </si>
  <si>
    <t>BLK01,HDDS,JCPENNEY01,KOHLDSN,MACY02,NRTPORT,OLLIIX,TGTDVS</t>
  </si>
  <si>
    <t>JLZL1320</t>
  </si>
  <si>
    <t>7/1/2024</t>
  </si>
  <si>
    <t>BR51-4440</t>
  </si>
  <si>
    <t>Dream Soft</t>
  </si>
  <si>
    <t>PP001948;PF006208</t>
  </si>
  <si>
    <t>BLOOM02,KOHLDSN,MACY02,TGTDVS</t>
  </si>
  <si>
    <t>TCKF1648</t>
  </si>
  <si>
    <t>BR51-4441</t>
  </si>
  <si>
    <t>AMAZON,BLK01,DLBRAND,JCPENNEY01,KOHLDSN,MACY02,OVERSTOCK01</t>
  </si>
  <si>
    <t>BR51-4442</t>
  </si>
  <si>
    <t>4/29/2024</t>
  </si>
  <si>
    <t>BR51-4446</t>
  </si>
  <si>
    <t>Navy Blue</t>
  </si>
  <si>
    <t>PP001948;PF006210</t>
  </si>
  <si>
    <t>AMAZON,BLK01,BLOOM02,JCPENNEY01,KOHLDSN,MACY02,NRTPORT,OLLIIX,TGTDVS</t>
  </si>
  <si>
    <t>BR51-4447</t>
  </si>
  <si>
    <t>AMAZON,AMAZONDS,BLK01,BLOOM02,DLBRAND,JCPENNEY01,KOHLDSN,MACY02,OLLIIX,OVERSTOCK01,TGTDVS</t>
  </si>
  <si>
    <t>6/17/2024</t>
  </si>
  <si>
    <t>BR51-4448</t>
  </si>
  <si>
    <t>AMAZON,AMAZONDS,BLK01,BLOOM02,JCPENNEY01,KOHLDSN,MACY02,OLLIIX,OVERSTOCK01,TGTDVS</t>
  </si>
  <si>
    <t>BR51-4444</t>
  </si>
  <si>
    <t>PP001948;PF006209</t>
  </si>
  <si>
    <t>AMAZON,BLK01,DLBRAND,JCPENNEY01,KOHLDSN,MACY02,OVERSTOCK01,TGTDVS</t>
  </si>
  <si>
    <t>BR51-4445</t>
  </si>
  <si>
    <t>AMAZONDS,BLOOM02,DLBRAND,JCPENNEY01,KOHLDSN,MACY02,NRTPORT,OLLIIX,OVERSTOCK01,TGTDVS</t>
  </si>
  <si>
    <t>5/31/2024</t>
  </si>
  <si>
    <t>BR51-4437</t>
  </si>
  <si>
    <t>PP001948;PF006207</t>
  </si>
  <si>
    <t>AMAZON,BLK01,BLOOM02,JCPENNEY01,KOHLDSN,MACY02,TGTDVS</t>
  </si>
  <si>
    <t>BR51-4438</t>
  </si>
  <si>
    <t>AMAZON,DLBRAND,JCPENNEY01,KOHLDSN,MACY02,TGTDVS</t>
  </si>
  <si>
    <t>7/8/2024</t>
  </si>
  <si>
    <t>BR51-4439</t>
  </si>
  <si>
    <t>ST54-3579</t>
  </si>
  <si>
    <t>Dream Soft Heated</t>
  </si>
  <si>
    <t>PP001983;PF006359</t>
  </si>
  <si>
    <t>JCPENNEY01,MACY02,TGTDVS</t>
  </si>
  <si>
    <t>LF10387</t>
  </si>
  <si>
    <t>10/17/2024</t>
  </si>
  <si>
    <t>1/15/2025</t>
  </si>
  <si>
    <t>ST54-3580</t>
  </si>
  <si>
    <t>ST54-3581</t>
  </si>
  <si>
    <t>12/8/2024</t>
  </si>
  <si>
    <t>ST54-3582</t>
  </si>
  <si>
    <t>ST54-3583</t>
  </si>
  <si>
    <t>PP001983;PF006360</t>
  </si>
  <si>
    <t>1/23/2025</t>
  </si>
  <si>
    <t>ST54-3584</t>
  </si>
  <si>
    <t>JCPENNEY01,KOHLDSN,OVERSTOCK01,TGTDVS</t>
  </si>
  <si>
    <t>ST54-3576</t>
  </si>
  <si>
    <t>PP001983;PF006358</t>
  </si>
  <si>
    <t>ST54-3577</t>
  </si>
  <si>
    <t>BLK01,JCPENNEY01,MACY02,TGTDVS</t>
  </si>
  <si>
    <t>12/13/2024</t>
  </si>
  <si>
    <t>ST54-3578</t>
  </si>
  <si>
    <t>ST54-3571</t>
  </si>
  <si>
    <t>PP001983;PF006357</t>
  </si>
  <si>
    <t>ST54-3572</t>
  </si>
  <si>
    <t>OVERSTOCK01,TGTDVS</t>
  </si>
  <si>
    <t>ST54-3573</t>
  </si>
  <si>
    <t>ST54-3574</t>
  </si>
  <si>
    <t>ST54-3587</t>
  </si>
  <si>
    <t>PP001983;PF006361</t>
  </si>
  <si>
    <t>JCPENNEY01,LOWESDS,MACY02,TGTDVS</t>
  </si>
  <si>
    <t>3/3/2025</t>
  </si>
  <si>
    <t>ST54-3588</t>
  </si>
  <si>
    <t>ST54-3589</t>
  </si>
  <si>
    <t>ST54-3590</t>
  </si>
  <si>
    <t>MP12-8162</t>
  </si>
  <si>
    <t>Hendry</t>
  </si>
  <si>
    <t>Knox</t>
  </si>
  <si>
    <t>3 Piece Clipped Jacquard Duvet Cover Set</t>
  </si>
  <si>
    <t>PP001839;PF005896</t>
  </si>
  <si>
    <t>4/6/2023</t>
  </si>
  <si>
    <t>NCWA2489</t>
  </si>
  <si>
    <t>4/14/2023</t>
  </si>
  <si>
    <t>MP12-8163</t>
  </si>
  <si>
    <t>5/19/2023</t>
  </si>
  <si>
    <t>MP10-7633</t>
  </si>
  <si>
    <t>Duke</t>
  </si>
  <si>
    <t>York</t>
  </si>
  <si>
    <t>Faux Fur Comforter Mini Set</t>
  </si>
  <si>
    <t>PP000412;PF004332</t>
  </si>
  <si>
    <t>8/4/2021</t>
  </si>
  <si>
    <t>AMAZONDS,FINGERHUTDS,KOHLDSN,MACY02</t>
  </si>
  <si>
    <t>WRLO7366</t>
  </si>
  <si>
    <t>8/17/2021</t>
  </si>
  <si>
    <t>11/24/2021</t>
  </si>
  <si>
    <t>MP30-2999</t>
  </si>
  <si>
    <t>Faux Fur Square Pillow</t>
  </si>
  <si>
    <t>PF003558;PP000412</t>
  </si>
  <si>
    <t>ASHFURNDS,BLK01,JCPENNEY01,KOHLDSN,MACY02,OVERSTOCK01,TGTDVS</t>
  </si>
  <si>
    <t>MRCR5883</t>
  </si>
  <si>
    <t>MP30-3000</t>
  </si>
  <si>
    <t>PF003567;PP000412</t>
  </si>
  <si>
    <t>ASHFURNDS,BLK01,FINGERHUTDS,HDDS,JCPENNEY01,KOHLDSN,MACY02,OVERSTOCK01,TGTDVS</t>
  </si>
  <si>
    <t>UH13-2522</t>
  </si>
  <si>
    <t>Dune</t>
  </si>
  <si>
    <t>Toren</t>
  </si>
  <si>
    <t>Ryland</t>
  </si>
  <si>
    <t>Poly Gauze Quilt Set</t>
  </si>
  <si>
    <t>PP001940;PF006185</t>
  </si>
  <si>
    <t>UBHB1278</t>
  </si>
  <si>
    <t>UH13-2523</t>
  </si>
  <si>
    <t>4/8/2025</t>
  </si>
  <si>
    <t>UH13-2525</t>
  </si>
  <si>
    <t>PP001940;PF006186</t>
  </si>
  <si>
    <t>AMAZON,BLK01,JCPENNEY01,KOHLDSN,MACY02,OLLIIX,OVERSCONSIGN,TGTDVS</t>
  </si>
  <si>
    <t>1/8/2025</t>
  </si>
  <si>
    <t>UH13-2526</t>
  </si>
  <si>
    <t>AMAZON,BLK01,DESINC,HDDS,JCPENNEY01,MACY02,OLLIIX,TGTDVS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</si>
  <si>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</si>
  <si>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</si>
  <si>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</si>
  <si>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</si>
  <si>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</si>
  <si>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</si>
  <si>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</si>
  <si>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Global</t>
  </si>
  <si>
    <t>6/11/2024</t>
  </si>
  <si>
    <t>AMAZON,AMAZONDS,DLBRAND,JCPENNEY01,KOHLDSN,OLLIIX,OVERSTOCK01</t>
  </si>
  <si>
    <t>IKIY1200</t>
  </si>
  <si>
    <t>8/27/2024</t>
  </si>
  <si>
    <t>10/14/2024</t>
  </si>
  <si>
    <t>II40-1329</t>
  </si>
  <si>
    <t>2-PK 50x95"</t>
  </si>
  <si>
    <t>7/2/2025</t>
  </si>
  <si>
    <t>MT95F-0097</t>
  </si>
  <si>
    <t>Eden</t>
  </si>
  <si>
    <t>Gingko Leaf Round Wall Mirror 30.5”</t>
  </si>
  <si>
    <t>30.5"Dia x 1"D</t>
  </si>
  <si>
    <t>7/31/2025</t>
  </si>
  <si>
    <t>HDDS</t>
  </si>
  <si>
    <t>MSTT1272</t>
  </si>
  <si>
    <t>MP51N-8849</t>
  </si>
  <si>
    <t>Egyptian Cotton</t>
  </si>
  <si>
    <t>Mustard</t>
  </si>
  <si>
    <t>EDIV1004</t>
  </si>
  <si>
    <t>MP51N-8850</t>
  </si>
  <si>
    <t>MP51N-8851</t>
  </si>
  <si>
    <t>MP51N-8846</t>
  </si>
  <si>
    <t>9/6/2025</t>
  </si>
  <si>
    <t>MP51N-8847</t>
  </si>
  <si>
    <t>9/5/2025</t>
  </si>
  <si>
    <t>MP51N-8848</t>
  </si>
  <si>
    <t>BR54-0188</t>
  </si>
  <si>
    <t>Electric Micro Fleece</t>
  </si>
  <si>
    <t>PF003639</t>
  </si>
  <si>
    <t>AMAZON,AMAZONDS,HDDS,HSNDS,KOHLDSN,TGTDVS,WALMARTDS</t>
  </si>
  <si>
    <t>BTY1023</t>
  </si>
  <si>
    <t>BR54-0175</t>
  </si>
  <si>
    <t>PF003606</t>
  </si>
  <si>
    <t>AMAZON,AMAZONDS,HDDS,KOHLDSN,OVERSTOCK01,TGTDVS,WALMARTDS</t>
  </si>
  <si>
    <t>1/16/2015</t>
  </si>
  <si>
    <t>BR54-3260</t>
  </si>
  <si>
    <t>12/22/2021</t>
  </si>
  <si>
    <t>1/9/2022</t>
  </si>
  <si>
    <t>2/24/2022</t>
  </si>
  <si>
    <t>BR54-3261</t>
  </si>
  <si>
    <t>KOHLDSN,MACY02,NORDSTRACKDS,OVERSTOCK01,TGTDVS</t>
  </si>
  <si>
    <t>1/24/2022</t>
  </si>
  <si>
    <t>MP10-8672</t>
  </si>
  <si>
    <t>Elise</t>
  </si>
  <si>
    <t>Amelie</t>
  </si>
  <si>
    <t>Ellery</t>
  </si>
  <si>
    <t>NCWA2810</t>
  </si>
  <si>
    <t>MP10-8673</t>
  </si>
  <si>
    <t>DLBRAND,MACY02,OVERSTOCK01</t>
  </si>
  <si>
    <t>MP10-8676</t>
  </si>
  <si>
    <t>DLBRAND,MACY02</t>
  </si>
  <si>
    <t>MP10-8677</t>
  </si>
  <si>
    <t>II12-1054</t>
  </si>
  <si>
    <t>Ellipse</t>
  </si>
  <si>
    <t>Cotton Jacquard Duvet Cover Set</t>
  </si>
  <si>
    <t>PP001094;PF004582</t>
  </si>
  <si>
    <t>AMAZON,KOHLDSN,MACY02,NRTPORT,OLLIIX,OVERSTOCK01,TGTDVS,ZOLA</t>
  </si>
  <si>
    <t>JLZF1165</t>
  </si>
  <si>
    <t>3/18/2019</t>
  </si>
  <si>
    <t>4/9/2019</t>
  </si>
  <si>
    <t>MP50-3255</t>
  </si>
  <si>
    <t>Elma</t>
  </si>
  <si>
    <t>Celia</t>
  </si>
  <si>
    <t>Oversized Textured Plush Throw</t>
  </si>
  <si>
    <t>60x70"</t>
  </si>
  <si>
    <t>PF003442</t>
  </si>
  <si>
    <t>THRE8265</t>
  </si>
  <si>
    <t>8/12/2016</t>
  </si>
  <si>
    <t>MP50-3252</t>
  </si>
  <si>
    <t>PF003439</t>
  </si>
  <si>
    <t>HDDS,JCPENNEY01,KOHLDSN,MACY02,OLLIIX,OVERSTOCK01</t>
  </si>
  <si>
    <t>MT108-1216</t>
  </si>
  <si>
    <t>Elmcrest</t>
  </si>
  <si>
    <t>Upholstered Dining Chair with Nailhead Trim</t>
  </si>
  <si>
    <t>MT Lily Pond</t>
  </si>
  <si>
    <t>II150-0140</t>
  </si>
  <si>
    <t>Ely</t>
  </si>
  <si>
    <t>3-Light Spiked Chandelier</t>
  </si>
  <si>
    <t>Matte Black /Gold</t>
  </si>
  <si>
    <t>Glam/Luxury|Industrial</t>
  </si>
  <si>
    <t>IKIY1100</t>
  </si>
  <si>
    <t>SI55-0058</t>
  </si>
  <si>
    <t>Embossed Microfiber</t>
  </si>
  <si>
    <t>PP001984;PF006362</t>
  </si>
  <si>
    <t>SAI10135</t>
  </si>
  <si>
    <t>11/14/2024</t>
  </si>
  <si>
    <t>SI55-0059</t>
  </si>
  <si>
    <t>AMAZON,AMAZONDS,KOHLDSN,LOWESDS,TGTDVS</t>
  </si>
  <si>
    <t>SI55-0060</t>
  </si>
  <si>
    <t>4/21/2025</t>
  </si>
  <si>
    <t>SI55-0061</t>
  </si>
  <si>
    <t>SI55-0062</t>
  </si>
  <si>
    <t>HDDS,KOHLDSN,TGTDVS</t>
  </si>
  <si>
    <t>SI55-0063</t>
  </si>
  <si>
    <t>MP40-8332</t>
  </si>
  <si>
    <t>Emilia</t>
  </si>
  <si>
    <t>Natalie</t>
  </si>
  <si>
    <t>Lillian</t>
  </si>
  <si>
    <t>Twist Tab Lined Window Curtain Panel</t>
  </si>
  <si>
    <t>50x120"</t>
  </si>
  <si>
    <t>PP001164;PF006098</t>
  </si>
  <si>
    <t>11/15/2023</t>
  </si>
  <si>
    <t>FMFC1009</t>
  </si>
  <si>
    <t>MP40-8336</t>
  </si>
  <si>
    <t>Twist Tab Total Blackout Window Curtain Panel</t>
  </si>
  <si>
    <t>50x95" Blackout</t>
  </si>
  <si>
    <t>NCWA1609</t>
  </si>
  <si>
    <t>MP40-6323</t>
  </si>
  <si>
    <t>PP001164;PF004652</t>
  </si>
  <si>
    <t>5/9/2019</t>
  </si>
  <si>
    <t>AMAZON,AMAZONDS,BLK01,DESINC,JCPENNEY01,OVERSTOCK01</t>
  </si>
  <si>
    <t>6/11/2019</t>
  </si>
  <si>
    <t>MP41-4456</t>
  </si>
  <si>
    <t>VALANCE</t>
  </si>
  <si>
    <t>Valance</t>
  </si>
  <si>
    <t>Lightweight Faux Silk Valance With Beads</t>
  </si>
  <si>
    <t>50x26"</t>
  </si>
  <si>
    <t>Bronze</t>
  </si>
  <si>
    <t>PF003966</t>
  </si>
  <si>
    <t>6/2/2017</t>
  </si>
  <si>
    <t>CHRL5756</t>
  </si>
  <si>
    <t>6/29/2017</t>
  </si>
  <si>
    <t>9/5/2017</t>
  </si>
  <si>
    <t>MP40-3560</t>
  </si>
  <si>
    <t>Dusty Aqua</t>
  </si>
  <si>
    <t>PF003965</t>
  </si>
  <si>
    <t>MP41-6320</t>
  </si>
  <si>
    <t>PP001164;PF004653</t>
  </si>
  <si>
    <t>AMAZON,JCPENNEY01,KOHLDSN</t>
  </si>
  <si>
    <t>6/5/2019</t>
  </si>
  <si>
    <t>6/10/2019</t>
  </si>
  <si>
    <t>MP40-7408</t>
  </si>
  <si>
    <t>Pewter</t>
  </si>
  <si>
    <t>PF003967;PP001164</t>
  </si>
  <si>
    <t>3/12/2021</t>
  </si>
  <si>
    <t>KOHLDSN,LOWESDS,TGTDVS</t>
  </si>
  <si>
    <t>4/6/2021</t>
  </si>
  <si>
    <t>6/7/2021</t>
  </si>
  <si>
    <t>MP40-6328</t>
  </si>
  <si>
    <t>PP001164;PF004651</t>
  </si>
  <si>
    <t>BLK01,JCPENNEY01</t>
  </si>
  <si>
    <t>7/8/2019</t>
  </si>
  <si>
    <t>MP40-8259</t>
  </si>
  <si>
    <t>Twist Tab Lined Window Curtain Panel Pair</t>
  </si>
  <si>
    <t>PF003958</t>
  </si>
  <si>
    <t>9/27/2023</t>
  </si>
  <si>
    <t>AMAZON,BLK01,JCPENNEY01,KOHLDSN,OLLIIX,OVERSTOCK01</t>
  </si>
  <si>
    <t>NCWA2529</t>
  </si>
  <si>
    <t>10/4/2023</t>
  </si>
  <si>
    <t>4/15/2024</t>
  </si>
  <si>
    <t>WR10-3861</t>
  </si>
  <si>
    <t>Emmet Creek</t>
  </si>
  <si>
    <t>Down Alternative Comforter Set with Throw Pillow</t>
  </si>
  <si>
    <t>Softspun</t>
  </si>
  <si>
    <t>Southwest</t>
  </si>
  <si>
    <t>AMAZONDS,JCPENNEY01,KOHLDSN,OVERSTOCK01</t>
  </si>
  <si>
    <t>XBYB1064</t>
  </si>
  <si>
    <t>10/19/2023</t>
  </si>
  <si>
    <t>MP40-6750</t>
  </si>
  <si>
    <t>Englewood</t>
  </si>
  <si>
    <t>Oslow</t>
  </si>
  <si>
    <t>Lincoln</t>
  </si>
  <si>
    <t>Solid Piece Dyed Grommet Top Curtain Panel</t>
  </si>
  <si>
    <t>PP001398;PF004938</t>
  </si>
  <si>
    <t>10/15/2019</t>
  </si>
  <si>
    <t>JCPENNEY01,OLLIIX,TGTDVS</t>
  </si>
  <si>
    <t>NCWA1709</t>
  </si>
  <si>
    <t>11/21/2019</t>
  </si>
  <si>
    <t>6/8/2020</t>
  </si>
  <si>
    <t>MP40-6751</t>
  </si>
  <si>
    <t>9/7/2020</t>
  </si>
  <si>
    <t>MP40-6752</t>
  </si>
  <si>
    <t>HDDS,JCPENNEY01,KOHLDSN,OLLIIX,OVERSTOCK01,TGTDVS</t>
  </si>
  <si>
    <t>7/27/2020</t>
  </si>
  <si>
    <t>MPS10-552</t>
  </si>
  <si>
    <t>Essence</t>
  </si>
  <si>
    <t>Oversized Cotton Clipped Jacquard Comforter Set with Euro Shams and Throw Pillows</t>
  </si>
  <si>
    <t>3/5/2025</t>
  </si>
  <si>
    <t>NCWB1200</t>
  </si>
  <si>
    <t>4/16/2025</t>
  </si>
  <si>
    <t>MP12-8715</t>
  </si>
  <si>
    <t>Etta</t>
  </si>
  <si>
    <t>Amory</t>
  </si>
  <si>
    <t>3PCS Duvet Set</t>
  </si>
  <si>
    <t>10/7/2025</t>
  </si>
  <si>
    <t>AMAZON,KOHLDSN</t>
  </si>
  <si>
    <t>NCWA2755</t>
  </si>
  <si>
    <t>MP12-8721</t>
  </si>
  <si>
    <t>Terracotta</t>
  </si>
  <si>
    <t>MP10-8395</t>
  </si>
  <si>
    <t>Evelyn</t>
  </si>
  <si>
    <t>Liliana</t>
  </si>
  <si>
    <t>Josie</t>
  </si>
  <si>
    <t>3 Piece Stripe Ruched Comforter Set</t>
  </si>
  <si>
    <t>PP001947;PF006205</t>
  </si>
  <si>
    <t>3/28/2024</t>
  </si>
  <si>
    <t>NCWA2672</t>
  </si>
  <si>
    <t>MP10-8396</t>
  </si>
  <si>
    <t>MP12-8305</t>
  </si>
  <si>
    <t>Everly</t>
  </si>
  <si>
    <t>Maeve</t>
  </si>
  <si>
    <t>Selena</t>
  </si>
  <si>
    <t>3 Piece Tufted Woven Medallion Duvet Cover Set</t>
  </si>
  <si>
    <t>Grey/White</t>
  </si>
  <si>
    <t>PP001905;PF006074</t>
  </si>
  <si>
    <t>9/8/2023</t>
  </si>
  <si>
    <t>BLK01,JCPENNEY01,MACY02,OLLIIX,OVERSTOCK01,TGTDVS</t>
  </si>
  <si>
    <t>NCWA2543</t>
  </si>
  <si>
    <t>10/29/2023</t>
  </si>
  <si>
    <t>1/26/2024</t>
  </si>
  <si>
    <t>MP10-8304</t>
  </si>
  <si>
    <t>3 Piece Tufted Woven Medallion Comforter Set</t>
  </si>
  <si>
    <t>10/27/2023</t>
  </si>
  <si>
    <t>AMAZON,AMAZONDS,JCPENNEY01,KIRKLANDDS,KOHLDSN,NRTPORT,TGTDVS</t>
  </si>
  <si>
    <t>NCWA2542</t>
  </si>
  <si>
    <t>12/27/2023</t>
  </si>
  <si>
    <t>MP12-8306</t>
  </si>
  <si>
    <t>11/17/2023</t>
  </si>
  <si>
    <t>II150-0118</t>
  </si>
  <si>
    <t>Ezra</t>
  </si>
  <si>
    <t>5-Light Metal Chandelier</t>
  </si>
  <si>
    <t>Antique Brass/White</t>
  </si>
  <si>
    <t>5/4/2022</t>
  </si>
  <si>
    <t>JLZF1321</t>
  </si>
  <si>
    <t>5/12/2022</t>
  </si>
  <si>
    <t>9/12/2022</t>
  </si>
  <si>
    <t>FB150-1169</t>
  </si>
  <si>
    <t>Fairmount</t>
  </si>
  <si>
    <t>8-Light Traditional Chandelier with Drum Shades</t>
  </si>
  <si>
    <t>Black/Silver</t>
  </si>
  <si>
    <t>HTN10015</t>
  </si>
  <si>
    <t>MT100-1190</t>
  </si>
  <si>
    <t>Fayette</t>
  </si>
  <si>
    <t>Tufted Accent Arm Chair</t>
  </si>
  <si>
    <t>10/21/2023</t>
  </si>
  <si>
    <t>AMAZONDS,OLLIIX,OVERSTOCK01</t>
  </si>
  <si>
    <t>MSTT6043</t>
  </si>
  <si>
    <t>1/17/2024</t>
  </si>
  <si>
    <t>ID12-1944</t>
  </si>
  <si>
    <t>Felicia</t>
  </si>
  <si>
    <t>Isabel</t>
  </si>
  <si>
    <t>Alyssa</t>
  </si>
  <si>
    <t>Velvet Duvet Cover Set with Throw Pillow</t>
  </si>
  <si>
    <t>PP001091;PF005199</t>
  </si>
  <si>
    <t>Modern/Contemporary|Transitional</t>
  </si>
  <si>
    <t>9/23/2020</t>
  </si>
  <si>
    <t>HSHM2690</t>
  </si>
  <si>
    <t>9/28/2020</t>
  </si>
  <si>
    <t>11/18/2020</t>
  </si>
  <si>
    <t>ID12-2057</t>
  </si>
  <si>
    <t>9/10/2021</t>
  </si>
  <si>
    <t>AMAZON,AMAZONDS,AMERSIGNDS,HDDS,JCPENNEY01,KOHLDSN,OVERSTOCK01,TGTDVS</t>
  </si>
  <si>
    <t>ID12-2160</t>
  </si>
  <si>
    <t>PP001091;PF005800</t>
  </si>
  <si>
    <t>BLK01,JCPENNEY01,OLLIIX</t>
  </si>
  <si>
    <t>10/4/2022</t>
  </si>
  <si>
    <t>1/6/2023</t>
  </si>
  <si>
    <t>ID10-2158</t>
  </si>
  <si>
    <t>Velvet Comforter Set with Throw Pillow</t>
  </si>
  <si>
    <t>AMAZONDS,DESINC,HDDS,JCPENNEY01,KOHLDSN,MACY02,NRTPORT,OLLIIX,OVERSTOCK01,TGTDVS</t>
  </si>
  <si>
    <t>HSHM2689</t>
  </si>
  <si>
    <t>10/3/2022</t>
  </si>
  <si>
    <t>12/1/2022</t>
  </si>
  <si>
    <t>ID12-2161</t>
  </si>
  <si>
    <t>AMAZONDS,JCPENNEY01,OVERSTOCK01,TGTDVS</t>
  </si>
  <si>
    <t>12/21/2022</t>
  </si>
  <si>
    <t>ID12-1782</t>
  </si>
  <si>
    <t>PP001091;PF004575</t>
  </si>
  <si>
    <t>8/7/2019</t>
  </si>
  <si>
    <t>AMAZON,AMAZONDS,JCPENNEY01,OLLIIX,TGTDVS</t>
  </si>
  <si>
    <t>10/8/2019</t>
  </si>
  <si>
    <t>ID12-2403</t>
  </si>
  <si>
    <t>Champagne</t>
  </si>
  <si>
    <t>PP001091;PF006267</t>
  </si>
  <si>
    <t>AMAZON,OLLIIX,TGTDVS</t>
  </si>
  <si>
    <t>ID10-2401</t>
  </si>
  <si>
    <t>AMAZON,AMAZONDS,ASHFURNDS,HDDS,KOHLDSN,MACY02,NRTPORT,OVERSTOCK01,TGTDVS</t>
  </si>
  <si>
    <t>8/9/2024</t>
  </si>
  <si>
    <t>ID12-2404</t>
  </si>
  <si>
    <t>ID12-2405</t>
  </si>
  <si>
    <t>AMAZON,AMAZONDS,HDDS,MACY02</t>
  </si>
  <si>
    <t>ID12-2415</t>
  </si>
  <si>
    <t>PP001091;PF006269</t>
  </si>
  <si>
    <t>ID10-2413</t>
  </si>
  <si>
    <t>AMAZON,BLK01,HDDS,KOHLDSN,MACY02,NRTPORT,TGTDVS</t>
  </si>
  <si>
    <t>ID12-2416</t>
  </si>
  <si>
    <t>AMAZON,AMERSIGNDS,KOHLDSN,TGTDVS</t>
  </si>
  <si>
    <t>ID10-2414</t>
  </si>
  <si>
    <t>ID12-2417</t>
  </si>
  <si>
    <t>6/30/2025</t>
  </si>
  <si>
    <t>ID10-1791</t>
  </si>
  <si>
    <t>PP001091;PF004858</t>
  </si>
  <si>
    <t>9/27/2019</t>
  </si>
  <si>
    <t>AMAZON,AMAZONDS,AMERSIGNDS,JCPENNEY01,KOHLDSN,MACY02,NRTPORT,OLLIIX,TGTDVS</t>
  </si>
  <si>
    <t>9/29/2019</t>
  </si>
  <si>
    <t>ID12-1793</t>
  </si>
  <si>
    <t>10/29/2019</t>
  </si>
  <si>
    <t>ID12-1794</t>
  </si>
  <si>
    <t>ID12-1973</t>
  </si>
  <si>
    <t>3/3/2021</t>
  </si>
  <si>
    <t>JCPENNEY01,MACY02,OLLIIX,OVERSTOCK01,TGTDVS</t>
  </si>
  <si>
    <t>3/5/2021</t>
  </si>
  <si>
    <t>ID12-2409</t>
  </si>
  <si>
    <t>PP001091;PF006268</t>
  </si>
  <si>
    <t>ID10-1905</t>
  </si>
  <si>
    <t>PP001091;PF005084</t>
  </si>
  <si>
    <t>5/15/2020</t>
  </si>
  <si>
    <t>AMAZONDS,KOHLDSN,NRTPORT,OVERSTOCK01,TGTDVS</t>
  </si>
  <si>
    <t>5/18/2020</t>
  </si>
  <si>
    <t>ID12-1907</t>
  </si>
  <si>
    <t>6/15/2020</t>
  </si>
  <si>
    <t>ID12-1977</t>
  </si>
  <si>
    <t>2/24/2021</t>
  </si>
  <si>
    <t>2/25/2021</t>
  </si>
  <si>
    <t>MP12-5626</t>
  </si>
  <si>
    <t>Finley</t>
  </si>
  <si>
    <t>Rianon</t>
  </si>
  <si>
    <t>Lucina</t>
  </si>
  <si>
    <t>3 Piece Cotton Waffle Weave Duvet Cover Set</t>
  </si>
  <si>
    <t>PP000854;PF004193</t>
  </si>
  <si>
    <t>Waffle</t>
  </si>
  <si>
    <t>4/24/2018</t>
  </si>
  <si>
    <t>ASHFURNDS,DLBRAND,OLLIIX,OVERSTOCK01,TGTDVS</t>
  </si>
  <si>
    <t>EDIV1158</t>
  </si>
  <si>
    <t>5/9/2018</t>
  </si>
  <si>
    <t>6/8/2018</t>
  </si>
  <si>
    <t>CHM13-0009</t>
  </si>
  <si>
    <t>Croscill Home</t>
  </si>
  <si>
    <t>Fiore</t>
  </si>
  <si>
    <t>3 Piece Coverlet Set</t>
  </si>
  <si>
    <t>Marshmallow</t>
  </si>
  <si>
    <t>DLCROSCILL,JCPENNEY01,MACY02,OLLIIX,OVERSTOCK01</t>
  </si>
  <si>
    <t>CJSC1003</t>
  </si>
  <si>
    <t>ST54-0098</t>
  </si>
  <si>
    <t>Fleece to Sherpa</t>
  </si>
  <si>
    <t>2/16/2021</t>
  </si>
  <si>
    <t>FINGERHUTDS,JCPENNEY01,KOHLDSN,MACY02,OVERSTOCK01</t>
  </si>
  <si>
    <t>XS10653</t>
  </si>
  <si>
    <t>Tier 1-S</t>
  </si>
  <si>
    <t>2/22/2021</t>
  </si>
  <si>
    <t>ST54-0078</t>
  </si>
  <si>
    <t>Heated Throw</t>
  </si>
  <si>
    <t>FINGERHUTDS,JCPENNEY01,KOHLDSN,MACY02,OVERSTOCK01,TGTDVS,WALMARTDS</t>
  </si>
  <si>
    <t>XS10550</t>
  </si>
  <si>
    <t>3/15/2021</t>
  </si>
  <si>
    <t>ST54-0133</t>
  </si>
  <si>
    <t>7/30/2021</t>
  </si>
  <si>
    <t>ST54-0135</t>
  </si>
  <si>
    <t>FINGERHUTDS,JCPENNEY01,KOHLDSN,MACY02</t>
  </si>
  <si>
    <t>ST54-0136</t>
  </si>
  <si>
    <t>9/3/2021</t>
  </si>
  <si>
    <t>ST54-0141</t>
  </si>
  <si>
    <t>FINGERHUTDS,JCPENNEY01,KOHLDSN,MACY02,OLLIIX,OVERSTOCK01</t>
  </si>
  <si>
    <t>8/24/2021</t>
  </si>
  <si>
    <t>ST54-0142</t>
  </si>
  <si>
    <t>DESINC,FINGERHUTDS,KOHLDSN,OVERSTOCK01</t>
  </si>
  <si>
    <t>ST54-0102</t>
  </si>
  <si>
    <t>Dark Grey</t>
  </si>
  <si>
    <t>ST54-0103</t>
  </si>
  <si>
    <t>3/10/2021</t>
  </si>
  <si>
    <t>ST54-0105</t>
  </si>
  <si>
    <t>BLK01,FINGERHUTDS,JCPENNEY01,KOHLDSN,MACY02,OVERSTOCK01</t>
  </si>
  <si>
    <t>3/9/2021</t>
  </si>
  <si>
    <t>ST54-0137</t>
  </si>
  <si>
    <t>ST54-0138</t>
  </si>
  <si>
    <t>ST54-0140</t>
  </si>
  <si>
    <t>FINGERHUTDS,JCPENNEY01,KOHLDSN,OLLIIX,OVERSTOCK01</t>
  </si>
  <si>
    <t>ST54-0123</t>
  </si>
  <si>
    <t>6/28/2021</t>
  </si>
  <si>
    <t>FINGERHUTDS,JCPENNEY01,KOHLDSN</t>
  </si>
  <si>
    <t>ST54-0110</t>
  </si>
  <si>
    <t>ST54-0111</t>
  </si>
  <si>
    <t>FINGERHUTDS,JCPENNEY01,OVERSTOCK01,TGTDVS</t>
  </si>
  <si>
    <t>3/23/2021</t>
  </si>
  <si>
    <t>ST54-0112</t>
  </si>
  <si>
    <t>BLK01,JCPENNEY01,KOHLDSN,MACY02,OVERSTOCK01,TGTDVS</t>
  </si>
  <si>
    <t>3/21/2021</t>
  </si>
  <si>
    <t>WR10-2481</t>
  </si>
  <si>
    <t>Flint</t>
  </si>
  <si>
    <t>CozySpun Down Alternative Comforter Mini Set</t>
  </si>
  <si>
    <t>PP001005;PF004483</t>
  </si>
  <si>
    <t>AMAZON,BLK01,HDDS,KOHLDSN,MACY02,OVERSTOCK01,TGTDVS,WALMARTDS</t>
  </si>
  <si>
    <t>XBYB1013</t>
  </si>
  <si>
    <t>11/26/2018</t>
  </si>
  <si>
    <t>1/2/2019</t>
  </si>
  <si>
    <t>MP133-0532</t>
  </si>
  <si>
    <t>BUFFET</t>
  </si>
  <si>
    <t>Cabinet</t>
  </si>
  <si>
    <t>Folio</t>
  </si>
  <si>
    <t>Doughrty</t>
  </si>
  <si>
    <t>Tilden</t>
  </si>
  <si>
    <t>Buffet</t>
  </si>
  <si>
    <t>PP000633</t>
  </si>
  <si>
    <t>12/6/2017</t>
  </si>
  <si>
    <t>HMPT3730</t>
  </si>
  <si>
    <t>12/8/2017</t>
  </si>
  <si>
    <t>12/27/2017</t>
  </si>
  <si>
    <t>MP133-0532B</t>
  </si>
  <si>
    <t>17"x15.5"x32.5"</t>
  </si>
  <si>
    <t>MP133-0532A</t>
  </si>
  <si>
    <t>34"x17"x34"</t>
  </si>
  <si>
    <t>MP95C-0041</t>
  </si>
  <si>
    <t>Forest Reflections</t>
  </si>
  <si>
    <t>Triptych 3-piece Canvas Wall Art Set</t>
  </si>
  <si>
    <t>Set of 3</t>
  </si>
  <si>
    <t>PF001911</t>
  </si>
  <si>
    <t>Landscape</t>
  </si>
  <si>
    <t>AMAZON,AMERSIGNDS,ASHFURNDS,KIRKLANDDS,KOHLDSN,OLLIIX,OVERSTOCK01,ROOMECOM,TGTDVS</t>
  </si>
  <si>
    <t>ALCT6629</t>
  </si>
  <si>
    <t>9/23/2016</t>
  </si>
  <si>
    <t>MP13-8154</t>
  </si>
  <si>
    <t>Franklin</t>
  </si>
  <si>
    <t>Cameron</t>
  </si>
  <si>
    <t>3 Piece Crinkled Microfiber Quilt Set</t>
  </si>
  <si>
    <t>PP001837;PF005892</t>
  </si>
  <si>
    <t>12/15/2022</t>
  </si>
  <si>
    <t>AMAZON,AMAZONDS,HDDS,JCPENNEY01,KOHLDSN,NRTPORT,TGTDVS</t>
  </si>
  <si>
    <t>NCWA2450</t>
  </si>
  <si>
    <t>8/17/2023</t>
  </si>
  <si>
    <t>HHD14-1925</t>
  </si>
  <si>
    <t>QUILT</t>
  </si>
  <si>
    <t>Quilt</t>
  </si>
  <si>
    <t>French Flax</t>
  </si>
  <si>
    <t>Linen Garment Washed Quilt Set</t>
  </si>
  <si>
    <t>Clay</t>
  </si>
  <si>
    <t>HUH10128</t>
  </si>
  <si>
    <t>HHD14-1926</t>
  </si>
  <si>
    <t>HHD14-1921</t>
  </si>
  <si>
    <t>HHD14-1922</t>
  </si>
  <si>
    <t>HHD14-1920</t>
  </si>
  <si>
    <t>HHD14-1923</t>
  </si>
  <si>
    <t>HHD14-1924</t>
  </si>
  <si>
    <t>HHD14-1917</t>
  </si>
  <si>
    <t>HHD14-1918</t>
  </si>
  <si>
    <t>AM10-0127</t>
  </si>
  <si>
    <t>Gabby</t>
  </si>
  <si>
    <t>Maddie</t>
  </si>
  <si>
    <t>Julie/Libby</t>
  </si>
  <si>
    <t>Reversible Floral Botanical Seersucker Comforter Set</t>
  </si>
  <si>
    <t>Plum/Grey</t>
  </si>
  <si>
    <t>PP001958;PF006235</t>
  </si>
  <si>
    <t>Farmhouse/Country /Cottage</t>
  </si>
  <si>
    <t>BLK01,HDDS,JCPENNEY01,KOHLDSN,MACY02,NRTPORT,OVERSTOCK01,TGTDVS</t>
  </si>
  <si>
    <t>NGIN1169</t>
  </si>
  <si>
    <t>3/14/2024</t>
  </si>
  <si>
    <t>CH100-1000</t>
  </si>
  <si>
    <t>Chair</t>
  </si>
  <si>
    <t>Gabriella</t>
  </si>
  <si>
    <t>CAPQ1038</t>
  </si>
  <si>
    <t>CH106-1000</t>
  </si>
  <si>
    <t>LOVESEAT &amp; SOFA</t>
  </si>
  <si>
    <t>Loveseat &amp; Sofa</t>
  </si>
  <si>
    <t>Dining Bench Sofa</t>
  </si>
  <si>
    <t>CAPQ1039</t>
  </si>
  <si>
    <t>MP40-8784</t>
  </si>
  <si>
    <t>Galen Matte</t>
  </si>
  <si>
    <t xml:space="preserve">Cordless Roman Blind  Galen Matte fabric</t>
  </si>
  <si>
    <t>23x64"</t>
  </si>
  <si>
    <t>Matte ivory</t>
  </si>
  <si>
    <t>6/14/2025</t>
  </si>
  <si>
    <t>NCWA2831</t>
  </si>
  <si>
    <t>MP40-8772</t>
  </si>
  <si>
    <t>AMAZON,AMAZONDS,OLLIIX</t>
  </si>
  <si>
    <t>MP40-8785</t>
  </si>
  <si>
    <t>29x64"</t>
  </si>
  <si>
    <t>MP40-8773</t>
  </si>
  <si>
    <t>MP40-8786</t>
  </si>
  <si>
    <t>MP40-8774</t>
  </si>
  <si>
    <t>34x64"</t>
  </si>
  <si>
    <t>MP40-8775</t>
  </si>
  <si>
    <t>MP40-8787</t>
  </si>
  <si>
    <t>MP40-8788</t>
  </si>
  <si>
    <t>Matte white</t>
  </si>
  <si>
    <t>MP40-8776</t>
  </si>
  <si>
    <t>MP40-8789</t>
  </si>
  <si>
    <t>MP40-8777</t>
  </si>
  <si>
    <t>6/17/2025</t>
  </si>
  <si>
    <t>MP40-8790</t>
  </si>
  <si>
    <t>MP40-8778</t>
  </si>
  <si>
    <t>MP40-8779</t>
  </si>
  <si>
    <t>MP40-8791</t>
  </si>
  <si>
    <t>CSP51N-1531</t>
  </si>
  <si>
    <t>Gauze</t>
  </si>
  <si>
    <t>100% Cotton Lightweight Blanket</t>
  </si>
  <si>
    <t>PP001581;PF006165</t>
  </si>
  <si>
    <t>2/13/2024</t>
  </si>
  <si>
    <t>AMAZON,AMAZONDS,HDDS,JCPENNEY01,KOHLDSN,MACY02,OLLIIX,OVERSTOCK01,TGTDVS</t>
  </si>
  <si>
    <t>CEAH1001</t>
  </si>
  <si>
    <t>CCA13-0009</t>
  </si>
  <si>
    <t>Gema</t>
  </si>
  <si>
    <t>3 Piece Grey Coverlet Set</t>
  </si>
  <si>
    <t>CMSC1003</t>
  </si>
  <si>
    <t>MP10-6569</t>
  </si>
  <si>
    <t>Genevieve</t>
  </si>
  <si>
    <t>Beverly</t>
  </si>
  <si>
    <t>Taupe/Brown</t>
  </si>
  <si>
    <t>PF004777</t>
  </si>
  <si>
    <t>AMAZON,AMAZONDS,BLK01,FINGERHUTDS,JCPENNEY01,KOHLDSN,MACY02,NRTPORT,OVERSTOCK01,TGTDVS</t>
  </si>
  <si>
    <t>ALCT8589</t>
  </si>
  <si>
    <t>12/4/2019</t>
  </si>
  <si>
    <t>MP10-8544</t>
  </si>
  <si>
    <t>Gia</t>
  </si>
  <si>
    <t>Solid Faux Fur Comforter Mini Set</t>
  </si>
  <si>
    <t>PP001110;PF006430</t>
  </si>
  <si>
    <t>AMAZON,AMAZONDS,KOHLDSN,NRTPORT,OLLIIX,TGTDVS</t>
  </si>
  <si>
    <t>NCWA1506</t>
  </si>
  <si>
    <t>MP10-8541</t>
  </si>
  <si>
    <t>PP001110;PF006429</t>
  </si>
  <si>
    <t>12/3/2025</t>
  </si>
  <si>
    <t>AMAZON,KOHLDSN,MACY02,OLLIIX,OVERSTOCK01</t>
  </si>
  <si>
    <t>MP10-8542</t>
  </si>
  <si>
    <t>HDDS,KOHLDSN,MACY02,OLLIIX,OVERSTOCK01</t>
  </si>
  <si>
    <t>11/10/2024</t>
  </si>
  <si>
    <t>MP10-8543</t>
  </si>
  <si>
    <t>HDDS,KOHLDSN,LOWESDS,MACY02,NRTPORT,OLLIIX</t>
  </si>
  <si>
    <t>AM10-0541</t>
  </si>
  <si>
    <t>Gigi</t>
  </si>
  <si>
    <t>Lola</t>
  </si>
  <si>
    <t>Cecily</t>
  </si>
  <si>
    <t>NGIN1245</t>
  </si>
  <si>
    <t>AM10-0542</t>
  </si>
  <si>
    <t>KOHLDSN,MACY02,OVERSTOCK01</t>
  </si>
  <si>
    <t>AM10-0543</t>
  </si>
  <si>
    <t>AM10-0547</t>
  </si>
  <si>
    <t>AM10-0548</t>
  </si>
  <si>
    <t>DESINC,KOHLDSN,MACY02</t>
  </si>
  <si>
    <t>AM10-0549</t>
  </si>
  <si>
    <t>AM10-0544</t>
  </si>
  <si>
    <t>AMAZON,AMAZONDS,KOHLDSN,MACY02,OVERSTOCK01</t>
  </si>
  <si>
    <t>AM10-0545</t>
  </si>
  <si>
    <t>AM10-0546</t>
  </si>
  <si>
    <t>AM10-0550</t>
  </si>
  <si>
    <t>AM10-0552</t>
  </si>
  <si>
    <t>AM10-0538</t>
  </si>
  <si>
    <t>AMAZON,AMAZONDS,HDDS,KOHLDSN,MACY02,OLLIIX,OVERSTOCK01</t>
  </si>
  <si>
    <t>AM10-0539</t>
  </si>
  <si>
    <t>AM10-0540</t>
  </si>
  <si>
    <t>KOHLDSN,MACY02,OLLIIX</t>
  </si>
  <si>
    <t>MT95G-0087</t>
  </si>
  <si>
    <t>Framed Graphics|Wall Decor</t>
  </si>
  <si>
    <t>Gilded Trio</t>
  </si>
  <si>
    <t>Gold Metallic Leaf Square Framed Graphic Wall Decor 3-Piece Set</t>
  </si>
  <si>
    <t>Black/Gold</t>
  </si>
  <si>
    <t>2/7/2024</t>
  </si>
  <si>
    <t>AMAZON,KIRKLANDDS,KOHLDSN,LAMPDS,OLLIIX,TGTDVS</t>
  </si>
  <si>
    <t>MSTT6116</t>
  </si>
  <si>
    <t>3/8/2024</t>
  </si>
  <si>
    <t>CS10-1316</t>
  </si>
  <si>
    <t>Gracelyn</t>
  </si>
  <si>
    <t>Sylvie</t>
  </si>
  <si>
    <t>Sandra</t>
  </si>
  <si>
    <t>Paisley Print 9 Piece Comforter Set with Sheets</t>
  </si>
  <si>
    <t>PP001863;PF005962</t>
  </si>
  <si>
    <t>2/9/2021</t>
  </si>
  <si>
    <t>BLK01,KOHLDSN,OLLIIX,TGTDVS</t>
  </si>
  <si>
    <t>BADI1250</t>
  </si>
  <si>
    <t>1/11/2023</t>
  </si>
  <si>
    <t>UHK12-0238</t>
  </si>
  <si>
    <t>Gracie</t>
  </si>
  <si>
    <t>Madeline</t>
  </si>
  <si>
    <t>Elle</t>
  </si>
  <si>
    <t>Floral Reversible Tufted Chenille Duvet Cover Set</t>
  </si>
  <si>
    <t>Chenille</t>
  </si>
  <si>
    <t>8/26/2025</t>
  </si>
  <si>
    <t>VBDN1059</t>
  </si>
  <si>
    <t>UHK12-0239</t>
  </si>
  <si>
    <t>CH121-1000</t>
  </si>
  <si>
    <t>DINING TABLE</t>
  </si>
  <si>
    <t>Dining Table</t>
  </si>
  <si>
    <t>Grayson</t>
  </si>
  <si>
    <t>CAPQ1008</t>
  </si>
  <si>
    <t>CH125-1000</t>
  </si>
  <si>
    <t>ACCENT TABLE</t>
  </si>
  <si>
    <t>Console Table</t>
  </si>
  <si>
    <t>Accent Console</t>
  </si>
  <si>
    <t>Black/Grey</t>
  </si>
  <si>
    <t>CAPQ1018</t>
  </si>
  <si>
    <t>Furniture -Entertainment &amp; Occassional</t>
  </si>
  <si>
    <t>CH133-1000</t>
  </si>
  <si>
    <t>Highboard</t>
  </si>
  <si>
    <t>CAPQ1009</t>
  </si>
  <si>
    <t>UH95C-0020</t>
  </si>
  <si>
    <t>Grey Rock Garden</t>
  </si>
  <si>
    <t>Gel Coat Framed Canvas 2 Piece Set</t>
  </si>
  <si>
    <t>PP000611</t>
  </si>
  <si>
    <t>OLLIIX,TGTDVS</t>
  </si>
  <si>
    <t>LGLY6896</t>
  </si>
  <si>
    <t>1/15/2018</t>
  </si>
  <si>
    <t>TN50-0482</t>
  </si>
  <si>
    <t>Hadly</t>
  </si>
  <si>
    <t>Wearable Multipurpose Throw</t>
  </si>
  <si>
    <t>62x68"</t>
  </si>
  <si>
    <t>PP001804;PF005795</t>
  </si>
  <si>
    <t>11/15/2022</t>
  </si>
  <si>
    <t>AMAZONDS,MACY02,TGTDVS</t>
  </si>
  <si>
    <t>SLPH1137</t>
  </si>
  <si>
    <t>TN50-0484</t>
  </si>
  <si>
    <t>PP001804;PF005797</t>
  </si>
  <si>
    <t>AMAZONDS,OLLIIX</t>
  </si>
  <si>
    <t>12/26/2022</t>
  </si>
  <si>
    <t>HH10-1683</t>
  </si>
  <si>
    <t>Hallie</t>
  </si>
  <si>
    <t>6 Piece Cotton Comforter Set</t>
  </si>
  <si>
    <t>PF004246</t>
  </si>
  <si>
    <t>12/14/2017</t>
  </si>
  <si>
    <t>AMAZONDS,BLK01,JCPENNEY01,MACY02,OVERSTOCK01</t>
  </si>
  <si>
    <t>HUH1808</t>
  </si>
  <si>
    <t>3/22/2018</t>
  </si>
  <si>
    <t>6/5/2018</t>
  </si>
  <si>
    <t>NS12-3251</t>
  </si>
  <si>
    <t>Hanae</t>
  </si>
  <si>
    <t>Cotton Blend Yarn Dyed 3 Piece Duvet Cover Set</t>
  </si>
  <si>
    <t>PP000991;PF004456</t>
  </si>
  <si>
    <t>9/30/2018</t>
  </si>
  <si>
    <t>ASHFURNDS,MACY02,OVERSTOCK01</t>
  </si>
  <si>
    <t>MBSA1019</t>
  </si>
  <si>
    <t>10/1/2018</t>
  </si>
  <si>
    <t>11/22/2018</t>
  </si>
  <si>
    <t>NS12-3245</t>
  </si>
  <si>
    <t>PP000991;PF004455</t>
  </si>
  <si>
    <t>MP104-0716</t>
  </si>
  <si>
    <t>Swivel Counter Stool</t>
  </si>
  <si>
    <t>Hancock</t>
  </si>
  <si>
    <t>Irvine</t>
  </si>
  <si>
    <t>Silloth</t>
  </si>
  <si>
    <t>High Wingback Button Tufted Upholstered 27" Swivel Counter Stool with Nailhead Accent</t>
  </si>
  <si>
    <t>8/17/2018</t>
  </si>
  <si>
    <t>MACY02F,OLLIIX</t>
  </si>
  <si>
    <t>DBYC4152</t>
  </si>
  <si>
    <t>8/21/2018</t>
  </si>
  <si>
    <t>MP13-8308</t>
  </si>
  <si>
    <t>Harlow</t>
  </si>
  <si>
    <t>Raine</t>
  </si>
  <si>
    <t>Lux</t>
  </si>
  <si>
    <t>3 Piece Reversible Matelasse Coverlet Set</t>
  </si>
  <si>
    <t>PP001908;PF006089</t>
  </si>
  <si>
    <t>AMAZON,AMAZONDS,DLBRAND,JCPENNEY01,KOHLDSN</t>
  </si>
  <si>
    <t>NCWA2544</t>
  </si>
  <si>
    <t>1/30/2024</t>
  </si>
  <si>
    <t>MP13-8310</t>
  </si>
  <si>
    <t>PP001908;PF006090</t>
  </si>
  <si>
    <t>AMAZON,DLBRAND,JCPENNEY01,KOHLDSN,OLLIIX</t>
  </si>
  <si>
    <t>CH100-0052</t>
  </si>
  <si>
    <t>Harper</t>
  </si>
  <si>
    <t>CAPQ1001</t>
  </si>
  <si>
    <t>MP40-4486</t>
  </si>
  <si>
    <t>Sheer Pair</t>
  </si>
  <si>
    <t>Kaylee</t>
  </si>
  <si>
    <t>Avery</t>
  </si>
  <si>
    <t>Solid Crushed Curtain Panel Pair</t>
  </si>
  <si>
    <t>PF003910</t>
  </si>
  <si>
    <t>7/14/2017</t>
  </si>
  <si>
    <t>CHRL6702</t>
  </si>
  <si>
    <t>8/24/2017</t>
  </si>
  <si>
    <t>11/3/2017</t>
  </si>
  <si>
    <t>CH30-0035</t>
  </si>
  <si>
    <t>CAPQ1037</t>
  </si>
  <si>
    <t>CH30-0034</t>
  </si>
  <si>
    <t>Square Stripe Pillow</t>
  </si>
  <si>
    <t>Navy/Cream</t>
  </si>
  <si>
    <t>HOUZZ,OLLIIX</t>
  </si>
  <si>
    <t>CH100-0012</t>
  </si>
  <si>
    <t>Stripe/Multi</t>
  </si>
  <si>
    <t>MP40-4502</t>
  </si>
  <si>
    <t>PF003912</t>
  </si>
  <si>
    <t>AMAZON,AMAZONDS,DESINC,JCPENNEY01,KOHLDSN,TGTDVS</t>
  </si>
  <si>
    <t>10/20/2017</t>
  </si>
  <si>
    <t>BR55-0537</t>
  </si>
  <si>
    <t>Heated Microfiber</t>
  </si>
  <si>
    <t>Heated Mattress Pad with 3M Scotchgard</t>
  </si>
  <si>
    <t>PF003423</t>
  </si>
  <si>
    <t>9/23/2017</t>
  </si>
  <si>
    <t>SEEP1004</t>
  </si>
  <si>
    <t>11/17/2015</t>
  </si>
  <si>
    <t>BR54-0386</t>
  </si>
  <si>
    <t>Heated Microlight to Berber</t>
  </si>
  <si>
    <t>PF003603</t>
  </si>
  <si>
    <t>QMP2248</t>
  </si>
  <si>
    <t>7/15/2015</t>
  </si>
  <si>
    <t>BR54-0388</t>
  </si>
  <si>
    <t>10/11/2017</t>
  </si>
  <si>
    <t>7/29/2015</t>
  </si>
  <si>
    <t>BR54-0416</t>
  </si>
  <si>
    <t>PF003605</t>
  </si>
  <si>
    <t>AMAZON,BLK01,KOHLDSN,OLLIIX,TGTDVS,WALMARTDS</t>
  </si>
  <si>
    <t>BR54-0417</t>
  </si>
  <si>
    <t>4/5/2017</t>
  </si>
  <si>
    <t>10/21/2015</t>
  </si>
  <si>
    <t>BR54-0646</t>
  </si>
  <si>
    <t>PF003607</t>
  </si>
  <si>
    <t>AMAZON,AMAZONDS,FINGERHUTDS,KOHLDSN,OVERSTOCK01,TGTDVS</t>
  </si>
  <si>
    <t>9/22/2016</t>
  </si>
  <si>
    <t>BR54-0647</t>
  </si>
  <si>
    <t>4/14/2017</t>
  </si>
  <si>
    <t>AMAZON,BLK01,OVERSTOCK01</t>
  </si>
  <si>
    <t>11/11/2016</t>
  </si>
  <si>
    <t>BR54-0663</t>
  </si>
  <si>
    <t>PF003576</t>
  </si>
  <si>
    <t>AMAZON,AMAZONDS,FINGERHUTDS,HDDS,KOHLDSN,MACY02,NORDSTRACKDS,OVERSTOCK01</t>
  </si>
  <si>
    <t>GACQ1129</t>
  </si>
  <si>
    <t>10/10/2016</t>
  </si>
  <si>
    <t>BR54-1941</t>
  </si>
  <si>
    <t>PP001523;PF005169</t>
  </si>
  <si>
    <t>1/26/2021</t>
  </si>
  <si>
    <t>BR54-0390</t>
  </si>
  <si>
    <t>PF003604</t>
  </si>
  <si>
    <t>11/18/2015</t>
  </si>
  <si>
    <t>BR54-0391</t>
  </si>
  <si>
    <t>AMAZON,KOHLDSN,WALMARTDS</t>
  </si>
  <si>
    <t>BR54-0392</t>
  </si>
  <si>
    <t>4/20/2017</t>
  </si>
  <si>
    <t>BLK01,KOHLDSN,MACY02,OLLIIX</t>
  </si>
  <si>
    <t>BR54-0381</t>
  </si>
  <si>
    <t>PF003602</t>
  </si>
  <si>
    <t>8/25/2015</t>
  </si>
  <si>
    <t>BR54-0382</t>
  </si>
  <si>
    <t>AMAZON,FINGERHUTDS</t>
  </si>
  <si>
    <t>BR54-1926</t>
  </si>
  <si>
    <t>PP001523;PF005168</t>
  </si>
  <si>
    <t>AMAZON,AMAZONDS,BLK01,KOHLDSN,MACY02,NORDSTRACKDS</t>
  </si>
  <si>
    <t>10/19/2020</t>
  </si>
  <si>
    <t>BR54-0538</t>
  </si>
  <si>
    <t>Heated Ogee</t>
  </si>
  <si>
    <t>PF003424</t>
  </si>
  <si>
    <t>AMAZON,AMAZONDS,HSNDS,MACY02,OLLIIX,TGTDVS,WALMARTDS</t>
  </si>
  <si>
    <t>SEEP1005</t>
  </si>
  <si>
    <t>11/9/2015</t>
  </si>
  <si>
    <t>BR54-0541</t>
  </si>
  <si>
    <t>PF003428</t>
  </si>
  <si>
    <t>AMAZON,AMAZONDS,BLK01,HDDS,NORDSTRACKDS,TGTDVS,WALMARTDS</t>
  </si>
  <si>
    <t>11/20/2015</t>
  </si>
  <si>
    <t>BR54-0906</t>
  </si>
  <si>
    <t>Heated Plush</t>
  </si>
  <si>
    <t>PF004401</t>
  </si>
  <si>
    <t>AMAZON,AMAZONDS,BLK01,KOHLDSN,NRTPORT</t>
  </si>
  <si>
    <t>BTY1111</t>
  </si>
  <si>
    <t>11/29/2018</t>
  </si>
  <si>
    <t>BR54-0908</t>
  </si>
  <si>
    <t>PF004402</t>
  </si>
  <si>
    <t>AMAZON,AMAZONDS,ASHFURNDS,HDDS,KIRKLANDDS,KOHLDSN,OVERSTOCK01</t>
  </si>
  <si>
    <t>12/5/2018</t>
  </si>
  <si>
    <t>BR54-0513</t>
  </si>
  <si>
    <t>PF003417</t>
  </si>
  <si>
    <t>AAFESDS,AMAZON,AMAZONDS,BLK01,KOHLDSN,OVERSTOCK01,WALMARTDS</t>
  </si>
  <si>
    <t>4/28/2016</t>
  </si>
  <si>
    <t>BR54-0522</t>
  </si>
  <si>
    <t>PF003419</t>
  </si>
  <si>
    <t>AMAZON,BLK01,FINGERHUTDS,KOHLDSN,MACY02,OVERSTOCK01,TGTDVS</t>
  </si>
  <si>
    <t>5/16/2016</t>
  </si>
  <si>
    <t>BR54-0657</t>
  </si>
  <si>
    <t>Lavender</t>
  </si>
  <si>
    <t>PF003421</t>
  </si>
  <si>
    <t>AAFESDS,AMAZON,ASHFURNDS,HSNDS,KOHLDSN,MACY02,OVERSTOCK01,TGTDVS</t>
  </si>
  <si>
    <t>BR54-1932</t>
  </si>
  <si>
    <t>PP001522;PF005167</t>
  </si>
  <si>
    <t>AMAZONDS,KOHLDSN,MACY02,TGTDVS</t>
  </si>
  <si>
    <t>BR54-1933</t>
  </si>
  <si>
    <t>AMAZON,FINGERHUTDS,MACY02,OVERSTOCK01</t>
  </si>
  <si>
    <t>10/22/2020</t>
  </si>
  <si>
    <t>BR54-1934</t>
  </si>
  <si>
    <t>9/16/2020</t>
  </si>
  <si>
    <t>AMAZONDS,KOHLDSN,MACY02,OLLIIX,OVERSTOCK01</t>
  </si>
  <si>
    <t>9/22/2020</t>
  </si>
  <si>
    <t>BR54-0526</t>
  </si>
  <si>
    <t>PF003420</t>
  </si>
  <si>
    <t>AMAZON,FINGERHUTDS,KOHLDSN,MACY02,OLLIIX,OVERSTOCK01,WALMARTDS</t>
  </si>
  <si>
    <t>1/26/2016</t>
  </si>
  <si>
    <t>BR54-1928</t>
  </si>
  <si>
    <t>PP001522;PF005166</t>
  </si>
  <si>
    <t>AMAZON,AMAZONDS,OVERSTOCK01,TGTDVS</t>
  </si>
  <si>
    <t>10/15/2020</t>
  </si>
  <si>
    <t>WR54-1751</t>
  </si>
  <si>
    <t>Heated Plush to Berber</t>
  </si>
  <si>
    <t>PF003611</t>
  </si>
  <si>
    <t>JCPENNEY01,KOHLDSN,MACY02,WALMARTDS</t>
  </si>
  <si>
    <t>WLR1302</t>
  </si>
  <si>
    <t>WR54-1752</t>
  </si>
  <si>
    <t>11/30/2016</t>
  </si>
  <si>
    <t>WR54-1756</t>
  </si>
  <si>
    <t>Garnet</t>
  </si>
  <si>
    <t>PF003612</t>
  </si>
  <si>
    <t>FINGERHUTDS,KOHLDSN,MACY02,OVERSTOCK01</t>
  </si>
  <si>
    <t>12/2/2016</t>
  </si>
  <si>
    <t>WR54-1744</t>
  </si>
  <si>
    <t>Sapphire Blue</t>
  </si>
  <si>
    <t>PF003609</t>
  </si>
  <si>
    <t>10/1/2017</t>
  </si>
  <si>
    <t>MPE10-1186</t>
  </si>
  <si>
    <t>Heather</t>
  </si>
  <si>
    <t>Dahlia</t>
  </si>
  <si>
    <t>Iris</t>
  </si>
  <si>
    <t>5 Piece Vintage-inspired Collection floral print</t>
  </si>
  <si>
    <t>Beige/Blue</t>
  </si>
  <si>
    <t>MPE10-1187</t>
  </si>
  <si>
    <t>7 Piece Vintage-inspired Collection floral print</t>
  </si>
  <si>
    <t>MPE10-1188</t>
  </si>
  <si>
    <t>MPE10-1189</t>
  </si>
  <si>
    <t>MPE10-1190</t>
  </si>
  <si>
    <t>MPE10-1181</t>
  </si>
  <si>
    <t>MPE10-1182</t>
  </si>
  <si>
    <t>MPE10-1183</t>
  </si>
  <si>
    <t>MPE10-1184</t>
  </si>
  <si>
    <t>MPE10-1185</t>
  </si>
  <si>
    <t>MPE10-1191</t>
  </si>
  <si>
    <t>Soft Blue</t>
  </si>
  <si>
    <t>MPE10-1192</t>
  </si>
  <si>
    <t>MPE10-1193</t>
  </si>
  <si>
    <t>MPE10-1194</t>
  </si>
  <si>
    <t>MPE10-1195</t>
  </si>
  <si>
    <t>TN10-0541</t>
  </si>
  <si>
    <t>Heavy Warmth</t>
  </si>
  <si>
    <t>Goose Feather and Down Oversize Comforter</t>
  </si>
  <si>
    <t>PP001803;PF006107</t>
  </si>
  <si>
    <t>SLPH1138</t>
  </si>
  <si>
    <t>TN10-0538</t>
  </si>
  <si>
    <t>PP001803;PF006106</t>
  </si>
  <si>
    <t>12/21/2023</t>
  </si>
  <si>
    <t>TN10-0490</t>
  </si>
  <si>
    <t>PP001803;PF005794</t>
  </si>
  <si>
    <t>BLK01,JCPENNEY01,KOHLDSN,MACY02,NRTPORT,OLLIIX,TGTDVS</t>
  </si>
  <si>
    <t>12/30/2022</t>
  </si>
  <si>
    <t>II150-0122</t>
  </si>
  <si>
    <t>Helena</t>
  </si>
  <si>
    <t>6-Light Frosted Glass Globe Linear Chandelier</t>
  </si>
  <si>
    <t>HDDS,KIRKLANDDS,OLLIIX,OVERSTOCK01,ROOMECOM,TGTDVS,ZOLA</t>
  </si>
  <si>
    <t>JLZF1311</t>
  </si>
  <si>
    <t>4/21/2022</t>
  </si>
  <si>
    <t>6/20/2022</t>
  </si>
  <si>
    <t>HH12-1878</t>
  </si>
  <si>
    <t>Herbal</t>
  </si>
  <si>
    <t>5 Piece Cotton Sateen Print Duvet Set</t>
  </si>
  <si>
    <t>HUH10129</t>
  </si>
  <si>
    <t>HH10-1875</t>
  </si>
  <si>
    <t>6 Piece Cotton Sateen Print Oversized Comforter Set</t>
  </si>
  <si>
    <t>HUH10137</t>
  </si>
  <si>
    <t>HH10-1876</t>
  </si>
  <si>
    <t>7/30/2025</t>
  </si>
  <si>
    <t>HH12-1879</t>
  </si>
  <si>
    <t>MPS154-0087</t>
  </si>
  <si>
    <t>Holloway</t>
  </si>
  <si>
    <t>3-Globe Light Floor Lamp with Marble Base</t>
  </si>
  <si>
    <t>ALMN1206</t>
  </si>
  <si>
    <t>11/19/2017</t>
  </si>
  <si>
    <t>WR13-3474</t>
  </si>
  <si>
    <t>Oversized Cotton Quilt Mini Set</t>
  </si>
  <si>
    <t>PP001705;PF005622</t>
  </si>
  <si>
    <t>9/20/2021</t>
  </si>
  <si>
    <t>AMAZON,AMAZONDS,JCPENNEY01,KOHLDSN,OVERSTOCK01,TGTDVS</t>
  </si>
  <si>
    <t>XBYB1041</t>
  </si>
  <si>
    <t>10/14/2021</t>
  </si>
  <si>
    <t>II40-1354</t>
  </si>
  <si>
    <t>Imani</t>
  </si>
  <si>
    <t>Cotton Printed Window Panel with Chenille Stripe and Lining</t>
  </si>
  <si>
    <t>8/12/2025</t>
  </si>
  <si>
    <t>IKIY1023</t>
  </si>
  <si>
    <t>II12-1348</t>
  </si>
  <si>
    <t>Cotton Printed Duvet Cover Set with Chenille</t>
  </si>
  <si>
    <t>Sage/Ivory</t>
  </si>
  <si>
    <t>3/13/2025</t>
  </si>
  <si>
    <t>BGLS1280</t>
  </si>
  <si>
    <t>II12-1349</t>
  </si>
  <si>
    <t>4/17/2025</t>
  </si>
  <si>
    <t>MP40-2334</t>
  </si>
  <si>
    <t>Irina</t>
  </si>
  <si>
    <t>Clarissa</t>
  </si>
  <si>
    <t>Diamond Sheer Window Curtain Panel</t>
  </si>
  <si>
    <t>PF004007</t>
  </si>
  <si>
    <t>AMAZON,KOHLDSN,OLLIIX,TGTDVS</t>
  </si>
  <si>
    <t>BL19323</t>
  </si>
  <si>
    <t>5/24/2016</t>
  </si>
  <si>
    <t>MP40-2333</t>
  </si>
  <si>
    <t>PF004006</t>
  </si>
  <si>
    <t>AMAZON,DLBRAND,KOHLDSN</t>
  </si>
  <si>
    <t>6/21/2016</t>
  </si>
  <si>
    <t>MP40-4938</t>
  </si>
  <si>
    <t>Window Scarf</t>
  </si>
  <si>
    <t>Diamond Sheer Embroidered Window Scarf</t>
  </si>
  <si>
    <t>50x144"</t>
  </si>
  <si>
    <t>8/22/2017</t>
  </si>
  <si>
    <t>AMAZONDS,DESINC,DLBRAND,HDDS,JCPENNEY01,KOHLDSN,OLLIIX,TGTDVS,WALMARTDS</t>
  </si>
  <si>
    <t>CHRL6945</t>
  </si>
  <si>
    <t>8/28/2017</t>
  </si>
  <si>
    <t>9/25/2017</t>
  </si>
  <si>
    <t>MP40-2010</t>
  </si>
  <si>
    <t>White/Grey</t>
  </si>
  <si>
    <t>PF004008</t>
  </si>
  <si>
    <t>AMAZONDS,JCPENNEY01,KOHLDSN,TGTDVS</t>
  </si>
  <si>
    <t>3/7/2016</t>
  </si>
  <si>
    <t>MP40-4946</t>
  </si>
  <si>
    <t>AMAZON,AMAZONDS,JCPENNEY01,KOHLDSN,OLLIIX,OVERSTOCK01,TGTDVS</t>
  </si>
  <si>
    <t>MP10-8771</t>
  </si>
  <si>
    <t>Jasmine</t>
  </si>
  <si>
    <t>Ultrasoft Faux Fur Ribbed Comforter Set</t>
  </si>
  <si>
    <t>Light Gray</t>
  </si>
  <si>
    <t>NCWA2724</t>
  </si>
  <si>
    <t>MPE10-1035</t>
  </si>
  <si>
    <t>Jaxon</t>
  </si>
  <si>
    <t>Deacon</t>
  </si>
  <si>
    <t>Ryder</t>
  </si>
  <si>
    <t>Stripe Comforter Set with Bed Sheets</t>
  </si>
  <si>
    <t>Aqua/Grey</t>
  </si>
  <si>
    <t>PP001834;PF006113</t>
  </si>
  <si>
    <t>AMAZON,AMAZONDS,BLK01,DESINC,JCPENNEY01,KOHLDSN,MACY02,OLLIIX,OVERSTOCK01,TGTDVS</t>
  </si>
  <si>
    <t>BADI1248</t>
  </si>
  <si>
    <t>12/26/2023</t>
  </si>
  <si>
    <t>1/5/2024</t>
  </si>
  <si>
    <t>MPE10-1073</t>
  </si>
  <si>
    <t>Coral/Grey</t>
  </si>
  <si>
    <t>PP001834;PF006310</t>
  </si>
  <si>
    <t>7/30/2024</t>
  </si>
  <si>
    <t>8/30/2024</t>
  </si>
  <si>
    <t>MPE10-1077</t>
  </si>
  <si>
    <t>AMAZON,AMAZONDS,DESINC,KOHLDSN,MACY02,OLLIIX</t>
  </si>
  <si>
    <t>MPE10-1072</t>
  </si>
  <si>
    <t>Green/Grey</t>
  </si>
  <si>
    <t>PP001834;PF006309</t>
  </si>
  <si>
    <t>AMAZONDS,DESINC,JCPENNEY01,KOHLDSN,OVERSTOCK01</t>
  </si>
  <si>
    <t>II151-0115</t>
  </si>
  <si>
    <t>Jaxson</t>
  </si>
  <si>
    <t>Metal Mesh Pendant</t>
  </si>
  <si>
    <t>JLZF1297</t>
  </si>
  <si>
    <t>2/17/2025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</si>
  <si>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</si>
  <si>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</si>
  <si>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</si>
  <si>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</si>
  <si>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</si>
  <si>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</si>
  <si>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</si>
  <si>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9/13/2024</t>
  </si>
  <si>
    <t>1/8/2026</t>
  </si>
  <si>
    <t>KOHLDSN,OVERSTOCK01,TGTDVS</t>
  </si>
  <si>
    <t>NCWA2729</t>
  </si>
  <si>
    <t>10/23/2024</t>
  </si>
  <si>
    <t>MP12-8492</t>
  </si>
  <si>
    <t>NCWA2728</t>
  </si>
  <si>
    <t>MP10-8491</t>
  </si>
  <si>
    <t>MP12-8493</t>
  </si>
  <si>
    <t>MP10-8208</t>
  </si>
  <si>
    <t>Jules</t>
  </si>
  <si>
    <t>Alaina</t>
  </si>
  <si>
    <t>5 Piece Cotton Floral Comforter Set with Throw Pillows</t>
  </si>
  <si>
    <t>PP001865;PF005964</t>
  </si>
  <si>
    <t>5/9/2023</t>
  </si>
  <si>
    <t>NCWA2496</t>
  </si>
  <si>
    <t>5/14/2023</t>
  </si>
  <si>
    <t>8/28/2023</t>
  </si>
  <si>
    <t>CCL10-0070</t>
  </si>
  <si>
    <t>Julius</t>
  </si>
  <si>
    <t>DLCROSCILL,OVERSTOCK01</t>
  </si>
  <si>
    <t>CKSC1004</t>
  </si>
  <si>
    <t>UH10-2518</t>
  </si>
  <si>
    <t>Juniper</t>
  </si>
  <si>
    <t>Poly Jersey Puffy Comforter Set</t>
  </si>
  <si>
    <t>PP001939;PF006184</t>
  </si>
  <si>
    <t>UBHB1277</t>
  </si>
  <si>
    <t>UH10-2520</t>
  </si>
  <si>
    <t>10/9/2024</t>
  </si>
  <si>
    <t>UH10-2516</t>
  </si>
  <si>
    <t>PP001939;PF006183</t>
  </si>
  <si>
    <t>AMAZON,JCPENNEY01,MACY02,NRTPORT,OLLIIX,TGTDVS</t>
  </si>
  <si>
    <t>UH10-2517</t>
  </si>
  <si>
    <t>MP108-0765</t>
  </si>
  <si>
    <t>Junn</t>
  </si>
  <si>
    <t>Miyu</t>
  </si>
  <si>
    <t>Mai</t>
  </si>
  <si>
    <t>Dining Chair (set of 2)</t>
  </si>
  <si>
    <t>NCWA1366</t>
  </si>
  <si>
    <t>1/28/2019</t>
  </si>
  <si>
    <t>2/22/2019</t>
  </si>
  <si>
    <t>CH130-1012</t>
  </si>
  <si>
    <t>ACCENT CHEST</t>
  </si>
  <si>
    <t>Accent Chest</t>
  </si>
  <si>
    <t>Kai</t>
  </si>
  <si>
    <t>Accent Cabinet Ub/Dr</t>
  </si>
  <si>
    <t>Brown/Olive</t>
  </si>
  <si>
    <t>10/29/2024</t>
  </si>
  <si>
    <t>CAPQ1042</t>
  </si>
  <si>
    <t>II12-1272</t>
  </si>
  <si>
    <t>Kara</t>
  </si>
  <si>
    <t>3 Piece Cotton Jacquard Duvet Cover Set</t>
  </si>
  <si>
    <t>PP001486;PF005762</t>
  </si>
  <si>
    <t>8/23/2022</t>
  </si>
  <si>
    <t>AMAZONDS,DLBRAND,MACY02,NRTPORT,OVERSTOCK01,TGTDVS,ZOLA</t>
  </si>
  <si>
    <t>JLZF1407</t>
  </si>
  <si>
    <t>9/2/2022</t>
  </si>
  <si>
    <t>9/20/2022</t>
  </si>
  <si>
    <t>II12-1273</t>
  </si>
  <si>
    <t>AMAZONDS,JCPENNEY01,KOHLDSN,MACY02,OVERSTOCK01,TGTDVS,ZOLA</t>
  </si>
  <si>
    <t>10/6/2022</t>
  </si>
  <si>
    <t>II10-1266</t>
  </si>
  <si>
    <t>PP001486;PF005761</t>
  </si>
  <si>
    <t>AMAZONDS,JCPENNEY01,KOHLDSN,MACY02,NRTPORT,OLLIIX,OVERSTOCK01,TGTDVS</t>
  </si>
  <si>
    <t>JLZF1406</t>
  </si>
  <si>
    <t>II12-1268</t>
  </si>
  <si>
    <t>AMAZONDS,HHGLOBALTTS,KOHLDSN,MACY02,OVERSTOCK01,TGTDVS,ZOLA</t>
  </si>
  <si>
    <t>MP40-8765</t>
  </si>
  <si>
    <t>Karien</t>
  </si>
  <si>
    <t>Sound blocking/Total blackout curtain panel pair</t>
  </si>
  <si>
    <t>2-PK 52x84"</t>
  </si>
  <si>
    <t>AMAZON,AMAZONDS,DESINC,HDDS</t>
  </si>
  <si>
    <t>NCWA2830</t>
  </si>
  <si>
    <t>MP40-8766</t>
  </si>
  <si>
    <t>2-PK 52x95"</t>
  </si>
  <si>
    <t>8/1/2025</t>
  </si>
  <si>
    <t>MP40-8767</t>
  </si>
  <si>
    <t>2-PK 52x108"</t>
  </si>
  <si>
    <t>MP40-8761</t>
  </si>
  <si>
    <t>MP40-8762</t>
  </si>
  <si>
    <t>MP40-8763</t>
  </si>
  <si>
    <t>MP40-8764</t>
  </si>
  <si>
    <t>II120-0568</t>
  </si>
  <si>
    <t>OCCASIONL TABLE</t>
  </si>
  <si>
    <t>Coffee Table</t>
  </si>
  <si>
    <t>Keegan</t>
  </si>
  <si>
    <t>Round Mixed Material Coffee Table with Shelf</t>
  </si>
  <si>
    <t>Oak/Marble</t>
  </si>
  <si>
    <t>3/15/2024</t>
  </si>
  <si>
    <t>IKIY1203</t>
  </si>
  <si>
    <t>2/24/2025</t>
  </si>
  <si>
    <t>MT115-1206</t>
  </si>
  <si>
    <t>Kenna</t>
  </si>
  <si>
    <t>Canopy Bed Queen</t>
  </si>
  <si>
    <t>Dark Coffee</t>
  </si>
  <si>
    <t>MSTT6207</t>
  </si>
  <si>
    <t>Furniture-Bedroom</t>
  </si>
  <si>
    <t>CH103-0047</t>
  </si>
  <si>
    <t>CAPQ1024</t>
  </si>
  <si>
    <t>11/23/2024</t>
  </si>
  <si>
    <t>CH103-0008</t>
  </si>
  <si>
    <t>WR13-4080</t>
  </si>
  <si>
    <t>Keystone</t>
  </si>
  <si>
    <t>Coverlet Set</t>
  </si>
  <si>
    <t>8/7/2025</t>
  </si>
  <si>
    <t>XBYB1082</t>
  </si>
  <si>
    <t>WR13-4081</t>
  </si>
  <si>
    <t>WR50-4082</t>
  </si>
  <si>
    <t>Throw/Pillow Set</t>
  </si>
  <si>
    <t>XBYB1083</t>
  </si>
  <si>
    <t>WR13-4083</t>
  </si>
  <si>
    <t>WR13-4084</t>
  </si>
  <si>
    <t>WR50-4085</t>
  </si>
  <si>
    <t>HH10-1850</t>
  </si>
  <si>
    <t>Kiawah Island</t>
  </si>
  <si>
    <t>6 Piece Oversized Cotton Comforter Set with Throw Pillow</t>
  </si>
  <si>
    <t>PP001898;PF006055</t>
  </si>
  <si>
    <t>Textured Fabric</t>
  </si>
  <si>
    <t>10/3/2023</t>
  </si>
  <si>
    <t>HUH10124</t>
  </si>
  <si>
    <t>3/25/2024</t>
  </si>
  <si>
    <t>HH10-1853</t>
  </si>
  <si>
    <t>12/3/2023</t>
  </si>
  <si>
    <t>MPE70-038</t>
  </si>
  <si>
    <t>Knowles</t>
  </si>
  <si>
    <t>Glendale</t>
  </si>
  <si>
    <t>Cabrillo</t>
  </si>
  <si>
    <t>PF001451;PP000436</t>
  </si>
  <si>
    <t>DESINC,HDDS,JCPENNEY01,KOHLDSN,MACY02,OLLIIX,OVERSTOCK01,TGTDVS</t>
  </si>
  <si>
    <t>ZPCD6741</t>
  </si>
  <si>
    <t>2/13/2015</t>
  </si>
  <si>
    <t>AM10-0262</t>
  </si>
  <si>
    <t>Kyla</t>
  </si>
  <si>
    <t>Yuna</t>
  </si>
  <si>
    <t>Raya</t>
  </si>
  <si>
    <t>Double Diamond Quilted Teddy Comforter Set</t>
  </si>
  <si>
    <t>PP001996;PF006408</t>
  </si>
  <si>
    <t>5/29/2024</t>
  </si>
  <si>
    <t>AMAZON,AMAZONDS,BLK01,DESINC,HDDS,JCPENNEY01,KOHLDSN,TGTDVS</t>
  </si>
  <si>
    <t>NGIN1200</t>
  </si>
  <si>
    <t>AM10-0264</t>
  </si>
  <si>
    <t>AMAZON,AMAZONDS,BLK01,HDDS,JCPENNEY01,KIRKLANDDS,KOHLDSN,MACY02,NRTPORT</t>
  </si>
  <si>
    <t>AM10-0271</t>
  </si>
  <si>
    <t>PP001996;PF006411</t>
  </si>
  <si>
    <t>BLK01,DESINC,HDDS,JCPENNEY01,KOHLDSN,MACY02,TGTDVS</t>
  </si>
  <si>
    <t>AM10-0272</t>
  </si>
  <si>
    <t>AMAZON,AMAZONDS,JCPENNEY01,KIRKLANDDS,KOHLDSN,MACY02,OVERSTOCK01</t>
  </si>
  <si>
    <t>AM10-0273</t>
  </si>
  <si>
    <t>AMAZON,AMAZONDS,BLK01,DESINC,HDDS,JCPENNEY01,KOHLDSN,MACY02</t>
  </si>
  <si>
    <t>AM10-0268</t>
  </si>
  <si>
    <t>PP001996;PF006410</t>
  </si>
  <si>
    <t>AMAZON,BLK01,DESINC,JCPENNEY01,KOHLDSN,MACY02</t>
  </si>
  <si>
    <t>AM10-0269</t>
  </si>
  <si>
    <t>AMAZON,AMAZONDS,BLK01,DESINC,HDDS,JCPENNEY01,KOHLDSN,MACY02,NRTPORT</t>
  </si>
  <si>
    <t>AM10-0265</t>
  </si>
  <si>
    <t>PP001996;PF006409</t>
  </si>
  <si>
    <t>AMAZON,AMAZONDS,BLK01,JCPENNEY01,KIRKLANDDS,KOHLDSN,TGTDVS</t>
  </si>
  <si>
    <t>AM10-0267</t>
  </si>
  <si>
    <t>AMAZON,AMAZONDS,JCPENNEY01,KIRKLANDDS,KOHLDSN,MACY02</t>
  </si>
  <si>
    <t>MP40-7973</t>
  </si>
  <si>
    <t>Kyler</t>
  </si>
  <si>
    <t>Suvi</t>
  </si>
  <si>
    <t>Juno</t>
  </si>
  <si>
    <t>Linen Blend Light Filtering Cordless Roman Shade</t>
  </si>
  <si>
    <t>PP001787;PF005749</t>
  </si>
  <si>
    <t>AMAZON,JCPENNEY01,KOHLDSN,NRTPORT</t>
  </si>
  <si>
    <t>NCWA2392</t>
  </si>
  <si>
    <t>2/20/2023</t>
  </si>
  <si>
    <t>MP40-7969</t>
  </si>
  <si>
    <t>PP001787;PF005748</t>
  </si>
  <si>
    <t>1/17/2023</t>
  </si>
  <si>
    <t>MP40-8912</t>
  </si>
  <si>
    <t>MP40-8913</t>
  </si>
  <si>
    <t>MP40-8914</t>
  </si>
  <si>
    <t>MP40-8915</t>
  </si>
  <si>
    <t>MP40-8916</t>
  </si>
  <si>
    <t>MP10-8348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</si>
  <si>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</si>
  <si>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</si>
  <si>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</si>
  <si>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</si>
  <si>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</si>
  <si>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</si>
  <si>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AMAZON,AMAZONDS,JCPENNEY01,KIRKLANDDS,KOHLDSN,NRTPORT,OVERSTOCK01,TGTDVS</t>
  </si>
  <si>
    <t>NCWA2576</t>
  </si>
  <si>
    <t>2/8/2024</t>
  </si>
  <si>
    <t>MPE10-377</t>
  </si>
  <si>
    <t>Lafael</t>
  </si>
  <si>
    <t>Rowan</t>
  </si>
  <si>
    <t>9 Piece Comforter Set with Cotton Bed Sheets</t>
  </si>
  <si>
    <t>PF003696</t>
  </si>
  <si>
    <t>AMAZON,DESINC,JCPENNEY01,KOHLDSN,MACY02,OLLIIX,OVERSTOCK01,TGTDVS</t>
  </si>
  <si>
    <t>RDBE1901</t>
  </si>
  <si>
    <t>3/2/2017</t>
  </si>
  <si>
    <t>4/28/2017</t>
  </si>
  <si>
    <t>MPE10-380</t>
  </si>
  <si>
    <t>AMAZON,DLBRAND,JCPENNEY01,KOHLDSN,MACY02,OVERSTOCK01,TGTDVS,WALMARTDS</t>
  </si>
  <si>
    <t>3/27/2017</t>
  </si>
  <si>
    <t>CH106-1004</t>
  </si>
  <si>
    <t>Laguna</t>
  </si>
  <si>
    <t>Kitchen Sofa</t>
  </si>
  <si>
    <t>Camel</t>
  </si>
  <si>
    <t>CAPQ1017</t>
  </si>
  <si>
    <t>CH106-0059</t>
  </si>
  <si>
    <t>FPF20-0311B</t>
  </si>
  <si>
    <t>Lancaster</t>
  </si>
  <si>
    <t>50" x 25" x 28"</t>
  </si>
  <si>
    <t>Amber/Graphite</t>
  </si>
  <si>
    <t>FPF20-0311A</t>
  </si>
  <si>
    <t>63.5" x 36.5" x2"</t>
  </si>
  <si>
    <t>UH13-2147</t>
  </si>
  <si>
    <t>Larisa</t>
  </si>
  <si>
    <t>Mica</t>
  </si>
  <si>
    <t>7 Piece Reversible Cotton Quilt Set with Euro Shams and Throw Pillows</t>
  </si>
  <si>
    <t>PP000823;PF004152</t>
  </si>
  <si>
    <t>BLK01,JCPENNEY01,KOHLDSN,OLLIIX,OVERSTOCK01,TGTDVS</t>
  </si>
  <si>
    <t>MTNA5008</t>
  </si>
  <si>
    <t>7/5/2018</t>
  </si>
  <si>
    <t>BASI10-0281</t>
  </si>
  <si>
    <t>Larkspur</t>
  </si>
  <si>
    <t>Windsor</t>
  </si>
  <si>
    <t>3M Scotchgard Diamond Quilting Reversible Down Alternative Comforter Set</t>
  </si>
  <si>
    <t>PF002062</t>
  </si>
  <si>
    <t>AMAZON,BLK01,DESINC,FINGERHUTDS,JCPENNEY01,KOHLDSN,MACY02,OLLIIX,OVERSTOCK01,TGTDVS</t>
  </si>
  <si>
    <t>EBDG3311</t>
  </si>
  <si>
    <t>7/28/2015</t>
  </si>
  <si>
    <t>BASI10-0282</t>
  </si>
  <si>
    <t>5/9/2017</t>
  </si>
  <si>
    <t>AMAZON,BLK01,FINGERHUTDS,JCPENNEY01,KOHLDSN,MACY02,OLLIIX,OVERSTOCK01,TGTDVS</t>
  </si>
  <si>
    <t>7/17/2015</t>
  </si>
  <si>
    <t>BASI10-0201</t>
  </si>
  <si>
    <t>PF002061</t>
  </si>
  <si>
    <t>AMAZON,DESINC,FINGERHUTDS,JCPENNEY01,KOHLDSN,MACY02,OLLIIX,OVERSTOCK01,TGTDVS,WALMARTDS</t>
  </si>
  <si>
    <t>MPE10-616</t>
  </si>
  <si>
    <t>Charcoal/Grey</t>
  </si>
  <si>
    <t>PF002064</t>
  </si>
  <si>
    <t>ASHFURNDS,BLK01,JCPENNEY01,KOHLDSN,MACY02,OLLIIX,OVERSTOCK01,TGTDVS</t>
  </si>
  <si>
    <t>9/18/2017</t>
  </si>
  <si>
    <t>9/22/2017</t>
  </si>
  <si>
    <t>BASI10-0200</t>
  </si>
  <si>
    <t>Navy/Light Blue</t>
  </si>
  <si>
    <t>PF002060</t>
  </si>
  <si>
    <t>FINGERHUTDS,JCPENNEY01,KOHLDSN,MACY02,NRTPORT,TGTDVS</t>
  </si>
  <si>
    <t>1/6/2015</t>
  </si>
  <si>
    <t>BASI10-0601</t>
  </si>
  <si>
    <t>Red/Black</t>
  </si>
  <si>
    <t>9/9/2025</t>
  </si>
  <si>
    <t>BASI10-0602</t>
  </si>
  <si>
    <t>BASI10-0603</t>
  </si>
  <si>
    <t>5DS122-0010</t>
  </si>
  <si>
    <t>DESK</t>
  </si>
  <si>
    <t>Desk</t>
  </si>
  <si>
    <t>Laurel</t>
  </si>
  <si>
    <t>Natural/White</t>
  </si>
  <si>
    <t>10/6/2021</t>
  </si>
  <si>
    <t>NGIN1114</t>
  </si>
  <si>
    <t>3/21/2022</t>
  </si>
  <si>
    <t>2/6/2023</t>
  </si>
  <si>
    <t>MP10-2578</t>
  </si>
  <si>
    <t>Vivian</t>
  </si>
  <si>
    <t>Piedmont</t>
  </si>
  <si>
    <t>7 Piece Tufted Comforter Set</t>
  </si>
  <si>
    <t>PF002426;PP000440</t>
  </si>
  <si>
    <t>AAFESDS,BLK01,JCPENNEY01,KOHLDSN,MACY02,NRTPORT,TGTDVS</t>
  </si>
  <si>
    <t>WLAO4825</t>
  </si>
  <si>
    <t>7/25/2016</t>
  </si>
  <si>
    <t>MP95B-0274</t>
  </si>
  <si>
    <t>AWD</t>
  </si>
  <si>
    <t>Wall Decor</t>
  </si>
  <si>
    <t>Laurel Branches</t>
  </si>
  <si>
    <t>Laser Cut Tree Framed Panel Wall Decor</t>
  </si>
  <si>
    <t>PP001634</t>
  </si>
  <si>
    <t>9/18/2021</t>
  </si>
  <si>
    <t>AMAZON,AMAZONDS,AMERSIGNDS,DESINC,HDDS,JCPENNEY01,KIRKLANDDS,KOHLDSN,LAMPDS,LOWESDS,MACY02,OLLIIX,OVERSTOCK01,TGTDVS,ZOLA</t>
  </si>
  <si>
    <t>NCWA2152</t>
  </si>
  <si>
    <t>10/19/2021</t>
  </si>
  <si>
    <t>11/17/2021</t>
  </si>
  <si>
    <t>TN10-0476</t>
  </si>
  <si>
    <t>Laurie</t>
  </si>
  <si>
    <t>Whitney</t>
  </si>
  <si>
    <t>Plush to Sherpa Comforter Set</t>
  </si>
  <si>
    <t>PP001674;PF005567</t>
  </si>
  <si>
    <t>9/23/2021</t>
  </si>
  <si>
    <t>DESINC,OLLIIX,OVERSTOCK01,TGTDVS</t>
  </si>
  <si>
    <t>SLPH1128</t>
  </si>
  <si>
    <t>MT105-0188</t>
  </si>
  <si>
    <t>ACCENT BENCH</t>
  </si>
  <si>
    <t>Bench</t>
  </si>
  <si>
    <t>Leslie</t>
  </si>
  <si>
    <t>Fully Upholstered Oval Storage Bench with Soft-Close Lid</t>
  </si>
  <si>
    <t>TBU</t>
  </si>
  <si>
    <t>11/8/2025</t>
  </si>
  <si>
    <t>MSTT6545</t>
  </si>
  <si>
    <t>MP40-8633</t>
  </si>
  <si>
    <t>Lexus</t>
  </si>
  <si>
    <t>Rod Pocket with Back Tab Privacy Curtain Pair</t>
  </si>
  <si>
    <t>52x63"</t>
  </si>
  <si>
    <t>NCWA2747</t>
  </si>
  <si>
    <t>1/12/2025</t>
  </si>
  <si>
    <t>MP40-8635</t>
  </si>
  <si>
    <t>52x95"</t>
  </si>
  <si>
    <t>2/10/2025</t>
  </si>
  <si>
    <t>MP95F-0320</t>
  </si>
  <si>
    <t>Lilbeth</t>
  </si>
  <si>
    <t>Beaded Arch Wall Decor Mirror</t>
  </si>
  <si>
    <t>AMAZON,DESINC,JCPENNEY01,KOHLDSN,LAMPDS,MACY02,OLLIIX,OVERSTOCK01,ZOLA</t>
  </si>
  <si>
    <t>NCWA2564</t>
  </si>
  <si>
    <t>11/24/2023</t>
  </si>
  <si>
    <t>MP10-8406</t>
  </si>
  <si>
    <t>Lily</t>
  </si>
  <si>
    <t>Annette</t>
  </si>
  <si>
    <t>Eloise</t>
  </si>
  <si>
    <t>PF006215;PP001951</t>
  </si>
  <si>
    <t>AMAZONDS,BLK01,DLBRAND,JCPENNEY01,KOHLDSN,MACY02,OVERSTOCK01,TGTDVS</t>
  </si>
  <si>
    <t>NCWA2693</t>
  </si>
  <si>
    <t>6/22/2024</t>
  </si>
  <si>
    <t>ID10-2481</t>
  </si>
  <si>
    <t>Graley</t>
  </si>
  <si>
    <t>Isolde</t>
  </si>
  <si>
    <t>3PCS Comforter Set</t>
  </si>
  <si>
    <t>AMAZON,AMAZONDS,OVERSTOCK01</t>
  </si>
  <si>
    <t>JLZL1362</t>
  </si>
  <si>
    <t>ID10-2470</t>
  </si>
  <si>
    <t>2PCS Comforter Set</t>
  </si>
  <si>
    <t>AMAZON,AMAZONDS,DESINC,HDDS,OVERSTOCK01</t>
  </si>
  <si>
    <t>ID10-2471</t>
  </si>
  <si>
    <t>AMAZON,AMAZONDS,DESINC,OLLIIX,OVERSTOCK01</t>
  </si>
  <si>
    <t>ID10-2472</t>
  </si>
  <si>
    <t>ID10-2473</t>
  </si>
  <si>
    <t>ID10-2474</t>
  </si>
  <si>
    <t>AMAZON,AMAZONDS,HDDS,OVERSTOCK01</t>
  </si>
  <si>
    <t>ID10-2478</t>
  </si>
  <si>
    <t>HHD12-1937</t>
  </si>
  <si>
    <t>Linen Blend Double Flange</t>
  </si>
  <si>
    <t>HUH10144</t>
  </si>
  <si>
    <t>HHD12-1938</t>
  </si>
  <si>
    <t>HHD12-1979</t>
  </si>
  <si>
    <t>White/Gray</t>
  </si>
  <si>
    <t>HHD12-1980</t>
  </si>
  <si>
    <t>MP13-8878</t>
  </si>
  <si>
    <t>Linwood</t>
  </si>
  <si>
    <t>Fern</t>
  </si>
  <si>
    <t>Sibyl</t>
  </si>
  <si>
    <t>3 Piece Ruffle Printed Quilt Set</t>
  </si>
  <si>
    <t>MP13-8879</t>
  </si>
  <si>
    <t>MP13-8876</t>
  </si>
  <si>
    <t>MP13-8877</t>
  </si>
  <si>
    <t>5DS153-0049</t>
  </si>
  <si>
    <t>Liora</t>
  </si>
  <si>
    <t>2-Tone Ceramic Table Lamp Set of 2</t>
  </si>
  <si>
    <t>1/21/2024</t>
  </si>
  <si>
    <t>AMERSIGNDS,KOHLDSN,MACY02,OLLIIX</t>
  </si>
  <si>
    <t>NGIN1163</t>
  </si>
  <si>
    <t>1/28/2024</t>
  </si>
  <si>
    <t>3/18/2024</t>
  </si>
  <si>
    <t>MP51-8655</t>
  </si>
  <si>
    <t>Liquid Cotton</t>
  </si>
  <si>
    <t>1/2/2026</t>
  </si>
  <si>
    <t>MP51-8656</t>
  </si>
  <si>
    <t>MP51-8657</t>
  </si>
  <si>
    <t>BL51N-0732</t>
  </si>
  <si>
    <t>PF003491</t>
  </si>
  <si>
    <t>AMAZON,AMAZONDS,JCPENNEY01,KOHLDSN,MACY02,OVERSTOCK01,TGTDVS</t>
  </si>
  <si>
    <t>ENDE4206</t>
  </si>
  <si>
    <t>4/20/2015</t>
  </si>
  <si>
    <t>MP51-8652</t>
  </si>
  <si>
    <t>MP51-8653</t>
  </si>
  <si>
    <t>MP51-8654</t>
  </si>
  <si>
    <t>AM10-0553</t>
  </si>
  <si>
    <t>Logan</t>
  </si>
  <si>
    <t>Orion</t>
  </si>
  <si>
    <t>Finn</t>
  </si>
  <si>
    <t>Woven Striped Comforter Set</t>
  </si>
  <si>
    <t>Blue/Grey</t>
  </si>
  <si>
    <t>NGIN1258</t>
  </si>
  <si>
    <t>AM12-0573</t>
  </si>
  <si>
    <t>Woven Striped Duvet Set</t>
  </si>
  <si>
    <t>NGIN1259</t>
  </si>
  <si>
    <t>AM10-0554</t>
  </si>
  <si>
    <t>AM12-0574</t>
  </si>
  <si>
    <t>AM10-0555</t>
  </si>
  <si>
    <t>AM12-0575</t>
  </si>
  <si>
    <t>AM10-0556</t>
  </si>
  <si>
    <t>AM12-0576</t>
  </si>
  <si>
    <t>AM10-0557</t>
  </si>
  <si>
    <t>AM12-0577</t>
  </si>
  <si>
    <t>AM10-0558</t>
  </si>
  <si>
    <t>AM12-0578</t>
  </si>
  <si>
    <t>AM10-0559</t>
  </si>
  <si>
    <t>AM12-0579</t>
  </si>
  <si>
    <t>AM10-0560</t>
  </si>
  <si>
    <t>AM12-0580</t>
  </si>
  <si>
    <t>AM10-0561</t>
  </si>
  <si>
    <t>AM12-0581</t>
  </si>
  <si>
    <t>AM10-0562</t>
  </si>
  <si>
    <t>AM12-0582</t>
  </si>
  <si>
    <t>AM10-0563</t>
  </si>
  <si>
    <t>AM12-0583</t>
  </si>
  <si>
    <t>AM10-0564</t>
  </si>
  <si>
    <t>AM12-0584</t>
  </si>
  <si>
    <t>AM10-0565</t>
  </si>
  <si>
    <t>AM12-0585</t>
  </si>
  <si>
    <t>AM10-0566</t>
  </si>
  <si>
    <t>AM12-0586</t>
  </si>
  <si>
    <t>AM10-0567</t>
  </si>
  <si>
    <t>AM12-0587</t>
  </si>
  <si>
    <t>AM10-0568</t>
  </si>
  <si>
    <t>AM12-0588</t>
  </si>
  <si>
    <t>AM10-0569</t>
  </si>
  <si>
    <t>AM12-0589</t>
  </si>
  <si>
    <t>AM10-0570</t>
  </si>
  <si>
    <t>AM12-0590</t>
  </si>
  <si>
    <t>AM10-0571</t>
  </si>
  <si>
    <t>AM12-0591</t>
  </si>
  <si>
    <t>AM10-0572</t>
  </si>
  <si>
    <t>AM12-0592</t>
  </si>
  <si>
    <t>MP12-261</t>
  </si>
  <si>
    <t>Brianna</t>
  </si>
  <si>
    <t>Victoria</t>
  </si>
  <si>
    <t>6 Piece Printed Duvet Cover Set</t>
  </si>
  <si>
    <t>Taupe Grey/Purple</t>
  </si>
  <si>
    <t>PF002454;PP000448</t>
  </si>
  <si>
    <t>Farm House|Casual</t>
  </si>
  <si>
    <t>AMAZON,DLBRAND,KOHLDSN,MACY02,OVERSTOCK01,TGTDVS</t>
  </si>
  <si>
    <t>RBSD9463</t>
  </si>
  <si>
    <t>1/13/2015</t>
  </si>
  <si>
    <t>MT108-0181</t>
  </si>
  <si>
    <t>London</t>
  </si>
  <si>
    <t>Upholstered Skirted Dining Arm Chair with Hidden Casters</t>
  </si>
  <si>
    <t>MSTT6493</t>
  </si>
  <si>
    <t>MT108-0183</t>
  </si>
  <si>
    <t>6/5/2025</t>
  </si>
  <si>
    <t>CCL10-0009</t>
  </si>
  <si>
    <t>Loretta</t>
  </si>
  <si>
    <t>4 Piece Comforter Set</t>
  </si>
  <si>
    <t>CKSC1002</t>
  </si>
  <si>
    <t>4/7/2023</t>
  </si>
  <si>
    <t>MP10-8435</t>
  </si>
  <si>
    <t>Lori</t>
  </si>
  <si>
    <t>Monroe</t>
  </si>
  <si>
    <t>Tessa</t>
  </si>
  <si>
    <t>Teal/Silver</t>
  </si>
  <si>
    <t>PP001956;PF006232</t>
  </si>
  <si>
    <t>6/7/2024</t>
  </si>
  <si>
    <t>HDDS,JCPENNEY01,KOHLDSN,MACY02,OLLIIX</t>
  </si>
  <si>
    <t>NCWA2699</t>
  </si>
  <si>
    <t>MP10-8436</t>
  </si>
  <si>
    <t>AMAZONDS,JCPENNEY01,KOHLDSN,MACY02,OLLIIX,OVERSTOCK01</t>
  </si>
  <si>
    <t>MPS73-476</t>
  </si>
  <si>
    <t>Luce</t>
  </si>
  <si>
    <t>100% Egyptian Cotton 6 Piece Towel Set</t>
  </si>
  <si>
    <t>PP001119</t>
  </si>
  <si>
    <t>AMAZON,HDDS,JCPENNEY01,KOHLDSN,MACY02,OLLIIX,OVERSTOCK01,TGTDVS,ZOLA</t>
  </si>
  <si>
    <t>NCWB1173</t>
  </si>
  <si>
    <t>11/11/2021</t>
  </si>
  <si>
    <t>MPS73-426</t>
  </si>
  <si>
    <t>Sand</t>
  </si>
  <si>
    <t>5/2/2019</t>
  </si>
  <si>
    <t>AAFESDS,AMAZON,AMAZONDS,BLK01,JCPENNEY01,KOHLDSN,MACY02,NRTPORT,OLLIIX,OVERSTOCK01,TGTDVS,ZOLA</t>
  </si>
  <si>
    <t>6/19/2019</t>
  </si>
  <si>
    <t>4/21/2020</t>
  </si>
  <si>
    <t>MPS73-425</t>
  </si>
  <si>
    <t>AAFESDS,AMAZON,HDDS,JCPENNEY01,KOHLDSN,MACY02,OLLIIX,OVERSTOCK01,ZOLA</t>
  </si>
  <si>
    <t>1/28/2020</t>
  </si>
  <si>
    <t>ID12-2372</t>
  </si>
  <si>
    <t>Lucy</t>
  </si>
  <si>
    <t>Vera</t>
  </si>
  <si>
    <t>Clip Jacquard Duvet Cover Set</t>
  </si>
  <si>
    <t>PP001813;PF006254</t>
  </si>
  <si>
    <t>JLZL1268</t>
  </si>
  <si>
    <t>ID10-2371</t>
  </si>
  <si>
    <t>Clip Jacquard Comforter Set</t>
  </si>
  <si>
    <t>AMAZON,ASHFURNDS,BLK01,HDDS,JCPENNEY01,KOHLDSN,MACY02,NRTPORT,OLLIIX,OVERSTOCK01,TGTDVS</t>
  </si>
  <si>
    <t>JLZL1262</t>
  </si>
  <si>
    <t>ID12-2377</t>
  </si>
  <si>
    <t>PP001813;PF006255</t>
  </si>
  <si>
    <t>ID12-2378</t>
  </si>
  <si>
    <t>ID12-2285</t>
  </si>
  <si>
    <t>PP001813;PF006085</t>
  </si>
  <si>
    <t>10/24/2023</t>
  </si>
  <si>
    <t>AMAZON,KOHLDSN,OVERSTOCK01,TGTDVS</t>
  </si>
  <si>
    <t>10/25/2023</t>
  </si>
  <si>
    <t>5/7/2024</t>
  </si>
  <si>
    <t>ID12-2286</t>
  </si>
  <si>
    <t>ID12-2275</t>
  </si>
  <si>
    <t>PP001813;PF006083</t>
  </si>
  <si>
    <t>5DS153-0050</t>
  </si>
  <si>
    <t>Lumivive</t>
  </si>
  <si>
    <t>17" Mercury Glass Table Lamp</t>
  </si>
  <si>
    <t>AMERSIGNDS,DESINC,HDDS,OLLIIX,OVERSTOCK01,ROOMECOM,TGTDVS,ZOLA</t>
  </si>
  <si>
    <t>IKIY1173</t>
  </si>
  <si>
    <t>CH103-0043</t>
  </si>
  <si>
    <t>Luna</t>
  </si>
  <si>
    <t>Recliner With Wood Frame</t>
  </si>
  <si>
    <t>CAPQ1022</t>
  </si>
  <si>
    <t>4/2/2025</t>
  </si>
  <si>
    <t>MPE10-1058</t>
  </si>
  <si>
    <t>Piper</t>
  </si>
  <si>
    <t>Willow</t>
  </si>
  <si>
    <t>Floral Comforter Set with Bed Sheets</t>
  </si>
  <si>
    <t>PF002742;PP001974</t>
  </si>
  <si>
    <t>7/26/2024</t>
  </si>
  <si>
    <t>AMAZON,AMAZONDS,DESINC,JCPENNEY01,MACY02,OLLIIX,OVERSTOCK01</t>
  </si>
  <si>
    <t>BADI1275</t>
  </si>
  <si>
    <t>9/2/2024</t>
  </si>
  <si>
    <t>MPE10-1062</t>
  </si>
  <si>
    <t>AMAZON,AMAZONDS,BLK01,JCPENNEY01,MACY02,OVERSTOCK01,TGTDVS</t>
  </si>
  <si>
    <t>10/21/2024</t>
  </si>
  <si>
    <t>CH103-0003</t>
  </si>
  <si>
    <t>MPE10-1063</t>
  </si>
  <si>
    <t>PF002743;PP001974</t>
  </si>
  <si>
    <t>AMAZONDS,JCPENNEY01,MACY02,OLLIIX,OVERSTOCK01</t>
  </si>
  <si>
    <t>MPE10-1064</t>
  </si>
  <si>
    <t>AMAZON,BLK01,KOHLDSN,MACY02</t>
  </si>
  <si>
    <t>1/27/2025</t>
  </si>
  <si>
    <t>MPE10-1065</t>
  </si>
  <si>
    <t>BLK01,DESINC,JCPENNEY01,KOHLDSN,MACY02,TGTDVS</t>
  </si>
  <si>
    <t>MPE10-1067</t>
  </si>
  <si>
    <t>AMAZON,BLK01,JCPENNEY01,KOHLDSN,MACY02,OLLIIX</t>
  </si>
  <si>
    <t>5/26/2025</t>
  </si>
  <si>
    <t>CCS20-012</t>
  </si>
  <si>
    <t>Luxury Egyptian</t>
  </si>
  <si>
    <t>500TC Cotton Sheet Set</t>
  </si>
  <si>
    <t>12/20/2022</t>
  </si>
  <si>
    <t>AMAZON,BLK01,DLCROSCILL,JCPENNEY01,KOHLDSN,OLLIIX,OVERSTOCK01</t>
  </si>
  <si>
    <t>CFSC1017</t>
  </si>
  <si>
    <t>3/20/2023</t>
  </si>
  <si>
    <t>8/7/2023</t>
  </si>
  <si>
    <t>CCS20-015</t>
  </si>
  <si>
    <t>500TC Cotton Pillowcases</t>
  </si>
  <si>
    <t>AMAZONDS,JCPENNEY01,OLLIIX</t>
  </si>
  <si>
    <t>CFSC1004</t>
  </si>
  <si>
    <t>9/5/2023</t>
  </si>
  <si>
    <t>CCS20-038</t>
  </si>
  <si>
    <t>5/22/2023</t>
  </si>
  <si>
    <t>CCS20-014</t>
  </si>
  <si>
    <t>Standard</t>
  </si>
  <si>
    <t>AMAZON,AMAZONDS,BLK01,JCPENNEY01,NRTPORT</t>
  </si>
  <si>
    <t>CCS20-037</t>
  </si>
  <si>
    <t>AMAZON,AMAZONDS,JCPENNEY01,KOHLDSN,MACY02,OLLIIX</t>
  </si>
  <si>
    <t>5/23/2023</t>
  </si>
  <si>
    <t>CCS20-005</t>
  </si>
  <si>
    <t>4/14/2024</t>
  </si>
  <si>
    <t>MP133-0533B</t>
  </si>
  <si>
    <t>Lyle</t>
  </si>
  <si>
    <t>Arbor</t>
  </si>
  <si>
    <t>MP133-0533A</t>
  </si>
  <si>
    <t>WR12-4044</t>
  </si>
  <si>
    <t>Lyon</t>
  </si>
  <si>
    <t>Waffle Washed Duvet Set</t>
  </si>
  <si>
    <t>XBYB1076</t>
  </si>
  <si>
    <t>WR10-4043</t>
  </si>
  <si>
    <t>Waffle Washed Comforter Set</t>
  </si>
  <si>
    <t>AMAZON,MACY02,OLLIIX,OVERSTOCK01</t>
  </si>
  <si>
    <t>XBYB1073</t>
  </si>
  <si>
    <t>WR12-4045</t>
  </si>
  <si>
    <t>WR10-4038</t>
  </si>
  <si>
    <t>AMAZON,HDDS,MACY02,OLLIIX</t>
  </si>
  <si>
    <t>WR12-4040</t>
  </si>
  <si>
    <t>WR12-4041</t>
  </si>
  <si>
    <t>FB153-1189</t>
  </si>
  <si>
    <t>Lysandria</t>
  </si>
  <si>
    <t>Glass Table Lamp</t>
  </si>
  <si>
    <t>NGIN1208</t>
  </si>
  <si>
    <t>AM10-0091</t>
  </si>
  <si>
    <t>Maca</t>
  </si>
  <si>
    <t>Textured Print Reversible Comforter Set</t>
  </si>
  <si>
    <t>PP001995;PF006406</t>
  </si>
  <si>
    <t>AMAZON,AMAZONDS,BLK01,DESINC,JCPENNEY01,KOHLDSN,MACY02,NRTPORT</t>
  </si>
  <si>
    <t>NGIN1176</t>
  </si>
  <si>
    <t>AM12-0116</t>
  </si>
  <si>
    <t>Textured Print Reversible Duvet Set</t>
  </si>
  <si>
    <t>11/11/2023</t>
  </si>
  <si>
    <t>CFSE1022</t>
  </si>
  <si>
    <t>5/19/2024</t>
  </si>
  <si>
    <t>AM12-0119</t>
  </si>
  <si>
    <t>PP001995;PF006407</t>
  </si>
  <si>
    <t>AMAZON,AMAZONDS,KOHLDSN,MACY02,NRTPORT,OVERSTOCK01</t>
  </si>
  <si>
    <t>AM10-0095</t>
  </si>
  <si>
    <t>AM12-0120</t>
  </si>
  <si>
    <t>AM10-0096</t>
  </si>
  <si>
    <t>AM12-0113</t>
  </si>
  <si>
    <t>PP001995;PF006405</t>
  </si>
  <si>
    <t>AM12-0115</t>
  </si>
  <si>
    <t>HHGLOBALTTS,KOHLDSN,MACY02,NRTPORT,OVERSTOCK01</t>
  </si>
  <si>
    <t>CH103-0046</t>
  </si>
  <si>
    <t>Madison</t>
  </si>
  <si>
    <t>Power Recliner</t>
  </si>
  <si>
    <t>CAPQ1025</t>
  </si>
  <si>
    <t>CH103-0006</t>
  </si>
  <si>
    <t>CH103-0045</t>
  </si>
  <si>
    <t>Med Grey</t>
  </si>
  <si>
    <t>ID10-2044</t>
  </si>
  <si>
    <t>Malea</t>
  </si>
  <si>
    <t>Leena</t>
  </si>
  <si>
    <t>Shaggy Long Fur Comforter Mini Set</t>
  </si>
  <si>
    <t>PP001109;PF005482</t>
  </si>
  <si>
    <t>8/3/2021</t>
  </si>
  <si>
    <t>AMAZONDS,JCPENNEY01,KOHLDSN,MACY02,NRTPORT,OLLIIX,TGTDVS</t>
  </si>
  <si>
    <t>RSDP1914</t>
  </si>
  <si>
    <t>9/28/2021</t>
  </si>
  <si>
    <t>ID12-2039</t>
  </si>
  <si>
    <t>Shaggy Fur Duvet Cover Set</t>
  </si>
  <si>
    <t>PP001109;PF005257</t>
  </si>
  <si>
    <t>8/28/2021</t>
  </si>
  <si>
    <t>JLZL1214</t>
  </si>
  <si>
    <t>11/8/2021</t>
  </si>
  <si>
    <t>ID10-2437</t>
  </si>
  <si>
    <t>Shaggy Faux Fur Comforter Mini Set</t>
  </si>
  <si>
    <t>Green/White</t>
  </si>
  <si>
    <t>PP001109;PF006284</t>
  </si>
  <si>
    <t>8/28/2024</t>
  </si>
  <si>
    <t>ID10-2439</t>
  </si>
  <si>
    <t>8/16/2024</t>
  </si>
  <si>
    <t>ID10-2442</t>
  </si>
  <si>
    <t>Pink/White</t>
  </si>
  <si>
    <t>PP001109;PF006285</t>
  </si>
  <si>
    <t>BLK01,JCPENNEY01,NRTPORT,TGTDVS</t>
  </si>
  <si>
    <t>TN54-0507</t>
  </si>
  <si>
    <t>Marbled Sherpa</t>
  </si>
  <si>
    <t>PP001894;PF006042</t>
  </si>
  <si>
    <t>9/9/2023</t>
  </si>
  <si>
    <t>SLPH1141</t>
  </si>
  <si>
    <t>9/20/2023</t>
  </si>
  <si>
    <t>TN54-0508</t>
  </si>
  <si>
    <t>PP001894;PF006043</t>
  </si>
  <si>
    <t>11/20/2023</t>
  </si>
  <si>
    <t>MP120-0085B</t>
  </si>
  <si>
    <t>Marbury</t>
  </si>
  <si>
    <t>Keaton</t>
  </si>
  <si>
    <t>Aniston</t>
  </si>
  <si>
    <t>15 x 15 x 21.25</t>
  </si>
  <si>
    <t>MP120-0085A</t>
  </si>
  <si>
    <t>22 x 22 x 1</t>
  </si>
  <si>
    <t>MP120-0134B</t>
  </si>
  <si>
    <t>MARBURY</t>
  </si>
  <si>
    <t>Dia. 12.5 x 23.375"H</t>
  </si>
  <si>
    <t>MP120-0134A</t>
  </si>
  <si>
    <t>Dia15 x 1.25 T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</si>
  <si>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</si>
  <si>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</si>
  <si>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</si>
  <si>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</si>
  <si>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</si>
  <si>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</si>
  <si>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</si>
  <si>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KOHLDSN,MACY02,OLLIIX,OVERSTOCK01,TGTDVS</t>
  </si>
  <si>
    <t>NCWA2692</t>
  </si>
  <si>
    <t>MP12-8412</t>
  </si>
  <si>
    <t>3 Piece Pintuck Duvet Cover Set</t>
  </si>
  <si>
    <t>DLBRAND,HDDS,JCPENNEY01,KOHLDSN,MACY02</t>
  </si>
  <si>
    <t>NCWA2691</t>
  </si>
  <si>
    <t>MP12-8413</t>
  </si>
  <si>
    <t>MP12-7094</t>
  </si>
  <si>
    <t>Mariana</t>
  </si>
  <si>
    <t>Fiona</t>
  </si>
  <si>
    <t>Julia</t>
  </si>
  <si>
    <t xml:space="preserve">3 Piece Cotton Printed  Duvet Cover Set</t>
  </si>
  <si>
    <t>PF005034</t>
  </si>
  <si>
    <t>2/25/2020</t>
  </si>
  <si>
    <t>AMAZON,JCPENNEY01,KOHLDSN,MACY02,OVERSTOCK01,TGTDVS,WALMARTDS</t>
  </si>
  <si>
    <t>NCWA1809</t>
  </si>
  <si>
    <t>3/9/2020</t>
  </si>
  <si>
    <t>MP10-7092</t>
  </si>
  <si>
    <t>7 Piece Cotton Printed Comforter Set</t>
  </si>
  <si>
    <t>AMAZON,DLBRAND,JCPENNEY01,KOHLDSN,MACY02,OLLIIX,OVERSTOCK01,TGTDVS</t>
  </si>
  <si>
    <t>NCWA1811</t>
  </si>
  <si>
    <t>MP10-8465</t>
  </si>
  <si>
    <t>Mariposa</t>
  </si>
  <si>
    <t>Stacia</t>
  </si>
  <si>
    <t>Millie</t>
  </si>
  <si>
    <t>5 Piece Stripe Herringbone Comforter Set with Throw Pillows</t>
  </si>
  <si>
    <t>PP001973;PF006287</t>
  </si>
  <si>
    <t>NCWA2722</t>
  </si>
  <si>
    <t>ID10-1730</t>
  </si>
  <si>
    <t>Marsden</t>
  </si>
  <si>
    <t>James</t>
  </si>
  <si>
    <t>Eddie</t>
  </si>
  <si>
    <t>Striped Comforter Set with Bed Sheets</t>
  </si>
  <si>
    <t>PF004648</t>
  </si>
  <si>
    <t>AAFESDS,HDDS,JCPENNEY01,KOHLDSN,MACY02,OLLIIX,OVERSTOCK01,TGTDVS</t>
  </si>
  <si>
    <t>JLZL1099</t>
  </si>
  <si>
    <t>5/12/2019</t>
  </si>
  <si>
    <t>MPS72-606</t>
  </si>
  <si>
    <t>Contour</t>
  </si>
  <si>
    <t>5/23/2025</t>
  </si>
  <si>
    <t>AMAZON,BLK01,DLBRAND,OVERSTOCK01</t>
  </si>
  <si>
    <t>NCWB1212</t>
  </si>
  <si>
    <t>MP104-1104</t>
  </si>
  <si>
    <t>Mateo</t>
  </si>
  <si>
    <t>Quarry</t>
  </si>
  <si>
    <t>Powell</t>
  </si>
  <si>
    <t>5/18/2021</t>
  </si>
  <si>
    <t>HOUZZ,OVERSTOCK01</t>
  </si>
  <si>
    <t>NCWA1814</t>
  </si>
  <si>
    <t>5/30/2021</t>
  </si>
  <si>
    <t>SS40-0026</t>
  </si>
  <si>
    <t>Maya</t>
  </si>
  <si>
    <t>Arlie</t>
  </si>
  <si>
    <t>Rune</t>
  </si>
  <si>
    <t>Printed Heathered Blackout Grommet Top Curtain Panel</t>
  </si>
  <si>
    <t>50x54"</t>
  </si>
  <si>
    <t>PF003955</t>
  </si>
  <si>
    <t>Blackout</t>
  </si>
  <si>
    <t>9/19/2017</t>
  </si>
  <si>
    <t>AMAZONDS,DESINC,JCPENNEY01,KOHLDSN,OLLIIX,TGTDVS</t>
  </si>
  <si>
    <t>TDFM1003</t>
  </si>
  <si>
    <t>HH10-1225</t>
  </si>
  <si>
    <t>Maya Bay</t>
  </si>
  <si>
    <t>PF003324</t>
  </si>
  <si>
    <t>AMAZON,AMAZONDS,BEALLSDS,OLLIIX,OVERSTOCK01</t>
  </si>
  <si>
    <t>HUH1351</t>
  </si>
  <si>
    <t>1/27/2015</t>
  </si>
  <si>
    <t>WR10-4033</t>
  </si>
  <si>
    <t>Mckenzie</t>
  </si>
  <si>
    <t>Twill Washed Comforter Set</t>
  </si>
  <si>
    <t>XBYB1079</t>
  </si>
  <si>
    <t>WR10-4034</t>
  </si>
  <si>
    <t>WR12-4036</t>
  </si>
  <si>
    <t>Twill Washed Duvet Set</t>
  </si>
  <si>
    <t>XBYB1078</t>
  </si>
  <si>
    <t>WR10-4035</t>
  </si>
  <si>
    <t>AMAZON,MACY02,OLLIIX</t>
  </si>
  <si>
    <t>WR12-4037</t>
  </si>
  <si>
    <t>WR10-4029</t>
  </si>
  <si>
    <t>WR12-4031</t>
  </si>
  <si>
    <t>WR10-4030</t>
  </si>
  <si>
    <t>WR12-4032</t>
  </si>
  <si>
    <t>MT103-0189</t>
  </si>
  <si>
    <t>Melody</t>
  </si>
  <si>
    <t>Swivel Glider Skirted ArmChair</t>
  </si>
  <si>
    <t>FB150-1159</t>
  </si>
  <si>
    <t>Melrose</t>
  </si>
  <si>
    <t>2-Light Beaded Chandelier</t>
  </si>
  <si>
    <t>2/23/2022</t>
  </si>
  <si>
    <t>HTN10005</t>
  </si>
  <si>
    <t>3/17/2022</t>
  </si>
  <si>
    <t>MP120-0163B</t>
  </si>
  <si>
    <t>Mia</t>
  </si>
  <si>
    <t>DIA28.65x17.25</t>
  </si>
  <si>
    <t>MP120-0163A</t>
  </si>
  <si>
    <t>DIA34x0.31"T</t>
  </si>
  <si>
    <t>IIF20-0062B</t>
  </si>
  <si>
    <t>Mercer</t>
  </si>
  <si>
    <t>38.25"x18.75"x29"H</t>
  </si>
  <si>
    <t>IIF20-0062A</t>
  </si>
  <si>
    <t>68" x 37" x 1" T</t>
  </si>
  <si>
    <t>II115-0419</t>
  </si>
  <si>
    <t>Queen Bed</t>
  </si>
  <si>
    <t>Brown/Bronze</t>
  </si>
  <si>
    <t>2/17/2022</t>
  </si>
  <si>
    <t>JLZF1295</t>
  </si>
  <si>
    <t>2/25/2022</t>
  </si>
  <si>
    <t>AM10-0608</t>
  </si>
  <si>
    <t>Merritt</t>
  </si>
  <si>
    <t>Leland</t>
  </si>
  <si>
    <t>Caleb</t>
  </si>
  <si>
    <t>Yarn-dyed striped comforter</t>
  </si>
  <si>
    <t>AM10-0609</t>
  </si>
  <si>
    <t>AM10-0610</t>
  </si>
  <si>
    <t>AM10-0611</t>
  </si>
  <si>
    <t>AM10-0612</t>
  </si>
  <si>
    <t>AM10-0613</t>
  </si>
  <si>
    <t>AM10-0605</t>
  </si>
  <si>
    <t>AM10-0606</t>
  </si>
  <si>
    <t>AM10-0607</t>
  </si>
  <si>
    <t>5DS10-0311</t>
  </si>
  <si>
    <t>Evelina</t>
  </si>
  <si>
    <t>Rosaline</t>
  </si>
  <si>
    <t>NGIN1256</t>
  </si>
  <si>
    <t>5DS10-0313</t>
  </si>
  <si>
    <t>TN20-0589</t>
  </si>
  <si>
    <t>Micro Fleece</t>
  </si>
  <si>
    <t>PP001622;PF006393</t>
  </si>
  <si>
    <t>CRLM1550</t>
  </si>
  <si>
    <t>TN20-0590</t>
  </si>
  <si>
    <t>TN20-0591</t>
  </si>
  <si>
    <t>TN20-0592</t>
  </si>
  <si>
    <t>TN20-0593</t>
  </si>
  <si>
    <t>TN20-0594</t>
  </si>
  <si>
    <t>TN20-0461</t>
  </si>
  <si>
    <t>PP001622;PF005448</t>
  </si>
  <si>
    <t>5/27/2021</t>
  </si>
  <si>
    <t>9/27/2021</t>
  </si>
  <si>
    <t>TN20-0462</t>
  </si>
  <si>
    <t>10/25/2021</t>
  </si>
  <si>
    <t>TN20-0465</t>
  </si>
  <si>
    <t>10/7/2021</t>
  </si>
  <si>
    <t>PC20-009</t>
  </si>
  <si>
    <t>PF001563</t>
  </si>
  <si>
    <t>AMAZON,BLK01,JCPENNEY01,KOHLDSN,MACY02,OVERSTOCK01</t>
  </si>
  <si>
    <t>PC20-010</t>
  </si>
  <si>
    <t>AMAZONDS,JCPENNEY01,KOHLDSN,MACY02,WALMARTDS</t>
  </si>
  <si>
    <t>1/14/2015</t>
  </si>
  <si>
    <t>SHET20-746</t>
  </si>
  <si>
    <t>TN20-0522</t>
  </si>
  <si>
    <t>PP001622;PF006086</t>
  </si>
  <si>
    <t>11/16/2023</t>
  </si>
  <si>
    <t>11/26/2023</t>
  </si>
  <si>
    <t>TN20-0523</t>
  </si>
  <si>
    <t>AMAZON,AMAZONDS,HDDS,JCPENNEY01,KOHLDSN,MACY02,OVERSTOCK01,TGTDVS</t>
  </si>
  <si>
    <t>TN20-0524</t>
  </si>
  <si>
    <t>AMAZON,AMAZONDS,BLK01,JCPENNEY01,KOHLDSN,MACY02,TGTDVS</t>
  </si>
  <si>
    <t>TN20-0527</t>
  </si>
  <si>
    <t>SHET20-530</t>
  </si>
  <si>
    <t>PF001775</t>
  </si>
  <si>
    <t>8/20/2015</t>
  </si>
  <si>
    <t>SHET20-737</t>
  </si>
  <si>
    <t>12/29/2016</t>
  </si>
  <si>
    <t>SHET20-531</t>
  </si>
  <si>
    <t>AMAZON,HDDS,JCPENNEY01</t>
  </si>
  <si>
    <t>SHET20-738</t>
  </si>
  <si>
    <t>12/1/2016</t>
  </si>
  <si>
    <t>SHET20-743</t>
  </si>
  <si>
    <t>PF001735</t>
  </si>
  <si>
    <t>AMAZON,AMAZONDS,KOHLDSN,TGTDVS,WALMARTDS</t>
  </si>
  <si>
    <t>10/5/2015</t>
  </si>
  <si>
    <t>PC20-007</t>
  </si>
  <si>
    <t>PC20-008</t>
  </si>
  <si>
    <t>SHET20-744</t>
  </si>
  <si>
    <t>12/14/2015</t>
  </si>
  <si>
    <t>SHET20-526</t>
  </si>
  <si>
    <t>PF001774</t>
  </si>
  <si>
    <t>7/13/2015</t>
  </si>
  <si>
    <t>SHET20-529</t>
  </si>
  <si>
    <t>SHET20-736</t>
  </si>
  <si>
    <t>SHET20-842</t>
  </si>
  <si>
    <t>Grey Diamond</t>
  </si>
  <si>
    <t>PF001782</t>
  </si>
  <si>
    <t>2/7/2017</t>
  </si>
  <si>
    <t>TN20-0528</t>
  </si>
  <si>
    <t>PP001622;PF006087</t>
  </si>
  <si>
    <t>TN20-0529</t>
  </si>
  <si>
    <t>TN20-0531</t>
  </si>
  <si>
    <t>SHET20-996</t>
  </si>
  <si>
    <t>PF002215</t>
  </si>
  <si>
    <t>AMAZON,JCPENNEY01,MACY02,OVERSTOCK01</t>
  </si>
  <si>
    <t>10/25/2016</t>
  </si>
  <si>
    <t>SHET20-997</t>
  </si>
  <si>
    <t>AMAZON,AMAZONDS,JCPENNEY01,KOHLDSN,MACY02,OVERSTOCK01</t>
  </si>
  <si>
    <t>TN20-0532</t>
  </si>
  <si>
    <t>Grey Snowflake</t>
  </si>
  <si>
    <t>PP001622;PF006088</t>
  </si>
  <si>
    <t>TN20-0533</t>
  </si>
  <si>
    <t>3/19/2024</t>
  </si>
  <si>
    <t>TN20-0534</t>
  </si>
  <si>
    <t>12/29/2023</t>
  </si>
  <si>
    <t>TN20-0535</t>
  </si>
  <si>
    <t>AMAZON,JCPENNEY01,KOHLDSN,MACY02,OVERSTOCK01,TGTDVS</t>
  </si>
  <si>
    <t>SHET20-747</t>
  </si>
  <si>
    <t>PF001746</t>
  </si>
  <si>
    <t>AMAZON,HSNDS,JCPENNEY01,KOHLDSN,MACY02,OLLIIX</t>
  </si>
  <si>
    <t>PC20-125</t>
  </si>
  <si>
    <t>AMAZON,AMAZONDS,HSNDS,MACY02</t>
  </si>
  <si>
    <t>1/15/2015</t>
  </si>
  <si>
    <t>PC20-126</t>
  </si>
  <si>
    <t>AMAZON,AMAZONDS,BLK01,HSNDS,JCPENNEY01,KOHLDSN,MACY02,OVERSTOCK01,TGTDVS,WALMARTDS</t>
  </si>
  <si>
    <t>SHET20-748</t>
  </si>
  <si>
    <t>AMAZON,AMAZONDS,JCPENNEY01,KOHLDSN,MACY02</t>
  </si>
  <si>
    <t>12/2/2015</t>
  </si>
  <si>
    <t>PC20-001</t>
  </si>
  <si>
    <t>PF001674</t>
  </si>
  <si>
    <t>1/30/2015</t>
  </si>
  <si>
    <t>SHET20-741</t>
  </si>
  <si>
    <t>9/29/2016</t>
  </si>
  <si>
    <t>PC20-002</t>
  </si>
  <si>
    <t>AMAZON,AMAZONDS,BLK01,FINGERHUTDS,JCPENNEY01,KOHLDSN,MACY02</t>
  </si>
  <si>
    <t>PC20-004</t>
  </si>
  <si>
    <t>1/7/2015</t>
  </si>
  <si>
    <t>SHET20-742</t>
  </si>
  <si>
    <t>AMAZON,AMAZONDS,MACY02</t>
  </si>
  <si>
    <t>SHET20-792</t>
  </si>
  <si>
    <t>PF001777</t>
  </si>
  <si>
    <t>10/26/2016</t>
  </si>
  <si>
    <t>SHET20-796</t>
  </si>
  <si>
    <t>AMAZONDS,JCPENNEY01,KOHLDSN,MACY02,OVERSTOCK01,TGTDVS</t>
  </si>
  <si>
    <t>SHET20-793</t>
  </si>
  <si>
    <t>12/8/2016</t>
  </si>
  <si>
    <t>SHET20-795</t>
  </si>
  <si>
    <t>2/6/2017</t>
  </si>
  <si>
    <t>SHET20-797</t>
  </si>
  <si>
    <t>TN20-0448</t>
  </si>
  <si>
    <t>PP001622;PF005446</t>
  </si>
  <si>
    <t>1/4/2022</t>
  </si>
  <si>
    <t>TN20-0449</t>
  </si>
  <si>
    <t>AMAZON,AMAZONDS,JCPENNEY01,KOHLDSN,MACY02,OVERSCONSIGN,TGTDVS</t>
  </si>
  <si>
    <t>12/7/2021</t>
  </si>
  <si>
    <t>TN20-0450</t>
  </si>
  <si>
    <t>SHET20-534</t>
  </si>
  <si>
    <t>PF001776</t>
  </si>
  <si>
    <t>1/28/2015</t>
  </si>
  <si>
    <t>SHET20-739</t>
  </si>
  <si>
    <t>11/10/2016</t>
  </si>
  <si>
    <t>SHET20-535</t>
  </si>
  <si>
    <t>SHET20-536</t>
  </si>
  <si>
    <t>1/19/2015</t>
  </si>
  <si>
    <t>SHET20-537</t>
  </si>
  <si>
    <t>9/16/2015</t>
  </si>
  <si>
    <t>SHET20-740</t>
  </si>
  <si>
    <t>10/7/2016</t>
  </si>
  <si>
    <t>ID20-2208</t>
  </si>
  <si>
    <t>All Season Soft Touch Sheet Set</t>
  </si>
  <si>
    <t>PP001853;PF005933</t>
  </si>
  <si>
    <t>WLAO2945</t>
  </si>
  <si>
    <t>ID20-2212</t>
  </si>
  <si>
    <t>AMAZON,BEALLSDS,MACY02,OLLIIX,TGTDVS</t>
  </si>
  <si>
    <t>ID20-2207</t>
  </si>
  <si>
    <t>PP001853;PF005932</t>
  </si>
  <si>
    <t>ID20-1074</t>
  </si>
  <si>
    <t>PF001772</t>
  </si>
  <si>
    <t>AMAZONDS,HSNDS,JCPENNEY01,KOHLDSN,MACY02,OLLIIX,TGTDVS,WALMARTDS</t>
  </si>
  <si>
    <t>ID20-1914</t>
  </si>
  <si>
    <t>Sheet Set with Side Storage Pockets</t>
  </si>
  <si>
    <t>5/13/2020</t>
  </si>
  <si>
    <t>JLZL1005</t>
  </si>
  <si>
    <t>6/9/2020</t>
  </si>
  <si>
    <t>12/16/2021</t>
  </si>
  <si>
    <t>ID20-1075</t>
  </si>
  <si>
    <t>AMAZONDS,BLK01,FINGERHUTDS,HSNDS,JCPENNEY01,KOHLDSN,MACY02,NRTPORT,OLLIIX,TGTDVS,WALMARTDS</t>
  </si>
  <si>
    <t>ID20-1915</t>
  </si>
  <si>
    <t>AMAZONDS,DESINC,JCPENNEY01,KOHLDSN,MACY02,TGTDVS,WALMARTDS</t>
  </si>
  <si>
    <t>8/10/2020</t>
  </si>
  <si>
    <t>ID20-1076</t>
  </si>
  <si>
    <t>AMAZON,HSNDS,JCPENNEY01,KOHLDSN,MACY02,TGTDVS</t>
  </si>
  <si>
    <t>3/20/2017</t>
  </si>
  <si>
    <t>ID20-1916</t>
  </si>
  <si>
    <t>BLK01,HDDS,JCPENNEY01,KOHLDSN,MACY02,OLLIIX,TGTDVS</t>
  </si>
  <si>
    <t>9/17/2020</t>
  </si>
  <si>
    <t>ID20-1078</t>
  </si>
  <si>
    <t>AMAZON,AMAZONDS,FINGERHUTDS,HSNDS,MACY02,NRTPORT,OLLIIX,TGTDVS</t>
  </si>
  <si>
    <t>ID20-132</t>
  </si>
  <si>
    <t>PF001767</t>
  </si>
  <si>
    <t>AMAZONDS,HDDS,HSNDS,KOHLDSN,MACY02,OLLIIX,TGTDVS</t>
  </si>
  <si>
    <t>ID20-1454</t>
  </si>
  <si>
    <t>5/25/2018</t>
  </si>
  <si>
    <t>5/27/2018</t>
  </si>
  <si>
    <t>ID20-133</t>
  </si>
  <si>
    <t>AMAZONDS,DESINC,FINGERHUTDS,HSNDS,JCPENNEY01,KOHLDSN,MACY02,OLLIIX,TGTDVS</t>
  </si>
  <si>
    <t>ID20-1455</t>
  </si>
  <si>
    <t>AMAZONDS,BLK01,DESINC,JCPENNEY01,KOHLDSN,MACY02,TGTDVS,WALMARTDS</t>
  </si>
  <si>
    <t>6/25/2018</t>
  </si>
  <si>
    <t>ID20-134</t>
  </si>
  <si>
    <t>AMAZONDS,HSNDS,JCPENNEY01,KOHLDSN,MACY02,OLLIIX,TGTDVS</t>
  </si>
  <si>
    <t>2/3/2015</t>
  </si>
  <si>
    <t>ID20-1456</t>
  </si>
  <si>
    <t>8/2/2018</t>
  </si>
  <si>
    <t>ID20-135</t>
  </si>
  <si>
    <t>AMAZONDS,FINGERHUTDS,HSNDS,JCPENNEY01,KOHLDSN,MACY02,NRTPORT,OLLIIX,TGTDVS,WALMARTDS</t>
  </si>
  <si>
    <t>ID20-1457</t>
  </si>
  <si>
    <t>AMAZON,BEALLSDS,JCPENNEY01,KOHLDSN,MACY02,TGTDVS</t>
  </si>
  <si>
    <t>ID20-2214</t>
  </si>
  <si>
    <t>PP001853;PF005934</t>
  </si>
  <si>
    <t>ID20-2217</t>
  </si>
  <si>
    <t>ID20-137</t>
  </si>
  <si>
    <t>PF001769</t>
  </si>
  <si>
    <t>HSNDS,JCPENNEY01,MACY02,TGTDVS</t>
  </si>
  <si>
    <t>ID20-1458</t>
  </si>
  <si>
    <t>JCPENNEY01,KOHLDSN,MACY02,TGTDVS,WALMARTDS</t>
  </si>
  <si>
    <t>8/8/2018</t>
  </si>
  <si>
    <t>ID20-138</t>
  </si>
  <si>
    <t>BLK01,FINGERHUTDS,HSNDS,JCPENNEY01,KOHLDSN,MACY02,OLLIIX,TGTDVS</t>
  </si>
  <si>
    <t>1/26/2015</t>
  </si>
  <si>
    <t>ID20-1459</t>
  </si>
  <si>
    <t>BLK01,HDDS,JCPENNEY01,KOHLDSN,MACY02,NRTPORT,OLLIIX,OVERSTOCK01,TGTDVS,WALMARTDS</t>
  </si>
  <si>
    <t>6/29/2018</t>
  </si>
  <si>
    <t>ID20-139</t>
  </si>
  <si>
    <t>HSNDS,JCPENNEY01,KOHLDSN,MACY02,NRTPORT,OVERSTOCK01,TGTDVS,WALMARTDS</t>
  </si>
  <si>
    <t>1/22/2015</t>
  </si>
  <si>
    <t>ID20-1460</t>
  </si>
  <si>
    <t>ID20-140</t>
  </si>
  <si>
    <t>1/20/2015</t>
  </si>
  <si>
    <t>ID20-141</t>
  </si>
  <si>
    <t>BEALLSDS,BLK01,FINGERHUTDS,HSNDS,MACY02,TGTDVS,WALMARTDS</t>
  </si>
  <si>
    <t>ID20-1080</t>
  </si>
  <si>
    <t>PF001773</t>
  </si>
  <si>
    <t>AMAZONDS,HDDS,HSNDS,JCPENNEY01,KOHLDSN,MACY02,TGTDVS</t>
  </si>
  <si>
    <t>ID20-1081</t>
  </si>
  <si>
    <t>AMAZON,BLK01,FINGERHUTDS,HSNDS,JCPENNEY01,KOHLDSN,MACY02,OVERSTOCK01,TGTDVS</t>
  </si>
  <si>
    <t>ID20-1083</t>
  </si>
  <si>
    <t>BEALLSDS,BLK01,FINGERHUTDS,HSNDS,JCPENNEY01,KOHLDSN,MACY02,OLLIIX,TGTDVS,WALMARTDS</t>
  </si>
  <si>
    <t>ID20-1084</t>
  </si>
  <si>
    <t>AMAZON,BEALLSDS,FINGERHUTDS,HSNDS,JCPENNEY01,MACY02,NRTPORT,TGTDVS</t>
  </si>
  <si>
    <t>2/28/2017</t>
  </si>
  <si>
    <t>ID20-1910</t>
  </si>
  <si>
    <t>PF001770</t>
  </si>
  <si>
    <t>7/6/2020</t>
  </si>
  <si>
    <t>ID20-143</t>
  </si>
  <si>
    <t>AMAZONDS,BLK01,DESINC,FINGERHUTDS,KOHLDSN,MACY02,OLLIIX,TGTDVS,WALMARTDS</t>
  </si>
  <si>
    <t>3/26/2015</t>
  </si>
  <si>
    <t>ID20-1911</t>
  </si>
  <si>
    <t>AMAZONDS,BLK01,JCPENNEY01,KOHLDSN,MACY02,TGTDVS,WALMARTDS</t>
  </si>
  <si>
    <t>7/25/2022</t>
  </si>
  <si>
    <t>ID20-144</t>
  </si>
  <si>
    <t>AMAZON,AMAZONDS,BLK01,KOHLDSN,MACY02,NRTPORT,OLLIIX,TGTDVS</t>
  </si>
  <si>
    <t>ID20-1912</t>
  </si>
  <si>
    <t>AMAZONDS,JCPENNEY01,MACY02,OLLIIX,TGTDVS</t>
  </si>
  <si>
    <t>2/1/2021</t>
  </si>
  <si>
    <t>ID20-145</t>
  </si>
  <si>
    <t>AMAZONDS,FINGERHUTDS,HDDS,HSNDS,JCPENNEY01,KOHLDSN,MACY02,NRTPORT,OLLIIX,TGTDVS</t>
  </si>
  <si>
    <t>ID20-1913</t>
  </si>
  <si>
    <t>BEALLSDS,BLK01,HDDS,JCPENNEY01,KOHLDSN,MACY02,OLLIIX,TGTDVS</t>
  </si>
  <si>
    <t>ST55-0266</t>
  </si>
  <si>
    <t>Microfiber Heated</t>
  </si>
  <si>
    <t>PP001880;PF005997</t>
  </si>
  <si>
    <t>BLK01,JCPENNEY01,KOHLDSN</t>
  </si>
  <si>
    <t>LF10302</t>
  </si>
  <si>
    <t>ST55-4530</t>
  </si>
  <si>
    <t>Microfiber Zoned</t>
  </si>
  <si>
    <t>ST55-4531</t>
  </si>
  <si>
    <t>ST55-4532</t>
  </si>
  <si>
    <t>ST55-4533</t>
  </si>
  <si>
    <t>ST55-4534</t>
  </si>
  <si>
    <t>ST55-4535</t>
  </si>
  <si>
    <t>TN51-0555</t>
  </si>
  <si>
    <t>Microfleece</t>
  </si>
  <si>
    <t>PP001936;PF006176</t>
  </si>
  <si>
    <t>SLPH1149</t>
  </si>
  <si>
    <t>7/19/2024</t>
  </si>
  <si>
    <t>TN51-0548</t>
  </si>
  <si>
    <t>PP001936;PF006174</t>
  </si>
  <si>
    <t>AMAZON,AMAZONDS,BLK01,HDDS,KOHLDSN,MACY02,TGTDVS</t>
  </si>
  <si>
    <t>2/11/2025</t>
  </si>
  <si>
    <t>TN51-0549</t>
  </si>
  <si>
    <t>TN51-0542</t>
  </si>
  <si>
    <t>PP001936;PF006172</t>
  </si>
  <si>
    <t>7/9/2024</t>
  </si>
  <si>
    <t>AMAZON,AMAZONDS,HDDS,KOHLDSN,MACY02,OLLIIX,TGTDVS</t>
  </si>
  <si>
    <t>7/25/2025</t>
  </si>
  <si>
    <t>TN51-0546</t>
  </si>
  <si>
    <t>PP001936;PF006173</t>
  </si>
  <si>
    <t>ID51-1087</t>
  </si>
  <si>
    <t>Microlight Plush</t>
  </si>
  <si>
    <t>Oversized Blanket</t>
  </si>
  <si>
    <t>PF003476</t>
  </si>
  <si>
    <t>AMAZON,AMAZONDS,BLK01,FINGERHUTDS,JCPENNEY01,KOHLDSN,MACY02,NRTPORT,OVERSTOCK01,TGTDVS,WALMARTDS</t>
  </si>
  <si>
    <t>EBRD5174</t>
  </si>
  <si>
    <t>ID51-1310</t>
  </si>
  <si>
    <t>PF003478</t>
  </si>
  <si>
    <t>8/31/2017</t>
  </si>
  <si>
    <t>BEALLSDS,FINGERHUTDS,JCPENNEY01,KOHLDSN,MACY02,OLLIIX,TGTDVS,WALMARTDS</t>
  </si>
  <si>
    <t>9/4/2017</t>
  </si>
  <si>
    <t>9/12/2017</t>
  </si>
  <si>
    <t>BR54-4131</t>
  </si>
  <si>
    <t>Microplush</t>
  </si>
  <si>
    <t>Heated Blanket with Wifi Technology</t>
  </si>
  <si>
    <t>PP001882;PF006003</t>
  </si>
  <si>
    <t>AMAZON,HDDS,JCPENNEY01,KOHLDSN</t>
  </si>
  <si>
    <t>TCKF1624</t>
  </si>
  <si>
    <t>II12-1317</t>
  </si>
  <si>
    <t>Mila</t>
  </si>
  <si>
    <t>3 Piece Cotton Duvet Cover Set with Chenille Tufting</t>
  </si>
  <si>
    <t>PP001321;PF006111</t>
  </si>
  <si>
    <t>MITN5068</t>
  </si>
  <si>
    <t>II12-1318</t>
  </si>
  <si>
    <t>AMAZON,NRTPORT,OLLIIX</t>
  </si>
  <si>
    <t>II12-1251</t>
  </si>
  <si>
    <t>PP001321;PF005708</t>
  </si>
  <si>
    <t>5/5/2022</t>
  </si>
  <si>
    <t>DLBRAND,KOHLDSN,MACY02,OLLIIX,OVERSTOCK01,TGTDVS</t>
  </si>
  <si>
    <t>8/12/2022</t>
  </si>
  <si>
    <t>IIF17-0149</t>
  </si>
  <si>
    <t>Side Table</t>
  </si>
  <si>
    <t>Milo</t>
  </si>
  <si>
    <t>End Table</t>
  </si>
  <si>
    <t>PP000041</t>
  </si>
  <si>
    <t>IVBX8643</t>
  </si>
  <si>
    <t>7/9/2017</t>
  </si>
  <si>
    <t>AM14-0365</t>
  </si>
  <si>
    <t>Mina</t>
  </si>
  <si>
    <t>Hanna</t>
  </si>
  <si>
    <t>Aera</t>
  </si>
  <si>
    <t>Waffle Weave Textured Quilt Set</t>
  </si>
  <si>
    <t>PP001928;PF006425</t>
  </si>
  <si>
    <t>NGIN1222</t>
  </si>
  <si>
    <t>AM14-0366</t>
  </si>
  <si>
    <t>AM14-0367</t>
  </si>
  <si>
    <t>AM14-0368</t>
  </si>
  <si>
    <t>PP001928;PF006426</t>
  </si>
  <si>
    <t>AM14-0370</t>
  </si>
  <si>
    <t>AM14-0371</t>
  </si>
  <si>
    <t>PP001928;PF006427</t>
  </si>
  <si>
    <t>JCPENNEY01,NRTPORT,TGTDVS</t>
  </si>
  <si>
    <t>AM14-0372</t>
  </si>
  <si>
    <t>BLK01,JCPENNEY01,MACY02,OLLIIX</t>
  </si>
  <si>
    <t>AM14-0373</t>
  </si>
  <si>
    <t>BLK01,JCPENNEY01,KOHLDSN,MACY02,NRTPORT,TGTDVS</t>
  </si>
  <si>
    <t>AM14-0374</t>
  </si>
  <si>
    <t>PP001928;PF006428</t>
  </si>
  <si>
    <t>AM14-0375</t>
  </si>
  <si>
    <t>12/17/2024</t>
  </si>
  <si>
    <t>AM14-0376</t>
  </si>
  <si>
    <t>ID10-2382</t>
  </si>
  <si>
    <t>Mira</t>
  </si>
  <si>
    <t>Gemma</t>
  </si>
  <si>
    <t>Arabella</t>
  </si>
  <si>
    <t>Crushed Velvet Sherpa Reversible Comforter Set</t>
  </si>
  <si>
    <t>PP001907;PF006260</t>
  </si>
  <si>
    <t>JLZL1286</t>
  </si>
  <si>
    <t>ID10-2383</t>
  </si>
  <si>
    <t>ID10-2384</t>
  </si>
  <si>
    <t>AMAZON,OLLIIX</t>
  </si>
  <si>
    <t>ID10-2266</t>
  </si>
  <si>
    <t>PP001907;PF006081</t>
  </si>
  <si>
    <t>AMAZON,ASHFURNDS,JCPENNEY01,KOHLDSN,OVERSTOCK01,TGTDVS</t>
  </si>
  <si>
    <t>ID10-2379</t>
  </si>
  <si>
    <t>PP001907;PF006259</t>
  </si>
  <si>
    <t>ID10-2380</t>
  </si>
  <si>
    <t>AMAZON,AMAZONDS,KOHLDSN,OLLIIX,OVERSTOCK01,TGTDVS</t>
  </si>
  <si>
    <t>ID10-2381</t>
  </si>
  <si>
    <t>AMAZON,HDDS,KOHLDSN,OLLIIX,OVERSTOCK01,TGTDVS</t>
  </si>
  <si>
    <t>ID10-2269</t>
  </si>
  <si>
    <t>PP001907;PF006082</t>
  </si>
  <si>
    <t>AMAZON,ASHFURNDS,JCPENNEY01,KOHLDSN,NRTPORT,OLLIIX,TGTDVS</t>
  </si>
  <si>
    <t>ID10-2264</t>
  </si>
  <si>
    <t>PP001907;PF006080</t>
  </si>
  <si>
    <t>ASHFURNDS,BLK01,KOHLDSN,MACY02,OLLIIX,OVERSTOCK01,TGTDVS</t>
  </si>
  <si>
    <t>SS40-0237</t>
  </si>
  <si>
    <t>Elysia</t>
  </si>
  <si>
    <t>Azalea</t>
  </si>
  <si>
    <t>Knitted Jacquard Damask Total Blackout Grommet Top Curtain Panel Pair</t>
  </si>
  <si>
    <t>PP001653;PF005527</t>
  </si>
  <si>
    <t>BLK01,JCPENNEY01,KOHLDSN,OLLIIX,OVERSTOCK01</t>
  </si>
  <si>
    <t>TDFM1035</t>
  </si>
  <si>
    <t>9/18/2023</t>
  </si>
  <si>
    <t>11/7/2023</t>
  </si>
  <si>
    <t>II100-0544</t>
  </si>
  <si>
    <t>SECTIONAL SOFA</t>
  </si>
  <si>
    <t>Sectional Sofa</t>
  </si>
  <si>
    <t>Molly</t>
  </si>
  <si>
    <t>Modular Armless Chair</t>
  </si>
  <si>
    <t>Armless Chair</t>
  </si>
  <si>
    <t>1/4/2024</t>
  </si>
  <si>
    <t>IKIY1110</t>
  </si>
  <si>
    <t>II100-0543</t>
  </si>
  <si>
    <t>Modular Corner Chair</t>
  </si>
  <si>
    <t>Corner Chair</t>
  </si>
  <si>
    <t>IKIY1111</t>
  </si>
  <si>
    <t>II100-0560</t>
  </si>
  <si>
    <t>Sectional Sofa Set</t>
  </si>
  <si>
    <t>3-Piece Modular Sofa</t>
  </si>
  <si>
    <t>3-Piece</t>
  </si>
  <si>
    <t>SET</t>
  </si>
  <si>
    <t>IKIY1180</t>
  </si>
  <si>
    <t>II90-0557</t>
  </si>
  <si>
    <t>3-Piece Modular L-Shape Sofa</t>
  </si>
  <si>
    <t>IKIY1179</t>
  </si>
  <si>
    <t>6/21/2024</t>
  </si>
  <si>
    <t>II101-0545</t>
  </si>
  <si>
    <t>Modular Ottoman</t>
  </si>
  <si>
    <t>Ottoman</t>
  </si>
  <si>
    <t>IKIY1112</t>
  </si>
  <si>
    <t>II90-0559</t>
  </si>
  <si>
    <t>4-Piece Modular Sofa with Ottoman</t>
  </si>
  <si>
    <t>IKIY1183</t>
  </si>
  <si>
    <t>II100-0556</t>
  </si>
  <si>
    <t>2-Piece Modular Loveseat Sofa</t>
  </si>
  <si>
    <t>Set of 2</t>
  </si>
  <si>
    <t>IKIY1178</t>
  </si>
  <si>
    <t>II100-0558</t>
  </si>
  <si>
    <t>5-Piece Modular L-Shape Sofa</t>
  </si>
  <si>
    <t>5-Piece</t>
  </si>
  <si>
    <t>IKIY1182</t>
  </si>
  <si>
    <t>II100-0561</t>
  </si>
  <si>
    <t>5-Piece Modular U-Shape Sofa</t>
  </si>
  <si>
    <t>IKIY1181</t>
  </si>
  <si>
    <t>II100-0506</t>
  </si>
  <si>
    <t>Silver Grey</t>
  </si>
  <si>
    <t>1/31/2023</t>
  </si>
  <si>
    <t>2/28/2023</t>
  </si>
  <si>
    <t>4/19/2023</t>
  </si>
  <si>
    <t>II100-0505</t>
  </si>
  <si>
    <t>3/6/2023</t>
  </si>
  <si>
    <t>II100-0532</t>
  </si>
  <si>
    <t>2-Piece</t>
  </si>
  <si>
    <t>2/1/2023</t>
  </si>
  <si>
    <t>II100-0536</t>
  </si>
  <si>
    <t>II90-0533</t>
  </si>
  <si>
    <t>II90-0535</t>
  </si>
  <si>
    <t>II100-0534</t>
  </si>
  <si>
    <t>II100-0537</t>
  </si>
  <si>
    <t>MP10-8844</t>
  </si>
  <si>
    <t>Mona</t>
  </si>
  <si>
    <t>Meave</t>
  </si>
  <si>
    <t>5 Piece Sculpted jacquard comforter set</t>
  </si>
  <si>
    <t>MP10-8845</t>
  </si>
  <si>
    <t>CH30-0033</t>
  </si>
  <si>
    <t>Monte</t>
  </si>
  <si>
    <t>CAPQ1034</t>
  </si>
  <si>
    <t>CH100-0051</t>
  </si>
  <si>
    <t>2/29/2024</t>
  </si>
  <si>
    <t>CAPQ1023</t>
  </si>
  <si>
    <t>CH30-0032</t>
  </si>
  <si>
    <t>CH100-0050</t>
  </si>
  <si>
    <t>CH30-0031</t>
  </si>
  <si>
    <t>CH100-0011</t>
  </si>
  <si>
    <t>CAPQ1000</t>
  </si>
  <si>
    <t>HH10-1987</t>
  </si>
  <si>
    <t>Morgan</t>
  </si>
  <si>
    <t>6 Piece Cotton Jacquard Oversized Comforter Set</t>
  </si>
  <si>
    <t>Ivory/Taupe</t>
  </si>
  <si>
    <t>HH12-1991</t>
  </si>
  <si>
    <t>5 Piece Cotton Jaquard Duvet Set</t>
  </si>
  <si>
    <t>HH10-1988</t>
  </si>
  <si>
    <t>HH10-1989</t>
  </si>
  <si>
    <t>HH12-1992</t>
  </si>
  <si>
    <t>HH10-1990</t>
  </si>
  <si>
    <t>MP95C-0284</t>
  </si>
  <si>
    <t>Moving Midas</t>
  </si>
  <si>
    <t>Gold Foil Abstract 2-piece Framed Canvas Wall Art Set</t>
  </si>
  <si>
    <t>PP001663</t>
  </si>
  <si>
    <t>AMAZON,AMAZONDS,AMERSIGNDS,JCPENNEY01,KIRKLANDDS,KOHLDSN,MACY02,OLLIIX,OVERSTOCK01,ROOMECOM</t>
  </si>
  <si>
    <t>NCWA2050</t>
  </si>
  <si>
    <t>9/6/2021</t>
  </si>
  <si>
    <t>MPS10-524</t>
  </si>
  <si>
    <t>Murphy</t>
  </si>
  <si>
    <t>Oversized Cotton Jacquard Comforter Set with Euro Shams and Throw Pillows</t>
  </si>
  <si>
    <t>PP001957;PF006233</t>
  </si>
  <si>
    <t>DESINC,DLBRAND,KOHLDSN,OLLIIX,OVERSTOCK01</t>
  </si>
  <si>
    <t>NCWB1258</t>
  </si>
  <si>
    <t>ID91-525</t>
  </si>
  <si>
    <t>FASHION TOWEL</t>
  </si>
  <si>
    <t>Nadia</t>
  </si>
  <si>
    <t>Laila</t>
  </si>
  <si>
    <t>Darcy</t>
  </si>
  <si>
    <t>Cotton Jacquard Bath Towel 6 Piece Set</t>
  </si>
  <si>
    <t>PF001471;PP000465</t>
  </si>
  <si>
    <t>AMAZONDS,HOUZZ,JCPENNEY01,TGTDVS</t>
  </si>
  <si>
    <t>ZPCD6717</t>
  </si>
  <si>
    <t>5/27/2016</t>
  </si>
  <si>
    <t>ID12-2243</t>
  </si>
  <si>
    <t>Naomi</t>
  </si>
  <si>
    <t>Madelyn</t>
  </si>
  <si>
    <t>Metallic Print Faux Fur Duvet Cover Set</t>
  </si>
  <si>
    <t>PF006026;PP001891</t>
  </si>
  <si>
    <t>8/2/2023</t>
  </si>
  <si>
    <t>JLZL1279</t>
  </si>
  <si>
    <t>8/11/2023</t>
  </si>
  <si>
    <t>9/13/2023</t>
  </si>
  <si>
    <t>ID10-2241</t>
  </si>
  <si>
    <t>Metallic Print Faux Fur Comforter Set</t>
  </si>
  <si>
    <t>Blush/Gold</t>
  </si>
  <si>
    <t>PP001891;PF006028</t>
  </si>
  <si>
    <t>ASHFURNDS,BLK01,HDDS,JCPENNEY01,KOHLDSN,MACY02,NRTPORT,OVERSTOCK01,TGTDVS</t>
  </si>
  <si>
    <t>JLZL1280</t>
  </si>
  <si>
    <t>ID12-2247</t>
  </si>
  <si>
    <t>ID13-2512</t>
  </si>
  <si>
    <t>Nellie</t>
  </si>
  <si>
    <t>Summer</t>
  </si>
  <si>
    <t>Ellen</t>
  </si>
  <si>
    <t>3pcs Quilt Set</t>
  </si>
  <si>
    <t>ID13-2513</t>
  </si>
  <si>
    <t>4pcs Quilt Set</t>
  </si>
  <si>
    <t>5DS153-0051</t>
  </si>
  <si>
    <t>Neonova</t>
  </si>
  <si>
    <t>NGIN1192</t>
  </si>
  <si>
    <t>II110-0590</t>
  </si>
  <si>
    <t>Newport</t>
  </si>
  <si>
    <t>Wide Mid-Century Modern Lounge Chair Set of 2</t>
  </si>
  <si>
    <t>10/6/2025</t>
  </si>
  <si>
    <t>IKIY1177</t>
  </si>
  <si>
    <t>II110-0587</t>
  </si>
  <si>
    <t>8/30/2019</t>
  </si>
  <si>
    <t>II100-0588</t>
  </si>
  <si>
    <t>4/17/2018</t>
  </si>
  <si>
    <t>II110-0589</t>
  </si>
  <si>
    <t>5DS153-0037</t>
  </si>
  <si>
    <t>Nicolo</t>
  </si>
  <si>
    <t>12/23/2021</t>
  </si>
  <si>
    <t>AMAZONDS,AMERSIGNDS,JCPENNEY01,KOHLDSN,OLLIIX,ROOMECOM</t>
  </si>
  <si>
    <t>NGIN1100</t>
  </si>
  <si>
    <t>1/18/2022</t>
  </si>
  <si>
    <t>3/11/2022</t>
  </si>
  <si>
    <t>HH12-1873</t>
  </si>
  <si>
    <t>Nile</t>
  </si>
  <si>
    <t>3 Piece Cotton Sateen with Embroidery Duvet Set</t>
  </si>
  <si>
    <t>7/15/2025</t>
  </si>
  <si>
    <t>HUH10139</t>
  </si>
  <si>
    <t>HH10-1870</t>
  </si>
  <si>
    <t>4 Piece Cotton Sateen With Embroidery Oversized Comforter Set</t>
  </si>
  <si>
    <t>HUH10138</t>
  </si>
  <si>
    <t>HH12-1874</t>
  </si>
  <si>
    <t>HH10-1872</t>
  </si>
  <si>
    <t>BR55-5283</t>
  </si>
  <si>
    <t>Nonwoven</t>
  </si>
  <si>
    <t>BR55-5284</t>
  </si>
  <si>
    <t>BR55-5285</t>
  </si>
  <si>
    <t>BR55-5286</t>
  </si>
  <si>
    <t>BR55-5287</t>
  </si>
  <si>
    <t>BR55-5288</t>
  </si>
  <si>
    <t>LA70-0182</t>
  </si>
  <si>
    <t>Laura Ashley</t>
  </si>
  <si>
    <t>Nora</t>
  </si>
  <si>
    <t>Shower Curtain - Duck 160gsm</t>
  </si>
  <si>
    <t>LA70-0181</t>
  </si>
  <si>
    <t>MP10-1249</t>
  </si>
  <si>
    <t>Northfield</t>
  </si>
  <si>
    <t>Longford</t>
  </si>
  <si>
    <t>Cotton Twill Stain Release Down Blend Comforter</t>
  </si>
  <si>
    <t>PF002074</t>
  </si>
  <si>
    <t>JCPENNEY01,KOHLDSN,MACY02,OVERSTOCK01,TGTDVS,WALMARTDS</t>
  </si>
  <si>
    <t>ANEW3992</t>
  </si>
  <si>
    <t>2/24/2015</t>
  </si>
  <si>
    <t>MP10-1250</t>
  </si>
  <si>
    <t>HSNDS,JCPENNEY01,KOHLDSN,OVERSTOCK01,TGTDVS</t>
  </si>
  <si>
    <t>MP10-1251</t>
  </si>
  <si>
    <t>FINGERHUTDS,HSNDS,OLLIIX,OVERSTOCK01</t>
  </si>
  <si>
    <t>II73-1255</t>
  </si>
  <si>
    <t>Atlas</t>
  </si>
  <si>
    <t>Rhett</t>
  </si>
  <si>
    <t>Cotton Dobby Slub 6 Piece Towel Set</t>
  </si>
  <si>
    <t>PP001772;PF005718</t>
  </si>
  <si>
    <t>AMAZONDS,DLBRAND,JCPENNEY01,MACY02,NRTPORT,OLLIIX,TGTDVS</t>
  </si>
  <si>
    <t>IKIY1082</t>
  </si>
  <si>
    <t>4/26/2024</t>
  </si>
  <si>
    <t>II95F-0164</t>
  </si>
  <si>
    <t>Natural Rattan Round Wall Mirror</t>
  </si>
  <si>
    <t>35.80"x35.80x1.20"</t>
  </si>
  <si>
    <t>II95F-0165</t>
  </si>
  <si>
    <t xml:space="preserve">Natural Rattan Arched  Wall Mirror</t>
  </si>
  <si>
    <t>39.00x26.00x1.20"</t>
  </si>
  <si>
    <t>II100-0585</t>
  </si>
  <si>
    <t>Novak</t>
  </si>
  <si>
    <t>Mid-Century Modern Accent Armchair Set of 2</t>
  </si>
  <si>
    <t>Spice</t>
  </si>
  <si>
    <t>1/6/2022</t>
  </si>
  <si>
    <t>IKIY1175</t>
  </si>
  <si>
    <t>4/13/2024</t>
  </si>
  <si>
    <t>ID20-1435</t>
  </si>
  <si>
    <t>Print Sheet Set</t>
  </si>
  <si>
    <t>Grey Llamas</t>
  </si>
  <si>
    <t>PP000909;PF004368</t>
  </si>
  <si>
    <t>5/10/2018</t>
  </si>
  <si>
    <t>MACK1101</t>
  </si>
  <si>
    <t>ID20-1436</t>
  </si>
  <si>
    <t>12/13/2018</t>
  </si>
  <si>
    <t>ID20-1437</t>
  </si>
  <si>
    <t>10/30/2018</t>
  </si>
  <si>
    <t>ID20-1427</t>
  </si>
  <si>
    <t>TXL</t>
  </si>
  <si>
    <t>Grey/Blue Road Trip</t>
  </si>
  <si>
    <t>PP000909;PF004366</t>
  </si>
  <si>
    <t>7/16/2018</t>
  </si>
  <si>
    <t>BR73-3753</t>
  </si>
  <si>
    <t>Nuage</t>
  </si>
  <si>
    <t>Cotton Tencel Blend Antimicrobial 6 Piece Towel Set</t>
  </si>
  <si>
    <t>PP001792;PF005772</t>
  </si>
  <si>
    <t>11/22/2022</t>
  </si>
  <si>
    <t>AMAZONDS,JCPENNEY01,KOHLDSN,MACY02,OLLIIX,TGTDVS,ZOLA</t>
  </si>
  <si>
    <t>TCKF1569</t>
  </si>
  <si>
    <t>LCN73-0132</t>
  </si>
  <si>
    <t>Nurture</t>
  </si>
  <si>
    <t>Sustainable Antimicrobial Bath Towel 6 Piece Set</t>
  </si>
  <si>
    <t>PP001624;PF005453</t>
  </si>
  <si>
    <t>12/4/2025</t>
  </si>
  <si>
    <t>HDDS,JCPENNEY01,MACY02,OLLIIX,OVERSTOCK01,TGTDVS,ZOLA</t>
  </si>
  <si>
    <t>CEAH1019</t>
  </si>
  <si>
    <t>LCN73-0131</t>
  </si>
  <si>
    <t>PP001624;PF005452</t>
  </si>
  <si>
    <t>HDDS,JCPENNEY01,KOHLDSN,MACY02,OLLIIX,OVERSTOCK01,TGTDVS,ZOLA</t>
  </si>
  <si>
    <t>MPS10-515</t>
  </si>
  <si>
    <t>Oasis</t>
  </si>
  <si>
    <t>Oversized Chenille Jacquard Striped Comforter Set with Euro Shams and Throw Pillows</t>
  </si>
  <si>
    <t>PF006076</t>
  </si>
  <si>
    <t>AMAZON,AMAZONDS,MACY02,NRTPORT,OLLIIX,OVERSTOCK01</t>
  </si>
  <si>
    <t>NCWB1249</t>
  </si>
  <si>
    <t>ID10-2300</t>
  </si>
  <si>
    <t>Oliver</t>
  </si>
  <si>
    <t>Cationic Dyed Clip Jacquard Comforter Set with Throw Pillow</t>
  </si>
  <si>
    <t>PF006163</t>
  </si>
  <si>
    <t>AMAZON,HDDS,JCPENNEY01,KOHLDSN,MACY02,OVERSTOCK01,TGTDVS</t>
  </si>
  <si>
    <t>JLZL1332</t>
  </si>
  <si>
    <t>5/6/2025</t>
  </si>
  <si>
    <t>MP10-8724</t>
  </si>
  <si>
    <t>Ophelia</t>
  </si>
  <si>
    <t>Sibley</t>
  </si>
  <si>
    <t>8PCS Comforter Set</t>
  </si>
  <si>
    <t>5/15/2025</t>
  </si>
  <si>
    <t>NCWA2774</t>
  </si>
  <si>
    <t>FB150-1190</t>
  </si>
  <si>
    <t>Opulentia</t>
  </si>
  <si>
    <t>9-light Round Tiered Chandelier with Textured Glass Shades</t>
  </si>
  <si>
    <t>HTN10030</t>
  </si>
  <si>
    <t>10/5/2024</t>
  </si>
  <si>
    <t>II151-0139</t>
  </si>
  <si>
    <t>Natural Rope and Metal Mesh Cylinder Pendant</t>
  </si>
  <si>
    <t>Natural/Black</t>
  </si>
  <si>
    <t>IKIY1092</t>
  </si>
  <si>
    <t>1/9/2025</t>
  </si>
  <si>
    <t>WR10-3839</t>
  </si>
  <si>
    <t>Orlen</t>
  </si>
  <si>
    <t>PP001848;PF005913</t>
  </si>
  <si>
    <t>11/7/2022</t>
  </si>
  <si>
    <t>AMAZONDS,MACY02</t>
  </si>
  <si>
    <t>XBYB1048</t>
  </si>
  <si>
    <t>11/10/2022</t>
  </si>
  <si>
    <t>WR10-3843</t>
  </si>
  <si>
    <t>PP001848;PF005914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</si>
  <si>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</si>
  <si>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</si>
  <si>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</si>
  <si>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</si>
  <si>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</si>
  <si>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</si>
  <si>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</si>
  <si>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NCWA2616</t>
  </si>
  <si>
    <t>MP10-8376</t>
  </si>
  <si>
    <t>5/6/2024</t>
  </si>
  <si>
    <t>CH121-1003</t>
  </si>
  <si>
    <t>Oval</t>
  </si>
  <si>
    <t>CAPQ1044</t>
  </si>
  <si>
    <t>6/11/2025</t>
  </si>
  <si>
    <t>CH120-1001</t>
  </si>
  <si>
    <t>Occasional Table</t>
  </si>
  <si>
    <t>Accent Table</t>
  </si>
  <si>
    <t>CAPQ1043</t>
  </si>
  <si>
    <t>4/25/2025</t>
  </si>
  <si>
    <t>BR20-4174</t>
  </si>
  <si>
    <t>Oversized Cotton Flannel</t>
  </si>
  <si>
    <t>4 Piece Sheet Set</t>
  </si>
  <si>
    <t>PP001510;PF006052</t>
  </si>
  <si>
    <t>TCKF1507</t>
  </si>
  <si>
    <t>10/5/2023</t>
  </si>
  <si>
    <t>BR20-4668</t>
  </si>
  <si>
    <t>PP001510;PF006333</t>
  </si>
  <si>
    <t>BR20-4670</t>
  </si>
  <si>
    <t>BR20-1862</t>
  </si>
  <si>
    <t>Grey Petals</t>
  </si>
  <si>
    <t>PP001510;PF005127</t>
  </si>
  <si>
    <t>9/2/2020</t>
  </si>
  <si>
    <t>9/10/2020</t>
  </si>
  <si>
    <t>10/12/2020</t>
  </si>
  <si>
    <t>BR20-1863</t>
  </si>
  <si>
    <t>11/1/2020</t>
  </si>
  <si>
    <t>BR20-1855</t>
  </si>
  <si>
    <t>PP001510;PF005123</t>
  </si>
  <si>
    <t>11/16/2020</t>
  </si>
  <si>
    <t>BR20-1849</t>
  </si>
  <si>
    <t>PP001510;PF005126</t>
  </si>
  <si>
    <t>AMAZONDS,DESINC,FINGERHUTDS,HDDS,JCPENNEY01,KOHLDSN,MACY02,TGTDVS,ZOLA</t>
  </si>
  <si>
    <t>10/8/2020</t>
  </si>
  <si>
    <t>BR20-1850</t>
  </si>
  <si>
    <t>BLK01,DESINC,HDDS,JCPENNEY01,KOHLDSN,MACY02,OLLIIX,TGTDVS,ZOLA</t>
  </si>
  <si>
    <t>11/17/2020</t>
  </si>
  <si>
    <t>BR20-1851</t>
  </si>
  <si>
    <t>AMAZONDS,DESINC,JCPENNEY01,MACY02</t>
  </si>
  <si>
    <t>11/27/2020</t>
  </si>
  <si>
    <t>BR20-4672</t>
  </si>
  <si>
    <t>Rust Floral</t>
  </si>
  <si>
    <t>PP001510;PF006334</t>
  </si>
  <si>
    <t>BR20-4675</t>
  </si>
  <si>
    <t>BR20-4679</t>
  </si>
  <si>
    <t>PP001510;PF006335</t>
  </si>
  <si>
    <t>BR20-1846</t>
  </si>
  <si>
    <t>Seafoam Solid</t>
  </si>
  <si>
    <t>PP001510;PF005124</t>
  </si>
  <si>
    <t>AMAZONDS,BLK01,JCPENNEY01,KOHLDSN,MACY02,OLLIIX,TGTDVS,ZOLA</t>
  </si>
  <si>
    <t>12/6/2021</t>
  </si>
  <si>
    <t>BR20-4167</t>
  </si>
  <si>
    <t>PP001510;PF006051</t>
  </si>
  <si>
    <t>BR20-4168</t>
  </si>
  <si>
    <t>BR20-4170</t>
  </si>
  <si>
    <t>10/23/2023</t>
  </si>
  <si>
    <t>MP12-5992</t>
  </si>
  <si>
    <t>Pacey</t>
  </si>
  <si>
    <t>Nollie</t>
  </si>
  <si>
    <t>3 Piece Tufted Cotton Chenille Geometric Duvet Cover Set</t>
  </si>
  <si>
    <t>Off-White</t>
  </si>
  <si>
    <t>PF004350;PP000942</t>
  </si>
  <si>
    <t>7/10/2018</t>
  </si>
  <si>
    <t>AMAZON,BLK01,JCPENNEY01,KOHLDSN,MACY02,TGTDVS,ZOLA</t>
  </si>
  <si>
    <t>HGLN2429</t>
  </si>
  <si>
    <t>7/25/2018</t>
  </si>
  <si>
    <t>9/4/2018</t>
  </si>
  <si>
    <t>MP95B-0224</t>
  </si>
  <si>
    <t>Paper Cloaked Leaves</t>
  </si>
  <si>
    <t>Metal Framed Decor Panel</t>
  </si>
  <si>
    <t>9/13/2019</t>
  </si>
  <si>
    <t>AMAZON,AMERSIGNDS,JCPENNEY01,KIRKLANDDS,KOHLDSN,LAMPDS,OLLIIX,TGTDVS</t>
  </si>
  <si>
    <t>NCWA1726</t>
  </si>
  <si>
    <t>12/3/2019</t>
  </si>
  <si>
    <t>BASI50-0427</t>
  </si>
  <si>
    <t>Parker</t>
  </si>
  <si>
    <t>Williams</t>
  </si>
  <si>
    <t>Oversized Plush Down Alternative Filled Throw</t>
  </si>
  <si>
    <t>PF002130;PP000483</t>
  </si>
  <si>
    <t>ASHFURNDS,JCPENNEY01,KOHLDSN,MACY02,OLLIIX,OVERSTOCK01,TGTDVS,WALMARTDS</t>
  </si>
  <si>
    <t>WRMG3907</t>
  </si>
  <si>
    <t>9/30/2016</t>
  </si>
  <si>
    <t>MPE10-826</t>
  </si>
  <si>
    <t>Parkston</t>
  </si>
  <si>
    <t>Hartford</t>
  </si>
  <si>
    <t>3M Scotchgard Down Alternative All Season Comforter Set</t>
  </si>
  <si>
    <t>Black/White</t>
  </si>
  <si>
    <t>PF004814;PP001340</t>
  </si>
  <si>
    <t>8/26/2019</t>
  </si>
  <si>
    <t>ANDV4795</t>
  </si>
  <si>
    <t>11/13/2019</t>
  </si>
  <si>
    <t>MPE10-947</t>
  </si>
  <si>
    <t>PP001340;PF005480</t>
  </si>
  <si>
    <t>AMAZON,AMAZONDS,DESINC,KOHLDSN,MACY02,TGTDVS</t>
  </si>
  <si>
    <t>1/5/2022</t>
  </si>
  <si>
    <t>II95B-0159</t>
  </si>
  <si>
    <t>Paths Collide</t>
  </si>
  <si>
    <t>Textured Framed Carved Resin Dimensional Wall Décor</t>
  </si>
  <si>
    <t>IKIY1150</t>
  </si>
  <si>
    <t>MP95C-0323</t>
  </si>
  <si>
    <t>Peaceful River</t>
  </si>
  <si>
    <t>Hand Embellished Framed Canvas Abstract Landscape Wall Art</t>
  </si>
  <si>
    <t>Green Multi</t>
  </si>
  <si>
    <t>AMAZON,AMAZONDS,DESINC,HDDS,MACY02,OLLIIX,OVERSTOCK01,TGTDVS,ZOLA</t>
  </si>
  <si>
    <t>NCWA2535</t>
  </si>
  <si>
    <t>2/20/2024</t>
  </si>
  <si>
    <t>MP20-5411</t>
  </si>
  <si>
    <t>Peached Percale</t>
  </si>
  <si>
    <t>200 Thread Count Relaxed Cotton Percale Sheet Set</t>
  </si>
  <si>
    <t>PF004094</t>
  </si>
  <si>
    <t>3/23/2018</t>
  </si>
  <si>
    <t>BEALLSDS,JCPENNEY01,KOHLDSN,MACY02,OLLIIX,TGTDVS</t>
  </si>
  <si>
    <t>RCLF2248</t>
  </si>
  <si>
    <t>4/8/2018</t>
  </si>
  <si>
    <t>MP20-5413</t>
  </si>
  <si>
    <t>3/27/2019</t>
  </si>
  <si>
    <t>MP20-5416</t>
  </si>
  <si>
    <t>7/3/2018</t>
  </si>
  <si>
    <t>MP20-5387</t>
  </si>
  <si>
    <t>PF004090</t>
  </si>
  <si>
    <t>MP20-5389</t>
  </si>
  <si>
    <t>BLK01,JCPENNEY01,KOHLDSN,MACY02,OLLIIX,TGTDVS</t>
  </si>
  <si>
    <t>12/13/2019</t>
  </si>
  <si>
    <t>MP20-5377</t>
  </si>
  <si>
    <t>PF004088</t>
  </si>
  <si>
    <t>7/2/2018</t>
  </si>
  <si>
    <t>MP20-5381</t>
  </si>
  <si>
    <t>12/7/2018</t>
  </si>
  <si>
    <t>MP20-6640</t>
  </si>
  <si>
    <t>PP001365;PF004864</t>
  </si>
  <si>
    <t>9/20/2019</t>
  </si>
  <si>
    <t>10/2/2019</t>
  </si>
  <si>
    <t>MP20-6643</t>
  </si>
  <si>
    <t>8/18/2021</t>
  </si>
  <si>
    <t>MP20-5386</t>
  </si>
  <si>
    <t>PF004089</t>
  </si>
  <si>
    <t>MP20-5404</t>
  </si>
  <si>
    <t>PF004092</t>
  </si>
  <si>
    <t>CH101-0056</t>
  </si>
  <si>
    <t>OTTOMAN</t>
  </si>
  <si>
    <t>Peggy</t>
  </si>
  <si>
    <t>Bench/Cocktail Ottoman With Table</t>
  </si>
  <si>
    <t>CAPQ1027</t>
  </si>
  <si>
    <t>CH101-0057</t>
  </si>
  <si>
    <t>CH101-0024</t>
  </si>
  <si>
    <t>Tweed/Multi</t>
  </si>
  <si>
    <t>CHM11-0011</t>
  </si>
  <si>
    <t>Perla</t>
  </si>
  <si>
    <t>10/20/2022</t>
  </si>
  <si>
    <t>DLCROSCILL,JCPENNEY01,MACY02,OLLIIX</t>
  </si>
  <si>
    <t>CJSC1001</t>
  </si>
  <si>
    <t>7/20/2023</t>
  </si>
  <si>
    <t>ID95C-0041</t>
  </si>
  <si>
    <t>Pet Portrait</t>
  </si>
  <si>
    <t>Bohemian Cat In Forest Framed Canvas Wall Art</t>
  </si>
  <si>
    <t>Bohemian Cat</t>
  </si>
  <si>
    <t>JLZL1294</t>
  </si>
  <si>
    <t>ID95C-0045</t>
  </si>
  <si>
    <t>Captain's Guard Pug Framed Canvas Wall Art</t>
  </si>
  <si>
    <t>Captain Pug</t>
  </si>
  <si>
    <t>JLZL1296</t>
  </si>
  <si>
    <t>ID95C-0047</t>
  </si>
  <si>
    <t>King Charles Spaniel III Framed Canvas Wall Art</t>
  </si>
  <si>
    <t>King Charles Spaniel III</t>
  </si>
  <si>
    <t>JLZL1299</t>
  </si>
  <si>
    <t>ID95C-0046</t>
  </si>
  <si>
    <t>Kitty Queen Charlotte Framed Canvas Wall Art</t>
  </si>
  <si>
    <t>Kitty Queen Charlotte</t>
  </si>
  <si>
    <t>JLZL1291</t>
  </si>
  <si>
    <t>4/23/2024</t>
  </si>
  <si>
    <t>ID95C-0044</t>
  </si>
  <si>
    <t>Bridger Kitty Framed Canvas Wall Art</t>
  </si>
  <si>
    <t>Queen Bridger</t>
  </si>
  <si>
    <t>AMAZON,KOHLDSN,OLLIIX,ROOMECOM,TGTDVS</t>
  </si>
  <si>
    <t>JLZL1293</t>
  </si>
  <si>
    <t>BR73-2439</t>
  </si>
  <si>
    <t>Plume</t>
  </si>
  <si>
    <t>100% Cotton Feather Touch Antimicrobial Towel 6 Piece Set</t>
  </si>
  <si>
    <t>PP001590;PF005340</t>
  </si>
  <si>
    <t>5/24/2021</t>
  </si>
  <si>
    <t>DESINC,JCPENNEY01,MACY02,NORDSTRACKDS,OLLIIX,OVERSTOCK01,TGTDVS,ZOLA</t>
  </si>
  <si>
    <t>AAHR1067</t>
  </si>
  <si>
    <t>7/7/2021</t>
  </si>
  <si>
    <t>BR73-2436</t>
  </si>
  <si>
    <t>PP001590;PF005337</t>
  </si>
  <si>
    <t>AMAZON,JCPENNEY01,KOHLDSN,MACY02,OLLIIX,TGTDVS,ZOLA</t>
  </si>
  <si>
    <t>9/29/2021</t>
  </si>
  <si>
    <t>BR73-2435</t>
  </si>
  <si>
    <t>PP001590;PF005336</t>
  </si>
  <si>
    <t>BR72-3763</t>
  </si>
  <si>
    <t>Feather Touch Reversible Bath Rug</t>
  </si>
  <si>
    <t>21x34"</t>
  </si>
  <si>
    <t>11/4/2022</t>
  </si>
  <si>
    <t>AMAZONDS,JCPENNEY01,MACY02,OLLIIX,OVERSTOCK01,TGTDVS,ZOLA</t>
  </si>
  <si>
    <t>TCKF1567</t>
  </si>
  <si>
    <t>11/9/2022</t>
  </si>
  <si>
    <t>BR72-3764</t>
  </si>
  <si>
    <t>24x40"</t>
  </si>
  <si>
    <t>1/30/2023</t>
  </si>
  <si>
    <t>ST54-0083</t>
  </si>
  <si>
    <t>Plush Heated</t>
  </si>
  <si>
    <t>XS10549</t>
  </si>
  <si>
    <t>3/22/2021</t>
  </si>
  <si>
    <t>ST54-0084</t>
  </si>
  <si>
    <t>ST54-0085</t>
  </si>
  <si>
    <t>ST54-0087</t>
  </si>
  <si>
    <t>3/24/2021</t>
  </si>
  <si>
    <t>ST54-0131</t>
  </si>
  <si>
    <t>6/25/2021</t>
  </si>
  <si>
    <t>8/23/2021</t>
  </si>
  <si>
    <t>ST54-0121</t>
  </si>
  <si>
    <t>XS10551</t>
  </si>
  <si>
    <t>10/29/2021</t>
  </si>
  <si>
    <t>ST54-0126</t>
  </si>
  <si>
    <t>JCPENNEY01,KOHLDSN,OVERSTOCK01,TGTDVS,WALMARTDS</t>
  </si>
  <si>
    <t>ST54-0127</t>
  </si>
  <si>
    <t>BLK01,FINGERHUTDS,JCPENNEY01,KOHLDSN,MACY02,TGTDVS</t>
  </si>
  <si>
    <t>ST54-0128</t>
  </si>
  <si>
    <t>ST54-0120</t>
  </si>
  <si>
    <t>ST54-0091</t>
  </si>
  <si>
    <t>ST54-0092</t>
  </si>
  <si>
    <t>ST54-0093</t>
  </si>
  <si>
    <t>JCPENNEY01,KOHLDSN,OVERSTOCK01,WALMARTDS</t>
  </si>
  <si>
    <t>3/26/2021</t>
  </si>
  <si>
    <t>ST54-0076</t>
  </si>
  <si>
    <t>ST54-0095</t>
  </si>
  <si>
    <t>ST54-0097</t>
  </si>
  <si>
    <t>3/18/2021</t>
  </si>
  <si>
    <t>AM12-0155</t>
  </si>
  <si>
    <t>Porter</t>
  </si>
  <si>
    <t>Evans</t>
  </si>
  <si>
    <t>Walker</t>
  </si>
  <si>
    <t>Soft Washed Pleated Duvet Cover Set</t>
  </si>
  <si>
    <t>PP001927;PF006241</t>
  </si>
  <si>
    <t>3/29/2024</t>
  </si>
  <si>
    <t>AMAZON,AMAZONDS,BLK01,DESINC,HDDS,JCPENNEY01,KOHLDSN,MACY02,OVERSTOCK01,TGTDVS</t>
  </si>
  <si>
    <t>NGIN1144</t>
  </si>
  <si>
    <t>AM10-0467</t>
  </si>
  <si>
    <t>Soft Washed Pleated Comforter Set</t>
  </si>
  <si>
    <t>NGIN1145</t>
  </si>
  <si>
    <t>10/27/2024</t>
  </si>
  <si>
    <t>11/15/2024</t>
  </si>
  <si>
    <t>AM12-0443</t>
  </si>
  <si>
    <t>PP001927;PF006240</t>
  </si>
  <si>
    <t>AM10-0392</t>
  </si>
  <si>
    <t>PP001927;PF006422</t>
  </si>
  <si>
    <t>AMAZON,HDDS,JCPENNEY01,KOHLDSN,NRTPORT,OVERSTOCK01</t>
  </si>
  <si>
    <t>9/11/2024</t>
  </si>
  <si>
    <t>AM12-0410</t>
  </si>
  <si>
    <t>8/17/2024</t>
  </si>
  <si>
    <t>AMAZONDS,DESINC,KOHLDSN,MACY02</t>
  </si>
  <si>
    <t>AM12-0432</t>
  </si>
  <si>
    <t>AMAZON,DESINC,JCPENNEY01,KOHLDSN,MACY02,OVERSTOCK01</t>
  </si>
  <si>
    <t>AM12-0412</t>
  </si>
  <si>
    <t>AM12-0422</t>
  </si>
  <si>
    <t>PP001927;PF006150</t>
  </si>
  <si>
    <t>11/8/2024</t>
  </si>
  <si>
    <t>AM12-0407</t>
  </si>
  <si>
    <t>PP001927;PF006420</t>
  </si>
  <si>
    <t>AMAZONDS,BLK01,DESINC,KOHLDSN,MACY02,OVERSTOCK01</t>
  </si>
  <si>
    <t>AM12-0436</t>
  </si>
  <si>
    <t>PP001927;PF006423</t>
  </si>
  <si>
    <t>AM12-0419</t>
  </si>
  <si>
    <t>PP001927;PF006424</t>
  </si>
  <si>
    <t>AMAZONDS,DESINC,JCPENNEY01,KOHLDSN,MACY02,OVERSTOCK01</t>
  </si>
  <si>
    <t>AM12-0438</t>
  </si>
  <si>
    <t>AMAZON,DESINC,KOHLDSN</t>
  </si>
  <si>
    <t>1/10/2025</t>
  </si>
  <si>
    <t>AM10-0395</t>
  </si>
  <si>
    <t>PP001927;PF006421</t>
  </si>
  <si>
    <t>DESINC,KOHLDSN,MACY02,NRTPORT,OVERSTOCK01</t>
  </si>
  <si>
    <t>AM10-0454</t>
  </si>
  <si>
    <t>11/13/2024</t>
  </si>
  <si>
    <t>AM12-0414</t>
  </si>
  <si>
    <t>AM12-0415</t>
  </si>
  <si>
    <t>AM12-0440</t>
  </si>
  <si>
    <t>PP001927;PF006242</t>
  </si>
  <si>
    <t>AM12-0428</t>
  </si>
  <si>
    <t>PP001927;PF006419</t>
  </si>
  <si>
    <t>AM12-0406</t>
  </si>
  <si>
    <t>AMAZONDS,BLK01,DESINC,JCPENNEY01,KOHLDSN,MACY02,OVERSTOCK01</t>
  </si>
  <si>
    <t>AM12-0429</t>
  </si>
  <si>
    <t>5DS10-0296</t>
  </si>
  <si>
    <t>Kingwood</t>
  </si>
  <si>
    <t>Elmore</t>
  </si>
  <si>
    <t>8 Piece Embroidered Comforter Set</t>
  </si>
  <si>
    <t>PP001776;PF006374</t>
  </si>
  <si>
    <t>8/29/2024</t>
  </si>
  <si>
    <t>NGIN1126</t>
  </si>
  <si>
    <t>AM73-0241</t>
  </si>
  <si>
    <t>Premium Turkish Cotton</t>
  </si>
  <si>
    <t>500GSM Plush 2pc XL Towel Set</t>
  </si>
  <si>
    <t>PP001998;PF006434</t>
  </si>
  <si>
    <t>NGIN1227</t>
  </si>
  <si>
    <t>10/1/2024</t>
  </si>
  <si>
    <t>AM73-0240</t>
  </si>
  <si>
    <t>500GSM Plush Towel Set</t>
  </si>
  <si>
    <t>AM73-0227</t>
  </si>
  <si>
    <t>PP001998;PF006432</t>
  </si>
  <si>
    <t>AM73-0228</t>
  </si>
  <si>
    <t>AM73-0232</t>
  </si>
  <si>
    <t>PP001998;PF006433</t>
  </si>
  <si>
    <t>AM73-0230</t>
  </si>
  <si>
    <t>500GSM Plush 6pc Towel Set</t>
  </si>
  <si>
    <t>JCPENNEY01,KOHLDSN,MACY02,NRTPORT,OVERSTOCK01</t>
  </si>
  <si>
    <t>AM73-0231</t>
  </si>
  <si>
    <t>6/27/2025</t>
  </si>
  <si>
    <t>AM73-0238</t>
  </si>
  <si>
    <t>PP001998;PF006436</t>
  </si>
  <si>
    <t>AM73-0236</t>
  </si>
  <si>
    <t>AM73-0234</t>
  </si>
  <si>
    <t>PP001998;PF006435</t>
  </si>
  <si>
    <t>AM73-0226</t>
  </si>
  <si>
    <t>PP001998;PF006431</t>
  </si>
  <si>
    <t>AM73-0224</t>
  </si>
  <si>
    <t>JCPENNEY01,MACY02,NRTPORT,OLLIIX</t>
  </si>
  <si>
    <t>11/30/2024</t>
  </si>
  <si>
    <t>AM73-0225</t>
  </si>
  <si>
    <t>JCPENNEY01,MACY02,OLLIIX</t>
  </si>
  <si>
    <t>MPS10-600</t>
  </si>
  <si>
    <t>Prescott</t>
  </si>
  <si>
    <t>NCWB1280</t>
  </si>
  <si>
    <t>MP10-699</t>
  </si>
  <si>
    <t>Princeton</t>
  </si>
  <si>
    <t>Dartmouth</t>
  </si>
  <si>
    <t>Cambridge</t>
  </si>
  <si>
    <t>PF003392;PP000487</t>
  </si>
  <si>
    <t>Transitional|Glam/Luxury</t>
  </si>
  <si>
    <t>RBSD4377</t>
  </si>
  <si>
    <t>WR54-3257</t>
  </si>
  <si>
    <t>Elect Blanket</t>
  </si>
  <si>
    <t>Print Plush to Sherpa</t>
  </si>
  <si>
    <t>Aztec</t>
  </si>
  <si>
    <t>WR54-3256</t>
  </si>
  <si>
    <t>Deer</t>
  </si>
  <si>
    <t>WR54-3254</t>
  </si>
  <si>
    <t>WR54-3255</t>
  </si>
  <si>
    <t>Navy Plaid</t>
  </si>
  <si>
    <t>WR54-3253</t>
  </si>
  <si>
    <t>ID20-2365</t>
  </si>
  <si>
    <t>Printed Microfiber</t>
  </si>
  <si>
    <t>Beige Dotted Arches</t>
  </si>
  <si>
    <t>PP001852;PF006229</t>
  </si>
  <si>
    <t>RBSE3564</t>
  </si>
  <si>
    <t>ID20-2367</t>
  </si>
  <si>
    <t>ID20-2218</t>
  </si>
  <si>
    <t>Black Floral</t>
  </si>
  <si>
    <t>PP001852;PF005930</t>
  </si>
  <si>
    <t>3/2/2023</t>
  </si>
  <si>
    <t>ID20-2361</t>
  </si>
  <si>
    <t>Blush Waves</t>
  </si>
  <si>
    <t>PP001852;PF006228</t>
  </si>
  <si>
    <t>ID20-2364</t>
  </si>
  <si>
    <t>MPE20-1025</t>
  </si>
  <si>
    <t>Printed Satin</t>
  </si>
  <si>
    <t>Blue Marble</t>
  </si>
  <si>
    <t>PP001851;PF006096</t>
  </si>
  <si>
    <t>Satin</t>
  </si>
  <si>
    <t>BADI1281</t>
  </si>
  <si>
    <t>MPE20-999</t>
  </si>
  <si>
    <t>Gray Leopard</t>
  </si>
  <si>
    <t>PP001851;PF005928</t>
  </si>
  <si>
    <t>3/1/2023</t>
  </si>
  <si>
    <t>AMAZON,AMAZONDS,DESINC,KOHLDSN,MACY02,NRTPORT,TGTDVS</t>
  </si>
  <si>
    <t>MPE20-1000</t>
  </si>
  <si>
    <t>AMAZON,AMAZONDS,HDDS,HHGLOBALTTS,JCPENNEY01,KOHLDSN,MACY02,NRTPORT,OLLIIX,TGTDVS</t>
  </si>
  <si>
    <t>MPE20-1002</t>
  </si>
  <si>
    <t>AMAZON,JCPENNEY01,KIRKLANDDS,KOHLDSN,MACY02,NRTPORT,OLLIIX,OVERSTOCK01,TGTDVS</t>
  </si>
  <si>
    <t>7/19/2023</t>
  </si>
  <si>
    <t>MPE20-992</t>
  </si>
  <si>
    <t>Taupe Leopard</t>
  </si>
  <si>
    <t>PP001851;PF005927</t>
  </si>
  <si>
    <t>AMAZON,AMAZONDS,HHGLOBALTTS,JCPENNEY01,KOHLDSN,MACY02,NRTPORT,TGTDVS</t>
  </si>
  <si>
    <t>MPE21-998</t>
  </si>
  <si>
    <t>Luxury 2 PC Pillowcases</t>
  </si>
  <si>
    <t>BADI1211</t>
  </si>
  <si>
    <t>3/26/2023</t>
  </si>
  <si>
    <t>4/26/2023</t>
  </si>
  <si>
    <t>MP13-8482</t>
  </si>
  <si>
    <t>Quebec</t>
  </si>
  <si>
    <t>Mansfield</t>
  </si>
  <si>
    <t>Vancouver</t>
  </si>
  <si>
    <t>3 Piece Reversible Quilt Set</t>
  </si>
  <si>
    <t>Clay Red</t>
  </si>
  <si>
    <t>PP000640</t>
  </si>
  <si>
    <t>7/17/2024</t>
  </si>
  <si>
    <t>AMAZONDS,BLK01,JCPENNEY01,MACY02,OLLIIX,TGTDVS</t>
  </si>
  <si>
    <t>CHMB2542</t>
  </si>
  <si>
    <t>MP13-480</t>
  </si>
  <si>
    <t>PF002442;PP000488</t>
  </si>
  <si>
    <t>AMAZONDS,BLK01,HSNDS,JCPENNEY01,KOHLDSN,MACY02,OVERSTOCK01,TGTDVS</t>
  </si>
  <si>
    <t>MP13-6131</t>
  </si>
  <si>
    <t>3 Piece Reversible Bedspread Set</t>
  </si>
  <si>
    <t>PF002402;PP000488</t>
  </si>
  <si>
    <t>ANDV5108</t>
  </si>
  <si>
    <t>2/7/2019</t>
  </si>
  <si>
    <t>MP40-8666</t>
  </si>
  <si>
    <t>Quincy</t>
  </si>
  <si>
    <t>Total Blackout Cordless Roman Shade</t>
  </si>
  <si>
    <t>3/6/2025</t>
  </si>
  <si>
    <t>NCWA2773</t>
  </si>
  <si>
    <t>MP40-8668</t>
  </si>
  <si>
    <t>MP40-8671</t>
  </si>
  <si>
    <t>MP40-8917</t>
  </si>
  <si>
    <t>MP40-8918</t>
  </si>
  <si>
    <t>MP40-8919</t>
  </si>
  <si>
    <t>MP40-8920</t>
  </si>
  <si>
    <t>MP40-8921</t>
  </si>
  <si>
    <t>MP40-8922</t>
  </si>
  <si>
    <t>MP40-8664</t>
  </si>
  <si>
    <t>6/12/2025</t>
  </si>
  <si>
    <t>MP40-8655</t>
  </si>
  <si>
    <t>6/26/2025</t>
  </si>
  <si>
    <t>MP40-8656</t>
  </si>
  <si>
    <t>MP40-8658</t>
  </si>
  <si>
    <t>ID70-1291</t>
  </si>
  <si>
    <t>Raina</t>
  </si>
  <si>
    <t>Khloe</t>
  </si>
  <si>
    <t>Arielle</t>
  </si>
  <si>
    <t>Printed Metallic Shower Curtain</t>
  </si>
  <si>
    <t>Aqua/Silver</t>
  </si>
  <si>
    <t>PF001694;PP000896</t>
  </si>
  <si>
    <t>7/19/2017</t>
  </si>
  <si>
    <t>HOUZZ,JCPENNEY01,KOHLDSN,MACY02,OLLIIX,TGTDVS</t>
  </si>
  <si>
    <t>WLAO3752</t>
  </si>
  <si>
    <t>8/3/2017</t>
  </si>
  <si>
    <t>ID70-1292</t>
  </si>
  <si>
    <t>PF001695;PP000896</t>
  </si>
  <si>
    <t>AMAZON,HDDS,JCPENNEY01,KOHLDSN,MACY02,OLLIIX,TGTDVS</t>
  </si>
  <si>
    <t>ID12-1510</t>
  </si>
  <si>
    <t>Metallic Printed Duvet Cover Set</t>
  </si>
  <si>
    <t>Ivory/Gold</t>
  </si>
  <si>
    <t>PP000896;PF004343</t>
  </si>
  <si>
    <t>6/22/2018</t>
  </si>
  <si>
    <t>AMAZON,AMAZONDS,HDDS,HHGLOBALTTS,JCPENNEY01,MACY02,NRTPORT,TGTDVS</t>
  </si>
  <si>
    <t>WLAO4349</t>
  </si>
  <si>
    <t>7/6/2018</t>
  </si>
  <si>
    <t>7/20/2018</t>
  </si>
  <si>
    <t>ID12-1511</t>
  </si>
  <si>
    <t>6/20/2018</t>
  </si>
  <si>
    <t>AMAZON,HDDS,JCPENNEY01,MACY02,NRTPORT,OLLIIX,TGTDVS</t>
  </si>
  <si>
    <t>ID12-1512</t>
  </si>
  <si>
    <t>7/30/2018</t>
  </si>
  <si>
    <t>ID10-1817</t>
  </si>
  <si>
    <t>Metallic Printed Comforter Set</t>
  </si>
  <si>
    <t>White/Silver</t>
  </si>
  <si>
    <t>PP000896;PF004928</t>
  </si>
  <si>
    <t>AMAZON,AMAZONDS,FINGERHUTDS,HDDS,MACY02,NRTPORT,OLLIIX,TGTDVS</t>
  </si>
  <si>
    <t>WLAO3751</t>
  </si>
  <si>
    <t>ID40-1808</t>
  </si>
  <si>
    <t>Total Blackout Metallic Print Grommet Top Curtain Panel</t>
  </si>
  <si>
    <t>AMAZON,DESINC,HHGLOBALTTS,JCPENNEY01,KOHLDSN,NRTPORT,OLLIIX,TGTDVS</t>
  </si>
  <si>
    <t>WLAO4351</t>
  </si>
  <si>
    <t>10/3/2019</t>
  </si>
  <si>
    <t>BASI30-0524</t>
  </si>
  <si>
    <t>Pillow Insert</t>
  </si>
  <si>
    <t>Rayon from Bamboo</t>
  </si>
  <si>
    <t>Shredded Memory Foam Pillow with Rayon from Bamboo Blend Cover</t>
  </si>
  <si>
    <t>PP000941</t>
  </si>
  <si>
    <t>4/13/2018</t>
  </si>
  <si>
    <t>BLK01,HDDS,JCPENNEY01,KOHLDSN,MACY02,OLLIIX,ZOLA</t>
  </si>
  <si>
    <t>TCNC1001</t>
  </si>
  <si>
    <t>5/15/2018</t>
  </si>
  <si>
    <t>6/11/2018</t>
  </si>
  <si>
    <t>BASI30-0525</t>
  </si>
  <si>
    <t>6/15/2018</t>
  </si>
  <si>
    <t>SHET20-1118</t>
  </si>
  <si>
    <t>4PC Sheet Set</t>
  </si>
  <si>
    <t>PF002332</t>
  </si>
  <si>
    <t>Bamboo</t>
  </si>
  <si>
    <t>4/26/2017</t>
  </si>
  <si>
    <t>AMAZON,JCPENNEY01,MACY02,OLLIIX</t>
  </si>
  <si>
    <t>MTNA4194</t>
  </si>
  <si>
    <t>6/12/2017</t>
  </si>
  <si>
    <t>CH120-1003</t>
  </si>
  <si>
    <t>Reagan</t>
  </si>
  <si>
    <t>Wheat/Slate</t>
  </si>
  <si>
    <t>CAPQ1013</t>
  </si>
  <si>
    <t>ID10-2298</t>
  </si>
  <si>
    <t>Remy</t>
  </si>
  <si>
    <t>Alden</t>
  </si>
  <si>
    <t>Sutton</t>
  </si>
  <si>
    <t>Quilted Chevron Comforter Set</t>
  </si>
  <si>
    <t>PP001931;PF006162</t>
  </si>
  <si>
    <t>2/22/2024</t>
  </si>
  <si>
    <t>AMAZON,JCPENNEY01,MACY02,OLLIIX,TGTDVS</t>
  </si>
  <si>
    <t>JLZL1313</t>
  </si>
  <si>
    <t>3/22/2024</t>
  </si>
  <si>
    <t>ID10-2299</t>
  </si>
  <si>
    <t>ID10-2297</t>
  </si>
  <si>
    <t>PP001931;PF006161</t>
  </si>
  <si>
    <t>II12-1102</t>
  </si>
  <si>
    <t>Rhea</t>
  </si>
  <si>
    <t>Cotton Jacquard Duvet Cover Mini Set</t>
  </si>
  <si>
    <t>Grey/Black</t>
  </si>
  <si>
    <t>PF005086;PP001731</t>
  </si>
  <si>
    <t>AMAZON,OVERSTOCK01,TGTDVS</t>
  </si>
  <si>
    <t>ALMN1338</t>
  </si>
  <si>
    <t>4/10/2020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</si>
  <si>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</si>
  <si>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</si>
  <si>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</si>
  <si>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</si>
  <si>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</si>
  <si>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</si>
  <si>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</si>
  <si>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</si>
  <si>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NCWA2599</t>
  </si>
  <si>
    <t>MP10-8372</t>
  </si>
  <si>
    <t>4 Piece Stripe Comforter Set with Throw Pillow</t>
  </si>
  <si>
    <t>2/17/2024</t>
  </si>
  <si>
    <t>AMAZON,AMAZONDS,JCPENNEY01,KOHLDSN,OLLIIX,TGTDVS</t>
  </si>
  <si>
    <t>NCWA2598</t>
  </si>
  <si>
    <t>MP10-8400</t>
  </si>
  <si>
    <t>Riordan</t>
  </si>
  <si>
    <t>Ellis</t>
  </si>
  <si>
    <t>Waffle Knit Chenille Comforter Set</t>
  </si>
  <si>
    <t>PP001944;PF006196</t>
  </si>
  <si>
    <t>NCWA2706</t>
  </si>
  <si>
    <t>MP10-8401</t>
  </si>
  <si>
    <t>HDDS,JCPENNEY01,KOHLDSN,LOWESDS,MACY02,OLLIIX,TGTDVS</t>
  </si>
  <si>
    <t>MP10-8892</t>
  </si>
  <si>
    <t>Cable Knit Chenille Comforter Set</t>
  </si>
  <si>
    <t>8/20/2025</t>
  </si>
  <si>
    <t>NCWA2803</t>
  </si>
  <si>
    <t>MP10-8893</t>
  </si>
  <si>
    <t>MP10-8894</t>
  </si>
  <si>
    <t>MP10-8889</t>
  </si>
  <si>
    <t>MP10-8890</t>
  </si>
  <si>
    <t>MP10-8891</t>
  </si>
  <si>
    <t>MP10-8886</t>
  </si>
  <si>
    <t>Olive</t>
  </si>
  <si>
    <t>MP10-8887</t>
  </si>
  <si>
    <t>MP10-8888</t>
  </si>
  <si>
    <t>MP10-8652</t>
  </si>
  <si>
    <t>Riva</t>
  </si>
  <si>
    <t>Faye</t>
  </si>
  <si>
    <t>3/27/2025</t>
  </si>
  <si>
    <t>HDDS,KOHLDSN,MACY02,OVERSTOCK01</t>
  </si>
  <si>
    <t>NCWA2764</t>
  </si>
  <si>
    <t>MP10-8653</t>
  </si>
  <si>
    <t>3/29/2025</t>
  </si>
  <si>
    <t>MP10-8697</t>
  </si>
  <si>
    <t>MP10-8644</t>
  </si>
  <si>
    <t>MP10-8645</t>
  </si>
  <si>
    <t>MP75-0009</t>
  </si>
  <si>
    <t>Fashion Towel</t>
  </si>
  <si>
    <t>Roan Border</t>
  </si>
  <si>
    <t>6 Piece Towel Set</t>
  </si>
  <si>
    <t>White/Aqua</t>
  </si>
  <si>
    <t>11/2/2025</t>
  </si>
  <si>
    <t>MP72-8468</t>
  </si>
  <si>
    <t>Tufted Bath Rug</t>
  </si>
  <si>
    <t>17x24"</t>
  </si>
  <si>
    <t>MP72-8469</t>
  </si>
  <si>
    <t>MP72-8470</t>
  </si>
  <si>
    <t>24x36"</t>
  </si>
  <si>
    <t>MP72-8471</t>
  </si>
  <si>
    <t>24x48"</t>
  </si>
  <si>
    <t>MP75-0006</t>
  </si>
  <si>
    <t>White/Beige</t>
  </si>
  <si>
    <t>MP72-8460</t>
  </si>
  <si>
    <t>MP72-8461</t>
  </si>
  <si>
    <t>MP72-8462</t>
  </si>
  <si>
    <t>MP72-8463</t>
  </si>
  <si>
    <t>MP72-8464</t>
  </si>
  <si>
    <t>MP72-8465</t>
  </si>
  <si>
    <t>MP72-8466</t>
  </si>
  <si>
    <t>MP72-8467</t>
  </si>
  <si>
    <t>MP72-8472</t>
  </si>
  <si>
    <t>White/Navy</t>
  </si>
  <si>
    <t>MP72-8473</t>
  </si>
  <si>
    <t>MP72-8474</t>
  </si>
  <si>
    <t>MP72-8475</t>
  </si>
  <si>
    <t>MP75-0007</t>
  </si>
  <si>
    <t>White/Seafoam</t>
  </si>
  <si>
    <t>MP75-0008</t>
  </si>
  <si>
    <t>MP75-0005</t>
  </si>
  <si>
    <t>White/White</t>
  </si>
  <si>
    <t>ID10-2432</t>
  </si>
  <si>
    <t>Robbie</t>
  </si>
  <si>
    <t>Roger</t>
  </si>
  <si>
    <t>Rick</t>
  </si>
  <si>
    <t>Plaid Comforter Set with Bed Sheets</t>
  </si>
  <si>
    <t>Teal/Black</t>
  </si>
  <si>
    <t>PP001972;PF006282</t>
  </si>
  <si>
    <t>AMAZON,AMAZONDS,HDDS,JCPENNEY01,KIRKLANDDS,KOHLDSN,MACY02,OVERSTOCK01,TGTDVS</t>
  </si>
  <si>
    <t>BKWT2127</t>
  </si>
  <si>
    <t>ID10-2433</t>
  </si>
  <si>
    <t>10/24/2024</t>
  </si>
  <si>
    <t>II120-0608</t>
  </si>
  <si>
    <t>Rocket</t>
  </si>
  <si>
    <t>wood &amp; tempered glass coffee table</t>
  </si>
  <si>
    <t>PF000178;PP000049</t>
  </si>
  <si>
    <t>MP120-0401B</t>
  </si>
  <si>
    <t>Rockport</t>
  </si>
  <si>
    <t>Antonio</t>
  </si>
  <si>
    <t>Zarick</t>
  </si>
  <si>
    <t>44"W x 22"D x 16.25"H</t>
  </si>
  <si>
    <t>MP120-0401A</t>
  </si>
  <si>
    <t>44"Wx 22D" x 1.125"T</t>
  </si>
  <si>
    <t>Marble</t>
  </si>
  <si>
    <t>II95C-0061</t>
  </si>
  <si>
    <t>Rolling Waves</t>
  </si>
  <si>
    <t>PF001917</t>
  </si>
  <si>
    <t>AMERSIGNDS,ASHFURNDS,HDDS,KIRKLANDDS,MACY02,OLLIIX,ROOMECOM,TGTDVS</t>
  </si>
  <si>
    <t>WLAO4268</t>
  </si>
  <si>
    <t>MPP10-001</t>
  </si>
  <si>
    <t>Madison Park Pure</t>
  </si>
  <si>
    <t>Ronan</t>
  </si>
  <si>
    <t>Dermot</t>
  </si>
  <si>
    <t>Dierdre</t>
  </si>
  <si>
    <t>5 Piece Cotton Comforter Set</t>
  </si>
  <si>
    <t>PF001381;PP000494</t>
  </si>
  <si>
    <t>Casual|Global Inspired</t>
  </si>
  <si>
    <t>AMAZON,AMAZONDS,BEALLSDS,JCPENNEY01,KOHLDSN,MACY02,OLLIIX,OVERSTOCK01,TGTDVS</t>
  </si>
  <si>
    <t>TRPT3926</t>
  </si>
  <si>
    <t>MZ10-0653</t>
  </si>
  <si>
    <t>Rosalie</t>
  </si>
  <si>
    <t>Jenna</t>
  </si>
  <si>
    <t>Audrey</t>
  </si>
  <si>
    <t>Metallic Printed Plush Comforter Set with Throw Pillow</t>
  </si>
  <si>
    <t>PP000980;PF006273</t>
  </si>
  <si>
    <t>NDHA1001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</si>
  <si>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</si>
  <si>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</si>
  <si>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</si>
  <si>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</si>
  <si>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</si>
  <si>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</si>
  <si>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</si>
  <si>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HMPT3546</t>
  </si>
  <si>
    <t>5/14/2018</t>
  </si>
  <si>
    <t>MP40-5644</t>
  </si>
  <si>
    <t>PP000857;PF004199</t>
  </si>
  <si>
    <t>AMAZON,BLK01,JCPENNEY01,KOHLDSN,OLLIIX,TGTDVS</t>
  </si>
  <si>
    <t>4/25/2018</t>
  </si>
  <si>
    <t>MP50-8272</t>
  </si>
  <si>
    <t>Waffle Knit Chenille Throw</t>
  </si>
  <si>
    <t>PP001876;PF005987</t>
  </si>
  <si>
    <t>NCWA2525</t>
  </si>
  <si>
    <t>MP50-8269</t>
  </si>
  <si>
    <t>PP001876;PF005984</t>
  </si>
  <si>
    <t>CH10-017</t>
  </si>
  <si>
    <t>Rustic Stripe</t>
  </si>
  <si>
    <t>Pending</t>
  </si>
  <si>
    <t>CH10-018</t>
  </si>
  <si>
    <t>MPE10-1196</t>
  </si>
  <si>
    <t>Saben</t>
  </si>
  <si>
    <t>Barret</t>
  </si>
  <si>
    <t>Seth</t>
  </si>
  <si>
    <t>7 Piece Comforter Set with Cotton Bed Sheets</t>
  </si>
  <si>
    <t>MPE13-1206</t>
  </si>
  <si>
    <t>6 Piece Quilt Set with Cotton Bed Sheets</t>
  </si>
  <si>
    <t>MPE10-1197</t>
  </si>
  <si>
    <t>MPE13-1207</t>
  </si>
  <si>
    <t>8 Piece Quilt Set with Cotton Bed Sheets</t>
  </si>
  <si>
    <t>MPE10-1198</t>
  </si>
  <si>
    <t>MPE13-1208</t>
  </si>
  <si>
    <t>MPE10-1199</t>
  </si>
  <si>
    <t>MPE13-1209</t>
  </si>
  <si>
    <t>MPE10-1200</t>
  </si>
  <si>
    <t>MPE13-1210</t>
  </si>
  <si>
    <t>II151-0120</t>
  </si>
  <si>
    <t>saben</t>
  </si>
  <si>
    <t>2-Tier Layered Shade Pendant</t>
  </si>
  <si>
    <t>Gold/White</t>
  </si>
  <si>
    <t>JLZF1310</t>
  </si>
  <si>
    <t>MPE10-1201</t>
  </si>
  <si>
    <t>MPE13-1211</t>
  </si>
  <si>
    <t>MPE10-1202</t>
  </si>
  <si>
    <t>MPE13-1212</t>
  </si>
  <si>
    <t>MPE10-1203</t>
  </si>
  <si>
    <t>MPE13-1213</t>
  </si>
  <si>
    <t>MPE10-1204</t>
  </si>
  <si>
    <t>MPE13-1214</t>
  </si>
  <si>
    <t>MPE10-1205</t>
  </si>
  <si>
    <t>MPE13-1215</t>
  </si>
  <si>
    <t>MPE10-163</t>
  </si>
  <si>
    <t>PF003676;PP000497</t>
  </si>
  <si>
    <t>AMAZONDS,DLBRAND,JCPENNEY01,KOHLDSN,OVERSTOCK01,TGTDVS</t>
  </si>
  <si>
    <t>TRNT2911</t>
  </si>
  <si>
    <t>2/26/2016</t>
  </si>
  <si>
    <t>MPE13-168</t>
  </si>
  <si>
    <t>TRNT2914</t>
  </si>
  <si>
    <t>2/16/2016</t>
  </si>
  <si>
    <t>CC30-0032</t>
  </si>
  <si>
    <t>Sable</t>
  </si>
  <si>
    <t>Solid Faux Fur Square Decor Pillow</t>
  </si>
  <si>
    <t>Golden</t>
  </si>
  <si>
    <t>CFSC1003</t>
  </si>
  <si>
    <t>3/8/2023</t>
  </si>
  <si>
    <t>CC30-0031</t>
  </si>
  <si>
    <t>HDDS,JCPENNEY01,MACY02</t>
  </si>
  <si>
    <t>6/5/2023</t>
  </si>
  <si>
    <t>CH100-0049</t>
  </si>
  <si>
    <t>Sabrina</t>
  </si>
  <si>
    <t>CAPQ1026</t>
  </si>
  <si>
    <t>CH100-0010</t>
  </si>
  <si>
    <t>CH100-0048</t>
  </si>
  <si>
    <t>MP50-6877</t>
  </si>
  <si>
    <t>Sachi</t>
  </si>
  <si>
    <t>Aina</t>
  </si>
  <si>
    <t>Oversized Faux Fur Throw</t>
  </si>
  <si>
    <t>PP001429;PF004987</t>
  </si>
  <si>
    <t>12/11/2019</t>
  </si>
  <si>
    <t>ASHFURNDS,HSNDS,JCPENNEY01,KOHLDSN,MACY02,OLLIIX,OVERSTOCK01,TGTDVS,ZOLA</t>
  </si>
  <si>
    <t>MCRF4137</t>
  </si>
  <si>
    <t>MP50-4906</t>
  </si>
  <si>
    <t>PF003527</t>
  </si>
  <si>
    <t>8/23/2017</t>
  </si>
  <si>
    <t>AMERSIGNDS,ASHFURNDS,BLK01,FINGERHUTDS,HSNDS,JCPENNEY01,KOHLDSN,MACY02,OLLIIX,OVERSTOCK01,TGTDVS</t>
  </si>
  <si>
    <t>9/26/2017</t>
  </si>
  <si>
    <t>NS30-3259</t>
  </si>
  <si>
    <t>Sakura Blossom</t>
  </si>
  <si>
    <t>Embroidered Cotton Oblong Decorative Pillow</t>
  </si>
  <si>
    <t>Lilac</t>
  </si>
  <si>
    <t>PP000992;PF004458</t>
  </si>
  <si>
    <t>9/28/2018</t>
  </si>
  <si>
    <t>HUH10009</t>
  </si>
  <si>
    <t>12/10/2018</t>
  </si>
  <si>
    <t>MP10-8708</t>
  </si>
  <si>
    <t>Salara</t>
  </si>
  <si>
    <t>Isadora</t>
  </si>
  <si>
    <t>7 Piece Vintage Floral Comforter Set</t>
  </si>
  <si>
    <t>5/3/2025</t>
  </si>
  <si>
    <t>NCWA2775</t>
  </si>
  <si>
    <t>7/22/2025</t>
  </si>
  <si>
    <t>MP40-8460</t>
  </si>
  <si>
    <t>Samara</t>
  </si>
  <si>
    <t>Valentina</t>
  </si>
  <si>
    <t>Poly Printed Curtain Panel with Tufted Stripe and Lining</t>
  </si>
  <si>
    <t>White/Brown</t>
  </si>
  <si>
    <t>PP001969;PF006278</t>
  </si>
  <si>
    <t>AMAZON,AMAZONDS,JCPENNEY01</t>
  </si>
  <si>
    <t>NCWA2715</t>
  </si>
  <si>
    <t>MP40-8461</t>
  </si>
  <si>
    <t>AMAZON,AMAZONDS,JCPENNEY01,NRTPORT</t>
  </si>
  <si>
    <t>CH130-1001</t>
  </si>
  <si>
    <t>Santa</t>
  </si>
  <si>
    <t>Barbara Accent Cabinet</t>
  </si>
  <si>
    <t>Brown/Black/Beige</t>
  </si>
  <si>
    <t>CAPQ1004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</si>
  <si>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</si>
  <si>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</si>
  <si>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</si>
  <si>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</si>
  <si>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</si>
  <si>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</si>
  <si>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</si>
  <si>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AMAZON,JCPENNEY01,KOHLDSN,OLLIIX,TGTDVS</t>
  </si>
  <si>
    <t>TRPT7195</t>
  </si>
  <si>
    <t>MP40-2409</t>
  </si>
  <si>
    <t>Khaki/Black</t>
  </si>
  <si>
    <t>PF004003;PP000501</t>
  </si>
  <si>
    <t>MP40-2404</t>
  </si>
  <si>
    <t>Seafoam/White</t>
  </si>
  <si>
    <t>PF004002;PP000501</t>
  </si>
  <si>
    <t>1/13/2017</t>
  </si>
  <si>
    <t>MPE20-1134</t>
  </si>
  <si>
    <t>Luxury Sheet Set</t>
  </si>
  <si>
    <t>PP001032;PF006318</t>
  </si>
  <si>
    <t>DESINC,JCPENNEY01,KOHLDSN,MACY02,NRTPORT,TGTDVS</t>
  </si>
  <si>
    <t>BADI1280</t>
  </si>
  <si>
    <t>MPE20-1158</t>
  </si>
  <si>
    <t>PP001032;PF006317</t>
  </si>
  <si>
    <t>AMAZON,DESINC,JCPENNEY01,KOHLDSN,NRTPORT,OLLIIX</t>
  </si>
  <si>
    <t>MPE20-1160</t>
  </si>
  <si>
    <t>8/8/2024</t>
  </si>
  <si>
    <t>DLBRAND,NRTPORT</t>
  </si>
  <si>
    <t>MPE21-1164</t>
  </si>
  <si>
    <t>8/4/2025</t>
  </si>
  <si>
    <t>KOHLDSN,MACY02,NRTPORT,TGTDVS</t>
  </si>
  <si>
    <t>MPE20-1161</t>
  </si>
  <si>
    <t>MPE21-1163</t>
  </si>
  <si>
    <t>AMAZON,KOHLDSN,MACY02,NRTPORT,TGTDVS</t>
  </si>
  <si>
    <t>MPE21-1150</t>
  </si>
  <si>
    <t>Emerald</t>
  </si>
  <si>
    <t>PP001032;PF006387</t>
  </si>
  <si>
    <t>HHGLOBALTTS,KOHLDSN,MACY02,NRTPORT,TGTDVS</t>
  </si>
  <si>
    <t>2/19/2025</t>
  </si>
  <si>
    <t>MPE21-1149</t>
  </si>
  <si>
    <t>MPE20-1099</t>
  </si>
  <si>
    <t>PP001032;PF004512</t>
  </si>
  <si>
    <t>AMAZON,BLK01,DESINC,HHGLOBALTTS,JCPENNEY01,KOHLDSN,MACY02,NRTPORT,OVERSTOCK01</t>
  </si>
  <si>
    <t>MPE20-1102</t>
  </si>
  <si>
    <t>PP001032;PF005159</t>
  </si>
  <si>
    <t>AMAZONDS,DLBRAND,JCPENNEY01,KOHLDSN,MACY02,NRTPORT,OVERSTOCK01,TGTDVS</t>
  </si>
  <si>
    <t>MPE20-1103</t>
  </si>
  <si>
    <t>PP001032;PF005160</t>
  </si>
  <si>
    <t>MPE20-1151</t>
  </si>
  <si>
    <t>PP001032;PF006315</t>
  </si>
  <si>
    <t>AMAZON,BLK01,JCPENNEY01,KOHLDSN,MACY02,NRTPORT,OVERSTOCK01,TGTDVS</t>
  </si>
  <si>
    <t>MPE21-1157</t>
  </si>
  <si>
    <t>MPE20-1155</t>
  </si>
  <si>
    <t>AMAZON,JCPENNEY01,MACY02,NRTPORT,OVERSTOCK01</t>
  </si>
  <si>
    <t>MPE21-1156</t>
  </si>
  <si>
    <t>MPE21-1143</t>
  </si>
  <si>
    <t>Midnight Blue</t>
  </si>
  <si>
    <t>PP001032</t>
  </si>
  <si>
    <t>MPE21-1142</t>
  </si>
  <si>
    <t>MPE20-1123</t>
  </si>
  <si>
    <t>PP001032;PF006319</t>
  </si>
  <si>
    <t>AMAZON,BLK01,DESINC,JCPENNEY01,KOHLDSN,MACY02,NRTPORT</t>
  </si>
  <si>
    <t>MPE21-1129</t>
  </si>
  <si>
    <t>MPE20-1127</t>
  </si>
  <si>
    <t>MPE21-1128</t>
  </si>
  <si>
    <t>AMAZONDS,KOHLDSN,MACY02,NRTPORT,TGTDVS</t>
  </si>
  <si>
    <t>MPE20-1101</t>
  </si>
  <si>
    <t>PP001032;PF005158</t>
  </si>
  <si>
    <t>JCPENNEY01,KOHLDSN,MACY02,NRTPORT,OVERSTOCK01,TGTDVS</t>
  </si>
  <si>
    <t>FB150-1163</t>
  </si>
  <si>
    <t>Savor</t>
  </si>
  <si>
    <t>6-Light Traditional Candelabra Styled Chandelier</t>
  </si>
  <si>
    <t>HTN10010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</si>
  <si>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</si>
  <si>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</si>
  <si>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</si>
  <si>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</si>
  <si>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</si>
  <si>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</si>
  <si>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NCWA2438</t>
  </si>
  <si>
    <t>12/13/2022</t>
  </si>
  <si>
    <t>CH30-0029</t>
  </si>
  <si>
    <t>Scarlett</t>
  </si>
  <si>
    <t>CAPQ1030</t>
  </si>
  <si>
    <t>CH103-0005</t>
  </si>
  <si>
    <t>CAPQ1012</t>
  </si>
  <si>
    <t>CH30-0030</t>
  </si>
  <si>
    <t>CH103-0044</t>
  </si>
  <si>
    <t>CH130-1010</t>
  </si>
  <si>
    <t>Serena</t>
  </si>
  <si>
    <t>Glass Cabinet Mw/Dr/Pv</t>
  </si>
  <si>
    <t>Brown/Taupe</t>
  </si>
  <si>
    <t>CAPQ1003</t>
  </si>
  <si>
    <t>II12-1216</t>
  </si>
  <si>
    <t>3 Piece Cotton Printed Duvet Cover Set w/ trims</t>
  </si>
  <si>
    <t>PP001725;PF005641</t>
  </si>
  <si>
    <t>AMAZONDS,HHGLOBALTTS,JCPENNEY01,KOHLDSN,NRTPORT,OVERSTOCK01,TGTDVS</t>
  </si>
  <si>
    <t>JLZF1269</t>
  </si>
  <si>
    <t>12/13/2021</t>
  </si>
  <si>
    <t>MP40-4209</t>
  </si>
  <si>
    <t>Serene</t>
  </si>
  <si>
    <t>Belle</t>
  </si>
  <si>
    <t>Embroidered Curtain Panel</t>
  </si>
  <si>
    <t>PF003404;PP000505</t>
  </si>
  <si>
    <t>AMAZON,AMAZONDS,BLK01,JCPENNEY01,KOHLDSN,OVERSTOCK01,TGTDVS</t>
  </si>
  <si>
    <t>DBYH6405</t>
  </si>
  <si>
    <t>4/13/2017</t>
  </si>
  <si>
    <t>MP10-309</t>
  </si>
  <si>
    <t>Embroidered 7 Piece Comforter Set</t>
  </si>
  <si>
    <t>PF003399;PP000505</t>
  </si>
  <si>
    <t>Traditional|Casual</t>
  </si>
  <si>
    <t>DRBC5853</t>
  </si>
  <si>
    <t>1/4/2015</t>
  </si>
  <si>
    <t>MP40-1531</t>
  </si>
  <si>
    <t>AMAZON,AMAZONDS,BLK01,DESINC,HSNDS,JCPENNEY01,KOHLDSN,OLLIIX,TGTDVS</t>
  </si>
  <si>
    <t>6/25/2015</t>
  </si>
  <si>
    <t>MP72-8341</t>
  </si>
  <si>
    <t>PP001960;PF006244</t>
  </si>
  <si>
    <t>9/22/2025</t>
  </si>
  <si>
    <t>NCWA2617</t>
  </si>
  <si>
    <t>4/30/2024</t>
  </si>
  <si>
    <t>MP40-5478</t>
  </si>
  <si>
    <t>PF003405;PP000505</t>
  </si>
  <si>
    <t>1/3/2018</t>
  </si>
  <si>
    <t>AMAZON,AMAZONDS,BLK01,JCPENNEY01,KOHLDSN,OLLIIX,WALMARTDS</t>
  </si>
  <si>
    <t>MP41-5479</t>
  </si>
  <si>
    <t>Embroidered Window Valance</t>
  </si>
  <si>
    <t>50x18"</t>
  </si>
  <si>
    <t>AMAZON,DESINC,JCPENNEY01,KOHLDSN,OLLIIX,OVERSTOCK01,TGTDVS,WALMARTDS</t>
  </si>
  <si>
    <t>DRBC5857</t>
  </si>
  <si>
    <t>II10-1325</t>
  </si>
  <si>
    <t>Shay</t>
  </si>
  <si>
    <t>3 Piece Striped Cotton Comforter Set</t>
  </si>
  <si>
    <t>PP001961;PF006246</t>
  </si>
  <si>
    <t>6/5/2024</t>
  </si>
  <si>
    <t>AMAZON,AMAZONDS,DLBRAND,JCPENNEY01,KOHLDSN,OLLIIX,ZOLA</t>
  </si>
  <si>
    <t>IKIY1190</t>
  </si>
  <si>
    <t>TN54-0496</t>
  </si>
  <si>
    <t>Sherpa</t>
  </si>
  <si>
    <t>PP001893;PF006038</t>
  </si>
  <si>
    <t>SLPH1144</t>
  </si>
  <si>
    <t>TN54-0503</t>
  </si>
  <si>
    <t>PP001893;PF006040</t>
  </si>
  <si>
    <t>TN54-0505</t>
  </si>
  <si>
    <t>TN54-0506</t>
  </si>
  <si>
    <t>1/3/2024</t>
  </si>
  <si>
    <t>TN54-0500</t>
  </si>
  <si>
    <t>PP001893;PF006039</t>
  </si>
  <si>
    <t>TN54-0501</t>
  </si>
  <si>
    <t>TN54-0502</t>
  </si>
  <si>
    <t>TN54-0491</t>
  </si>
  <si>
    <t>PP001893;PF006037</t>
  </si>
  <si>
    <t>BLK01,HDDS,JCPENNEY01,KOHLDSN,OVERSTOCK01,TGTDVS</t>
  </si>
  <si>
    <t>TN54-0493</t>
  </si>
  <si>
    <t>TN54-0494</t>
  </si>
  <si>
    <t>MT120-0190</t>
  </si>
  <si>
    <t>Shiloh</t>
  </si>
  <si>
    <t>CC10-0018</t>
  </si>
  <si>
    <t>Signature</t>
  </si>
  <si>
    <t>Dobby Cotton Down Alternative Comforter</t>
  </si>
  <si>
    <t>AMAZON,HDDS,JCPENNEY01,KOHLDSN,MACY02,OLLIIX</t>
  </si>
  <si>
    <t>CFSC1000</t>
  </si>
  <si>
    <t>CC16-0021</t>
  </si>
  <si>
    <t>Dobby Cotton Waterproof Mattress Pad</t>
  </si>
  <si>
    <t>CFSC1001</t>
  </si>
  <si>
    <t>3/5/2023</t>
  </si>
  <si>
    <t>5/24/2023</t>
  </si>
  <si>
    <t>CCS20-018</t>
  </si>
  <si>
    <t>Signature Hem</t>
  </si>
  <si>
    <t>300TC Cotton Sheet Set</t>
  </si>
  <si>
    <t>CFSC1018</t>
  </si>
  <si>
    <t>MP21-7479</t>
  </si>
  <si>
    <t>Silk</t>
  </si>
  <si>
    <t>100% Mulberry Single Pillowcase</t>
  </si>
  <si>
    <t>PP001555;PF005228</t>
  </si>
  <si>
    <t>6/21/2021</t>
  </si>
  <si>
    <t>NCWA1910</t>
  </si>
  <si>
    <t>8/26/2021</t>
  </si>
  <si>
    <t>10/28/2022</t>
  </si>
  <si>
    <t>MP21-7272</t>
  </si>
  <si>
    <t>PP001555;PF005229</t>
  </si>
  <si>
    <t>10/13/2020</t>
  </si>
  <si>
    <t>12/6/2020</t>
  </si>
  <si>
    <t>MP75-0003</t>
  </si>
  <si>
    <t>Skyler</t>
  </si>
  <si>
    <t>MP75-0002</t>
  </si>
  <si>
    <t>MP75-0004</t>
  </si>
  <si>
    <t>MP75-0001</t>
  </si>
  <si>
    <t>SHET20-971</t>
  </si>
  <si>
    <t>Smart Cool Microfiber</t>
  </si>
  <si>
    <t>PF002218</t>
  </si>
  <si>
    <t>Coolmax</t>
  </si>
  <si>
    <t>BLK01,JCPENNEY01,KOHLDSN,NRTPORT,OLLIIX,TGTDVS</t>
  </si>
  <si>
    <t>THRE9286</t>
  </si>
  <si>
    <t>9/16/2016</t>
  </si>
  <si>
    <t>11/23/2016</t>
  </si>
  <si>
    <t>SHET20-972</t>
  </si>
  <si>
    <t>BLK01,FINGERHUTDS,HDDS,JCPENNEY01,KOHLDSN,MACY02,NRTPORT,OLLIIX,TGTDVS,ZOLA</t>
  </si>
  <si>
    <t>SHET20-973</t>
  </si>
  <si>
    <t>BLK01,JCPENNEY01,KOHLDSN,MACY02,NRTPORT,OLLIIX,TGTDVS,ZOLA</t>
  </si>
  <si>
    <t>SHET20-974</t>
  </si>
  <si>
    <t>SHET20-960</t>
  </si>
  <si>
    <t>PF002216</t>
  </si>
  <si>
    <t>10/12/2016</t>
  </si>
  <si>
    <t>SHET20-963</t>
  </si>
  <si>
    <t>AMAZON,BEALLSDS,DLBRAND,JCPENNEY01,KOHLDSN,MACY02,NRTPORT,OLLIIX,OVERSTOCK01,TGTDVS,ZOLA</t>
  </si>
  <si>
    <t>SHET20-964</t>
  </si>
  <si>
    <t>AMAZON,AMAZONDS,BLK01,JCPENNEY01,KOHLDSN,NRTPORT,OLLIIX,OVERSTOCK01,TGTDVS</t>
  </si>
  <si>
    <t>1/4/2018</t>
  </si>
  <si>
    <t>SHET20-975</t>
  </si>
  <si>
    <t>PF002219</t>
  </si>
  <si>
    <t>NRTPORT</t>
  </si>
  <si>
    <t>SHET20-977</t>
  </si>
  <si>
    <t>5/26/2017</t>
  </si>
  <si>
    <t>BLK01,FINGERHUTDS,JCPENNEY01,KOHLDSN,MACY02,NRTPORT,OLLIIX,TGTDVS,ZOLA</t>
  </si>
  <si>
    <t>10/18/2016</t>
  </si>
  <si>
    <t>SHET20-978</t>
  </si>
  <si>
    <t>BLK01,HDDS,JCPENNEY01,KOHLDSN,MACY02,NRTPORT,OLLIIX,OVERSTOCK01,TGTDVS,ZOLA</t>
  </si>
  <si>
    <t>SHET20-1184</t>
  </si>
  <si>
    <t>PP001565;PF005246</t>
  </si>
  <si>
    <t>12/21/2020</t>
  </si>
  <si>
    <t>HDDS,JCPENNEY01,KOHLDSN,MACY02,NRTPORT,OLLIIX,TGTDVS</t>
  </si>
  <si>
    <t>1/25/2021</t>
  </si>
  <si>
    <t>SHET20-1187</t>
  </si>
  <si>
    <t>BLK01,DLBRAND,JCPENNEY01,KOHLDSN,MACY02,NRTPORT,OLLIIX,TGTDVS</t>
  </si>
  <si>
    <t>5/9/2021</t>
  </si>
  <si>
    <t>SHET20-965</t>
  </si>
  <si>
    <t>PF002217</t>
  </si>
  <si>
    <t>BEALLSDS,KOHLDSN,MACY02,NRTPORT,OLLIIX,TGTDVS</t>
  </si>
  <si>
    <t>SHET20-967</t>
  </si>
  <si>
    <t>BEALLSDS,BLK01,FINGERHUTDS,HDDS,JCPENNEY01,KOHLDSN,MACY02,NRTPORT,OLLIIX,OVERSTOCK01,TGTDVS,ZOLA</t>
  </si>
  <si>
    <t>10/3/2016</t>
  </si>
  <si>
    <t>BL20-0601</t>
  </si>
  <si>
    <t>Soloft Plush</t>
  </si>
  <si>
    <t>Micro Plush Sheet Set</t>
  </si>
  <si>
    <t>PF001708</t>
  </si>
  <si>
    <t>AMAZON,KOHLDSN,OLLIIX</t>
  </si>
  <si>
    <t>CHLH5831</t>
  </si>
  <si>
    <t>12/16/2015</t>
  </si>
  <si>
    <t>BL20-0602</t>
  </si>
  <si>
    <t>AMAZON,AMAZONDS,KOHLDSN,MACY02,OLLIIX</t>
  </si>
  <si>
    <t>11/4/2015</t>
  </si>
  <si>
    <t>BL20-0603</t>
  </si>
  <si>
    <t>12/15/2015</t>
  </si>
  <si>
    <t>BL20-0453</t>
  </si>
  <si>
    <t>PF001697</t>
  </si>
  <si>
    <t>10/19/2015</t>
  </si>
  <si>
    <t>BL20-0454</t>
  </si>
  <si>
    <t>AMAZONDS,DESINC,KOHLDSN,OLLIIX</t>
  </si>
  <si>
    <t>10/14/2016</t>
  </si>
  <si>
    <t>BL20-0455</t>
  </si>
  <si>
    <t>AMAZONDS,JCPENNEY01,KOHLDSN,MACY02,NRTPORT,OLLIIX,OVERSTOCK01</t>
  </si>
  <si>
    <t>10/26/2015</t>
  </si>
  <si>
    <t>BL20-0456</t>
  </si>
  <si>
    <t>AMAZON,AMAZONDS,KOHLDSN,MACY02,NRTPORT,OLLIIX</t>
  </si>
  <si>
    <t>BL20-0449</t>
  </si>
  <si>
    <t>PF001675</t>
  </si>
  <si>
    <t>4/24/2015</t>
  </si>
  <si>
    <t>BL20-0450</t>
  </si>
  <si>
    <t>8/2/2017</t>
  </si>
  <si>
    <t>AMAZON,KOHLDSN,NRTPORT,OLLIIX</t>
  </si>
  <si>
    <t>BL20-0452</t>
  </si>
  <si>
    <t>AMAZON,DESINC,JCPENNEY01,KOHLDSN,MACY02,NRTPORT,OLLIIX</t>
  </si>
  <si>
    <t>10/16/2015</t>
  </si>
  <si>
    <t>TN20-0582</t>
  </si>
  <si>
    <t>PP001621;PF006391</t>
  </si>
  <si>
    <t>TN20-0583</t>
  </si>
  <si>
    <t>BL20-0457</t>
  </si>
  <si>
    <t>PF001686</t>
  </si>
  <si>
    <t>BL20-0458</t>
  </si>
  <si>
    <t>1/5/2016</t>
  </si>
  <si>
    <t>BL20-0460</t>
  </si>
  <si>
    <t>AMAZON,AMAZONDS,KOHLDSN,OLLIIX</t>
  </si>
  <si>
    <t>BL20-0869</t>
  </si>
  <si>
    <t>PF001719</t>
  </si>
  <si>
    <t>10/17/2016</t>
  </si>
  <si>
    <t>BL20-0872</t>
  </si>
  <si>
    <t>AMAZON,AMAZONDS,DESINC,KOHLDSN</t>
  </si>
  <si>
    <t>10/27/2016</t>
  </si>
  <si>
    <t>BL20-0445</t>
  </si>
  <si>
    <t>PF001663</t>
  </si>
  <si>
    <t>AMAZON,AMAZONDS,KOHLDSN,MACY02,WALMARTDS</t>
  </si>
  <si>
    <t>BL20-0446</t>
  </si>
  <si>
    <t>AMAZON,KOHLDSN,MACY02,OLLIIX,OVERSTOCK01,WALMARTDS</t>
  </si>
  <si>
    <t>11/16/2016</t>
  </si>
  <si>
    <t>TN20-0585</t>
  </si>
  <si>
    <t>PP001621;PF006392</t>
  </si>
  <si>
    <t>TN20-0586</t>
  </si>
  <si>
    <t>TN20-0588</t>
  </si>
  <si>
    <t>ID40-1797</t>
  </si>
  <si>
    <t>Lauren</t>
  </si>
  <si>
    <t>Ashley</t>
  </si>
  <si>
    <t>Pom Pom Embellished Curtain Panel</t>
  </si>
  <si>
    <t>PF001530;PP001619</t>
  </si>
  <si>
    <t>9/10/2019</t>
  </si>
  <si>
    <t>AMAZON,AMAZONDS,HDDS,KIRKLANDDS,OLLIIX,TGTDVS</t>
  </si>
  <si>
    <t>JLZL1119</t>
  </si>
  <si>
    <t>9/24/2019</t>
  </si>
  <si>
    <t>MP70-8555</t>
  </si>
  <si>
    <t>Spa Waffle</t>
  </si>
  <si>
    <t>Shower Curtain with 3M Treatment</t>
  </si>
  <si>
    <t>1/1/2025</t>
  </si>
  <si>
    <t>CHMB2458</t>
  </si>
  <si>
    <t>MP70-8553</t>
  </si>
  <si>
    <t>5/12/2025</t>
  </si>
  <si>
    <t>MP70-8554</t>
  </si>
  <si>
    <t>4/10/2025</t>
  </si>
  <si>
    <t>MP70-8563</t>
  </si>
  <si>
    <t>MP70-8561</t>
  </si>
  <si>
    <t>MP70-8557</t>
  </si>
  <si>
    <t>Dark Blue</t>
  </si>
  <si>
    <t>MPS72-592</t>
  </si>
  <si>
    <t>Splendor</t>
  </si>
  <si>
    <t>100% Cotton Tufted 3000 GSM Reversible Bath Rug</t>
  </si>
  <si>
    <t>NCWB1192</t>
  </si>
  <si>
    <t>MPS72-576</t>
  </si>
  <si>
    <t>24x44"</t>
  </si>
  <si>
    <t>AMAZON,AMAZONDS,MACY02,OLLIIX,OVERSTOCK01</t>
  </si>
  <si>
    <t>5/20/2025</t>
  </si>
  <si>
    <t>MPS72-568</t>
  </si>
  <si>
    <t>3/31/2025</t>
  </si>
  <si>
    <t>MPS72-571</t>
  </si>
  <si>
    <t>MPS72-570</t>
  </si>
  <si>
    <t>3/14/2025</t>
  </si>
  <si>
    <t>AMAZON,AMAZONDS,MACY02,OVERSTOCK01</t>
  </si>
  <si>
    <t>4/15/2025</t>
  </si>
  <si>
    <t>MPS72-572</t>
  </si>
  <si>
    <t>MPS72-587</t>
  </si>
  <si>
    <t>MPS72-581</t>
  </si>
  <si>
    <t>AMAZON,DLBRAND,MACY02,OVERSTOCK01</t>
  </si>
  <si>
    <t>MPS72-555</t>
  </si>
  <si>
    <t>3/12/2025</t>
  </si>
  <si>
    <t>ID12-2127</t>
  </si>
  <si>
    <t>Zuri</t>
  </si>
  <si>
    <t>Celestial Duvet Cover Set</t>
  </si>
  <si>
    <t>PF005672</t>
  </si>
  <si>
    <t>3/22/2022</t>
  </si>
  <si>
    <t>AMAZON,JCPENNEY01,OLLIIX,OVERSTOCK01,TGTDVS</t>
  </si>
  <si>
    <t>JLZL1247</t>
  </si>
  <si>
    <t>3/30/2022</t>
  </si>
  <si>
    <t>ID95C-0051</t>
  </si>
  <si>
    <t>Sunshine Animals</t>
  </si>
  <si>
    <t>Chicks Canvas Wall Art</t>
  </si>
  <si>
    <t>Chicks/Green Multi</t>
  </si>
  <si>
    <t>AMAZON,KOHLDSN,MACY02,OLLIIX,TGTDVS</t>
  </si>
  <si>
    <t>JLZL1304</t>
  </si>
  <si>
    <t>ID95C-0049</t>
  </si>
  <si>
    <t>Lamb Canvas Wall Art</t>
  </si>
  <si>
    <t>Lamb/Green Multi</t>
  </si>
  <si>
    <t>AMAZON,JCPENNEY01,KOHLDSN,OLLIIX,ROOMECOM,TGTDVS</t>
  </si>
  <si>
    <t>JLZL1303</t>
  </si>
  <si>
    <t>ID95C-0050</t>
  </si>
  <si>
    <t>Llama Canvas Wall Art</t>
  </si>
  <si>
    <t>Llama/Green Multi</t>
  </si>
  <si>
    <t>JLZL1302</t>
  </si>
  <si>
    <t>WR10-4108</t>
  </si>
  <si>
    <t>Sutherland</t>
  </si>
  <si>
    <t>Comforter 5pcs Set</t>
  </si>
  <si>
    <t>12/5/2025</t>
  </si>
  <si>
    <t>WR10-4109</t>
  </si>
  <si>
    <t>MP73-8897</t>
  </si>
  <si>
    <t>Sutton Stripe</t>
  </si>
  <si>
    <t>MP73-8898</t>
  </si>
  <si>
    <t>MP73-8896</t>
  </si>
  <si>
    <t>MP73-8895</t>
  </si>
  <si>
    <t>Soft Clay</t>
  </si>
  <si>
    <t>HH12-1347</t>
  </si>
  <si>
    <t>Suzanna</t>
  </si>
  <si>
    <t>PF003327</t>
  </si>
  <si>
    <t>HUH1556</t>
  </si>
  <si>
    <t>1/23/2015</t>
  </si>
  <si>
    <t>II104-0251</t>
  </si>
  <si>
    <t>Tacoma</t>
  </si>
  <si>
    <t>24" Counter stool</t>
  </si>
  <si>
    <t>PP000055</t>
  </si>
  <si>
    <t>1/31/2018</t>
  </si>
  <si>
    <t>HDDS,KOHLDSN,OLLIIX,ROOMECOM</t>
  </si>
  <si>
    <t>GRYL7216</t>
  </si>
  <si>
    <t>II12-1314</t>
  </si>
  <si>
    <t>Tahli</t>
  </si>
  <si>
    <t>3 Piece Cotton Blend Chenille Duvet Cover Set</t>
  </si>
  <si>
    <t>Green/Ivory</t>
  </si>
  <si>
    <t>PF006075</t>
  </si>
  <si>
    <t>11/19/2023</t>
  </si>
  <si>
    <t>FNDS4871</t>
  </si>
  <si>
    <t>12/14/2023</t>
  </si>
  <si>
    <t>CH30-0041</t>
  </si>
  <si>
    <t>Tara</t>
  </si>
  <si>
    <t>Solid Boucle Square Pillow</t>
  </si>
  <si>
    <t>CAPQ1033</t>
  </si>
  <si>
    <t>CH101-0055</t>
  </si>
  <si>
    <t>Round Storage Ottoman</t>
  </si>
  <si>
    <t>CAPQ1011</t>
  </si>
  <si>
    <t>CH30-0040</t>
  </si>
  <si>
    <t>CH101-0018</t>
  </si>
  <si>
    <t>3/2/2024</t>
  </si>
  <si>
    <t>WR54-1776</t>
  </si>
  <si>
    <t>Tasha</t>
  </si>
  <si>
    <t>Oversized Mink to Berber Heated Throw</t>
  </si>
  <si>
    <t>PF003453</t>
  </si>
  <si>
    <t>HDDS,HSNDS,JCPENNEY01,KOHLDSN,MACY02,NRTPORT,OLLIIX,OVERSTOCK01,WALMARTDS</t>
  </si>
  <si>
    <t>WLR1301</t>
  </si>
  <si>
    <t>MP13-6088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</si>
  <si>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</si>
  <si>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</si>
  <si>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</si>
  <si>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</si>
  <si>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</si>
  <si>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</si>
  <si>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</si>
  <si>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AMAZON,AMAZONDS,ASHFURNDS,BLK01,HSNDS,JCPENNEY01,KOHLDSN,MACY02,OLLIIX,OVERSTOCK01,TGTDVS</t>
  </si>
  <si>
    <t>NCWA1316</t>
  </si>
  <si>
    <t>1/10/2019</t>
  </si>
  <si>
    <t>MP13-8471</t>
  </si>
  <si>
    <t>PP001028;PF006311</t>
  </si>
  <si>
    <t>AMAZONDS,BLK01,JCPENNEY01,KOHLDSN,MACY02,OVERSTOCK01</t>
  </si>
  <si>
    <t>CH121-1002</t>
  </si>
  <si>
    <t>Trey</t>
  </si>
  <si>
    <t>Crossover Kitchen Table</t>
  </si>
  <si>
    <t>CAPQ1006</t>
  </si>
  <si>
    <t>CH120-1000</t>
  </si>
  <si>
    <t>CAPQ1014</t>
  </si>
  <si>
    <t>MPS73-532</t>
  </si>
  <si>
    <t>Turkish</t>
  </si>
  <si>
    <t>100% Cotton Bath Sheet 2 Piece Set</t>
  </si>
  <si>
    <t>35x70" - 2PK</t>
  </si>
  <si>
    <t>PP001361</t>
  </si>
  <si>
    <t>AMAZON,DLBRAND,JCPENNEY01,KOHLDSN,LOWESDS,MACY02,OLLIIX,OVERSTOCK01,ZOLA</t>
  </si>
  <si>
    <t>NCWB1163</t>
  </si>
  <si>
    <t>MPS73-533</t>
  </si>
  <si>
    <t>AMAZON,BLK01,HDDS,JCPENNEY01,KOHLDSN,MACY02,OLLIIX,ZOLA</t>
  </si>
  <si>
    <t>MPS73-534</t>
  </si>
  <si>
    <t>JCPENNEY01,KOHLDSN,MACY02,ZOLA</t>
  </si>
  <si>
    <t>MPS73-531</t>
  </si>
  <si>
    <t>AMAZON,BLK01,JCPENNEY01,KOHLDSN,MACY02,OVERSTOCK01,ZOLA</t>
  </si>
  <si>
    <t>AM14-0593</t>
  </si>
  <si>
    <t>Valerie</t>
  </si>
  <si>
    <t>Lorelei</t>
  </si>
  <si>
    <t>Rosalind</t>
  </si>
  <si>
    <t>Boho Floral Reversible Quilt</t>
  </si>
  <si>
    <t>AMAZON,AMAZONDS,DESINC</t>
  </si>
  <si>
    <t>NGIN1257</t>
  </si>
  <si>
    <t>AM14-0594</t>
  </si>
  <si>
    <t>AMAZON,DESINC</t>
  </si>
  <si>
    <t>AM14-0595</t>
  </si>
  <si>
    <t>AM14-0597</t>
  </si>
  <si>
    <t>AM14-0598</t>
  </si>
  <si>
    <t>II153-0162</t>
  </si>
  <si>
    <t>Veluna</t>
  </si>
  <si>
    <t>Textured Ceramic Table Lamp with Fluted Fabric Shade</t>
  </si>
  <si>
    <t>JLZF1402</t>
  </si>
  <si>
    <t>ID10-2342</t>
  </si>
  <si>
    <t>Velvet Dream Puff</t>
  </si>
  <si>
    <t>2 Piece Comforter Set</t>
  </si>
  <si>
    <t>PP001942;PF006191</t>
  </si>
  <si>
    <t>AMAZON,KOHLDSN,MACY02,OLLIIX,OVERSTOCK01,TGTDVS</t>
  </si>
  <si>
    <t>JLZL1333</t>
  </si>
  <si>
    <t>FB13-1027</t>
  </si>
  <si>
    <t>Velvet Touch</t>
  </si>
  <si>
    <t>3 Piece Luxurious Oversized Quilt Set</t>
  </si>
  <si>
    <t>PF003280</t>
  </si>
  <si>
    <t>5/2/2017</t>
  </si>
  <si>
    <t>HTN1278</t>
  </si>
  <si>
    <t>5/15/2017</t>
  </si>
  <si>
    <t>JLA13-499</t>
  </si>
  <si>
    <t>Peacock</t>
  </si>
  <si>
    <t>PF003273</t>
  </si>
  <si>
    <t>AMERSIGNDS,BLK01,KOHLDSN,MACY02,OLLIIX</t>
  </si>
  <si>
    <t>11/21/2015</t>
  </si>
  <si>
    <t>MP40-8462</t>
  </si>
  <si>
    <t>Veronica</t>
  </si>
  <si>
    <t>PP001970;PF006279</t>
  </si>
  <si>
    <t>AMAZON,JCPENNEY01,NRTPORT,OLLIIX</t>
  </si>
  <si>
    <t>NCWA2714</t>
  </si>
  <si>
    <t>5/5/2025</t>
  </si>
  <si>
    <t>MP40-8463</t>
  </si>
  <si>
    <t>MPS136-0311</t>
  </si>
  <si>
    <t>NIGHTSTAND</t>
  </si>
  <si>
    <t>Nightstand</t>
  </si>
  <si>
    <t>one-drawer wood bedside table with shelf</t>
  </si>
  <si>
    <t>NCWB1077</t>
  </si>
  <si>
    <t>MPS136-0321</t>
  </si>
  <si>
    <t>Reclaimed Grey</t>
  </si>
  <si>
    <t>5/29/2025</t>
  </si>
  <si>
    <t>MP10-503</t>
  </si>
  <si>
    <t>Vienna</t>
  </si>
  <si>
    <t>Marcella</t>
  </si>
  <si>
    <t>Adela</t>
  </si>
  <si>
    <t>PF003375;PP000530</t>
  </si>
  <si>
    <t>AMAZON,HDDS,JCPENNEY01,KOHLDSN,OVERSTOCK01,TGTDVS</t>
  </si>
  <si>
    <t>TRPT5932</t>
  </si>
  <si>
    <t>MP50-8255</t>
  </si>
  <si>
    <t>Vivienne</t>
  </si>
  <si>
    <t>Faux Fur Throw</t>
  </si>
  <si>
    <t>PP001889;PF006020</t>
  </si>
  <si>
    <t>8/1/2023</t>
  </si>
  <si>
    <t>NCWA2530</t>
  </si>
  <si>
    <t>MP50-8797</t>
  </si>
  <si>
    <t>MP50-8798</t>
  </si>
  <si>
    <t>MP50-8796</t>
  </si>
  <si>
    <t>CH10-015</t>
  </si>
  <si>
    <t>Waffle Stripe</t>
  </si>
  <si>
    <t>CH10-016</t>
  </si>
  <si>
    <t>BASI10-0293</t>
  </si>
  <si>
    <t>Warmer</t>
  </si>
  <si>
    <t>Cotton Down Alternative Featherless Comforter</t>
  </si>
  <si>
    <t>PF002093</t>
  </si>
  <si>
    <t>ANEW1117</t>
  </si>
  <si>
    <t>12/23/2015</t>
  </si>
  <si>
    <t>BASI10-0295</t>
  </si>
  <si>
    <t>12/28/2015</t>
  </si>
  <si>
    <t>MP105-1270</t>
  </si>
  <si>
    <t>Welburn</t>
  </si>
  <si>
    <t>49.5" Upholstered Bench with Back &amp; Wood Legs</t>
  </si>
  <si>
    <t>PP000350</t>
  </si>
  <si>
    <t>AMAZONDS,KOHLDSN,OVERSTOCK01</t>
  </si>
  <si>
    <t>WRSE2402</t>
  </si>
  <si>
    <t>5/14/2025</t>
  </si>
  <si>
    <t>HHD10-1915</t>
  </si>
  <si>
    <t>White Goose Down</t>
  </si>
  <si>
    <t>100% Cotton Shell Comforter</t>
  </si>
  <si>
    <t>HUH10143</t>
  </si>
  <si>
    <t>HHD10-1916</t>
  </si>
  <si>
    <t>MP120-0971</t>
  </si>
  <si>
    <t>Larris</t>
  </si>
  <si>
    <t>Lana</t>
  </si>
  <si>
    <t>Cocktail Table</t>
  </si>
  <si>
    <t>6/11/2020</t>
  </si>
  <si>
    <t>NCWA1877</t>
  </si>
  <si>
    <t>7/17/2020</t>
  </si>
  <si>
    <t>MP13-8704</t>
  </si>
  <si>
    <t>Esme</t>
  </si>
  <si>
    <t>Lavinia</t>
  </si>
  <si>
    <t>3PCS Bedspread Set</t>
  </si>
  <si>
    <t>NCWA2784</t>
  </si>
  <si>
    <t>MP13-8705</t>
  </si>
  <si>
    <t>MP13-8702</t>
  </si>
  <si>
    <t>MP13-8703</t>
  </si>
  <si>
    <t>DLBRAND,MACY02,OLLIIX</t>
  </si>
  <si>
    <t>CCL30-0034</t>
  </si>
  <si>
    <t>Winchester</t>
  </si>
  <si>
    <t>DLCROSCILL,JCPENNEY01,MACY02,OVERSTOCK01</t>
  </si>
  <si>
    <t>CKSC1009</t>
  </si>
  <si>
    <t>MP51-8500</t>
  </si>
  <si>
    <t>Windom</t>
  </si>
  <si>
    <t>Prospect</t>
  </si>
  <si>
    <t>Lightweight Down Alternative Blanket with Satin Trim</t>
  </si>
  <si>
    <t>PP001377;PF006380</t>
  </si>
  <si>
    <t>ACOT4539</t>
  </si>
  <si>
    <t>MP51-8648</t>
  </si>
  <si>
    <t>PF006380</t>
  </si>
  <si>
    <t>2/22/2025</t>
  </si>
  <si>
    <t>10/9/2025</t>
  </si>
  <si>
    <t>MP51-8649</t>
  </si>
  <si>
    <t>Orange</t>
  </si>
  <si>
    <t>3/11/2025</t>
  </si>
  <si>
    <t>II95C-0158</t>
  </si>
  <si>
    <t>Windswept</t>
  </si>
  <si>
    <t>Hand Embellished Highland Bull Canvas Wall Art</t>
  </si>
  <si>
    <t>IKIY1148</t>
  </si>
  <si>
    <t>MP10-8366</t>
  </si>
  <si>
    <t>Winfield</t>
  </si>
  <si>
    <t>Westport</t>
  </si>
  <si>
    <t>300 Thread Count Cotton Shell Luxury Down Alternative Comforter</t>
  </si>
  <si>
    <t>PP001919;PF006134</t>
  </si>
  <si>
    <t>AMAZON,DLBRAND,JCPENNEY01,KOHLDSN,MACY02,NRTPORT,TGTDVS</t>
  </si>
  <si>
    <t>AGRV3902</t>
  </si>
  <si>
    <t>CHM40-0023</t>
  </si>
  <si>
    <t>Winslow</t>
  </si>
  <si>
    <t>Floral Curtain Panel (Single)</t>
  </si>
  <si>
    <t>CJSC1002</t>
  </si>
  <si>
    <t>MP13-8812</t>
  </si>
  <si>
    <t>Winter</t>
  </si>
  <si>
    <t>Holly</t>
  </si>
  <si>
    <t>Jolly</t>
  </si>
  <si>
    <t>Matelasse</t>
  </si>
  <si>
    <t>8/24/2025</t>
  </si>
  <si>
    <t>NCWA2796</t>
  </si>
  <si>
    <t>MP13-8813</t>
  </si>
  <si>
    <t>MP50-8814</t>
  </si>
  <si>
    <t>Throw Set</t>
  </si>
  <si>
    <t>NCWA2835</t>
  </si>
  <si>
    <t>WR50-1786</t>
  </si>
  <si>
    <t>Winter Hills</t>
  </si>
  <si>
    <t>Quilted Throw</t>
  </si>
  <si>
    <t>PF003308</t>
  </si>
  <si>
    <t>AMAZON,BLK01,KOHLDSN,MACY02,OLLIIX,TGTDVS</t>
  </si>
  <si>
    <t>WLR1285</t>
  </si>
  <si>
    <t>9/8/2016</t>
  </si>
  <si>
    <t>BASI51-0323</t>
  </si>
  <si>
    <t>Wonder Wool</t>
  </si>
  <si>
    <t>Down Alternative</t>
  </si>
  <si>
    <t>PF002094</t>
  </si>
  <si>
    <t>Wool</t>
  </si>
  <si>
    <t>AMAZON,AMAZONDS,HDDS,MACY02,OVERSTOCK01,TGTDVS</t>
  </si>
  <si>
    <t>ANEW1124</t>
  </si>
  <si>
    <t>II151-0138</t>
  </si>
  <si>
    <t>Wren</t>
  </si>
  <si>
    <t>Bell Shaped Bamboo Pendant</t>
  </si>
  <si>
    <t>IKIY1091</t>
  </si>
  <si>
    <t>CH130-1011</t>
  </si>
  <si>
    <t>Wyatt</t>
  </si>
  <si>
    <t>Accent Chest Pv/Dr</t>
  </si>
  <si>
    <t>Brown/Grey</t>
  </si>
  <si>
    <t>CAPQ1005</t>
  </si>
  <si>
    <t>2/4/2025</t>
  </si>
  <si>
    <t>MP10-8429</t>
  </si>
  <si>
    <t>Wynne</t>
  </si>
  <si>
    <t>Dawson</t>
  </si>
  <si>
    <t>PP001954;PF006225</t>
  </si>
  <si>
    <t>7/13/2024</t>
  </si>
  <si>
    <t>NCWA2707</t>
  </si>
  <si>
    <t>MP10-8430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</si>
  <si>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</si>
  <si>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</si>
  <si>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</si>
  <si>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</si>
  <si>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</si>
  <si>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</si>
  <si>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AMAZON,AMAZONDS,BLK01,KOHLDSN,MACY02,TGTDVS</t>
  </si>
  <si>
    <t>RDBS7495</t>
  </si>
  <si>
    <t>5/12/2016</t>
  </si>
  <si>
    <t>FB153-1185</t>
  </si>
  <si>
    <t>Zazie</t>
  </si>
  <si>
    <t>Ceramic Genie Table Lamp</t>
  </si>
  <si>
    <t>KIRKLANDDS,OLLIIX</t>
  </si>
  <si>
    <t>HTN10029</t>
  </si>
  <si>
    <t>CH101-0054</t>
  </si>
  <si>
    <t>Zoe</t>
  </si>
  <si>
    <t>Oval Accent Ottoman</t>
  </si>
  <si>
    <t>CAPQ1036</t>
  </si>
  <si>
    <t>CH30-0038</t>
  </si>
  <si>
    <t>Multi color square pillow</t>
  </si>
  <si>
    <t>Gold/Grey</t>
  </si>
  <si>
    <t>CAPQ1029</t>
  </si>
  <si>
    <t>CH101-0017</t>
  </si>
  <si>
    <t>CH30-0039</t>
  </si>
  <si>
    <t>Navy/Beige</t>
  </si>
  <si>
    <t>CH101-0053</t>
  </si>
  <si>
    <t>MP50-7193</t>
  </si>
  <si>
    <t>Marselle</t>
  </si>
  <si>
    <t>PP000539;PF005113</t>
  </si>
  <si>
    <t>8/17/2020</t>
  </si>
  <si>
    <t>AMAZON,AMAZONDS,BLK01,FINGERHUTDS,HDDS,JCPENNEY01,KIRKLANDDS,KOHLDSN,MACY02,TGTDVS</t>
  </si>
  <si>
    <t>WLAO2844</t>
  </si>
  <si>
    <t>8/25/2020</t>
  </si>
  <si>
    <t>10/6/2020</t>
  </si>
  <si>
    <t>BR54-4697</t>
  </si>
  <si>
    <t>Oversized Faux Fur Heated Throw</t>
  </si>
  <si>
    <t>Black Texture</t>
  </si>
  <si>
    <t>PP000539;PF006353</t>
  </si>
  <si>
    <t>BTY1244</t>
  </si>
  <si>
    <t>MP10-6294</t>
  </si>
  <si>
    <t>4PC Faux Fur Comforter Set</t>
  </si>
  <si>
    <t>Blush/Grey</t>
  </si>
  <si>
    <t>PP000539;PF004643</t>
  </si>
  <si>
    <t>5/23/2019</t>
  </si>
  <si>
    <t>AMAZON,HDDS,KOHLDSN,MACY02</t>
  </si>
  <si>
    <t>WLAO2619</t>
  </si>
  <si>
    <t>6/29/2019</t>
  </si>
  <si>
    <t>MP51-8535</t>
  </si>
  <si>
    <t>Faux Fur Blanket</t>
  </si>
  <si>
    <t>66x90"</t>
  </si>
  <si>
    <t>NCWA2789</t>
  </si>
  <si>
    <t>MP51-8537</t>
  </si>
  <si>
    <t>108x90"</t>
  </si>
  <si>
    <t>MP50-8526</t>
  </si>
  <si>
    <t>7/14/2025</t>
  </si>
  <si>
    <t>MP50-6235</t>
  </si>
  <si>
    <t>PP000539;PF004618</t>
  </si>
  <si>
    <t>3/28/2019</t>
  </si>
  <si>
    <t>AMAZON,BIGLOTSDS,BLK01,FINGERHUTDS,JCPENNEY01,KIRKLANDDS,KOHLDSN,MACY02,NRTPORT,OLLIIX,ROOMECOM,TGTDVS,ZOLA</t>
  </si>
  <si>
    <t>4/23/2019</t>
  </si>
  <si>
    <t>4/30/2019</t>
  </si>
  <si>
    <t>MP51-8536</t>
  </si>
  <si>
    <t>90x90"</t>
  </si>
  <si>
    <t>MP10-3074</t>
  </si>
  <si>
    <t>PF002117;PP000539</t>
  </si>
  <si>
    <t>AMAZON,AMAZONDS,ASHFURNDS,FINGERHUTDS,HSNDS,KOHLDSN,MACY02,NRTPORT,OLLIIX,OVERSTOCK01,TGTDVS</t>
  </si>
  <si>
    <t>9/12/2016</t>
  </si>
  <si>
    <t>MP51-8538</t>
  </si>
  <si>
    <t>MP51-8540</t>
  </si>
  <si>
    <t>MP51-8539</t>
  </si>
  <si>
    <t>BR54-4181</t>
  </si>
  <si>
    <t>PP000539;PF006059</t>
  </si>
  <si>
    <t>KOHLDSN,OLLIIX,OVERSTOCK01,TGTDVS</t>
  </si>
  <si>
    <t>MP10-3077</t>
  </si>
  <si>
    <t>PF002118;PP000539</t>
  </si>
  <si>
    <t>AMAZON,ASHFURNDS,HDDS,KOHLDSN,MACY02,NRTPORT,OLLIIX,TGTDVS</t>
  </si>
  <si>
    <t>MP51-8532</t>
  </si>
  <si>
    <t>MP51-8534</t>
  </si>
  <si>
    <t>MP51-8533</t>
  </si>
  <si>
    <t>BR54-4698</t>
  </si>
  <si>
    <t>Grey Texture</t>
  </si>
  <si>
    <t>MP10-4860</t>
  </si>
  <si>
    <t>PF002119</t>
  </si>
  <si>
    <t>AMAZONDS,ASHFURNDS,JCPENNEY01,KOHLDSN,MACY02,TGTDVS</t>
  </si>
  <si>
    <t>MP51-8529</t>
  </si>
  <si>
    <t>MP51-8531</t>
  </si>
  <si>
    <t>MP51-8530</t>
  </si>
  <si>
    <t>MP10-3073</t>
  </si>
  <si>
    <t>PF002116;PP000539</t>
  </si>
  <si>
    <t>12/1/2025</t>
  </si>
  <si>
    <t>AMAZON,BLK01,FINGERHUTDS,JCPENNEY01,KOHLDSN,MACY02,OLLIIX,TGTDVS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</si>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</sst>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IC210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19</v>
      </c>
      <c r="GE3" s="1" t="s">
        <v>19</v>
      </c>
      <c r="GF3" s="1" t="s">
        <v>19</v>
      </c>
      <c r="GG3" s="1" t="s">
        <v>19</v>
      </c>
      <c r="GH3" s="1" t="s">
        <v>19</v>
      </c>
      <c r="GI3" s="1" t="s">
        <v>19</v>
      </c>
      <c r="GJ3" s="1" t="s">
        <v>19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  <c r="GQ3" s="1" t="s">
        <v>19</v>
      </c>
      <c r="GR3" s="1" t="s">
        <v>19</v>
      </c>
      <c r="GS3" s="1" t="s">
        <v>19</v>
      </c>
      <c r="GT3" s="1" t="s">
        <v>19</v>
      </c>
      <c r="GU3" s="1" t="s">
        <v>19</v>
      </c>
      <c r="GV3" s="1" t="s">
        <v>19</v>
      </c>
      <c r="GW3" s="1" t="s">
        <v>19</v>
      </c>
      <c r="GX3" s="1" t="s">
        <v>19</v>
      </c>
      <c r="GY3" s="1" t="s">
        <v>19</v>
      </c>
      <c r="GZ3" s="1" t="s">
        <v>19</v>
      </c>
      <c r="HA3" s="1" t="s">
        <v>19</v>
      </c>
      <c r="HB3" s="1" t="s">
        <v>19</v>
      </c>
      <c r="HC3" s="1" t="s">
        <v>19</v>
      </c>
      <c r="HD3" s="1" t="s">
        <v>19</v>
      </c>
      <c r="HE3" s="1" t="s">
        <v>19</v>
      </c>
      <c r="HF3" s="1" t="s">
        <v>19</v>
      </c>
      <c r="HG3" s="1" t="s">
        <v>19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  <c r="HS3" s="1" t="s">
        <v>19</v>
      </c>
      <c r="HT3" s="1" t="s">
        <v>19</v>
      </c>
      <c r="HU3" s="1" t="s">
        <v>19</v>
      </c>
      <c r="HV3" s="1" t="s">
        <v>19</v>
      </c>
      <c r="HW3" s="1" t="s">
        <v>19</v>
      </c>
      <c r="HX3" s="1" t="s">
        <v>19</v>
      </c>
      <c r="HY3" s="1" t="s">
        <v>19</v>
      </c>
      <c r="HZ3" s="1" t="s">
        <v>19</v>
      </c>
      <c r="IA3" s="1" t="s">
        <v>19</v>
      </c>
      <c r="IB3" s="1" t="s">
        <v>19</v>
      </c>
      <c r="IC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58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17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59</v>
      </c>
      <c r="GE4" s="1" t="s">
        <v>60</v>
      </c>
      <c r="GF4" s="1" t="s">
        <v>61</v>
      </c>
      <c r="GG4" s="1" t="s">
        <v>62</v>
      </c>
      <c r="GH4" s="1" t="s">
        <v>63</v>
      </c>
      <c r="GI4" s="1" t="s">
        <v>64</v>
      </c>
      <c r="GJ4" s="1" t="s">
        <v>65</v>
      </c>
      <c r="GK4" s="1" t="s">
        <v>66</v>
      </c>
      <c r="GL4" s="1" t="s">
        <v>67</v>
      </c>
      <c r="GM4" s="1" t="s">
        <v>68</v>
      </c>
      <c r="GN4" s="1" t="s">
        <v>69</v>
      </c>
      <c r="GO4" s="1" t="s">
        <v>70</v>
      </c>
      <c r="GP4" s="1" t="s">
        <v>71</v>
      </c>
      <c r="GQ4" s="1" t="s">
        <v>72</v>
      </c>
      <c r="GR4" s="1" t="s">
        <v>73</v>
      </c>
      <c r="GS4" s="1" t="s">
        <v>74</v>
      </c>
      <c r="GT4" s="1" t="s">
        <v>75</v>
      </c>
      <c r="GU4" s="1" t="s">
        <v>76</v>
      </c>
      <c r="GV4" s="1" t="s">
        <v>77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84</v>
      </c>
      <c r="HD4" s="1" t="s">
        <v>59</v>
      </c>
      <c r="HE4" s="1" t="s">
        <v>60</v>
      </c>
      <c r="HF4" s="1" t="s">
        <v>61</v>
      </c>
      <c r="HG4" s="1" t="s">
        <v>62</v>
      </c>
      <c r="HH4" s="1" t="s">
        <v>63</v>
      </c>
      <c r="HI4" s="1" t="s">
        <v>64</v>
      </c>
      <c r="HJ4" s="1" t="s">
        <v>65</v>
      </c>
      <c r="HK4" s="1" t="s">
        <v>66</v>
      </c>
      <c r="HL4" s="1" t="s">
        <v>67</v>
      </c>
      <c r="HM4" s="1" t="s">
        <v>68</v>
      </c>
      <c r="HN4" s="1" t="s">
        <v>69</v>
      </c>
      <c r="HO4" s="1" t="s">
        <v>70</v>
      </c>
      <c r="HP4" s="1" t="s">
        <v>71</v>
      </c>
      <c r="HQ4" s="1" t="s">
        <v>72</v>
      </c>
      <c r="HR4" s="1" t="s">
        <v>73</v>
      </c>
      <c r="HS4" s="1" t="s">
        <v>74</v>
      </c>
      <c r="HT4" s="1" t="s">
        <v>75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82</v>
      </c>
      <c r="IB4" s="1" t="s">
        <v>83</v>
      </c>
      <c r="IC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109</v>
      </c>
      <c r="AG5" s="1" t="s">
        <v>110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38</v>
      </c>
      <c r="AU5" s="1" t="s">
        <v>39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40</v>
      </c>
      <c r="BA5" s="1" t="s">
        <v>41</v>
      </c>
      <c r="BB5" s="1" t="s">
        <v>42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43</v>
      </c>
      <c r="BH5" s="1" t="s">
        <v>44</v>
      </c>
      <c r="BI5" s="1" t="s">
        <v>45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58</v>
      </c>
      <c r="CF5" s="1" t="s">
        <v>120</v>
      </c>
      <c r="CG5" s="1" t="s">
        <v>121</v>
      </c>
      <c r="CH5" s="1" t="s">
        <v>122</v>
      </c>
      <c r="CI5" s="1" t="s">
        <v>123</v>
      </c>
      <c r="CJ5" s="1" t="s">
        <v>124</v>
      </c>
      <c r="CK5" s="1" t="s">
        <v>125</v>
      </c>
      <c r="CL5" s="1" t="s">
        <v>126</v>
      </c>
      <c r="CM5" s="1" t="s">
        <v>127</v>
      </c>
      <c r="CN5" s="1" t="s">
        <v>128</v>
      </c>
      <c r="CO5" s="1" t="s">
        <v>129</v>
      </c>
      <c r="CP5" s="1" t="s">
        <v>130</v>
      </c>
      <c r="CQ5" s="1" t="s">
        <v>131</v>
      </c>
      <c r="CR5" s="1" t="s">
        <v>132</v>
      </c>
      <c r="CS5" s="1" t="s">
        <v>133</v>
      </c>
      <c r="CT5" s="1" t="s">
        <v>134</v>
      </c>
      <c r="CU5" s="1" t="s">
        <v>135</v>
      </c>
      <c r="CV5" s="1" t="s">
        <v>3</v>
      </c>
      <c r="CW5" s="1" t="s">
        <v>136</v>
      </c>
      <c r="CX5" s="1" t="s">
        <v>137</v>
      </c>
      <c r="CY5" s="1" t="s">
        <v>138</v>
      </c>
      <c r="CZ5" s="1" t="s">
        <v>139</v>
      </c>
      <c r="DA5" s="1" t="s">
        <v>140</v>
      </c>
      <c r="DB5" s="1" t="s">
        <v>141</v>
      </c>
      <c r="DC5" s="1" t="s">
        <v>142</v>
      </c>
      <c r="DD5" s="1" t="s">
        <v>143</v>
      </c>
      <c r="DE5" s="1" t="s">
        <v>144</v>
      </c>
      <c r="DF5" s="1" t="s">
        <v>145</v>
      </c>
      <c r="DG5" s="1" t="s">
        <v>146</v>
      </c>
      <c r="DH5" s="1" t="s">
        <v>147</v>
      </c>
      <c r="DI5" s="1" t="s">
        <v>148</v>
      </c>
      <c r="DJ5" s="1" t="s">
        <v>149</v>
      </c>
      <c r="DK5" s="1" t="s">
        <v>150</v>
      </c>
      <c r="DL5" s="1" t="s">
        <v>151</v>
      </c>
      <c r="DM5" s="1" t="s">
        <v>152</v>
      </c>
      <c r="DN5" s="1" t="s">
        <v>153</v>
      </c>
      <c r="DO5" s="1" t="s">
        <v>154</v>
      </c>
      <c r="DP5" s="1" t="s">
        <v>155</v>
      </c>
      <c r="DQ5" s="1" t="s">
        <v>156</v>
      </c>
      <c r="DR5" s="1" t="s">
        <v>157</v>
      </c>
      <c r="DS5" s="1" t="s">
        <v>158</v>
      </c>
      <c r="DT5" s="1" t="s">
        <v>159</v>
      </c>
      <c r="DU5" s="1" t="s">
        <v>160</v>
      </c>
      <c r="DV5" s="1" t="s">
        <v>161</v>
      </c>
      <c r="DW5" s="1" t="s">
        <v>162</v>
      </c>
      <c r="DX5" s="1" t="s">
        <v>163</v>
      </c>
      <c r="DY5" s="1" t="s">
        <v>164</v>
      </c>
      <c r="DZ5" s="1" t="s">
        <v>165</v>
      </c>
      <c r="EA5" s="1" t="s">
        <v>166</v>
      </c>
      <c r="EB5" s="1" t="s">
        <v>167</v>
      </c>
      <c r="EC5" s="1" t="s">
        <v>168</v>
      </c>
      <c r="ED5" s="1" t="s">
        <v>169</v>
      </c>
      <c r="EE5" s="1" t="s">
        <v>170</v>
      </c>
      <c r="EF5" s="1" t="s">
        <v>171</v>
      </c>
      <c r="EG5" s="1" t="s">
        <v>172</v>
      </c>
      <c r="EH5" s="1" t="s">
        <v>173</v>
      </c>
      <c r="EI5" s="1" t="s">
        <v>174</v>
      </c>
      <c r="EJ5" s="1" t="s">
        <v>175</v>
      </c>
      <c r="EK5" s="1" t="s">
        <v>176</v>
      </c>
      <c r="EL5" s="1" t="s">
        <v>177</v>
      </c>
      <c r="EM5" s="1" t="s">
        <v>178</v>
      </c>
      <c r="EN5" s="1" t="s">
        <v>179</v>
      </c>
      <c r="EO5" s="1" t="s">
        <v>180</v>
      </c>
      <c r="EP5" s="1" t="s">
        <v>181</v>
      </c>
      <c r="EQ5" s="1" t="s">
        <v>182</v>
      </c>
      <c r="ER5" s="1" t="s">
        <v>183</v>
      </c>
      <c r="ES5" s="1" t="s">
        <v>184</v>
      </c>
      <c r="ET5" s="1" t="s">
        <v>185</v>
      </c>
      <c r="EU5" s="1" t="s">
        <v>186</v>
      </c>
      <c r="EV5" s="1" t="s">
        <v>187</v>
      </c>
      <c r="EW5" s="1" t="s">
        <v>188</v>
      </c>
      <c r="EX5" s="1" t="s">
        <v>189</v>
      </c>
      <c r="EY5" s="1" t="s">
        <v>190</v>
      </c>
      <c r="EZ5" s="1" t="s">
        <v>191</v>
      </c>
      <c r="FA5" s="1" t="s">
        <v>192</v>
      </c>
      <c r="FB5" s="1" t="s">
        <v>193</v>
      </c>
      <c r="FC5" s="1" t="s">
        <v>194</v>
      </c>
      <c r="FD5" s="1" t="s">
        <v>195</v>
      </c>
      <c r="FE5" s="1" t="s">
        <v>196</v>
      </c>
      <c r="FF5" s="1" t="s">
        <v>197</v>
      </c>
      <c r="FG5" s="1" t="s">
        <v>198</v>
      </c>
      <c r="FH5" s="1" t="s">
        <v>199</v>
      </c>
      <c r="FI5" s="1" t="s">
        <v>200</v>
      </c>
      <c r="FJ5" s="1" t="s">
        <v>201</v>
      </c>
      <c r="FK5" s="1" t="s">
        <v>202</v>
      </c>
      <c r="FL5" s="1" t="s">
        <v>203</v>
      </c>
      <c r="FM5" s="1" t="s">
        <v>204</v>
      </c>
      <c r="FN5" s="1" t="s">
        <v>205</v>
      </c>
      <c r="FO5" s="1" t="s">
        <v>206</v>
      </c>
      <c r="FP5" s="1" t="s">
        <v>207</v>
      </c>
      <c r="FQ5" s="1" t="s">
        <v>208</v>
      </c>
      <c r="FR5" s="1" t="s">
        <v>209</v>
      </c>
      <c r="FS5" s="1" t="s">
        <v>210</v>
      </c>
      <c r="FT5" s="1" t="s">
        <v>211</v>
      </c>
      <c r="FU5" s="1" t="s">
        <v>212</v>
      </c>
      <c r="FV5" s="1" t="s">
        <v>213</v>
      </c>
      <c r="FW5" s="1" t="s">
        <v>214</v>
      </c>
      <c r="FX5" s="1" t="s">
        <v>215</v>
      </c>
      <c r="FY5" s="1" t="s">
        <v>216</v>
      </c>
      <c r="FZ5" s="1" t="s">
        <v>217</v>
      </c>
      <c r="GA5" s="1" t="s">
        <v>218</v>
      </c>
      <c r="GB5" s="1" t="s">
        <v>219</v>
      </c>
      <c r="GC5" s="1" t="s">
        <v>220</v>
      </c>
      <c r="GD5" s="1" t="s">
        <v>221</v>
      </c>
      <c r="GE5" s="1" t="s">
        <v>221</v>
      </c>
      <c r="GF5" s="1" t="s">
        <v>221</v>
      </c>
      <c r="GG5" s="1" t="s">
        <v>221</v>
      </c>
      <c r="GH5" s="1" t="s">
        <v>221</v>
      </c>
      <c r="GI5" s="1" t="s">
        <v>221</v>
      </c>
      <c r="GJ5" s="1" t="s">
        <v>221</v>
      </c>
      <c r="GK5" s="1" t="s">
        <v>221</v>
      </c>
      <c r="GL5" s="1" t="s">
        <v>221</v>
      </c>
      <c r="GM5" s="1" t="s">
        <v>221</v>
      </c>
      <c r="GN5" s="1" t="s">
        <v>221</v>
      </c>
      <c r="GO5" s="1" t="s">
        <v>221</v>
      </c>
      <c r="GP5" s="1" t="s">
        <v>221</v>
      </c>
      <c r="GQ5" s="1" t="s">
        <v>221</v>
      </c>
      <c r="GR5" s="1" t="s">
        <v>221</v>
      </c>
      <c r="GS5" s="1" t="s">
        <v>221</v>
      </c>
      <c r="GT5" s="1" t="s">
        <v>221</v>
      </c>
      <c r="GU5" s="1" t="s">
        <v>221</v>
      </c>
      <c r="GV5" s="1" t="s">
        <v>221</v>
      </c>
      <c r="GW5" s="1" t="s">
        <v>221</v>
      </c>
      <c r="GX5" s="1" t="s">
        <v>221</v>
      </c>
      <c r="GY5" s="1" t="s">
        <v>221</v>
      </c>
      <c r="GZ5" s="1" t="s">
        <v>221</v>
      </c>
      <c r="HA5" s="1" t="s">
        <v>221</v>
      </c>
      <c r="HB5" s="1" t="s">
        <v>221</v>
      </c>
      <c r="HC5" s="1" t="s">
        <v>221</v>
      </c>
      <c r="HD5" s="1" t="s">
        <v>222</v>
      </c>
      <c r="HE5" s="1" t="s">
        <v>222</v>
      </c>
      <c r="HF5" s="1" t="s">
        <v>222</v>
      </c>
      <c r="HG5" s="1" t="s">
        <v>222</v>
      </c>
      <c r="HH5" s="1" t="s">
        <v>222</v>
      </c>
      <c r="HI5" s="1" t="s">
        <v>222</v>
      </c>
      <c r="HJ5" s="1" t="s">
        <v>222</v>
      </c>
      <c r="HK5" s="1" t="s">
        <v>222</v>
      </c>
      <c r="HL5" s="1" t="s">
        <v>222</v>
      </c>
      <c r="HM5" s="1" t="s">
        <v>222</v>
      </c>
      <c r="HN5" s="1" t="s">
        <v>222</v>
      </c>
      <c r="HO5" s="1" t="s">
        <v>222</v>
      </c>
      <c r="HP5" s="1" t="s">
        <v>222</v>
      </c>
      <c r="HQ5" s="1" t="s">
        <v>222</v>
      </c>
      <c r="HR5" s="1" t="s">
        <v>222</v>
      </c>
      <c r="HS5" s="1" t="s">
        <v>222</v>
      </c>
      <c r="HT5" s="1" t="s">
        <v>222</v>
      </c>
      <c r="HU5" s="1" t="s">
        <v>222</v>
      </c>
      <c r="HV5" s="1" t="s">
        <v>222</v>
      </c>
      <c r="HW5" s="1" t="s">
        <v>222</v>
      </c>
      <c r="HX5" s="1" t="s">
        <v>222</v>
      </c>
      <c r="HY5" s="1" t="s">
        <v>222</v>
      </c>
      <c r="HZ5" s="1" t="s">
        <v>222</v>
      </c>
      <c r="IA5" s="1" t="s">
        <v>222</v>
      </c>
      <c r="IB5" s="1" t="s">
        <v>222</v>
      </c>
      <c r="IC5" s="1" t="s">
        <v>222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2" t="s">
        <v>227</v>
      </c>
      <c r="F6" s="2" t="s">
        <v>228</v>
      </c>
      <c r="G6" s="2" t="s">
        <v>228</v>
      </c>
      <c r="H6" s="2" t="s">
        <v>228</v>
      </c>
      <c r="I6" s="2" t="s">
        <v>229</v>
      </c>
      <c r="J6" s="2" t="s">
        <v>230</v>
      </c>
      <c r="K6" s="2" t="s">
        <v>231</v>
      </c>
      <c r="L6" s="3">
        <v>30.58</v>
      </c>
      <c r="M6" s="3">
        <v>32.11</v>
      </c>
      <c r="N6" s="3">
        <v>64.99</v>
      </c>
      <c r="O6" s="2" t="s">
        <v>232</v>
      </c>
      <c r="P6" s="2" t="s">
        <v>233</v>
      </c>
      <c r="Q6" s="2" t="s">
        <v>234</v>
      </c>
      <c r="R6" s="2" t="s">
        <v>235</v>
      </c>
      <c r="S6" s="2" t="s">
        <v>236</v>
      </c>
      <c r="T6" s="2" t="s">
        <v>237</v>
      </c>
      <c r="U6" s="2" t="s">
        <v>235</v>
      </c>
      <c r="V6" s="2" t="s">
        <v>238</v>
      </c>
      <c r="W6" s="2" t="s">
        <v>239</v>
      </c>
      <c r="X6" s="2" t="s">
        <v>235</v>
      </c>
      <c r="Y6" s="2" t="s">
        <v>240</v>
      </c>
      <c r="Z6" s="4">
        <v>613</v>
      </c>
      <c r="AA6" s="4">
        <f>=ROUNDDOWN(153.25,0)</f>
      </c>
      <c r="AB6" s="5">
        <v>4</v>
      </c>
      <c r="AC6" s="2" t="s">
        <v>235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235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235</v>
      </c>
      <c r="AW6" s="8" t="s">
        <v>235</v>
      </c>
      <c r="AX6" s="4" t="s">
        <v>235</v>
      </c>
      <c r="AY6" s="8" t="s">
        <v>235</v>
      </c>
      <c r="AZ6" s="7" t="s">
        <v>235</v>
      </c>
      <c r="BA6" s="7" t="s">
        <v>235</v>
      </c>
      <c r="BB6" s="7"/>
      <c r="BC6" s="4" t="s">
        <v>235</v>
      </c>
      <c r="BD6" s="8" t="s">
        <v>235</v>
      </c>
      <c r="BE6" s="4" t="s">
        <v>235</v>
      </c>
      <c r="BF6" s="8" t="s">
        <v>235</v>
      </c>
      <c r="BG6" s="7" t="s">
        <v>235</v>
      </c>
      <c r="BH6" s="7" t="s">
        <v>235</v>
      </c>
      <c r="BI6" s="7"/>
      <c r="BJ6" s="4">
        <v>36</v>
      </c>
      <c r="BK6" s="8">
        <v>1121.63</v>
      </c>
      <c r="BL6" s="2" t="s">
        <v>241</v>
      </c>
      <c r="BM6" s="7"/>
      <c r="BN6" s="7"/>
      <c r="BO6" s="4"/>
      <c r="BP6" s="8"/>
      <c r="BQ6" s="4"/>
      <c r="BR6" s="8"/>
      <c r="BS6" s="7"/>
      <c r="BT6" s="7"/>
      <c r="BU6" s="2" t="s">
        <v>242</v>
      </c>
      <c r="BV6" s="2" t="s">
        <v>243</v>
      </c>
      <c r="BW6" s="2" t="s">
        <v>235</v>
      </c>
      <c r="BX6" s="2" t="s">
        <v>244</v>
      </c>
      <c r="BY6" s="2" t="s">
        <v>245</v>
      </c>
      <c r="BZ6" s="2" t="s">
        <v>232</v>
      </c>
      <c r="CA6" s="2" t="s">
        <v>246</v>
      </c>
      <c r="CB6" s="2" t="s">
        <v>247</v>
      </c>
      <c r="CC6" s="2" t="s">
        <v>248</v>
      </c>
      <c r="CD6" s="2" t="s">
        <v>248</v>
      </c>
      <c r="CE6" s="2" t="s">
        <v>235</v>
      </c>
      <c r="CF6" s="4">
        <v>613</v>
      </c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>
        <v>614</v>
      </c>
      <c r="GE6" s="4">
        <v>609</v>
      </c>
      <c r="GF6" s="4">
        <v>606</v>
      </c>
      <c r="GG6" s="4">
        <v>603</v>
      </c>
      <c r="GH6" s="4">
        <v>600</v>
      </c>
      <c r="GI6" s="4">
        <v>599</v>
      </c>
      <c r="GJ6" s="4">
        <v>598</v>
      </c>
      <c r="GK6" s="4">
        <v>597</v>
      </c>
      <c r="GL6" s="4">
        <v>596</v>
      </c>
      <c r="GM6" s="4">
        <v>595</v>
      </c>
      <c r="GN6" s="4">
        <v>593</v>
      </c>
      <c r="GO6" s="4">
        <v>590</v>
      </c>
      <c r="GP6" s="4">
        <v>588</v>
      </c>
      <c r="GQ6" s="4">
        <v>584</v>
      </c>
      <c r="GR6" s="4">
        <v>582</v>
      </c>
      <c r="GS6" s="4">
        <v>579</v>
      </c>
      <c r="GT6" s="4">
        <v>577</v>
      </c>
      <c r="GU6" s="4">
        <v>576</v>
      </c>
      <c r="GV6" s="4">
        <v>575</v>
      </c>
      <c r="GW6" s="4">
        <v>574</v>
      </c>
      <c r="GX6" s="4">
        <v>573</v>
      </c>
      <c r="GY6" s="4">
        <v>572</v>
      </c>
      <c r="GZ6" s="4">
        <v>571</v>
      </c>
      <c r="HA6" s="4">
        <v>569</v>
      </c>
      <c r="HB6" s="4">
        <v>567</v>
      </c>
      <c r="HC6" s="4">
        <v>565</v>
      </c>
      <c r="HD6" s="19">
        <v>153.5</v>
      </c>
      <c r="HE6" s="19">
        <v>304.5</v>
      </c>
      <c r="HF6" s="19">
        <v>303</v>
      </c>
      <c r="HG6" s="19">
        <v>301.5</v>
      </c>
      <c r="HH6" s="19">
        <v>600</v>
      </c>
      <c r="HI6" s="19">
        <v>599</v>
      </c>
      <c r="HJ6" s="19">
        <v>598</v>
      </c>
      <c r="HK6" s="19">
        <v>298.5</v>
      </c>
      <c r="HL6" s="19">
        <v>298</v>
      </c>
      <c r="HM6" s="19">
        <v>198.3</v>
      </c>
      <c r="HN6" s="19">
        <v>197.7</v>
      </c>
      <c r="HO6" s="19">
        <v>196.7</v>
      </c>
      <c r="HP6" s="19">
        <v>196</v>
      </c>
      <c r="HQ6" s="19">
        <v>292</v>
      </c>
      <c r="HR6" s="19">
        <v>291</v>
      </c>
      <c r="HS6" s="19">
        <v>579</v>
      </c>
      <c r="HT6" s="19">
        <v>577</v>
      </c>
      <c r="HU6" s="19">
        <v>576</v>
      </c>
      <c r="HV6" s="19">
        <v>575</v>
      </c>
      <c r="HW6" s="19">
        <v>574</v>
      </c>
      <c r="HX6" s="19">
        <v>286.5</v>
      </c>
      <c r="HY6" s="19">
        <v>286</v>
      </c>
      <c r="HZ6" s="19">
        <v>285.5</v>
      </c>
      <c r="IA6" s="19">
        <v>284.5</v>
      </c>
      <c r="IB6" s="19">
        <v>283.5</v>
      </c>
      <c r="IC6" s="19">
        <v>188.3</v>
      </c>
    </row>
    <row r="7">
      <c r="A7" s="2" t="s">
        <v>249</v>
      </c>
      <c r="B7" s="2" t="s">
        <v>224</v>
      </c>
      <c r="C7" s="2" t="s">
        <v>225</v>
      </c>
      <c r="D7" s="2" t="s">
        <v>226</v>
      </c>
      <c r="E7" s="2" t="s">
        <v>227</v>
      </c>
      <c r="F7" s="2" t="s">
        <v>228</v>
      </c>
      <c r="G7" s="2" t="s">
        <v>228</v>
      </c>
      <c r="H7" s="2" t="s">
        <v>228</v>
      </c>
      <c r="I7" s="2" t="s">
        <v>229</v>
      </c>
      <c r="J7" s="2" t="s">
        <v>250</v>
      </c>
      <c r="K7" s="2" t="s">
        <v>231</v>
      </c>
      <c r="L7" s="3">
        <v>36.04</v>
      </c>
      <c r="M7" s="3">
        <v>37.84</v>
      </c>
      <c r="N7" s="3">
        <v>79.99</v>
      </c>
      <c r="O7" s="2" t="s">
        <v>232</v>
      </c>
      <c r="P7" s="2" t="s">
        <v>233</v>
      </c>
      <c r="Q7" s="2" t="s">
        <v>234</v>
      </c>
      <c r="R7" s="2" t="s">
        <v>235</v>
      </c>
      <c r="S7" s="2" t="s">
        <v>236</v>
      </c>
      <c r="T7" s="2" t="s">
        <v>237</v>
      </c>
      <c r="U7" s="2" t="s">
        <v>235</v>
      </c>
      <c r="V7" s="2" t="s">
        <v>238</v>
      </c>
      <c r="W7" s="2" t="s">
        <v>239</v>
      </c>
      <c r="X7" s="2" t="s">
        <v>235</v>
      </c>
      <c r="Y7" s="2" t="s">
        <v>240</v>
      </c>
      <c r="Z7" s="4">
        <v>199</v>
      </c>
      <c r="AA7" s="4">
        <f>=ROUNDDOWN(99.5,0)</f>
      </c>
      <c r="AB7" s="5">
        <v>2</v>
      </c>
      <c r="AC7" s="2" t="s">
        <v>235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235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235</v>
      </c>
      <c r="AW7" s="8" t="s">
        <v>235</v>
      </c>
      <c r="AX7" s="4" t="s">
        <v>235</v>
      </c>
      <c r="AY7" s="8" t="s">
        <v>235</v>
      </c>
      <c r="AZ7" s="7" t="s">
        <v>235</v>
      </c>
      <c r="BA7" s="7" t="s">
        <v>235</v>
      </c>
      <c r="BB7" s="7"/>
      <c r="BC7" s="4" t="s">
        <v>235</v>
      </c>
      <c r="BD7" s="8" t="s">
        <v>235</v>
      </c>
      <c r="BE7" s="4" t="s">
        <v>235</v>
      </c>
      <c r="BF7" s="8" t="s">
        <v>235</v>
      </c>
      <c r="BG7" s="7" t="s">
        <v>235</v>
      </c>
      <c r="BH7" s="7" t="s">
        <v>235</v>
      </c>
      <c r="BI7" s="7"/>
      <c r="BJ7" s="4">
        <v>7</v>
      </c>
      <c r="BK7" s="8">
        <v>287.03</v>
      </c>
      <c r="BL7" s="2" t="s">
        <v>251</v>
      </c>
      <c r="BM7" s="7"/>
      <c r="BN7" s="7"/>
      <c r="BO7" s="4"/>
      <c r="BP7" s="8"/>
      <c r="BQ7" s="4"/>
      <c r="BR7" s="8"/>
      <c r="BS7" s="7"/>
      <c r="BT7" s="7"/>
      <c r="BU7" s="2" t="s">
        <v>242</v>
      </c>
      <c r="BV7" s="2" t="s">
        <v>243</v>
      </c>
      <c r="BW7" s="2" t="s">
        <v>235</v>
      </c>
      <c r="BX7" s="2" t="s">
        <v>244</v>
      </c>
      <c r="BY7" s="2" t="s">
        <v>245</v>
      </c>
      <c r="BZ7" s="2" t="s">
        <v>232</v>
      </c>
      <c r="CA7" s="2" t="s">
        <v>252</v>
      </c>
      <c r="CB7" s="2" t="s">
        <v>253</v>
      </c>
      <c r="CC7" s="2" t="s">
        <v>248</v>
      </c>
      <c r="CD7" s="2" t="s">
        <v>248</v>
      </c>
      <c r="CE7" s="2" t="s">
        <v>235</v>
      </c>
      <c r="CF7" s="4">
        <v>139</v>
      </c>
      <c r="CG7" s="4">
        <v>60</v>
      </c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>
        <v>199</v>
      </c>
      <c r="GE7" s="4">
        <v>196</v>
      </c>
      <c r="GF7" s="4">
        <v>193</v>
      </c>
      <c r="GG7" s="4">
        <v>190</v>
      </c>
      <c r="GH7" s="4">
        <v>187</v>
      </c>
      <c r="GI7" s="4">
        <v>185</v>
      </c>
      <c r="GJ7" s="4">
        <v>183</v>
      </c>
      <c r="GK7" s="4">
        <v>181</v>
      </c>
      <c r="GL7" s="4">
        <v>179</v>
      </c>
      <c r="GM7" s="4">
        <v>177</v>
      </c>
      <c r="GN7" s="4">
        <v>175</v>
      </c>
      <c r="GO7" s="4">
        <v>172</v>
      </c>
      <c r="GP7" s="4">
        <v>169</v>
      </c>
      <c r="GQ7" s="4">
        <v>164</v>
      </c>
      <c r="GR7" s="4">
        <v>161</v>
      </c>
      <c r="GS7" s="4">
        <v>157</v>
      </c>
      <c r="GT7" s="4">
        <v>155</v>
      </c>
      <c r="GU7" s="4">
        <v>154</v>
      </c>
      <c r="GV7" s="4">
        <v>153</v>
      </c>
      <c r="GW7" s="4">
        <v>152</v>
      </c>
      <c r="GX7" s="4">
        <v>151</v>
      </c>
      <c r="GY7" s="4">
        <v>150</v>
      </c>
      <c r="GZ7" s="4">
        <v>149</v>
      </c>
      <c r="HA7" s="4">
        <v>147</v>
      </c>
      <c r="HB7" s="4">
        <v>145</v>
      </c>
      <c r="HC7" s="4">
        <v>143</v>
      </c>
      <c r="HD7" s="19">
        <v>66.3</v>
      </c>
      <c r="HE7" s="19">
        <v>65.3</v>
      </c>
      <c r="HF7" s="19">
        <v>96.5</v>
      </c>
      <c r="HG7" s="19">
        <v>95</v>
      </c>
      <c r="HH7" s="19">
        <v>93.5</v>
      </c>
      <c r="HI7" s="19">
        <v>92.5</v>
      </c>
      <c r="HJ7" s="19">
        <v>91.5</v>
      </c>
      <c r="HK7" s="19">
        <v>90.5</v>
      </c>
      <c r="HL7" s="19">
        <v>89.5</v>
      </c>
      <c r="HM7" s="19">
        <v>59</v>
      </c>
      <c r="HN7" s="19">
        <v>43.8</v>
      </c>
      <c r="HO7" s="19">
        <v>43</v>
      </c>
      <c r="HP7" s="19">
        <v>42.3</v>
      </c>
      <c r="HQ7" s="19">
        <v>82</v>
      </c>
      <c r="HR7" s="19">
        <v>80.5</v>
      </c>
      <c r="HS7" s="19">
        <v>157</v>
      </c>
      <c r="HT7" s="19">
        <v>155</v>
      </c>
      <c r="HU7" s="19">
        <v>154</v>
      </c>
      <c r="HV7" s="19">
        <v>153</v>
      </c>
      <c r="HW7" s="19">
        <v>152</v>
      </c>
      <c r="HX7" s="19">
        <v>75.5</v>
      </c>
      <c r="HY7" s="19">
        <v>75</v>
      </c>
      <c r="HZ7" s="19">
        <v>74.5</v>
      </c>
      <c r="IA7" s="19">
        <v>73.5</v>
      </c>
      <c r="IB7" s="19">
        <v>72.5</v>
      </c>
      <c r="IC7" s="19">
        <v>71.5</v>
      </c>
    </row>
    <row r="8">
      <c r="A8" s="2" t="s">
        <v>254</v>
      </c>
      <c r="B8" s="2" t="s">
        <v>255</v>
      </c>
      <c r="C8" s="2" t="s">
        <v>256</v>
      </c>
      <c r="D8" s="2" t="s">
        <v>257</v>
      </c>
      <c r="E8" s="2" t="s">
        <v>258</v>
      </c>
      <c r="F8" s="2" t="s">
        <v>259</v>
      </c>
      <c r="G8" s="2" t="s">
        <v>259</v>
      </c>
      <c r="H8" s="2" t="s">
        <v>259</v>
      </c>
      <c r="I8" s="2" t="s">
        <v>260</v>
      </c>
      <c r="J8" s="2" t="s">
        <v>261</v>
      </c>
      <c r="K8" s="2" t="s">
        <v>231</v>
      </c>
      <c r="L8" s="3">
        <v>76</v>
      </c>
      <c r="M8" s="3">
        <v>79.8</v>
      </c>
      <c r="N8" s="3">
        <v>189.99</v>
      </c>
      <c r="O8" s="2" t="s">
        <v>232</v>
      </c>
      <c r="P8" s="2" t="s">
        <v>262</v>
      </c>
      <c r="Q8" s="2" t="s">
        <v>234</v>
      </c>
      <c r="R8" s="2" t="s">
        <v>235</v>
      </c>
      <c r="S8" s="2" t="s">
        <v>235</v>
      </c>
      <c r="T8" s="2" t="s">
        <v>263</v>
      </c>
      <c r="U8" s="2" t="s">
        <v>264</v>
      </c>
      <c r="V8" s="2" t="s">
        <v>238</v>
      </c>
      <c r="W8" s="2" t="s">
        <v>265</v>
      </c>
      <c r="X8" s="2" t="s">
        <v>235</v>
      </c>
      <c r="Y8" s="2" t="s">
        <v>266</v>
      </c>
      <c r="Z8" s="4">
        <v>80</v>
      </c>
      <c r="AA8" s="4">
        <f>=ROUNDDOWN(20,0)</f>
      </c>
      <c r="AB8" s="5">
        <v>4</v>
      </c>
      <c r="AC8" s="2" t="s">
        <v>267</v>
      </c>
      <c r="AD8" s="4">
        <v>64</v>
      </c>
      <c r="AE8" s="4">
        <v>64</v>
      </c>
      <c r="AF8" s="6">
        <v>78</v>
      </c>
      <c r="AG8" s="6"/>
      <c r="AH8" s="7"/>
      <c r="AI8" s="4"/>
      <c r="AJ8" s="4">
        <f>=ROUNDDOWN({0},0)</f>
      </c>
      <c r="AK8" s="5"/>
      <c r="AL8" s="2" t="s">
        <v>235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235</v>
      </c>
      <c r="AW8" s="8" t="s">
        <v>235</v>
      </c>
      <c r="AX8" s="4" t="s">
        <v>235</v>
      </c>
      <c r="AY8" s="8" t="s">
        <v>235</v>
      </c>
      <c r="AZ8" s="7" t="s">
        <v>235</v>
      </c>
      <c r="BA8" s="7" t="s">
        <v>235</v>
      </c>
      <c r="BB8" s="7"/>
      <c r="BC8" s="4" t="s">
        <v>235</v>
      </c>
      <c r="BD8" s="8" t="s">
        <v>235</v>
      </c>
      <c r="BE8" s="4" t="s">
        <v>235</v>
      </c>
      <c r="BF8" s="8" t="s">
        <v>235</v>
      </c>
      <c r="BG8" s="7" t="s">
        <v>235</v>
      </c>
      <c r="BH8" s="7" t="s">
        <v>235</v>
      </c>
      <c r="BI8" s="7"/>
      <c r="BJ8" s="4"/>
      <c r="BK8" s="8"/>
      <c r="BL8" s="2" t="s">
        <v>235</v>
      </c>
      <c r="BM8" s="7"/>
      <c r="BN8" s="7"/>
      <c r="BO8" s="4"/>
      <c r="BP8" s="8"/>
      <c r="BQ8" s="4"/>
      <c r="BR8" s="8"/>
      <c r="BS8" s="7"/>
      <c r="BT8" s="7"/>
      <c r="BU8" s="2" t="s">
        <v>268</v>
      </c>
      <c r="BV8" s="2" t="s">
        <v>235</v>
      </c>
      <c r="BW8" s="2" t="s">
        <v>235</v>
      </c>
      <c r="BX8" s="2" t="s">
        <v>244</v>
      </c>
      <c r="BY8" s="2" t="s">
        <v>245</v>
      </c>
      <c r="BZ8" s="2" t="s">
        <v>232</v>
      </c>
      <c r="CA8" s="2" t="s">
        <v>235</v>
      </c>
      <c r="CB8" s="2" t="s">
        <v>235</v>
      </c>
      <c r="CC8" s="2" t="s">
        <v>248</v>
      </c>
      <c r="CD8" s="2" t="s">
        <v>248</v>
      </c>
      <c r="CE8" s="2" t="s">
        <v>235</v>
      </c>
      <c r="CF8" s="4">
        <v>80</v>
      </c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>
        <v>64</v>
      </c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>
        <v>80</v>
      </c>
      <c r="GE8" s="4">
        <v>77</v>
      </c>
      <c r="GF8" s="4">
        <v>73</v>
      </c>
      <c r="GG8" s="4">
        <v>69</v>
      </c>
      <c r="GH8" s="4">
        <v>129</v>
      </c>
      <c r="GI8" s="4">
        <v>125</v>
      </c>
      <c r="GJ8" s="4">
        <v>119</v>
      </c>
      <c r="GK8" s="4">
        <v>114</v>
      </c>
      <c r="GL8" s="4">
        <v>109</v>
      </c>
      <c r="GM8" s="4">
        <v>105</v>
      </c>
      <c r="GN8" s="4">
        <v>100</v>
      </c>
      <c r="GO8" s="4">
        <v>94</v>
      </c>
      <c r="GP8" s="4">
        <v>88</v>
      </c>
      <c r="GQ8" s="4">
        <v>77</v>
      </c>
      <c r="GR8" s="4">
        <v>71</v>
      </c>
      <c r="GS8" s="4">
        <v>65</v>
      </c>
      <c r="GT8" s="4">
        <v>61</v>
      </c>
      <c r="GU8" s="4">
        <v>58</v>
      </c>
      <c r="GV8" s="4">
        <v>54</v>
      </c>
      <c r="GW8" s="4">
        <v>50</v>
      </c>
      <c r="GX8" s="4">
        <v>46</v>
      </c>
      <c r="GY8" s="4">
        <v>42</v>
      </c>
      <c r="GZ8" s="4">
        <v>38</v>
      </c>
      <c r="HA8" s="4">
        <v>34</v>
      </c>
      <c r="HB8" s="4">
        <v>30</v>
      </c>
      <c r="HC8" s="4">
        <v>150</v>
      </c>
      <c r="HD8" s="19">
        <v>20</v>
      </c>
      <c r="HE8" s="19">
        <v>19.3</v>
      </c>
      <c r="HF8" s="19">
        <v>18.3</v>
      </c>
      <c r="HG8" s="19">
        <v>13.8</v>
      </c>
      <c r="HH8" s="19">
        <v>25.8</v>
      </c>
      <c r="HI8" s="19">
        <v>25</v>
      </c>
      <c r="HJ8" s="19">
        <v>23.8</v>
      </c>
      <c r="HK8" s="19">
        <v>22.8</v>
      </c>
      <c r="HL8" s="19">
        <v>21.8</v>
      </c>
      <c r="HM8" s="19">
        <v>15</v>
      </c>
      <c r="HN8" s="19">
        <v>14.3</v>
      </c>
      <c r="HO8" s="19">
        <v>13.4</v>
      </c>
      <c r="HP8" s="19">
        <v>12.6</v>
      </c>
      <c r="HQ8" s="19">
        <v>15.4</v>
      </c>
      <c r="HR8" s="19">
        <v>17.8</v>
      </c>
      <c r="HS8" s="19">
        <v>16.3</v>
      </c>
      <c r="HT8" s="19">
        <v>15.3</v>
      </c>
      <c r="HU8" s="19">
        <v>14.5</v>
      </c>
      <c r="HV8" s="19">
        <v>13.5</v>
      </c>
      <c r="HW8" s="19">
        <v>12.5</v>
      </c>
      <c r="HX8" s="19">
        <v>11.5</v>
      </c>
      <c r="HY8" s="19">
        <v>10.5</v>
      </c>
      <c r="HZ8" s="19">
        <v>9.5</v>
      </c>
      <c r="IA8" s="19">
        <v>8.5</v>
      </c>
      <c r="IB8" s="19">
        <v>7.5</v>
      </c>
      <c r="IC8" s="19">
        <v>37.5</v>
      </c>
    </row>
    <row r="9">
      <c r="A9" s="2" t="s">
        <v>269</v>
      </c>
      <c r="B9" s="2" t="s">
        <v>255</v>
      </c>
      <c r="C9" s="2" t="s">
        <v>256</v>
      </c>
      <c r="D9" s="2" t="s">
        <v>257</v>
      </c>
      <c r="E9" s="2" t="s">
        <v>258</v>
      </c>
      <c r="F9" s="2" t="s">
        <v>259</v>
      </c>
      <c r="G9" s="2" t="s">
        <v>259</v>
      </c>
      <c r="H9" s="2" t="s">
        <v>259</v>
      </c>
      <c r="I9" s="2" t="s">
        <v>260</v>
      </c>
      <c r="J9" s="2" t="s">
        <v>270</v>
      </c>
      <c r="K9" s="2" t="s">
        <v>231</v>
      </c>
      <c r="L9" s="3">
        <v>80</v>
      </c>
      <c r="M9" s="3">
        <v>84</v>
      </c>
      <c r="N9" s="3">
        <v>199.99</v>
      </c>
      <c r="O9" s="2" t="s">
        <v>232</v>
      </c>
      <c r="P9" s="2" t="s">
        <v>262</v>
      </c>
      <c r="Q9" s="2" t="s">
        <v>234</v>
      </c>
      <c r="R9" s="2" t="s">
        <v>235</v>
      </c>
      <c r="S9" s="2" t="s">
        <v>235</v>
      </c>
      <c r="T9" s="2" t="s">
        <v>263</v>
      </c>
      <c r="U9" s="2" t="s">
        <v>264</v>
      </c>
      <c r="V9" s="2" t="s">
        <v>238</v>
      </c>
      <c r="W9" s="2" t="s">
        <v>265</v>
      </c>
      <c r="X9" s="2" t="s">
        <v>235</v>
      </c>
      <c r="Y9" s="2" t="s">
        <v>266</v>
      </c>
      <c r="Z9" s="4">
        <v>102</v>
      </c>
      <c r="AA9" s="4">
        <f>=ROUNDDOWN(20.4,0)</f>
      </c>
      <c r="AB9" s="5">
        <v>5</v>
      </c>
      <c r="AC9" s="2" t="s">
        <v>267</v>
      </c>
      <c r="AD9" s="4">
        <v>87</v>
      </c>
      <c r="AE9" s="4">
        <v>87</v>
      </c>
      <c r="AF9" s="6">
        <v>78</v>
      </c>
      <c r="AG9" s="6"/>
      <c r="AH9" s="7"/>
      <c r="AI9" s="4"/>
      <c r="AJ9" s="4">
        <f>=ROUNDDOWN({0},0)</f>
      </c>
      <c r="AK9" s="5"/>
      <c r="AL9" s="2" t="s">
        <v>235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235</v>
      </c>
      <c r="AW9" s="8" t="s">
        <v>235</v>
      </c>
      <c r="AX9" s="4" t="s">
        <v>235</v>
      </c>
      <c r="AY9" s="8" t="s">
        <v>235</v>
      </c>
      <c r="AZ9" s="7" t="s">
        <v>235</v>
      </c>
      <c r="BA9" s="7" t="s">
        <v>235</v>
      </c>
      <c r="BB9" s="7"/>
      <c r="BC9" s="4" t="s">
        <v>235</v>
      </c>
      <c r="BD9" s="8" t="s">
        <v>235</v>
      </c>
      <c r="BE9" s="4" t="s">
        <v>235</v>
      </c>
      <c r="BF9" s="8" t="s">
        <v>235</v>
      </c>
      <c r="BG9" s="7" t="s">
        <v>235</v>
      </c>
      <c r="BH9" s="7" t="s">
        <v>235</v>
      </c>
      <c r="BI9" s="7"/>
      <c r="BJ9" s="4"/>
      <c r="BK9" s="8"/>
      <c r="BL9" s="2" t="s">
        <v>235</v>
      </c>
      <c r="BM9" s="7"/>
      <c r="BN9" s="7"/>
      <c r="BO9" s="4"/>
      <c r="BP9" s="8"/>
      <c r="BQ9" s="4"/>
      <c r="BR9" s="8"/>
      <c r="BS9" s="7"/>
      <c r="BT9" s="7"/>
      <c r="BU9" s="2" t="s">
        <v>268</v>
      </c>
      <c r="BV9" s="2" t="s">
        <v>235</v>
      </c>
      <c r="BW9" s="2" t="s">
        <v>235</v>
      </c>
      <c r="BX9" s="2" t="s">
        <v>244</v>
      </c>
      <c r="BY9" s="2" t="s">
        <v>245</v>
      </c>
      <c r="BZ9" s="2" t="s">
        <v>232</v>
      </c>
      <c r="CA9" s="2" t="s">
        <v>235</v>
      </c>
      <c r="CB9" s="2" t="s">
        <v>235</v>
      </c>
      <c r="CC9" s="2" t="s">
        <v>248</v>
      </c>
      <c r="CD9" s="2" t="s">
        <v>248</v>
      </c>
      <c r="CE9" s="2" t="s">
        <v>235</v>
      </c>
      <c r="CF9" s="4"/>
      <c r="CG9" s="4"/>
      <c r="CH9" s="4"/>
      <c r="CI9" s="4"/>
      <c r="CJ9" s="4"/>
      <c r="CK9" s="4"/>
      <c r="CL9" s="4"/>
      <c r="CM9" s="4">
        <v>102</v>
      </c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>
        <v>87</v>
      </c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>
        <v>102</v>
      </c>
      <c r="GE9" s="4">
        <v>99</v>
      </c>
      <c r="GF9" s="4">
        <v>94</v>
      </c>
      <c r="GG9" s="4">
        <v>89</v>
      </c>
      <c r="GH9" s="4">
        <v>171</v>
      </c>
      <c r="GI9" s="4">
        <v>166</v>
      </c>
      <c r="GJ9" s="4">
        <v>159</v>
      </c>
      <c r="GK9" s="4">
        <v>153</v>
      </c>
      <c r="GL9" s="4">
        <v>147</v>
      </c>
      <c r="GM9" s="4">
        <v>142</v>
      </c>
      <c r="GN9" s="4">
        <v>136</v>
      </c>
      <c r="GO9" s="4">
        <v>129</v>
      </c>
      <c r="GP9" s="4">
        <v>121</v>
      </c>
      <c r="GQ9" s="4">
        <v>107</v>
      </c>
      <c r="GR9" s="4">
        <v>99</v>
      </c>
      <c r="GS9" s="4">
        <v>92</v>
      </c>
      <c r="GT9" s="4">
        <v>87</v>
      </c>
      <c r="GU9" s="4">
        <v>83</v>
      </c>
      <c r="GV9" s="4">
        <v>78</v>
      </c>
      <c r="GW9" s="4">
        <v>73</v>
      </c>
      <c r="GX9" s="4">
        <v>68</v>
      </c>
      <c r="GY9" s="4">
        <v>63</v>
      </c>
      <c r="GZ9" s="4">
        <v>58</v>
      </c>
      <c r="HA9" s="4">
        <v>53</v>
      </c>
      <c r="HB9" s="4">
        <v>48</v>
      </c>
      <c r="HC9" s="4">
        <v>186</v>
      </c>
      <c r="HD9" s="19">
        <v>25.5</v>
      </c>
      <c r="HE9" s="19">
        <v>19.8</v>
      </c>
      <c r="HF9" s="19">
        <v>15.7</v>
      </c>
      <c r="HG9" s="19">
        <v>14.8</v>
      </c>
      <c r="HH9" s="19">
        <v>28.5</v>
      </c>
      <c r="HI9" s="19">
        <v>27.7</v>
      </c>
      <c r="HJ9" s="19">
        <v>26.5</v>
      </c>
      <c r="HK9" s="19">
        <v>25.5</v>
      </c>
      <c r="HL9" s="19">
        <v>24.5</v>
      </c>
      <c r="HM9" s="19">
        <v>15.8</v>
      </c>
      <c r="HN9" s="19">
        <v>15.1</v>
      </c>
      <c r="HO9" s="19">
        <v>14.3</v>
      </c>
      <c r="HP9" s="19">
        <v>15.1</v>
      </c>
      <c r="HQ9" s="19">
        <v>17.8</v>
      </c>
      <c r="HR9" s="19">
        <v>19.8</v>
      </c>
      <c r="HS9" s="19">
        <v>18.4</v>
      </c>
      <c r="HT9" s="19">
        <v>17.4</v>
      </c>
      <c r="HU9" s="19">
        <v>16.6</v>
      </c>
      <c r="HV9" s="19">
        <v>15.6</v>
      </c>
      <c r="HW9" s="19">
        <v>14.6</v>
      </c>
      <c r="HX9" s="19">
        <v>13.6</v>
      </c>
      <c r="HY9" s="19">
        <v>12.6</v>
      </c>
      <c r="HZ9" s="19">
        <v>11.6</v>
      </c>
      <c r="IA9" s="19">
        <v>10.6</v>
      </c>
      <c r="IB9" s="19">
        <v>9.6</v>
      </c>
      <c r="IC9" s="19">
        <v>37.2</v>
      </c>
    </row>
    <row r="10">
      <c r="A10" s="2" t="s">
        <v>271</v>
      </c>
      <c r="B10" s="2" t="s">
        <v>255</v>
      </c>
      <c r="C10" s="2" t="s">
        <v>256</v>
      </c>
      <c r="D10" s="2" t="s">
        <v>257</v>
      </c>
      <c r="E10" s="2" t="s">
        <v>258</v>
      </c>
      <c r="F10" s="2" t="s">
        <v>259</v>
      </c>
      <c r="G10" s="2" t="s">
        <v>259</v>
      </c>
      <c r="H10" s="2" t="s">
        <v>259</v>
      </c>
      <c r="I10" s="2" t="s">
        <v>260</v>
      </c>
      <c r="J10" s="2" t="s">
        <v>272</v>
      </c>
      <c r="K10" s="2" t="s">
        <v>231</v>
      </c>
      <c r="L10" s="3">
        <v>84</v>
      </c>
      <c r="M10" s="3">
        <v>88.2</v>
      </c>
      <c r="N10" s="3">
        <v>209.99</v>
      </c>
      <c r="O10" s="2" t="s">
        <v>232</v>
      </c>
      <c r="P10" s="2" t="s">
        <v>262</v>
      </c>
      <c r="Q10" s="2" t="s">
        <v>234</v>
      </c>
      <c r="R10" s="2" t="s">
        <v>235</v>
      </c>
      <c r="S10" s="2" t="s">
        <v>235</v>
      </c>
      <c r="T10" s="2" t="s">
        <v>263</v>
      </c>
      <c r="U10" s="2" t="s">
        <v>264</v>
      </c>
      <c r="V10" s="2" t="s">
        <v>238</v>
      </c>
      <c r="W10" s="2" t="s">
        <v>265</v>
      </c>
      <c r="X10" s="2" t="s">
        <v>235</v>
      </c>
      <c r="Y10" s="2" t="s">
        <v>266</v>
      </c>
      <c r="Z10" s="4">
        <v>39</v>
      </c>
      <c r="AA10" s="4">
        <f>=ROUNDDOWN(13,0)</f>
      </c>
      <c r="AB10" s="5">
        <v>3</v>
      </c>
      <c r="AC10" s="2" t="s">
        <v>267</v>
      </c>
      <c r="AD10" s="4">
        <v>21</v>
      </c>
      <c r="AE10" s="4">
        <v>21</v>
      </c>
      <c r="AF10" s="6">
        <v>78</v>
      </c>
      <c r="AG10" s="6"/>
      <c r="AH10" s="7"/>
      <c r="AI10" s="4"/>
      <c r="AJ10" s="4">
        <f>=ROUNDDOWN({0},0)</f>
      </c>
      <c r="AK10" s="5"/>
      <c r="AL10" s="2" t="s">
        <v>235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235</v>
      </c>
      <c r="AW10" s="8" t="s">
        <v>235</v>
      </c>
      <c r="AX10" s="4" t="s">
        <v>235</v>
      </c>
      <c r="AY10" s="8" t="s">
        <v>235</v>
      </c>
      <c r="AZ10" s="7" t="s">
        <v>235</v>
      </c>
      <c r="BA10" s="7" t="s">
        <v>235</v>
      </c>
      <c r="BB10" s="7"/>
      <c r="BC10" s="4" t="s">
        <v>235</v>
      </c>
      <c r="BD10" s="8" t="s">
        <v>235</v>
      </c>
      <c r="BE10" s="4" t="s">
        <v>235</v>
      </c>
      <c r="BF10" s="8" t="s">
        <v>235</v>
      </c>
      <c r="BG10" s="7" t="s">
        <v>235</v>
      </c>
      <c r="BH10" s="7" t="s">
        <v>235</v>
      </c>
      <c r="BI10" s="7"/>
      <c r="BJ10" s="4"/>
      <c r="BK10" s="8"/>
      <c r="BL10" s="2" t="s">
        <v>235</v>
      </c>
      <c r="BM10" s="7"/>
      <c r="BN10" s="7"/>
      <c r="BO10" s="4"/>
      <c r="BP10" s="8"/>
      <c r="BQ10" s="4"/>
      <c r="BR10" s="8"/>
      <c r="BS10" s="7"/>
      <c r="BT10" s="7"/>
      <c r="BU10" s="2" t="s">
        <v>268</v>
      </c>
      <c r="BV10" s="2" t="s">
        <v>235</v>
      </c>
      <c r="BW10" s="2" t="s">
        <v>235</v>
      </c>
      <c r="BX10" s="2" t="s">
        <v>244</v>
      </c>
      <c r="BY10" s="2" t="s">
        <v>245</v>
      </c>
      <c r="BZ10" s="2" t="s">
        <v>232</v>
      </c>
      <c r="CA10" s="2" t="s">
        <v>235</v>
      </c>
      <c r="CB10" s="2" t="s">
        <v>235</v>
      </c>
      <c r="CC10" s="2" t="s">
        <v>248</v>
      </c>
      <c r="CD10" s="2" t="s">
        <v>248</v>
      </c>
      <c r="CE10" s="2" t="s">
        <v>235</v>
      </c>
      <c r="CF10" s="4">
        <v>39</v>
      </c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>
        <v>21</v>
      </c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>
        <v>39</v>
      </c>
      <c r="GE10" s="4">
        <v>36</v>
      </c>
      <c r="GF10" s="4">
        <v>33</v>
      </c>
      <c r="GG10" s="4">
        <v>30</v>
      </c>
      <c r="GH10" s="4">
        <v>48</v>
      </c>
      <c r="GI10" s="4">
        <v>45</v>
      </c>
      <c r="GJ10" s="4">
        <v>40</v>
      </c>
      <c r="GK10" s="4">
        <v>36</v>
      </c>
      <c r="GL10" s="4">
        <v>32</v>
      </c>
      <c r="GM10" s="4">
        <v>29</v>
      </c>
      <c r="GN10" s="4">
        <v>26</v>
      </c>
      <c r="GO10" s="4">
        <v>22</v>
      </c>
      <c r="GP10" s="4">
        <v>18</v>
      </c>
      <c r="GQ10" s="4">
        <v>11</v>
      </c>
      <c r="GR10" s="4">
        <v>7</v>
      </c>
      <c r="GS10" s="4">
        <v>3</v>
      </c>
      <c r="GT10" s="4"/>
      <c r="GU10" s="4"/>
      <c r="GV10" s="4"/>
      <c r="GW10" s="4"/>
      <c r="GX10" s="4"/>
      <c r="GY10" s="4"/>
      <c r="GZ10" s="4"/>
      <c r="HA10" s="4"/>
      <c r="HB10" s="4"/>
      <c r="HC10" s="4">
        <v>121</v>
      </c>
      <c r="HD10" s="19">
        <v>13</v>
      </c>
      <c r="HE10" s="19">
        <v>12</v>
      </c>
      <c r="HF10" s="19">
        <v>8.3</v>
      </c>
      <c r="HG10" s="19">
        <v>7.5</v>
      </c>
      <c r="HH10" s="19">
        <v>12</v>
      </c>
      <c r="HI10" s="19">
        <v>11.3</v>
      </c>
      <c r="HJ10" s="19">
        <v>10</v>
      </c>
      <c r="HK10" s="19">
        <v>9</v>
      </c>
      <c r="HL10" s="19">
        <v>8</v>
      </c>
      <c r="HM10" s="19">
        <v>7.3</v>
      </c>
      <c r="HN10" s="19">
        <v>5.2</v>
      </c>
      <c r="HO10" s="19">
        <v>4.4</v>
      </c>
      <c r="HP10" s="19">
        <v>4.5</v>
      </c>
      <c r="HQ10" s="19">
        <v>3.7</v>
      </c>
      <c r="HR10" s="19">
        <v>3.5</v>
      </c>
      <c r="HS10" s="19">
        <v>1.5</v>
      </c>
      <c r="HT10" s="20">
        <v>0</v>
      </c>
      <c r="HU10" s="20">
        <v>0</v>
      </c>
      <c r="HV10" s="20">
        <v>0</v>
      </c>
      <c r="HW10" s="20">
        <v>0</v>
      </c>
      <c r="HX10" s="20">
        <v>0</v>
      </c>
      <c r="HY10" s="20">
        <v>0</v>
      </c>
      <c r="HZ10" s="20">
        <v>0</v>
      </c>
      <c r="IA10" s="20">
        <v>0</v>
      </c>
      <c r="IB10" s="20">
        <v>0</v>
      </c>
      <c r="IC10" s="19">
        <v>24.2</v>
      </c>
    </row>
    <row r="11">
      <c r="A11" s="2" t="s">
        <v>273</v>
      </c>
      <c r="B11" s="2" t="s">
        <v>255</v>
      </c>
      <c r="C11" s="2" t="s">
        <v>256</v>
      </c>
      <c r="D11" s="2" t="s">
        <v>274</v>
      </c>
      <c r="E11" s="2" t="s">
        <v>275</v>
      </c>
      <c r="F11" s="2" t="s">
        <v>259</v>
      </c>
      <c r="G11" s="2" t="s">
        <v>259</v>
      </c>
      <c r="H11" s="2" t="s">
        <v>259</v>
      </c>
      <c r="I11" s="2" t="s">
        <v>276</v>
      </c>
      <c r="J11" s="2" t="s">
        <v>277</v>
      </c>
      <c r="K11" s="2" t="s">
        <v>231</v>
      </c>
      <c r="L11" s="3">
        <v>20</v>
      </c>
      <c r="M11" s="3">
        <v>21</v>
      </c>
      <c r="N11" s="3">
        <v>49.99</v>
      </c>
      <c r="O11" s="2" t="s">
        <v>232</v>
      </c>
      <c r="P11" s="2" t="s">
        <v>262</v>
      </c>
      <c r="Q11" s="2" t="s">
        <v>234</v>
      </c>
      <c r="R11" s="2" t="s">
        <v>235</v>
      </c>
      <c r="S11" s="2" t="s">
        <v>235</v>
      </c>
      <c r="T11" s="2" t="s">
        <v>263</v>
      </c>
      <c r="U11" s="2" t="s">
        <v>278</v>
      </c>
      <c r="V11" s="2" t="s">
        <v>238</v>
      </c>
      <c r="W11" s="2" t="s">
        <v>265</v>
      </c>
      <c r="X11" s="2" t="s">
        <v>235</v>
      </c>
      <c r="Y11" s="2" t="s">
        <v>266</v>
      </c>
      <c r="Z11" s="4">
        <v>30</v>
      </c>
      <c r="AA11" s="4">
        <f>=ROUNDDOWN(15,0)</f>
      </c>
      <c r="AB11" s="5">
        <v>2</v>
      </c>
      <c r="AC11" s="2" t="s">
        <v>267</v>
      </c>
      <c r="AD11" s="4">
        <v>30</v>
      </c>
      <c r="AE11" s="4">
        <v>30</v>
      </c>
      <c r="AF11" s="6">
        <v>78</v>
      </c>
      <c r="AG11" s="6"/>
      <c r="AH11" s="7"/>
      <c r="AI11" s="4"/>
      <c r="AJ11" s="4">
        <f>=ROUNDDOWN({0},0)</f>
      </c>
      <c r="AK11" s="5"/>
      <c r="AL11" s="2" t="s">
        <v>235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235</v>
      </c>
      <c r="AW11" s="8" t="s">
        <v>235</v>
      </c>
      <c r="AX11" s="4" t="s">
        <v>235</v>
      </c>
      <c r="AY11" s="8" t="s">
        <v>235</v>
      </c>
      <c r="AZ11" s="7" t="s">
        <v>235</v>
      </c>
      <c r="BA11" s="7" t="s">
        <v>235</v>
      </c>
      <c r="BB11" s="7"/>
      <c r="BC11" s="4" t="s">
        <v>235</v>
      </c>
      <c r="BD11" s="8" t="s">
        <v>235</v>
      </c>
      <c r="BE11" s="4" t="s">
        <v>235</v>
      </c>
      <c r="BF11" s="8" t="s">
        <v>235</v>
      </c>
      <c r="BG11" s="7" t="s">
        <v>235</v>
      </c>
      <c r="BH11" s="7" t="s">
        <v>235</v>
      </c>
      <c r="BI11" s="7"/>
      <c r="BJ11" s="4"/>
      <c r="BK11" s="8"/>
      <c r="BL11" s="2" t="s">
        <v>235</v>
      </c>
      <c r="BM11" s="7"/>
      <c r="BN11" s="7"/>
      <c r="BO11" s="4"/>
      <c r="BP11" s="8"/>
      <c r="BQ11" s="4"/>
      <c r="BR11" s="8"/>
      <c r="BS11" s="7"/>
      <c r="BT11" s="7"/>
      <c r="BU11" s="2" t="s">
        <v>279</v>
      </c>
      <c r="BV11" s="2" t="s">
        <v>235</v>
      </c>
      <c r="BW11" s="2" t="s">
        <v>235</v>
      </c>
      <c r="BX11" s="2" t="s">
        <v>244</v>
      </c>
      <c r="BY11" s="2" t="s">
        <v>245</v>
      </c>
      <c r="BZ11" s="2" t="s">
        <v>232</v>
      </c>
      <c r="CA11" s="2" t="s">
        <v>235</v>
      </c>
      <c r="CB11" s="2" t="s">
        <v>235</v>
      </c>
      <c r="CC11" s="2" t="s">
        <v>248</v>
      </c>
      <c r="CD11" s="2" t="s">
        <v>248</v>
      </c>
      <c r="CE11" s="2" t="s">
        <v>235</v>
      </c>
      <c r="CF11" s="4">
        <v>30</v>
      </c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>
        <v>30</v>
      </c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>
        <v>30</v>
      </c>
      <c r="GE11" s="4">
        <v>27</v>
      </c>
      <c r="GF11" s="4">
        <v>25</v>
      </c>
      <c r="GG11" s="4">
        <v>23</v>
      </c>
      <c r="GH11" s="4">
        <v>51</v>
      </c>
      <c r="GI11" s="4">
        <v>49</v>
      </c>
      <c r="GJ11" s="4">
        <v>45</v>
      </c>
      <c r="GK11" s="4">
        <v>42</v>
      </c>
      <c r="GL11" s="4">
        <v>39</v>
      </c>
      <c r="GM11" s="4">
        <v>37</v>
      </c>
      <c r="GN11" s="4">
        <v>35</v>
      </c>
      <c r="GO11" s="4">
        <v>32</v>
      </c>
      <c r="GP11" s="4">
        <v>29</v>
      </c>
      <c r="GQ11" s="4">
        <v>25</v>
      </c>
      <c r="GR11" s="4">
        <v>22</v>
      </c>
      <c r="GS11" s="4">
        <v>19</v>
      </c>
      <c r="GT11" s="4">
        <v>17</v>
      </c>
      <c r="GU11" s="4">
        <v>15</v>
      </c>
      <c r="GV11" s="4">
        <v>13</v>
      </c>
      <c r="GW11" s="4">
        <v>11</v>
      </c>
      <c r="GX11" s="4">
        <v>9</v>
      </c>
      <c r="GY11" s="4">
        <v>7</v>
      </c>
      <c r="GZ11" s="4">
        <v>5</v>
      </c>
      <c r="HA11" s="4">
        <v>3</v>
      </c>
      <c r="HB11" s="4">
        <v>1</v>
      </c>
      <c r="HC11" s="4">
        <v>79</v>
      </c>
      <c r="HD11" s="19">
        <v>15</v>
      </c>
      <c r="HE11" s="19">
        <v>13.5</v>
      </c>
      <c r="HF11" s="19">
        <v>12.5</v>
      </c>
      <c r="HG11" s="19">
        <v>7.7</v>
      </c>
      <c r="HH11" s="19">
        <v>17</v>
      </c>
      <c r="HI11" s="19">
        <v>16.3</v>
      </c>
      <c r="HJ11" s="19">
        <v>22.5</v>
      </c>
      <c r="HK11" s="19">
        <v>21</v>
      </c>
      <c r="HL11" s="19">
        <v>19.5</v>
      </c>
      <c r="HM11" s="19">
        <v>12.3</v>
      </c>
      <c r="HN11" s="19">
        <v>11.7</v>
      </c>
      <c r="HO11" s="19">
        <v>10.7</v>
      </c>
      <c r="HP11" s="19">
        <v>9.7</v>
      </c>
      <c r="HQ11" s="19">
        <v>12.5</v>
      </c>
      <c r="HR11" s="19">
        <v>11</v>
      </c>
      <c r="HS11" s="19">
        <v>9.5</v>
      </c>
      <c r="HT11" s="19">
        <v>8.5</v>
      </c>
      <c r="HU11" s="19">
        <v>7.5</v>
      </c>
      <c r="HV11" s="19">
        <v>6.5</v>
      </c>
      <c r="HW11" s="19">
        <v>5.5</v>
      </c>
      <c r="HX11" s="19">
        <v>4.5</v>
      </c>
      <c r="HY11" s="19">
        <v>3.5</v>
      </c>
      <c r="HZ11" s="19">
        <v>2.5</v>
      </c>
      <c r="IA11" s="19">
        <v>1.5</v>
      </c>
      <c r="IB11" s="19">
        <v>0.5</v>
      </c>
      <c r="IC11" s="19">
        <v>39.5</v>
      </c>
    </row>
    <row r="12">
      <c r="A12" s="2" t="s">
        <v>280</v>
      </c>
      <c r="B12" s="2" t="s">
        <v>255</v>
      </c>
      <c r="C12" s="2" t="s">
        <v>256</v>
      </c>
      <c r="D12" s="2" t="s">
        <v>257</v>
      </c>
      <c r="E12" s="2" t="s">
        <v>258</v>
      </c>
      <c r="F12" s="2" t="s">
        <v>259</v>
      </c>
      <c r="G12" s="2" t="s">
        <v>259</v>
      </c>
      <c r="H12" s="2" t="s">
        <v>259</v>
      </c>
      <c r="I12" s="2" t="s">
        <v>260</v>
      </c>
      <c r="J12" s="2" t="s">
        <v>281</v>
      </c>
      <c r="K12" s="2" t="s">
        <v>231</v>
      </c>
      <c r="L12" s="3">
        <v>104</v>
      </c>
      <c r="M12" s="3">
        <v>109.2</v>
      </c>
      <c r="N12" s="3">
        <v>259.99</v>
      </c>
      <c r="O12" s="2" t="s">
        <v>232</v>
      </c>
      <c r="P12" s="2" t="s">
        <v>262</v>
      </c>
      <c r="Q12" s="2" t="s">
        <v>234</v>
      </c>
      <c r="R12" s="2" t="s">
        <v>235</v>
      </c>
      <c r="S12" s="2" t="s">
        <v>235</v>
      </c>
      <c r="T12" s="2" t="s">
        <v>263</v>
      </c>
      <c r="U12" s="2" t="s">
        <v>282</v>
      </c>
      <c r="V12" s="2" t="s">
        <v>238</v>
      </c>
      <c r="W12" s="2" t="s">
        <v>265</v>
      </c>
      <c r="X12" s="2" t="s">
        <v>235</v>
      </c>
      <c r="Y12" s="2" t="s">
        <v>266</v>
      </c>
      <c r="Z12" s="4">
        <v>39</v>
      </c>
      <c r="AA12" s="4">
        <f>=ROUNDDOWN(13,0)</f>
      </c>
      <c r="AB12" s="5">
        <v>3</v>
      </c>
      <c r="AC12" s="2" t="s">
        <v>267</v>
      </c>
      <c r="AD12" s="4">
        <v>33</v>
      </c>
      <c r="AE12" s="4">
        <v>33</v>
      </c>
      <c r="AF12" s="6">
        <v>78</v>
      </c>
      <c r="AG12" s="6"/>
      <c r="AH12" s="7"/>
      <c r="AI12" s="4"/>
      <c r="AJ12" s="4">
        <f>=ROUNDDOWN({0},0)</f>
      </c>
      <c r="AK12" s="5"/>
      <c r="AL12" s="2" t="s">
        <v>235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235</v>
      </c>
      <c r="AW12" s="8" t="s">
        <v>235</v>
      </c>
      <c r="AX12" s="4" t="s">
        <v>235</v>
      </c>
      <c r="AY12" s="8" t="s">
        <v>235</v>
      </c>
      <c r="AZ12" s="7" t="s">
        <v>235</v>
      </c>
      <c r="BA12" s="7" t="s">
        <v>235</v>
      </c>
      <c r="BB12" s="7"/>
      <c r="BC12" s="4" t="s">
        <v>235</v>
      </c>
      <c r="BD12" s="8" t="s">
        <v>235</v>
      </c>
      <c r="BE12" s="4" t="s">
        <v>235</v>
      </c>
      <c r="BF12" s="8" t="s">
        <v>235</v>
      </c>
      <c r="BG12" s="7" t="s">
        <v>235</v>
      </c>
      <c r="BH12" s="7" t="s">
        <v>235</v>
      </c>
      <c r="BI12" s="7"/>
      <c r="BJ12" s="4"/>
      <c r="BK12" s="8"/>
      <c r="BL12" s="2" t="s">
        <v>235</v>
      </c>
      <c r="BM12" s="7"/>
      <c r="BN12" s="7"/>
      <c r="BO12" s="4"/>
      <c r="BP12" s="8"/>
      <c r="BQ12" s="4"/>
      <c r="BR12" s="8"/>
      <c r="BS12" s="7"/>
      <c r="BT12" s="7"/>
      <c r="BU12" s="2" t="s">
        <v>268</v>
      </c>
      <c r="BV12" s="2" t="s">
        <v>235</v>
      </c>
      <c r="BW12" s="2" t="s">
        <v>235</v>
      </c>
      <c r="BX12" s="2" t="s">
        <v>244</v>
      </c>
      <c r="BY12" s="2" t="s">
        <v>245</v>
      </c>
      <c r="BZ12" s="2" t="s">
        <v>232</v>
      </c>
      <c r="CA12" s="2" t="s">
        <v>235</v>
      </c>
      <c r="CB12" s="2" t="s">
        <v>235</v>
      </c>
      <c r="CC12" s="2" t="s">
        <v>248</v>
      </c>
      <c r="CD12" s="2" t="s">
        <v>248</v>
      </c>
      <c r="CE12" s="2" t="s">
        <v>235</v>
      </c>
      <c r="CF12" s="4">
        <v>39</v>
      </c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>
        <v>33</v>
      </c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>
        <v>39</v>
      </c>
      <c r="GE12" s="4">
        <v>36</v>
      </c>
      <c r="GF12" s="4">
        <v>33</v>
      </c>
      <c r="GG12" s="4">
        <v>30</v>
      </c>
      <c r="GH12" s="4">
        <v>60</v>
      </c>
      <c r="GI12" s="4">
        <v>57</v>
      </c>
      <c r="GJ12" s="4">
        <v>52</v>
      </c>
      <c r="GK12" s="4">
        <v>48</v>
      </c>
      <c r="GL12" s="4">
        <v>44</v>
      </c>
      <c r="GM12" s="4">
        <v>41</v>
      </c>
      <c r="GN12" s="4">
        <v>38</v>
      </c>
      <c r="GO12" s="4">
        <v>34</v>
      </c>
      <c r="GP12" s="4">
        <v>30</v>
      </c>
      <c r="GQ12" s="4">
        <v>23</v>
      </c>
      <c r="GR12" s="4">
        <v>19</v>
      </c>
      <c r="GS12" s="4">
        <v>15</v>
      </c>
      <c r="GT12" s="4">
        <v>12</v>
      </c>
      <c r="GU12" s="4">
        <v>10</v>
      </c>
      <c r="GV12" s="4">
        <v>7</v>
      </c>
      <c r="GW12" s="4">
        <v>4</v>
      </c>
      <c r="GX12" s="4">
        <v>1</v>
      </c>
      <c r="GY12" s="4"/>
      <c r="GZ12" s="4"/>
      <c r="HA12" s="4"/>
      <c r="HB12" s="4"/>
      <c r="HC12" s="4">
        <v>119</v>
      </c>
      <c r="HD12" s="19">
        <v>13</v>
      </c>
      <c r="HE12" s="19">
        <v>12</v>
      </c>
      <c r="HF12" s="19">
        <v>8.3</v>
      </c>
      <c r="HG12" s="19">
        <v>7.5</v>
      </c>
      <c r="HH12" s="19">
        <v>15</v>
      </c>
      <c r="HI12" s="19">
        <v>14.3</v>
      </c>
      <c r="HJ12" s="19">
        <v>13</v>
      </c>
      <c r="HK12" s="19">
        <v>12</v>
      </c>
      <c r="HL12" s="19">
        <v>11</v>
      </c>
      <c r="HM12" s="19">
        <v>10.3</v>
      </c>
      <c r="HN12" s="19">
        <v>7.6</v>
      </c>
      <c r="HO12" s="19">
        <v>6.8</v>
      </c>
      <c r="HP12" s="19">
        <v>7.5</v>
      </c>
      <c r="HQ12" s="19">
        <v>7.7</v>
      </c>
      <c r="HR12" s="19">
        <v>6.3</v>
      </c>
      <c r="HS12" s="19">
        <v>5</v>
      </c>
      <c r="HT12" s="19">
        <v>4</v>
      </c>
      <c r="HU12" s="19">
        <v>3.3</v>
      </c>
      <c r="HV12" s="19">
        <v>3.5</v>
      </c>
      <c r="HW12" s="19">
        <v>2</v>
      </c>
      <c r="HX12" s="19">
        <v>0.5</v>
      </c>
      <c r="HY12" s="20">
        <v>0</v>
      </c>
      <c r="HZ12" s="20">
        <v>0</v>
      </c>
      <c r="IA12" s="20">
        <v>0</v>
      </c>
      <c r="IB12" s="20">
        <v>0</v>
      </c>
      <c r="IC12" s="19">
        <v>29.8</v>
      </c>
    </row>
    <row r="13">
      <c r="A13" s="2" t="s">
        <v>283</v>
      </c>
      <c r="B13" s="2" t="s">
        <v>255</v>
      </c>
      <c r="C13" s="2" t="s">
        <v>256</v>
      </c>
      <c r="D13" s="2" t="s">
        <v>274</v>
      </c>
      <c r="E13" s="2" t="s">
        <v>275</v>
      </c>
      <c r="F13" s="2" t="s">
        <v>259</v>
      </c>
      <c r="G13" s="2" t="s">
        <v>259</v>
      </c>
      <c r="H13" s="2" t="s">
        <v>259</v>
      </c>
      <c r="I13" s="2" t="s">
        <v>276</v>
      </c>
      <c r="J13" s="2" t="s">
        <v>284</v>
      </c>
      <c r="K13" s="2" t="s">
        <v>231</v>
      </c>
      <c r="L13" s="3">
        <v>20</v>
      </c>
      <c r="M13" s="3">
        <v>21</v>
      </c>
      <c r="N13" s="3">
        <v>49.99</v>
      </c>
      <c r="O13" s="2" t="s">
        <v>232</v>
      </c>
      <c r="P13" s="2" t="s">
        <v>262</v>
      </c>
      <c r="Q13" s="2" t="s">
        <v>234</v>
      </c>
      <c r="R13" s="2" t="s">
        <v>235</v>
      </c>
      <c r="S13" s="2" t="s">
        <v>235</v>
      </c>
      <c r="T13" s="2" t="s">
        <v>263</v>
      </c>
      <c r="U13" s="2" t="s">
        <v>278</v>
      </c>
      <c r="V13" s="2" t="s">
        <v>238</v>
      </c>
      <c r="W13" s="2" t="s">
        <v>265</v>
      </c>
      <c r="X13" s="2" t="s">
        <v>235</v>
      </c>
      <c r="Y13" s="2" t="s">
        <v>266</v>
      </c>
      <c r="Z13" s="4">
        <v>20</v>
      </c>
      <c r="AA13" s="4">
        <f>=ROUNDDOWN({0},0)</f>
      </c>
      <c r="AB13" s="5"/>
      <c r="AC13" s="2" t="s">
        <v>267</v>
      </c>
      <c r="AD13" s="4">
        <v>20</v>
      </c>
      <c r="AE13" s="4">
        <v>20</v>
      </c>
      <c r="AF13" s="6">
        <v>78</v>
      </c>
      <c r="AG13" s="6"/>
      <c r="AH13" s="7"/>
      <c r="AI13" s="4"/>
      <c r="AJ13" s="4">
        <f>=ROUNDDOWN({0},0)</f>
      </c>
      <c r="AK13" s="5"/>
      <c r="AL13" s="2" t="s">
        <v>235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235</v>
      </c>
      <c r="AW13" s="8" t="s">
        <v>235</v>
      </c>
      <c r="AX13" s="4" t="s">
        <v>235</v>
      </c>
      <c r="AY13" s="8" t="s">
        <v>235</v>
      </c>
      <c r="AZ13" s="7" t="s">
        <v>235</v>
      </c>
      <c r="BA13" s="7" t="s">
        <v>235</v>
      </c>
      <c r="BB13" s="7"/>
      <c r="BC13" s="4" t="s">
        <v>235</v>
      </c>
      <c r="BD13" s="8" t="s">
        <v>235</v>
      </c>
      <c r="BE13" s="4" t="s">
        <v>235</v>
      </c>
      <c r="BF13" s="8" t="s">
        <v>235</v>
      </c>
      <c r="BG13" s="7" t="s">
        <v>235</v>
      </c>
      <c r="BH13" s="7" t="s">
        <v>235</v>
      </c>
      <c r="BI13" s="7"/>
      <c r="BJ13" s="4"/>
      <c r="BK13" s="8"/>
      <c r="BL13" s="2" t="s">
        <v>235</v>
      </c>
      <c r="BM13" s="7"/>
      <c r="BN13" s="7"/>
      <c r="BO13" s="4"/>
      <c r="BP13" s="8"/>
      <c r="BQ13" s="4"/>
      <c r="BR13" s="8"/>
      <c r="BS13" s="7"/>
      <c r="BT13" s="7"/>
      <c r="BU13" s="2" t="s">
        <v>285</v>
      </c>
      <c r="BV13" s="2" t="s">
        <v>235</v>
      </c>
      <c r="BW13" s="2" t="s">
        <v>235</v>
      </c>
      <c r="BX13" s="2" t="s">
        <v>244</v>
      </c>
      <c r="BY13" s="2" t="s">
        <v>245</v>
      </c>
      <c r="BZ13" s="2" t="s">
        <v>232</v>
      </c>
      <c r="CA13" s="2" t="s">
        <v>235</v>
      </c>
      <c r="CB13" s="2" t="s">
        <v>235</v>
      </c>
      <c r="CC13" s="2" t="s">
        <v>248</v>
      </c>
      <c r="CD13" s="2" t="s">
        <v>248</v>
      </c>
      <c r="CE13" s="2" t="s">
        <v>235</v>
      </c>
      <c r="CF13" s="4">
        <v>20</v>
      </c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>
        <v>20</v>
      </c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>
        <v>20</v>
      </c>
      <c r="GE13" s="4">
        <v>17</v>
      </c>
      <c r="GF13" s="4">
        <v>15</v>
      </c>
      <c r="GG13" s="4">
        <v>13</v>
      </c>
      <c r="GH13" s="4">
        <v>31</v>
      </c>
      <c r="GI13" s="4">
        <v>29</v>
      </c>
      <c r="GJ13" s="4">
        <v>25</v>
      </c>
      <c r="GK13" s="4">
        <v>22</v>
      </c>
      <c r="GL13" s="4">
        <v>19</v>
      </c>
      <c r="GM13" s="4">
        <v>17</v>
      </c>
      <c r="GN13" s="4">
        <v>15</v>
      </c>
      <c r="GO13" s="4">
        <v>12</v>
      </c>
      <c r="GP13" s="4">
        <v>9</v>
      </c>
      <c r="GQ13" s="4">
        <v>5</v>
      </c>
      <c r="GR13" s="4">
        <v>2</v>
      </c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>
        <v>85</v>
      </c>
      <c r="HD13" s="19">
        <v>10</v>
      </c>
      <c r="HE13" s="19">
        <v>8.5</v>
      </c>
      <c r="HF13" s="19">
        <v>7.5</v>
      </c>
      <c r="HG13" s="19">
        <v>4.3</v>
      </c>
      <c r="HH13" s="19">
        <v>10.3</v>
      </c>
      <c r="HI13" s="19">
        <v>9.7</v>
      </c>
      <c r="HJ13" s="19">
        <v>12.5</v>
      </c>
      <c r="HK13" s="19">
        <v>11</v>
      </c>
      <c r="HL13" s="19">
        <v>9.5</v>
      </c>
      <c r="HM13" s="19">
        <v>5.7</v>
      </c>
      <c r="HN13" s="19">
        <v>5</v>
      </c>
      <c r="HO13" s="19">
        <v>4</v>
      </c>
      <c r="HP13" s="19">
        <v>4.5</v>
      </c>
      <c r="HQ13" s="19">
        <v>2.5</v>
      </c>
      <c r="HR13" s="19">
        <v>2</v>
      </c>
      <c r="HS13" s="20">
        <v>0</v>
      </c>
      <c r="HT13" s="20">
        <v>0</v>
      </c>
      <c r="HU13" s="20">
        <v>0</v>
      </c>
      <c r="HV13" s="20">
        <v>0</v>
      </c>
      <c r="HW13" s="20">
        <v>0</v>
      </c>
      <c r="HX13" s="20">
        <v>0</v>
      </c>
      <c r="HY13" s="20">
        <v>0</v>
      </c>
      <c r="HZ13" s="20">
        <v>0</v>
      </c>
      <c r="IA13" s="20">
        <v>0</v>
      </c>
      <c r="IB13" s="20">
        <v>0</v>
      </c>
      <c r="IC13" s="19">
        <v>21.3</v>
      </c>
    </row>
    <row r="14">
      <c r="A14" s="2" t="s">
        <v>286</v>
      </c>
      <c r="B14" s="2" t="s">
        <v>255</v>
      </c>
      <c r="C14" s="2" t="s">
        <v>256</v>
      </c>
      <c r="D14" s="2" t="s">
        <v>257</v>
      </c>
      <c r="E14" s="2" t="s">
        <v>258</v>
      </c>
      <c r="F14" s="2" t="s">
        <v>259</v>
      </c>
      <c r="G14" s="2" t="s">
        <v>259</v>
      </c>
      <c r="H14" s="2" t="s">
        <v>259</v>
      </c>
      <c r="I14" s="2" t="s">
        <v>260</v>
      </c>
      <c r="J14" s="2" t="s">
        <v>261</v>
      </c>
      <c r="K14" s="2" t="s">
        <v>287</v>
      </c>
      <c r="L14" s="3">
        <v>76</v>
      </c>
      <c r="M14" s="3">
        <v>79.8</v>
      </c>
      <c r="N14" s="3">
        <v>189.99</v>
      </c>
      <c r="O14" s="2" t="s">
        <v>232</v>
      </c>
      <c r="P14" s="2" t="s">
        <v>262</v>
      </c>
      <c r="Q14" s="2" t="s">
        <v>234</v>
      </c>
      <c r="R14" s="2" t="s">
        <v>235</v>
      </c>
      <c r="S14" s="2" t="s">
        <v>235</v>
      </c>
      <c r="T14" s="2" t="s">
        <v>263</v>
      </c>
      <c r="U14" s="2" t="s">
        <v>264</v>
      </c>
      <c r="V14" s="2" t="s">
        <v>238</v>
      </c>
      <c r="W14" s="2" t="s">
        <v>265</v>
      </c>
      <c r="X14" s="2" t="s">
        <v>235</v>
      </c>
      <c r="Y14" s="2" t="s">
        <v>266</v>
      </c>
      <c r="Z14" s="4">
        <v>152</v>
      </c>
      <c r="AA14" s="4">
        <f>=ROUNDDOWN(21.7142857142857,0)</f>
      </c>
      <c r="AB14" s="5">
        <v>7</v>
      </c>
      <c r="AC14" s="2" t="s">
        <v>267</v>
      </c>
      <c r="AD14" s="4">
        <v>148</v>
      </c>
      <c r="AE14" s="4">
        <v>148</v>
      </c>
      <c r="AF14" s="6">
        <v>78</v>
      </c>
      <c r="AG14" s="6"/>
      <c r="AH14" s="7"/>
      <c r="AI14" s="4"/>
      <c r="AJ14" s="4">
        <f>=ROUNDDOWN({0},0)</f>
      </c>
      <c r="AK14" s="5"/>
      <c r="AL14" s="2" t="s">
        <v>235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235</v>
      </c>
      <c r="AW14" s="8" t="s">
        <v>235</v>
      </c>
      <c r="AX14" s="4" t="s">
        <v>235</v>
      </c>
      <c r="AY14" s="8" t="s">
        <v>235</v>
      </c>
      <c r="AZ14" s="7" t="s">
        <v>235</v>
      </c>
      <c r="BA14" s="7" t="s">
        <v>235</v>
      </c>
      <c r="BB14" s="7"/>
      <c r="BC14" s="4" t="s">
        <v>235</v>
      </c>
      <c r="BD14" s="8" t="s">
        <v>235</v>
      </c>
      <c r="BE14" s="4" t="s">
        <v>235</v>
      </c>
      <c r="BF14" s="8" t="s">
        <v>235</v>
      </c>
      <c r="BG14" s="7" t="s">
        <v>235</v>
      </c>
      <c r="BH14" s="7" t="s">
        <v>235</v>
      </c>
      <c r="BI14" s="7"/>
      <c r="BJ14" s="4"/>
      <c r="BK14" s="8"/>
      <c r="BL14" s="2" t="s">
        <v>235</v>
      </c>
      <c r="BM14" s="7"/>
      <c r="BN14" s="7"/>
      <c r="BO14" s="4"/>
      <c r="BP14" s="8"/>
      <c r="BQ14" s="4"/>
      <c r="BR14" s="8"/>
      <c r="BS14" s="7"/>
      <c r="BT14" s="7"/>
      <c r="BU14" s="2" t="s">
        <v>268</v>
      </c>
      <c r="BV14" s="2" t="s">
        <v>235</v>
      </c>
      <c r="BW14" s="2" t="s">
        <v>235</v>
      </c>
      <c r="BX14" s="2" t="s">
        <v>244</v>
      </c>
      <c r="BY14" s="2" t="s">
        <v>245</v>
      </c>
      <c r="BZ14" s="2" t="s">
        <v>232</v>
      </c>
      <c r="CA14" s="2" t="s">
        <v>235</v>
      </c>
      <c r="CB14" s="2" t="s">
        <v>235</v>
      </c>
      <c r="CC14" s="2" t="s">
        <v>248</v>
      </c>
      <c r="CD14" s="2" t="s">
        <v>248</v>
      </c>
      <c r="CE14" s="2" t="s">
        <v>235</v>
      </c>
      <c r="CF14" s="4"/>
      <c r="CG14" s="4"/>
      <c r="CH14" s="4"/>
      <c r="CI14" s="4"/>
      <c r="CJ14" s="4"/>
      <c r="CK14" s="4"/>
      <c r="CL14" s="4"/>
      <c r="CM14" s="4">
        <v>152</v>
      </c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>
        <v>148</v>
      </c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>
        <v>152</v>
      </c>
      <c r="GE14" s="4">
        <v>149</v>
      </c>
      <c r="GF14" s="4">
        <v>142</v>
      </c>
      <c r="GG14" s="4">
        <v>135</v>
      </c>
      <c r="GH14" s="4">
        <v>276</v>
      </c>
      <c r="GI14" s="4">
        <v>269</v>
      </c>
      <c r="GJ14" s="4">
        <v>259</v>
      </c>
      <c r="GK14" s="4">
        <v>250</v>
      </c>
      <c r="GL14" s="4">
        <v>241</v>
      </c>
      <c r="GM14" s="4">
        <v>233</v>
      </c>
      <c r="GN14" s="4">
        <v>225</v>
      </c>
      <c r="GO14" s="4">
        <v>215</v>
      </c>
      <c r="GP14" s="4">
        <v>204</v>
      </c>
      <c r="GQ14" s="4">
        <v>184</v>
      </c>
      <c r="GR14" s="4">
        <v>173</v>
      </c>
      <c r="GS14" s="4">
        <v>163</v>
      </c>
      <c r="GT14" s="4">
        <v>157</v>
      </c>
      <c r="GU14" s="4">
        <v>152</v>
      </c>
      <c r="GV14" s="4">
        <v>144</v>
      </c>
      <c r="GW14" s="4">
        <v>137</v>
      </c>
      <c r="GX14" s="4">
        <v>130</v>
      </c>
      <c r="GY14" s="4">
        <v>123</v>
      </c>
      <c r="GZ14" s="4">
        <v>116</v>
      </c>
      <c r="HA14" s="4">
        <v>109</v>
      </c>
      <c r="HB14" s="4">
        <v>102</v>
      </c>
      <c r="HC14" s="4">
        <v>94</v>
      </c>
      <c r="HD14" s="19">
        <v>25.3</v>
      </c>
      <c r="HE14" s="19">
        <v>21.3</v>
      </c>
      <c r="HF14" s="19">
        <v>17.8</v>
      </c>
      <c r="HG14" s="19">
        <v>16.9</v>
      </c>
      <c r="HH14" s="19">
        <v>30.7</v>
      </c>
      <c r="HI14" s="19">
        <v>29.9</v>
      </c>
      <c r="HJ14" s="19">
        <v>32.4</v>
      </c>
      <c r="HK14" s="19">
        <v>27.8</v>
      </c>
      <c r="HL14" s="19">
        <v>26.8</v>
      </c>
      <c r="HM14" s="19">
        <v>19.4</v>
      </c>
      <c r="HN14" s="19">
        <v>17.3</v>
      </c>
      <c r="HO14" s="19">
        <v>16.5</v>
      </c>
      <c r="HP14" s="19">
        <v>17</v>
      </c>
      <c r="HQ14" s="19">
        <v>23</v>
      </c>
      <c r="HR14" s="19">
        <v>24.7</v>
      </c>
      <c r="HS14" s="19">
        <v>27.2</v>
      </c>
      <c r="HT14" s="19">
        <v>22.4</v>
      </c>
      <c r="HU14" s="19">
        <v>21.7</v>
      </c>
      <c r="HV14" s="19">
        <v>20.6</v>
      </c>
      <c r="HW14" s="19">
        <v>19.6</v>
      </c>
      <c r="HX14" s="19">
        <v>18.6</v>
      </c>
      <c r="HY14" s="19">
        <v>17.6</v>
      </c>
      <c r="HZ14" s="19">
        <v>16.6</v>
      </c>
      <c r="IA14" s="19">
        <v>15.6</v>
      </c>
      <c r="IB14" s="19">
        <v>14.6</v>
      </c>
      <c r="IC14" s="19">
        <v>13.4</v>
      </c>
    </row>
    <row r="15">
      <c r="A15" s="2" t="s">
        <v>288</v>
      </c>
      <c r="B15" s="2" t="s">
        <v>255</v>
      </c>
      <c r="C15" s="2" t="s">
        <v>256</v>
      </c>
      <c r="D15" s="2" t="s">
        <v>257</v>
      </c>
      <c r="E15" s="2" t="s">
        <v>258</v>
      </c>
      <c r="F15" s="2" t="s">
        <v>259</v>
      </c>
      <c r="G15" s="2" t="s">
        <v>259</v>
      </c>
      <c r="H15" s="2" t="s">
        <v>259</v>
      </c>
      <c r="I15" s="2" t="s">
        <v>260</v>
      </c>
      <c r="J15" s="2" t="s">
        <v>270</v>
      </c>
      <c r="K15" s="2" t="s">
        <v>287</v>
      </c>
      <c r="L15" s="3">
        <v>80</v>
      </c>
      <c r="M15" s="3">
        <v>84</v>
      </c>
      <c r="N15" s="3">
        <v>199.99</v>
      </c>
      <c r="O15" s="2" t="s">
        <v>232</v>
      </c>
      <c r="P15" s="2" t="s">
        <v>262</v>
      </c>
      <c r="Q15" s="2" t="s">
        <v>234</v>
      </c>
      <c r="R15" s="2" t="s">
        <v>235</v>
      </c>
      <c r="S15" s="2" t="s">
        <v>235</v>
      </c>
      <c r="T15" s="2" t="s">
        <v>263</v>
      </c>
      <c r="U15" s="2" t="s">
        <v>264</v>
      </c>
      <c r="V15" s="2" t="s">
        <v>238</v>
      </c>
      <c r="W15" s="2" t="s">
        <v>265</v>
      </c>
      <c r="X15" s="2" t="s">
        <v>235</v>
      </c>
      <c r="Y15" s="2" t="s">
        <v>266</v>
      </c>
      <c r="Z15" s="4">
        <v>204</v>
      </c>
      <c r="AA15" s="4">
        <f>=ROUNDDOWN(22.6666666666667,0)</f>
      </c>
      <c r="AB15" s="5">
        <v>9</v>
      </c>
      <c r="AC15" s="2" t="s">
        <v>267</v>
      </c>
      <c r="AD15" s="4">
        <v>198</v>
      </c>
      <c r="AE15" s="4">
        <v>198</v>
      </c>
      <c r="AF15" s="6">
        <v>78</v>
      </c>
      <c r="AG15" s="6"/>
      <c r="AH15" s="7"/>
      <c r="AI15" s="4"/>
      <c r="AJ15" s="4">
        <f>=ROUNDDOWN({0},0)</f>
      </c>
      <c r="AK15" s="5"/>
      <c r="AL15" s="2" t="s">
        <v>235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235</v>
      </c>
      <c r="AW15" s="8" t="s">
        <v>235</v>
      </c>
      <c r="AX15" s="4" t="s">
        <v>235</v>
      </c>
      <c r="AY15" s="8" t="s">
        <v>235</v>
      </c>
      <c r="AZ15" s="7" t="s">
        <v>235</v>
      </c>
      <c r="BA15" s="7" t="s">
        <v>235</v>
      </c>
      <c r="BB15" s="7"/>
      <c r="BC15" s="4" t="s">
        <v>235</v>
      </c>
      <c r="BD15" s="8" t="s">
        <v>235</v>
      </c>
      <c r="BE15" s="4" t="s">
        <v>235</v>
      </c>
      <c r="BF15" s="8" t="s">
        <v>235</v>
      </c>
      <c r="BG15" s="7" t="s">
        <v>235</v>
      </c>
      <c r="BH15" s="7" t="s">
        <v>235</v>
      </c>
      <c r="BI15" s="7"/>
      <c r="BJ15" s="4"/>
      <c r="BK15" s="8"/>
      <c r="BL15" s="2" t="s">
        <v>235</v>
      </c>
      <c r="BM15" s="7"/>
      <c r="BN15" s="7"/>
      <c r="BO15" s="4"/>
      <c r="BP15" s="8"/>
      <c r="BQ15" s="4"/>
      <c r="BR15" s="8"/>
      <c r="BS15" s="7"/>
      <c r="BT15" s="7"/>
      <c r="BU15" s="2" t="s">
        <v>268</v>
      </c>
      <c r="BV15" s="2" t="s">
        <v>235</v>
      </c>
      <c r="BW15" s="2" t="s">
        <v>235</v>
      </c>
      <c r="BX15" s="2" t="s">
        <v>244</v>
      </c>
      <c r="BY15" s="2" t="s">
        <v>245</v>
      </c>
      <c r="BZ15" s="2" t="s">
        <v>232</v>
      </c>
      <c r="CA15" s="2" t="s">
        <v>235</v>
      </c>
      <c r="CB15" s="2" t="s">
        <v>235</v>
      </c>
      <c r="CC15" s="2" t="s">
        <v>248</v>
      </c>
      <c r="CD15" s="2" t="s">
        <v>248</v>
      </c>
      <c r="CE15" s="2" t="s">
        <v>235</v>
      </c>
      <c r="CF15" s="4">
        <v>204</v>
      </c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>
        <v>198</v>
      </c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>
        <v>204</v>
      </c>
      <c r="GE15" s="4">
        <v>201</v>
      </c>
      <c r="GF15" s="4">
        <v>192</v>
      </c>
      <c r="GG15" s="4">
        <v>183</v>
      </c>
      <c r="GH15" s="4">
        <v>372</v>
      </c>
      <c r="GI15" s="4">
        <v>363</v>
      </c>
      <c r="GJ15" s="4">
        <v>351</v>
      </c>
      <c r="GK15" s="4">
        <v>340</v>
      </c>
      <c r="GL15" s="4">
        <v>329</v>
      </c>
      <c r="GM15" s="4">
        <v>319</v>
      </c>
      <c r="GN15" s="4">
        <v>308</v>
      </c>
      <c r="GO15" s="4">
        <v>295</v>
      </c>
      <c r="GP15" s="4">
        <v>280</v>
      </c>
      <c r="GQ15" s="4">
        <v>253</v>
      </c>
      <c r="GR15" s="4">
        <v>238</v>
      </c>
      <c r="GS15" s="4">
        <v>225</v>
      </c>
      <c r="GT15" s="4">
        <v>217</v>
      </c>
      <c r="GU15" s="4">
        <v>210</v>
      </c>
      <c r="GV15" s="4">
        <v>200</v>
      </c>
      <c r="GW15" s="4">
        <v>191</v>
      </c>
      <c r="GX15" s="4">
        <v>182</v>
      </c>
      <c r="GY15" s="4">
        <v>173</v>
      </c>
      <c r="GZ15" s="4">
        <v>164</v>
      </c>
      <c r="HA15" s="4">
        <v>155</v>
      </c>
      <c r="HB15" s="4">
        <v>146</v>
      </c>
      <c r="HC15" s="4">
        <v>136</v>
      </c>
      <c r="HD15" s="19">
        <v>25.5</v>
      </c>
      <c r="HE15" s="19">
        <v>22.3</v>
      </c>
      <c r="HF15" s="19">
        <v>19.2</v>
      </c>
      <c r="HG15" s="19">
        <v>18.3</v>
      </c>
      <c r="HH15" s="19">
        <v>33.8</v>
      </c>
      <c r="HI15" s="19">
        <v>33</v>
      </c>
      <c r="HJ15" s="19">
        <v>31.9</v>
      </c>
      <c r="HK15" s="19">
        <v>30.9</v>
      </c>
      <c r="HL15" s="19">
        <v>27.4</v>
      </c>
      <c r="HM15" s="19">
        <v>19.9</v>
      </c>
      <c r="HN15" s="19">
        <v>17.1</v>
      </c>
      <c r="HO15" s="19">
        <v>16.4</v>
      </c>
      <c r="HP15" s="19">
        <v>17.5</v>
      </c>
      <c r="HQ15" s="19">
        <v>23</v>
      </c>
      <c r="HR15" s="19">
        <v>23.8</v>
      </c>
      <c r="HS15" s="19">
        <v>28.1</v>
      </c>
      <c r="HT15" s="19">
        <v>24.1</v>
      </c>
      <c r="HU15" s="19">
        <v>23.3</v>
      </c>
      <c r="HV15" s="19">
        <v>22.2</v>
      </c>
      <c r="HW15" s="19">
        <v>21.2</v>
      </c>
      <c r="HX15" s="19">
        <v>20.2</v>
      </c>
      <c r="HY15" s="19">
        <v>19.2</v>
      </c>
      <c r="HZ15" s="19">
        <v>18.2</v>
      </c>
      <c r="IA15" s="19">
        <v>17.2</v>
      </c>
      <c r="IB15" s="19">
        <v>16.2</v>
      </c>
      <c r="IC15" s="19">
        <v>15.1</v>
      </c>
    </row>
    <row r="16">
      <c r="A16" s="2" t="s">
        <v>289</v>
      </c>
      <c r="B16" s="2" t="s">
        <v>255</v>
      </c>
      <c r="C16" s="2" t="s">
        <v>256</v>
      </c>
      <c r="D16" s="2" t="s">
        <v>257</v>
      </c>
      <c r="E16" s="2" t="s">
        <v>258</v>
      </c>
      <c r="F16" s="2" t="s">
        <v>259</v>
      </c>
      <c r="G16" s="2" t="s">
        <v>259</v>
      </c>
      <c r="H16" s="2" t="s">
        <v>259</v>
      </c>
      <c r="I16" s="2" t="s">
        <v>260</v>
      </c>
      <c r="J16" s="2" t="s">
        <v>272</v>
      </c>
      <c r="K16" s="2" t="s">
        <v>287</v>
      </c>
      <c r="L16" s="3">
        <v>84</v>
      </c>
      <c r="M16" s="3">
        <v>88.2</v>
      </c>
      <c r="N16" s="3">
        <v>209.99</v>
      </c>
      <c r="O16" s="2" t="s">
        <v>232</v>
      </c>
      <c r="P16" s="2" t="s">
        <v>262</v>
      </c>
      <c r="Q16" s="2" t="s">
        <v>234</v>
      </c>
      <c r="R16" s="2" t="s">
        <v>235</v>
      </c>
      <c r="S16" s="2" t="s">
        <v>235</v>
      </c>
      <c r="T16" s="2" t="s">
        <v>263</v>
      </c>
      <c r="U16" s="2" t="s">
        <v>264</v>
      </c>
      <c r="V16" s="2" t="s">
        <v>238</v>
      </c>
      <c r="W16" s="2" t="s">
        <v>265</v>
      </c>
      <c r="X16" s="2" t="s">
        <v>235</v>
      </c>
      <c r="Y16" s="2" t="s">
        <v>266</v>
      </c>
      <c r="Z16" s="4">
        <v>75</v>
      </c>
      <c r="AA16" s="4">
        <f>=ROUNDDOWN(18.75,0)</f>
      </c>
      <c r="AB16" s="5">
        <v>4</v>
      </c>
      <c r="AC16" s="2" t="s">
        <v>267</v>
      </c>
      <c r="AD16" s="4">
        <v>69</v>
      </c>
      <c r="AE16" s="4">
        <v>69</v>
      </c>
      <c r="AF16" s="6">
        <v>78</v>
      </c>
      <c r="AG16" s="6"/>
      <c r="AH16" s="7"/>
      <c r="AI16" s="4"/>
      <c r="AJ16" s="4">
        <f>=ROUNDDOWN({0},0)</f>
      </c>
      <c r="AK16" s="5"/>
      <c r="AL16" s="2" t="s">
        <v>235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235</v>
      </c>
      <c r="AW16" s="8" t="s">
        <v>235</v>
      </c>
      <c r="AX16" s="4" t="s">
        <v>235</v>
      </c>
      <c r="AY16" s="8" t="s">
        <v>235</v>
      </c>
      <c r="AZ16" s="7" t="s">
        <v>235</v>
      </c>
      <c r="BA16" s="7" t="s">
        <v>235</v>
      </c>
      <c r="BB16" s="7"/>
      <c r="BC16" s="4" t="s">
        <v>235</v>
      </c>
      <c r="BD16" s="8" t="s">
        <v>235</v>
      </c>
      <c r="BE16" s="4" t="s">
        <v>235</v>
      </c>
      <c r="BF16" s="8" t="s">
        <v>235</v>
      </c>
      <c r="BG16" s="7" t="s">
        <v>235</v>
      </c>
      <c r="BH16" s="7" t="s">
        <v>235</v>
      </c>
      <c r="BI16" s="7"/>
      <c r="BJ16" s="4"/>
      <c r="BK16" s="8"/>
      <c r="BL16" s="2" t="s">
        <v>235</v>
      </c>
      <c r="BM16" s="7"/>
      <c r="BN16" s="7"/>
      <c r="BO16" s="4"/>
      <c r="BP16" s="8"/>
      <c r="BQ16" s="4"/>
      <c r="BR16" s="8"/>
      <c r="BS16" s="7"/>
      <c r="BT16" s="7"/>
      <c r="BU16" s="2" t="s">
        <v>268</v>
      </c>
      <c r="BV16" s="2" t="s">
        <v>235</v>
      </c>
      <c r="BW16" s="2" t="s">
        <v>235</v>
      </c>
      <c r="BX16" s="2" t="s">
        <v>244</v>
      </c>
      <c r="BY16" s="2" t="s">
        <v>245</v>
      </c>
      <c r="BZ16" s="2" t="s">
        <v>232</v>
      </c>
      <c r="CA16" s="2" t="s">
        <v>235</v>
      </c>
      <c r="CB16" s="2" t="s">
        <v>235</v>
      </c>
      <c r="CC16" s="2" t="s">
        <v>248</v>
      </c>
      <c r="CD16" s="2" t="s">
        <v>248</v>
      </c>
      <c r="CE16" s="2" t="s">
        <v>235</v>
      </c>
      <c r="CF16" s="4">
        <v>75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>
        <v>69</v>
      </c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>
        <v>75</v>
      </c>
      <c r="GE16" s="4">
        <v>72</v>
      </c>
      <c r="GF16" s="4">
        <v>68</v>
      </c>
      <c r="GG16" s="4">
        <v>64</v>
      </c>
      <c r="GH16" s="4">
        <v>129</v>
      </c>
      <c r="GI16" s="4">
        <v>125</v>
      </c>
      <c r="GJ16" s="4">
        <v>119</v>
      </c>
      <c r="GK16" s="4">
        <v>114</v>
      </c>
      <c r="GL16" s="4">
        <v>109</v>
      </c>
      <c r="GM16" s="4">
        <v>105</v>
      </c>
      <c r="GN16" s="4">
        <v>100</v>
      </c>
      <c r="GO16" s="4">
        <v>94</v>
      </c>
      <c r="GP16" s="4">
        <v>88</v>
      </c>
      <c r="GQ16" s="4">
        <v>77</v>
      </c>
      <c r="GR16" s="4">
        <v>71</v>
      </c>
      <c r="GS16" s="4">
        <v>65</v>
      </c>
      <c r="GT16" s="4">
        <v>61</v>
      </c>
      <c r="GU16" s="4">
        <v>58</v>
      </c>
      <c r="GV16" s="4">
        <v>54</v>
      </c>
      <c r="GW16" s="4">
        <v>50</v>
      </c>
      <c r="GX16" s="4">
        <v>46</v>
      </c>
      <c r="GY16" s="4">
        <v>42</v>
      </c>
      <c r="GZ16" s="4">
        <v>38</v>
      </c>
      <c r="HA16" s="4">
        <v>34</v>
      </c>
      <c r="HB16" s="4">
        <v>30</v>
      </c>
      <c r="HC16" s="4">
        <v>26</v>
      </c>
      <c r="HD16" s="19">
        <v>18.8</v>
      </c>
      <c r="HE16" s="19">
        <v>18</v>
      </c>
      <c r="HF16" s="19">
        <v>17</v>
      </c>
      <c r="HG16" s="19">
        <v>12.8</v>
      </c>
      <c r="HH16" s="19">
        <v>25.8</v>
      </c>
      <c r="HI16" s="19">
        <v>25</v>
      </c>
      <c r="HJ16" s="19">
        <v>23.8</v>
      </c>
      <c r="HK16" s="19">
        <v>22.8</v>
      </c>
      <c r="HL16" s="19">
        <v>21.8</v>
      </c>
      <c r="HM16" s="19">
        <v>15</v>
      </c>
      <c r="HN16" s="19">
        <v>14.3</v>
      </c>
      <c r="HO16" s="19">
        <v>13.4</v>
      </c>
      <c r="HP16" s="19">
        <v>12.6</v>
      </c>
      <c r="HQ16" s="19">
        <v>15.4</v>
      </c>
      <c r="HR16" s="19">
        <v>17.8</v>
      </c>
      <c r="HS16" s="19">
        <v>16.3</v>
      </c>
      <c r="HT16" s="19">
        <v>15.3</v>
      </c>
      <c r="HU16" s="19">
        <v>14.5</v>
      </c>
      <c r="HV16" s="19">
        <v>13.5</v>
      </c>
      <c r="HW16" s="19">
        <v>12.5</v>
      </c>
      <c r="HX16" s="19">
        <v>11.5</v>
      </c>
      <c r="HY16" s="19">
        <v>10.5</v>
      </c>
      <c r="HZ16" s="19">
        <v>9.5</v>
      </c>
      <c r="IA16" s="19">
        <v>8.5</v>
      </c>
      <c r="IB16" s="19">
        <v>7.5</v>
      </c>
      <c r="IC16" s="19">
        <v>6.5</v>
      </c>
    </row>
    <row r="17">
      <c r="A17" s="2" t="s">
        <v>290</v>
      </c>
      <c r="B17" s="2" t="s">
        <v>255</v>
      </c>
      <c r="C17" s="2" t="s">
        <v>256</v>
      </c>
      <c r="D17" s="2" t="s">
        <v>257</v>
      </c>
      <c r="E17" s="2" t="s">
        <v>258</v>
      </c>
      <c r="F17" s="2" t="s">
        <v>259</v>
      </c>
      <c r="G17" s="2" t="s">
        <v>259</v>
      </c>
      <c r="H17" s="2" t="s">
        <v>259</v>
      </c>
      <c r="I17" s="2" t="s">
        <v>260</v>
      </c>
      <c r="J17" s="2" t="s">
        <v>281</v>
      </c>
      <c r="K17" s="2" t="s">
        <v>287</v>
      </c>
      <c r="L17" s="3">
        <v>104</v>
      </c>
      <c r="M17" s="3">
        <v>109.2</v>
      </c>
      <c r="N17" s="3">
        <v>259.99</v>
      </c>
      <c r="O17" s="2" t="s">
        <v>232</v>
      </c>
      <c r="P17" s="2" t="s">
        <v>262</v>
      </c>
      <c r="Q17" s="2" t="s">
        <v>234</v>
      </c>
      <c r="R17" s="2" t="s">
        <v>235</v>
      </c>
      <c r="S17" s="2" t="s">
        <v>235</v>
      </c>
      <c r="T17" s="2" t="s">
        <v>263</v>
      </c>
      <c r="U17" s="2" t="s">
        <v>282</v>
      </c>
      <c r="V17" s="2" t="s">
        <v>238</v>
      </c>
      <c r="W17" s="2" t="s">
        <v>265</v>
      </c>
      <c r="X17" s="2" t="s">
        <v>235</v>
      </c>
      <c r="Y17" s="2" t="s">
        <v>266</v>
      </c>
      <c r="Z17" s="4">
        <v>75</v>
      </c>
      <c r="AA17" s="4">
        <f>=ROUNDDOWN(18.75,0)</f>
      </c>
      <c r="AB17" s="5">
        <v>4</v>
      </c>
      <c r="AC17" s="2" t="s">
        <v>267</v>
      </c>
      <c r="AD17" s="4">
        <v>72</v>
      </c>
      <c r="AE17" s="4">
        <v>72</v>
      </c>
      <c r="AF17" s="6">
        <v>78</v>
      </c>
      <c r="AG17" s="6"/>
      <c r="AH17" s="7"/>
      <c r="AI17" s="4"/>
      <c r="AJ17" s="4">
        <f>=ROUNDDOWN({0},0)</f>
      </c>
      <c r="AK17" s="5"/>
      <c r="AL17" s="2" t="s">
        <v>235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235</v>
      </c>
      <c r="AW17" s="8" t="s">
        <v>235</v>
      </c>
      <c r="AX17" s="4" t="s">
        <v>235</v>
      </c>
      <c r="AY17" s="8" t="s">
        <v>235</v>
      </c>
      <c r="AZ17" s="7" t="s">
        <v>235</v>
      </c>
      <c r="BA17" s="7" t="s">
        <v>235</v>
      </c>
      <c r="BB17" s="7"/>
      <c r="BC17" s="4" t="s">
        <v>235</v>
      </c>
      <c r="BD17" s="8" t="s">
        <v>235</v>
      </c>
      <c r="BE17" s="4" t="s">
        <v>235</v>
      </c>
      <c r="BF17" s="8" t="s">
        <v>235</v>
      </c>
      <c r="BG17" s="7" t="s">
        <v>235</v>
      </c>
      <c r="BH17" s="7" t="s">
        <v>235</v>
      </c>
      <c r="BI17" s="7"/>
      <c r="BJ17" s="4"/>
      <c r="BK17" s="8"/>
      <c r="BL17" s="2" t="s">
        <v>235</v>
      </c>
      <c r="BM17" s="7"/>
      <c r="BN17" s="7"/>
      <c r="BO17" s="4"/>
      <c r="BP17" s="8"/>
      <c r="BQ17" s="4"/>
      <c r="BR17" s="8"/>
      <c r="BS17" s="7"/>
      <c r="BT17" s="7"/>
      <c r="BU17" s="2" t="s">
        <v>268</v>
      </c>
      <c r="BV17" s="2" t="s">
        <v>235</v>
      </c>
      <c r="BW17" s="2" t="s">
        <v>235</v>
      </c>
      <c r="BX17" s="2" t="s">
        <v>244</v>
      </c>
      <c r="BY17" s="2" t="s">
        <v>245</v>
      </c>
      <c r="BZ17" s="2" t="s">
        <v>232</v>
      </c>
      <c r="CA17" s="2" t="s">
        <v>235</v>
      </c>
      <c r="CB17" s="2" t="s">
        <v>235</v>
      </c>
      <c r="CC17" s="2" t="s">
        <v>248</v>
      </c>
      <c r="CD17" s="2" t="s">
        <v>248</v>
      </c>
      <c r="CE17" s="2" t="s">
        <v>235</v>
      </c>
      <c r="CF17" s="4"/>
      <c r="CG17" s="4"/>
      <c r="CH17" s="4"/>
      <c r="CI17" s="4"/>
      <c r="CJ17" s="4"/>
      <c r="CK17" s="4"/>
      <c r="CL17" s="4"/>
      <c r="CM17" s="4">
        <v>75</v>
      </c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>
        <v>72</v>
      </c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>
        <v>75</v>
      </c>
      <c r="GE17" s="4">
        <v>72</v>
      </c>
      <c r="GF17" s="4">
        <v>68</v>
      </c>
      <c r="GG17" s="4">
        <v>64</v>
      </c>
      <c r="GH17" s="4">
        <v>132</v>
      </c>
      <c r="GI17" s="4">
        <v>128</v>
      </c>
      <c r="GJ17" s="4">
        <v>122</v>
      </c>
      <c r="GK17" s="4">
        <v>117</v>
      </c>
      <c r="GL17" s="4">
        <v>112</v>
      </c>
      <c r="GM17" s="4">
        <v>108</v>
      </c>
      <c r="GN17" s="4">
        <v>103</v>
      </c>
      <c r="GO17" s="4">
        <v>97</v>
      </c>
      <c r="GP17" s="4">
        <v>91</v>
      </c>
      <c r="GQ17" s="4">
        <v>80</v>
      </c>
      <c r="GR17" s="4">
        <v>74</v>
      </c>
      <c r="GS17" s="4">
        <v>68</v>
      </c>
      <c r="GT17" s="4">
        <v>64</v>
      </c>
      <c r="GU17" s="4">
        <v>61</v>
      </c>
      <c r="GV17" s="4">
        <v>57</v>
      </c>
      <c r="GW17" s="4">
        <v>53</v>
      </c>
      <c r="GX17" s="4">
        <v>49</v>
      </c>
      <c r="GY17" s="4">
        <v>45</v>
      </c>
      <c r="GZ17" s="4">
        <v>41</v>
      </c>
      <c r="HA17" s="4">
        <v>37</v>
      </c>
      <c r="HB17" s="4">
        <v>33</v>
      </c>
      <c r="HC17" s="4">
        <v>29</v>
      </c>
      <c r="HD17" s="19">
        <v>18.8</v>
      </c>
      <c r="HE17" s="19">
        <v>18</v>
      </c>
      <c r="HF17" s="19">
        <v>17</v>
      </c>
      <c r="HG17" s="19">
        <v>12.8</v>
      </c>
      <c r="HH17" s="19">
        <v>26.4</v>
      </c>
      <c r="HI17" s="19">
        <v>25.6</v>
      </c>
      <c r="HJ17" s="19">
        <v>24.4</v>
      </c>
      <c r="HK17" s="19">
        <v>23.4</v>
      </c>
      <c r="HL17" s="19">
        <v>22.4</v>
      </c>
      <c r="HM17" s="19">
        <v>15.4</v>
      </c>
      <c r="HN17" s="19">
        <v>14.7</v>
      </c>
      <c r="HO17" s="19">
        <v>13.9</v>
      </c>
      <c r="HP17" s="19">
        <v>13</v>
      </c>
      <c r="HQ17" s="19">
        <v>16</v>
      </c>
      <c r="HR17" s="19">
        <v>18.5</v>
      </c>
      <c r="HS17" s="19">
        <v>17</v>
      </c>
      <c r="HT17" s="19">
        <v>16</v>
      </c>
      <c r="HU17" s="19">
        <v>15.3</v>
      </c>
      <c r="HV17" s="19">
        <v>14.3</v>
      </c>
      <c r="HW17" s="19">
        <v>13.3</v>
      </c>
      <c r="HX17" s="19">
        <v>12.3</v>
      </c>
      <c r="HY17" s="19">
        <v>11.3</v>
      </c>
      <c r="HZ17" s="19">
        <v>10.3</v>
      </c>
      <c r="IA17" s="19">
        <v>9.3</v>
      </c>
      <c r="IB17" s="19">
        <v>8.3</v>
      </c>
      <c r="IC17" s="19">
        <v>7.3</v>
      </c>
    </row>
    <row r="18">
      <c r="A18" s="2" t="s">
        <v>291</v>
      </c>
      <c r="B18" s="2" t="s">
        <v>255</v>
      </c>
      <c r="C18" s="2" t="s">
        <v>256</v>
      </c>
      <c r="D18" s="2" t="s">
        <v>274</v>
      </c>
      <c r="E18" s="2" t="s">
        <v>275</v>
      </c>
      <c r="F18" s="2" t="s">
        <v>259</v>
      </c>
      <c r="G18" s="2" t="s">
        <v>259</v>
      </c>
      <c r="H18" s="2" t="s">
        <v>259</v>
      </c>
      <c r="I18" s="2" t="s">
        <v>276</v>
      </c>
      <c r="J18" s="2" t="s">
        <v>277</v>
      </c>
      <c r="K18" s="2" t="s">
        <v>292</v>
      </c>
      <c r="L18" s="3">
        <v>20</v>
      </c>
      <c r="M18" s="3">
        <v>21</v>
      </c>
      <c r="N18" s="3">
        <v>49.99</v>
      </c>
      <c r="O18" s="2" t="s">
        <v>232</v>
      </c>
      <c r="P18" s="2" t="s">
        <v>262</v>
      </c>
      <c r="Q18" s="2" t="s">
        <v>234</v>
      </c>
      <c r="R18" s="2" t="s">
        <v>235</v>
      </c>
      <c r="S18" s="2" t="s">
        <v>235</v>
      </c>
      <c r="T18" s="2" t="s">
        <v>263</v>
      </c>
      <c r="U18" s="2" t="s">
        <v>278</v>
      </c>
      <c r="V18" s="2" t="s">
        <v>238</v>
      </c>
      <c r="W18" s="2" t="s">
        <v>265</v>
      </c>
      <c r="X18" s="2" t="s">
        <v>235</v>
      </c>
      <c r="Y18" s="2" t="s">
        <v>266</v>
      </c>
      <c r="Z18" s="4">
        <v>30</v>
      </c>
      <c r="AA18" s="4">
        <f>=ROUNDDOWN(15,0)</f>
      </c>
      <c r="AB18" s="5">
        <v>2</v>
      </c>
      <c r="AC18" s="2" t="s">
        <v>267</v>
      </c>
      <c r="AD18" s="4">
        <v>30</v>
      </c>
      <c r="AE18" s="4">
        <v>30</v>
      </c>
      <c r="AF18" s="6">
        <v>78</v>
      </c>
      <c r="AG18" s="6"/>
      <c r="AH18" s="7"/>
      <c r="AI18" s="4"/>
      <c r="AJ18" s="4">
        <f>=ROUNDDOWN({0},0)</f>
      </c>
      <c r="AK18" s="5"/>
      <c r="AL18" s="2" t="s">
        <v>235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235</v>
      </c>
      <c r="AW18" s="8" t="s">
        <v>235</v>
      </c>
      <c r="AX18" s="4" t="s">
        <v>235</v>
      </c>
      <c r="AY18" s="8" t="s">
        <v>235</v>
      </c>
      <c r="AZ18" s="7" t="s">
        <v>235</v>
      </c>
      <c r="BA18" s="7" t="s">
        <v>235</v>
      </c>
      <c r="BB18" s="7"/>
      <c r="BC18" s="4" t="s">
        <v>235</v>
      </c>
      <c r="BD18" s="8" t="s">
        <v>235</v>
      </c>
      <c r="BE18" s="4" t="s">
        <v>235</v>
      </c>
      <c r="BF18" s="8" t="s">
        <v>235</v>
      </c>
      <c r="BG18" s="7" t="s">
        <v>235</v>
      </c>
      <c r="BH18" s="7" t="s">
        <v>235</v>
      </c>
      <c r="BI18" s="7"/>
      <c r="BJ18" s="4"/>
      <c r="BK18" s="8"/>
      <c r="BL18" s="2" t="s">
        <v>235</v>
      </c>
      <c r="BM18" s="7"/>
      <c r="BN18" s="7"/>
      <c r="BO18" s="4"/>
      <c r="BP18" s="8"/>
      <c r="BQ18" s="4"/>
      <c r="BR18" s="8"/>
      <c r="BS18" s="7"/>
      <c r="BT18" s="7"/>
      <c r="BU18" s="2" t="s">
        <v>279</v>
      </c>
      <c r="BV18" s="2" t="s">
        <v>235</v>
      </c>
      <c r="BW18" s="2" t="s">
        <v>235</v>
      </c>
      <c r="BX18" s="2" t="s">
        <v>244</v>
      </c>
      <c r="BY18" s="2" t="s">
        <v>245</v>
      </c>
      <c r="BZ18" s="2" t="s">
        <v>232</v>
      </c>
      <c r="CA18" s="2" t="s">
        <v>235</v>
      </c>
      <c r="CB18" s="2" t="s">
        <v>235</v>
      </c>
      <c r="CC18" s="2" t="s">
        <v>248</v>
      </c>
      <c r="CD18" s="2" t="s">
        <v>248</v>
      </c>
      <c r="CE18" s="2" t="s">
        <v>235</v>
      </c>
      <c r="CF18" s="4">
        <v>30</v>
      </c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>
        <v>30</v>
      </c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>
        <v>30</v>
      </c>
      <c r="GE18" s="4">
        <v>27</v>
      </c>
      <c r="GF18" s="4">
        <v>25</v>
      </c>
      <c r="GG18" s="4">
        <v>23</v>
      </c>
      <c r="GH18" s="4">
        <v>51</v>
      </c>
      <c r="GI18" s="4">
        <v>49</v>
      </c>
      <c r="GJ18" s="4">
        <v>45</v>
      </c>
      <c r="GK18" s="4">
        <v>42</v>
      </c>
      <c r="GL18" s="4">
        <v>39</v>
      </c>
      <c r="GM18" s="4">
        <v>37</v>
      </c>
      <c r="GN18" s="4">
        <v>35</v>
      </c>
      <c r="GO18" s="4">
        <v>32</v>
      </c>
      <c r="GP18" s="4">
        <v>29</v>
      </c>
      <c r="GQ18" s="4">
        <v>25</v>
      </c>
      <c r="GR18" s="4">
        <v>22</v>
      </c>
      <c r="GS18" s="4">
        <v>19</v>
      </c>
      <c r="GT18" s="4">
        <v>17</v>
      </c>
      <c r="GU18" s="4">
        <v>15</v>
      </c>
      <c r="GV18" s="4">
        <v>13</v>
      </c>
      <c r="GW18" s="4">
        <v>11</v>
      </c>
      <c r="GX18" s="4">
        <v>9</v>
      </c>
      <c r="GY18" s="4">
        <v>7</v>
      </c>
      <c r="GZ18" s="4">
        <v>5</v>
      </c>
      <c r="HA18" s="4">
        <v>3</v>
      </c>
      <c r="HB18" s="4">
        <v>1</v>
      </c>
      <c r="HC18" s="4"/>
      <c r="HD18" s="19">
        <v>15</v>
      </c>
      <c r="HE18" s="19">
        <v>13.5</v>
      </c>
      <c r="HF18" s="19">
        <v>12.5</v>
      </c>
      <c r="HG18" s="19">
        <v>7.7</v>
      </c>
      <c r="HH18" s="19">
        <v>17</v>
      </c>
      <c r="HI18" s="19">
        <v>16.3</v>
      </c>
      <c r="HJ18" s="19">
        <v>22.5</v>
      </c>
      <c r="HK18" s="19">
        <v>21</v>
      </c>
      <c r="HL18" s="19">
        <v>19.5</v>
      </c>
      <c r="HM18" s="19">
        <v>12.3</v>
      </c>
      <c r="HN18" s="19">
        <v>11.7</v>
      </c>
      <c r="HO18" s="19">
        <v>10.7</v>
      </c>
      <c r="HP18" s="19">
        <v>9.7</v>
      </c>
      <c r="HQ18" s="19">
        <v>12.5</v>
      </c>
      <c r="HR18" s="19">
        <v>11</v>
      </c>
      <c r="HS18" s="19">
        <v>9.5</v>
      </c>
      <c r="HT18" s="19">
        <v>8.5</v>
      </c>
      <c r="HU18" s="19">
        <v>7.5</v>
      </c>
      <c r="HV18" s="19">
        <v>6.5</v>
      </c>
      <c r="HW18" s="19">
        <v>5.5</v>
      </c>
      <c r="HX18" s="19">
        <v>4.5</v>
      </c>
      <c r="HY18" s="19">
        <v>3.5</v>
      </c>
      <c r="HZ18" s="19">
        <v>2.5</v>
      </c>
      <c r="IA18" s="19">
        <v>1.5</v>
      </c>
      <c r="IB18" s="19">
        <v>0.5</v>
      </c>
      <c r="IC18" s="20">
        <v>0</v>
      </c>
    </row>
    <row r="19">
      <c r="A19" s="2" t="s">
        <v>293</v>
      </c>
      <c r="B19" s="2" t="s">
        <v>255</v>
      </c>
      <c r="C19" s="2" t="s">
        <v>256</v>
      </c>
      <c r="D19" s="2" t="s">
        <v>274</v>
      </c>
      <c r="E19" s="2" t="s">
        <v>275</v>
      </c>
      <c r="F19" s="2" t="s">
        <v>259</v>
      </c>
      <c r="G19" s="2" t="s">
        <v>259</v>
      </c>
      <c r="H19" s="2" t="s">
        <v>259</v>
      </c>
      <c r="I19" s="2" t="s">
        <v>276</v>
      </c>
      <c r="J19" s="2" t="s">
        <v>284</v>
      </c>
      <c r="K19" s="2" t="s">
        <v>292</v>
      </c>
      <c r="L19" s="3">
        <v>20</v>
      </c>
      <c r="M19" s="3">
        <v>21</v>
      </c>
      <c r="N19" s="3">
        <v>49.99</v>
      </c>
      <c r="O19" s="2" t="s">
        <v>232</v>
      </c>
      <c r="P19" s="2" t="s">
        <v>262</v>
      </c>
      <c r="Q19" s="2" t="s">
        <v>234</v>
      </c>
      <c r="R19" s="2" t="s">
        <v>235</v>
      </c>
      <c r="S19" s="2" t="s">
        <v>235</v>
      </c>
      <c r="T19" s="2" t="s">
        <v>263</v>
      </c>
      <c r="U19" s="2" t="s">
        <v>278</v>
      </c>
      <c r="V19" s="2" t="s">
        <v>238</v>
      </c>
      <c r="W19" s="2" t="s">
        <v>265</v>
      </c>
      <c r="X19" s="2" t="s">
        <v>235</v>
      </c>
      <c r="Y19" s="2" t="s">
        <v>266</v>
      </c>
      <c r="Z19" s="4">
        <v>20</v>
      </c>
      <c r="AA19" s="4">
        <f>=ROUNDDOWN({0},0)</f>
      </c>
      <c r="AB19" s="5"/>
      <c r="AC19" s="2" t="s">
        <v>267</v>
      </c>
      <c r="AD19" s="4">
        <v>20</v>
      </c>
      <c r="AE19" s="4">
        <v>20</v>
      </c>
      <c r="AF19" s="6">
        <v>78</v>
      </c>
      <c r="AG19" s="6"/>
      <c r="AH19" s="7"/>
      <c r="AI19" s="4"/>
      <c r="AJ19" s="4">
        <f>=ROUNDDOWN({0},0)</f>
      </c>
      <c r="AK19" s="5"/>
      <c r="AL19" s="2" t="s">
        <v>235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235</v>
      </c>
      <c r="AW19" s="8" t="s">
        <v>235</v>
      </c>
      <c r="AX19" s="4" t="s">
        <v>235</v>
      </c>
      <c r="AY19" s="8" t="s">
        <v>235</v>
      </c>
      <c r="AZ19" s="7" t="s">
        <v>235</v>
      </c>
      <c r="BA19" s="7" t="s">
        <v>235</v>
      </c>
      <c r="BB19" s="7"/>
      <c r="BC19" s="4" t="s">
        <v>235</v>
      </c>
      <c r="BD19" s="8" t="s">
        <v>235</v>
      </c>
      <c r="BE19" s="4" t="s">
        <v>235</v>
      </c>
      <c r="BF19" s="8" t="s">
        <v>235</v>
      </c>
      <c r="BG19" s="7" t="s">
        <v>235</v>
      </c>
      <c r="BH19" s="7" t="s">
        <v>235</v>
      </c>
      <c r="BI19" s="7"/>
      <c r="BJ19" s="4"/>
      <c r="BK19" s="8"/>
      <c r="BL19" s="2" t="s">
        <v>235</v>
      </c>
      <c r="BM19" s="7"/>
      <c r="BN19" s="7"/>
      <c r="BO19" s="4"/>
      <c r="BP19" s="8"/>
      <c r="BQ19" s="4"/>
      <c r="BR19" s="8"/>
      <c r="BS19" s="7"/>
      <c r="BT19" s="7"/>
      <c r="BU19" s="2" t="s">
        <v>285</v>
      </c>
      <c r="BV19" s="2" t="s">
        <v>235</v>
      </c>
      <c r="BW19" s="2" t="s">
        <v>235</v>
      </c>
      <c r="BX19" s="2" t="s">
        <v>244</v>
      </c>
      <c r="BY19" s="2" t="s">
        <v>245</v>
      </c>
      <c r="BZ19" s="2" t="s">
        <v>232</v>
      </c>
      <c r="CA19" s="2" t="s">
        <v>235</v>
      </c>
      <c r="CB19" s="2" t="s">
        <v>235</v>
      </c>
      <c r="CC19" s="2" t="s">
        <v>248</v>
      </c>
      <c r="CD19" s="2" t="s">
        <v>248</v>
      </c>
      <c r="CE19" s="2" t="s">
        <v>235</v>
      </c>
      <c r="CF19" s="4">
        <v>20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>
        <v>20</v>
      </c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>
        <v>20</v>
      </c>
      <c r="GE19" s="4">
        <v>17</v>
      </c>
      <c r="GF19" s="4">
        <v>15</v>
      </c>
      <c r="GG19" s="4">
        <v>13</v>
      </c>
      <c r="GH19" s="4">
        <v>31</v>
      </c>
      <c r="GI19" s="4">
        <v>29</v>
      </c>
      <c r="GJ19" s="4">
        <v>25</v>
      </c>
      <c r="GK19" s="4">
        <v>22</v>
      </c>
      <c r="GL19" s="4">
        <v>19</v>
      </c>
      <c r="GM19" s="4">
        <v>17</v>
      </c>
      <c r="GN19" s="4">
        <v>15</v>
      </c>
      <c r="GO19" s="4">
        <v>12</v>
      </c>
      <c r="GP19" s="4">
        <v>9</v>
      </c>
      <c r="GQ19" s="4">
        <v>5</v>
      </c>
      <c r="GR19" s="4">
        <v>2</v>
      </c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19">
        <v>10</v>
      </c>
      <c r="HE19" s="19">
        <v>8.5</v>
      </c>
      <c r="HF19" s="19">
        <v>7.5</v>
      </c>
      <c r="HG19" s="19">
        <v>4.3</v>
      </c>
      <c r="HH19" s="19">
        <v>10.3</v>
      </c>
      <c r="HI19" s="19">
        <v>9.7</v>
      </c>
      <c r="HJ19" s="19">
        <v>12.5</v>
      </c>
      <c r="HK19" s="19">
        <v>11</v>
      </c>
      <c r="HL19" s="19">
        <v>9.5</v>
      </c>
      <c r="HM19" s="19">
        <v>5.7</v>
      </c>
      <c r="HN19" s="19">
        <v>5</v>
      </c>
      <c r="HO19" s="19">
        <v>4</v>
      </c>
      <c r="HP19" s="19">
        <v>4.5</v>
      </c>
      <c r="HQ19" s="19">
        <v>2.5</v>
      </c>
      <c r="HR19" s="19">
        <v>2</v>
      </c>
      <c r="HS19" s="20">
        <v>0</v>
      </c>
      <c r="HT19" s="20">
        <v>0</v>
      </c>
      <c r="HU19" s="20">
        <v>0</v>
      </c>
      <c r="HV19" s="20">
        <v>0</v>
      </c>
      <c r="HW19" s="20">
        <v>0</v>
      </c>
      <c r="HX19" s="20">
        <v>0</v>
      </c>
      <c r="HY19" s="20">
        <v>0</v>
      </c>
      <c r="HZ19" s="20">
        <v>0</v>
      </c>
      <c r="IA19" s="20">
        <v>0</v>
      </c>
      <c r="IB19" s="20">
        <v>0</v>
      </c>
      <c r="IC19" s="20">
        <v>0</v>
      </c>
    </row>
    <row r="20">
      <c r="A20" s="2" t="s">
        <v>294</v>
      </c>
      <c r="B20" s="2" t="s">
        <v>255</v>
      </c>
      <c r="C20" s="2" t="s">
        <v>256</v>
      </c>
      <c r="D20" s="2" t="s">
        <v>257</v>
      </c>
      <c r="E20" s="2" t="s">
        <v>258</v>
      </c>
      <c r="F20" s="2" t="s">
        <v>259</v>
      </c>
      <c r="G20" s="2" t="s">
        <v>259</v>
      </c>
      <c r="H20" s="2" t="s">
        <v>259</v>
      </c>
      <c r="I20" s="2" t="s">
        <v>260</v>
      </c>
      <c r="J20" s="2" t="s">
        <v>261</v>
      </c>
      <c r="K20" s="2" t="s">
        <v>295</v>
      </c>
      <c r="L20" s="3">
        <v>76</v>
      </c>
      <c r="M20" s="3">
        <v>79.8</v>
      </c>
      <c r="N20" s="3">
        <v>189.99</v>
      </c>
      <c r="O20" s="2" t="s">
        <v>232</v>
      </c>
      <c r="P20" s="2" t="s">
        <v>262</v>
      </c>
      <c r="Q20" s="2" t="s">
        <v>234</v>
      </c>
      <c r="R20" s="2" t="s">
        <v>235</v>
      </c>
      <c r="S20" s="2" t="s">
        <v>235</v>
      </c>
      <c r="T20" s="2" t="s">
        <v>263</v>
      </c>
      <c r="U20" s="2" t="s">
        <v>264</v>
      </c>
      <c r="V20" s="2" t="s">
        <v>238</v>
      </c>
      <c r="W20" s="2" t="s">
        <v>265</v>
      </c>
      <c r="X20" s="2" t="s">
        <v>235</v>
      </c>
      <c r="Y20" s="2" t="s">
        <v>266</v>
      </c>
      <c r="Z20" s="4">
        <v>152</v>
      </c>
      <c r="AA20" s="4">
        <f>=ROUNDDOWN(21.7142857142857,0)</f>
      </c>
      <c r="AB20" s="5">
        <v>7</v>
      </c>
      <c r="AC20" s="2" t="s">
        <v>267</v>
      </c>
      <c r="AD20" s="4">
        <v>136</v>
      </c>
      <c r="AE20" s="4">
        <v>136</v>
      </c>
      <c r="AF20" s="6">
        <v>78</v>
      </c>
      <c r="AG20" s="6"/>
      <c r="AH20" s="7"/>
      <c r="AI20" s="4"/>
      <c r="AJ20" s="4">
        <f>=ROUNDDOWN({0},0)</f>
      </c>
      <c r="AK20" s="5"/>
      <c r="AL20" s="2" t="s">
        <v>235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235</v>
      </c>
      <c r="AW20" s="8" t="s">
        <v>235</v>
      </c>
      <c r="AX20" s="4" t="s">
        <v>235</v>
      </c>
      <c r="AY20" s="8" t="s">
        <v>235</v>
      </c>
      <c r="AZ20" s="7" t="s">
        <v>235</v>
      </c>
      <c r="BA20" s="7" t="s">
        <v>235</v>
      </c>
      <c r="BB20" s="7"/>
      <c r="BC20" s="4" t="s">
        <v>235</v>
      </c>
      <c r="BD20" s="8" t="s">
        <v>235</v>
      </c>
      <c r="BE20" s="4" t="s">
        <v>235</v>
      </c>
      <c r="BF20" s="8" t="s">
        <v>235</v>
      </c>
      <c r="BG20" s="7" t="s">
        <v>235</v>
      </c>
      <c r="BH20" s="7" t="s">
        <v>235</v>
      </c>
      <c r="BI20" s="7"/>
      <c r="BJ20" s="4"/>
      <c r="BK20" s="8"/>
      <c r="BL20" s="2" t="s">
        <v>235</v>
      </c>
      <c r="BM20" s="7"/>
      <c r="BN20" s="7"/>
      <c r="BO20" s="4"/>
      <c r="BP20" s="8"/>
      <c r="BQ20" s="4"/>
      <c r="BR20" s="8"/>
      <c r="BS20" s="7"/>
      <c r="BT20" s="7"/>
      <c r="BU20" s="2" t="s">
        <v>268</v>
      </c>
      <c r="BV20" s="2" t="s">
        <v>235</v>
      </c>
      <c r="BW20" s="2" t="s">
        <v>235</v>
      </c>
      <c r="BX20" s="2" t="s">
        <v>244</v>
      </c>
      <c r="BY20" s="2" t="s">
        <v>245</v>
      </c>
      <c r="BZ20" s="2" t="s">
        <v>232</v>
      </c>
      <c r="CA20" s="2" t="s">
        <v>235</v>
      </c>
      <c r="CB20" s="2" t="s">
        <v>235</v>
      </c>
      <c r="CC20" s="2" t="s">
        <v>248</v>
      </c>
      <c r="CD20" s="2" t="s">
        <v>248</v>
      </c>
      <c r="CE20" s="2" t="s">
        <v>235</v>
      </c>
      <c r="CF20" s="4"/>
      <c r="CG20" s="4"/>
      <c r="CH20" s="4"/>
      <c r="CI20" s="4"/>
      <c r="CJ20" s="4"/>
      <c r="CK20" s="4"/>
      <c r="CL20" s="4"/>
      <c r="CM20" s="4">
        <v>152</v>
      </c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>
        <v>136</v>
      </c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>
        <v>152</v>
      </c>
      <c r="GE20" s="4">
        <v>149</v>
      </c>
      <c r="GF20" s="4">
        <v>142</v>
      </c>
      <c r="GG20" s="4">
        <v>135</v>
      </c>
      <c r="GH20" s="4">
        <v>264</v>
      </c>
      <c r="GI20" s="4">
        <v>257</v>
      </c>
      <c r="GJ20" s="4">
        <v>247</v>
      </c>
      <c r="GK20" s="4">
        <v>238</v>
      </c>
      <c r="GL20" s="4">
        <v>229</v>
      </c>
      <c r="GM20" s="4">
        <v>221</v>
      </c>
      <c r="GN20" s="4">
        <v>213</v>
      </c>
      <c r="GO20" s="4">
        <v>203</v>
      </c>
      <c r="GP20" s="4">
        <v>192</v>
      </c>
      <c r="GQ20" s="4">
        <v>172</v>
      </c>
      <c r="GR20" s="4">
        <v>161</v>
      </c>
      <c r="GS20" s="4">
        <v>151</v>
      </c>
      <c r="GT20" s="4">
        <v>145</v>
      </c>
      <c r="GU20" s="4">
        <v>140</v>
      </c>
      <c r="GV20" s="4">
        <v>132</v>
      </c>
      <c r="GW20" s="4">
        <v>125</v>
      </c>
      <c r="GX20" s="4">
        <v>118</v>
      </c>
      <c r="GY20" s="4">
        <v>111</v>
      </c>
      <c r="GZ20" s="4">
        <v>104</v>
      </c>
      <c r="HA20" s="4">
        <v>97</v>
      </c>
      <c r="HB20" s="4">
        <v>90</v>
      </c>
      <c r="HC20" s="4">
        <v>226</v>
      </c>
      <c r="HD20" s="19">
        <v>25.3</v>
      </c>
      <c r="HE20" s="19">
        <v>21.3</v>
      </c>
      <c r="HF20" s="19">
        <v>17.8</v>
      </c>
      <c r="HG20" s="19">
        <v>16.9</v>
      </c>
      <c r="HH20" s="19">
        <v>29.3</v>
      </c>
      <c r="HI20" s="19">
        <v>28.6</v>
      </c>
      <c r="HJ20" s="19">
        <v>30.9</v>
      </c>
      <c r="HK20" s="19">
        <v>26.4</v>
      </c>
      <c r="HL20" s="19">
        <v>25.4</v>
      </c>
      <c r="HM20" s="19">
        <v>18.4</v>
      </c>
      <c r="HN20" s="19">
        <v>16.4</v>
      </c>
      <c r="HO20" s="19">
        <v>15.6</v>
      </c>
      <c r="HP20" s="19">
        <v>16</v>
      </c>
      <c r="HQ20" s="19">
        <v>21.5</v>
      </c>
      <c r="HR20" s="19">
        <v>23</v>
      </c>
      <c r="HS20" s="19">
        <v>25.2</v>
      </c>
      <c r="HT20" s="19">
        <v>20.7</v>
      </c>
      <c r="HU20" s="19">
        <v>20</v>
      </c>
      <c r="HV20" s="19">
        <v>18.9</v>
      </c>
      <c r="HW20" s="19">
        <v>17.9</v>
      </c>
      <c r="HX20" s="19">
        <v>16.9</v>
      </c>
      <c r="HY20" s="19">
        <v>15.9</v>
      </c>
      <c r="HZ20" s="19">
        <v>14.9</v>
      </c>
      <c r="IA20" s="19">
        <v>13.9</v>
      </c>
      <c r="IB20" s="19">
        <v>12.9</v>
      </c>
      <c r="IC20" s="19">
        <v>32.3</v>
      </c>
    </row>
    <row r="21">
      <c r="A21" s="2" t="s">
        <v>296</v>
      </c>
      <c r="B21" s="2" t="s">
        <v>255</v>
      </c>
      <c r="C21" s="2" t="s">
        <v>256</v>
      </c>
      <c r="D21" s="2" t="s">
        <v>257</v>
      </c>
      <c r="E21" s="2" t="s">
        <v>258</v>
      </c>
      <c r="F21" s="2" t="s">
        <v>259</v>
      </c>
      <c r="G21" s="2" t="s">
        <v>259</v>
      </c>
      <c r="H21" s="2" t="s">
        <v>259</v>
      </c>
      <c r="I21" s="2" t="s">
        <v>260</v>
      </c>
      <c r="J21" s="2" t="s">
        <v>270</v>
      </c>
      <c r="K21" s="2" t="s">
        <v>295</v>
      </c>
      <c r="L21" s="3">
        <v>80</v>
      </c>
      <c r="M21" s="3">
        <v>84</v>
      </c>
      <c r="N21" s="3">
        <v>199.99</v>
      </c>
      <c r="O21" s="2" t="s">
        <v>232</v>
      </c>
      <c r="P21" s="2" t="s">
        <v>262</v>
      </c>
      <c r="Q21" s="2" t="s">
        <v>234</v>
      </c>
      <c r="R21" s="2" t="s">
        <v>235</v>
      </c>
      <c r="S21" s="2" t="s">
        <v>235</v>
      </c>
      <c r="T21" s="2" t="s">
        <v>263</v>
      </c>
      <c r="U21" s="2" t="s">
        <v>264</v>
      </c>
      <c r="V21" s="2" t="s">
        <v>238</v>
      </c>
      <c r="W21" s="2" t="s">
        <v>265</v>
      </c>
      <c r="X21" s="2" t="s">
        <v>235</v>
      </c>
      <c r="Y21" s="2" t="s">
        <v>266</v>
      </c>
      <c r="Z21" s="4">
        <v>204</v>
      </c>
      <c r="AA21" s="4">
        <f>=ROUNDDOWN(22.6666666666667,0)</f>
      </c>
      <c r="AB21" s="5">
        <v>9</v>
      </c>
      <c r="AC21" s="2" t="s">
        <v>267</v>
      </c>
      <c r="AD21" s="4">
        <v>198</v>
      </c>
      <c r="AE21" s="4">
        <v>198</v>
      </c>
      <c r="AF21" s="6">
        <v>78</v>
      </c>
      <c r="AG21" s="6"/>
      <c r="AH21" s="7"/>
      <c r="AI21" s="4"/>
      <c r="AJ21" s="4">
        <f>=ROUNDDOWN({0},0)</f>
      </c>
      <c r="AK21" s="5"/>
      <c r="AL21" s="2" t="s">
        <v>235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235</v>
      </c>
      <c r="AW21" s="8" t="s">
        <v>235</v>
      </c>
      <c r="AX21" s="4" t="s">
        <v>235</v>
      </c>
      <c r="AY21" s="8" t="s">
        <v>235</v>
      </c>
      <c r="AZ21" s="7" t="s">
        <v>235</v>
      </c>
      <c r="BA21" s="7" t="s">
        <v>235</v>
      </c>
      <c r="BB21" s="7"/>
      <c r="BC21" s="4" t="s">
        <v>235</v>
      </c>
      <c r="BD21" s="8" t="s">
        <v>235</v>
      </c>
      <c r="BE21" s="4" t="s">
        <v>235</v>
      </c>
      <c r="BF21" s="8" t="s">
        <v>235</v>
      </c>
      <c r="BG21" s="7" t="s">
        <v>235</v>
      </c>
      <c r="BH21" s="7" t="s">
        <v>235</v>
      </c>
      <c r="BI21" s="7"/>
      <c r="BJ21" s="4"/>
      <c r="BK21" s="8"/>
      <c r="BL21" s="2" t="s">
        <v>235</v>
      </c>
      <c r="BM21" s="7"/>
      <c r="BN21" s="7"/>
      <c r="BO21" s="4"/>
      <c r="BP21" s="8"/>
      <c r="BQ21" s="4"/>
      <c r="BR21" s="8"/>
      <c r="BS21" s="7"/>
      <c r="BT21" s="7"/>
      <c r="BU21" s="2" t="s">
        <v>268</v>
      </c>
      <c r="BV21" s="2" t="s">
        <v>235</v>
      </c>
      <c r="BW21" s="2" t="s">
        <v>235</v>
      </c>
      <c r="BX21" s="2" t="s">
        <v>244</v>
      </c>
      <c r="BY21" s="2" t="s">
        <v>245</v>
      </c>
      <c r="BZ21" s="2" t="s">
        <v>232</v>
      </c>
      <c r="CA21" s="2" t="s">
        <v>235</v>
      </c>
      <c r="CB21" s="2" t="s">
        <v>235</v>
      </c>
      <c r="CC21" s="2" t="s">
        <v>248</v>
      </c>
      <c r="CD21" s="2" t="s">
        <v>248</v>
      </c>
      <c r="CE21" s="2" t="s">
        <v>235</v>
      </c>
      <c r="CF21" s="4">
        <v>96</v>
      </c>
      <c r="CG21" s="4"/>
      <c r="CH21" s="4"/>
      <c r="CI21" s="4"/>
      <c r="CJ21" s="4"/>
      <c r="CK21" s="4"/>
      <c r="CL21" s="4"/>
      <c r="CM21" s="4">
        <v>108</v>
      </c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>
        <v>198</v>
      </c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>
        <v>204</v>
      </c>
      <c r="GE21" s="4">
        <v>201</v>
      </c>
      <c r="GF21" s="4">
        <v>192</v>
      </c>
      <c r="GG21" s="4">
        <v>183</v>
      </c>
      <c r="GH21" s="4">
        <v>372</v>
      </c>
      <c r="GI21" s="4">
        <v>363</v>
      </c>
      <c r="GJ21" s="4">
        <v>351</v>
      </c>
      <c r="GK21" s="4">
        <v>340</v>
      </c>
      <c r="GL21" s="4">
        <v>329</v>
      </c>
      <c r="GM21" s="4">
        <v>319</v>
      </c>
      <c r="GN21" s="4">
        <v>308</v>
      </c>
      <c r="GO21" s="4">
        <v>295</v>
      </c>
      <c r="GP21" s="4">
        <v>280</v>
      </c>
      <c r="GQ21" s="4">
        <v>253</v>
      </c>
      <c r="GR21" s="4">
        <v>238</v>
      </c>
      <c r="GS21" s="4">
        <v>225</v>
      </c>
      <c r="GT21" s="4">
        <v>217</v>
      </c>
      <c r="GU21" s="4">
        <v>210</v>
      </c>
      <c r="GV21" s="4">
        <v>200</v>
      </c>
      <c r="GW21" s="4">
        <v>191</v>
      </c>
      <c r="GX21" s="4">
        <v>182</v>
      </c>
      <c r="GY21" s="4">
        <v>173</v>
      </c>
      <c r="GZ21" s="4">
        <v>164</v>
      </c>
      <c r="HA21" s="4">
        <v>155</v>
      </c>
      <c r="HB21" s="4">
        <v>146</v>
      </c>
      <c r="HC21" s="4">
        <v>290</v>
      </c>
      <c r="HD21" s="19">
        <v>25.5</v>
      </c>
      <c r="HE21" s="19">
        <v>22.3</v>
      </c>
      <c r="HF21" s="19">
        <v>19.2</v>
      </c>
      <c r="HG21" s="19">
        <v>18.3</v>
      </c>
      <c r="HH21" s="19">
        <v>33.8</v>
      </c>
      <c r="HI21" s="19">
        <v>33</v>
      </c>
      <c r="HJ21" s="19">
        <v>31.9</v>
      </c>
      <c r="HK21" s="19">
        <v>30.9</v>
      </c>
      <c r="HL21" s="19">
        <v>27.4</v>
      </c>
      <c r="HM21" s="19">
        <v>19.9</v>
      </c>
      <c r="HN21" s="19">
        <v>17.1</v>
      </c>
      <c r="HO21" s="19">
        <v>16.4</v>
      </c>
      <c r="HP21" s="19">
        <v>17.5</v>
      </c>
      <c r="HQ21" s="19">
        <v>23</v>
      </c>
      <c r="HR21" s="19">
        <v>23.8</v>
      </c>
      <c r="HS21" s="19">
        <v>28.1</v>
      </c>
      <c r="HT21" s="19">
        <v>24.1</v>
      </c>
      <c r="HU21" s="19">
        <v>23.3</v>
      </c>
      <c r="HV21" s="19">
        <v>22.2</v>
      </c>
      <c r="HW21" s="19">
        <v>21.2</v>
      </c>
      <c r="HX21" s="19">
        <v>20.2</v>
      </c>
      <c r="HY21" s="19">
        <v>19.2</v>
      </c>
      <c r="HZ21" s="19">
        <v>18.2</v>
      </c>
      <c r="IA21" s="19">
        <v>17.2</v>
      </c>
      <c r="IB21" s="19">
        <v>16.2</v>
      </c>
      <c r="IC21" s="19">
        <v>32.2</v>
      </c>
    </row>
    <row r="22">
      <c r="A22" s="2" t="s">
        <v>297</v>
      </c>
      <c r="B22" s="2" t="s">
        <v>255</v>
      </c>
      <c r="C22" s="2" t="s">
        <v>256</v>
      </c>
      <c r="D22" s="2" t="s">
        <v>257</v>
      </c>
      <c r="E22" s="2" t="s">
        <v>258</v>
      </c>
      <c r="F22" s="2" t="s">
        <v>259</v>
      </c>
      <c r="G22" s="2" t="s">
        <v>259</v>
      </c>
      <c r="H22" s="2" t="s">
        <v>259</v>
      </c>
      <c r="I22" s="2" t="s">
        <v>260</v>
      </c>
      <c r="J22" s="2" t="s">
        <v>272</v>
      </c>
      <c r="K22" s="2" t="s">
        <v>295</v>
      </c>
      <c r="L22" s="3">
        <v>84</v>
      </c>
      <c r="M22" s="3">
        <v>88.2</v>
      </c>
      <c r="N22" s="3">
        <v>209.99</v>
      </c>
      <c r="O22" s="2" t="s">
        <v>232</v>
      </c>
      <c r="P22" s="2" t="s">
        <v>262</v>
      </c>
      <c r="Q22" s="2" t="s">
        <v>234</v>
      </c>
      <c r="R22" s="2" t="s">
        <v>235</v>
      </c>
      <c r="S22" s="2" t="s">
        <v>235</v>
      </c>
      <c r="T22" s="2" t="s">
        <v>263</v>
      </c>
      <c r="U22" s="2" t="s">
        <v>264</v>
      </c>
      <c r="V22" s="2" t="s">
        <v>238</v>
      </c>
      <c r="W22" s="2" t="s">
        <v>265</v>
      </c>
      <c r="X22" s="2" t="s">
        <v>235</v>
      </c>
      <c r="Y22" s="2" t="s">
        <v>266</v>
      </c>
      <c r="Z22" s="4">
        <v>75</v>
      </c>
      <c r="AA22" s="4">
        <f>=ROUNDDOWN(18.75,0)</f>
      </c>
      <c r="AB22" s="5">
        <v>4</v>
      </c>
      <c r="AC22" s="2" t="s">
        <v>267</v>
      </c>
      <c r="AD22" s="4">
        <v>57</v>
      </c>
      <c r="AE22" s="4">
        <v>57</v>
      </c>
      <c r="AF22" s="6">
        <v>78</v>
      </c>
      <c r="AG22" s="6"/>
      <c r="AH22" s="7"/>
      <c r="AI22" s="4"/>
      <c r="AJ22" s="4">
        <f>=ROUNDDOWN({0},0)</f>
      </c>
      <c r="AK22" s="5"/>
      <c r="AL22" s="2" t="s">
        <v>235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235</v>
      </c>
      <c r="AW22" s="8" t="s">
        <v>235</v>
      </c>
      <c r="AX22" s="4" t="s">
        <v>235</v>
      </c>
      <c r="AY22" s="8" t="s">
        <v>235</v>
      </c>
      <c r="AZ22" s="7" t="s">
        <v>235</v>
      </c>
      <c r="BA22" s="7" t="s">
        <v>235</v>
      </c>
      <c r="BB22" s="7"/>
      <c r="BC22" s="4" t="s">
        <v>235</v>
      </c>
      <c r="BD22" s="8" t="s">
        <v>235</v>
      </c>
      <c r="BE22" s="4" t="s">
        <v>235</v>
      </c>
      <c r="BF22" s="8" t="s">
        <v>235</v>
      </c>
      <c r="BG22" s="7" t="s">
        <v>235</v>
      </c>
      <c r="BH22" s="7" t="s">
        <v>235</v>
      </c>
      <c r="BI22" s="7"/>
      <c r="BJ22" s="4"/>
      <c r="BK22" s="8"/>
      <c r="BL22" s="2" t="s">
        <v>235</v>
      </c>
      <c r="BM22" s="7"/>
      <c r="BN22" s="7"/>
      <c r="BO22" s="4"/>
      <c r="BP22" s="8"/>
      <c r="BQ22" s="4"/>
      <c r="BR22" s="8"/>
      <c r="BS22" s="7"/>
      <c r="BT22" s="7"/>
      <c r="BU22" s="2" t="s">
        <v>268</v>
      </c>
      <c r="BV22" s="2" t="s">
        <v>235</v>
      </c>
      <c r="BW22" s="2" t="s">
        <v>235</v>
      </c>
      <c r="BX22" s="2" t="s">
        <v>244</v>
      </c>
      <c r="BY22" s="2" t="s">
        <v>245</v>
      </c>
      <c r="BZ22" s="2" t="s">
        <v>232</v>
      </c>
      <c r="CA22" s="2" t="s">
        <v>235</v>
      </c>
      <c r="CB22" s="2" t="s">
        <v>235</v>
      </c>
      <c r="CC22" s="2" t="s">
        <v>248</v>
      </c>
      <c r="CD22" s="2" t="s">
        <v>248</v>
      </c>
      <c r="CE22" s="2" t="s">
        <v>235</v>
      </c>
      <c r="CF22" s="4">
        <v>75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>
        <v>57</v>
      </c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>
        <v>75</v>
      </c>
      <c r="GE22" s="4">
        <v>72</v>
      </c>
      <c r="GF22" s="4">
        <v>68</v>
      </c>
      <c r="GG22" s="4">
        <v>64</v>
      </c>
      <c r="GH22" s="4">
        <v>117</v>
      </c>
      <c r="GI22" s="4">
        <v>113</v>
      </c>
      <c r="GJ22" s="4">
        <v>107</v>
      </c>
      <c r="GK22" s="4">
        <v>102</v>
      </c>
      <c r="GL22" s="4">
        <v>97</v>
      </c>
      <c r="GM22" s="4">
        <v>93</v>
      </c>
      <c r="GN22" s="4">
        <v>88</v>
      </c>
      <c r="GO22" s="4">
        <v>82</v>
      </c>
      <c r="GP22" s="4">
        <v>76</v>
      </c>
      <c r="GQ22" s="4">
        <v>65</v>
      </c>
      <c r="GR22" s="4">
        <v>59</v>
      </c>
      <c r="GS22" s="4">
        <v>53</v>
      </c>
      <c r="GT22" s="4">
        <v>49</v>
      </c>
      <c r="GU22" s="4">
        <v>46</v>
      </c>
      <c r="GV22" s="4">
        <v>42</v>
      </c>
      <c r="GW22" s="4">
        <v>38</v>
      </c>
      <c r="GX22" s="4">
        <v>34</v>
      </c>
      <c r="GY22" s="4">
        <v>30</v>
      </c>
      <c r="GZ22" s="4">
        <v>26</v>
      </c>
      <c r="HA22" s="4">
        <v>22</v>
      </c>
      <c r="HB22" s="4">
        <v>18</v>
      </c>
      <c r="HC22" s="4">
        <v>128</v>
      </c>
      <c r="HD22" s="19">
        <v>18.8</v>
      </c>
      <c r="HE22" s="19">
        <v>18</v>
      </c>
      <c r="HF22" s="19">
        <v>17</v>
      </c>
      <c r="HG22" s="19">
        <v>12.8</v>
      </c>
      <c r="HH22" s="19">
        <v>23.4</v>
      </c>
      <c r="HI22" s="19">
        <v>22.6</v>
      </c>
      <c r="HJ22" s="19">
        <v>21.4</v>
      </c>
      <c r="HK22" s="19">
        <v>20.4</v>
      </c>
      <c r="HL22" s="19">
        <v>19.4</v>
      </c>
      <c r="HM22" s="19">
        <v>13.3</v>
      </c>
      <c r="HN22" s="19">
        <v>12.6</v>
      </c>
      <c r="HO22" s="19">
        <v>11.7</v>
      </c>
      <c r="HP22" s="19">
        <v>10.9</v>
      </c>
      <c r="HQ22" s="19">
        <v>13</v>
      </c>
      <c r="HR22" s="19">
        <v>14.8</v>
      </c>
      <c r="HS22" s="19">
        <v>13.3</v>
      </c>
      <c r="HT22" s="19">
        <v>12.3</v>
      </c>
      <c r="HU22" s="19">
        <v>11.5</v>
      </c>
      <c r="HV22" s="19">
        <v>10.5</v>
      </c>
      <c r="HW22" s="19">
        <v>9.5</v>
      </c>
      <c r="HX22" s="19">
        <v>8.5</v>
      </c>
      <c r="HY22" s="19">
        <v>7.5</v>
      </c>
      <c r="HZ22" s="19">
        <v>6.5</v>
      </c>
      <c r="IA22" s="19">
        <v>5.5</v>
      </c>
      <c r="IB22" s="19">
        <v>4.5</v>
      </c>
      <c r="IC22" s="19">
        <v>32</v>
      </c>
    </row>
    <row r="23">
      <c r="A23" s="2" t="s">
        <v>298</v>
      </c>
      <c r="B23" s="2" t="s">
        <v>255</v>
      </c>
      <c r="C23" s="2" t="s">
        <v>256</v>
      </c>
      <c r="D23" s="2" t="s">
        <v>274</v>
      </c>
      <c r="E23" s="2" t="s">
        <v>275</v>
      </c>
      <c r="F23" s="2" t="s">
        <v>259</v>
      </c>
      <c r="G23" s="2" t="s">
        <v>259</v>
      </c>
      <c r="H23" s="2" t="s">
        <v>259</v>
      </c>
      <c r="I23" s="2" t="s">
        <v>276</v>
      </c>
      <c r="J23" s="2" t="s">
        <v>277</v>
      </c>
      <c r="K23" s="2" t="s">
        <v>295</v>
      </c>
      <c r="L23" s="3">
        <v>20</v>
      </c>
      <c r="M23" s="3">
        <v>21</v>
      </c>
      <c r="N23" s="3">
        <v>49.99</v>
      </c>
      <c r="O23" s="2" t="s">
        <v>232</v>
      </c>
      <c r="P23" s="2" t="s">
        <v>262</v>
      </c>
      <c r="Q23" s="2" t="s">
        <v>234</v>
      </c>
      <c r="R23" s="2" t="s">
        <v>235</v>
      </c>
      <c r="S23" s="2" t="s">
        <v>235</v>
      </c>
      <c r="T23" s="2" t="s">
        <v>263</v>
      </c>
      <c r="U23" s="2" t="s">
        <v>278</v>
      </c>
      <c r="V23" s="2" t="s">
        <v>238</v>
      </c>
      <c r="W23" s="2" t="s">
        <v>265</v>
      </c>
      <c r="X23" s="2" t="s">
        <v>235</v>
      </c>
      <c r="Y23" s="2" t="s">
        <v>266</v>
      </c>
      <c r="Z23" s="4">
        <v>30</v>
      </c>
      <c r="AA23" s="4">
        <f>=ROUNDDOWN(15,0)</f>
      </c>
      <c r="AB23" s="5">
        <v>2</v>
      </c>
      <c r="AC23" s="2" t="s">
        <v>267</v>
      </c>
      <c r="AD23" s="4">
        <v>30</v>
      </c>
      <c r="AE23" s="4">
        <v>30</v>
      </c>
      <c r="AF23" s="6">
        <v>78</v>
      </c>
      <c r="AG23" s="6"/>
      <c r="AH23" s="7"/>
      <c r="AI23" s="4"/>
      <c r="AJ23" s="4">
        <f>=ROUNDDOWN({0},0)</f>
      </c>
      <c r="AK23" s="5"/>
      <c r="AL23" s="2" t="s">
        <v>235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235</v>
      </c>
      <c r="AW23" s="8" t="s">
        <v>235</v>
      </c>
      <c r="AX23" s="4" t="s">
        <v>235</v>
      </c>
      <c r="AY23" s="8" t="s">
        <v>235</v>
      </c>
      <c r="AZ23" s="7" t="s">
        <v>235</v>
      </c>
      <c r="BA23" s="7" t="s">
        <v>235</v>
      </c>
      <c r="BB23" s="7"/>
      <c r="BC23" s="4" t="s">
        <v>235</v>
      </c>
      <c r="BD23" s="8" t="s">
        <v>235</v>
      </c>
      <c r="BE23" s="4" t="s">
        <v>235</v>
      </c>
      <c r="BF23" s="8" t="s">
        <v>235</v>
      </c>
      <c r="BG23" s="7" t="s">
        <v>235</v>
      </c>
      <c r="BH23" s="7" t="s">
        <v>235</v>
      </c>
      <c r="BI23" s="7"/>
      <c r="BJ23" s="4"/>
      <c r="BK23" s="8"/>
      <c r="BL23" s="2" t="s">
        <v>235</v>
      </c>
      <c r="BM23" s="7"/>
      <c r="BN23" s="7"/>
      <c r="BO23" s="4"/>
      <c r="BP23" s="8"/>
      <c r="BQ23" s="4"/>
      <c r="BR23" s="8"/>
      <c r="BS23" s="7"/>
      <c r="BT23" s="7"/>
      <c r="BU23" s="2" t="s">
        <v>279</v>
      </c>
      <c r="BV23" s="2" t="s">
        <v>235</v>
      </c>
      <c r="BW23" s="2" t="s">
        <v>235</v>
      </c>
      <c r="BX23" s="2" t="s">
        <v>244</v>
      </c>
      <c r="BY23" s="2" t="s">
        <v>245</v>
      </c>
      <c r="BZ23" s="2" t="s">
        <v>232</v>
      </c>
      <c r="CA23" s="2" t="s">
        <v>235</v>
      </c>
      <c r="CB23" s="2" t="s">
        <v>235</v>
      </c>
      <c r="CC23" s="2" t="s">
        <v>248</v>
      </c>
      <c r="CD23" s="2" t="s">
        <v>248</v>
      </c>
      <c r="CE23" s="2" t="s">
        <v>235</v>
      </c>
      <c r="CF23" s="4">
        <v>30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>
        <v>30</v>
      </c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>
        <v>30</v>
      </c>
      <c r="GE23" s="4">
        <v>27</v>
      </c>
      <c r="GF23" s="4">
        <v>25</v>
      </c>
      <c r="GG23" s="4">
        <v>23</v>
      </c>
      <c r="GH23" s="4">
        <v>51</v>
      </c>
      <c r="GI23" s="4">
        <v>49</v>
      </c>
      <c r="GJ23" s="4">
        <v>45</v>
      </c>
      <c r="GK23" s="4">
        <v>42</v>
      </c>
      <c r="GL23" s="4">
        <v>39</v>
      </c>
      <c r="GM23" s="4">
        <v>37</v>
      </c>
      <c r="GN23" s="4">
        <v>35</v>
      </c>
      <c r="GO23" s="4">
        <v>32</v>
      </c>
      <c r="GP23" s="4">
        <v>29</v>
      </c>
      <c r="GQ23" s="4">
        <v>25</v>
      </c>
      <c r="GR23" s="4">
        <v>22</v>
      </c>
      <c r="GS23" s="4">
        <v>19</v>
      </c>
      <c r="GT23" s="4">
        <v>17</v>
      </c>
      <c r="GU23" s="4">
        <v>15</v>
      </c>
      <c r="GV23" s="4">
        <v>13</v>
      </c>
      <c r="GW23" s="4">
        <v>11</v>
      </c>
      <c r="GX23" s="4">
        <v>9</v>
      </c>
      <c r="GY23" s="4">
        <v>7</v>
      </c>
      <c r="GZ23" s="4">
        <v>5</v>
      </c>
      <c r="HA23" s="4">
        <v>3</v>
      </c>
      <c r="HB23" s="4">
        <v>1</v>
      </c>
      <c r="HC23" s="4">
        <v>65</v>
      </c>
      <c r="HD23" s="19">
        <v>15</v>
      </c>
      <c r="HE23" s="19">
        <v>13.5</v>
      </c>
      <c r="HF23" s="19">
        <v>12.5</v>
      </c>
      <c r="HG23" s="19">
        <v>7.7</v>
      </c>
      <c r="HH23" s="19">
        <v>17</v>
      </c>
      <c r="HI23" s="19">
        <v>16.3</v>
      </c>
      <c r="HJ23" s="19">
        <v>22.5</v>
      </c>
      <c r="HK23" s="19">
        <v>21</v>
      </c>
      <c r="HL23" s="19">
        <v>19.5</v>
      </c>
      <c r="HM23" s="19">
        <v>12.3</v>
      </c>
      <c r="HN23" s="19">
        <v>11.7</v>
      </c>
      <c r="HO23" s="19">
        <v>10.7</v>
      </c>
      <c r="HP23" s="19">
        <v>9.7</v>
      </c>
      <c r="HQ23" s="19">
        <v>12.5</v>
      </c>
      <c r="HR23" s="19">
        <v>11</v>
      </c>
      <c r="HS23" s="19">
        <v>9.5</v>
      </c>
      <c r="HT23" s="19">
        <v>8.5</v>
      </c>
      <c r="HU23" s="19">
        <v>7.5</v>
      </c>
      <c r="HV23" s="19">
        <v>6.5</v>
      </c>
      <c r="HW23" s="19">
        <v>5.5</v>
      </c>
      <c r="HX23" s="19">
        <v>4.5</v>
      </c>
      <c r="HY23" s="19">
        <v>3.5</v>
      </c>
      <c r="HZ23" s="19">
        <v>2.5</v>
      </c>
      <c r="IA23" s="19">
        <v>1.5</v>
      </c>
      <c r="IB23" s="19">
        <v>0.5</v>
      </c>
      <c r="IC23" s="19">
        <v>32.5</v>
      </c>
    </row>
    <row r="24">
      <c r="A24" s="2" t="s">
        <v>299</v>
      </c>
      <c r="B24" s="2" t="s">
        <v>255</v>
      </c>
      <c r="C24" s="2" t="s">
        <v>256</v>
      </c>
      <c r="D24" s="2" t="s">
        <v>257</v>
      </c>
      <c r="E24" s="2" t="s">
        <v>258</v>
      </c>
      <c r="F24" s="2" t="s">
        <v>259</v>
      </c>
      <c r="G24" s="2" t="s">
        <v>259</v>
      </c>
      <c r="H24" s="2" t="s">
        <v>259</v>
      </c>
      <c r="I24" s="2" t="s">
        <v>260</v>
      </c>
      <c r="J24" s="2" t="s">
        <v>281</v>
      </c>
      <c r="K24" s="2" t="s">
        <v>295</v>
      </c>
      <c r="L24" s="3">
        <v>104</v>
      </c>
      <c r="M24" s="3">
        <v>109.2</v>
      </c>
      <c r="N24" s="3">
        <v>259.99</v>
      </c>
      <c r="O24" s="2" t="s">
        <v>232</v>
      </c>
      <c r="P24" s="2" t="s">
        <v>262</v>
      </c>
      <c r="Q24" s="2" t="s">
        <v>234</v>
      </c>
      <c r="R24" s="2" t="s">
        <v>235</v>
      </c>
      <c r="S24" s="2" t="s">
        <v>235</v>
      </c>
      <c r="T24" s="2" t="s">
        <v>263</v>
      </c>
      <c r="U24" s="2" t="s">
        <v>282</v>
      </c>
      <c r="V24" s="2" t="s">
        <v>238</v>
      </c>
      <c r="W24" s="2" t="s">
        <v>265</v>
      </c>
      <c r="X24" s="2" t="s">
        <v>235</v>
      </c>
      <c r="Y24" s="2" t="s">
        <v>266</v>
      </c>
      <c r="Z24" s="4">
        <v>75</v>
      </c>
      <c r="AA24" s="4">
        <f>=ROUNDDOWN(18.75,0)</f>
      </c>
      <c r="AB24" s="5">
        <v>4</v>
      </c>
      <c r="AC24" s="2" t="s">
        <v>267</v>
      </c>
      <c r="AD24" s="4">
        <v>75</v>
      </c>
      <c r="AE24" s="4">
        <v>75</v>
      </c>
      <c r="AF24" s="6">
        <v>78</v>
      </c>
      <c r="AG24" s="6"/>
      <c r="AH24" s="7"/>
      <c r="AI24" s="4"/>
      <c r="AJ24" s="4">
        <f>=ROUNDDOWN({0},0)</f>
      </c>
      <c r="AK24" s="5"/>
      <c r="AL24" s="2" t="s">
        <v>235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235</v>
      </c>
      <c r="AW24" s="8" t="s">
        <v>235</v>
      </c>
      <c r="AX24" s="4" t="s">
        <v>235</v>
      </c>
      <c r="AY24" s="8" t="s">
        <v>235</v>
      </c>
      <c r="AZ24" s="7" t="s">
        <v>235</v>
      </c>
      <c r="BA24" s="7" t="s">
        <v>235</v>
      </c>
      <c r="BB24" s="7"/>
      <c r="BC24" s="4" t="s">
        <v>235</v>
      </c>
      <c r="BD24" s="8" t="s">
        <v>235</v>
      </c>
      <c r="BE24" s="4" t="s">
        <v>235</v>
      </c>
      <c r="BF24" s="8" t="s">
        <v>235</v>
      </c>
      <c r="BG24" s="7" t="s">
        <v>235</v>
      </c>
      <c r="BH24" s="7" t="s">
        <v>235</v>
      </c>
      <c r="BI24" s="7"/>
      <c r="BJ24" s="4"/>
      <c r="BK24" s="8"/>
      <c r="BL24" s="2" t="s">
        <v>235</v>
      </c>
      <c r="BM24" s="7"/>
      <c r="BN24" s="7"/>
      <c r="BO24" s="4"/>
      <c r="BP24" s="8"/>
      <c r="BQ24" s="4"/>
      <c r="BR24" s="8"/>
      <c r="BS24" s="7"/>
      <c r="BT24" s="7"/>
      <c r="BU24" s="2" t="s">
        <v>268</v>
      </c>
      <c r="BV24" s="2" t="s">
        <v>235</v>
      </c>
      <c r="BW24" s="2" t="s">
        <v>235</v>
      </c>
      <c r="BX24" s="2" t="s">
        <v>244</v>
      </c>
      <c r="BY24" s="2" t="s">
        <v>245</v>
      </c>
      <c r="BZ24" s="2" t="s">
        <v>232</v>
      </c>
      <c r="CA24" s="2" t="s">
        <v>235</v>
      </c>
      <c r="CB24" s="2" t="s">
        <v>235</v>
      </c>
      <c r="CC24" s="2" t="s">
        <v>248</v>
      </c>
      <c r="CD24" s="2" t="s">
        <v>248</v>
      </c>
      <c r="CE24" s="2" t="s">
        <v>235</v>
      </c>
      <c r="CF24" s="4">
        <v>75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>
        <v>75</v>
      </c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>
        <v>75</v>
      </c>
      <c r="GE24" s="4">
        <v>72</v>
      </c>
      <c r="GF24" s="4">
        <v>68</v>
      </c>
      <c r="GG24" s="4">
        <v>64</v>
      </c>
      <c r="GH24" s="4">
        <v>135</v>
      </c>
      <c r="GI24" s="4">
        <v>131</v>
      </c>
      <c r="GJ24" s="4">
        <v>125</v>
      </c>
      <c r="GK24" s="4">
        <v>120</v>
      </c>
      <c r="GL24" s="4">
        <v>115</v>
      </c>
      <c r="GM24" s="4">
        <v>111</v>
      </c>
      <c r="GN24" s="4">
        <v>106</v>
      </c>
      <c r="GO24" s="4">
        <v>100</v>
      </c>
      <c r="GP24" s="4">
        <v>94</v>
      </c>
      <c r="GQ24" s="4">
        <v>83</v>
      </c>
      <c r="GR24" s="4">
        <v>77</v>
      </c>
      <c r="GS24" s="4">
        <v>71</v>
      </c>
      <c r="GT24" s="4">
        <v>67</v>
      </c>
      <c r="GU24" s="4">
        <v>64</v>
      </c>
      <c r="GV24" s="4">
        <v>60</v>
      </c>
      <c r="GW24" s="4">
        <v>56</v>
      </c>
      <c r="GX24" s="4">
        <v>52</v>
      </c>
      <c r="GY24" s="4">
        <v>48</v>
      </c>
      <c r="GZ24" s="4">
        <v>44</v>
      </c>
      <c r="HA24" s="4">
        <v>40</v>
      </c>
      <c r="HB24" s="4">
        <v>36</v>
      </c>
      <c r="HC24" s="4">
        <v>128</v>
      </c>
      <c r="HD24" s="19">
        <v>18.8</v>
      </c>
      <c r="HE24" s="19">
        <v>18</v>
      </c>
      <c r="HF24" s="19">
        <v>17</v>
      </c>
      <c r="HG24" s="19">
        <v>12.8</v>
      </c>
      <c r="HH24" s="19">
        <v>27</v>
      </c>
      <c r="HI24" s="19">
        <v>26.2</v>
      </c>
      <c r="HJ24" s="19">
        <v>25</v>
      </c>
      <c r="HK24" s="19">
        <v>24</v>
      </c>
      <c r="HL24" s="19">
        <v>23</v>
      </c>
      <c r="HM24" s="19">
        <v>15.9</v>
      </c>
      <c r="HN24" s="19">
        <v>15.1</v>
      </c>
      <c r="HO24" s="19">
        <v>14.3</v>
      </c>
      <c r="HP24" s="19">
        <v>13.4</v>
      </c>
      <c r="HQ24" s="19">
        <v>16.6</v>
      </c>
      <c r="HR24" s="19">
        <v>19.3</v>
      </c>
      <c r="HS24" s="19">
        <v>17.8</v>
      </c>
      <c r="HT24" s="19">
        <v>16.8</v>
      </c>
      <c r="HU24" s="19">
        <v>16</v>
      </c>
      <c r="HV24" s="19">
        <v>15</v>
      </c>
      <c r="HW24" s="19">
        <v>14</v>
      </c>
      <c r="HX24" s="19">
        <v>13</v>
      </c>
      <c r="HY24" s="19">
        <v>12</v>
      </c>
      <c r="HZ24" s="19">
        <v>11</v>
      </c>
      <c r="IA24" s="19">
        <v>10</v>
      </c>
      <c r="IB24" s="19">
        <v>9</v>
      </c>
      <c r="IC24" s="19">
        <v>32</v>
      </c>
    </row>
    <row r="25">
      <c r="A25" s="2" t="s">
        <v>300</v>
      </c>
      <c r="B25" s="2" t="s">
        <v>255</v>
      </c>
      <c r="C25" s="2" t="s">
        <v>256</v>
      </c>
      <c r="D25" s="2" t="s">
        <v>274</v>
      </c>
      <c r="E25" s="2" t="s">
        <v>275</v>
      </c>
      <c r="F25" s="2" t="s">
        <v>259</v>
      </c>
      <c r="G25" s="2" t="s">
        <v>259</v>
      </c>
      <c r="H25" s="2" t="s">
        <v>259</v>
      </c>
      <c r="I25" s="2" t="s">
        <v>276</v>
      </c>
      <c r="J25" s="2" t="s">
        <v>284</v>
      </c>
      <c r="K25" s="2" t="s">
        <v>295</v>
      </c>
      <c r="L25" s="3">
        <v>20</v>
      </c>
      <c r="M25" s="3">
        <v>21</v>
      </c>
      <c r="N25" s="3">
        <v>49.99</v>
      </c>
      <c r="O25" s="2" t="s">
        <v>232</v>
      </c>
      <c r="P25" s="2" t="s">
        <v>262</v>
      </c>
      <c r="Q25" s="2" t="s">
        <v>234</v>
      </c>
      <c r="R25" s="2" t="s">
        <v>235</v>
      </c>
      <c r="S25" s="2" t="s">
        <v>235</v>
      </c>
      <c r="T25" s="2" t="s">
        <v>263</v>
      </c>
      <c r="U25" s="2" t="s">
        <v>278</v>
      </c>
      <c r="V25" s="2" t="s">
        <v>238</v>
      </c>
      <c r="W25" s="2" t="s">
        <v>265</v>
      </c>
      <c r="X25" s="2" t="s">
        <v>235</v>
      </c>
      <c r="Y25" s="2" t="s">
        <v>266</v>
      </c>
      <c r="Z25" s="4">
        <v>20</v>
      </c>
      <c r="AA25" s="4">
        <f>=ROUNDDOWN({0},0)</f>
      </c>
      <c r="AB25" s="5"/>
      <c r="AC25" s="2" t="s">
        <v>267</v>
      </c>
      <c r="AD25" s="4">
        <v>20</v>
      </c>
      <c r="AE25" s="4">
        <v>20</v>
      </c>
      <c r="AF25" s="6">
        <v>78</v>
      </c>
      <c r="AG25" s="6"/>
      <c r="AH25" s="7"/>
      <c r="AI25" s="4"/>
      <c r="AJ25" s="4">
        <f>=ROUNDDOWN({0},0)</f>
      </c>
      <c r="AK25" s="5"/>
      <c r="AL25" s="2" t="s">
        <v>235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235</v>
      </c>
      <c r="AW25" s="8" t="s">
        <v>235</v>
      </c>
      <c r="AX25" s="4" t="s">
        <v>235</v>
      </c>
      <c r="AY25" s="8" t="s">
        <v>235</v>
      </c>
      <c r="AZ25" s="7" t="s">
        <v>235</v>
      </c>
      <c r="BA25" s="7" t="s">
        <v>235</v>
      </c>
      <c r="BB25" s="7"/>
      <c r="BC25" s="4" t="s">
        <v>235</v>
      </c>
      <c r="BD25" s="8" t="s">
        <v>235</v>
      </c>
      <c r="BE25" s="4" t="s">
        <v>235</v>
      </c>
      <c r="BF25" s="8" t="s">
        <v>235</v>
      </c>
      <c r="BG25" s="7" t="s">
        <v>235</v>
      </c>
      <c r="BH25" s="7" t="s">
        <v>235</v>
      </c>
      <c r="BI25" s="7"/>
      <c r="BJ25" s="4"/>
      <c r="BK25" s="8"/>
      <c r="BL25" s="2" t="s">
        <v>235</v>
      </c>
      <c r="BM25" s="7"/>
      <c r="BN25" s="7"/>
      <c r="BO25" s="4"/>
      <c r="BP25" s="8"/>
      <c r="BQ25" s="4"/>
      <c r="BR25" s="8"/>
      <c r="BS25" s="7"/>
      <c r="BT25" s="7"/>
      <c r="BU25" s="2" t="s">
        <v>285</v>
      </c>
      <c r="BV25" s="2" t="s">
        <v>235</v>
      </c>
      <c r="BW25" s="2" t="s">
        <v>235</v>
      </c>
      <c r="BX25" s="2" t="s">
        <v>244</v>
      </c>
      <c r="BY25" s="2" t="s">
        <v>245</v>
      </c>
      <c r="BZ25" s="2" t="s">
        <v>232</v>
      </c>
      <c r="CA25" s="2" t="s">
        <v>235</v>
      </c>
      <c r="CB25" s="2" t="s">
        <v>235</v>
      </c>
      <c r="CC25" s="2" t="s">
        <v>248</v>
      </c>
      <c r="CD25" s="2" t="s">
        <v>248</v>
      </c>
      <c r="CE25" s="2" t="s">
        <v>235</v>
      </c>
      <c r="CF25" s="4">
        <v>20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>
        <v>20</v>
      </c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>
        <v>20</v>
      </c>
      <c r="GE25" s="4">
        <v>17</v>
      </c>
      <c r="GF25" s="4">
        <v>15</v>
      </c>
      <c r="GG25" s="4">
        <v>13</v>
      </c>
      <c r="GH25" s="4">
        <v>31</v>
      </c>
      <c r="GI25" s="4">
        <v>29</v>
      </c>
      <c r="GJ25" s="4">
        <v>25</v>
      </c>
      <c r="GK25" s="4">
        <v>22</v>
      </c>
      <c r="GL25" s="4">
        <v>19</v>
      </c>
      <c r="GM25" s="4">
        <v>17</v>
      </c>
      <c r="GN25" s="4">
        <v>15</v>
      </c>
      <c r="GO25" s="4">
        <v>12</v>
      </c>
      <c r="GP25" s="4">
        <v>9</v>
      </c>
      <c r="GQ25" s="4">
        <v>5</v>
      </c>
      <c r="GR25" s="4">
        <v>2</v>
      </c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>
        <v>71</v>
      </c>
      <c r="HD25" s="19">
        <v>10</v>
      </c>
      <c r="HE25" s="19">
        <v>8.5</v>
      </c>
      <c r="HF25" s="19">
        <v>7.5</v>
      </c>
      <c r="HG25" s="19">
        <v>4.3</v>
      </c>
      <c r="HH25" s="19">
        <v>10.3</v>
      </c>
      <c r="HI25" s="19">
        <v>9.7</v>
      </c>
      <c r="HJ25" s="19">
        <v>12.5</v>
      </c>
      <c r="HK25" s="19">
        <v>11</v>
      </c>
      <c r="HL25" s="19">
        <v>9.5</v>
      </c>
      <c r="HM25" s="19">
        <v>5.7</v>
      </c>
      <c r="HN25" s="19">
        <v>5</v>
      </c>
      <c r="HO25" s="19">
        <v>4</v>
      </c>
      <c r="HP25" s="19">
        <v>4.5</v>
      </c>
      <c r="HQ25" s="19">
        <v>2.5</v>
      </c>
      <c r="HR25" s="19">
        <v>2</v>
      </c>
      <c r="HS25" s="20">
        <v>0</v>
      </c>
      <c r="HT25" s="20">
        <v>0</v>
      </c>
      <c r="HU25" s="20">
        <v>0</v>
      </c>
      <c r="HV25" s="20">
        <v>0</v>
      </c>
      <c r="HW25" s="20">
        <v>0</v>
      </c>
      <c r="HX25" s="20">
        <v>0</v>
      </c>
      <c r="HY25" s="20">
        <v>0</v>
      </c>
      <c r="HZ25" s="20">
        <v>0</v>
      </c>
      <c r="IA25" s="20">
        <v>0</v>
      </c>
      <c r="IB25" s="20">
        <v>0</v>
      </c>
      <c r="IC25" s="19">
        <v>17.8</v>
      </c>
    </row>
    <row r="26">
      <c r="A26" s="2" t="s">
        <v>301</v>
      </c>
      <c r="B26" s="2" t="s">
        <v>255</v>
      </c>
      <c r="C26" s="2" t="s">
        <v>256</v>
      </c>
      <c r="D26" s="2" t="s">
        <v>257</v>
      </c>
      <c r="E26" s="2" t="s">
        <v>258</v>
      </c>
      <c r="F26" s="2" t="s">
        <v>259</v>
      </c>
      <c r="G26" s="2" t="s">
        <v>259</v>
      </c>
      <c r="H26" s="2" t="s">
        <v>259</v>
      </c>
      <c r="I26" s="2" t="s">
        <v>260</v>
      </c>
      <c r="J26" s="2" t="s">
        <v>261</v>
      </c>
      <c r="K26" s="2" t="s">
        <v>302</v>
      </c>
      <c r="L26" s="3">
        <v>76</v>
      </c>
      <c r="M26" s="3">
        <v>79.8</v>
      </c>
      <c r="N26" s="3">
        <v>189.99</v>
      </c>
      <c r="O26" s="2" t="s">
        <v>232</v>
      </c>
      <c r="P26" s="2" t="s">
        <v>262</v>
      </c>
      <c r="Q26" s="2" t="s">
        <v>234</v>
      </c>
      <c r="R26" s="2" t="s">
        <v>235</v>
      </c>
      <c r="S26" s="2" t="s">
        <v>235</v>
      </c>
      <c r="T26" s="2" t="s">
        <v>263</v>
      </c>
      <c r="U26" s="2" t="s">
        <v>264</v>
      </c>
      <c r="V26" s="2" t="s">
        <v>238</v>
      </c>
      <c r="W26" s="2" t="s">
        <v>265</v>
      </c>
      <c r="X26" s="2" t="s">
        <v>235</v>
      </c>
      <c r="Y26" s="2" t="s">
        <v>266</v>
      </c>
      <c r="Z26" s="4">
        <v>72</v>
      </c>
      <c r="AA26" s="4">
        <f>=ROUNDDOWN(18,0)</f>
      </c>
      <c r="AB26" s="5">
        <v>4</v>
      </c>
      <c r="AC26" s="2" t="s">
        <v>267</v>
      </c>
      <c r="AD26" s="4">
        <v>56</v>
      </c>
      <c r="AE26" s="4">
        <v>56</v>
      </c>
      <c r="AF26" s="6">
        <v>78</v>
      </c>
      <c r="AG26" s="6"/>
      <c r="AH26" s="7"/>
      <c r="AI26" s="4"/>
      <c r="AJ26" s="4">
        <f>=ROUNDDOWN({0},0)</f>
      </c>
      <c r="AK26" s="5"/>
      <c r="AL26" s="2" t="s">
        <v>235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235</v>
      </c>
      <c r="AW26" s="8" t="s">
        <v>235</v>
      </c>
      <c r="AX26" s="4" t="s">
        <v>235</v>
      </c>
      <c r="AY26" s="8" t="s">
        <v>235</v>
      </c>
      <c r="AZ26" s="7" t="s">
        <v>235</v>
      </c>
      <c r="BA26" s="7" t="s">
        <v>235</v>
      </c>
      <c r="BB26" s="7"/>
      <c r="BC26" s="4" t="s">
        <v>235</v>
      </c>
      <c r="BD26" s="8" t="s">
        <v>235</v>
      </c>
      <c r="BE26" s="4" t="s">
        <v>235</v>
      </c>
      <c r="BF26" s="8" t="s">
        <v>235</v>
      </c>
      <c r="BG26" s="7" t="s">
        <v>235</v>
      </c>
      <c r="BH26" s="7" t="s">
        <v>235</v>
      </c>
      <c r="BI26" s="7"/>
      <c r="BJ26" s="4"/>
      <c r="BK26" s="8"/>
      <c r="BL26" s="2" t="s">
        <v>235</v>
      </c>
      <c r="BM26" s="7"/>
      <c r="BN26" s="7"/>
      <c r="BO26" s="4"/>
      <c r="BP26" s="8"/>
      <c r="BQ26" s="4"/>
      <c r="BR26" s="8"/>
      <c r="BS26" s="7"/>
      <c r="BT26" s="7"/>
      <c r="BU26" s="2" t="s">
        <v>268</v>
      </c>
      <c r="BV26" s="2" t="s">
        <v>235</v>
      </c>
      <c r="BW26" s="2" t="s">
        <v>235</v>
      </c>
      <c r="BX26" s="2" t="s">
        <v>244</v>
      </c>
      <c r="BY26" s="2" t="s">
        <v>245</v>
      </c>
      <c r="BZ26" s="2" t="s">
        <v>232</v>
      </c>
      <c r="CA26" s="2" t="s">
        <v>235</v>
      </c>
      <c r="CB26" s="2" t="s">
        <v>235</v>
      </c>
      <c r="CC26" s="2" t="s">
        <v>248</v>
      </c>
      <c r="CD26" s="2" t="s">
        <v>248</v>
      </c>
      <c r="CE26" s="2" t="s">
        <v>235</v>
      </c>
      <c r="CF26" s="4"/>
      <c r="CG26" s="4"/>
      <c r="CH26" s="4"/>
      <c r="CI26" s="4"/>
      <c r="CJ26" s="4"/>
      <c r="CK26" s="4"/>
      <c r="CL26" s="4"/>
      <c r="CM26" s="4">
        <v>72</v>
      </c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>
        <v>56</v>
      </c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>
        <v>72</v>
      </c>
      <c r="GE26" s="4">
        <v>69</v>
      </c>
      <c r="GF26" s="4">
        <v>65</v>
      </c>
      <c r="GG26" s="4">
        <v>61</v>
      </c>
      <c r="GH26" s="4">
        <v>113</v>
      </c>
      <c r="GI26" s="4">
        <v>109</v>
      </c>
      <c r="GJ26" s="4">
        <v>103</v>
      </c>
      <c r="GK26" s="4">
        <v>98</v>
      </c>
      <c r="GL26" s="4">
        <v>93</v>
      </c>
      <c r="GM26" s="4">
        <v>89</v>
      </c>
      <c r="GN26" s="4">
        <v>84</v>
      </c>
      <c r="GO26" s="4">
        <v>78</v>
      </c>
      <c r="GP26" s="4">
        <v>72</v>
      </c>
      <c r="GQ26" s="4">
        <v>61</v>
      </c>
      <c r="GR26" s="4">
        <v>55</v>
      </c>
      <c r="GS26" s="4">
        <v>49</v>
      </c>
      <c r="GT26" s="4">
        <v>45</v>
      </c>
      <c r="GU26" s="4">
        <v>42</v>
      </c>
      <c r="GV26" s="4">
        <v>38</v>
      </c>
      <c r="GW26" s="4">
        <v>34</v>
      </c>
      <c r="GX26" s="4">
        <v>30</v>
      </c>
      <c r="GY26" s="4">
        <v>26</v>
      </c>
      <c r="GZ26" s="4">
        <v>22</v>
      </c>
      <c r="HA26" s="4">
        <v>18</v>
      </c>
      <c r="HB26" s="4">
        <v>14</v>
      </c>
      <c r="HC26" s="4">
        <v>146</v>
      </c>
      <c r="HD26" s="19">
        <v>18</v>
      </c>
      <c r="HE26" s="19">
        <v>17.3</v>
      </c>
      <c r="HF26" s="19">
        <v>16.3</v>
      </c>
      <c r="HG26" s="19">
        <v>12.2</v>
      </c>
      <c r="HH26" s="19">
        <v>22.6</v>
      </c>
      <c r="HI26" s="19">
        <v>21.8</v>
      </c>
      <c r="HJ26" s="19">
        <v>20.6</v>
      </c>
      <c r="HK26" s="19">
        <v>19.6</v>
      </c>
      <c r="HL26" s="19">
        <v>18.6</v>
      </c>
      <c r="HM26" s="19">
        <v>12.7</v>
      </c>
      <c r="HN26" s="19">
        <v>12</v>
      </c>
      <c r="HO26" s="19">
        <v>11.1</v>
      </c>
      <c r="HP26" s="19">
        <v>10.3</v>
      </c>
      <c r="HQ26" s="19">
        <v>12.2</v>
      </c>
      <c r="HR26" s="19">
        <v>13.8</v>
      </c>
      <c r="HS26" s="19">
        <v>12.3</v>
      </c>
      <c r="HT26" s="19">
        <v>11.3</v>
      </c>
      <c r="HU26" s="19">
        <v>10.5</v>
      </c>
      <c r="HV26" s="19">
        <v>9.5</v>
      </c>
      <c r="HW26" s="19">
        <v>8.5</v>
      </c>
      <c r="HX26" s="19">
        <v>7.5</v>
      </c>
      <c r="HY26" s="19">
        <v>6.5</v>
      </c>
      <c r="HZ26" s="19">
        <v>5.5</v>
      </c>
      <c r="IA26" s="19">
        <v>4.5</v>
      </c>
      <c r="IB26" s="19">
        <v>3.5</v>
      </c>
      <c r="IC26" s="19">
        <v>36.5</v>
      </c>
    </row>
    <row r="27">
      <c r="A27" s="2" t="s">
        <v>303</v>
      </c>
      <c r="B27" s="2" t="s">
        <v>255</v>
      </c>
      <c r="C27" s="2" t="s">
        <v>256</v>
      </c>
      <c r="D27" s="2" t="s">
        <v>257</v>
      </c>
      <c r="E27" s="2" t="s">
        <v>258</v>
      </c>
      <c r="F27" s="2" t="s">
        <v>259</v>
      </c>
      <c r="G27" s="2" t="s">
        <v>259</v>
      </c>
      <c r="H27" s="2" t="s">
        <v>259</v>
      </c>
      <c r="I27" s="2" t="s">
        <v>260</v>
      </c>
      <c r="J27" s="2" t="s">
        <v>270</v>
      </c>
      <c r="K27" s="2" t="s">
        <v>302</v>
      </c>
      <c r="L27" s="3">
        <v>80</v>
      </c>
      <c r="M27" s="3">
        <v>84</v>
      </c>
      <c r="N27" s="3">
        <v>199.99</v>
      </c>
      <c r="O27" s="2" t="s">
        <v>232</v>
      </c>
      <c r="P27" s="2" t="s">
        <v>262</v>
      </c>
      <c r="Q27" s="2" t="s">
        <v>234</v>
      </c>
      <c r="R27" s="2" t="s">
        <v>235</v>
      </c>
      <c r="S27" s="2" t="s">
        <v>235</v>
      </c>
      <c r="T27" s="2" t="s">
        <v>263</v>
      </c>
      <c r="U27" s="2" t="s">
        <v>264</v>
      </c>
      <c r="V27" s="2" t="s">
        <v>238</v>
      </c>
      <c r="W27" s="2" t="s">
        <v>265</v>
      </c>
      <c r="X27" s="2" t="s">
        <v>235</v>
      </c>
      <c r="Y27" s="2" t="s">
        <v>266</v>
      </c>
      <c r="Z27" s="4">
        <v>102</v>
      </c>
      <c r="AA27" s="4">
        <f>=ROUNDDOWN(20.4,0)</f>
      </c>
      <c r="AB27" s="5">
        <v>5</v>
      </c>
      <c r="AC27" s="2" t="s">
        <v>267</v>
      </c>
      <c r="AD27" s="4">
        <v>84</v>
      </c>
      <c r="AE27" s="4">
        <v>84</v>
      </c>
      <c r="AF27" s="6">
        <v>78</v>
      </c>
      <c r="AG27" s="6"/>
      <c r="AH27" s="7"/>
      <c r="AI27" s="4"/>
      <c r="AJ27" s="4">
        <f>=ROUNDDOWN({0},0)</f>
      </c>
      <c r="AK27" s="5"/>
      <c r="AL27" s="2" t="s">
        <v>235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235</v>
      </c>
      <c r="AW27" s="8" t="s">
        <v>235</v>
      </c>
      <c r="AX27" s="4" t="s">
        <v>235</v>
      </c>
      <c r="AY27" s="8" t="s">
        <v>235</v>
      </c>
      <c r="AZ27" s="7" t="s">
        <v>235</v>
      </c>
      <c r="BA27" s="7" t="s">
        <v>235</v>
      </c>
      <c r="BB27" s="7"/>
      <c r="BC27" s="4" t="s">
        <v>235</v>
      </c>
      <c r="BD27" s="8" t="s">
        <v>235</v>
      </c>
      <c r="BE27" s="4" t="s">
        <v>235</v>
      </c>
      <c r="BF27" s="8" t="s">
        <v>235</v>
      </c>
      <c r="BG27" s="7" t="s">
        <v>235</v>
      </c>
      <c r="BH27" s="7" t="s">
        <v>235</v>
      </c>
      <c r="BI27" s="7"/>
      <c r="BJ27" s="4"/>
      <c r="BK27" s="8"/>
      <c r="BL27" s="2" t="s">
        <v>235</v>
      </c>
      <c r="BM27" s="7"/>
      <c r="BN27" s="7"/>
      <c r="BO27" s="4"/>
      <c r="BP27" s="8"/>
      <c r="BQ27" s="4"/>
      <c r="BR27" s="8"/>
      <c r="BS27" s="7"/>
      <c r="BT27" s="7"/>
      <c r="BU27" s="2" t="s">
        <v>268</v>
      </c>
      <c r="BV27" s="2" t="s">
        <v>235</v>
      </c>
      <c r="BW27" s="2" t="s">
        <v>235</v>
      </c>
      <c r="BX27" s="2" t="s">
        <v>244</v>
      </c>
      <c r="BY27" s="2" t="s">
        <v>245</v>
      </c>
      <c r="BZ27" s="2" t="s">
        <v>232</v>
      </c>
      <c r="CA27" s="2" t="s">
        <v>235</v>
      </c>
      <c r="CB27" s="2" t="s">
        <v>235</v>
      </c>
      <c r="CC27" s="2" t="s">
        <v>248</v>
      </c>
      <c r="CD27" s="2" t="s">
        <v>248</v>
      </c>
      <c r="CE27" s="2" t="s">
        <v>235</v>
      </c>
      <c r="CF27" s="4">
        <v>102</v>
      </c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>
        <v>84</v>
      </c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>
        <v>102</v>
      </c>
      <c r="GE27" s="4">
        <v>99</v>
      </c>
      <c r="GF27" s="4">
        <v>94</v>
      </c>
      <c r="GG27" s="4">
        <v>89</v>
      </c>
      <c r="GH27" s="4">
        <v>168</v>
      </c>
      <c r="GI27" s="4">
        <v>163</v>
      </c>
      <c r="GJ27" s="4">
        <v>156</v>
      </c>
      <c r="GK27" s="4">
        <v>150</v>
      </c>
      <c r="GL27" s="4">
        <v>144</v>
      </c>
      <c r="GM27" s="4">
        <v>139</v>
      </c>
      <c r="GN27" s="4">
        <v>133</v>
      </c>
      <c r="GO27" s="4">
        <v>126</v>
      </c>
      <c r="GP27" s="4">
        <v>118</v>
      </c>
      <c r="GQ27" s="4">
        <v>104</v>
      </c>
      <c r="GR27" s="4">
        <v>96</v>
      </c>
      <c r="GS27" s="4">
        <v>89</v>
      </c>
      <c r="GT27" s="4">
        <v>84</v>
      </c>
      <c r="GU27" s="4">
        <v>80</v>
      </c>
      <c r="GV27" s="4">
        <v>75</v>
      </c>
      <c r="GW27" s="4">
        <v>70</v>
      </c>
      <c r="GX27" s="4">
        <v>65</v>
      </c>
      <c r="GY27" s="4">
        <v>60</v>
      </c>
      <c r="GZ27" s="4">
        <v>55</v>
      </c>
      <c r="HA27" s="4">
        <v>50</v>
      </c>
      <c r="HB27" s="4">
        <v>45</v>
      </c>
      <c r="HC27" s="4">
        <v>181</v>
      </c>
      <c r="HD27" s="19">
        <v>25.5</v>
      </c>
      <c r="HE27" s="19">
        <v>19.8</v>
      </c>
      <c r="HF27" s="19">
        <v>15.7</v>
      </c>
      <c r="HG27" s="19">
        <v>14.8</v>
      </c>
      <c r="HH27" s="19">
        <v>28</v>
      </c>
      <c r="HI27" s="19">
        <v>27.2</v>
      </c>
      <c r="HJ27" s="19">
        <v>26</v>
      </c>
      <c r="HK27" s="19">
        <v>25</v>
      </c>
      <c r="HL27" s="19">
        <v>24</v>
      </c>
      <c r="HM27" s="19">
        <v>15.4</v>
      </c>
      <c r="HN27" s="19">
        <v>14.8</v>
      </c>
      <c r="HO27" s="19">
        <v>14</v>
      </c>
      <c r="HP27" s="19">
        <v>14.8</v>
      </c>
      <c r="HQ27" s="19">
        <v>17.3</v>
      </c>
      <c r="HR27" s="19">
        <v>19.2</v>
      </c>
      <c r="HS27" s="19">
        <v>17.8</v>
      </c>
      <c r="HT27" s="19">
        <v>16.8</v>
      </c>
      <c r="HU27" s="19">
        <v>16</v>
      </c>
      <c r="HV27" s="19">
        <v>15</v>
      </c>
      <c r="HW27" s="19">
        <v>14</v>
      </c>
      <c r="HX27" s="19">
        <v>13</v>
      </c>
      <c r="HY27" s="19">
        <v>12</v>
      </c>
      <c r="HZ27" s="19">
        <v>11</v>
      </c>
      <c r="IA27" s="19">
        <v>10</v>
      </c>
      <c r="IB27" s="19">
        <v>9</v>
      </c>
      <c r="IC27" s="19">
        <v>36.2</v>
      </c>
    </row>
    <row r="28">
      <c r="A28" s="2" t="s">
        <v>304</v>
      </c>
      <c r="B28" s="2" t="s">
        <v>255</v>
      </c>
      <c r="C28" s="2" t="s">
        <v>256</v>
      </c>
      <c r="D28" s="2" t="s">
        <v>257</v>
      </c>
      <c r="E28" s="2" t="s">
        <v>258</v>
      </c>
      <c r="F28" s="2" t="s">
        <v>259</v>
      </c>
      <c r="G28" s="2" t="s">
        <v>259</v>
      </c>
      <c r="H28" s="2" t="s">
        <v>259</v>
      </c>
      <c r="I28" s="2" t="s">
        <v>260</v>
      </c>
      <c r="J28" s="2" t="s">
        <v>272</v>
      </c>
      <c r="K28" s="2" t="s">
        <v>302</v>
      </c>
      <c r="L28" s="3">
        <v>84</v>
      </c>
      <c r="M28" s="3">
        <v>88.2</v>
      </c>
      <c r="N28" s="3">
        <v>209.99</v>
      </c>
      <c r="O28" s="2" t="s">
        <v>232</v>
      </c>
      <c r="P28" s="2" t="s">
        <v>262</v>
      </c>
      <c r="Q28" s="2" t="s">
        <v>234</v>
      </c>
      <c r="R28" s="2" t="s">
        <v>235</v>
      </c>
      <c r="S28" s="2" t="s">
        <v>235</v>
      </c>
      <c r="T28" s="2" t="s">
        <v>263</v>
      </c>
      <c r="U28" s="2" t="s">
        <v>264</v>
      </c>
      <c r="V28" s="2" t="s">
        <v>238</v>
      </c>
      <c r="W28" s="2" t="s">
        <v>265</v>
      </c>
      <c r="X28" s="2" t="s">
        <v>235</v>
      </c>
      <c r="Y28" s="2" t="s">
        <v>266</v>
      </c>
      <c r="Z28" s="4">
        <v>39</v>
      </c>
      <c r="AA28" s="4">
        <f>=ROUNDDOWN(13,0)</f>
      </c>
      <c r="AB28" s="5">
        <v>3</v>
      </c>
      <c r="AC28" s="2" t="s">
        <v>267</v>
      </c>
      <c r="AD28" s="4">
        <v>33</v>
      </c>
      <c r="AE28" s="4">
        <v>33</v>
      </c>
      <c r="AF28" s="6">
        <v>78</v>
      </c>
      <c r="AG28" s="6"/>
      <c r="AH28" s="7"/>
      <c r="AI28" s="4"/>
      <c r="AJ28" s="4">
        <f>=ROUNDDOWN({0},0)</f>
      </c>
      <c r="AK28" s="5"/>
      <c r="AL28" s="2" t="s">
        <v>235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235</v>
      </c>
      <c r="AW28" s="8" t="s">
        <v>235</v>
      </c>
      <c r="AX28" s="4" t="s">
        <v>235</v>
      </c>
      <c r="AY28" s="8" t="s">
        <v>235</v>
      </c>
      <c r="AZ28" s="7" t="s">
        <v>235</v>
      </c>
      <c r="BA28" s="7" t="s">
        <v>235</v>
      </c>
      <c r="BB28" s="7"/>
      <c r="BC28" s="4" t="s">
        <v>235</v>
      </c>
      <c r="BD28" s="8" t="s">
        <v>235</v>
      </c>
      <c r="BE28" s="4" t="s">
        <v>235</v>
      </c>
      <c r="BF28" s="8" t="s">
        <v>235</v>
      </c>
      <c r="BG28" s="7" t="s">
        <v>235</v>
      </c>
      <c r="BH28" s="7" t="s">
        <v>235</v>
      </c>
      <c r="BI28" s="7"/>
      <c r="BJ28" s="4"/>
      <c r="BK28" s="8"/>
      <c r="BL28" s="2" t="s">
        <v>235</v>
      </c>
      <c r="BM28" s="7"/>
      <c r="BN28" s="7"/>
      <c r="BO28" s="4"/>
      <c r="BP28" s="8"/>
      <c r="BQ28" s="4"/>
      <c r="BR28" s="8"/>
      <c r="BS28" s="7"/>
      <c r="BT28" s="7"/>
      <c r="BU28" s="2" t="s">
        <v>268</v>
      </c>
      <c r="BV28" s="2" t="s">
        <v>235</v>
      </c>
      <c r="BW28" s="2" t="s">
        <v>235</v>
      </c>
      <c r="BX28" s="2" t="s">
        <v>244</v>
      </c>
      <c r="BY28" s="2" t="s">
        <v>245</v>
      </c>
      <c r="BZ28" s="2" t="s">
        <v>232</v>
      </c>
      <c r="CA28" s="2" t="s">
        <v>235</v>
      </c>
      <c r="CB28" s="2" t="s">
        <v>235</v>
      </c>
      <c r="CC28" s="2" t="s">
        <v>248</v>
      </c>
      <c r="CD28" s="2" t="s">
        <v>248</v>
      </c>
      <c r="CE28" s="2" t="s">
        <v>235</v>
      </c>
      <c r="CF28" s="4"/>
      <c r="CG28" s="4"/>
      <c r="CH28" s="4"/>
      <c r="CI28" s="4"/>
      <c r="CJ28" s="4"/>
      <c r="CK28" s="4"/>
      <c r="CL28" s="4"/>
      <c r="CM28" s="4">
        <v>39</v>
      </c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>
        <v>33</v>
      </c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>
        <v>39</v>
      </c>
      <c r="GE28" s="4">
        <v>36</v>
      </c>
      <c r="GF28" s="4">
        <v>33</v>
      </c>
      <c r="GG28" s="4">
        <v>30</v>
      </c>
      <c r="GH28" s="4">
        <v>60</v>
      </c>
      <c r="GI28" s="4">
        <v>57</v>
      </c>
      <c r="GJ28" s="4">
        <v>52</v>
      </c>
      <c r="GK28" s="4">
        <v>48</v>
      </c>
      <c r="GL28" s="4">
        <v>44</v>
      </c>
      <c r="GM28" s="4">
        <v>41</v>
      </c>
      <c r="GN28" s="4">
        <v>38</v>
      </c>
      <c r="GO28" s="4">
        <v>34</v>
      </c>
      <c r="GP28" s="4">
        <v>30</v>
      </c>
      <c r="GQ28" s="4">
        <v>23</v>
      </c>
      <c r="GR28" s="4">
        <v>19</v>
      </c>
      <c r="GS28" s="4">
        <v>15</v>
      </c>
      <c r="GT28" s="4">
        <v>12</v>
      </c>
      <c r="GU28" s="4">
        <v>10</v>
      </c>
      <c r="GV28" s="4">
        <v>7</v>
      </c>
      <c r="GW28" s="4">
        <v>4</v>
      </c>
      <c r="GX28" s="4">
        <v>1</v>
      </c>
      <c r="GY28" s="4"/>
      <c r="GZ28" s="4"/>
      <c r="HA28" s="4"/>
      <c r="HB28" s="4"/>
      <c r="HC28" s="4">
        <v>116</v>
      </c>
      <c r="HD28" s="19">
        <v>13</v>
      </c>
      <c r="HE28" s="19">
        <v>12</v>
      </c>
      <c r="HF28" s="19">
        <v>8.3</v>
      </c>
      <c r="HG28" s="19">
        <v>7.5</v>
      </c>
      <c r="HH28" s="19">
        <v>15</v>
      </c>
      <c r="HI28" s="19">
        <v>14.3</v>
      </c>
      <c r="HJ28" s="19">
        <v>13</v>
      </c>
      <c r="HK28" s="19">
        <v>12</v>
      </c>
      <c r="HL28" s="19">
        <v>11</v>
      </c>
      <c r="HM28" s="19">
        <v>10.3</v>
      </c>
      <c r="HN28" s="19">
        <v>7.6</v>
      </c>
      <c r="HO28" s="19">
        <v>6.8</v>
      </c>
      <c r="HP28" s="19">
        <v>7.5</v>
      </c>
      <c r="HQ28" s="19">
        <v>7.7</v>
      </c>
      <c r="HR28" s="19">
        <v>6.3</v>
      </c>
      <c r="HS28" s="19">
        <v>5</v>
      </c>
      <c r="HT28" s="19">
        <v>4</v>
      </c>
      <c r="HU28" s="19">
        <v>3.3</v>
      </c>
      <c r="HV28" s="19">
        <v>3.5</v>
      </c>
      <c r="HW28" s="19">
        <v>2</v>
      </c>
      <c r="HX28" s="19">
        <v>0.5</v>
      </c>
      <c r="HY28" s="20">
        <v>0</v>
      </c>
      <c r="HZ28" s="20">
        <v>0</v>
      </c>
      <c r="IA28" s="20">
        <v>0</v>
      </c>
      <c r="IB28" s="20">
        <v>0</v>
      </c>
      <c r="IC28" s="19">
        <v>29</v>
      </c>
    </row>
    <row r="29">
      <c r="A29" s="2" t="s">
        <v>305</v>
      </c>
      <c r="B29" s="2" t="s">
        <v>255</v>
      </c>
      <c r="C29" s="2" t="s">
        <v>256</v>
      </c>
      <c r="D29" s="2" t="s">
        <v>274</v>
      </c>
      <c r="E29" s="2" t="s">
        <v>275</v>
      </c>
      <c r="F29" s="2" t="s">
        <v>259</v>
      </c>
      <c r="G29" s="2" t="s">
        <v>259</v>
      </c>
      <c r="H29" s="2" t="s">
        <v>259</v>
      </c>
      <c r="I29" s="2" t="s">
        <v>276</v>
      </c>
      <c r="J29" s="2" t="s">
        <v>277</v>
      </c>
      <c r="K29" s="2" t="s">
        <v>302</v>
      </c>
      <c r="L29" s="3">
        <v>20</v>
      </c>
      <c r="M29" s="3">
        <v>21</v>
      </c>
      <c r="N29" s="3">
        <v>49.99</v>
      </c>
      <c r="O29" s="2" t="s">
        <v>232</v>
      </c>
      <c r="P29" s="2" t="s">
        <v>262</v>
      </c>
      <c r="Q29" s="2" t="s">
        <v>234</v>
      </c>
      <c r="R29" s="2" t="s">
        <v>235</v>
      </c>
      <c r="S29" s="2" t="s">
        <v>235</v>
      </c>
      <c r="T29" s="2" t="s">
        <v>263</v>
      </c>
      <c r="U29" s="2" t="s">
        <v>278</v>
      </c>
      <c r="V29" s="2" t="s">
        <v>238</v>
      </c>
      <c r="W29" s="2" t="s">
        <v>265</v>
      </c>
      <c r="X29" s="2" t="s">
        <v>235</v>
      </c>
      <c r="Y29" s="2" t="s">
        <v>266</v>
      </c>
      <c r="Z29" s="4">
        <v>30</v>
      </c>
      <c r="AA29" s="4">
        <f>=ROUNDDOWN(15,0)</f>
      </c>
      <c r="AB29" s="5">
        <v>2</v>
      </c>
      <c r="AC29" s="2" t="s">
        <v>267</v>
      </c>
      <c r="AD29" s="4">
        <v>30</v>
      </c>
      <c r="AE29" s="4">
        <v>30</v>
      </c>
      <c r="AF29" s="6">
        <v>78</v>
      </c>
      <c r="AG29" s="6"/>
      <c r="AH29" s="7"/>
      <c r="AI29" s="4"/>
      <c r="AJ29" s="4">
        <f>=ROUNDDOWN({0},0)</f>
      </c>
      <c r="AK29" s="5"/>
      <c r="AL29" s="2" t="s">
        <v>235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235</v>
      </c>
      <c r="AW29" s="8" t="s">
        <v>235</v>
      </c>
      <c r="AX29" s="4" t="s">
        <v>235</v>
      </c>
      <c r="AY29" s="8" t="s">
        <v>235</v>
      </c>
      <c r="AZ29" s="7" t="s">
        <v>235</v>
      </c>
      <c r="BA29" s="7" t="s">
        <v>235</v>
      </c>
      <c r="BB29" s="7"/>
      <c r="BC29" s="4" t="s">
        <v>235</v>
      </c>
      <c r="BD29" s="8" t="s">
        <v>235</v>
      </c>
      <c r="BE29" s="4" t="s">
        <v>235</v>
      </c>
      <c r="BF29" s="8" t="s">
        <v>235</v>
      </c>
      <c r="BG29" s="7" t="s">
        <v>235</v>
      </c>
      <c r="BH29" s="7" t="s">
        <v>235</v>
      </c>
      <c r="BI29" s="7"/>
      <c r="BJ29" s="4"/>
      <c r="BK29" s="8"/>
      <c r="BL29" s="2" t="s">
        <v>235</v>
      </c>
      <c r="BM29" s="7"/>
      <c r="BN29" s="7"/>
      <c r="BO29" s="4"/>
      <c r="BP29" s="8"/>
      <c r="BQ29" s="4"/>
      <c r="BR29" s="8"/>
      <c r="BS29" s="7"/>
      <c r="BT29" s="7"/>
      <c r="BU29" s="2" t="s">
        <v>279</v>
      </c>
      <c r="BV29" s="2" t="s">
        <v>235</v>
      </c>
      <c r="BW29" s="2" t="s">
        <v>235</v>
      </c>
      <c r="BX29" s="2" t="s">
        <v>244</v>
      </c>
      <c r="BY29" s="2" t="s">
        <v>245</v>
      </c>
      <c r="BZ29" s="2" t="s">
        <v>232</v>
      </c>
      <c r="CA29" s="2" t="s">
        <v>235</v>
      </c>
      <c r="CB29" s="2" t="s">
        <v>235</v>
      </c>
      <c r="CC29" s="2" t="s">
        <v>248</v>
      </c>
      <c r="CD29" s="2" t="s">
        <v>248</v>
      </c>
      <c r="CE29" s="2" t="s">
        <v>235</v>
      </c>
      <c r="CF29" s="4">
        <v>30</v>
      </c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>
        <v>30</v>
      </c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>
        <v>30</v>
      </c>
      <c r="GE29" s="4">
        <v>27</v>
      </c>
      <c r="GF29" s="4">
        <v>25</v>
      </c>
      <c r="GG29" s="4">
        <v>23</v>
      </c>
      <c r="GH29" s="4">
        <v>51</v>
      </c>
      <c r="GI29" s="4">
        <v>49</v>
      </c>
      <c r="GJ29" s="4">
        <v>45</v>
      </c>
      <c r="GK29" s="4">
        <v>42</v>
      </c>
      <c r="GL29" s="4">
        <v>39</v>
      </c>
      <c r="GM29" s="4">
        <v>37</v>
      </c>
      <c r="GN29" s="4">
        <v>35</v>
      </c>
      <c r="GO29" s="4">
        <v>32</v>
      </c>
      <c r="GP29" s="4">
        <v>29</v>
      </c>
      <c r="GQ29" s="4">
        <v>25</v>
      </c>
      <c r="GR29" s="4">
        <v>22</v>
      </c>
      <c r="GS29" s="4">
        <v>19</v>
      </c>
      <c r="GT29" s="4">
        <v>17</v>
      </c>
      <c r="GU29" s="4">
        <v>15</v>
      </c>
      <c r="GV29" s="4">
        <v>13</v>
      </c>
      <c r="GW29" s="4">
        <v>11</v>
      </c>
      <c r="GX29" s="4">
        <v>9</v>
      </c>
      <c r="GY29" s="4">
        <v>7</v>
      </c>
      <c r="GZ29" s="4">
        <v>5</v>
      </c>
      <c r="HA29" s="4">
        <v>3</v>
      </c>
      <c r="HB29" s="4">
        <v>1</v>
      </c>
      <c r="HC29" s="4">
        <v>77</v>
      </c>
      <c r="HD29" s="19">
        <v>15</v>
      </c>
      <c r="HE29" s="19">
        <v>13.5</v>
      </c>
      <c r="HF29" s="19">
        <v>12.5</v>
      </c>
      <c r="HG29" s="19">
        <v>7.7</v>
      </c>
      <c r="HH29" s="19">
        <v>17</v>
      </c>
      <c r="HI29" s="19">
        <v>16.3</v>
      </c>
      <c r="HJ29" s="19">
        <v>22.5</v>
      </c>
      <c r="HK29" s="19">
        <v>21</v>
      </c>
      <c r="HL29" s="19">
        <v>19.5</v>
      </c>
      <c r="HM29" s="19">
        <v>12.3</v>
      </c>
      <c r="HN29" s="19">
        <v>11.7</v>
      </c>
      <c r="HO29" s="19">
        <v>10.7</v>
      </c>
      <c r="HP29" s="19">
        <v>9.7</v>
      </c>
      <c r="HQ29" s="19">
        <v>12.5</v>
      </c>
      <c r="HR29" s="19">
        <v>11</v>
      </c>
      <c r="HS29" s="19">
        <v>9.5</v>
      </c>
      <c r="HT29" s="19">
        <v>8.5</v>
      </c>
      <c r="HU29" s="19">
        <v>7.5</v>
      </c>
      <c r="HV29" s="19">
        <v>6.5</v>
      </c>
      <c r="HW29" s="19">
        <v>5.5</v>
      </c>
      <c r="HX29" s="19">
        <v>4.5</v>
      </c>
      <c r="HY29" s="19">
        <v>3.5</v>
      </c>
      <c r="HZ29" s="19">
        <v>2.5</v>
      </c>
      <c r="IA29" s="19">
        <v>1.5</v>
      </c>
      <c r="IB29" s="19">
        <v>0.5</v>
      </c>
      <c r="IC29" s="19">
        <v>38.5</v>
      </c>
    </row>
    <row r="30">
      <c r="A30" s="2" t="s">
        <v>306</v>
      </c>
      <c r="B30" s="2" t="s">
        <v>255</v>
      </c>
      <c r="C30" s="2" t="s">
        <v>256</v>
      </c>
      <c r="D30" s="2" t="s">
        <v>257</v>
      </c>
      <c r="E30" s="2" t="s">
        <v>258</v>
      </c>
      <c r="F30" s="2" t="s">
        <v>259</v>
      </c>
      <c r="G30" s="2" t="s">
        <v>259</v>
      </c>
      <c r="H30" s="2" t="s">
        <v>259</v>
      </c>
      <c r="I30" s="2" t="s">
        <v>260</v>
      </c>
      <c r="J30" s="2" t="s">
        <v>281</v>
      </c>
      <c r="K30" s="2" t="s">
        <v>302</v>
      </c>
      <c r="L30" s="3">
        <v>104</v>
      </c>
      <c r="M30" s="3">
        <v>109.2</v>
      </c>
      <c r="N30" s="3">
        <v>259.99</v>
      </c>
      <c r="O30" s="2" t="s">
        <v>232</v>
      </c>
      <c r="P30" s="2" t="s">
        <v>262</v>
      </c>
      <c r="Q30" s="2" t="s">
        <v>234</v>
      </c>
      <c r="R30" s="2" t="s">
        <v>235</v>
      </c>
      <c r="S30" s="2" t="s">
        <v>235</v>
      </c>
      <c r="T30" s="2" t="s">
        <v>263</v>
      </c>
      <c r="U30" s="2" t="s">
        <v>282</v>
      </c>
      <c r="V30" s="2" t="s">
        <v>238</v>
      </c>
      <c r="W30" s="2" t="s">
        <v>265</v>
      </c>
      <c r="X30" s="2" t="s">
        <v>235</v>
      </c>
      <c r="Y30" s="2" t="s">
        <v>266</v>
      </c>
      <c r="Z30" s="4">
        <v>39</v>
      </c>
      <c r="AA30" s="4">
        <f>=ROUNDDOWN(13,0)</f>
      </c>
      <c r="AB30" s="5">
        <v>3</v>
      </c>
      <c r="AC30" s="2" t="s">
        <v>267</v>
      </c>
      <c r="AD30" s="4">
        <v>33</v>
      </c>
      <c r="AE30" s="4">
        <v>33</v>
      </c>
      <c r="AF30" s="6">
        <v>78</v>
      </c>
      <c r="AG30" s="6"/>
      <c r="AH30" s="7"/>
      <c r="AI30" s="4"/>
      <c r="AJ30" s="4">
        <f>=ROUNDDOWN({0},0)</f>
      </c>
      <c r="AK30" s="5"/>
      <c r="AL30" s="2" t="s">
        <v>235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235</v>
      </c>
      <c r="AW30" s="8" t="s">
        <v>235</v>
      </c>
      <c r="AX30" s="4" t="s">
        <v>235</v>
      </c>
      <c r="AY30" s="8" t="s">
        <v>235</v>
      </c>
      <c r="AZ30" s="7" t="s">
        <v>235</v>
      </c>
      <c r="BA30" s="7" t="s">
        <v>235</v>
      </c>
      <c r="BB30" s="7"/>
      <c r="BC30" s="4" t="s">
        <v>235</v>
      </c>
      <c r="BD30" s="8" t="s">
        <v>235</v>
      </c>
      <c r="BE30" s="4" t="s">
        <v>235</v>
      </c>
      <c r="BF30" s="8" t="s">
        <v>235</v>
      </c>
      <c r="BG30" s="7" t="s">
        <v>235</v>
      </c>
      <c r="BH30" s="7" t="s">
        <v>235</v>
      </c>
      <c r="BI30" s="7"/>
      <c r="BJ30" s="4"/>
      <c r="BK30" s="8"/>
      <c r="BL30" s="2" t="s">
        <v>235</v>
      </c>
      <c r="BM30" s="7"/>
      <c r="BN30" s="7"/>
      <c r="BO30" s="4"/>
      <c r="BP30" s="8"/>
      <c r="BQ30" s="4"/>
      <c r="BR30" s="8"/>
      <c r="BS30" s="7"/>
      <c r="BT30" s="7"/>
      <c r="BU30" s="2" t="s">
        <v>268</v>
      </c>
      <c r="BV30" s="2" t="s">
        <v>235</v>
      </c>
      <c r="BW30" s="2" t="s">
        <v>235</v>
      </c>
      <c r="BX30" s="2" t="s">
        <v>244</v>
      </c>
      <c r="BY30" s="2" t="s">
        <v>245</v>
      </c>
      <c r="BZ30" s="2" t="s">
        <v>232</v>
      </c>
      <c r="CA30" s="2" t="s">
        <v>235</v>
      </c>
      <c r="CB30" s="2" t="s">
        <v>235</v>
      </c>
      <c r="CC30" s="2" t="s">
        <v>248</v>
      </c>
      <c r="CD30" s="2" t="s">
        <v>248</v>
      </c>
      <c r="CE30" s="2" t="s">
        <v>235</v>
      </c>
      <c r="CF30" s="4"/>
      <c r="CG30" s="4"/>
      <c r="CH30" s="4"/>
      <c r="CI30" s="4"/>
      <c r="CJ30" s="4"/>
      <c r="CK30" s="4"/>
      <c r="CL30" s="4"/>
      <c r="CM30" s="4">
        <v>39</v>
      </c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>
        <v>33</v>
      </c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>
        <v>39</v>
      </c>
      <c r="GE30" s="4">
        <v>36</v>
      </c>
      <c r="GF30" s="4">
        <v>33</v>
      </c>
      <c r="GG30" s="4">
        <v>30</v>
      </c>
      <c r="GH30" s="4">
        <v>60</v>
      </c>
      <c r="GI30" s="4">
        <v>57</v>
      </c>
      <c r="GJ30" s="4">
        <v>52</v>
      </c>
      <c r="GK30" s="4">
        <v>48</v>
      </c>
      <c r="GL30" s="4">
        <v>44</v>
      </c>
      <c r="GM30" s="4">
        <v>41</v>
      </c>
      <c r="GN30" s="4">
        <v>38</v>
      </c>
      <c r="GO30" s="4">
        <v>34</v>
      </c>
      <c r="GP30" s="4">
        <v>30</v>
      </c>
      <c r="GQ30" s="4">
        <v>23</v>
      </c>
      <c r="GR30" s="4">
        <v>19</v>
      </c>
      <c r="GS30" s="4">
        <v>15</v>
      </c>
      <c r="GT30" s="4">
        <v>12</v>
      </c>
      <c r="GU30" s="4">
        <v>10</v>
      </c>
      <c r="GV30" s="4">
        <v>7</v>
      </c>
      <c r="GW30" s="4">
        <v>4</v>
      </c>
      <c r="GX30" s="4">
        <v>1</v>
      </c>
      <c r="GY30" s="4"/>
      <c r="GZ30" s="4"/>
      <c r="HA30" s="4"/>
      <c r="HB30" s="4"/>
      <c r="HC30" s="4">
        <v>116</v>
      </c>
      <c r="HD30" s="9"/>
      <c r="HE30" s="19">
        <v>12</v>
      </c>
      <c r="HF30" s="19">
        <v>8.3</v>
      </c>
      <c r="HG30" s="9"/>
      <c r="HH30" s="9"/>
      <c r="HI30" s="19">
        <v>14.3</v>
      </c>
      <c r="HJ30" s="19">
        <v>13</v>
      </c>
      <c r="HK30" s="19">
        <v>12</v>
      </c>
      <c r="HL30" s="19">
        <v>11</v>
      </c>
      <c r="HM30" s="19">
        <v>10.3</v>
      </c>
      <c r="HN30" s="19">
        <v>7.6</v>
      </c>
      <c r="HO30" s="19">
        <v>6.8</v>
      </c>
      <c r="HP30" s="19">
        <v>7.5</v>
      </c>
      <c r="HQ30" s="19">
        <v>7.7</v>
      </c>
      <c r="HR30" s="19">
        <v>6.3</v>
      </c>
      <c r="HS30" s="19">
        <v>5</v>
      </c>
      <c r="HT30" s="19">
        <v>4</v>
      </c>
      <c r="HU30" s="19">
        <v>3.3</v>
      </c>
      <c r="HV30" s="19">
        <v>3.5</v>
      </c>
      <c r="HW30" s="19">
        <v>2</v>
      </c>
      <c r="HX30" s="19">
        <v>0.5</v>
      </c>
      <c r="HY30" s="20">
        <v>0</v>
      </c>
      <c r="HZ30" s="20">
        <v>0</v>
      </c>
      <c r="IA30" s="20">
        <v>0</v>
      </c>
      <c r="IB30" s="20">
        <v>0</v>
      </c>
      <c r="IC30" s="19">
        <v>29</v>
      </c>
    </row>
    <row r="31">
      <c r="A31" s="2" t="s">
        <v>307</v>
      </c>
      <c r="B31" s="2" t="s">
        <v>255</v>
      </c>
      <c r="C31" s="2" t="s">
        <v>256</v>
      </c>
      <c r="D31" s="2" t="s">
        <v>274</v>
      </c>
      <c r="E31" s="2" t="s">
        <v>275</v>
      </c>
      <c r="F31" s="2" t="s">
        <v>259</v>
      </c>
      <c r="G31" s="2" t="s">
        <v>259</v>
      </c>
      <c r="H31" s="2" t="s">
        <v>259</v>
      </c>
      <c r="I31" s="2" t="s">
        <v>276</v>
      </c>
      <c r="J31" s="2" t="s">
        <v>284</v>
      </c>
      <c r="K31" s="2" t="s">
        <v>302</v>
      </c>
      <c r="L31" s="3">
        <v>20</v>
      </c>
      <c r="M31" s="3">
        <v>21</v>
      </c>
      <c r="N31" s="3">
        <v>49.99</v>
      </c>
      <c r="O31" s="2" t="s">
        <v>232</v>
      </c>
      <c r="P31" s="2" t="s">
        <v>262</v>
      </c>
      <c r="Q31" s="2" t="s">
        <v>234</v>
      </c>
      <c r="R31" s="2" t="s">
        <v>235</v>
      </c>
      <c r="S31" s="2" t="s">
        <v>235</v>
      </c>
      <c r="T31" s="2" t="s">
        <v>263</v>
      </c>
      <c r="U31" s="2" t="s">
        <v>278</v>
      </c>
      <c r="V31" s="2" t="s">
        <v>238</v>
      </c>
      <c r="W31" s="2" t="s">
        <v>265</v>
      </c>
      <c r="X31" s="2" t="s">
        <v>235</v>
      </c>
      <c r="Y31" s="2" t="s">
        <v>266</v>
      </c>
      <c r="Z31" s="4">
        <v>20</v>
      </c>
      <c r="AA31" s="4">
        <f>=ROUNDDOWN({0},0)</f>
      </c>
      <c r="AB31" s="5"/>
      <c r="AC31" s="2" t="s">
        <v>267</v>
      </c>
      <c r="AD31" s="4">
        <v>20</v>
      </c>
      <c r="AE31" s="4">
        <v>20</v>
      </c>
      <c r="AF31" s="6">
        <v>78</v>
      </c>
      <c r="AG31" s="6"/>
      <c r="AH31" s="7"/>
      <c r="AI31" s="4"/>
      <c r="AJ31" s="4">
        <f>=ROUNDDOWN({0},0)</f>
      </c>
      <c r="AK31" s="5"/>
      <c r="AL31" s="2" t="s">
        <v>235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235</v>
      </c>
      <c r="AW31" s="8" t="s">
        <v>235</v>
      </c>
      <c r="AX31" s="4" t="s">
        <v>235</v>
      </c>
      <c r="AY31" s="8" t="s">
        <v>235</v>
      </c>
      <c r="AZ31" s="7" t="s">
        <v>235</v>
      </c>
      <c r="BA31" s="7" t="s">
        <v>235</v>
      </c>
      <c r="BB31" s="7"/>
      <c r="BC31" s="4" t="s">
        <v>235</v>
      </c>
      <c r="BD31" s="8" t="s">
        <v>235</v>
      </c>
      <c r="BE31" s="4" t="s">
        <v>235</v>
      </c>
      <c r="BF31" s="8" t="s">
        <v>235</v>
      </c>
      <c r="BG31" s="7" t="s">
        <v>235</v>
      </c>
      <c r="BH31" s="7" t="s">
        <v>235</v>
      </c>
      <c r="BI31" s="7"/>
      <c r="BJ31" s="4"/>
      <c r="BK31" s="8"/>
      <c r="BL31" s="2" t="s">
        <v>235</v>
      </c>
      <c r="BM31" s="7"/>
      <c r="BN31" s="7"/>
      <c r="BO31" s="4"/>
      <c r="BP31" s="8"/>
      <c r="BQ31" s="4"/>
      <c r="BR31" s="8"/>
      <c r="BS31" s="7"/>
      <c r="BT31" s="7"/>
      <c r="BU31" s="2" t="s">
        <v>285</v>
      </c>
      <c r="BV31" s="2" t="s">
        <v>235</v>
      </c>
      <c r="BW31" s="2" t="s">
        <v>235</v>
      </c>
      <c r="BX31" s="2" t="s">
        <v>244</v>
      </c>
      <c r="BY31" s="2" t="s">
        <v>245</v>
      </c>
      <c r="BZ31" s="2" t="s">
        <v>232</v>
      </c>
      <c r="CA31" s="2" t="s">
        <v>235</v>
      </c>
      <c r="CB31" s="2" t="s">
        <v>235</v>
      </c>
      <c r="CC31" s="2" t="s">
        <v>248</v>
      </c>
      <c r="CD31" s="2" t="s">
        <v>248</v>
      </c>
      <c r="CE31" s="2" t="s">
        <v>235</v>
      </c>
      <c r="CF31" s="4">
        <v>20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>
        <v>20</v>
      </c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>
        <v>20</v>
      </c>
      <c r="GE31" s="4">
        <v>17</v>
      </c>
      <c r="GF31" s="4">
        <v>15</v>
      </c>
      <c r="GG31" s="4">
        <v>13</v>
      </c>
      <c r="GH31" s="4">
        <v>31</v>
      </c>
      <c r="GI31" s="4">
        <v>29</v>
      </c>
      <c r="GJ31" s="4">
        <v>25</v>
      </c>
      <c r="GK31" s="4">
        <v>22</v>
      </c>
      <c r="GL31" s="4">
        <v>19</v>
      </c>
      <c r="GM31" s="4">
        <v>17</v>
      </c>
      <c r="GN31" s="4">
        <v>15</v>
      </c>
      <c r="GO31" s="4">
        <v>12</v>
      </c>
      <c r="GP31" s="4">
        <v>9</v>
      </c>
      <c r="GQ31" s="4">
        <v>5</v>
      </c>
      <c r="GR31" s="4">
        <v>2</v>
      </c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>
        <v>83</v>
      </c>
      <c r="HD31" s="19">
        <v>10</v>
      </c>
      <c r="HE31" s="19">
        <v>8.5</v>
      </c>
      <c r="HF31" s="19">
        <v>7.5</v>
      </c>
      <c r="HG31" s="19">
        <v>4.3</v>
      </c>
      <c r="HH31" s="19">
        <v>10.3</v>
      </c>
      <c r="HI31" s="19">
        <v>9.7</v>
      </c>
      <c r="HJ31" s="19">
        <v>12.5</v>
      </c>
      <c r="HK31" s="19">
        <v>11</v>
      </c>
      <c r="HL31" s="19">
        <v>9.5</v>
      </c>
      <c r="HM31" s="19">
        <v>5.7</v>
      </c>
      <c r="HN31" s="19">
        <v>5</v>
      </c>
      <c r="HO31" s="19">
        <v>4</v>
      </c>
      <c r="HP31" s="19">
        <v>4.5</v>
      </c>
      <c r="HQ31" s="19">
        <v>2.5</v>
      </c>
      <c r="HR31" s="19">
        <v>2</v>
      </c>
      <c r="HS31" s="20">
        <v>0</v>
      </c>
      <c r="HT31" s="20">
        <v>0</v>
      </c>
      <c r="HU31" s="20">
        <v>0</v>
      </c>
      <c r="HV31" s="20">
        <v>0</v>
      </c>
      <c r="HW31" s="20">
        <v>0</v>
      </c>
      <c r="HX31" s="20">
        <v>0</v>
      </c>
      <c r="HY31" s="20">
        <v>0</v>
      </c>
      <c r="HZ31" s="20">
        <v>0</v>
      </c>
      <c r="IA31" s="20">
        <v>0</v>
      </c>
      <c r="IB31" s="20">
        <v>0</v>
      </c>
      <c r="IC31" s="19">
        <v>20.8</v>
      </c>
    </row>
    <row r="32">
      <c r="A32" s="2" t="s">
        <v>308</v>
      </c>
      <c r="B32" s="2" t="s">
        <v>255</v>
      </c>
      <c r="C32" s="2" t="s">
        <v>256</v>
      </c>
      <c r="D32" s="2" t="s">
        <v>257</v>
      </c>
      <c r="E32" s="2" t="s">
        <v>258</v>
      </c>
      <c r="F32" s="2" t="s">
        <v>259</v>
      </c>
      <c r="G32" s="2" t="s">
        <v>259</v>
      </c>
      <c r="H32" s="2" t="s">
        <v>259</v>
      </c>
      <c r="I32" s="2" t="s">
        <v>260</v>
      </c>
      <c r="J32" s="2" t="s">
        <v>261</v>
      </c>
      <c r="K32" s="2" t="s">
        <v>309</v>
      </c>
      <c r="L32" s="3">
        <v>76</v>
      </c>
      <c r="M32" s="3">
        <v>79.8</v>
      </c>
      <c r="N32" s="3">
        <v>189.99</v>
      </c>
      <c r="O32" s="2" t="s">
        <v>232</v>
      </c>
      <c r="P32" s="2" t="s">
        <v>262</v>
      </c>
      <c r="Q32" s="2" t="s">
        <v>234</v>
      </c>
      <c r="R32" s="2" t="s">
        <v>235</v>
      </c>
      <c r="S32" s="2" t="s">
        <v>235</v>
      </c>
      <c r="T32" s="2" t="s">
        <v>263</v>
      </c>
      <c r="U32" s="2" t="s">
        <v>264</v>
      </c>
      <c r="V32" s="2" t="s">
        <v>238</v>
      </c>
      <c r="W32" s="2" t="s">
        <v>265</v>
      </c>
      <c r="X32" s="2" t="s">
        <v>235</v>
      </c>
      <c r="Y32" s="2" t="s">
        <v>266</v>
      </c>
      <c r="Z32" s="4">
        <v>76</v>
      </c>
      <c r="AA32" s="4">
        <f>=ROUNDDOWN(19,0)</f>
      </c>
      <c r="AB32" s="5">
        <v>4</v>
      </c>
      <c r="AC32" s="2" t="s">
        <v>267</v>
      </c>
      <c r="AD32" s="4">
        <v>76</v>
      </c>
      <c r="AE32" s="4">
        <v>76</v>
      </c>
      <c r="AF32" s="6">
        <v>78</v>
      </c>
      <c r="AG32" s="6"/>
      <c r="AH32" s="7"/>
      <c r="AI32" s="4"/>
      <c r="AJ32" s="4">
        <f>=ROUNDDOWN({0},0)</f>
      </c>
      <c r="AK32" s="5"/>
      <c r="AL32" s="2" t="s">
        <v>235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235</v>
      </c>
      <c r="AW32" s="8" t="s">
        <v>235</v>
      </c>
      <c r="AX32" s="4" t="s">
        <v>235</v>
      </c>
      <c r="AY32" s="8" t="s">
        <v>235</v>
      </c>
      <c r="AZ32" s="7" t="s">
        <v>235</v>
      </c>
      <c r="BA32" s="7" t="s">
        <v>235</v>
      </c>
      <c r="BB32" s="7"/>
      <c r="BC32" s="4" t="s">
        <v>235</v>
      </c>
      <c r="BD32" s="8" t="s">
        <v>235</v>
      </c>
      <c r="BE32" s="4" t="s">
        <v>235</v>
      </c>
      <c r="BF32" s="8" t="s">
        <v>235</v>
      </c>
      <c r="BG32" s="7" t="s">
        <v>235</v>
      </c>
      <c r="BH32" s="7" t="s">
        <v>235</v>
      </c>
      <c r="BI32" s="7"/>
      <c r="BJ32" s="4"/>
      <c r="BK32" s="8"/>
      <c r="BL32" s="2" t="s">
        <v>235</v>
      </c>
      <c r="BM32" s="7"/>
      <c r="BN32" s="7"/>
      <c r="BO32" s="4"/>
      <c r="BP32" s="8"/>
      <c r="BQ32" s="4"/>
      <c r="BR32" s="8"/>
      <c r="BS32" s="7"/>
      <c r="BT32" s="7"/>
      <c r="BU32" s="2" t="s">
        <v>268</v>
      </c>
      <c r="BV32" s="2" t="s">
        <v>235</v>
      </c>
      <c r="BW32" s="2" t="s">
        <v>235</v>
      </c>
      <c r="BX32" s="2" t="s">
        <v>244</v>
      </c>
      <c r="BY32" s="2" t="s">
        <v>245</v>
      </c>
      <c r="BZ32" s="2" t="s">
        <v>232</v>
      </c>
      <c r="CA32" s="2" t="s">
        <v>235</v>
      </c>
      <c r="CB32" s="2" t="s">
        <v>235</v>
      </c>
      <c r="CC32" s="2" t="s">
        <v>248</v>
      </c>
      <c r="CD32" s="2" t="s">
        <v>248</v>
      </c>
      <c r="CE32" s="2" t="s">
        <v>235</v>
      </c>
      <c r="CF32" s="4">
        <v>76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>
        <v>76</v>
      </c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>
        <v>76</v>
      </c>
      <c r="GE32" s="4">
        <v>73</v>
      </c>
      <c r="GF32" s="4">
        <v>69</v>
      </c>
      <c r="GG32" s="4">
        <v>65</v>
      </c>
      <c r="GH32" s="4">
        <v>137</v>
      </c>
      <c r="GI32" s="4">
        <v>133</v>
      </c>
      <c r="GJ32" s="4">
        <v>127</v>
      </c>
      <c r="GK32" s="4">
        <v>122</v>
      </c>
      <c r="GL32" s="4">
        <v>117</v>
      </c>
      <c r="GM32" s="4">
        <v>113</v>
      </c>
      <c r="GN32" s="4">
        <v>108</v>
      </c>
      <c r="GO32" s="4">
        <v>102</v>
      </c>
      <c r="GP32" s="4">
        <v>96</v>
      </c>
      <c r="GQ32" s="4">
        <v>85</v>
      </c>
      <c r="GR32" s="4">
        <v>79</v>
      </c>
      <c r="GS32" s="4">
        <v>73</v>
      </c>
      <c r="GT32" s="4">
        <v>69</v>
      </c>
      <c r="GU32" s="4">
        <v>66</v>
      </c>
      <c r="GV32" s="4">
        <v>62</v>
      </c>
      <c r="GW32" s="4">
        <v>58</v>
      </c>
      <c r="GX32" s="4">
        <v>54</v>
      </c>
      <c r="GY32" s="4">
        <v>50</v>
      </c>
      <c r="GZ32" s="4">
        <v>46</v>
      </c>
      <c r="HA32" s="4">
        <v>42</v>
      </c>
      <c r="HB32" s="4">
        <v>38</v>
      </c>
      <c r="HC32" s="4">
        <v>163</v>
      </c>
      <c r="HD32" s="19">
        <v>19</v>
      </c>
      <c r="HE32" s="19">
        <v>18.3</v>
      </c>
      <c r="HF32" s="19">
        <v>17.3</v>
      </c>
      <c r="HG32" s="19">
        <v>13</v>
      </c>
      <c r="HH32" s="19">
        <v>27.4</v>
      </c>
      <c r="HI32" s="19">
        <v>26.6</v>
      </c>
      <c r="HJ32" s="19">
        <v>25.4</v>
      </c>
      <c r="HK32" s="19">
        <v>24.4</v>
      </c>
      <c r="HL32" s="19">
        <v>23.4</v>
      </c>
      <c r="HM32" s="19">
        <v>16.1</v>
      </c>
      <c r="HN32" s="19">
        <v>15.4</v>
      </c>
      <c r="HO32" s="19">
        <v>14.6</v>
      </c>
      <c r="HP32" s="19">
        <v>13.7</v>
      </c>
      <c r="HQ32" s="19">
        <v>17</v>
      </c>
      <c r="HR32" s="19">
        <v>19.8</v>
      </c>
      <c r="HS32" s="19">
        <v>18.3</v>
      </c>
      <c r="HT32" s="19">
        <v>17.3</v>
      </c>
      <c r="HU32" s="19">
        <v>16.5</v>
      </c>
      <c r="HV32" s="19">
        <v>15.5</v>
      </c>
      <c r="HW32" s="19">
        <v>14.5</v>
      </c>
      <c r="HX32" s="19">
        <v>13.5</v>
      </c>
      <c r="HY32" s="19">
        <v>12.5</v>
      </c>
      <c r="HZ32" s="19">
        <v>11.5</v>
      </c>
      <c r="IA32" s="19">
        <v>10.5</v>
      </c>
      <c r="IB32" s="19">
        <v>9.5</v>
      </c>
      <c r="IC32" s="19">
        <v>40.8</v>
      </c>
    </row>
    <row r="33">
      <c r="A33" s="2" t="s">
        <v>310</v>
      </c>
      <c r="B33" s="2" t="s">
        <v>255</v>
      </c>
      <c r="C33" s="2" t="s">
        <v>256</v>
      </c>
      <c r="D33" s="2" t="s">
        <v>257</v>
      </c>
      <c r="E33" s="2" t="s">
        <v>258</v>
      </c>
      <c r="F33" s="2" t="s">
        <v>259</v>
      </c>
      <c r="G33" s="2" t="s">
        <v>259</v>
      </c>
      <c r="H33" s="2" t="s">
        <v>259</v>
      </c>
      <c r="I33" s="2" t="s">
        <v>260</v>
      </c>
      <c r="J33" s="2" t="s">
        <v>270</v>
      </c>
      <c r="K33" s="2" t="s">
        <v>309</v>
      </c>
      <c r="L33" s="3">
        <v>80</v>
      </c>
      <c r="M33" s="3">
        <v>84</v>
      </c>
      <c r="N33" s="3">
        <v>199.99</v>
      </c>
      <c r="O33" s="2" t="s">
        <v>232</v>
      </c>
      <c r="P33" s="2" t="s">
        <v>262</v>
      </c>
      <c r="Q33" s="2" t="s">
        <v>234</v>
      </c>
      <c r="R33" s="2" t="s">
        <v>235</v>
      </c>
      <c r="S33" s="2" t="s">
        <v>235</v>
      </c>
      <c r="T33" s="2" t="s">
        <v>263</v>
      </c>
      <c r="U33" s="2" t="s">
        <v>264</v>
      </c>
      <c r="V33" s="2" t="s">
        <v>238</v>
      </c>
      <c r="W33" s="2" t="s">
        <v>265</v>
      </c>
      <c r="X33" s="2" t="s">
        <v>235</v>
      </c>
      <c r="Y33" s="2" t="s">
        <v>266</v>
      </c>
      <c r="Z33" s="4">
        <v>102</v>
      </c>
      <c r="AA33" s="4">
        <f>=ROUNDDOWN(20.4,0)</f>
      </c>
      <c r="AB33" s="5">
        <v>5</v>
      </c>
      <c r="AC33" s="2" t="s">
        <v>267</v>
      </c>
      <c r="AD33" s="4">
        <v>99</v>
      </c>
      <c r="AE33" s="4">
        <v>99</v>
      </c>
      <c r="AF33" s="6">
        <v>78</v>
      </c>
      <c r="AG33" s="6"/>
      <c r="AH33" s="7"/>
      <c r="AI33" s="4"/>
      <c r="AJ33" s="4">
        <f>=ROUNDDOWN({0},0)</f>
      </c>
      <c r="AK33" s="5"/>
      <c r="AL33" s="2" t="s">
        <v>235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235</v>
      </c>
      <c r="AW33" s="8" t="s">
        <v>235</v>
      </c>
      <c r="AX33" s="4" t="s">
        <v>235</v>
      </c>
      <c r="AY33" s="8" t="s">
        <v>235</v>
      </c>
      <c r="AZ33" s="7" t="s">
        <v>235</v>
      </c>
      <c r="BA33" s="7" t="s">
        <v>235</v>
      </c>
      <c r="BB33" s="7"/>
      <c r="BC33" s="4" t="s">
        <v>235</v>
      </c>
      <c r="BD33" s="8" t="s">
        <v>235</v>
      </c>
      <c r="BE33" s="4" t="s">
        <v>235</v>
      </c>
      <c r="BF33" s="8" t="s">
        <v>235</v>
      </c>
      <c r="BG33" s="7" t="s">
        <v>235</v>
      </c>
      <c r="BH33" s="7" t="s">
        <v>235</v>
      </c>
      <c r="BI33" s="7"/>
      <c r="BJ33" s="4"/>
      <c r="BK33" s="8"/>
      <c r="BL33" s="2" t="s">
        <v>235</v>
      </c>
      <c r="BM33" s="7"/>
      <c r="BN33" s="7"/>
      <c r="BO33" s="4"/>
      <c r="BP33" s="8"/>
      <c r="BQ33" s="4"/>
      <c r="BR33" s="8"/>
      <c r="BS33" s="7"/>
      <c r="BT33" s="7"/>
      <c r="BU33" s="2" t="s">
        <v>268</v>
      </c>
      <c r="BV33" s="2" t="s">
        <v>235</v>
      </c>
      <c r="BW33" s="2" t="s">
        <v>235</v>
      </c>
      <c r="BX33" s="2" t="s">
        <v>244</v>
      </c>
      <c r="BY33" s="2" t="s">
        <v>245</v>
      </c>
      <c r="BZ33" s="2" t="s">
        <v>232</v>
      </c>
      <c r="CA33" s="2" t="s">
        <v>235</v>
      </c>
      <c r="CB33" s="2" t="s">
        <v>235</v>
      </c>
      <c r="CC33" s="2" t="s">
        <v>248</v>
      </c>
      <c r="CD33" s="2" t="s">
        <v>248</v>
      </c>
      <c r="CE33" s="2" t="s">
        <v>235</v>
      </c>
      <c r="CF33" s="4">
        <v>102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>
        <v>99</v>
      </c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>
        <v>102</v>
      </c>
      <c r="GE33" s="4">
        <v>99</v>
      </c>
      <c r="GF33" s="4">
        <v>94</v>
      </c>
      <c r="GG33" s="4">
        <v>89</v>
      </c>
      <c r="GH33" s="4">
        <v>183</v>
      </c>
      <c r="GI33" s="4">
        <v>178</v>
      </c>
      <c r="GJ33" s="4">
        <v>171</v>
      </c>
      <c r="GK33" s="4">
        <v>165</v>
      </c>
      <c r="GL33" s="4">
        <v>159</v>
      </c>
      <c r="GM33" s="4">
        <v>154</v>
      </c>
      <c r="GN33" s="4">
        <v>148</v>
      </c>
      <c r="GO33" s="4">
        <v>141</v>
      </c>
      <c r="GP33" s="4">
        <v>133</v>
      </c>
      <c r="GQ33" s="4">
        <v>119</v>
      </c>
      <c r="GR33" s="4">
        <v>111</v>
      </c>
      <c r="GS33" s="4">
        <v>104</v>
      </c>
      <c r="GT33" s="4">
        <v>99</v>
      </c>
      <c r="GU33" s="4">
        <v>95</v>
      </c>
      <c r="GV33" s="4">
        <v>90</v>
      </c>
      <c r="GW33" s="4">
        <v>85</v>
      </c>
      <c r="GX33" s="4">
        <v>80</v>
      </c>
      <c r="GY33" s="4">
        <v>75</v>
      </c>
      <c r="GZ33" s="4">
        <v>70</v>
      </c>
      <c r="HA33" s="4">
        <v>65</v>
      </c>
      <c r="HB33" s="4">
        <v>60</v>
      </c>
      <c r="HC33" s="4">
        <v>203</v>
      </c>
      <c r="HD33" s="19">
        <v>25.5</v>
      </c>
      <c r="HE33" s="19">
        <v>19.8</v>
      </c>
      <c r="HF33" s="19">
        <v>15.7</v>
      </c>
      <c r="HG33" s="19">
        <v>14.8</v>
      </c>
      <c r="HH33" s="19">
        <v>30.5</v>
      </c>
      <c r="HI33" s="19">
        <v>29.7</v>
      </c>
      <c r="HJ33" s="19">
        <v>28.5</v>
      </c>
      <c r="HK33" s="19">
        <v>27.5</v>
      </c>
      <c r="HL33" s="19">
        <v>26.5</v>
      </c>
      <c r="HM33" s="19">
        <v>17.1</v>
      </c>
      <c r="HN33" s="19">
        <v>16.4</v>
      </c>
      <c r="HO33" s="19">
        <v>15.7</v>
      </c>
      <c r="HP33" s="19">
        <v>16.6</v>
      </c>
      <c r="HQ33" s="19">
        <v>19.8</v>
      </c>
      <c r="HR33" s="19">
        <v>22.2</v>
      </c>
      <c r="HS33" s="19">
        <v>20.8</v>
      </c>
      <c r="HT33" s="19">
        <v>19.8</v>
      </c>
      <c r="HU33" s="19">
        <v>19</v>
      </c>
      <c r="HV33" s="19">
        <v>18</v>
      </c>
      <c r="HW33" s="19">
        <v>17</v>
      </c>
      <c r="HX33" s="19">
        <v>16</v>
      </c>
      <c r="HY33" s="19">
        <v>15</v>
      </c>
      <c r="HZ33" s="19">
        <v>14</v>
      </c>
      <c r="IA33" s="19">
        <v>13</v>
      </c>
      <c r="IB33" s="19">
        <v>12</v>
      </c>
      <c r="IC33" s="19">
        <v>40.6</v>
      </c>
    </row>
    <row r="34">
      <c r="A34" s="2" t="s">
        <v>311</v>
      </c>
      <c r="B34" s="2" t="s">
        <v>255</v>
      </c>
      <c r="C34" s="2" t="s">
        <v>256</v>
      </c>
      <c r="D34" s="2" t="s">
        <v>257</v>
      </c>
      <c r="E34" s="2" t="s">
        <v>258</v>
      </c>
      <c r="F34" s="2" t="s">
        <v>259</v>
      </c>
      <c r="G34" s="2" t="s">
        <v>259</v>
      </c>
      <c r="H34" s="2" t="s">
        <v>259</v>
      </c>
      <c r="I34" s="2" t="s">
        <v>260</v>
      </c>
      <c r="J34" s="2" t="s">
        <v>272</v>
      </c>
      <c r="K34" s="2" t="s">
        <v>309</v>
      </c>
      <c r="L34" s="3">
        <v>84</v>
      </c>
      <c r="M34" s="3">
        <v>88.2</v>
      </c>
      <c r="N34" s="3">
        <v>209.99</v>
      </c>
      <c r="O34" s="2" t="s">
        <v>232</v>
      </c>
      <c r="P34" s="2" t="s">
        <v>262</v>
      </c>
      <c r="Q34" s="2" t="s">
        <v>234</v>
      </c>
      <c r="R34" s="2" t="s">
        <v>235</v>
      </c>
      <c r="S34" s="2" t="s">
        <v>235</v>
      </c>
      <c r="T34" s="2" t="s">
        <v>263</v>
      </c>
      <c r="U34" s="2" t="s">
        <v>264</v>
      </c>
      <c r="V34" s="2" t="s">
        <v>238</v>
      </c>
      <c r="W34" s="2" t="s">
        <v>265</v>
      </c>
      <c r="X34" s="2" t="s">
        <v>235</v>
      </c>
      <c r="Y34" s="2" t="s">
        <v>266</v>
      </c>
      <c r="Z34" s="4">
        <v>39</v>
      </c>
      <c r="AA34" s="4">
        <f>=ROUNDDOWN(13,0)</f>
      </c>
      <c r="AB34" s="5">
        <v>3</v>
      </c>
      <c r="AC34" s="2" t="s">
        <v>267</v>
      </c>
      <c r="AD34" s="4">
        <v>33</v>
      </c>
      <c r="AE34" s="4">
        <v>33</v>
      </c>
      <c r="AF34" s="6">
        <v>78</v>
      </c>
      <c r="AG34" s="6"/>
      <c r="AH34" s="7"/>
      <c r="AI34" s="4"/>
      <c r="AJ34" s="4">
        <f>=ROUNDDOWN({0},0)</f>
      </c>
      <c r="AK34" s="5"/>
      <c r="AL34" s="2" t="s">
        <v>235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235</v>
      </c>
      <c r="AW34" s="8" t="s">
        <v>235</v>
      </c>
      <c r="AX34" s="4" t="s">
        <v>235</v>
      </c>
      <c r="AY34" s="8" t="s">
        <v>235</v>
      </c>
      <c r="AZ34" s="7" t="s">
        <v>235</v>
      </c>
      <c r="BA34" s="7" t="s">
        <v>235</v>
      </c>
      <c r="BB34" s="7"/>
      <c r="BC34" s="4" t="s">
        <v>235</v>
      </c>
      <c r="BD34" s="8" t="s">
        <v>235</v>
      </c>
      <c r="BE34" s="4" t="s">
        <v>235</v>
      </c>
      <c r="BF34" s="8" t="s">
        <v>235</v>
      </c>
      <c r="BG34" s="7" t="s">
        <v>235</v>
      </c>
      <c r="BH34" s="7" t="s">
        <v>235</v>
      </c>
      <c r="BI34" s="7"/>
      <c r="BJ34" s="4"/>
      <c r="BK34" s="8"/>
      <c r="BL34" s="2" t="s">
        <v>235</v>
      </c>
      <c r="BM34" s="7"/>
      <c r="BN34" s="7"/>
      <c r="BO34" s="4"/>
      <c r="BP34" s="8"/>
      <c r="BQ34" s="4"/>
      <c r="BR34" s="8"/>
      <c r="BS34" s="7"/>
      <c r="BT34" s="7"/>
      <c r="BU34" s="2" t="s">
        <v>268</v>
      </c>
      <c r="BV34" s="2" t="s">
        <v>235</v>
      </c>
      <c r="BW34" s="2" t="s">
        <v>235</v>
      </c>
      <c r="BX34" s="2" t="s">
        <v>244</v>
      </c>
      <c r="BY34" s="2" t="s">
        <v>245</v>
      </c>
      <c r="BZ34" s="2" t="s">
        <v>232</v>
      </c>
      <c r="CA34" s="2" t="s">
        <v>235</v>
      </c>
      <c r="CB34" s="2" t="s">
        <v>235</v>
      </c>
      <c r="CC34" s="2" t="s">
        <v>248</v>
      </c>
      <c r="CD34" s="2" t="s">
        <v>248</v>
      </c>
      <c r="CE34" s="2" t="s">
        <v>235</v>
      </c>
      <c r="CF34" s="4"/>
      <c r="CG34" s="4"/>
      <c r="CH34" s="4"/>
      <c r="CI34" s="4"/>
      <c r="CJ34" s="4"/>
      <c r="CK34" s="4"/>
      <c r="CL34" s="4"/>
      <c r="CM34" s="4">
        <v>39</v>
      </c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>
        <v>33</v>
      </c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>
        <v>39</v>
      </c>
      <c r="GE34" s="4">
        <v>36</v>
      </c>
      <c r="GF34" s="4">
        <v>33</v>
      </c>
      <c r="GG34" s="4">
        <v>30</v>
      </c>
      <c r="GH34" s="4">
        <v>60</v>
      </c>
      <c r="GI34" s="4">
        <v>57</v>
      </c>
      <c r="GJ34" s="4">
        <v>52</v>
      </c>
      <c r="GK34" s="4">
        <v>48</v>
      </c>
      <c r="GL34" s="4">
        <v>44</v>
      </c>
      <c r="GM34" s="4">
        <v>41</v>
      </c>
      <c r="GN34" s="4">
        <v>38</v>
      </c>
      <c r="GO34" s="4">
        <v>34</v>
      </c>
      <c r="GP34" s="4">
        <v>30</v>
      </c>
      <c r="GQ34" s="4">
        <v>23</v>
      </c>
      <c r="GR34" s="4">
        <v>19</v>
      </c>
      <c r="GS34" s="4">
        <v>15</v>
      </c>
      <c r="GT34" s="4">
        <v>12</v>
      </c>
      <c r="GU34" s="4">
        <v>10</v>
      </c>
      <c r="GV34" s="4">
        <v>7</v>
      </c>
      <c r="GW34" s="4">
        <v>4</v>
      </c>
      <c r="GX34" s="4">
        <v>1</v>
      </c>
      <c r="GY34" s="4"/>
      <c r="GZ34" s="4"/>
      <c r="HA34" s="4"/>
      <c r="HB34" s="4"/>
      <c r="HC34" s="4">
        <v>122</v>
      </c>
      <c r="HD34" s="19">
        <v>13</v>
      </c>
      <c r="HE34" s="19">
        <v>12</v>
      </c>
      <c r="HF34" s="19">
        <v>8.3</v>
      </c>
      <c r="HG34" s="19">
        <v>7.5</v>
      </c>
      <c r="HH34" s="19">
        <v>15</v>
      </c>
      <c r="HI34" s="19">
        <v>14.3</v>
      </c>
      <c r="HJ34" s="19">
        <v>13</v>
      </c>
      <c r="HK34" s="19">
        <v>12</v>
      </c>
      <c r="HL34" s="19">
        <v>11</v>
      </c>
      <c r="HM34" s="19">
        <v>10.3</v>
      </c>
      <c r="HN34" s="19">
        <v>7.6</v>
      </c>
      <c r="HO34" s="19">
        <v>6.8</v>
      </c>
      <c r="HP34" s="19">
        <v>7.5</v>
      </c>
      <c r="HQ34" s="19">
        <v>7.7</v>
      </c>
      <c r="HR34" s="19">
        <v>6.3</v>
      </c>
      <c r="HS34" s="19">
        <v>5</v>
      </c>
      <c r="HT34" s="19">
        <v>4</v>
      </c>
      <c r="HU34" s="19">
        <v>3.3</v>
      </c>
      <c r="HV34" s="19">
        <v>3.5</v>
      </c>
      <c r="HW34" s="19">
        <v>2</v>
      </c>
      <c r="HX34" s="19">
        <v>0.5</v>
      </c>
      <c r="HY34" s="20">
        <v>0</v>
      </c>
      <c r="HZ34" s="20">
        <v>0</v>
      </c>
      <c r="IA34" s="20">
        <v>0</v>
      </c>
      <c r="IB34" s="20">
        <v>0</v>
      </c>
      <c r="IC34" s="19">
        <v>30.5</v>
      </c>
    </row>
    <row r="35">
      <c r="A35" s="2" t="s">
        <v>312</v>
      </c>
      <c r="B35" s="2" t="s">
        <v>255</v>
      </c>
      <c r="C35" s="2" t="s">
        <v>256</v>
      </c>
      <c r="D35" s="2" t="s">
        <v>274</v>
      </c>
      <c r="E35" s="2" t="s">
        <v>275</v>
      </c>
      <c r="F35" s="2" t="s">
        <v>259</v>
      </c>
      <c r="G35" s="2" t="s">
        <v>259</v>
      </c>
      <c r="H35" s="2" t="s">
        <v>259</v>
      </c>
      <c r="I35" s="2" t="s">
        <v>276</v>
      </c>
      <c r="J35" s="2" t="s">
        <v>277</v>
      </c>
      <c r="K35" s="2" t="s">
        <v>309</v>
      </c>
      <c r="L35" s="3">
        <v>20</v>
      </c>
      <c r="M35" s="3">
        <v>21</v>
      </c>
      <c r="N35" s="3">
        <v>49.99</v>
      </c>
      <c r="O35" s="2" t="s">
        <v>232</v>
      </c>
      <c r="P35" s="2" t="s">
        <v>262</v>
      </c>
      <c r="Q35" s="2" t="s">
        <v>234</v>
      </c>
      <c r="R35" s="2" t="s">
        <v>235</v>
      </c>
      <c r="S35" s="2" t="s">
        <v>235</v>
      </c>
      <c r="T35" s="2" t="s">
        <v>263</v>
      </c>
      <c r="U35" s="2" t="s">
        <v>278</v>
      </c>
      <c r="V35" s="2" t="s">
        <v>238</v>
      </c>
      <c r="W35" s="2" t="s">
        <v>265</v>
      </c>
      <c r="X35" s="2" t="s">
        <v>235</v>
      </c>
      <c r="Y35" s="2" t="s">
        <v>266</v>
      </c>
      <c r="Z35" s="4">
        <v>30</v>
      </c>
      <c r="AA35" s="4">
        <f>=ROUNDDOWN(15,0)</f>
      </c>
      <c r="AB35" s="5">
        <v>2</v>
      </c>
      <c r="AC35" s="2" t="s">
        <v>267</v>
      </c>
      <c r="AD35" s="4">
        <v>30</v>
      </c>
      <c r="AE35" s="4">
        <v>30</v>
      </c>
      <c r="AF35" s="6">
        <v>78</v>
      </c>
      <c r="AG35" s="6"/>
      <c r="AH35" s="7"/>
      <c r="AI35" s="4"/>
      <c r="AJ35" s="4">
        <f>=ROUNDDOWN({0},0)</f>
      </c>
      <c r="AK35" s="5"/>
      <c r="AL35" s="2" t="s">
        <v>235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235</v>
      </c>
      <c r="AW35" s="8" t="s">
        <v>235</v>
      </c>
      <c r="AX35" s="4" t="s">
        <v>235</v>
      </c>
      <c r="AY35" s="8" t="s">
        <v>235</v>
      </c>
      <c r="AZ35" s="7" t="s">
        <v>235</v>
      </c>
      <c r="BA35" s="7" t="s">
        <v>235</v>
      </c>
      <c r="BB35" s="7"/>
      <c r="BC35" s="4" t="s">
        <v>235</v>
      </c>
      <c r="BD35" s="8" t="s">
        <v>235</v>
      </c>
      <c r="BE35" s="4" t="s">
        <v>235</v>
      </c>
      <c r="BF35" s="8" t="s">
        <v>235</v>
      </c>
      <c r="BG35" s="7" t="s">
        <v>235</v>
      </c>
      <c r="BH35" s="7" t="s">
        <v>235</v>
      </c>
      <c r="BI35" s="7"/>
      <c r="BJ35" s="4"/>
      <c r="BK35" s="8"/>
      <c r="BL35" s="2" t="s">
        <v>235</v>
      </c>
      <c r="BM35" s="7"/>
      <c r="BN35" s="7"/>
      <c r="BO35" s="4"/>
      <c r="BP35" s="8"/>
      <c r="BQ35" s="4"/>
      <c r="BR35" s="8"/>
      <c r="BS35" s="7"/>
      <c r="BT35" s="7"/>
      <c r="BU35" s="2" t="s">
        <v>279</v>
      </c>
      <c r="BV35" s="2" t="s">
        <v>235</v>
      </c>
      <c r="BW35" s="2" t="s">
        <v>235</v>
      </c>
      <c r="BX35" s="2" t="s">
        <v>244</v>
      </c>
      <c r="BY35" s="2" t="s">
        <v>245</v>
      </c>
      <c r="BZ35" s="2" t="s">
        <v>232</v>
      </c>
      <c r="CA35" s="2" t="s">
        <v>235</v>
      </c>
      <c r="CB35" s="2" t="s">
        <v>235</v>
      </c>
      <c r="CC35" s="2" t="s">
        <v>248</v>
      </c>
      <c r="CD35" s="2" t="s">
        <v>248</v>
      </c>
      <c r="CE35" s="2" t="s">
        <v>235</v>
      </c>
      <c r="CF35" s="4">
        <v>30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>
        <v>30</v>
      </c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>
        <v>30</v>
      </c>
      <c r="GE35" s="4">
        <v>27</v>
      </c>
      <c r="GF35" s="4">
        <v>25</v>
      </c>
      <c r="GG35" s="4">
        <v>23</v>
      </c>
      <c r="GH35" s="4">
        <v>51</v>
      </c>
      <c r="GI35" s="4">
        <v>49</v>
      </c>
      <c r="GJ35" s="4">
        <v>45</v>
      </c>
      <c r="GK35" s="4">
        <v>42</v>
      </c>
      <c r="GL35" s="4">
        <v>39</v>
      </c>
      <c r="GM35" s="4">
        <v>37</v>
      </c>
      <c r="GN35" s="4">
        <v>35</v>
      </c>
      <c r="GO35" s="4">
        <v>32</v>
      </c>
      <c r="GP35" s="4">
        <v>29</v>
      </c>
      <c r="GQ35" s="4">
        <v>25</v>
      </c>
      <c r="GR35" s="4">
        <v>22</v>
      </c>
      <c r="GS35" s="4">
        <v>19</v>
      </c>
      <c r="GT35" s="4">
        <v>17</v>
      </c>
      <c r="GU35" s="4">
        <v>15</v>
      </c>
      <c r="GV35" s="4">
        <v>13</v>
      </c>
      <c r="GW35" s="4">
        <v>11</v>
      </c>
      <c r="GX35" s="4">
        <v>9</v>
      </c>
      <c r="GY35" s="4">
        <v>7</v>
      </c>
      <c r="GZ35" s="4">
        <v>5</v>
      </c>
      <c r="HA35" s="4">
        <v>3</v>
      </c>
      <c r="HB35" s="4">
        <v>1</v>
      </c>
      <c r="HC35" s="4">
        <v>78</v>
      </c>
      <c r="HD35" s="19">
        <v>15</v>
      </c>
      <c r="HE35" s="19">
        <v>13.5</v>
      </c>
      <c r="HF35" s="19">
        <v>12.5</v>
      </c>
      <c r="HG35" s="19">
        <v>7.7</v>
      </c>
      <c r="HH35" s="19">
        <v>17</v>
      </c>
      <c r="HI35" s="19">
        <v>16.3</v>
      </c>
      <c r="HJ35" s="19">
        <v>22.5</v>
      </c>
      <c r="HK35" s="19">
        <v>21</v>
      </c>
      <c r="HL35" s="19">
        <v>19.5</v>
      </c>
      <c r="HM35" s="19">
        <v>12.3</v>
      </c>
      <c r="HN35" s="19">
        <v>11.7</v>
      </c>
      <c r="HO35" s="19">
        <v>10.7</v>
      </c>
      <c r="HP35" s="19">
        <v>9.7</v>
      </c>
      <c r="HQ35" s="19">
        <v>12.5</v>
      </c>
      <c r="HR35" s="19">
        <v>11</v>
      </c>
      <c r="HS35" s="19">
        <v>9.5</v>
      </c>
      <c r="HT35" s="19">
        <v>8.5</v>
      </c>
      <c r="HU35" s="19">
        <v>7.5</v>
      </c>
      <c r="HV35" s="19">
        <v>6.5</v>
      </c>
      <c r="HW35" s="19">
        <v>5.5</v>
      </c>
      <c r="HX35" s="19">
        <v>4.5</v>
      </c>
      <c r="HY35" s="19">
        <v>3.5</v>
      </c>
      <c r="HZ35" s="19">
        <v>2.5</v>
      </c>
      <c r="IA35" s="19">
        <v>1.5</v>
      </c>
      <c r="IB35" s="19">
        <v>0.5</v>
      </c>
      <c r="IC35" s="19">
        <v>39</v>
      </c>
    </row>
    <row r="36">
      <c r="A36" s="2" t="s">
        <v>313</v>
      </c>
      <c r="B36" s="2" t="s">
        <v>255</v>
      </c>
      <c r="C36" s="2" t="s">
        <v>256</v>
      </c>
      <c r="D36" s="2" t="s">
        <v>257</v>
      </c>
      <c r="E36" s="2" t="s">
        <v>258</v>
      </c>
      <c r="F36" s="2" t="s">
        <v>259</v>
      </c>
      <c r="G36" s="2" t="s">
        <v>259</v>
      </c>
      <c r="H36" s="2" t="s">
        <v>259</v>
      </c>
      <c r="I36" s="2" t="s">
        <v>260</v>
      </c>
      <c r="J36" s="2" t="s">
        <v>281</v>
      </c>
      <c r="K36" s="2" t="s">
        <v>309</v>
      </c>
      <c r="L36" s="3">
        <v>104</v>
      </c>
      <c r="M36" s="3">
        <v>109.2</v>
      </c>
      <c r="N36" s="3">
        <v>259.99</v>
      </c>
      <c r="O36" s="2" t="s">
        <v>232</v>
      </c>
      <c r="P36" s="2" t="s">
        <v>262</v>
      </c>
      <c r="Q36" s="2" t="s">
        <v>234</v>
      </c>
      <c r="R36" s="2" t="s">
        <v>235</v>
      </c>
      <c r="S36" s="2" t="s">
        <v>235</v>
      </c>
      <c r="T36" s="2" t="s">
        <v>263</v>
      </c>
      <c r="U36" s="2" t="s">
        <v>282</v>
      </c>
      <c r="V36" s="2" t="s">
        <v>238</v>
      </c>
      <c r="W36" s="2" t="s">
        <v>265</v>
      </c>
      <c r="X36" s="2" t="s">
        <v>235</v>
      </c>
      <c r="Y36" s="2" t="s">
        <v>266</v>
      </c>
      <c r="Z36" s="4">
        <v>39</v>
      </c>
      <c r="AA36" s="4">
        <f>=ROUNDDOWN(13,0)</f>
      </c>
      <c r="AB36" s="5">
        <v>3</v>
      </c>
      <c r="AC36" s="2" t="s">
        <v>267</v>
      </c>
      <c r="AD36" s="4">
        <v>36</v>
      </c>
      <c r="AE36" s="4">
        <v>36</v>
      </c>
      <c r="AF36" s="6">
        <v>78</v>
      </c>
      <c r="AG36" s="6"/>
      <c r="AH36" s="7"/>
      <c r="AI36" s="4"/>
      <c r="AJ36" s="4">
        <f>=ROUNDDOWN({0},0)</f>
      </c>
      <c r="AK36" s="5"/>
      <c r="AL36" s="2" t="s">
        <v>235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235</v>
      </c>
      <c r="AW36" s="8" t="s">
        <v>235</v>
      </c>
      <c r="AX36" s="4" t="s">
        <v>235</v>
      </c>
      <c r="AY36" s="8" t="s">
        <v>235</v>
      </c>
      <c r="AZ36" s="7" t="s">
        <v>235</v>
      </c>
      <c r="BA36" s="7" t="s">
        <v>235</v>
      </c>
      <c r="BB36" s="7"/>
      <c r="BC36" s="4" t="s">
        <v>235</v>
      </c>
      <c r="BD36" s="8" t="s">
        <v>235</v>
      </c>
      <c r="BE36" s="4" t="s">
        <v>235</v>
      </c>
      <c r="BF36" s="8" t="s">
        <v>235</v>
      </c>
      <c r="BG36" s="7" t="s">
        <v>235</v>
      </c>
      <c r="BH36" s="7" t="s">
        <v>235</v>
      </c>
      <c r="BI36" s="7"/>
      <c r="BJ36" s="4"/>
      <c r="BK36" s="8"/>
      <c r="BL36" s="2" t="s">
        <v>235</v>
      </c>
      <c r="BM36" s="7"/>
      <c r="BN36" s="7"/>
      <c r="BO36" s="4"/>
      <c r="BP36" s="8"/>
      <c r="BQ36" s="4"/>
      <c r="BR36" s="8"/>
      <c r="BS36" s="7"/>
      <c r="BT36" s="7"/>
      <c r="BU36" s="2" t="s">
        <v>268</v>
      </c>
      <c r="BV36" s="2" t="s">
        <v>235</v>
      </c>
      <c r="BW36" s="2" t="s">
        <v>235</v>
      </c>
      <c r="BX36" s="2" t="s">
        <v>244</v>
      </c>
      <c r="BY36" s="2" t="s">
        <v>245</v>
      </c>
      <c r="BZ36" s="2" t="s">
        <v>232</v>
      </c>
      <c r="CA36" s="2" t="s">
        <v>235</v>
      </c>
      <c r="CB36" s="2" t="s">
        <v>235</v>
      </c>
      <c r="CC36" s="2" t="s">
        <v>248</v>
      </c>
      <c r="CD36" s="2" t="s">
        <v>248</v>
      </c>
      <c r="CE36" s="2" t="s">
        <v>235</v>
      </c>
      <c r="CF36" s="4">
        <v>39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>
        <v>36</v>
      </c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>
        <v>39</v>
      </c>
      <c r="GE36" s="4">
        <v>36</v>
      </c>
      <c r="GF36" s="4">
        <v>33</v>
      </c>
      <c r="GG36" s="4">
        <v>30</v>
      </c>
      <c r="GH36" s="4">
        <v>63</v>
      </c>
      <c r="GI36" s="4">
        <v>60</v>
      </c>
      <c r="GJ36" s="4">
        <v>55</v>
      </c>
      <c r="GK36" s="4">
        <v>51</v>
      </c>
      <c r="GL36" s="4">
        <v>47</v>
      </c>
      <c r="GM36" s="4">
        <v>44</v>
      </c>
      <c r="GN36" s="4">
        <v>41</v>
      </c>
      <c r="GO36" s="4">
        <v>37</v>
      </c>
      <c r="GP36" s="4">
        <v>33</v>
      </c>
      <c r="GQ36" s="4">
        <v>26</v>
      </c>
      <c r="GR36" s="4">
        <v>22</v>
      </c>
      <c r="GS36" s="4">
        <v>18</v>
      </c>
      <c r="GT36" s="4">
        <v>15</v>
      </c>
      <c r="GU36" s="4">
        <v>13</v>
      </c>
      <c r="GV36" s="4">
        <v>10</v>
      </c>
      <c r="GW36" s="4">
        <v>7</v>
      </c>
      <c r="GX36" s="4">
        <v>4</v>
      </c>
      <c r="GY36" s="4">
        <v>1</v>
      </c>
      <c r="GZ36" s="4"/>
      <c r="HA36" s="4"/>
      <c r="HB36" s="4"/>
      <c r="HC36" s="4">
        <v>121</v>
      </c>
      <c r="HD36" s="19">
        <v>13</v>
      </c>
      <c r="HE36" s="19">
        <v>12</v>
      </c>
      <c r="HF36" s="19">
        <v>8.3</v>
      </c>
      <c r="HG36" s="19">
        <v>7.5</v>
      </c>
      <c r="HH36" s="19">
        <v>15.8</v>
      </c>
      <c r="HI36" s="19">
        <v>15</v>
      </c>
      <c r="HJ36" s="19">
        <v>13.8</v>
      </c>
      <c r="HK36" s="19">
        <v>12.8</v>
      </c>
      <c r="HL36" s="19">
        <v>11.8</v>
      </c>
      <c r="HM36" s="19">
        <v>11</v>
      </c>
      <c r="HN36" s="19">
        <v>8.2</v>
      </c>
      <c r="HO36" s="19">
        <v>7.4</v>
      </c>
      <c r="HP36" s="19">
        <v>8.3</v>
      </c>
      <c r="HQ36" s="19">
        <v>8.7</v>
      </c>
      <c r="HR36" s="19">
        <v>7.3</v>
      </c>
      <c r="HS36" s="19">
        <v>6</v>
      </c>
      <c r="HT36" s="19">
        <v>5</v>
      </c>
      <c r="HU36" s="19">
        <v>4.3</v>
      </c>
      <c r="HV36" s="19">
        <v>3.3</v>
      </c>
      <c r="HW36" s="19">
        <v>3.5</v>
      </c>
      <c r="HX36" s="19">
        <v>2</v>
      </c>
      <c r="HY36" s="19">
        <v>0.5</v>
      </c>
      <c r="HZ36" s="20">
        <v>0</v>
      </c>
      <c r="IA36" s="20">
        <v>0</v>
      </c>
      <c r="IB36" s="20">
        <v>0</v>
      </c>
      <c r="IC36" s="19">
        <v>30.3</v>
      </c>
    </row>
    <row r="37">
      <c r="A37" s="2" t="s">
        <v>314</v>
      </c>
      <c r="B37" s="2" t="s">
        <v>255</v>
      </c>
      <c r="C37" s="2" t="s">
        <v>256</v>
      </c>
      <c r="D37" s="2" t="s">
        <v>274</v>
      </c>
      <c r="E37" s="2" t="s">
        <v>275</v>
      </c>
      <c r="F37" s="2" t="s">
        <v>259</v>
      </c>
      <c r="G37" s="2" t="s">
        <v>259</v>
      </c>
      <c r="H37" s="2" t="s">
        <v>259</v>
      </c>
      <c r="I37" s="2" t="s">
        <v>276</v>
      </c>
      <c r="J37" s="2" t="s">
        <v>284</v>
      </c>
      <c r="K37" s="2" t="s">
        <v>309</v>
      </c>
      <c r="L37" s="3">
        <v>20</v>
      </c>
      <c r="M37" s="3">
        <v>21</v>
      </c>
      <c r="N37" s="3">
        <v>49.99</v>
      </c>
      <c r="O37" s="2" t="s">
        <v>232</v>
      </c>
      <c r="P37" s="2" t="s">
        <v>262</v>
      </c>
      <c r="Q37" s="2" t="s">
        <v>234</v>
      </c>
      <c r="R37" s="2" t="s">
        <v>235</v>
      </c>
      <c r="S37" s="2" t="s">
        <v>235</v>
      </c>
      <c r="T37" s="2" t="s">
        <v>263</v>
      </c>
      <c r="U37" s="2" t="s">
        <v>278</v>
      </c>
      <c r="V37" s="2" t="s">
        <v>238</v>
      </c>
      <c r="W37" s="2" t="s">
        <v>265</v>
      </c>
      <c r="X37" s="2" t="s">
        <v>235</v>
      </c>
      <c r="Y37" s="2" t="s">
        <v>266</v>
      </c>
      <c r="Z37" s="4">
        <v>20</v>
      </c>
      <c r="AA37" s="4">
        <f>=ROUNDDOWN({0},0)</f>
      </c>
      <c r="AB37" s="5"/>
      <c r="AC37" s="2" t="s">
        <v>267</v>
      </c>
      <c r="AD37" s="4">
        <v>20</v>
      </c>
      <c r="AE37" s="4">
        <v>20</v>
      </c>
      <c r="AF37" s="6">
        <v>78</v>
      </c>
      <c r="AG37" s="6"/>
      <c r="AH37" s="7"/>
      <c r="AI37" s="4"/>
      <c r="AJ37" s="4">
        <f>=ROUNDDOWN({0},0)</f>
      </c>
      <c r="AK37" s="5"/>
      <c r="AL37" s="2" t="s">
        <v>235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235</v>
      </c>
      <c r="AW37" s="8" t="s">
        <v>235</v>
      </c>
      <c r="AX37" s="4" t="s">
        <v>235</v>
      </c>
      <c r="AY37" s="8" t="s">
        <v>235</v>
      </c>
      <c r="AZ37" s="7" t="s">
        <v>235</v>
      </c>
      <c r="BA37" s="7" t="s">
        <v>235</v>
      </c>
      <c r="BB37" s="7"/>
      <c r="BC37" s="4" t="s">
        <v>235</v>
      </c>
      <c r="BD37" s="8" t="s">
        <v>235</v>
      </c>
      <c r="BE37" s="4" t="s">
        <v>235</v>
      </c>
      <c r="BF37" s="8" t="s">
        <v>235</v>
      </c>
      <c r="BG37" s="7" t="s">
        <v>235</v>
      </c>
      <c r="BH37" s="7" t="s">
        <v>235</v>
      </c>
      <c r="BI37" s="7"/>
      <c r="BJ37" s="4"/>
      <c r="BK37" s="8"/>
      <c r="BL37" s="2" t="s">
        <v>235</v>
      </c>
      <c r="BM37" s="7"/>
      <c r="BN37" s="7"/>
      <c r="BO37" s="4"/>
      <c r="BP37" s="8"/>
      <c r="BQ37" s="4"/>
      <c r="BR37" s="8"/>
      <c r="BS37" s="7"/>
      <c r="BT37" s="7"/>
      <c r="BU37" s="2" t="s">
        <v>285</v>
      </c>
      <c r="BV37" s="2" t="s">
        <v>235</v>
      </c>
      <c r="BW37" s="2" t="s">
        <v>235</v>
      </c>
      <c r="BX37" s="2" t="s">
        <v>244</v>
      </c>
      <c r="BY37" s="2" t="s">
        <v>245</v>
      </c>
      <c r="BZ37" s="2" t="s">
        <v>232</v>
      </c>
      <c r="CA37" s="2" t="s">
        <v>235</v>
      </c>
      <c r="CB37" s="2" t="s">
        <v>235</v>
      </c>
      <c r="CC37" s="2" t="s">
        <v>248</v>
      </c>
      <c r="CD37" s="2" t="s">
        <v>248</v>
      </c>
      <c r="CE37" s="2" t="s">
        <v>235</v>
      </c>
      <c r="CF37" s="4">
        <v>20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>
        <v>20</v>
      </c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>
        <v>20</v>
      </c>
      <c r="GE37" s="4">
        <v>17</v>
      </c>
      <c r="GF37" s="4">
        <v>15</v>
      </c>
      <c r="GG37" s="4">
        <v>13</v>
      </c>
      <c r="GH37" s="4">
        <v>31</v>
      </c>
      <c r="GI37" s="4">
        <v>29</v>
      </c>
      <c r="GJ37" s="4">
        <v>25</v>
      </c>
      <c r="GK37" s="4">
        <v>22</v>
      </c>
      <c r="GL37" s="4">
        <v>19</v>
      </c>
      <c r="GM37" s="4">
        <v>17</v>
      </c>
      <c r="GN37" s="4">
        <v>15</v>
      </c>
      <c r="GO37" s="4">
        <v>12</v>
      </c>
      <c r="GP37" s="4">
        <v>9</v>
      </c>
      <c r="GQ37" s="4">
        <v>5</v>
      </c>
      <c r="GR37" s="4">
        <v>2</v>
      </c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>
        <v>84</v>
      </c>
      <c r="HD37" s="19">
        <v>10</v>
      </c>
      <c r="HE37" s="19">
        <v>8.5</v>
      </c>
      <c r="HF37" s="19">
        <v>7.5</v>
      </c>
      <c r="HG37" s="19">
        <v>4.3</v>
      </c>
      <c r="HH37" s="19">
        <v>10.3</v>
      </c>
      <c r="HI37" s="19">
        <v>9.7</v>
      </c>
      <c r="HJ37" s="19">
        <v>12.5</v>
      </c>
      <c r="HK37" s="19">
        <v>11</v>
      </c>
      <c r="HL37" s="19">
        <v>9.5</v>
      </c>
      <c r="HM37" s="19">
        <v>5.7</v>
      </c>
      <c r="HN37" s="19">
        <v>5</v>
      </c>
      <c r="HO37" s="19">
        <v>4</v>
      </c>
      <c r="HP37" s="19">
        <v>4.5</v>
      </c>
      <c r="HQ37" s="19">
        <v>2.5</v>
      </c>
      <c r="HR37" s="19">
        <v>2</v>
      </c>
      <c r="HS37" s="20">
        <v>0</v>
      </c>
      <c r="HT37" s="20">
        <v>0</v>
      </c>
      <c r="HU37" s="20">
        <v>0</v>
      </c>
      <c r="HV37" s="20">
        <v>0</v>
      </c>
      <c r="HW37" s="20">
        <v>0</v>
      </c>
      <c r="HX37" s="20">
        <v>0</v>
      </c>
      <c r="HY37" s="20">
        <v>0</v>
      </c>
      <c r="HZ37" s="20">
        <v>0</v>
      </c>
      <c r="IA37" s="20">
        <v>0</v>
      </c>
      <c r="IB37" s="20">
        <v>0</v>
      </c>
      <c r="IC37" s="19">
        <v>21</v>
      </c>
    </row>
    <row r="38">
      <c r="A38" s="2" t="s">
        <v>315</v>
      </c>
      <c r="B38" s="2" t="s">
        <v>255</v>
      </c>
      <c r="C38" s="2" t="s">
        <v>256</v>
      </c>
      <c r="D38" s="2" t="s">
        <v>257</v>
      </c>
      <c r="E38" s="2" t="s">
        <v>258</v>
      </c>
      <c r="F38" s="2" t="s">
        <v>259</v>
      </c>
      <c r="G38" s="2" t="s">
        <v>259</v>
      </c>
      <c r="H38" s="2" t="s">
        <v>259</v>
      </c>
      <c r="I38" s="2" t="s">
        <v>260</v>
      </c>
      <c r="J38" s="2" t="s">
        <v>261</v>
      </c>
      <c r="K38" s="2" t="s">
        <v>316</v>
      </c>
      <c r="L38" s="3">
        <v>76</v>
      </c>
      <c r="M38" s="3">
        <v>79.8</v>
      </c>
      <c r="N38" s="3">
        <v>189.99</v>
      </c>
      <c r="O38" s="2" t="s">
        <v>232</v>
      </c>
      <c r="P38" s="2" t="s">
        <v>262</v>
      </c>
      <c r="Q38" s="2" t="s">
        <v>234</v>
      </c>
      <c r="R38" s="2" t="s">
        <v>235</v>
      </c>
      <c r="S38" s="2" t="s">
        <v>235</v>
      </c>
      <c r="T38" s="2" t="s">
        <v>263</v>
      </c>
      <c r="U38" s="2" t="s">
        <v>264</v>
      </c>
      <c r="V38" s="2" t="s">
        <v>238</v>
      </c>
      <c r="W38" s="2" t="s">
        <v>265</v>
      </c>
      <c r="X38" s="2" t="s">
        <v>235</v>
      </c>
      <c r="Y38" s="2" t="s">
        <v>266</v>
      </c>
      <c r="Z38" s="4">
        <v>152</v>
      </c>
      <c r="AA38" s="4">
        <f>=ROUNDDOWN(25.3333333333333,0)</f>
      </c>
      <c r="AB38" s="5">
        <v>6</v>
      </c>
      <c r="AC38" s="2" t="s">
        <v>267</v>
      </c>
      <c r="AD38" s="4">
        <v>152</v>
      </c>
      <c r="AE38" s="4">
        <v>152</v>
      </c>
      <c r="AF38" s="6">
        <v>78</v>
      </c>
      <c r="AG38" s="6"/>
      <c r="AH38" s="7"/>
      <c r="AI38" s="4"/>
      <c r="AJ38" s="4">
        <f>=ROUNDDOWN({0},0)</f>
      </c>
      <c r="AK38" s="5"/>
      <c r="AL38" s="2" t="s">
        <v>235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235</v>
      </c>
      <c r="AW38" s="8" t="s">
        <v>235</v>
      </c>
      <c r="AX38" s="4" t="s">
        <v>235</v>
      </c>
      <c r="AY38" s="8" t="s">
        <v>235</v>
      </c>
      <c r="AZ38" s="7" t="s">
        <v>235</v>
      </c>
      <c r="BA38" s="7" t="s">
        <v>235</v>
      </c>
      <c r="BB38" s="7"/>
      <c r="BC38" s="4" t="s">
        <v>235</v>
      </c>
      <c r="BD38" s="8" t="s">
        <v>235</v>
      </c>
      <c r="BE38" s="4" t="s">
        <v>235</v>
      </c>
      <c r="BF38" s="8" t="s">
        <v>235</v>
      </c>
      <c r="BG38" s="7" t="s">
        <v>235</v>
      </c>
      <c r="BH38" s="7" t="s">
        <v>235</v>
      </c>
      <c r="BI38" s="7"/>
      <c r="BJ38" s="4"/>
      <c r="BK38" s="8"/>
      <c r="BL38" s="2" t="s">
        <v>235</v>
      </c>
      <c r="BM38" s="7"/>
      <c r="BN38" s="7"/>
      <c r="BO38" s="4"/>
      <c r="BP38" s="8"/>
      <c r="BQ38" s="4"/>
      <c r="BR38" s="8"/>
      <c r="BS38" s="7"/>
      <c r="BT38" s="7"/>
      <c r="BU38" s="2" t="s">
        <v>268</v>
      </c>
      <c r="BV38" s="2" t="s">
        <v>235</v>
      </c>
      <c r="BW38" s="2" t="s">
        <v>235</v>
      </c>
      <c r="BX38" s="2" t="s">
        <v>244</v>
      </c>
      <c r="BY38" s="2" t="s">
        <v>245</v>
      </c>
      <c r="BZ38" s="2" t="s">
        <v>232</v>
      </c>
      <c r="CA38" s="2" t="s">
        <v>235</v>
      </c>
      <c r="CB38" s="2" t="s">
        <v>235</v>
      </c>
      <c r="CC38" s="2" t="s">
        <v>248</v>
      </c>
      <c r="CD38" s="2" t="s">
        <v>248</v>
      </c>
      <c r="CE38" s="2" t="s">
        <v>235</v>
      </c>
      <c r="CF38" s="4">
        <v>152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>
        <v>152</v>
      </c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>
        <v>152</v>
      </c>
      <c r="GE38" s="4">
        <v>149</v>
      </c>
      <c r="GF38" s="4">
        <v>143</v>
      </c>
      <c r="GG38" s="4">
        <v>137</v>
      </c>
      <c r="GH38" s="4">
        <v>283</v>
      </c>
      <c r="GI38" s="4">
        <v>277</v>
      </c>
      <c r="GJ38" s="4">
        <v>268</v>
      </c>
      <c r="GK38" s="4">
        <v>260</v>
      </c>
      <c r="GL38" s="4">
        <v>252</v>
      </c>
      <c r="GM38" s="4">
        <v>245</v>
      </c>
      <c r="GN38" s="4">
        <v>238</v>
      </c>
      <c r="GO38" s="4">
        <v>229</v>
      </c>
      <c r="GP38" s="4">
        <v>219</v>
      </c>
      <c r="GQ38" s="4">
        <v>202</v>
      </c>
      <c r="GR38" s="4">
        <v>192</v>
      </c>
      <c r="GS38" s="4">
        <v>183</v>
      </c>
      <c r="GT38" s="4">
        <v>177</v>
      </c>
      <c r="GU38" s="4">
        <v>172</v>
      </c>
      <c r="GV38" s="4">
        <v>165</v>
      </c>
      <c r="GW38" s="4">
        <v>159</v>
      </c>
      <c r="GX38" s="4">
        <v>153</v>
      </c>
      <c r="GY38" s="4">
        <v>147</v>
      </c>
      <c r="GZ38" s="4">
        <v>141</v>
      </c>
      <c r="HA38" s="4">
        <v>135</v>
      </c>
      <c r="HB38" s="4">
        <v>129</v>
      </c>
      <c r="HC38" s="4">
        <v>232</v>
      </c>
      <c r="HD38" s="19">
        <v>30.4</v>
      </c>
      <c r="HE38" s="19">
        <v>24.8</v>
      </c>
      <c r="HF38" s="19">
        <v>20.4</v>
      </c>
      <c r="HG38" s="19">
        <v>19.6</v>
      </c>
      <c r="HH38" s="19">
        <v>35.4</v>
      </c>
      <c r="HI38" s="19">
        <v>34.6</v>
      </c>
      <c r="HJ38" s="19">
        <v>33.5</v>
      </c>
      <c r="HK38" s="19">
        <v>32.5</v>
      </c>
      <c r="HL38" s="19">
        <v>31.5</v>
      </c>
      <c r="HM38" s="19">
        <v>22.3</v>
      </c>
      <c r="HN38" s="19">
        <v>19.8</v>
      </c>
      <c r="HO38" s="19">
        <v>19.1</v>
      </c>
      <c r="HP38" s="19">
        <v>21.9</v>
      </c>
      <c r="HQ38" s="19">
        <v>25.3</v>
      </c>
      <c r="HR38" s="19">
        <v>27.4</v>
      </c>
      <c r="HS38" s="19">
        <v>30.5</v>
      </c>
      <c r="HT38" s="19">
        <v>29.5</v>
      </c>
      <c r="HU38" s="19">
        <v>28.7</v>
      </c>
      <c r="HV38" s="19">
        <v>27.5</v>
      </c>
      <c r="HW38" s="19">
        <v>26.5</v>
      </c>
      <c r="HX38" s="19">
        <v>25.5</v>
      </c>
      <c r="HY38" s="19">
        <v>24.5</v>
      </c>
      <c r="HZ38" s="19">
        <v>23.5</v>
      </c>
      <c r="IA38" s="19">
        <v>22.5</v>
      </c>
      <c r="IB38" s="19">
        <v>21.5</v>
      </c>
      <c r="IC38" s="19">
        <v>38.7</v>
      </c>
    </row>
    <row r="39">
      <c r="A39" s="2" t="s">
        <v>317</v>
      </c>
      <c r="B39" s="2" t="s">
        <v>255</v>
      </c>
      <c r="C39" s="2" t="s">
        <v>256</v>
      </c>
      <c r="D39" s="2" t="s">
        <v>257</v>
      </c>
      <c r="E39" s="2" t="s">
        <v>258</v>
      </c>
      <c r="F39" s="2" t="s">
        <v>259</v>
      </c>
      <c r="G39" s="2" t="s">
        <v>259</v>
      </c>
      <c r="H39" s="2" t="s">
        <v>259</v>
      </c>
      <c r="I39" s="2" t="s">
        <v>260</v>
      </c>
      <c r="J39" s="2" t="s">
        <v>270</v>
      </c>
      <c r="K39" s="2" t="s">
        <v>316</v>
      </c>
      <c r="L39" s="3">
        <v>80</v>
      </c>
      <c r="M39" s="3">
        <v>84</v>
      </c>
      <c r="N39" s="3">
        <v>199.99</v>
      </c>
      <c r="O39" s="2" t="s">
        <v>232</v>
      </c>
      <c r="P39" s="2" t="s">
        <v>262</v>
      </c>
      <c r="Q39" s="2" t="s">
        <v>234</v>
      </c>
      <c r="R39" s="2" t="s">
        <v>235</v>
      </c>
      <c r="S39" s="2" t="s">
        <v>235</v>
      </c>
      <c r="T39" s="2" t="s">
        <v>263</v>
      </c>
      <c r="U39" s="2" t="s">
        <v>264</v>
      </c>
      <c r="V39" s="2" t="s">
        <v>238</v>
      </c>
      <c r="W39" s="2" t="s">
        <v>265</v>
      </c>
      <c r="X39" s="2" t="s">
        <v>235</v>
      </c>
      <c r="Y39" s="2" t="s">
        <v>266</v>
      </c>
      <c r="Z39" s="4">
        <v>204</v>
      </c>
      <c r="AA39" s="4">
        <f>=ROUNDDOWN(25.5,0)</f>
      </c>
      <c r="AB39" s="5">
        <v>8</v>
      </c>
      <c r="AC39" s="2" t="s">
        <v>267</v>
      </c>
      <c r="AD39" s="4">
        <v>201</v>
      </c>
      <c r="AE39" s="4">
        <v>201</v>
      </c>
      <c r="AF39" s="6">
        <v>78</v>
      </c>
      <c r="AG39" s="6"/>
      <c r="AH39" s="7"/>
      <c r="AI39" s="4"/>
      <c r="AJ39" s="4">
        <f>=ROUNDDOWN({0},0)</f>
      </c>
      <c r="AK39" s="5"/>
      <c r="AL39" s="2" t="s">
        <v>235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235</v>
      </c>
      <c r="AW39" s="8" t="s">
        <v>235</v>
      </c>
      <c r="AX39" s="4" t="s">
        <v>235</v>
      </c>
      <c r="AY39" s="8" t="s">
        <v>235</v>
      </c>
      <c r="AZ39" s="7" t="s">
        <v>235</v>
      </c>
      <c r="BA39" s="7" t="s">
        <v>235</v>
      </c>
      <c r="BB39" s="7"/>
      <c r="BC39" s="4" t="s">
        <v>235</v>
      </c>
      <c r="BD39" s="8" t="s">
        <v>235</v>
      </c>
      <c r="BE39" s="4" t="s">
        <v>235</v>
      </c>
      <c r="BF39" s="8" t="s">
        <v>235</v>
      </c>
      <c r="BG39" s="7" t="s">
        <v>235</v>
      </c>
      <c r="BH39" s="7" t="s">
        <v>235</v>
      </c>
      <c r="BI39" s="7"/>
      <c r="BJ39" s="4"/>
      <c r="BK39" s="8"/>
      <c r="BL39" s="2" t="s">
        <v>235</v>
      </c>
      <c r="BM39" s="7"/>
      <c r="BN39" s="7"/>
      <c r="BO39" s="4"/>
      <c r="BP39" s="8"/>
      <c r="BQ39" s="4"/>
      <c r="BR39" s="8"/>
      <c r="BS39" s="7"/>
      <c r="BT39" s="7"/>
      <c r="BU39" s="2" t="s">
        <v>268</v>
      </c>
      <c r="BV39" s="2" t="s">
        <v>235</v>
      </c>
      <c r="BW39" s="2" t="s">
        <v>235</v>
      </c>
      <c r="BX39" s="2" t="s">
        <v>244</v>
      </c>
      <c r="BY39" s="2" t="s">
        <v>245</v>
      </c>
      <c r="BZ39" s="2" t="s">
        <v>232</v>
      </c>
      <c r="CA39" s="2" t="s">
        <v>235</v>
      </c>
      <c r="CB39" s="2" t="s">
        <v>235</v>
      </c>
      <c r="CC39" s="2" t="s">
        <v>248</v>
      </c>
      <c r="CD39" s="2" t="s">
        <v>248</v>
      </c>
      <c r="CE39" s="2" t="s">
        <v>235</v>
      </c>
      <c r="CF39" s="4">
        <v>204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>
        <v>201</v>
      </c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>
        <v>204</v>
      </c>
      <c r="GE39" s="4">
        <v>201</v>
      </c>
      <c r="GF39" s="4">
        <v>193</v>
      </c>
      <c r="GG39" s="4">
        <v>185</v>
      </c>
      <c r="GH39" s="4">
        <v>378</v>
      </c>
      <c r="GI39" s="4">
        <v>370</v>
      </c>
      <c r="GJ39" s="4">
        <v>359</v>
      </c>
      <c r="GK39" s="4">
        <v>349</v>
      </c>
      <c r="GL39" s="4">
        <v>339</v>
      </c>
      <c r="GM39" s="4">
        <v>330</v>
      </c>
      <c r="GN39" s="4">
        <v>321</v>
      </c>
      <c r="GO39" s="4">
        <v>309</v>
      </c>
      <c r="GP39" s="4">
        <v>296</v>
      </c>
      <c r="GQ39" s="4">
        <v>273</v>
      </c>
      <c r="GR39" s="4">
        <v>260</v>
      </c>
      <c r="GS39" s="4">
        <v>248</v>
      </c>
      <c r="GT39" s="4">
        <v>241</v>
      </c>
      <c r="GU39" s="4">
        <v>235</v>
      </c>
      <c r="GV39" s="4">
        <v>226</v>
      </c>
      <c r="GW39" s="4">
        <v>218</v>
      </c>
      <c r="GX39" s="4">
        <v>210</v>
      </c>
      <c r="GY39" s="4">
        <v>202</v>
      </c>
      <c r="GZ39" s="4">
        <v>194</v>
      </c>
      <c r="HA39" s="4">
        <v>186</v>
      </c>
      <c r="HB39" s="4">
        <v>178</v>
      </c>
      <c r="HC39" s="4">
        <v>306</v>
      </c>
      <c r="HD39" s="19">
        <v>29.1</v>
      </c>
      <c r="HE39" s="19">
        <v>25.1</v>
      </c>
      <c r="HF39" s="19">
        <v>21.4</v>
      </c>
      <c r="HG39" s="19">
        <v>20.6</v>
      </c>
      <c r="HH39" s="19">
        <v>37.8</v>
      </c>
      <c r="HI39" s="19">
        <v>37</v>
      </c>
      <c r="HJ39" s="19">
        <v>35.9</v>
      </c>
      <c r="HK39" s="19">
        <v>34.9</v>
      </c>
      <c r="HL39" s="19">
        <v>30.8</v>
      </c>
      <c r="HM39" s="19">
        <v>23.6</v>
      </c>
      <c r="HN39" s="19">
        <v>21.4</v>
      </c>
      <c r="HO39" s="19">
        <v>20.6</v>
      </c>
      <c r="HP39" s="19">
        <v>21.1</v>
      </c>
      <c r="HQ39" s="19">
        <v>27.3</v>
      </c>
      <c r="HR39" s="19">
        <v>32.5</v>
      </c>
      <c r="HS39" s="19">
        <v>31</v>
      </c>
      <c r="HT39" s="19">
        <v>30.1</v>
      </c>
      <c r="HU39" s="19">
        <v>29.4</v>
      </c>
      <c r="HV39" s="19">
        <v>28.3</v>
      </c>
      <c r="HW39" s="19">
        <v>27.3</v>
      </c>
      <c r="HX39" s="19">
        <v>26.3</v>
      </c>
      <c r="HY39" s="19">
        <v>25.3</v>
      </c>
      <c r="HZ39" s="19">
        <v>24.3</v>
      </c>
      <c r="IA39" s="19">
        <v>23.3</v>
      </c>
      <c r="IB39" s="19">
        <v>22.3</v>
      </c>
      <c r="IC39" s="19">
        <v>38.3</v>
      </c>
    </row>
    <row r="40">
      <c r="A40" s="2" t="s">
        <v>318</v>
      </c>
      <c r="B40" s="2" t="s">
        <v>255</v>
      </c>
      <c r="C40" s="2" t="s">
        <v>256</v>
      </c>
      <c r="D40" s="2" t="s">
        <v>257</v>
      </c>
      <c r="E40" s="2" t="s">
        <v>258</v>
      </c>
      <c r="F40" s="2" t="s">
        <v>259</v>
      </c>
      <c r="G40" s="2" t="s">
        <v>259</v>
      </c>
      <c r="H40" s="2" t="s">
        <v>259</v>
      </c>
      <c r="I40" s="2" t="s">
        <v>260</v>
      </c>
      <c r="J40" s="2" t="s">
        <v>272</v>
      </c>
      <c r="K40" s="2" t="s">
        <v>316</v>
      </c>
      <c r="L40" s="3">
        <v>84</v>
      </c>
      <c r="M40" s="3">
        <v>88.2</v>
      </c>
      <c r="N40" s="3">
        <v>209.99</v>
      </c>
      <c r="O40" s="2" t="s">
        <v>232</v>
      </c>
      <c r="P40" s="2" t="s">
        <v>262</v>
      </c>
      <c r="Q40" s="2" t="s">
        <v>234</v>
      </c>
      <c r="R40" s="2" t="s">
        <v>235</v>
      </c>
      <c r="S40" s="2" t="s">
        <v>235</v>
      </c>
      <c r="T40" s="2" t="s">
        <v>263</v>
      </c>
      <c r="U40" s="2" t="s">
        <v>264</v>
      </c>
      <c r="V40" s="2" t="s">
        <v>238</v>
      </c>
      <c r="W40" s="2" t="s">
        <v>265</v>
      </c>
      <c r="X40" s="2" t="s">
        <v>235</v>
      </c>
      <c r="Y40" s="2" t="s">
        <v>266</v>
      </c>
      <c r="Z40" s="4">
        <v>75</v>
      </c>
      <c r="AA40" s="4">
        <f>=ROUNDDOWN(18.75,0)</f>
      </c>
      <c r="AB40" s="5">
        <v>4</v>
      </c>
      <c r="AC40" s="2" t="s">
        <v>267</v>
      </c>
      <c r="AD40" s="4">
        <v>75</v>
      </c>
      <c r="AE40" s="4">
        <v>75</v>
      </c>
      <c r="AF40" s="6">
        <v>78</v>
      </c>
      <c r="AG40" s="6"/>
      <c r="AH40" s="7"/>
      <c r="AI40" s="4"/>
      <c r="AJ40" s="4">
        <f>=ROUNDDOWN({0},0)</f>
      </c>
      <c r="AK40" s="5"/>
      <c r="AL40" s="2" t="s">
        <v>235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235</v>
      </c>
      <c r="AW40" s="8" t="s">
        <v>235</v>
      </c>
      <c r="AX40" s="4" t="s">
        <v>235</v>
      </c>
      <c r="AY40" s="8" t="s">
        <v>235</v>
      </c>
      <c r="AZ40" s="7" t="s">
        <v>235</v>
      </c>
      <c r="BA40" s="7" t="s">
        <v>235</v>
      </c>
      <c r="BB40" s="7"/>
      <c r="BC40" s="4" t="s">
        <v>235</v>
      </c>
      <c r="BD40" s="8" t="s">
        <v>235</v>
      </c>
      <c r="BE40" s="4" t="s">
        <v>235</v>
      </c>
      <c r="BF40" s="8" t="s">
        <v>235</v>
      </c>
      <c r="BG40" s="7" t="s">
        <v>235</v>
      </c>
      <c r="BH40" s="7" t="s">
        <v>235</v>
      </c>
      <c r="BI40" s="7"/>
      <c r="BJ40" s="4"/>
      <c r="BK40" s="8"/>
      <c r="BL40" s="2" t="s">
        <v>235</v>
      </c>
      <c r="BM40" s="7"/>
      <c r="BN40" s="7"/>
      <c r="BO40" s="4"/>
      <c r="BP40" s="8"/>
      <c r="BQ40" s="4"/>
      <c r="BR40" s="8"/>
      <c r="BS40" s="7"/>
      <c r="BT40" s="7"/>
      <c r="BU40" s="2" t="s">
        <v>268</v>
      </c>
      <c r="BV40" s="2" t="s">
        <v>235</v>
      </c>
      <c r="BW40" s="2" t="s">
        <v>235</v>
      </c>
      <c r="BX40" s="2" t="s">
        <v>244</v>
      </c>
      <c r="BY40" s="2" t="s">
        <v>245</v>
      </c>
      <c r="BZ40" s="2" t="s">
        <v>232</v>
      </c>
      <c r="CA40" s="2" t="s">
        <v>235</v>
      </c>
      <c r="CB40" s="2" t="s">
        <v>235</v>
      </c>
      <c r="CC40" s="2" t="s">
        <v>248</v>
      </c>
      <c r="CD40" s="2" t="s">
        <v>248</v>
      </c>
      <c r="CE40" s="2" t="s">
        <v>235</v>
      </c>
      <c r="CF40" s="4">
        <v>75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>
        <v>75</v>
      </c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>
        <v>75</v>
      </c>
      <c r="GE40" s="4">
        <v>72</v>
      </c>
      <c r="GF40" s="4">
        <v>68</v>
      </c>
      <c r="GG40" s="4">
        <v>64</v>
      </c>
      <c r="GH40" s="4">
        <v>135</v>
      </c>
      <c r="GI40" s="4">
        <v>131</v>
      </c>
      <c r="GJ40" s="4">
        <v>125</v>
      </c>
      <c r="GK40" s="4">
        <v>120</v>
      </c>
      <c r="GL40" s="4">
        <v>115</v>
      </c>
      <c r="GM40" s="4">
        <v>111</v>
      </c>
      <c r="GN40" s="4">
        <v>106</v>
      </c>
      <c r="GO40" s="4">
        <v>100</v>
      </c>
      <c r="GP40" s="4">
        <v>94</v>
      </c>
      <c r="GQ40" s="4">
        <v>83</v>
      </c>
      <c r="GR40" s="4">
        <v>77</v>
      </c>
      <c r="GS40" s="4">
        <v>71</v>
      </c>
      <c r="GT40" s="4">
        <v>67</v>
      </c>
      <c r="GU40" s="4">
        <v>64</v>
      </c>
      <c r="GV40" s="4">
        <v>60</v>
      </c>
      <c r="GW40" s="4">
        <v>56</v>
      </c>
      <c r="GX40" s="4">
        <v>52</v>
      </c>
      <c r="GY40" s="4">
        <v>48</v>
      </c>
      <c r="GZ40" s="4">
        <v>44</v>
      </c>
      <c r="HA40" s="4">
        <v>40</v>
      </c>
      <c r="HB40" s="4">
        <v>36</v>
      </c>
      <c r="HC40" s="4">
        <v>150</v>
      </c>
      <c r="HD40" s="19">
        <v>18.8</v>
      </c>
      <c r="HE40" s="19">
        <v>18</v>
      </c>
      <c r="HF40" s="19">
        <v>17</v>
      </c>
      <c r="HG40" s="19">
        <v>12.8</v>
      </c>
      <c r="HH40" s="19">
        <v>27</v>
      </c>
      <c r="HI40" s="19">
        <v>26.2</v>
      </c>
      <c r="HJ40" s="19">
        <v>25</v>
      </c>
      <c r="HK40" s="19">
        <v>24</v>
      </c>
      <c r="HL40" s="19">
        <v>23</v>
      </c>
      <c r="HM40" s="19">
        <v>15.9</v>
      </c>
      <c r="HN40" s="19">
        <v>15.1</v>
      </c>
      <c r="HO40" s="19">
        <v>14.3</v>
      </c>
      <c r="HP40" s="19">
        <v>13.4</v>
      </c>
      <c r="HQ40" s="19">
        <v>16.6</v>
      </c>
      <c r="HR40" s="19">
        <v>19.3</v>
      </c>
      <c r="HS40" s="19">
        <v>17.8</v>
      </c>
      <c r="HT40" s="19">
        <v>16.8</v>
      </c>
      <c r="HU40" s="19">
        <v>16</v>
      </c>
      <c r="HV40" s="19">
        <v>15</v>
      </c>
      <c r="HW40" s="19">
        <v>14</v>
      </c>
      <c r="HX40" s="19">
        <v>13</v>
      </c>
      <c r="HY40" s="19">
        <v>12</v>
      </c>
      <c r="HZ40" s="19">
        <v>11</v>
      </c>
      <c r="IA40" s="19">
        <v>10</v>
      </c>
      <c r="IB40" s="19">
        <v>9</v>
      </c>
      <c r="IC40" s="19">
        <v>37.5</v>
      </c>
    </row>
    <row r="41">
      <c r="A41" s="2" t="s">
        <v>319</v>
      </c>
      <c r="B41" s="2" t="s">
        <v>255</v>
      </c>
      <c r="C41" s="2" t="s">
        <v>256</v>
      </c>
      <c r="D41" s="2" t="s">
        <v>274</v>
      </c>
      <c r="E41" s="2" t="s">
        <v>275</v>
      </c>
      <c r="F41" s="2" t="s">
        <v>259</v>
      </c>
      <c r="G41" s="2" t="s">
        <v>259</v>
      </c>
      <c r="H41" s="2" t="s">
        <v>259</v>
      </c>
      <c r="I41" s="2" t="s">
        <v>276</v>
      </c>
      <c r="J41" s="2" t="s">
        <v>277</v>
      </c>
      <c r="K41" s="2" t="s">
        <v>316</v>
      </c>
      <c r="L41" s="3">
        <v>20</v>
      </c>
      <c r="M41" s="3">
        <v>21</v>
      </c>
      <c r="N41" s="3">
        <v>49.99</v>
      </c>
      <c r="O41" s="2" t="s">
        <v>232</v>
      </c>
      <c r="P41" s="2" t="s">
        <v>262</v>
      </c>
      <c r="Q41" s="2" t="s">
        <v>234</v>
      </c>
      <c r="R41" s="2" t="s">
        <v>235</v>
      </c>
      <c r="S41" s="2" t="s">
        <v>235</v>
      </c>
      <c r="T41" s="2" t="s">
        <v>263</v>
      </c>
      <c r="U41" s="2" t="s">
        <v>278</v>
      </c>
      <c r="V41" s="2" t="s">
        <v>238</v>
      </c>
      <c r="W41" s="2" t="s">
        <v>265</v>
      </c>
      <c r="X41" s="2" t="s">
        <v>235</v>
      </c>
      <c r="Y41" s="2" t="s">
        <v>266</v>
      </c>
      <c r="Z41" s="4">
        <v>30</v>
      </c>
      <c r="AA41" s="4">
        <f>=ROUNDDOWN(15,0)</f>
      </c>
      <c r="AB41" s="5">
        <v>2</v>
      </c>
      <c r="AC41" s="2" t="s">
        <v>267</v>
      </c>
      <c r="AD41" s="4">
        <v>30</v>
      </c>
      <c r="AE41" s="4">
        <v>30</v>
      </c>
      <c r="AF41" s="6">
        <v>78</v>
      </c>
      <c r="AG41" s="6"/>
      <c r="AH41" s="7"/>
      <c r="AI41" s="4"/>
      <c r="AJ41" s="4">
        <f>=ROUNDDOWN({0},0)</f>
      </c>
      <c r="AK41" s="5"/>
      <c r="AL41" s="2" t="s">
        <v>235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235</v>
      </c>
      <c r="AW41" s="8" t="s">
        <v>235</v>
      </c>
      <c r="AX41" s="4" t="s">
        <v>235</v>
      </c>
      <c r="AY41" s="8" t="s">
        <v>235</v>
      </c>
      <c r="AZ41" s="7" t="s">
        <v>235</v>
      </c>
      <c r="BA41" s="7" t="s">
        <v>235</v>
      </c>
      <c r="BB41" s="7"/>
      <c r="BC41" s="4" t="s">
        <v>235</v>
      </c>
      <c r="BD41" s="8" t="s">
        <v>235</v>
      </c>
      <c r="BE41" s="4" t="s">
        <v>235</v>
      </c>
      <c r="BF41" s="8" t="s">
        <v>235</v>
      </c>
      <c r="BG41" s="7" t="s">
        <v>235</v>
      </c>
      <c r="BH41" s="7" t="s">
        <v>235</v>
      </c>
      <c r="BI41" s="7"/>
      <c r="BJ41" s="4"/>
      <c r="BK41" s="8"/>
      <c r="BL41" s="2" t="s">
        <v>235</v>
      </c>
      <c r="BM41" s="7"/>
      <c r="BN41" s="7"/>
      <c r="BO41" s="4"/>
      <c r="BP41" s="8"/>
      <c r="BQ41" s="4"/>
      <c r="BR41" s="8"/>
      <c r="BS41" s="7"/>
      <c r="BT41" s="7"/>
      <c r="BU41" s="2" t="s">
        <v>279</v>
      </c>
      <c r="BV41" s="2" t="s">
        <v>235</v>
      </c>
      <c r="BW41" s="2" t="s">
        <v>235</v>
      </c>
      <c r="BX41" s="2" t="s">
        <v>244</v>
      </c>
      <c r="BY41" s="2" t="s">
        <v>245</v>
      </c>
      <c r="BZ41" s="2" t="s">
        <v>232</v>
      </c>
      <c r="CA41" s="2" t="s">
        <v>235</v>
      </c>
      <c r="CB41" s="2" t="s">
        <v>235</v>
      </c>
      <c r="CC41" s="2" t="s">
        <v>248</v>
      </c>
      <c r="CD41" s="2" t="s">
        <v>248</v>
      </c>
      <c r="CE41" s="2" t="s">
        <v>235</v>
      </c>
      <c r="CF41" s="4">
        <v>30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>
        <v>30</v>
      </c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>
        <v>30</v>
      </c>
      <c r="GE41" s="4">
        <v>27</v>
      </c>
      <c r="GF41" s="4">
        <v>25</v>
      </c>
      <c r="GG41" s="4">
        <v>23</v>
      </c>
      <c r="GH41" s="4">
        <v>51</v>
      </c>
      <c r="GI41" s="4">
        <v>49</v>
      </c>
      <c r="GJ41" s="4">
        <v>45</v>
      </c>
      <c r="GK41" s="4">
        <v>42</v>
      </c>
      <c r="GL41" s="4">
        <v>39</v>
      </c>
      <c r="GM41" s="4">
        <v>37</v>
      </c>
      <c r="GN41" s="4">
        <v>35</v>
      </c>
      <c r="GO41" s="4">
        <v>32</v>
      </c>
      <c r="GP41" s="4">
        <v>29</v>
      </c>
      <c r="GQ41" s="4">
        <v>25</v>
      </c>
      <c r="GR41" s="4">
        <v>22</v>
      </c>
      <c r="GS41" s="4">
        <v>19</v>
      </c>
      <c r="GT41" s="4">
        <v>17</v>
      </c>
      <c r="GU41" s="4">
        <v>15</v>
      </c>
      <c r="GV41" s="4">
        <v>13</v>
      </c>
      <c r="GW41" s="4">
        <v>11</v>
      </c>
      <c r="GX41" s="4">
        <v>9</v>
      </c>
      <c r="GY41" s="4">
        <v>7</v>
      </c>
      <c r="GZ41" s="4">
        <v>5</v>
      </c>
      <c r="HA41" s="4">
        <v>3</v>
      </c>
      <c r="HB41" s="4">
        <v>1</v>
      </c>
      <c r="HC41" s="4">
        <v>76</v>
      </c>
      <c r="HD41" s="19">
        <v>15</v>
      </c>
      <c r="HE41" s="19">
        <v>13.5</v>
      </c>
      <c r="HF41" s="19">
        <v>12.5</v>
      </c>
      <c r="HG41" s="19">
        <v>7.7</v>
      </c>
      <c r="HH41" s="19">
        <v>17</v>
      </c>
      <c r="HI41" s="19">
        <v>16.3</v>
      </c>
      <c r="HJ41" s="19">
        <v>22.5</v>
      </c>
      <c r="HK41" s="19">
        <v>21</v>
      </c>
      <c r="HL41" s="19">
        <v>19.5</v>
      </c>
      <c r="HM41" s="19">
        <v>12.3</v>
      </c>
      <c r="HN41" s="19">
        <v>11.7</v>
      </c>
      <c r="HO41" s="19">
        <v>10.7</v>
      </c>
      <c r="HP41" s="19">
        <v>9.7</v>
      </c>
      <c r="HQ41" s="19">
        <v>12.5</v>
      </c>
      <c r="HR41" s="19">
        <v>11</v>
      </c>
      <c r="HS41" s="19">
        <v>9.5</v>
      </c>
      <c r="HT41" s="19">
        <v>8.5</v>
      </c>
      <c r="HU41" s="19">
        <v>7.5</v>
      </c>
      <c r="HV41" s="19">
        <v>6.5</v>
      </c>
      <c r="HW41" s="19">
        <v>5.5</v>
      </c>
      <c r="HX41" s="19">
        <v>4.5</v>
      </c>
      <c r="HY41" s="19">
        <v>3.5</v>
      </c>
      <c r="HZ41" s="19">
        <v>2.5</v>
      </c>
      <c r="IA41" s="19">
        <v>1.5</v>
      </c>
      <c r="IB41" s="19">
        <v>0.5</v>
      </c>
      <c r="IC41" s="19">
        <v>38</v>
      </c>
    </row>
    <row r="42">
      <c r="A42" s="2" t="s">
        <v>320</v>
      </c>
      <c r="B42" s="2" t="s">
        <v>255</v>
      </c>
      <c r="C42" s="2" t="s">
        <v>256</v>
      </c>
      <c r="D42" s="2" t="s">
        <v>257</v>
      </c>
      <c r="E42" s="2" t="s">
        <v>258</v>
      </c>
      <c r="F42" s="2" t="s">
        <v>259</v>
      </c>
      <c r="G42" s="2" t="s">
        <v>259</v>
      </c>
      <c r="H42" s="2" t="s">
        <v>259</v>
      </c>
      <c r="I42" s="2" t="s">
        <v>260</v>
      </c>
      <c r="J42" s="2" t="s">
        <v>281</v>
      </c>
      <c r="K42" s="2" t="s">
        <v>316</v>
      </c>
      <c r="L42" s="3">
        <v>104</v>
      </c>
      <c r="M42" s="3">
        <v>109.2</v>
      </c>
      <c r="N42" s="3">
        <v>259.99</v>
      </c>
      <c r="O42" s="2" t="s">
        <v>232</v>
      </c>
      <c r="P42" s="2" t="s">
        <v>262</v>
      </c>
      <c r="Q42" s="2" t="s">
        <v>234</v>
      </c>
      <c r="R42" s="2" t="s">
        <v>235</v>
      </c>
      <c r="S42" s="2" t="s">
        <v>235</v>
      </c>
      <c r="T42" s="2" t="s">
        <v>263</v>
      </c>
      <c r="U42" s="2" t="s">
        <v>282</v>
      </c>
      <c r="V42" s="2" t="s">
        <v>238</v>
      </c>
      <c r="W42" s="2" t="s">
        <v>265</v>
      </c>
      <c r="X42" s="2" t="s">
        <v>235</v>
      </c>
      <c r="Y42" s="2" t="s">
        <v>266</v>
      </c>
      <c r="Z42" s="4">
        <v>75</v>
      </c>
      <c r="AA42" s="4">
        <f>=ROUNDDOWN(18.75,0)</f>
      </c>
      <c r="AB42" s="5">
        <v>4</v>
      </c>
      <c r="AC42" s="2" t="s">
        <v>267</v>
      </c>
      <c r="AD42" s="4">
        <v>54</v>
      </c>
      <c r="AE42" s="4">
        <v>54</v>
      </c>
      <c r="AF42" s="6">
        <v>78</v>
      </c>
      <c r="AG42" s="6"/>
      <c r="AH42" s="7"/>
      <c r="AI42" s="4"/>
      <c r="AJ42" s="4">
        <f>=ROUNDDOWN({0},0)</f>
      </c>
      <c r="AK42" s="5"/>
      <c r="AL42" s="2" t="s">
        <v>235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235</v>
      </c>
      <c r="AW42" s="8" t="s">
        <v>235</v>
      </c>
      <c r="AX42" s="4" t="s">
        <v>235</v>
      </c>
      <c r="AY42" s="8" t="s">
        <v>235</v>
      </c>
      <c r="AZ42" s="7" t="s">
        <v>235</v>
      </c>
      <c r="BA42" s="7" t="s">
        <v>235</v>
      </c>
      <c r="BB42" s="7"/>
      <c r="BC42" s="4" t="s">
        <v>235</v>
      </c>
      <c r="BD42" s="8" t="s">
        <v>235</v>
      </c>
      <c r="BE42" s="4" t="s">
        <v>235</v>
      </c>
      <c r="BF42" s="8" t="s">
        <v>235</v>
      </c>
      <c r="BG42" s="7" t="s">
        <v>235</v>
      </c>
      <c r="BH42" s="7" t="s">
        <v>235</v>
      </c>
      <c r="BI42" s="7"/>
      <c r="BJ42" s="4"/>
      <c r="BK42" s="8"/>
      <c r="BL42" s="2" t="s">
        <v>235</v>
      </c>
      <c r="BM42" s="7"/>
      <c r="BN42" s="7"/>
      <c r="BO42" s="4"/>
      <c r="BP42" s="8"/>
      <c r="BQ42" s="4"/>
      <c r="BR42" s="8"/>
      <c r="BS42" s="7"/>
      <c r="BT42" s="7"/>
      <c r="BU42" s="2" t="s">
        <v>268</v>
      </c>
      <c r="BV42" s="2" t="s">
        <v>235</v>
      </c>
      <c r="BW42" s="2" t="s">
        <v>235</v>
      </c>
      <c r="BX42" s="2" t="s">
        <v>244</v>
      </c>
      <c r="BY42" s="2" t="s">
        <v>245</v>
      </c>
      <c r="BZ42" s="2" t="s">
        <v>232</v>
      </c>
      <c r="CA42" s="2" t="s">
        <v>235</v>
      </c>
      <c r="CB42" s="2" t="s">
        <v>235</v>
      </c>
      <c r="CC42" s="2" t="s">
        <v>248</v>
      </c>
      <c r="CD42" s="2" t="s">
        <v>248</v>
      </c>
      <c r="CE42" s="2" t="s">
        <v>235</v>
      </c>
      <c r="CF42" s="4"/>
      <c r="CG42" s="4"/>
      <c r="CH42" s="4"/>
      <c r="CI42" s="4"/>
      <c r="CJ42" s="4"/>
      <c r="CK42" s="4"/>
      <c r="CL42" s="4"/>
      <c r="CM42" s="4">
        <v>75</v>
      </c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>
        <v>54</v>
      </c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>
        <v>75</v>
      </c>
      <c r="GE42" s="4">
        <v>72</v>
      </c>
      <c r="GF42" s="4">
        <v>68</v>
      </c>
      <c r="GG42" s="4">
        <v>64</v>
      </c>
      <c r="GH42" s="4">
        <v>114</v>
      </c>
      <c r="GI42" s="4">
        <v>110</v>
      </c>
      <c r="GJ42" s="4">
        <v>104</v>
      </c>
      <c r="GK42" s="4">
        <v>99</v>
      </c>
      <c r="GL42" s="4">
        <v>94</v>
      </c>
      <c r="GM42" s="4">
        <v>90</v>
      </c>
      <c r="GN42" s="4">
        <v>85</v>
      </c>
      <c r="GO42" s="4">
        <v>79</v>
      </c>
      <c r="GP42" s="4">
        <v>73</v>
      </c>
      <c r="GQ42" s="4">
        <v>62</v>
      </c>
      <c r="GR42" s="4">
        <v>56</v>
      </c>
      <c r="GS42" s="4">
        <v>50</v>
      </c>
      <c r="GT42" s="4">
        <v>46</v>
      </c>
      <c r="GU42" s="4">
        <v>43</v>
      </c>
      <c r="GV42" s="4">
        <v>39</v>
      </c>
      <c r="GW42" s="4">
        <v>35</v>
      </c>
      <c r="GX42" s="4">
        <v>31</v>
      </c>
      <c r="GY42" s="4">
        <v>27</v>
      </c>
      <c r="GZ42" s="4">
        <v>23</v>
      </c>
      <c r="HA42" s="4">
        <v>19</v>
      </c>
      <c r="HB42" s="4">
        <v>15</v>
      </c>
      <c r="HC42" s="4">
        <v>150</v>
      </c>
      <c r="HD42" s="19">
        <v>18.8</v>
      </c>
      <c r="HE42" s="19">
        <v>18</v>
      </c>
      <c r="HF42" s="19">
        <v>17</v>
      </c>
      <c r="HG42" s="19">
        <v>12.8</v>
      </c>
      <c r="HH42" s="19">
        <v>22.8</v>
      </c>
      <c r="HI42" s="19">
        <v>22</v>
      </c>
      <c r="HJ42" s="19">
        <v>20.8</v>
      </c>
      <c r="HK42" s="19">
        <v>19.8</v>
      </c>
      <c r="HL42" s="19">
        <v>18.8</v>
      </c>
      <c r="HM42" s="19">
        <v>12.9</v>
      </c>
      <c r="HN42" s="19">
        <v>12.1</v>
      </c>
      <c r="HO42" s="19">
        <v>11.3</v>
      </c>
      <c r="HP42" s="19">
        <v>10.4</v>
      </c>
      <c r="HQ42" s="19">
        <v>12.4</v>
      </c>
      <c r="HR42" s="19">
        <v>14</v>
      </c>
      <c r="HS42" s="19">
        <v>12.5</v>
      </c>
      <c r="HT42" s="19">
        <v>11.5</v>
      </c>
      <c r="HU42" s="19">
        <v>10.8</v>
      </c>
      <c r="HV42" s="19">
        <v>9.8</v>
      </c>
      <c r="HW42" s="19">
        <v>8.8</v>
      </c>
      <c r="HX42" s="19">
        <v>7.8</v>
      </c>
      <c r="HY42" s="19">
        <v>6.8</v>
      </c>
      <c r="HZ42" s="19">
        <v>5.8</v>
      </c>
      <c r="IA42" s="19">
        <v>4.8</v>
      </c>
      <c r="IB42" s="19">
        <v>3.8</v>
      </c>
      <c r="IC42" s="19">
        <v>37.5</v>
      </c>
    </row>
    <row r="43">
      <c r="A43" s="2" t="s">
        <v>321</v>
      </c>
      <c r="B43" s="2" t="s">
        <v>255</v>
      </c>
      <c r="C43" s="2" t="s">
        <v>256</v>
      </c>
      <c r="D43" s="2" t="s">
        <v>274</v>
      </c>
      <c r="E43" s="2" t="s">
        <v>275</v>
      </c>
      <c r="F43" s="2" t="s">
        <v>259</v>
      </c>
      <c r="G43" s="2" t="s">
        <v>259</v>
      </c>
      <c r="H43" s="2" t="s">
        <v>259</v>
      </c>
      <c r="I43" s="2" t="s">
        <v>276</v>
      </c>
      <c r="J43" s="2" t="s">
        <v>284</v>
      </c>
      <c r="K43" s="2" t="s">
        <v>316</v>
      </c>
      <c r="L43" s="3">
        <v>20</v>
      </c>
      <c r="M43" s="3">
        <v>21</v>
      </c>
      <c r="N43" s="3">
        <v>49.99</v>
      </c>
      <c r="O43" s="2" t="s">
        <v>232</v>
      </c>
      <c r="P43" s="2" t="s">
        <v>262</v>
      </c>
      <c r="Q43" s="2" t="s">
        <v>234</v>
      </c>
      <c r="R43" s="2" t="s">
        <v>235</v>
      </c>
      <c r="S43" s="2" t="s">
        <v>235</v>
      </c>
      <c r="T43" s="2" t="s">
        <v>263</v>
      </c>
      <c r="U43" s="2" t="s">
        <v>278</v>
      </c>
      <c r="V43" s="2" t="s">
        <v>238</v>
      </c>
      <c r="W43" s="2" t="s">
        <v>265</v>
      </c>
      <c r="X43" s="2" t="s">
        <v>235</v>
      </c>
      <c r="Y43" s="2" t="s">
        <v>266</v>
      </c>
      <c r="Z43" s="4">
        <v>20</v>
      </c>
      <c r="AA43" s="4">
        <f>=ROUNDDOWN({0},0)</f>
      </c>
      <c r="AB43" s="5"/>
      <c r="AC43" s="2" t="s">
        <v>267</v>
      </c>
      <c r="AD43" s="4">
        <v>20</v>
      </c>
      <c r="AE43" s="4">
        <v>20</v>
      </c>
      <c r="AF43" s="6">
        <v>78</v>
      </c>
      <c r="AG43" s="6"/>
      <c r="AH43" s="7"/>
      <c r="AI43" s="4"/>
      <c r="AJ43" s="4">
        <f>=ROUNDDOWN({0},0)</f>
      </c>
      <c r="AK43" s="5"/>
      <c r="AL43" s="2" t="s">
        <v>235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235</v>
      </c>
      <c r="AW43" s="8" t="s">
        <v>235</v>
      </c>
      <c r="AX43" s="4" t="s">
        <v>235</v>
      </c>
      <c r="AY43" s="8" t="s">
        <v>235</v>
      </c>
      <c r="AZ43" s="7" t="s">
        <v>235</v>
      </c>
      <c r="BA43" s="7" t="s">
        <v>235</v>
      </c>
      <c r="BB43" s="7"/>
      <c r="BC43" s="4" t="s">
        <v>235</v>
      </c>
      <c r="BD43" s="8" t="s">
        <v>235</v>
      </c>
      <c r="BE43" s="4" t="s">
        <v>235</v>
      </c>
      <c r="BF43" s="8" t="s">
        <v>235</v>
      </c>
      <c r="BG43" s="7" t="s">
        <v>235</v>
      </c>
      <c r="BH43" s="7" t="s">
        <v>235</v>
      </c>
      <c r="BI43" s="7"/>
      <c r="BJ43" s="4"/>
      <c r="BK43" s="8"/>
      <c r="BL43" s="2" t="s">
        <v>235</v>
      </c>
      <c r="BM43" s="7"/>
      <c r="BN43" s="7"/>
      <c r="BO43" s="4"/>
      <c r="BP43" s="8"/>
      <c r="BQ43" s="4"/>
      <c r="BR43" s="8"/>
      <c r="BS43" s="7"/>
      <c r="BT43" s="7"/>
      <c r="BU43" s="2" t="s">
        <v>285</v>
      </c>
      <c r="BV43" s="2" t="s">
        <v>235</v>
      </c>
      <c r="BW43" s="2" t="s">
        <v>235</v>
      </c>
      <c r="BX43" s="2" t="s">
        <v>244</v>
      </c>
      <c r="BY43" s="2" t="s">
        <v>245</v>
      </c>
      <c r="BZ43" s="2" t="s">
        <v>232</v>
      </c>
      <c r="CA43" s="2" t="s">
        <v>235</v>
      </c>
      <c r="CB43" s="2" t="s">
        <v>235</v>
      </c>
      <c r="CC43" s="2" t="s">
        <v>248</v>
      </c>
      <c r="CD43" s="2" t="s">
        <v>248</v>
      </c>
      <c r="CE43" s="2" t="s">
        <v>235</v>
      </c>
      <c r="CF43" s="4">
        <v>20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>
        <v>20</v>
      </c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>
        <v>20</v>
      </c>
      <c r="GE43" s="4">
        <v>17</v>
      </c>
      <c r="GF43" s="4">
        <v>15</v>
      </c>
      <c r="GG43" s="4">
        <v>13</v>
      </c>
      <c r="GH43" s="4">
        <v>31</v>
      </c>
      <c r="GI43" s="4">
        <v>29</v>
      </c>
      <c r="GJ43" s="4">
        <v>25</v>
      </c>
      <c r="GK43" s="4">
        <v>22</v>
      </c>
      <c r="GL43" s="4">
        <v>19</v>
      </c>
      <c r="GM43" s="4">
        <v>17</v>
      </c>
      <c r="GN43" s="4">
        <v>15</v>
      </c>
      <c r="GO43" s="4">
        <v>12</v>
      </c>
      <c r="GP43" s="4">
        <v>9</v>
      </c>
      <c r="GQ43" s="4">
        <v>5</v>
      </c>
      <c r="GR43" s="4">
        <v>2</v>
      </c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>
        <v>82</v>
      </c>
      <c r="HD43" s="19">
        <v>10</v>
      </c>
      <c r="HE43" s="19">
        <v>8.5</v>
      </c>
      <c r="HF43" s="19">
        <v>7.5</v>
      </c>
      <c r="HG43" s="19">
        <v>4.3</v>
      </c>
      <c r="HH43" s="19">
        <v>10.3</v>
      </c>
      <c r="HI43" s="19">
        <v>9.7</v>
      </c>
      <c r="HJ43" s="19">
        <v>12.5</v>
      </c>
      <c r="HK43" s="19">
        <v>11</v>
      </c>
      <c r="HL43" s="19">
        <v>9.5</v>
      </c>
      <c r="HM43" s="19">
        <v>5.7</v>
      </c>
      <c r="HN43" s="19">
        <v>5</v>
      </c>
      <c r="HO43" s="19">
        <v>4</v>
      </c>
      <c r="HP43" s="19">
        <v>4.5</v>
      </c>
      <c r="HQ43" s="19">
        <v>2.5</v>
      </c>
      <c r="HR43" s="19">
        <v>2</v>
      </c>
      <c r="HS43" s="20">
        <v>0</v>
      </c>
      <c r="HT43" s="20">
        <v>0</v>
      </c>
      <c r="HU43" s="20">
        <v>0</v>
      </c>
      <c r="HV43" s="20">
        <v>0</v>
      </c>
      <c r="HW43" s="20">
        <v>0</v>
      </c>
      <c r="HX43" s="20">
        <v>0</v>
      </c>
      <c r="HY43" s="20">
        <v>0</v>
      </c>
      <c r="HZ43" s="20">
        <v>0</v>
      </c>
      <c r="IA43" s="20">
        <v>0</v>
      </c>
      <c r="IB43" s="20">
        <v>0</v>
      </c>
      <c r="IC43" s="19">
        <v>20.5</v>
      </c>
    </row>
    <row r="44">
      <c r="A44" s="2" t="s">
        <v>322</v>
      </c>
      <c r="B44" s="2" t="s">
        <v>323</v>
      </c>
      <c r="C44" s="2" t="s">
        <v>324</v>
      </c>
      <c r="D44" s="2" t="s">
        <v>257</v>
      </c>
      <c r="E44" s="2" t="s">
        <v>258</v>
      </c>
      <c r="F44" s="2" t="s">
        <v>325</v>
      </c>
      <c r="G44" s="2" t="s">
        <v>325</v>
      </c>
      <c r="H44" s="2" t="s">
        <v>325</v>
      </c>
      <c r="I44" s="2" t="s">
        <v>326</v>
      </c>
      <c r="J44" s="2" t="s">
        <v>250</v>
      </c>
      <c r="K44" s="2" t="s">
        <v>231</v>
      </c>
      <c r="L44" s="3">
        <v>29.9</v>
      </c>
      <c r="M44" s="3">
        <v>31.4</v>
      </c>
      <c r="N44" s="3">
        <v>64.99</v>
      </c>
      <c r="O44" s="2" t="s">
        <v>327</v>
      </c>
      <c r="P44" s="2" t="s">
        <v>233</v>
      </c>
      <c r="Q44" s="2" t="s">
        <v>234</v>
      </c>
      <c r="R44" s="2" t="s">
        <v>235</v>
      </c>
      <c r="S44" s="2" t="s">
        <v>235</v>
      </c>
      <c r="T44" s="2" t="s">
        <v>328</v>
      </c>
      <c r="U44" s="2" t="s">
        <v>264</v>
      </c>
      <c r="V44" s="2" t="s">
        <v>238</v>
      </c>
      <c r="W44" s="2" t="s">
        <v>329</v>
      </c>
      <c r="X44" s="2" t="s">
        <v>235</v>
      </c>
      <c r="Y44" s="2" t="s">
        <v>235</v>
      </c>
      <c r="Z44" s="4"/>
      <c r="AA44" s="4">
        <f>=ROUNDDOWN({0},0)</f>
      </c>
      <c r="AB44" s="5">
        <v>8</v>
      </c>
      <c r="AC44" s="2" t="s">
        <v>166</v>
      </c>
      <c r="AD44" s="4">
        <v>270</v>
      </c>
      <c r="AE44" s="4">
        <v>270</v>
      </c>
      <c r="AF44" s="6">
        <v>73</v>
      </c>
      <c r="AG44" s="6"/>
      <c r="AH44" s="7"/>
      <c r="AI44" s="4"/>
      <c r="AJ44" s="4">
        <f>=ROUNDDOWN({0},0)</f>
      </c>
      <c r="AK44" s="5"/>
      <c r="AL44" s="2" t="s">
        <v>235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235</v>
      </c>
      <c r="AW44" s="8" t="s">
        <v>235</v>
      </c>
      <c r="AX44" s="4" t="s">
        <v>235</v>
      </c>
      <c r="AY44" s="8" t="s">
        <v>235</v>
      </c>
      <c r="AZ44" s="7" t="s">
        <v>235</v>
      </c>
      <c r="BA44" s="7" t="s">
        <v>235</v>
      </c>
      <c r="BB44" s="7"/>
      <c r="BC44" s="4" t="s">
        <v>235</v>
      </c>
      <c r="BD44" s="8" t="s">
        <v>235</v>
      </c>
      <c r="BE44" s="4" t="s">
        <v>235</v>
      </c>
      <c r="BF44" s="8" t="s">
        <v>235</v>
      </c>
      <c r="BG44" s="7" t="s">
        <v>235</v>
      </c>
      <c r="BH44" s="7" t="s">
        <v>235</v>
      </c>
      <c r="BI44" s="7"/>
      <c r="BJ44" s="4"/>
      <c r="BK44" s="8"/>
      <c r="BL44" s="2" t="s">
        <v>235</v>
      </c>
      <c r="BM44" s="7"/>
      <c r="BN44" s="7"/>
      <c r="BO44" s="4"/>
      <c r="BP44" s="8"/>
      <c r="BQ44" s="4"/>
      <c r="BR44" s="8"/>
      <c r="BS44" s="7"/>
      <c r="BT44" s="7"/>
      <c r="BU44" s="2" t="s">
        <v>330</v>
      </c>
      <c r="BV44" s="2" t="s">
        <v>235</v>
      </c>
      <c r="BW44" s="2" t="s">
        <v>235</v>
      </c>
      <c r="BX44" s="2" t="s">
        <v>330</v>
      </c>
      <c r="BY44" s="2" t="s">
        <v>331</v>
      </c>
      <c r="BZ44" s="2" t="s">
        <v>232</v>
      </c>
      <c r="CA44" s="2" t="s">
        <v>235</v>
      </c>
      <c r="CB44" s="2" t="s">
        <v>235</v>
      </c>
      <c r="CC44" s="2" t="s">
        <v>248</v>
      </c>
      <c r="CD44" s="2" t="s">
        <v>248</v>
      </c>
      <c r="CE44" s="2" t="s">
        <v>235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>
        <v>270</v>
      </c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>
        <v>270</v>
      </c>
      <c r="GL44" s="4">
        <v>270</v>
      </c>
      <c r="GM44" s="4">
        <v>270</v>
      </c>
      <c r="GN44" s="4">
        <v>270</v>
      </c>
      <c r="GO44" s="4">
        <v>270</v>
      </c>
      <c r="GP44" s="4">
        <v>270</v>
      </c>
      <c r="GQ44" s="4">
        <v>270</v>
      </c>
      <c r="GR44" s="4">
        <v>270</v>
      </c>
      <c r="GS44" s="4">
        <v>270</v>
      </c>
      <c r="GT44" s="4">
        <v>270</v>
      </c>
      <c r="GU44" s="4">
        <v>270</v>
      </c>
      <c r="GV44" s="4">
        <v>263</v>
      </c>
      <c r="GW44" s="4">
        <v>256</v>
      </c>
      <c r="GX44" s="4">
        <v>249</v>
      </c>
      <c r="GY44" s="4">
        <v>242</v>
      </c>
      <c r="GZ44" s="4">
        <v>235</v>
      </c>
      <c r="HA44" s="4">
        <v>228</v>
      </c>
      <c r="HB44" s="4">
        <v>221</v>
      </c>
      <c r="HC44" s="4">
        <v>213</v>
      </c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19">
        <v>135</v>
      </c>
      <c r="HS44" s="19">
        <v>67.5</v>
      </c>
      <c r="HT44" s="19">
        <v>54</v>
      </c>
      <c r="HU44" s="19">
        <v>38.6</v>
      </c>
      <c r="HV44" s="19">
        <v>37.6</v>
      </c>
      <c r="HW44" s="19">
        <v>36.6</v>
      </c>
      <c r="HX44" s="19">
        <v>35.6</v>
      </c>
      <c r="HY44" s="19">
        <v>34.6</v>
      </c>
      <c r="HZ44" s="19">
        <v>33.6</v>
      </c>
      <c r="IA44" s="19">
        <v>32.6</v>
      </c>
      <c r="IB44" s="19">
        <v>31.6</v>
      </c>
      <c r="IC44" s="19">
        <v>30.4</v>
      </c>
    </row>
    <row r="45">
      <c r="A45" s="2" t="s">
        <v>332</v>
      </c>
      <c r="B45" s="2" t="s">
        <v>323</v>
      </c>
      <c r="C45" s="2" t="s">
        <v>324</v>
      </c>
      <c r="D45" s="2" t="s">
        <v>257</v>
      </c>
      <c r="E45" s="2" t="s">
        <v>258</v>
      </c>
      <c r="F45" s="2" t="s">
        <v>325</v>
      </c>
      <c r="G45" s="2" t="s">
        <v>325</v>
      </c>
      <c r="H45" s="2" t="s">
        <v>325</v>
      </c>
      <c r="I45" s="2" t="s">
        <v>326</v>
      </c>
      <c r="J45" s="2" t="s">
        <v>261</v>
      </c>
      <c r="K45" s="2" t="s">
        <v>231</v>
      </c>
      <c r="L45" s="3">
        <v>32.2</v>
      </c>
      <c r="M45" s="3">
        <v>33.81</v>
      </c>
      <c r="N45" s="3">
        <v>69.99</v>
      </c>
      <c r="O45" s="2" t="s">
        <v>327</v>
      </c>
      <c r="P45" s="2" t="s">
        <v>333</v>
      </c>
      <c r="Q45" s="2" t="s">
        <v>234</v>
      </c>
      <c r="R45" s="2" t="s">
        <v>235</v>
      </c>
      <c r="S45" s="2" t="s">
        <v>235</v>
      </c>
      <c r="T45" s="2" t="s">
        <v>328</v>
      </c>
      <c r="U45" s="2" t="s">
        <v>264</v>
      </c>
      <c r="V45" s="2" t="s">
        <v>238</v>
      </c>
      <c r="W45" s="2" t="s">
        <v>329</v>
      </c>
      <c r="X45" s="2" t="s">
        <v>235</v>
      </c>
      <c r="Y45" s="2" t="s">
        <v>235</v>
      </c>
      <c r="Z45" s="4"/>
      <c r="AA45" s="4">
        <f>=ROUNDDOWN({0},0)</f>
      </c>
      <c r="AB45" s="5">
        <v>41</v>
      </c>
      <c r="AC45" s="2" t="s">
        <v>166</v>
      </c>
      <c r="AD45" s="4">
        <v>1800</v>
      </c>
      <c r="AE45" s="4">
        <v>1800</v>
      </c>
      <c r="AF45" s="6">
        <v>73</v>
      </c>
      <c r="AG45" s="6"/>
      <c r="AH45" s="7"/>
      <c r="AI45" s="4"/>
      <c r="AJ45" s="4">
        <f>=ROUNDDOWN({0},0)</f>
      </c>
      <c r="AK45" s="5"/>
      <c r="AL45" s="2" t="s">
        <v>235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235</v>
      </c>
      <c r="AW45" s="8" t="s">
        <v>235</v>
      </c>
      <c r="AX45" s="4" t="s">
        <v>235</v>
      </c>
      <c r="AY45" s="8" t="s">
        <v>235</v>
      </c>
      <c r="AZ45" s="7" t="s">
        <v>235</v>
      </c>
      <c r="BA45" s="7" t="s">
        <v>235</v>
      </c>
      <c r="BB45" s="7"/>
      <c r="BC45" s="4" t="s">
        <v>235</v>
      </c>
      <c r="BD45" s="8" t="s">
        <v>235</v>
      </c>
      <c r="BE45" s="4" t="s">
        <v>235</v>
      </c>
      <c r="BF45" s="8" t="s">
        <v>235</v>
      </c>
      <c r="BG45" s="7" t="s">
        <v>235</v>
      </c>
      <c r="BH45" s="7" t="s">
        <v>235</v>
      </c>
      <c r="BI45" s="7"/>
      <c r="BJ45" s="4"/>
      <c r="BK45" s="8"/>
      <c r="BL45" s="2" t="s">
        <v>235</v>
      </c>
      <c r="BM45" s="7"/>
      <c r="BN45" s="7"/>
      <c r="BO45" s="4"/>
      <c r="BP45" s="8"/>
      <c r="BQ45" s="4"/>
      <c r="BR45" s="8"/>
      <c r="BS45" s="7"/>
      <c r="BT45" s="7"/>
      <c r="BU45" s="2" t="s">
        <v>330</v>
      </c>
      <c r="BV45" s="2" t="s">
        <v>235</v>
      </c>
      <c r="BW45" s="2" t="s">
        <v>235</v>
      </c>
      <c r="BX45" s="2" t="s">
        <v>330</v>
      </c>
      <c r="BY45" s="2" t="s">
        <v>331</v>
      </c>
      <c r="BZ45" s="2" t="s">
        <v>232</v>
      </c>
      <c r="CA45" s="2" t="s">
        <v>235</v>
      </c>
      <c r="CB45" s="2" t="s">
        <v>235</v>
      </c>
      <c r="CC45" s="2" t="s">
        <v>248</v>
      </c>
      <c r="CD45" s="2" t="s">
        <v>248</v>
      </c>
      <c r="CE45" s="2" t="s">
        <v>235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>
        <v>1800</v>
      </c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>
        <v>1800</v>
      </c>
      <c r="GL45" s="4">
        <v>1800</v>
      </c>
      <c r="GM45" s="4">
        <v>1800</v>
      </c>
      <c r="GN45" s="4">
        <v>1800</v>
      </c>
      <c r="GO45" s="4">
        <v>1800</v>
      </c>
      <c r="GP45" s="4">
        <v>1800</v>
      </c>
      <c r="GQ45" s="4">
        <v>1619</v>
      </c>
      <c r="GR45" s="4">
        <v>1460</v>
      </c>
      <c r="GS45" s="4">
        <v>1312</v>
      </c>
      <c r="GT45" s="4">
        <v>1242</v>
      </c>
      <c r="GU45" s="4">
        <v>1157</v>
      </c>
      <c r="GV45" s="4">
        <v>1120</v>
      </c>
      <c r="GW45" s="4">
        <v>1083</v>
      </c>
      <c r="GX45" s="4">
        <v>1046</v>
      </c>
      <c r="GY45" s="4">
        <v>1009</v>
      </c>
      <c r="GZ45" s="4">
        <v>972</v>
      </c>
      <c r="HA45" s="4">
        <v>935</v>
      </c>
      <c r="HB45" s="4">
        <v>898</v>
      </c>
      <c r="HC45" s="4">
        <v>854</v>
      </c>
      <c r="HD45" s="9"/>
      <c r="HE45" s="9"/>
      <c r="HF45" s="9"/>
      <c r="HG45" s="9"/>
      <c r="HH45" s="9"/>
      <c r="HI45" s="9"/>
      <c r="HJ45" s="9"/>
      <c r="HK45" s="9"/>
      <c r="HL45" s="9"/>
      <c r="HM45" s="19">
        <v>40</v>
      </c>
      <c r="HN45" s="19">
        <v>21.2</v>
      </c>
      <c r="HO45" s="19">
        <v>14.8</v>
      </c>
      <c r="HP45" s="19">
        <v>12.9</v>
      </c>
      <c r="HQ45" s="19">
        <v>14</v>
      </c>
      <c r="HR45" s="19">
        <v>17.2</v>
      </c>
      <c r="HS45" s="19">
        <v>23</v>
      </c>
      <c r="HT45" s="19">
        <v>25.3</v>
      </c>
      <c r="HU45" s="19">
        <v>31.3</v>
      </c>
      <c r="HV45" s="19">
        <v>30.3</v>
      </c>
      <c r="HW45" s="19">
        <v>29.3</v>
      </c>
      <c r="HX45" s="19">
        <v>28.3</v>
      </c>
      <c r="HY45" s="19">
        <v>25.9</v>
      </c>
      <c r="HZ45" s="19">
        <v>24.9</v>
      </c>
      <c r="IA45" s="19">
        <v>24</v>
      </c>
      <c r="IB45" s="19">
        <v>23</v>
      </c>
      <c r="IC45" s="19">
        <v>23.1</v>
      </c>
    </row>
    <row r="46">
      <c r="A46" s="2" t="s">
        <v>334</v>
      </c>
      <c r="B46" s="2" t="s">
        <v>323</v>
      </c>
      <c r="C46" s="2" t="s">
        <v>324</v>
      </c>
      <c r="D46" s="2" t="s">
        <v>257</v>
      </c>
      <c r="E46" s="2" t="s">
        <v>258</v>
      </c>
      <c r="F46" s="2" t="s">
        <v>325</v>
      </c>
      <c r="G46" s="2" t="s">
        <v>325</v>
      </c>
      <c r="H46" s="2" t="s">
        <v>325</v>
      </c>
      <c r="I46" s="2" t="s">
        <v>326</v>
      </c>
      <c r="J46" s="2" t="s">
        <v>270</v>
      </c>
      <c r="K46" s="2" t="s">
        <v>231</v>
      </c>
      <c r="L46" s="3">
        <v>34.5</v>
      </c>
      <c r="M46" s="3">
        <v>36.23</v>
      </c>
      <c r="N46" s="3">
        <v>74.99</v>
      </c>
      <c r="O46" s="2" t="s">
        <v>327</v>
      </c>
      <c r="P46" s="2" t="s">
        <v>333</v>
      </c>
      <c r="Q46" s="2" t="s">
        <v>234</v>
      </c>
      <c r="R46" s="2" t="s">
        <v>235</v>
      </c>
      <c r="S46" s="2" t="s">
        <v>235</v>
      </c>
      <c r="T46" s="2" t="s">
        <v>328</v>
      </c>
      <c r="U46" s="2" t="s">
        <v>264</v>
      </c>
      <c r="V46" s="2" t="s">
        <v>238</v>
      </c>
      <c r="W46" s="2" t="s">
        <v>329</v>
      </c>
      <c r="X46" s="2" t="s">
        <v>235</v>
      </c>
      <c r="Y46" s="2" t="s">
        <v>235</v>
      </c>
      <c r="Z46" s="4"/>
      <c r="AA46" s="4">
        <f>=ROUNDDOWN({0},0)</f>
      </c>
      <c r="AB46" s="5">
        <v>32</v>
      </c>
      <c r="AC46" s="2" t="s">
        <v>166</v>
      </c>
      <c r="AD46" s="4">
        <v>1200</v>
      </c>
      <c r="AE46" s="4">
        <v>1200</v>
      </c>
      <c r="AF46" s="6">
        <v>73</v>
      </c>
      <c r="AG46" s="6"/>
      <c r="AH46" s="7"/>
      <c r="AI46" s="4"/>
      <c r="AJ46" s="4">
        <f>=ROUNDDOWN({0},0)</f>
      </c>
      <c r="AK46" s="5"/>
      <c r="AL46" s="2" t="s">
        <v>235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235</v>
      </c>
      <c r="AW46" s="8" t="s">
        <v>235</v>
      </c>
      <c r="AX46" s="4" t="s">
        <v>235</v>
      </c>
      <c r="AY46" s="8" t="s">
        <v>235</v>
      </c>
      <c r="AZ46" s="7" t="s">
        <v>235</v>
      </c>
      <c r="BA46" s="7" t="s">
        <v>235</v>
      </c>
      <c r="BB46" s="7"/>
      <c r="BC46" s="4" t="s">
        <v>235</v>
      </c>
      <c r="BD46" s="8" t="s">
        <v>235</v>
      </c>
      <c r="BE46" s="4" t="s">
        <v>235</v>
      </c>
      <c r="BF46" s="8" t="s">
        <v>235</v>
      </c>
      <c r="BG46" s="7" t="s">
        <v>235</v>
      </c>
      <c r="BH46" s="7" t="s">
        <v>235</v>
      </c>
      <c r="BI46" s="7"/>
      <c r="BJ46" s="4"/>
      <c r="BK46" s="8"/>
      <c r="BL46" s="2" t="s">
        <v>235</v>
      </c>
      <c r="BM46" s="7"/>
      <c r="BN46" s="7"/>
      <c r="BO46" s="4"/>
      <c r="BP46" s="8"/>
      <c r="BQ46" s="4"/>
      <c r="BR46" s="8"/>
      <c r="BS46" s="7"/>
      <c r="BT46" s="7"/>
      <c r="BU46" s="2" t="s">
        <v>330</v>
      </c>
      <c r="BV46" s="2" t="s">
        <v>235</v>
      </c>
      <c r="BW46" s="2" t="s">
        <v>235</v>
      </c>
      <c r="BX46" s="2" t="s">
        <v>330</v>
      </c>
      <c r="BY46" s="2" t="s">
        <v>331</v>
      </c>
      <c r="BZ46" s="2" t="s">
        <v>232</v>
      </c>
      <c r="CA46" s="2" t="s">
        <v>235</v>
      </c>
      <c r="CB46" s="2" t="s">
        <v>235</v>
      </c>
      <c r="CC46" s="2" t="s">
        <v>248</v>
      </c>
      <c r="CD46" s="2" t="s">
        <v>248</v>
      </c>
      <c r="CE46" s="2" t="s">
        <v>235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>
        <v>1200</v>
      </c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>
        <v>1200</v>
      </c>
      <c r="GL46" s="4">
        <v>1200</v>
      </c>
      <c r="GM46" s="4">
        <v>1200</v>
      </c>
      <c r="GN46" s="4">
        <v>1200</v>
      </c>
      <c r="GO46" s="4">
        <v>1200</v>
      </c>
      <c r="GP46" s="4">
        <v>1200</v>
      </c>
      <c r="GQ46" s="4">
        <v>1200</v>
      </c>
      <c r="GR46" s="4">
        <v>1200</v>
      </c>
      <c r="GS46" s="4">
        <v>1099</v>
      </c>
      <c r="GT46" s="4">
        <v>1029</v>
      </c>
      <c r="GU46" s="4">
        <v>970</v>
      </c>
      <c r="GV46" s="4">
        <v>942</v>
      </c>
      <c r="GW46" s="4">
        <v>914</v>
      </c>
      <c r="GX46" s="4">
        <v>886</v>
      </c>
      <c r="GY46" s="4">
        <v>858</v>
      </c>
      <c r="GZ46" s="4">
        <v>830</v>
      </c>
      <c r="HA46" s="4">
        <v>802</v>
      </c>
      <c r="HB46" s="4">
        <v>774</v>
      </c>
      <c r="HC46" s="4">
        <v>740</v>
      </c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19">
        <v>48</v>
      </c>
      <c r="HP46" s="19">
        <v>27.9</v>
      </c>
      <c r="HQ46" s="19">
        <v>20.7</v>
      </c>
      <c r="HR46" s="19">
        <v>18.8</v>
      </c>
      <c r="HS46" s="19">
        <v>23.9</v>
      </c>
      <c r="HT46" s="19">
        <v>28.6</v>
      </c>
      <c r="HU46" s="19">
        <v>34.6</v>
      </c>
      <c r="HV46" s="19">
        <v>33.6</v>
      </c>
      <c r="HW46" s="19">
        <v>32.6</v>
      </c>
      <c r="HX46" s="19">
        <v>31.6</v>
      </c>
      <c r="HY46" s="19">
        <v>28.6</v>
      </c>
      <c r="HZ46" s="19">
        <v>27.7</v>
      </c>
      <c r="IA46" s="19">
        <v>26.7</v>
      </c>
      <c r="IB46" s="19">
        <v>25.8</v>
      </c>
      <c r="IC46" s="19">
        <v>26.4</v>
      </c>
    </row>
    <row r="47">
      <c r="A47" s="2" t="s">
        <v>335</v>
      </c>
      <c r="B47" s="2" t="s">
        <v>323</v>
      </c>
      <c r="C47" s="2" t="s">
        <v>324</v>
      </c>
      <c r="D47" s="2" t="s">
        <v>257</v>
      </c>
      <c r="E47" s="2" t="s">
        <v>258</v>
      </c>
      <c r="F47" s="2" t="s">
        <v>325</v>
      </c>
      <c r="G47" s="2" t="s">
        <v>325</v>
      </c>
      <c r="H47" s="2" t="s">
        <v>325</v>
      </c>
      <c r="I47" s="2" t="s">
        <v>326</v>
      </c>
      <c r="J47" s="2" t="s">
        <v>272</v>
      </c>
      <c r="K47" s="2" t="s">
        <v>231</v>
      </c>
      <c r="L47" s="3">
        <v>34.5</v>
      </c>
      <c r="M47" s="3">
        <v>36.23</v>
      </c>
      <c r="N47" s="3">
        <v>74.99</v>
      </c>
      <c r="O47" s="2" t="s">
        <v>327</v>
      </c>
      <c r="P47" s="2" t="s">
        <v>336</v>
      </c>
      <c r="Q47" s="2" t="s">
        <v>234</v>
      </c>
      <c r="R47" s="2" t="s">
        <v>235</v>
      </c>
      <c r="S47" s="2" t="s">
        <v>235</v>
      </c>
      <c r="T47" s="2" t="s">
        <v>328</v>
      </c>
      <c r="U47" s="2" t="s">
        <v>264</v>
      </c>
      <c r="V47" s="2" t="s">
        <v>238</v>
      </c>
      <c r="W47" s="2" t="s">
        <v>329</v>
      </c>
      <c r="X47" s="2" t="s">
        <v>235</v>
      </c>
      <c r="Y47" s="2" t="s">
        <v>235</v>
      </c>
      <c r="Z47" s="4"/>
      <c r="AA47" s="4">
        <f>=ROUNDDOWN({0},0)</f>
      </c>
      <c r="AB47" s="5">
        <v>10</v>
      </c>
      <c r="AC47" s="2" t="s">
        <v>166</v>
      </c>
      <c r="AD47" s="4">
        <v>270</v>
      </c>
      <c r="AE47" s="4">
        <v>270</v>
      </c>
      <c r="AF47" s="6">
        <v>73</v>
      </c>
      <c r="AG47" s="6"/>
      <c r="AH47" s="7"/>
      <c r="AI47" s="4"/>
      <c r="AJ47" s="4">
        <f>=ROUNDDOWN({0},0)</f>
      </c>
      <c r="AK47" s="5"/>
      <c r="AL47" s="2" t="s">
        <v>235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235</v>
      </c>
      <c r="AW47" s="8" t="s">
        <v>235</v>
      </c>
      <c r="AX47" s="4" t="s">
        <v>235</v>
      </c>
      <c r="AY47" s="8" t="s">
        <v>235</v>
      </c>
      <c r="AZ47" s="7" t="s">
        <v>235</v>
      </c>
      <c r="BA47" s="7" t="s">
        <v>235</v>
      </c>
      <c r="BB47" s="7"/>
      <c r="BC47" s="4" t="s">
        <v>235</v>
      </c>
      <c r="BD47" s="8" t="s">
        <v>235</v>
      </c>
      <c r="BE47" s="4" t="s">
        <v>235</v>
      </c>
      <c r="BF47" s="8" t="s">
        <v>235</v>
      </c>
      <c r="BG47" s="7" t="s">
        <v>235</v>
      </c>
      <c r="BH47" s="7" t="s">
        <v>235</v>
      </c>
      <c r="BI47" s="7"/>
      <c r="BJ47" s="4"/>
      <c r="BK47" s="8"/>
      <c r="BL47" s="2" t="s">
        <v>235</v>
      </c>
      <c r="BM47" s="7"/>
      <c r="BN47" s="7"/>
      <c r="BO47" s="4"/>
      <c r="BP47" s="8"/>
      <c r="BQ47" s="4"/>
      <c r="BR47" s="8"/>
      <c r="BS47" s="7"/>
      <c r="BT47" s="7"/>
      <c r="BU47" s="2" t="s">
        <v>330</v>
      </c>
      <c r="BV47" s="2" t="s">
        <v>235</v>
      </c>
      <c r="BW47" s="2" t="s">
        <v>235</v>
      </c>
      <c r="BX47" s="2" t="s">
        <v>330</v>
      </c>
      <c r="BY47" s="2" t="s">
        <v>331</v>
      </c>
      <c r="BZ47" s="2" t="s">
        <v>232</v>
      </c>
      <c r="CA47" s="2" t="s">
        <v>235</v>
      </c>
      <c r="CB47" s="2" t="s">
        <v>235</v>
      </c>
      <c r="CC47" s="2" t="s">
        <v>248</v>
      </c>
      <c r="CD47" s="2" t="s">
        <v>248</v>
      </c>
      <c r="CE47" s="2" t="s">
        <v>235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>
        <v>270</v>
      </c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>
        <v>270</v>
      </c>
      <c r="GL47" s="4">
        <v>270</v>
      </c>
      <c r="GM47" s="4">
        <v>270</v>
      </c>
      <c r="GN47" s="4">
        <v>270</v>
      </c>
      <c r="GO47" s="4">
        <v>270</v>
      </c>
      <c r="GP47" s="4">
        <v>270</v>
      </c>
      <c r="GQ47" s="4">
        <v>270</v>
      </c>
      <c r="GR47" s="4">
        <v>270</v>
      </c>
      <c r="GS47" s="4">
        <v>270</v>
      </c>
      <c r="GT47" s="4">
        <v>247</v>
      </c>
      <c r="GU47" s="4">
        <v>225</v>
      </c>
      <c r="GV47" s="4">
        <v>216</v>
      </c>
      <c r="GW47" s="4">
        <v>207</v>
      </c>
      <c r="GX47" s="4">
        <v>198</v>
      </c>
      <c r="GY47" s="4">
        <v>189</v>
      </c>
      <c r="GZ47" s="4">
        <v>180</v>
      </c>
      <c r="HA47" s="4">
        <v>171</v>
      </c>
      <c r="HB47" s="4">
        <v>162</v>
      </c>
      <c r="HC47" s="4">
        <v>151</v>
      </c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19">
        <v>45</v>
      </c>
      <c r="HQ47" s="19">
        <v>24.5</v>
      </c>
      <c r="HR47" s="19">
        <v>19.3</v>
      </c>
      <c r="HS47" s="19">
        <v>16.9</v>
      </c>
      <c r="HT47" s="19">
        <v>20.6</v>
      </c>
      <c r="HU47" s="19">
        <v>25</v>
      </c>
      <c r="HV47" s="19">
        <v>24</v>
      </c>
      <c r="HW47" s="19">
        <v>23</v>
      </c>
      <c r="HX47" s="19">
        <v>22</v>
      </c>
      <c r="HY47" s="19">
        <v>18.9</v>
      </c>
      <c r="HZ47" s="19">
        <v>18</v>
      </c>
      <c r="IA47" s="19">
        <v>17.1</v>
      </c>
      <c r="IB47" s="19">
        <v>16.2</v>
      </c>
      <c r="IC47" s="19">
        <v>16.8</v>
      </c>
    </row>
    <row r="48">
      <c r="A48" s="2" t="s">
        <v>337</v>
      </c>
      <c r="B48" s="2" t="s">
        <v>323</v>
      </c>
      <c r="C48" s="2" t="s">
        <v>324</v>
      </c>
      <c r="D48" s="2" t="s">
        <v>257</v>
      </c>
      <c r="E48" s="2" t="s">
        <v>258</v>
      </c>
      <c r="F48" s="2" t="s">
        <v>325</v>
      </c>
      <c r="G48" s="2" t="s">
        <v>325</v>
      </c>
      <c r="H48" s="2" t="s">
        <v>325</v>
      </c>
      <c r="I48" s="2" t="s">
        <v>326</v>
      </c>
      <c r="J48" s="2" t="s">
        <v>250</v>
      </c>
      <c r="K48" s="2" t="s">
        <v>338</v>
      </c>
      <c r="L48" s="3">
        <v>29.9</v>
      </c>
      <c r="M48" s="3">
        <v>31.4</v>
      </c>
      <c r="N48" s="3">
        <v>64.99</v>
      </c>
      <c r="O48" s="2" t="s">
        <v>327</v>
      </c>
      <c r="P48" s="2" t="s">
        <v>233</v>
      </c>
      <c r="Q48" s="2" t="s">
        <v>234</v>
      </c>
      <c r="R48" s="2" t="s">
        <v>235</v>
      </c>
      <c r="S48" s="2" t="s">
        <v>235</v>
      </c>
      <c r="T48" s="2" t="s">
        <v>328</v>
      </c>
      <c r="U48" s="2" t="s">
        <v>264</v>
      </c>
      <c r="V48" s="2" t="s">
        <v>238</v>
      </c>
      <c r="W48" s="2" t="s">
        <v>329</v>
      </c>
      <c r="X48" s="2" t="s">
        <v>235</v>
      </c>
      <c r="Y48" s="2" t="s">
        <v>235</v>
      </c>
      <c r="Z48" s="4"/>
      <c r="AA48" s="4">
        <f>=ROUNDDOWN({0},0)</f>
      </c>
      <c r="AB48" s="5">
        <v>6</v>
      </c>
      <c r="AC48" s="2" t="s">
        <v>166</v>
      </c>
      <c r="AD48" s="4">
        <v>200</v>
      </c>
      <c r="AE48" s="4">
        <v>200</v>
      </c>
      <c r="AF48" s="6">
        <v>73</v>
      </c>
      <c r="AG48" s="6"/>
      <c r="AH48" s="7"/>
      <c r="AI48" s="4"/>
      <c r="AJ48" s="4">
        <f>=ROUNDDOWN({0},0)</f>
      </c>
      <c r="AK48" s="5"/>
      <c r="AL48" s="2" t="s">
        <v>235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235</v>
      </c>
      <c r="AW48" s="8" t="s">
        <v>235</v>
      </c>
      <c r="AX48" s="4" t="s">
        <v>235</v>
      </c>
      <c r="AY48" s="8" t="s">
        <v>235</v>
      </c>
      <c r="AZ48" s="7" t="s">
        <v>235</v>
      </c>
      <c r="BA48" s="7" t="s">
        <v>235</v>
      </c>
      <c r="BB48" s="7"/>
      <c r="BC48" s="4" t="s">
        <v>235</v>
      </c>
      <c r="BD48" s="8" t="s">
        <v>235</v>
      </c>
      <c r="BE48" s="4" t="s">
        <v>235</v>
      </c>
      <c r="BF48" s="8" t="s">
        <v>235</v>
      </c>
      <c r="BG48" s="7" t="s">
        <v>235</v>
      </c>
      <c r="BH48" s="7" t="s">
        <v>235</v>
      </c>
      <c r="BI48" s="7"/>
      <c r="BJ48" s="4"/>
      <c r="BK48" s="8"/>
      <c r="BL48" s="2" t="s">
        <v>235</v>
      </c>
      <c r="BM48" s="7"/>
      <c r="BN48" s="7"/>
      <c r="BO48" s="4"/>
      <c r="BP48" s="8"/>
      <c r="BQ48" s="4"/>
      <c r="BR48" s="8"/>
      <c r="BS48" s="7"/>
      <c r="BT48" s="7"/>
      <c r="BU48" s="2" t="s">
        <v>330</v>
      </c>
      <c r="BV48" s="2" t="s">
        <v>235</v>
      </c>
      <c r="BW48" s="2" t="s">
        <v>235</v>
      </c>
      <c r="BX48" s="2" t="s">
        <v>330</v>
      </c>
      <c r="BY48" s="2" t="s">
        <v>331</v>
      </c>
      <c r="BZ48" s="2" t="s">
        <v>232</v>
      </c>
      <c r="CA48" s="2" t="s">
        <v>235</v>
      </c>
      <c r="CB48" s="2" t="s">
        <v>235</v>
      </c>
      <c r="CC48" s="2" t="s">
        <v>248</v>
      </c>
      <c r="CD48" s="2" t="s">
        <v>248</v>
      </c>
      <c r="CE48" s="2" t="s">
        <v>235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>
        <v>200</v>
      </c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>
        <v>200</v>
      </c>
      <c r="GL48" s="4">
        <v>200</v>
      </c>
      <c r="GM48" s="4">
        <v>200</v>
      </c>
      <c r="GN48" s="4">
        <v>200</v>
      </c>
      <c r="GO48" s="4">
        <v>200</v>
      </c>
      <c r="GP48" s="4">
        <v>200</v>
      </c>
      <c r="GQ48" s="4">
        <v>200</v>
      </c>
      <c r="GR48" s="4">
        <v>200</v>
      </c>
      <c r="GS48" s="4">
        <v>200</v>
      </c>
      <c r="GT48" s="4">
        <v>191</v>
      </c>
      <c r="GU48" s="4">
        <v>183</v>
      </c>
      <c r="GV48" s="4">
        <v>178</v>
      </c>
      <c r="GW48" s="4">
        <v>173</v>
      </c>
      <c r="GX48" s="4">
        <v>168</v>
      </c>
      <c r="GY48" s="4">
        <v>163</v>
      </c>
      <c r="GZ48" s="4">
        <v>158</v>
      </c>
      <c r="HA48" s="4">
        <v>153</v>
      </c>
      <c r="HB48" s="4">
        <v>148</v>
      </c>
      <c r="HC48" s="4">
        <v>142</v>
      </c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19">
        <v>100</v>
      </c>
      <c r="HQ48" s="19">
        <v>50</v>
      </c>
      <c r="HR48" s="19">
        <v>33.3</v>
      </c>
      <c r="HS48" s="19">
        <v>28.6</v>
      </c>
      <c r="HT48" s="19">
        <v>31.8</v>
      </c>
      <c r="HU48" s="19">
        <v>36.6</v>
      </c>
      <c r="HV48" s="19">
        <v>35.6</v>
      </c>
      <c r="HW48" s="19">
        <v>34.6</v>
      </c>
      <c r="HX48" s="19">
        <v>33.6</v>
      </c>
      <c r="HY48" s="19">
        <v>32.6</v>
      </c>
      <c r="HZ48" s="19">
        <v>31.6</v>
      </c>
      <c r="IA48" s="19">
        <v>30.6</v>
      </c>
      <c r="IB48" s="19">
        <v>29.6</v>
      </c>
      <c r="IC48" s="19">
        <v>28.4</v>
      </c>
    </row>
    <row r="49">
      <c r="A49" s="2" t="s">
        <v>339</v>
      </c>
      <c r="B49" s="2" t="s">
        <v>323</v>
      </c>
      <c r="C49" s="2" t="s">
        <v>324</v>
      </c>
      <c r="D49" s="2" t="s">
        <v>257</v>
      </c>
      <c r="E49" s="2" t="s">
        <v>258</v>
      </c>
      <c r="F49" s="2" t="s">
        <v>325</v>
      </c>
      <c r="G49" s="2" t="s">
        <v>325</v>
      </c>
      <c r="H49" s="2" t="s">
        <v>325</v>
      </c>
      <c r="I49" s="2" t="s">
        <v>326</v>
      </c>
      <c r="J49" s="2" t="s">
        <v>261</v>
      </c>
      <c r="K49" s="2" t="s">
        <v>338</v>
      </c>
      <c r="L49" s="3">
        <v>32.2</v>
      </c>
      <c r="M49" s="3">
        <v>33.81</v>
      </c>
      <c r="N49" s="3">
        <v>69.99</v>
      </c>
      <c r="O49" s="2" t="s">
        <v>327</v>
      </c>
      <c r="P49" s="2" t="s">
        <v>333</v>
      </c>
      <c r="Q49" s="2" t="s">
        <v>234</v>
      </c>
      <c r="R49" s="2" t="s">
        <v>235</v>
      </c>
      <c r="S49" s="2" t="s">
        <v>235</v>
      </c>
      <c r="T49" s="2" t="s">
        <v>328</v>
      </c>
      <c r="U49" s="2" t="s">
        <v>264</v>
      </c>
      <c r="V49" s="2" t="s">
        <v>238</v>
      </c>
      <c r="W49" s="2" t="s">
        <v>329</v>
      </c>
      <c r="X49" s="2" t="s">
        <v>235</v>
      </c>
      <c r="Y49" s="2" t="s">
        <v>235</v>
      </c>
      <c r="Z49" s="4"/>
      <c r="AA49" s="4">
        <f>=ROUNDDOWN({0},0)</f>
      </c>
      <c r="AB49" s="5">
        <v>30</v>
      </c>
      <c r="AC49" s="2" t="s">
        <v>166</v>
      </c>
      <c r="AD49" s="4">
        <v>1100</v>
      </c>
      <c r="AE49" s="4">
        <v>1100</v>
      </c>
      <c r="AF49" s="6">
        <v>73</v>
      </c>
      <c r="AG49" s="6"/>
      <c r="AH49" s="7"/>
      <c r="AI49" s="4"/>
      <c r="AJ49" s="4">
        <f>=ROUNDDOWN({0},0)</f>
      </c>
      <c r="AK49" s="5"/>
      <c r="AL49" s="2" t="s">
        <v>235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235</v>
      </c>
      <c r="AW49" s="8" t="s">
        <v>235</v>
      </c>
      <c r="AX49" s="4" t="s">
        <v>235</v>
      </c>
      <c r="AY49" s="8" t="s">
        <v>235</v>
      </c>
      <c r="AZ49" s="7" t="s">
        <v>235</v>
      </c>
      <c r="BA49" s="7" t="s">
        <v>235</v>
      </c>
      <c r="BB49" s="7"/>
      <c r="BC49" s="4" t="s">
        <v>235</v>
      </c>
      <c r="BD49" s="8" t="s">
        <v>235</v>
      </c>
      <c r="BE49" s="4" t="s">
        <v>235</v>
      </c>
      <c r="BF49" s="8" t="s">
        <v>235</v>
      </c>
      <c r="BG49" s="7" t="s">
        <v>235</v>
      </c>
      <c r="BH49" s="7" t="s">
        <v>235</v>
      </c>
      <c r="BI49" s="7"/>
      <c r="BJ49" s="4"/>
      <c r="BK49" s="8"/>
      <c r="BL49" s="2" t="s">
        <v>235</v>
      </c>
      <c r="BM49" s="7"/>
      <c r="BN49" s="7"/>
      <c r="BO49" s="4"/>
      <c r="BP49" s="8"/>
      <c r="BQ49" s="4"/>
      <c r="BR49" s="8"/>
      <c r="BS49" s="7"/>
      <c r="BT49" s="7"/>
      <c r="BU49" s="2" t="s">
        <v>330</v>
      </c>
      <c r="BV49" s="2" t="s">
        <v>235</v>
      </c>
      <c r="BW49" s="2" t="s">
        <v>235</v>
      </c>
      <c r="BX49" s="2" t="s">
        <v>330</v>
      </c>
      <c r="BY49" s="2" t="s">
        <v>331</v>
      </c>
      <c r="BZ49" s="2" t="s">
        <v>232</v>
      </c>
      <c r="CA49" s="2" t="s">
        <v>235</v>
      </c>
      <c r="CB49" s="2" t="s">
        <v>235</v>
      </c>
      <c r="CC49" s="2" t="s">
        <v>248</v>
      </c>
      <c r="CD49" s="2" t="s">
        <v>248</v>
      </c>
      <c r="CE49" s="2" t="s">
        <v>235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>
        <v>1100</v>
      </c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>
        <v>1100</v>
      </c>
      <c r="GL49" s="4">
        <v>1100</v>
      </c>
      <c r="GM49" s="4">
        <v>1100</v>
      </c>
      <c r="GN49" s="4">
        <v>1100</v>
      </c>
      <c r="GO49" s="4">
        <v>1100</v>
      </c>
      <c r="GP49" s="4">
        <v>1100</v>
      </c>
      <c r="GQ49" s="4">
        <v>1100</v>
      </c>
      <c r="GR49" s="4">
        <v>1100</v>
      </c>
      <c r="GS49" s="4">
        <v>1100</v>
      </c>
      <c r="GT49" s="4">
        <v>1052</v>
      </c>
      <c r="GU49" s="4">
        <v>994</v>
      </c>
      <c r="GV49" s="4">
        <v>969</v>
      </c>
      <c r="GW49" s="4">
        <v>944</v>
      </c>
      <c r="GX49" s="4">
        <v>919</v>
      </c>
      <c r="GY49" s="4">
        <v>894</v>
      </c>
      <c r="GZ49" s="4">
        <v>869</v>
      </c>
      <c r="HA49" s="4">
        <v>844</v>
      </c>
      <c r="HB49" s="4">
        <v>819</v>
      </c>
      <c r="HC49" s="4">
        <v>789</v>
      </c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19">
        <v>91.7</v>
      </c>
      <c r="HQ49" s="19">
        <v>42.3</v>
      </c>
      <c r="HR49" s="19">
        <v>33.3</v>
      </c>
      <c r="HS49" s="19">
        <v>28.2</v>
      </c>
      <c r="HT49" s="19">
        <v>31.9</v>
      </c>
      <c r="HU49" s="19">
        <v>39.8</v>
      </c>
      <c r="HV49" s="19">
        <v>38.8</v>
      </c>
      <c r="HW49" s="19">
        <v>37.8</v>
      </c>
      <c r="HX49" s="19">
        <v>36.8</v>
      </c>
      <c r="HY49" s="19">
        <v>34.4</v>
      </c>
      <c r="HZ49" s="19">
        <v>33.4</v>
      </c>
      <c r="IA49" s="19">
        <v>32.5</v>
      </c>
      <c r="IB49" s="19">
        <v>31.5</v>
      </c>
      <c r="IC49" s="19">
        <v>31.6</v>
      </c>
    </row>
    <row r="50">
      <c r="A50" s="2" t="s">
        <v>340</v>
      </c>
      <c r="B50" s="2" t="s">
        <v>323</v>
      </c>
      <c r="C50" s="2" t="s">
        <v>324</v>
      </c>
      <c r="D50" s="2" t="s">
        <v>257</v>
      </c>
      <c r="E50" s="2" t="s">
        <v>258</v>
      </c>
      <c r="F50" s="2" t="s">
        <v>325</v>
      </c>
      <c r="G50" s="2" t="s">
        <v>325</v>
      </c>
      <c r="H50" s="2" t="s">
        <v>325</v>
      </c>
      <c r="I50" s="2" t="s">
        <v>326</v>
      </c>
      <c r="J50" s="2" t="s">
        <v>270</v>
      </c>
      <c r="K50" s="2" t="s">
        <v>338</v>
      </c>
      <c r="L50" s="3">
        <v>34.5</v>
      </c>
      <c r="M50" s="3">
        <v>36.23</v>
      </c>
      <c r="N50" s="3">
        <v>74.99</v>
      </c>
      <c r="O50" s="2" t="s">
        <v>327</v>
      </c>
      <c r="P50" s="2" t="s">
        <v>333</v>
      </c>
      <c r="Q50" s="2" t="s">
        <v>234</v>
      </c>
      <c r="R50" s="2" t="s">
        <v>235</v>
      </c>
      <c r="S50" s="2" t="s">
        <v>235</v>
      </c>
      <c r="T50" s="2" t="s">
        <v>328</v>
      </c>
      <c r="U50" s="2" t="s">
        <v>264</v>
      </c>
      <c r="V50" s="2" t="s">
        <v>238</v>
      </c>
      <c r="W50" s="2" t="s">
        <v>329</v>
      </c>
      <c r="X50" s="2" t="s">
        <v>235</v>
      </c>
      <c r="Y50" s="2" t="s">
        <v>235</v>
      </c>
      <c r="Z50" s="4"/>
      <c r="AA50" s="4">
        <f>=ROUNDDOWN({0},0)</f>
      </c>
      <c r="AB50" s="5"/>
      <c r="AC50" s="2" t="s">
        <v>166</v>
      </c>
      <c r="AD50" s="4">
        <v>1200</v>
      </c>
      <c r="AE50" s="4">
        <v>1200</v>
      </c>
      <c r="AF50" s="6">
        <v>73</v>
      </c>
      <c r="AG50" s="6"/>
      <c r="AH50" s="7"/>
      <c r="AI50" s="4"/>
      <c r="AJ50" s="4">
        <f>=ROUNDDOWN({0},0)</f>
      </c>
      <c r="AK50" s="5"/>
      <c r="AL50" s="2" t="s">
        <v>235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235</v>
      </c>
      <c r="AW50" s="8" t="s">
        <v>235</v>
      </c>
      <c r="AX50" s="4" t="s">
        <v>235</v>
      </c>
      <c r="AY50" s="8" t="s">
        <v>235</v>
      </c>
      <c r="AZ50" s="7" t="s">
        <v>235</v>
      </c>
      <c r="BA50" s="7" t="s">
        <v>235</v>
      </c>
      <c r="BB50" s="7"/>
      <c r="BC50" s="4" t="s">
        <v>235</v>
      </c>
      <c r="BD50" s="8" t="s">
        <v>235</v>
      </c>
      <c r="BE50" s="4" t="s">
        <v>235</v>
      </c>
      <c r="BF50" s="8" t="s">
        <v>235</v>
      </c>
      <c r="BG50" s="7" t="s">
        <v>235</v>
      </c>
      <c r="BH50" s="7" t="s">
        <v>235</v>
      </c>
      <c r="BI50" s="7"/>
      <c r="BJ50" s="4"/>
      <c r="BK50" s="8"/>
      <c r="BL50" s="2" t="s">
        <v>235</v>
      </c>
      <c r="BM50" s="7"/>
      <c r="BN50" s="7"/>
      <c r="BO50" s="4"/>
      <c r="BP50" s="8"/>
      <c r="BQ50" s="4"/>
      <c r="BR50" s="8"/>
      <c r="BS50" s="7"/>
      <c r="BT50" s="7"/>
      <c r="BU50" s="2" t="s">
        <v>330</v>
      </c>
      <c r="BV50" s="2" t="s">
        <v>235</v>
      </c>
      <c r="BW50" s="2" t="s">
        <v>235</v>
      </c>
      <c r="BX50" s="2" t="s">
        <v>330</v>
      </c>
      <c r="BY50" s="2" t="s">
        <v>331</v>
      </c>
      <c r="BZ50" s="2" t="s">
        <v>232</v>
      </c>
      <c r="CA50" s="2" t="s">
        <v>235</v>
      </c>
      <c r="CB50" s="2" t="s">
        <v>235</v>
      </c>
      <c r="CC50" s="2" t="s">
        <v>248</v>
      </c>
      <c r="CD50" s="2" t="s">
        <v>248</v>
      </c>
      <c r="CE50" s="2" t="s">
        <v>235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>
        <v>1200</v>
      </c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>
        <v>1200</v>
      </c>
      <c r="GL50" s="4">
        <v>1200</v>
      </c>
      <c r="GM50" s="4">
        <v>1200</v>
      </c>
      <c r="GN50" s="4">
        <v>1200</v>
      </c>
      <c r="GO50" s="4">
        <v>1200</v>
      </c>
      <c r="GP50" s="4">
        <v>1200</v>
      </c>
      <c r="GQ50" s="4">
        <v>1200</v>
      </c>
      <c r="GR50" s="4">
        <v>1101</v>
      </c>
      <c r="GS50" s="4">
        <v>1007</v>
      </c>
      <c r="GT50" s="4">
        <v>942</v>
      </c>
      <c r="GU50" s="4">
        <v>887</v>
      </c>
      <c r="GV50" s="4">
        <v>861</v>
      </c>
      <c r="GW50" s="4">
        <v>835</v>
      </c>
      <c r="GX50" s="4">
        <v>809</v>
      </c>
      <c r="GY50" s="4">
        <v>783</v>
      </c>
      <c r="GZ50" s="4">
        <v>757</v>
      </c>
      <c r="HA50" s="4">
        <v>731</v>
      </c>
      <c r="HB50" s="4">
        <v>705</v>
      </c>
      <c r="HC50" s="4">
        <v>674</v>
      </c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19">
        <v>48</v>
      </c>
      <c r="HO50" s="19">
        <v>25</v>
      </c>
      <c r="HP50" s="19">
        <v>18.8</v>
      </c>
      <c r="HQ50" s="19">
        <v>15.4</v>
      </c>
      <c r="HR50" s="19">
        <v>18.4</v>
      </c>
      <c r="HS50" s="19">
        <v>23.4</v>
      </c>
      <c r="HT50" s="19">
        <v>28.5</v>
      </c>
      <c r="HU50" s="19">
        <v>34.1</v>
      </c>
      <c r="HV50" s="19">
        <v>33.1</v>
      </c>
      <c r="HW50" s="19">
        <v>32.1</v>
      </c>
      <c r="HX50" s="19">
        <v>31.1</v>
      </c>
      <c r="HY50" s="19">
        <v>29</v>
      </c>
      <c r="HZ50" s="19">
        <v>28</v>
      </c>
      <c r="IA50" s="19">
        <v>27.1</v>
      </c>
      <c r="IB50" s="19">
        <v>26.1</v>
      </c>
      <c r="IC50" s="19">
        <v>25.9</v>
      </c>
    </row>
    <row r="51">
      <c r="A51" s="2" t="s">
        <v>341</v>
      </c>
      <c r="B51" s="2" t="s">
        <v>323</v>
      </c>
      <c r="C51" s="2" t="s">
        <v>324</v>
      </c>
      <c r="D51" s="2" t="s">
        <v>257</v>
      </c>
      <c r="E51" s="2" t="s">
        <v>258</v>
      </c>
      <c r="F51" s="2" t="s">
        <v>325</v>
      </c>
      <c r="G51" s="2" t="s">
        <v>325</v>
      </c>
      <c r="H51" s="2" t="s">
        <v>325</v>
      </c>
      <c r="I51" s="2" t="s">
        <v>326</v>
      </c>
      <c r="J51" s="2" t="s">
        <v>272</v>
      </c>
      <c r="K51" s="2" t="s">
        <v>338</v>
      </c>
      <c r="L51" s="3">
        <v>34.5</v>
      </c>
      <c r="M51" s="3">
        <v>36.23</v>
      </c>
      <c r="N51" s="3">
        <v>74.99</v>
      </c>
      <c r="O51" s="2" t="s">
        <v>327</v>
      </c>
      <c r="P51" s="2" t="s">
        <v>233</v>
      </c>
      <c r="Q51" s="2" t="s">
        <v>234</v>
      </c>
      <c r="R51" s="2" t="s">
        <v>235</v>
      </c>
      <c r="S51" s="2" t="s">
        <v>235</v>
      </c>
      <c r="T51" s="2" t="s">
        <v>328</v>
      </c>
      <c r="U51" s="2" t="s">
        <v>264</v>
      </c>
      <c r="V51" s="2" t="s">
        <v>238</v>
      </c>
      <c r="W51" s="2" t="s">
        <v>329</v>
      </c>
      <c r="X51" s="2" t="s">
        <v>235</v>
      </c>
      <c r="Y51" s="2" t="s">
        <v>235</v>
      </c>
      <c r="Z51" s="4"/>
      <c r="AA51" s="4">
        <f>=ROUNDDOWN({0},0)</f>
      </c>
      <c r="AB51" s="5"/>
      <c r="AC51" s="2" t="s">
        <v>166</v>
      </c>
      <c r="AD51" s="4">
        <v>280</v>
      </c>
      <c r="AE51" s="4">
        <v>280</v>
      </c>
      <c r="AF51" s="6">
        <v>73</v>
      </c>
      <c r="AG51" s="6"/>
      <c r="AH51" s="7"/>
      <c r="AI51" s="4"/>
      <c r="AJ51" s="4">
        <f>=ROUNDDOWN({0},0)</f>
      </c>
      <c r="AK51" s="5"/>
      <c r="AL51" s="2" t="s">
        <v>235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235</v>
      </c>
      <c r="AW51" s="8" t="s">
        <v>235</v>
      </c>
      <c r="AX51" s="4" t="s">
        <v>235</v>
      </c>
      <c r="AY51" s="8" t="s">
        <v>235</v>
      </c>
      <c r="AZ51" s="7" t="s">
        <v>235</v>
      </c>
      <c r="BA51" s="7" t="s">
        <v>235</v>
      </c>
      <c r="BB51" s="7"/>
      <c r="BC51" s="4" t="s">
        <v>235</v>
      </c>
      <c r="BD51" s="8" t="s">
        <v>235</v>
      </c>
      <c r="BE51" s="4" t="s">
        <v>235</v>
      </c>
      <c r="BF51" s="8" t="s">
        <v>235</v>
      </c>
      <c r="BG51" s="7" t="s">
        <v>235</v>
      </c>
      <c r="BH51" s="7" t="s">
        <v>235</v>
      </c>
      <c r="BI51" s="7"/>
      <c r="BJ51" s="4"/>
      <c r="BK51" s="8"/>
      <c r="BL51" s="2" t="s">
        <v>235</v>
      </c>
      <c r="BM51" s="7"/>
      <c r="BN51" s="7"/>
      <c r="BO51" s="4"/>
      <c r="BP51" s="8"/>
      <c r="BQ51" s="4"/>
      <c r="BR51" s="8"/>
      <c r="BS51" s="7"/>
      <c r="BT51" s="7"/>
      <c r="BU51" s="2" t="s">
        <v>330</v>
      </c>
      <c r="BV51" s="2" t="s">
        <v>235</v>
      </c>
      <c r="BW51" s="2" t="s">
        <v>235</v>
      </c>
      <c r="BX51" s="2" t="s">
        <v>330</v>
      </c>
      <c r="BY51" s="2" t="s">
        <v>331</v>
      </c>
      <c r="BZ51" s="2" t="s">
        <v>232</v>
      </c>
      <c r="CA51" s="2" t="s">
        <v>235</v>
      </c>
      <c r="CB51" s="2" t="s">
        <v>235</v>
      </c>
      <c r="CC51" s="2" t="s">
        <v>248</v>
      </c>
      <c r="CD51" s="2" t="s">
        <v>248</v>
      </c>
      <c r="CE51" s="2" t="s">
        <v>235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>
        <v>280</v>
      </c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>
        <v>280</v>
      </c>
      <c r="GL51" s="4">
        <v>280</v>
      </c>
      <c r="GM51" s="4">
        <v>280</v>
      </c>
      <c r="GN51" s="4">
        <v>280</v>
      </c>
      <c r="GO51" s="4">
        <v>280</v>
      </c>
      <c r="GP51" s="4">
        <v>280</v>
      </c>
      <c r="GQ51" s="4">
        <v>280</v>
      </c>
      <c r="GR51" s="4">
        <v>280</v>
      </c>
      <c r="GS51" s="4">
        <v>280</v>
      </c>
      <c r="GT51" s="4">
        <v>280</v>
      </c>
      <c r="GU51" s="4">
        <v>280</v>
      </c>
      <c r="GV51" s="4">
        <v>280</v>
      </c>
      <c r="GW51" s="4">
        <v>280</v>
      </c>
      <c r="GX51" s="4">
        <v>280</v>
      </c>
      <c r="GY51" s="4">
        <v>280</v>
      </c>
      <c r="GZ51" s="4">
        <v>280</v>
      </c>
      <c r="HA51" s="4">
        <v>280</v>
      </c>
      <c r="HB51" s="4">
        <v>280</v>
      </c>
      <c r="HC51" s="4">
        <v>280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19">
        <v>140</v>
      </c>
      <c r="IA51" s="19">
        <v>70</v>
      </c>
      <c r="IB51" s="19">
        <v>46.7</v>
      </c>
      <c r="IC51" s="19">
        <v>35</v>
      </c>
    </row>
    <row r="52">
      <c r="A52" s="2" t="s">
        <v>342</v>
      </c>
      <c r="B52" s="2" t="s">
        <v>323</v>
      </c>
      <c r="C52" s="2" t="s">
        <v>324</v>
      </c>
      <c r="D52" s="2" t="s">
        <v>257</v>
      </c>
      <c r="E52" s="2" t="s">
        <v>258</v>
      </c>
      <c r="F52" s="2" t="s">
        <v>325</v>
      </c>
      <c r="G52" s="2" t="s">
        <v>325</v>
      </c>
      <c r="H52" s="2" t="s">
        <v>325</v>
      </c>
      <c r="I52" s="2" t="s">
        <v>326</v>
      </c>
      <c r="J52" s="2" t="s">
        <v>250</v>
      </c>
      <c r="K52" s="2" t="s">
        <v>292</v>
      </c>
      <c r="L52" s="3">
        <v>29.9</v>
      </c>
      <c r="M52" s="3">
        <v>31.4</v>
      </c>
      <c r="N52" s="3">
        <v>64.99</v>
      </c>
      <c r="O52" s="2" t="s">
        <v>327</v>
      </c>
      <c r="P52" s="2" t="s">
        <v>233</v>
      </c>
      <c r="Q52" s="2" t="s">
        <v>234</v>
      </c>
      <c r="R52" s="2" t="s">
        <v>235</v>
      </c>
      <c r="S52" s="2" t="s">
        <v>235</v>
      </c>
      <c r="T52" s="2" t="s">
        <v>328</v>
      </c>
      <c r="U52" s="2" t="s">
        <v>264</v>
      </c>
      <c r="V52" s="2" t="s">
        <v>238</v>
      </c>
      <c r="W52" s="2" t="s">
        <v>329</v>
      </c>
      <c r="X52" s="2" t="s">
        <v>235</v>
      </c>
      <c r="Y52" s="2" t="s">
        <v>235</v>
      </c>
      <c r="Z52" s="4"/>
      <c r="AA52" s="4">
        <f>=ROUNDDOWN({0},0)</f>
      </c>
      <c r="AB52" s="5">
        <v>7</v>
      </c>
      <c r="AC52" s="2" t="s">
        <v>162</v>
      </c>
      <c r="AD52" s="4">
        <v>400</v>
      </c>
      <c r="AE52" s="4">
        <v>400</v>
      </c>
      <c r="AF52" s="6">
        <v>73</v>
      </c>
      <c r="AG52" s="6"/>
      <c r="AH52" s="7"/>
      <c r="AI52" s="4"/>
      <c r="AJ52" s="4">
        <f>=ROUNDDOWN({0},0)</f>
      </c>
      <c r="AK52" s="5"/>
      <c r="AL52" s="2" t="s">
        <v>235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235</v>
      </c>
      <c r="AW52" s="8" t="s">
        <v>235</v>
      </c>
      <c r="AX52" s="4" t="s">
        <v>235</v>
      </c>
      <c r="AY52" s="8" t="s">
        <v>235</v>
      </c>
      <c r="AZ52" s="7" t="s">
        <v>235</v>
      </c>
      <c r="BA52" s="7" t="s">
        <v>235</v>
      </c>
      <c r="BB52" s="7"/>
      <c r="BC52" s="4" t="s">
        <v>235</v>
      </c>
      <c r="BD52" s="8" t="s">
        <v>235</v>
      </c>
      <c r="BE52" s="4" t="s">
        <v>235</v>
      </c>
      <c r="BF52" s="8" t="s">
        <v>235</v>
      </c>
      <c r="BG52" s="7" t="s">
        <v>235</v>
      </c>
      <c r="BH52" s="7" t="s">
        <v>235</v>
      </c>
      <c r="BI52" s="7"/>
      <c r="BJ52" s="4"/>
      <c r="BK52" s="8"/>
      <c r="BL52" s="2" t="s">
        <v>235</v>
      </c>
      <c r="BM52" s="7"/>
      <c r="BN52" s="7"/>
      <c r="BO52" s="4"/>
      <c r="BP52" s="8"/>
      <c r="BQ52" s="4"/>
      <c r="BR52" s="8"/>
      <c r="BS52" s="7"/>
      <c r="BT52" s="7"/>
      <c r="BU52" s="2" t="s">
        <v>330</v>
      </c>
      <c r="BV52" s="2" t="s">
        <v>235</v>
      </c>
      <c r="BW52" s="2" t="s">
        <v>235</v>
      </c>
      <c r="BX52" s="2" t="s">
        <v>330</v>
      </c>
      <c r="BY52" s="2" t="s">
        <v>331</v>
      </c>
      <c r="BZ52" s="2" t="s">
        <v>232</v>
      </c>
      <c r="CA52" s="2" t="s">
        <v>235</v>
      </c>
      <c r="CB52" s="2" t="s">
        <v>235</v>
      </c>
      <c r="CC52" s="2" t="s">
        <v>248</v>
      </c>
      <c r="CD52" s="2" t="s">
        <v>248</v>
      </c>
      <c r="CE52" s="2" t="s">
        <v>235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>
        <v>400</v>
      </c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>
        <v>400</v>
      </c>
      <c r="GK52" s="4">
        <v>400</v>
      </c>
      <c r="GL52" s="4">
        <v>400</v>
      </c>
      <c r="GM52" s="4">
        <v>400</v>
      </c>
      <c r="GN52" s="4">
        <v>400</v>
      </c>
      <c r="GO52" s="4">
        <v>400</v>
      </c>
      <c r="GP52" s="4">
        <v>391</v>
      </c>
      <c r="GQ52" s="4">
        <v>369</v>
      </c>
      <c r="GR52" s="4">
        <v>345</v>
      </c>
      <c r="GS52" s="4">
        <v>324</v>
      </c>
      <c r="GT52" s="4">
        <v>314</v>
      </c>
      <c r="GU52" s="4">
        <v>304</v>
      </c>
      <c r="GV52" s="4">
        <v>298</v>
      </c>
      <c r="GW52" s="4">
        <v>292</v>
      </c>
      <c r="GX52" s="4">
        <v>286</v>
      </c>
      <c r="GY52" s="4">
        <v>280</v>
      </c>
      <c r="GZ52" s="4">
        <v>274</v>
      </c>
      <c r="HA52" s="4">
        <v>268</v>
      </c>
      <c r="HB52" s="4">
        <v>262</v>
      </c>
      <c r="HC52" s="4">
        <v>255</v>
      </c>
      <c r="HD52" s="9"/>
      <c r="HE52" s="9"/>
      <c r="HF52" s="9"/>
      <c r="HG52" s="9"/>
      <c r="HH52" s="9"/>
      <c r="HI52" s="9"/>
      <c r="HJ52" s="9"/>
      <c r="HK52" s="9"/>
      <c r="HL52" s="19">
        <v>200</v>
      </c>
      <c r="HM52" s="19">
        <v>50</v>
      </c>
      <c r="HN52" s="19">
        <v>28.6</v>
      </c>
      <c r="HO52" s="19">
        <v>21.1</v>
      </c>
      <c r="HP52" s="19">
        <v>20.6</v>
      </c>
      <c r="HQ52" s="19">
        <v>23.1</v>
      </c>
      <c r="HR52" s="19">
        <v>28.8</v>
      </c>
      <c r="HS52" s="19">
        <v>40.5</v>
      </c>
      <c r="HT52" s="19">
        <v>44.9</v>
      </c>
      <c r="HU52" s="19">
        <v>50.7</v>
      </c>
      <c r="HV52" s="19">
        <v>49.7</v>
      </c>
      <c r="HW52" s="19">
        <v>48.7</v>
      </c>
      <c r="HX52" s="19">
        <v>47.7</v>
      </c>
      <c r="HY52" s="19">
        <v>46.7</v>
      </c>
      <c r="HZ52" s="19">
        <v>45.7</v>
      </c>
      <c r="IA52" s="19">
        <v>44.7</v>
      </c>
      <c r="IB52" s="19">
        <v>43.7</v>
      </c>
      <c r="IC52" s="19">
        <v>42.5</v>
      </c>
    </row>
    <row r="53">
      <c r="A53" s="2" t="s">
        <v>343</v>
      </c>
      <c r="B53" s="2" t="s">
        <v>323</v>
      </c>
      <c r="C53" s="2" t="s">
        <v>324</v>
      </c>
      <c r="D53" s="2" t="s">
        <v>257</v>
      </c>
      <c r="E53" s="2" t="s">
        <v>258</v>
      </c>
      <c r="F53" s="2" t="s">
        <v>325</v>
      </c>
      <c r="G53" s="2" t="s">
        <v>325</v>
      </c>
      <c r="H53" s="2" t="s">
        <v>325</v>
      </c>
      <c r="I53" s="2" t="s">
        <v>326</v>
      </c>
      <c r="J53" s="2" t="s">
        <v>261</v>
      </c>
      <c r="K53" s="2" t="s">
        <v>292</v>
      </c>
      <c r="L53" s="3">
        <v>32.2</v>
      </c>
      <c r="M53" s="3">
        <v>33.81</v>
      </c>
      <c r="N53" s="3">
        <v>69.99</v>
      </c>
      <c r="O53" s="2" t="s">
        <v>327</v>
      </c>
      <c r="P53" s="2" t="s">
        <v>333</v>
      </c>
      <c r="Q53" s="2" t="s">
        <v>234</v>
      </c>
      <c r="R53" s="2" t="s">
        <v>235</v>
      </c>
      <c r="S53" s="2" t="s">
        <v>235</v>
      </c>
      <c r="T53" s="2" t="s">
        <v>328</v>
      </c>
      <c r="U53" s="2" t="s">
        <v>264</v>
      </c>
      <c r="V53" s="2" t="s">
        <v>238</v>
      </c>
      <c r="W53" s="2" t="s">
        <v>329</v>
      </c>
      <c r="X53" s="2" t="s">
        <v>235</v>
      </c>
      <c r="Y53" s="2" t="s">
        <v>235</v>
      </c>
      <c r="Z53" s="4"/>
      <c r="AA53" s="4">
        <f>=ROUNDDOWN({0},0)</f>
      </c>
      <c r="AB53" s="5">
        <v>30</v>
      </c>
      <c r="AC53" s="2" t="s">
        <v>162</v>
      </c>
      <c r="AD53" s="4">
        <v>1300</v>
      </c>
      <c r="AE53" s="4">
        <v>1500</v>
      </c>
      <c r="AF53" s="6">
        <v>73</v>
      </c>
      <c r="AG53" s="6"/>
      <c r="AH53" s="7"/>
      <c r="AI53" s="4"/>
      <c r="AJ53" s="4">
        <f>=ROUNDDOWN({0},0)</f>
      </c>
      <c r="AK53" s="5"/>
      <c r="AL53" s="2" t="s">
        <v>235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235</v>
      </c>
      <c r="AW53" s="8" t="s">
        <v>235</v>
      </c>
      <c r="AX53" s="4" t="s">
        <v>235</v>
      </c>
      <c r="AY53" s="8" t="s">
        <v>235</v>
      </c>
      <c r="AZ53" s="7" t="s">
        <v>235</v>
      </c>
      <c r="BA53" s="7" t="s">
        <v>235</v>
      </c>
      <c r="BB53" s="7"/>
      <c r="BC53" s="4" t="s">
        <v>235</v>
      </c>
      <c r="BD53" s="8" t="s">
        <v>235</v>
      </c>
      <c r="BE53" s="4" t="s">
        <v>235</v>
      </c>
      <c r="BF53" s="8" t="s">
        <v>235</v>
      </c>
      <c r="BG53" s="7" t="s">
        <v>235</v>
      </c>
      <c r="BH53" s="7" t="s">
        <v>235</v>
      </c>
      <c r="BI53" s="7"/>
      <c r="BJ53" s="4"/>
      <c r="BK53" s="8"/>
      <c r="BL53" s="2" t="s">
        <v>235</v>
      </c>
      <c r="BM53" s="7"/>
      <c r="BN53" s="7"/>
      <c r="BO53" s="4"/>
      <c r="BP53" s="8"/>
      <c r="BQ53" s="4"/>
      <c r="BR53" s="8"/>
      <c r="BS53" s="7"/>
      <c r="BT53" s="7"/>
      <c r="BU53" s="2" t="s">
        <v>330</v>
      </c>
      <c r="BV53" s="2" t="s">
        <v>235</v>
      </c>
      <c r="BW53" s="2" t="s">
        <v>235</v>
      </c>
      <c r="BX53" s="2" t="s">
        <v>330</v>
      </c>
      <c r="BY53" s="2" t="s">
        <v>331</v>
      </c>
      <c r="BZ53" s="2" t="s">
        <v>232</v>
      </c>
      <c r="CA53" s="2" t="s">
        <v>235</v>
      </c>
      <c r="CB53" s="2" t="s">
        <v>235</v>
      </c>
      <c r="CC53" s="2" t="s">
        <v>248</v>
      </c>
      <c r="CD53" s="2" t="s">
        <v>248</v>
      </c>
      <c r="CE53" s="2" t="s">
        <v>235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>
        <v>1300</v>
      </c>
      <c r="DX53" s="4"/>
      <c r="DY53" s="4"/>
      <c r="DZ53" s="4"/>
      <c r="EA53" s="4">
        <v>200</v>
      </c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>
        <v>1300</v>
      </c>
      <c r="GK53" s="4">
        <v>1500</v>
      </c>
      <c r="GL53" s="4">
        <v>1500</v>
      </c>
      <c r="GM53" s="4">
        <v>1500</v>
      </c>
      <c r="GN53" s="4">
        <v>1500</v>
      </c>
      <c r="GO53" s="4">
        <v>1500</v>
      </c>
      <c r="GP53" s="4">
        <v>1500</v>
      </c>
      <c r="GQ53" s="4">
        <v>1500</v>
      </c>
      <c r="GR53" s="4">
        <v>1392</v>
      </c>
      <c r="GS53" s="4">
        <v>1292</v>
      </c>
      <c r="GT53" s="4">
        <v>1244</v>
      </c>
      <c r="GU53" s="4">
        <v>1186</v>
      </c>
      <c r="GV53" s="4">
        <v>1161</v>
      </c>
      <c r="GW53" s="4">
        <v>1136</v>
      </c>
      <c r="GX53" s="4">
        <v>1111</v>
      </c>
      <c r="GY53" s="4">
        <v>1086</v>
      </c>
      <c r="GZ53" s="4">
        <v>1061</v>
      </c>
      <c r="HA53" s="4">
        <v>1036</v>
      </c>
      <c r="HB53" s="4">
        <v>1011</v>
      </c>
      <c r="HC53" s="4">
        <v>981</v>
      </c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19">
        <v>55.6</v>
      </c>
      <c r="HO53" s="19">
        <v>28.8</v>
      </c>
      <c r="HP53" s="19">
        <v>23.4</v>
      </c>
      <c r="HQ53" s="19">
        <v>19.2</v>
      </c>
      <c r="HR53" s="19">
        <v>24</v>
      </c>
      <c r="HS53" s="19">
        <v>33.1</v>
      </c>
      <c r="HT53" s="19">
        <v>37.7</v>
      </c>
      <c r="HU53" s="19">
        <v>47.4</v>
      </c>
      <c r="HV53" s="19">
        <v>46.4</v>
      </c>
      <c r="HW53" s="19">
        <v>45.4</v>
      </c>
      <c r="HX53" s="19">
        <v>44.4</v>
      </c>
      <c r="HY53" s="19">
        <v>41.8</v>
      </c>
      <c r="HZ53" s="19">
        <v>40.8</v>
      </c>
      <c r="IA53" s="19">
        <v>39.8</v>
      </c>
      <c r="IB53" s="19">
        <v>38.9</v>
      </c>
      <c r="IC53" s="19">
        <v>39.2</v>
      </c>
    </row>
    <row r="54">
      <c r="A54" s="2" t="s">
        <v>344</v>
      </c>
      <c r="B54" s="2" t="s">
        <v>323</v>
      </c>
      <c r="C54" s="2" t="s">
        <v>324</v>
      </c>
      <c r="D54" s="2" t="s">
        <v>257</v>
      </c>
      <c r="E54" s="2" t="s">
        <v>258</v>
      </c>
      <c r="F54" s="2" t="s">
        <v>325</v>
      </c>
      <c r="G54" s="2" t="s">
        <v>325</v>
      </c>
      <c r="H54" s="2" t="s">
        <v>325</v>
      </c>
      <c r="I54" s="2" t="s">
        <v>326</v>
      </c>
      <c r="J54" s="2" t="s">
        <v>270</v>
      </c>
      <c r="K54" s="2" t="s">
        <v>292</v>
      </c>
      <c r="L54" s="3">
        <v>34.5</v>
      </c>
      <c r="M54" s="3">
        <v>36.23</v>
      </c>
      <c r="N54" s="3">
        <v>74.99</v>
      </c>
      <c r="O54" s="2" t="s">
        <v>327</v>
      </c>
      <c r="P54" s="2" t="s">
        <v>333</v>
      </c>
      <c r="Q54" s="2" t="s">
        <v>234</v>
      </c>
      <c r="R54" s="2" t="s">
        <v>235</v>
      </c>
      <c r="S54" s="2" t="s">
        <v>235</v>
      </c>
      <c r="T54" s="2" t="s">
        <v>328</v>
      </c>
      <c r="U54" s="2" t="s">
        <v>264</v>
      </c>
      <c r="V54" s="2" t="s">
        <v>238</v>
      </c>
      <c r="W54" s="2" t="s">
        <v>329</v>
      </c>
      <c r="X54" s="2" t="s">
        <v>235</v>
      </c>
      <c r="Y54" s="2" t="s">
        <v>235</v>
      </c>
      <c r="Z54" s="4"/>
      <c r="AA54" s="4">
        <f>=ROUNDDOWN({0},0)</f>
      </c>
      <c r="AB54" s="5">
        <v>25</v>
      </c>
      <c r="AC54" s="2" t="s">
        <v>162</v>
      </c>
      <c r="AD54" s="4">
        <v>1062</v>
      </c>
      <c r="AE54" s="4">
        <v>1500</v>
      </c>
      <c r="AF54" s="6">
        <v>73</v>
      </c>
      <c r="AG54" s="6"/>
      <c r="AH54" s="7"/>
      <c r="AI54" s="4"/>
      <c r="AJ54" s="4">
        <f>=ROUNDDOWN({0},0)</f>
      </c>
      <c r="AK54" s="5"/>
      <c r="AL54" s="2" t="s">
        <v>235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235</v>
      </c>
      <c r="AW54" s="8" t="s">
        <v>235</v>
      </c>
      <c r="AX54" s="4" t="s">
        <v>235</v>
      </c>
      <c r="AY54" s="8" t="s">
        <v>235</v>
      </c>
      <c r="AZ54" s="7" t="s">
        <v>235</v>
      </c>
      <c r="BA54" s="7" t="s">
        <v>235</v>
      </c>
      <c r="BB54" s="7"/>
      <c r="BC54" s="4" t="s">
        <v>235</v>
      </c>
      <c r="BD54" s="8" t="s">
        <v>235</v>
      </c>
      <c r="BE54" s="4" t="s">
        <v>235</v>
      </c>
      <c r="BF54" s="8" t="s">
        <v>235</v>
      </c>
      <c r="BG54" s="7" t="s">
        <v>235</v>
      </c>
      <c r="BH54" s="7" t="s">
        <v>235</v>
      </c>
      <c r="BI54" s="7"/>
      <c r="BJ54" s="4"/>
      <c r="BK54" s="8"/>
      <c r="BL54" s="2" t="s">
        <v>235</v>
      </c>
      <c r="BM54" s="7"/>
      <c r="BN54" s="7"/>
      <c r="BO54" s="4"/>
      <c r="BP54" s="8"/>
      <c r="BQ54" s="4"/>
      <c r="BR54" s="8"/>
      <c r="BS54" s="7"/>
      <c r="BT54" s="7"/>
      <c r="BU54" s="2" t="s">
        <v>330</v>
      </c>
      <c r="BV54" s="2" t="s">
        <v>235</v>
      </c>
      <c r="BW54" s="2" t="s">
        <v>235</v>
      </c>
      <c r="BX54" s="2" t="s">
        <v>330</v>
      </c>
      <c r="BY54" s="2" t="s">
        <v>331</v>
      </c>
      <c r="BZ54" s="2" t="s">
        <v>232</v>
      </c>
      <c r="CA54" s="2" t="s">
        <v>235</v>
      </c>
      <c r="CB54" s="2" t="s">
        <v>235</v>
      </c>
      <c r="CC54" s="2" t="s">
        <v>248</v>
      </c>
      <c r="CD54" s="2" t="s">
        <v>248</v>
      </c>
      <c r="CE54" s="2" t="s">
        <v>235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>
        <v>1062</v>
      </c>
      <c r="DX54" s="4"/>
      <c r="DY54" s="4"/>
      <c r="DZ54" s="4"/>
      <c r="EA54" s="4">
        <v>438</v>
      </c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>
        <v>1062</v>
      </c>
      <c r="GK54" s="4">
        <v>1500</v>
      </c>
      <c r="GL54" s="4">
        <v>1500</v>
      </c>
      <c r="GM54" s="4">
        <v>1500</v>
      </c>
      <c r="GN54" s="4">
        <v>1500</v>
      </c>
      <c r="GO54" s="4">
        <v>1500</v>
      </c>
      <c r="GP54" s="4">
        <v>1500</v>
      </c>
      <c r="GQ54" s="4">
        <v>1500</v>
      </c>
      <c r="GR54" s="4">
        <v>1500</v>
      </c>
      <c r="GS54" s="4">
        <v>1421</v>
      </c>
      <c r="GT54" s="4">
        <v>1366</v>
      </c>
      <c r="GU54" s="4">
        <v>1320</v>
      </c>
      <c r="GV54" s="4">
        <v>1298</v>
      </c>
      <c r="GW54" s="4">
        <v>1276</v>
      </c>
      <c r="GX54" s="4">
        <v>1254</v>
      </c>
      <c r="GY54" s="4">
        <v>1232</v>
      </c>
      <c r="GZ54" s="4">
        <v>1210</v>
      </c>
      <c r="HA54" s="4">
        <v>1188</v>
      </c>
      <c r="HB54" s="4">
        <v>1166</v>
      </c>
      <c r="HC54" s="4">
        <v>1140</v>
      </c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19">
        <v>75</v>
      </c>
      <c r="HP54" s="19">
        <v>44.1</v>
      </c>
      <c r="HQ54" s="19">
        <v>33.3</v>
      </c>
      <c r="HR54" s="19">
        <v>30</v>
      </c>
      <c r="HS54" s="19">
        <v>39.5</v>
      </c>
      <c r="HT54" s="19">
        <v>48.8</v>
      </c>
      <c r="HU54" s="19">
        <v>60</v>
      </c>
      <c r="HV54" s="19">
        <v>59</v>
      </c>
      <c r="HW54" s="19">
        <v>58</v>
      </c>
      <c r="HX54" s="19">
        <v>57</v>
      </c>
      <c r="HY54" s="19">
        <v>53.6</v>
      </c>
      <c r="HZ54" s="19">
        <v>52.6</v>
      </c>
      <c r="IA54" s="19">
        <v>51.7</v>
      </c>
      <c r="IB54" s="19">
        <v>50.7</v>
      </c>
      <c r="IC54" s="19">
        <v>51.8</v>
      </c>
    </row>
    <row r="55">
      <c r="A55" s="2" t="s">
        <v>345</v>
      </c>
      <c r="B55" s="2" t="s">
        <v>323</v>
      </c>
      <c r="C55" s="2" t="s">
        <v>324</v>
      </c>
      <c r="D55" s="2" t="s">
        <v>257</v>
      </c>
      <c r="E55" s="2" t="s">
        <v>258</v>
      </c>
      <c r="F55" s="2" t="s">
        <v>325</v>
      </c>
      <c r="G55" s="2" t="s">
        <v>325</v>
      </c>
      <c r="H55" s="2" t="s">
        <v>325</v>
      </c>
      <c r="I55" s="2" t="s">
        <v>326</v>
      </c>
      <c r="J55" s="2" t="s">
        <v>272</v>
      </c>
      <c r="K55" s="2" t="s">
        <v>292</v>
      </c>
      <c r="L55" s="3">
        <v>34.5</v>
      </c>
      <c r="M55" s="3">
        <v>36.23</v>
      </c>
      <c r="N55" s="3">
        <v>74.99</v>
      </c>
      <c r="O55" s="2" t="s">
        <v>327</v>
      </c>
      <c r="P55" s="2" t="s">
        <v>233</v>
      </c>
      <c r="Q55" s="2" t="s">
        <v>234</v>
      </c>
      <c r="R55" s="2" t="s">
        <v>235</v>
      </c>
      <c r="S55" s="2" t="s">
        <v>235</v>
      </c>
      <c r="T55" s="2" t="s">
        <v>328</v>
      </c>
      <c r="U55" s="2" t="s">
        <v>264</v>
      </c>
      <c r="V55" s="2" t="s">
        <v>238</v>
      </c>
      <c r="W55" s="2" t="s">
        <v>329</v>
      </c>
      <c r="X55" s="2" t="s">
        <v>235</v>
      </c>
      <c r="Y55" s="2" t="s">
        <v>235</v>
      </c>
      <c r="Z55" s="4"/>
      <c r="AA55" s="4">
        <f>=ROUNDDOWN({0},0)</f>
      </c>
      <c r="AB55" s="5"/>
      <c r="AC55" s="2" t="s">
        <v>166</v>
      </c>
      <c r="AD55" s="4">
        <v>260</v>
      </c>
      <c r="AE55" s="4">
        <v>260</v>
      </c>
      <c r="AF55" s="6">
        <v>73</v>
      </c>
      <c r="AG55" s="6"/>
      <c r="AH55" s="7"/>
      <c r="AI55" s="4"/>
      <c r="AJ55" s="4">
        <f>=ROUNDDOWN({0},0)</f>
      </c>
      <c r="AK55" s="5"/>
      <c r="AL55" s="2" t="s">
        <v>235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235</v>
      </c>
      <c r="AW55" s="8" t="s">
        <v>235</v>
      </c>
      <c r="AX55" s="4" t="s">
        <v>235</v>
      </c>
      <c r="AY55" s="8" t="s">
        <v>235</v>
      </c>
      <c r="AZ55" s="7" t="s">
        <v>235</v>
      </c>
      <c r="BA55" s="7" t="s">
        <v>235</v>
      </c>
      <c r="BB55" s="7"/>
      <c r="BC55" s="4" t="s">
        <v>235</v>
      </c>
      <c r="BD55" s="8" t="s">
        <v>235</v>
      </c>
      <c r="BE55" s="4" t="s">
        <v>235</v>
      </c>
      <c r="BF55" s="8" t="s">
        <v>235</v>
      </c>
      <c r="BG55" s="7" t="s">
        <v>235</v>
      </c>
      <c r="BH55" s="7" t="s">
        <v>235</v>
      </c>
      <c r="BI55" s="7"/>
      <c r="BJ55" s="4"/>
      <c r="BK55" s="8"/>
      <c r="BL55" s="2" t="s">
        <v>235</v>
      </c>
      <c r="BM55" s="7"/>
      <c r="BN55" s="7"/>
      <c r="BO55" s="4"/>
      <c r="BP55" s="8"/>
      <c r="BQ55" s="4"/>
      <c r="BR55" s="8"/>
      <c r="BS55" s="7"/>
      <c r="BT55" s="7"/>
      <c r="BU55" s="2" t="s">
        <v>330</v>
      </c>
      <c r="BV55" s="2" t="s">
        <v>235</v>
      </c>
      <c r="BW55" s="2" t="s">
        <v>235</v>
      </c>
      <c r="BX55" s="2" t="s">
        <v>330</v>
      </c>
      <c r="BY55" s="2" t="s">
        <v>331</v>
      </c>
      <c r="BZ55" s="2" t="s">
        <v>232</v>
      </c>
      <c r="CA55" s="2" t="s">
        <v>235</v>
      </c>
      <c r="CB55" s="2" t="s">
        <v>235</v>
      </c>
      <c r="CC55" s="2" t="s">
        <v>248</v>
      </c>
      <c r="CD55" s="2" t="s">
        <v>248</v>
      </c>
      <c r="CE55" s="2" t="s">
        <v>235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>
        <v>260</v>
      </c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>
        <v>260</v>
      </c>
      <c r="GL55" s="4">
        <v>260</v>
      </c>
      <c r="GM55" s="4">
        <v>260</v>
      </c>
      <c r="GN55" s="4">
        <v>260</v>
      </c>
      <c r="GO55" s="4">
        <v>260</v>
      </c>
      <c r="GP55" s="4">
        <v>260</v>
      </c>
      <c r="GQ55" s="4">
        <v>260</v>
      </c>
      <c r="GR55" s="4">
        <v>260</v>
      </c>
      <c r="GS55" s="4">
        <v>260</v>
      </c>
      <c r="GT55" s="4">
        <v>260</v>
      </c>
      <c r="GU55" s="4">
        <v>260</v>
      </c>
      <c r="GV55" s="4">
        <v>260</v>
      </c>
      <c r="GW55" s="4">
        <v>260</v>
      </c>
      <c r="GX55" s="4">
        <v>260</v>
      </c>
      <c r="GY55" s="4">
        <v>260</v>
      </c>
      <c r="GZ55" s="4">
        <v>260</v>
      </c>
      <c r="HA55" s="4">
        <v>260</v>
      </c>
      <c r="HB55" s="4">
        <v>260</v>
      </c>
      <c r="HC55" s="4">
        <v>260</v>
      </c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19">
        <v>130</v>
      </c>
      <c r="IA55" s="19">
        <v>65</v>
      </c>
      <c r="IB55" s="19">
        <v>52</v>
      </c>
      <c r="IC55" s="19">
        <v>37.1</v>
      </c>
    </row>
    <row r="56">
      <c r="A56" s="2" t="s">
        <v>346</v>
      </c>
      <c r="B56" s="2" t="s">
        <v>323</v>
      </c>
      <c r="C56" s="2" t="s">
        <v>324</v>
      </c>
      <c r="D56" s="2" t="s">
        <v>257</v>
      </c>
      <c r="E56" s="2" t="s">
        <v>258</v>
      </c>
      <c r="F56" s="2" t="s">
        <v>325</v>
      </c>
      <c r="G56" s="2" t="s">
        <v>325</v>
      </c>
      <c r="H56" s="2" t="s">
        <v>325</v>
      </c>
      <c r="I56" s="2" t="s">
        <v>326</v>
      </c>
      <c r="J56" s="2" t="s">
        <v>250</v>
      </c>
      <c r="K56" s="2" t="s">
        <v>295</v>
      </c>
      <c r="L56" s="3">
        <v>29.9</v>
      </c>
      <c r="M56" s="3">
        <v>31.4</v>
      </c>
      <c r="N56" s="3">
        <v>64.99</v>
      </c>
      <c r="O56" s="2" t="s">
        <v>327</v>
      </c>
      <c r="P56" s="2" t="s">
        <v>233</v>
      </c>
      <c r="Q56" s="2" t="s">
        <v>234</v>
      </c>
      <c r="R56" s="2" t="s">
        <v>235</v>
      </c>
      <c r="S56" s="2" t="s">
        <v>235</v>
      </c>
      <c r="T56" s="2" t="s">
        <v>328</v>
      </c>
      <c r="U56" s="2" t="s">
        <v>264</v>
      </c>
      <c r="V56" s="2" t="s">
        <v>238</v>
      </c>
      <c r="W56" s="2" t="s">
        <v>329</v>
      </c>
      <c r="X56" s="2" t="s">
        <v>235</v>
      </c>
      <c r="Y56" s="2" t="s">
        <v>235</v>
      </c>
      <c r="Z56" s="4"/>
      <c r="AA56" s="4">
        <f>=ROUNDDOWN({0},0)</f>
      </c>
      <c r="AB56" s="5">
        <v>7</v>
      </c>
      <c r="AC56" s="2" t="s">
        <v>166</v>
      </c>
      <c r="AD56" s="4">
        <v>280</v>
      </c>
      <c r="AE56" s="4">
        <v>280</v>
      </c>
      <c r="AF56" s="6">
        <v>73</v>
      </c>
      <c r="AG56" s="6"/>
      <c r="AH56" s="7"/>
      <c r="AI56" s="4"/>
      <c r="AJ56" s="4">
        <f>=ROUNDDOWN({0},0)</f>
      </c>
      <c r="AK56" s="5"/>
      <c r="AL56" s="2" t="s">
        <v>235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235</v>
      </c>
      <c r="AW56" s="8" t="s">
        <v>235</v>
      </c>
      <c r="AX56" s="4" t="s">
        <v>235</v>
      </c>
      <c r="AY56" s="8" t="s">
        <v>235</v>
      </c>
      <c r="AZ56" s="7" t="s">
        <v>235</v>
      </c>
      <c r="BA56" s="7" t="s">
        <v>235</v>
      </c>
      <c r="BB56" s="7"/>
      <c r="BC56" s="4" t="s">
        <v>235</v>
      </c>
      <c r="BD56" s="8" t="s">
        <v>235</v>
      </c>
      <c r="BE56" s="4" t="s">
        <v>235</v>
      </c>
      <c r="BF56" s="8" t="s">
        <v>235</v>
      </c>
      <c r="BG56" s="7" t="s">
        <v>235</v>
      </c>
      <c r="BH56" s="7" t="s">
        <v>235</v>
      </c>
      <c r="BI56" s="7"/>
      <c r="BJ56" s="4"/>
      <c r="BK56" s="8"/>
      <c r="BL56" s="2" t="s">
        <v>235</v>
      </c>
      <c r="BM56" s="7"/>
      <c r="BN56" s="7"/>
      <c r="BO56" s="4"/>
      <c r="BP56" s="8"/>
      <c r="BQ56" s="4"/>
      <c r="BR56" s="8"/>
      <c r="BS56" s="7"/>
      <c r="BT56" s="7"/>
      <c r="BU56" s="2" t="s">
        <v>330</v>
      </c>
      <c r="BV56" s="2" t="s">
        <v>235</v>
      </c>
      <c r="BW56" s="2" t="s">
        <v>235</v>
      </c>
      <c r="BX56" s="2" t="s">
        <v>330</v>
      </c>
      <c r="BY56" s="2" t="s">
        <v>331</v>
      </c>
      <c r="BZ56" s="2" t="s">
        <v>232</v>
      </c>
      <c r="CA56" s="2" t="s">
        <v>235</v>
      </c>
      <c r="CB56" s="2" t="s">
        <v>235</v>
      </c>
      <c r="CC56" s="2" t="s">
        <v>248</v>
      </c>
      <c r="CD56" s="2" t="s">
        <v>248</v>
      </c>
      <c r="CE56" s="2" t="s">
        <v>235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>
        <v>280</v>
      </c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>
        <v>280</v>
      </c>
      <c r="GL56" s="4">
        <v>280</v>
      </c>
      <c r="GM56" s="4">
        <v>280</v>
      </c>
      <c r="GN56" s="4">
        <v>280</v>
      </c>
      <c r="GO56" s="4">
        <v>280</v>
      </c>
      <c r="GP56" s="4">
        <v>280</v>
      </c>
      <c r="GQ56" s="4">
        <v>280</v>
      </c>
      <c r="GR56" s="4">
        <v>280</v>
      </c>
      <c r="GS56" s="4">
        <v>280</v>
      </c>
      <c r="GT56" s="4">
        <v>280</v>
      </c>
      <c r="GU56" s="4">
        <v>280</v>
      </c>
      <c r="GV56" s="4">
        <v>280</v>
      </c>
      <c r="GW56" s="4">
        <v>274</v>
      </c>
      <c r="GX56" s="4">
        <v>268</v>
      </c>
      <c r="GY56" s="4">
        <v>262</v>
      </c>
      <c r="GZ56" s="4">
        <v>256</v>
      </c>
      <c r="HA56" s="4">
        <v>250</v>
      </c>
      <c r="HB56" s="4">
        <v>244</v>
      </c>
      <c r="HC56" s="4">
        <v>237</v>
      </c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19">
        <v>140</v>
      </c>
      <c r="HT56" s="19">
        <v>93.3</v>
      </c>
      <c r="HU56" s="19">
        <v>70</v>
      </c>
      <c r="HV56" s="19">
        <v>46.7</v>
      </c>
      <c r="HW56" s="19">
        <v>45.7</v>
      </c>
      <c r="HX56" s="19">
        <v>44.7</v>
      </c>
      <c r="HY56" s="19">
        <v>43.7</v>
      </c>
      <c r="HZ56" s="19">
        <v>42.7</v>
      </c>
      <c r="IA56" s="19">
        <v>41.7</v>
      </c>
      <c r="IB56" s="19">
        <v>40.7</v>
      </c>
      <c r="IC56" s="19">
        <v>39.5</v>
      </c>
    </row>
    <row r="57">
      <c r="A57" s="2" t="s">
        <v>347</v>
      </c>
      <c r="B57" s="2" t="s">
        <v>323</v>
      </c>
      <c r="C57" s="2" t="s">
        <v>324</v>
      </c>
      <c r="D57" s="2" t="s">
        <v>257</v>
      </c>
      <c r="E57" s="2" t="s">
        <v>258</v>
      </c>
      <c r="F57" s="2" t="s">
        <v>325</v>
      </c>
      <c r="G57" s="2" t="s">
        <v>325</v>
      </c>
      <c r="H57" s="2" t="s">
        <v>325</v>
      </c>
      <c r="I57" s="2" t="s">
        <v>326</v>
      </c>
      <c r="J57" s="2" t="s">
        <v>261</v>
      </c>
      <c r="K57" s="2" t="s">
        <v>295</v>
      </c>
      <c r="L57" s="3">
        <v>32.2</v>
      </c>
      <c r="M57" s="3">
        <v>33.81</v>
      </c>
      <c r="N57" s="3">
        <v>69.99</v>
      </c>
      <c r="O57" s="2" t="s">
        <v>327</v>
      </c>
      <c r="P57" s="2" t="s">
        <v>333</v>
      </c>
      <c r="Q57" s="2" t="s">
        <v>234</v>
      </c>
      <c r="R57" s="2" t="s">
        <v>235</v>
      </c>
      <c r="S57" s="2" t="s">
        <v>235</v>
      </c>
      <c r="T57" s="2" t="s">
        <v>328</v>
      </c>
      <c r="U57" s="2" t="s">
        <v>264</v>
      </c>
      <c r="V57" s="2" t="s">
        <v>238</v>
      </c>
      <c r="W57" s="2" t="s">
        <v>329</v>
      </c>
      <c r="X57" s="2" t="s">
        <v>235</v>
      </c>
      <c r="Y57" s="2" t="s">
        <v>235</v>
      </c>
      <c r="Z57" s="4"/>
      <c r="AA57" s="4">
        <f>=ROUNDDOWN({0},0)</f>
      </c>
      <c r="AB57" s="5">
        <v>36</v>
      </c>
      <c r="AC57" s="2" t="s">
        <v>166</v>
      </c>
      <c r="AD57" s="4">
        <v>1800</v>
      </c>
      <c r="AE57" s="4">
        <v>1800</v>
      </c>
      <c r="AF57" s="6">
        <v>73</v>
      </c>
      <c r="AG57" s="6"/>
      <c r="AH57" s="7"/>
      <c r="AI57" s="4"/>
      <c r="AJ57" s="4">
        <f>=ROUNDDOWN({0},0)</f>
      </c>
      <c r="AK57" s="5"/>
      <c r="AL57" s="2" t="s">
        <v>235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235</v>
      </c>
      <c r="AW57" s="8" t="s">
        <v>235</v>
      </c>
      <c r="AX57" s="4" t="s">
        <v>235</v>
      </c>
      <c r="AY57" s="8" t="s">
        <v>235</v>
      </c>
      <c r="AZ57" s="7" t="s">
        <v>235</v>
      </c>
      <c r="BA57" s="7" t="s">
        <v>235</v>
      </c>
      <c r="BB57" s="7"/>
      <c r="BC57" s="4" t="s">
        <v>235</v>
      </c>
      <c r="BD57" s="8" t="s">
        <v>235</v>
      </c>
      <c r="BE57" s="4" t="s">
        <v>235</v>
      </c>
      <c r="BF57" s="8" t="s">
        <v>235</v>
      </c>
      <c r="BG57" s="7" t="s">
        <v>235</v>
      </c>
      <c r="BH57" s="7" t="s">
        <v>235</v>
      </c>
      <c r="BI57" s="7"/>
      <c r="BJ57" s="4"/>
      <c r="BK57" s="8"/>
      <c r="BL57" s="2" t="s">
        <v>235</v>
      </c>
      <c r="BM57" s="7"/>
      <c r="BN57" s="7"/>
      <c r="BO57" s="4"/>
      <c r="BP57" s="8"/>
      <c r="BQ57" s="4"/>
      <c r="BR57" s="8"/>
      <c r="BS57" s="7"/>
      <c r="BT57" s="7"/>
      <c r="BU57" s="2" t="s">
        <v>330</v>
      </c>
      <c r="BV57" s="2" t="s">
        <v>235</v>
      </c>
      <c r="BW57" s="2" t="s">
        <v>235</v>
      </c>
      <c r="BX57" s="2" t="s">
        <v>330</v>
      </c>
      <c r="BY57" s="2" t="s">
        <v>331</v>
      </c>
      <c r="BZ57" s="2" t="s">
        <v>232</v>
      </c>
      <c r="CA57" s="2" t="s">
        <v>235</v>
      </c>
      <c r="CB57" s="2" t="s">
        <v>235</v>
      </c>
      <c r="CC57" s="2" t="s">
        <v>248</v>
      </c>
      <c r="CD57" s="2" t="s">
        <v>248</v>
      </c>
      <c r="CE57" s="2" t="s">
        <v>235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>
        <v>1800</v>
      </c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>
        <v>1800</v>
      </c>
      <c r="GL57" s="4">
        <v>1800</v>
      </c>
      <c r="GM57" s="4">
        <v>1800</v>
      </c>
      <c r="GN57" s="4">
        <v>1800</v>
      </c>
      <c r="GO57" s="4">
        <v>1800</v>
      </c>
      <c r="GP57" s="4">
        <v>1800</v>
      </c>
      <c r="GQ57" s="4">
        <v>1800</v>
      </c>
      <c r="GR57" s="4">
        <v>1800</v>
      </c>
      <c r="GS57" s="4">
        <v>1680</v>
      </c>
      <c r="GT57" s="4">
        <v>1623</v>
      </c>
      <c r="GU57" s="4">
        <v>1554</v>
      </c>
      <c r="GV57" s="4">
        <v>1524</v>
      </c>
      <c r="GW57" s="4">
        <v>1494</v>
      </c>
      <c r="GX57" s="4">
        <v>1464</v>
      </c>
      <c r="GY57" s="4">
        <v>1434</v>
      </c>
      <c r="GZ57" s="4">
        <v>1404</v>
      </c>
      <c r="HA57" s="4">
        <v>1374</v>
      </c>
      <c r="HB57" s="4">
        <v>1344</v>
      </c>
      <c r="HC57" s="4">
        <v>1308</v>
      </c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19">
        <v>60</v>
      </c>
      <c r="HP57" s="19">
        <v>40.9</v>
      </c>
      <c r="HQ57" s="19">
        <v>29</v>
      </c>
      <c r="HR57" s="19">
        <v>26.1</v>
      </c>
      <c r="HS57" s="19">
        <v>36.5</v>
      </c>
      <c r="HT57" s="19">
        <v>40.6</v>
      </c>
      <c r="HU57" s="19">
        <v>51.8</v>
      </c>
      <c r="HV57" s="19">
        <v>50.8</v>
      </c>
      <c r="HW57" s="19">
        <v>49.8</v>
      </c>
      <c r="HX57" s="19">
        <v>48.8</v>
      </c>
      <c r="HY57" s="19">
        <v>44.8</v>
      </c>
      <c r="HZ57" s="19">
        <v>43.9</v>
      </c>
      <c r="IA57" s="19">
        <v>42.9</v>
      </c>
      <c r="IB57" s="19">
        <v>42</v>
      </c>
      <c r="IC57" s="19">
        <v>43.6</v>
      </c>
    </row>
    <row r="58">
      <c r="A58" s="2" t="s">
        <v>348</v>
      </c>
      <c r="B58" s="2" t="s">
        <v>323</v>
      </c>
      <c r="C58" s="2" t="s">
        <v>324</v>
      </c>
      <c r="D58" s="2" t="s">
        <v>257</v>
      </c>
      <c r="E58" s="2" t="s">
        <v>258</v>
      </c>
      <c r="F58" s="2" t="s">
        <v>325</v>
      </c>
      <c r="G58" s="2" t="s">
        <v>325</v>
      </c>
      <c r="H58" s="2" t="s">
        <v>325</v>
      </c>
      <c r="I58" s="2" t="s">
        <v>326</v>
      </c>
      <c r="J58" s="2" t="s">
        <v>270</v>
      </c>
      <c r="K58" s="2" t="s">
        <v>295</v>
      </c>
      <c r="L58" s="3">
        <v>34.5</v>
      </c>
      <c r="M58" s="3">
        <v>36.23</v>
      </c>
      <c r="N58" s="3">
        <v>74.99</v>
      </c>
      <c r="O58" s="2" t="s">
        <v>327</v>
      </c>
      <c r="P58" s="2" t="s">
        <v>333</v>
      </c>
      <c r="Q58" s="2" t="s">
        <v>234</v>
      </c>
      <c r="R58" s="2" t="s">
        <v>235</v>
      </c>
      <c r="S58" s="2" t="s">
        <v>235</v>
      </c>
      <c r="T58" s="2" t="s">
        <v>328</v>
      </c>
      <c r="U58" s="2" t="s">
        <v>264</v>
      </c>
      <c r="V58" s="2" t="s">
        <v>238</v>
      </c>
      <c r="W58" s="2" t="s">
        <v>329</v>
      </c>
      <c r="X58" s="2" t="s">
        <v>235</v>
      </c>
      <c r="Y58" s="2" t="s">
        <v>235</v>
      </c>
      <c r="Z58" s="4"/>
      <c r="AA58" s="4">
        <f>=ROUNDDOWN({0},0)</f>
      </c>
      <c r="AB58" s="5">
        <v>28</v>
      </c>
      <c r="AC58" s="2" t="s">
        <v>166</v>
      </c>
      <c r="AD58" s="4">
        <v>960</v>
      </c>
      <c r="AE58" s="4">
        <v>960</v>
      </c>
      <c r="AF58" s="6">
        <v>73</v>
      </c>
      <c r="AG58" s="6"/>
      <c r="AH58" s="7"/>
      <c r="AI58" s="4"/>
      <c r="AJ58" s="4">
        <f>=ROUNDDOWN({0},0)</f>
      </c>
      <c r="AK58" s="5"/>
      <c r="AL58" s="2" t="s">
        <v>235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235</v>
      </c>
      <c r="AW58" s="8" t="s">
        <v>235</v>
      </c>
      <c r="AX58" s="4" t="s">
        <v>235</v>
      </c>
      <c r="AY58" s="8" t="s">
        <v>235</v>
      </c>
      <c r="AZ58" s="7" t="s">
        <v>235</v>
      </c>
      <c r="BA58" s="7" t="s">
        <v>235</v>
      </c>
      <c r="BB58" s="7"/>
      <c r="BC58" s="4" t="s">
        <v>235</v>
      </c>
      <c r="BD58" s="8" t="s">
        <v>235</v>
      </c>
      <c r="BE58" s="4" t="s">
        <v>235</v>
      </c>
      <c r="BF58" s="8" t="s">
        <v>235</v>
      </c>
      <c r="BG58" s="7" t="s">
        <v>235</v>
      </c>
      <c r="BH58" s="7" t="s">
        <v>235</v>
      </c>
      <c r="BI58" s="7"/>
      <c r="BJ58" s="4"/>
      <c r="BK58" s="8"/>
      <c r="BL58" s="2" t="s">
        <v>235</v>
      </c>
      <c r="BM58" s="7"/>
      <c r="BN58" s="7"/>
      <c r="BO58" s="4"/>
      <c r="BP58" s="8"/>
      <c r="BQ58" s="4"/>
      <c r="BR58" s="8"/>
      <c r="BS58" s="7"/>
      <c r="BT58" s="7"/>
      <c r="BU58" s="2" t="s">
        <v>330</v>
      </c>
      <c r="BV58" s="2" t="s">
        <v>235</v>
      </c>
      <c r="BW58" s="2" t="s">
        <v>235</v>
      </c>
      <c r="BX58" s="2" t="s">
        <v>330</v>
      </c>
      <c r="BY58" s="2" t="s">
        <v>331</v>
      </c>
      <c r="BZ58" s="2" t="s">
        <v>232</v>
      </c>
      <c r="CA58" s="2" t="s">
        <v>235</v>
      </c>
      <c r="CB58" s="2" t="s">
        <v>235</v>
      </c>
      <c r="CC58" s="2" t="s">
        <v>248</v>
      </c>
      <c r="CD58" s="2" t="s">
        <v>248</v>
      </c>
      <c r="CE58" s="2" t="s">
        <v>235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>
        <v>960</v>
      </c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>
        <v>960</v>
      </c>
      <c r="GL58" s="4">
        <v>960</v>
      </c>
      <c r="GM58" s="4">
        <v>960</v>
      </c>
      <c r="GN58" s="4">
        <v>960</v>
      </c>
      <c r="GO58" s="4">
        <v>960</v>
      </c>
      <c r="GP58" s="4">
        <v>960</v>
      </c>
      <c r="GQ58" s="4">
        <v>960</v>
      </c>
      <c r="GR58" s="4">
        <v>960</v>
      </c>
      <c r="GS58" s="4">
        <v>960</v>
      </c>
      <c r="GT58" s="4">
        <v>960</v>
      </c>
      <c r="GU58" s="4">
        <v>960</v>
      </c>
      <c r="GV58" s="4">
        <v>934</v>
      </c>
      <c r="GW58" s="4">
        <v>908</v>
      </c>
      <c r="GX58" s="4">
        <v>882</v>
      </c>
      <c r="GY58" s="4">
        <v>856</v>
      </c>
      <c r="GZ58" s="4">
        <v>830</v>
      </c>
      <c r="HA58" s="4">
        <v>804</v>
      </c>
      <c r="HB58" s="4">
        <v>778</v>
      </c>
      <c r="HC58" s="4">
        <v>747</v>
      </c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19">
        <v>160</v>
      </c>
      <c r="HS58" s="19">
        <v>73.8</v>
      </c>
      <c r="HT58" s="19">
        <v>48</v>
      </c>
      <c r="HU58" s="19">
        <v>36.9</v>
      </c>
      <c r="HV58" s="19">
        <v>35.9</v>
      </c>
      <c r="HW58" s="19">
        <v>34.9</v>
      </c>
      <c r="HX58" s="19">
        <v>33.9</v>
      </c>
      <c r="HY58" s="19">
        <v>31.7</v>
      </c>
      <c r="HZ58" s="19">
        <v>30.7</v>
      </c>
      <c r="IA58" s="19">
        <v>29.8</v>
      </c>
      <c r="IB58" s="19">
        <v>28.8</v>
      </c>
      <c r="IC58" s="19">
        <v>28.7</v>
      </c>
    </row>
    <row r="59">
      <c r="A59" s="2" t="s">
        <v>349</v>
      </c>
      <c r="B59" s="2" t="s">
        <v>323</v>
      </c>
      <c r="C59" s="2" t="s">
        <v>324</v>
      </c>
      <c r="D59" s="2" t="s">
        <v>257</v>
      </c>
      <c r="E59" s="2" t="s">
        <v>258</v>
      </c>
      <c r="F59" s="2" t="s">
        <v>325</v>
      </c>
      <c r="G59" s="2" t="s">
        <v>325</v>
      </c>
      <c r="H59" s="2" t="s">
        <v>325</v>
      </c>
      <c r="I59" s="2" t="s">
        <v>326</v>
      </c>
      <c r="J59" s="2" t="s">
        <v>272</v>
      </c>
      <c r="K59" s="2" t="s">
        <v>295</v>
      </c>
      <c r="L59" s="3">
        <v>34.5</v>
      </c>
      <c r="M59" s="3">
        <v>36.23</v>
      </c>
      <c r="N59" s="3">
        <v>74.99</v>
      </c>
      <c r="O59" s="2" t="s">
        <v>327</v>
      </c>
      <c r="P59" s="2" t="s">
        <v>336</v>
      </c>
      <c r="Q59" s="2" t="s">
        <v>234</v>
      </c>
      <c r="R59" s="2" t="s">
        <v>235</v>
      </c>
      <c r="S59" s="2" t="s">
        <v>235</v>
      </c>
      <c r="T59" s="2" t="s">
        <v>328</v>
      </c>
      <c r="U59" s="2" t="s">
        <v>264</v>
      </c>
      <c r="V59" s="2" t="s">
        <v>238</v>
      </c>
      <c r="W59" s="2" t="s">
        <v>329</v>
      </c>
      <c r="X59" s="2" t="s">
        <v>235</v>
      </c>
      <c r="Y59" s="2" t="s">
        <v>235</v>
      </c>
      <c r="Z59" s="4"/>
      <c r="AA59" s="4">
        <f>=ROUNDDOWN({0},0)</f>
      </c>
      <c r="AB59" s="5"/>
      <c r="AC59" s="2" t="s">
        <v>166</v>
      </c>
      <c r="AD59" s="4">
        <v>360</v>
      </c>
      <c r="AE59" s="4">
        <v>360</v>
      </c>
      <c r="AF59" s="6">
        <v>73</v>
      </c>
      <c r="AG59" s="6"/>
      <c r="AH59" s="7"/>
      <c r="AI59" s="4"/>
      <c r="AJ59" s="4">
        <f>=ROUNDDOWN({0},0)</f>
      </c>
      <c r="AK59" s="5"/>
      <c r="AL59" s="2" t="s">
        <v>235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235</v>
      </c>
      <c r="AW59" s="8" t="s">
        <v>235</v>
      </c>
      <c r="AX59" s="4" t="s">
        <v>235</v>
      </c>
      <c r="AY59" s="8" t="s">
        <v>235</v>
      </c>
      <c r="AZ59" s="7" t="s">
        <v>235</v>
      </c>
      <c r="BA59" s="7" t="s">
        <v>235</v>
      </c>
      <c r="BB59" s="7"/>
      <c r="BC59" s="4" t="s">
        <v>235</v>
      </c>
      <c r="BD59" s="8" t="s">
        <v>235</v>
      </c>
      <c r="BE59" s="4" t="s">
        <v>235</v>
      </c>
      <c r="BF59" s="8" t="s">
        <v>235</v>
      </c>
      <c r="BG59" s="7" t="s">
        <v>235</v>
      </c>
      <c r="BH59" s="7" t="s">
        <v>235</v>
      </c>
      <c r="BI59" s="7"/>
      <c r="BJ59" s="4"/>
      <c r="BK59" s="8"/>
      <c r="BL59" s="2" t="s">
        <v>235</v>
      </c>
      <c r="BM59" s="7"/>
      <c r="BN59" s="7"/>
      <c r="BO59" s="4"/>
      <c r="BP59" s="8"/>
      <c r="BQ59" s="4"/>
      <c r="BR59" s="8"/>
      <c r="BS59" s="7"/>
      <c r="BT59" s="7"/>
      <c r="BU59" s="2" t="s">
        <v>330</v>
      </c>
      <c r="BV59" s="2" t="s">
        <v>235</v>
      </c>
      <c r="BW59" s="2" t="s">
        <v>235</v>
      </c>
      <c r="BX59" s="2" t="s">
        <v>330</v>
      </c>
      <c r="BY59" s="2" t="s">
        <v>331</v>
      </c>
      <c r="BZ59" s="2" t="s">
        <v>232</v>
      </c>
      <c r="CA59" s="2" t="s">
        <v>235</v>
      </c>
      <c r="CB59" s="2" t="s">
        <v>235</v>
      </c>
      <c r="CC59" s="2" t="s">
        <v>248</v>
      </c>
      <c r="CD59" s="2" t="s">
        <v>248</v>
      </c>
      <c r="CE59" s="2" t="s">
        <v>235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>
        <v>360</v>
      </c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>
        <v>360</v>
      </c>
      <c r="GL59" s="4">
        <v>360</v>
      </c>
      <c r="GM59" s="4">
        <v>360</v>
      </c>
      <c r="GN59" s="4">
        <v>360</v>
      </c>
      <c r="GO59" s="4">
        <v>360</v>
      </c>
      <c r="GP59" s="4">
        <v>360</v>
      </c>
      <c r="GQ59" s="4">
        <v>360</v>
      </c>
      <c r="GR59" s="4">
        <v>360</v>
      </c>
      <c r="GS59" s="4">
        <v>360</v>
      </c>
      <c r="GT59" s="4">
        <v>360</v>
      </c>
      <c r="GU59" s="4">
        <v>360</v>
      </c>
      <c r="GV59" s="4">
        <v>360</v>
      </c>
      <c r="GW59" s="4">
        <v>360</v>
      </c>
      <c r="GX59" s="4">
        <v>360</v>
      </c>
      <c r="GY59" s="4">
        <v>360</v>
      </c>
      <c r="GZ59" s="4">
        <v>360</v>
      </c>
      <c r="HA59" s="4">
        <v>352</v>
      </c>
      <c r="HB59" s="4">
        <v>344</v>
      </c>
      <c r="HC59" s="4">
        <v>334</v>
      </c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19">
        <v>180</v>
      </c>
      <c r="HX59" s="19">
        <v>90</v>
      </c>
      <c r="HY59" s="19">
        <v>60</v>
      </c>
      <c r="HZ59" s="19">
        <v>45</v>
      </c>
      <c r="IA59" s="19">
        <v>44</v>
      </c>
      <c r="IB59" s="19">
        <v>43</v>
      </c>
      <c r="IC59" s="19">
        <v>41.8</v>
      </c>
    </row>
    <row r="60">
      <c r="A60" s="2" t="s">
        <v>350</v>
      </c>
      <c r="B60" s="2" t="s">
        <v>323</v>
      </c>
      <c r="C60" s="2" t="s">
        <v>324</v>
      </c>
      <c r="D60" s="2" t="s">
        <v>257</v>
      </c>
      <c r="E60" s="2" t="s">
        <v>258</v>
      </c>
      <c r="F60" s="2" t="s">
        <v>325</v>
      </c>
      <c r="G60" s="2" t="s">
        <v>325</v>
      </c>
      <c r="H60" s="2" t="s">
        <v>325</v>
      </c>
      <c r="I60" s="2" t="s">
        <v>326</v>
      </c>
      <c r="J60" s="2" t="s">
        <v>250</v>
      </c>
      <c r="K60" s="2" t="s">
        <v>351</v>
      </c>
      <c r="L60" s="3">
        <v>29.9</v>
      </c>
      <c r="M60" s="3">
        <v>31.4</v>
      </c>
      <c r="N60" s="3">
        <v>64.99</v>
      </c>
      <c r="O60" s="2" t="s">
        <v>327</v>
      </c>
      <c r="P60" s="2" t="s">
        <v>233</v>
      </c>
      <c r="Q60" s="2" t="s">
        <v>234</v>
      </c>
      <c r="R60" s="2" t="s">
        <v>235</v>
      </c>
      <c r="S60" s="2" t="s">
        <v>235</v>
      </c>
      <c r="T60" s="2" t="s">
        <v>328</v>
      </c>
      <c r="U60" s="2" t="s">
        <v>264</v>
      </c>
      <c r="V60" s="2" t="s">
        <v>238</v>
      </c>
      <c r="W60" s="2" t="s">
        <v>329</v>
      </c>
      <c r="X60" s="2" t="s">
        <v>235</v>
      </c>
      <c r="Y60" s="2" t="s">
        <v>235</v>
      </c>
      <c r="Z60" s="4"/>
      <c r="AA60" s="4">
        <f>=ROUNDDOWN({0},0)</f>
      </c>
      <c r="AB60" s="5">
        <v>6</v>
      </c>
      <c r="AC60" s="2" t="s">
        <v>235</v>
      </c>
      <c r="AD60" s="4"/>
      <c r="AE60" s="4"/>
      <c r="AF60" s="6">
        <v>73</v>
      </c>
      <c r="AG60" s="6"/>
      <c r="AH60" s="7"/>
      <c r="AI60" s="4"/>
      <c r="AJ60" s="4">
        <f>=ROUNDDOWN({0},0)</f>
      </c>
      <c r="AK60" s="5"/>
      <c r="AL60" s="2" t="s">
        <v>235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235</v>
      </c>
      <c r="AW60" s="8" t="s">
        <v>235</v>
      </c>
      <c r="AX60" s="4" t="s">
        <v>235</v>
      </c>
      <c r="AY60" s="8" t="s">
        <v>235</v>
      </c>
      <c r="AZ60" s="7" t="s">
        <v>235</v>
      </c>
      <c r="BA60" s="7" t="s">
        <v>235</v>
      </c>
      <c r="BB60" s="7"/>
      <c r="BC60" s="4" t="s">
        <v>235</v>
      </c>
      <c r="BD60" s="8" t="s">
        <v>235</v>
      </c>
      <c r="BE60" s="4" t="s">
        <v>235</v>
      </c>
      <c r="BF60" s="8" t="s">
        <v>235</v>
      </c>
      <c r="BG60" s="7" t="s">
        <v>235</v>
      </c>
      <c r="BH60" s="7" t="s">
        <v>235</v>
      </c>
      <c r="BI60" s="7"/>
      <c r="BJ60" s="4"/>
      <c r="BK60" s="8"/>
      <c r="BL60" s="2" t="s">
        <v>235</v>
      </c>
      <c r="BM60" s="7"/>
      <c r="BN60" s="7"/>
      <c r="BO60" s="4"/>
      <c r="BP60" s="8"/>
      <c r="BQ60" s="4"/>
      <c r="BR60" s="8"/>
      <c r="BS60" s="7"/>
      <c r="BT60" s="7"/>
      <c r="BU60" s="2" t="s">
        <v>330</v>
      </c>
      <c r="BV60" s="2" t="s">
        <v>235</v>
      </c>
      <c r="BW60" s="2" t="s">
        <v>235</v>
      </c>
      <c r="BX60" s="2" t="s">
        <v>330</v>
      </c>
      <c r="BY60" s="2" t="s">
        <v>331</v>
      </c>
      <c r="BZ60" s="2" t="s">
        <v>232</v>
      </c>
      <c r="CA60" s="2" t="s">
        <v>235</v>
      </c>
      <c r="CB60" s="2" t="s">
        <v>235</v>
      </c>
      <c r="CC60" s="2" t="s">
        <v>248</v>
      </c>
      <c r="CD60" s="2" t="s">
        <v>248</v>
      </c>
      <c r="CE60" s="2" t="s">
        <v>235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</row>
    <row r="61">
      <c r="A61" s="2" t="s">
        <v>352</v>
      </c>
      <c r="B61" s="2" t="s">
        <v>323</v>
      </c>
      <c r="C61" s="2" t="s">
        <v>324</v>
      </c>
      <c r="D61" s="2" t="s">
        <v>257</v>
      </c>
      <c r="E61" s="2" t="s">
        <v>258</v>
      </c>
      <c r="F61" s="2" t="s">
        <v>325</v>
      </c>
      <c r="G61" s="2" t="s">
        <v>325</v>
      </c>
      <c r="H61" s="2" t="s">
        <v>325</v>
      </c>
      <c r="I61" s="2" t="s">
        <v>326</v>
      </c>
      <c r="J61" s="2" t="s">
        <v>261</v>
      </c>
      <c r="K61" s="2" t="s">
        <v>351</v>
      </c>
      <c r="L61" s="3">
        <v>32.2</v>
      </c>
      <c r="M61" s="3">
        <v>33.81</v>
      </c>
      <c r="N61" s="3">
        <v>69.99</v>
      </c>
      <c r="O61" s="2" t="s">
        <v>327</v>
      </c>
      <c r="P61" s="2" t="s">
        <v>333</v>
      </c>
      <c r="Q61" s="2" t="s">
        <v>234</v>
      </c>
      <c r="R61" s="2" t="s">
        <v>235</v>
      </c>
      <c r="S61" s="2" t="s">
        <v>235</v>
      </c>
      <c r="T61" s="2" t="s">
        <v>328</v>
      </c>
      <c r="U61" s="2" t="s">
        <v>264</v>
      </c>
      <c r="V61" s="2" t="s">
        <v>238</v>
      </c>
      <c r="W61" s="2" t="s">
        <v>329</v>
      </c>
      <c r="X61" s="2" t="s">
        <v>235</v>
      </c>
      <c r="Y61" s="2" t="s">
        <v>235</v>
      </c>
      <c r="Z61" s="4"/>
      <c r="AA61" s="4">
        <f>=ROUNDDOWN({0},0)</f>
      </c>
      <c r="AB61" s="5">
        <v>32</v>
      </c>
      <c r="AC61" s="2" t="s">
        <v>166</v>
      </c>
      <c r="AD61" s="4">
        <v>880</v>
      </c>
      <c r="AE61" s="4">
        <v>880</v>
      </c>
      <c r="AF61" s="6">
        <v>73</v>
      </c>
      <c r="AG61" s="6"/>
      <c r="AH61" s="7"/>
      <c r="AI61" s="4"/>
      <c r="AJ61" s="4">
        <f>=ROUNDDOWN({0},0)</f>
      </c>
      <c r="AK61" s="5"/>
      <c r="AL61" s="2" t="s">
        <v>235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235</v>
      </c>
      <c r="AW61" s="8" t="s">
        <v>235</v>
      </c>
      <c r="AX61" s="4" t="s">
        <v>235</v>
      </c>
      <c r="AY61" s="8" t="s">
        <v>235</v>
      </c>
      <c r="AZ61" s="7" t="s">
        <v>235</v>
      </c>
      <c r="BA61" s="7" t="s">
        <v>235</v>
      </c>
      <c r="BB61" s="7"/>
      <c r="BC61" s="4" t="s">
        <v>235</v>
      </c>
      <c r="BD61" s="8" t="s">
        <v>235</v>
      </c>
      <c r="BE61" s="4" t="s">
        <v>235</v>
      </c>
      <c r="BF61" s="8" t="s">
        <v>235</v>
      </c>
      <c r="BG61" s="7" t="s">
        <v>235</v>
      </c>
      <c r="BH61" s="7" t="s">
        <v>235</v>
      </c>
      <c r="BI61" s="7"/>
      <c r="BJ61" s="4"/>
      <c r="BK61" s="8"/>
      <c r="BL61" s="2" t="s">
        <v>235</v>
      </c>
      <c r="BM61" s="7"/>
      <c r="BN61" s="7"/>
      <c r="BO61" s="4"/>
      <c r="BP61" s="8"/>
      <c r="BQ61" s="4"/>
      <c r="BR61" s="8"/>
      <c r="BS61" s="7"/>
      <c r="BT61" s="7"/>
      <c r="BU61" s="2" t="s">
        <v>330</v>
      </c>
      <c r="BV61" s="2" t="s">
        <v>235</v>
      </c>
      <c r="BW61" s="2" t="s">
        <v>235</v>
      </c>
      <c r="BX61" s="2" t="s">
        <v>330</v>
      </c>
      <c r="BY61" s="2" t="s">
        <v>331</v>
      </c>
      <c r="BZ61" s="2" t="s">
        <v>232</v>
      </c>
      <c r="CA61" s="2" t="s">
        <v>235</v>
      </c>
      <c r="CB61" s="2" t="s">
        <v>235</v>
      </c>
      <c r="CC61" s="2" t="s">
        <v>248</v>
      </c>
      <c r="CD61" s="2" t="s">
        <v>248</v>
      </c>
      <c r="CE61" s="2" t="s">
        <v>235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>
        <v>880</v>
      </c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>
        <v>880</v>
      </c>
      <c r="GL61" s="4">
        <v>880</v>
      </c>
      <c r="GM61" s="4">
        <v>880</v>
      </c>
      <c r="GN61" s="4">
        <v>880</v>
      </c>
      <c r="GO61" s="4">
        <v>880</v>
      </c>
      <c r="GP61" s="4">
        <v>880</v>
      </c>
      <c r="GQ61" s="4">
        <v>880</v>
      </c>
      <c r="GR61" s="4">
        <v>880</v>
      </c>
      <c r="GS61" s="4">
        <v>880</v>
      </c>
      <c r="GT61" s="4">
        <v>880</v>
      </c>
      <c r="GU61" s="4">
        <v>816</v>
      </c>
      <c r="GV61" s="4">
        <v>788</v>
      </c>
      <c r="GW61" s="4">
        <v>760</v>
      </c>
      <c r="GX61" s="4">
        <v>732</v>
      </c>
      <c r="GY61" s="4">
        <v>704</v>
      </c>
      <c r="GZ61" s="4">
        <v>676</v>
      </c>
      <c r="HA61" s="4">
        <v>648</v>
      </c>
      <c r="HB61" s="4">
        <v>620</v>
      </c>
      <c r="HC61" s="4">
        <v>586</v>
      </c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19">
        <v>55</v>
      </c>
      <c r="HR61" s="19">
        <v>38.3</v>
      </c>
      <c r="HS61" s="19">
        <v>29.3</v>
      </c>
      <c r="HT61" s="19">
        <v>23.8</v>
      </c>
      <c r="HU61" s="19">
        <v>29.1</v>
      </c>
      <c r="HV61" s="19">
        <v>28.1</v>
      </c>
      <c r="HW61" s="19">
        <v>27.1</v>
      </c>
      <c r="HX61" s="19">
        <v>26.1</v>
      </c>
      <c r="HY61" s="19">
        <v>23.5</v>
      </c>
      <c r="HZ61" s="19">
        <v>22.5</v>
      </c>
      <c r="IA61" s="19">
        <v>21.6</v>
      </c>
      <c r="IB61" s="19">
        <v>20.7</v>
      </c>
      <c r="IC61" s="19">
        <v>20.9</v>
      </c>
    </row>
    <row r="62">
      <c r="A62" s="2" t="s">
        <v>353</v>
      </c>
      <c r="B62" s="2" t="s">
        <v>323</v>
      </c>
      <c r="C62" s="2" t="s">
        <v>324</v>
      </c>
      <c r="D62" s="2" t="s">
        <v>257</v>
      </c>
      <c r="E62" s="2" t="s">
        <v>258</v>
      </c>
      <c r="F62" s="2" t="s">
        <v>325</v>
      </c>
      <c r="G62" s="2" t="s">
        <v>325</v>
      </c>
      <c r="H62" s="2" t="s">
        <v>325</v>
      </c>
      <c r="I62" s="2" t="s">
        <v>326</v>
      </c>
      <c r="J62" s="2" t="s">
        <v>270</v>
      </c>
      <c r="K62" s="2" t="s">
        <v>351</v>
      </c>
      <c r="L62" s="3">
        <v>34.5</v>
      </c>
      <c r="M62" s="3">
        <v>36.23</v>
      </c>
      <c r="N62" s="3">
        <v>74.99</v>
      </c>
      <c r="O62" s="2" t="s">
        <v>327</v>
      </c>
      <c r="P62" s="2" t="s">
        <v>333</v>
      </c>
      <c r="Q62" s="2" t="s">
        <v>234</v>
      </c>
      <c r="R62" s="2" t="s">
        <v>235</v>
      </c>
      <c r="S62" s="2" t="s">
        <v>235</v>
      </c>
      <c r="T62" s="2" t="s">
        <v>328</v>
      </c>
      <c r="U62" s="2" t="s">
        <v>264</v>
      </c>
      <c r="V62" s="2" t="s">
        <v>238</v>
      </c>
      <c r="W62" s="2" t="s">
        <v>329</v>
      </c>
      <c r="X62" s="2" t="s">
        <v>235</v>
      </c>
      <c r="Y62" s="2" t="s">
        <v>235</v>
      </c>
      <c r="Z62" s="4"/>
      <c r="AA62" s="4">
        <f>=ROUNDDOWN({0},0)</f>
      </c>
      <c r="AB62" s="5">
        <v>16</v>
      </c>
      <c r="AC62" s="2" t="s">
        <v>162</v>
      </c>
      <c r="AD62" s="4">
        <v>480</v>
      </c>
      <c r="AE62" s="4">
        <v>600</v>
      </c>
      <c r="AF62" s="6">
        <v>73</v>
      </c>
      <c r="AG62" s="6"/>
      <c r="AH62" s="7"/>
      <c r="AI62" s="4"/>
      <c r="AJ62" s="4">
        <f>=ROUNDDOWN({0},0)</f>
      </c>
      <c r="AK62" s="5"/>
      <c r="AL62" s="2" t="s">
        <v>235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235</v>
      </c>
      <c r="AW62" s="8" t="s">
        <v>235</v>
      </c>
      <c r="AX62" s="4" t="s">
        <v>235</v>
      </c>
      <c r="AY62" s="8" t="s">
        <v>235</v>
      </c>
      <c r="AZ62" s="7" t="s">
        <v>235</v>
      </c>
      <c r="BA62" s="7" t="s">
        <v>235</v>
      </c>
      <c r="BB62" s="7"/>
      <c r="BC62" s="4" t="s">
        <v>235</v>
      </c>
      <c r="BD62" s="8" t="s">
        <v>235</v>
      </c>
      <c r="BE62" s="4" t="s">
        <v>235</v>
      </c>
      <c r="BF62" s="8" t="s">
        <v>235</v>
      </c>
      <c r="BG62" s="7" t="s">
        <v>235</v>
      </c>
      <c r="BH62" s="7" t="s">
        <v>235</v>
      </c>
      <c r="BI62" s="7"/>
      <c r="BJ62" s="4"/>
      <c r="BK62" s="8"/>
      <c r="BL62" s="2" t="s">
        <v>235</v>
      </c>
      <c r="BM62" s="7"/>
      <c r="BN62" s="7"/>
      <c r="BO62" s="4"/>
      <c r="BP62" s="8"/>
      <c r="BQ62" s="4"/>
      <c r="BR62" s="8"/>
      <c r="BS62" s="7"/>
      <c r="BT62" s="7"/>
      <c r="BU62" s="2" t="s">
        <v>330</v>
      </c>
      <c r="BV62" s="2" t="s">
        <v>235</v>
      </c>
      <c r="BW62" s="2" t="s">
        <v>235</v>
      </c>
      <c r="BX62" s="2" t="s">
        <v>330</v>
      </c>
      <c r="BY62" s="2" t="s">
        <v>331</v>
      </c>
      <c r="BZ62" s="2" t="s">
        <v>232</v>
      </c>
      <c r="CA62" s="2" t="s">
        <v>235</v>
      </c>
      <c r="CB62" s="2" t="s">
        <v>235</v>
      </c>
      <c r="CC62" s="2" t="s">
        <v>248</v>
      </c>
      <c r="CD62" s="2" t="s">
        <v>248</v>
      </c>
      <c r="CE62" s="2" t="s">
        <v>235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>
        <v>480</v>
      </c>
      <c r="DX62" s="4"/>
      <c r="DY62" s="4"/>
      <c r="DZ62" s="4"/>
      <c r="EA62" s="4">
        <v>120</v>
      </c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>
        <v>480</v>
      </c>
      <c r="GK62" s="4">
        <v>600</v>
      </c>
      <c r="GL62" s="4">
        <v>600</v>
      </c>
      <c r="GM62" s="4">
        <v>600</v>
      </c>
      <c r="GN62" s="4">
        <v>600</v>
      </c>
      <c r="GO62" s="4">
        <v>600</v>
      </c>
      <c r="GP62" s="4">
        <v>600</v>
      </c>
      <c r="GQ62" s="4">
        <v>600</v>
      </c>
      <c r="GR62" s="4">
        <v>600</v>
      </c>
      <c r="GS62" s="4">
        <v>600</v>
      </c>
      <c r="GT62" s="4">
        <v>600</v>
      </c>
      <c r="GU62" s="4">
        <v>600</v>
      </c>
      <c r="GV62" s="4">
        <v>600</v>
      </c>
      <c r="GW62" s="4">
        <v>600</v>
      </c>
      <c r="GX62" s="4">
        <v>600</v>
      </c>
      <c r="GY62" s="4">
        <v>600</v>
      </c>
      <c r="GZ62" s="4">
        <v>600</v>
      </c>
      <c r="HA62" s="4">
        <v>600</v>
      </c>
      <c r="HB62" s="4">
        <v>600</v>
      </c>
      <c r="HC62" s="4">
        <v>600</v>
      </c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</row>
    <row r="63">
      <c r="A63" s="2" t="s">
        <v>354</v>
      </c>
      <c r="B63" s="2" t="s">
        <v>323</v>
      </c>
      <c r="C63" s="2" t="s">
        <v>324</v>
      </c>
      <c r="D63" s="2" t="s">
        <v>257</v>
      </c>
      <c r="E63" s="2" t="s">
        <v>258</v>
      </c>
      <c r="F63" s="2" t="s">
        <v>325</v>
      </c>
      <c r="G63" s="2" t="s">
        <v>325</v>
      </c>
      <c r="H63" s="2" t="s">
        <v>325</v>
      </c>
      <c r="I63" s="2" t="s">
        <v>326</v>
      </c>
      <c r="J63" s="2" t="s">
        <v>272</v>
      </c>
      <c r="K63" s="2" t="s">
        <v>351</v>
      </c>
      <c r="L63" s="3">
        <v>34.5</v>
      </c>
      <c r="M63" s="3">
        <v>36.23</v>
      </c>
      <c r="N63" s="3">
        <v>74.99</v>
      </c>
      <c r="O63" s="2" t="s">
        <v>327</v>
      </c>
      <c r="P63" s="2" t="s">
        <v>233</v>
      </c>
      <c r="Q63" s="2" t="s">
        <v>234</v>
      </c>
      <c r="R63" s="2" t="s">
        <v>235</v>
      </c>
      <c r="S63" s="2" t="s">
        <v>235</v>
      </c>
      <c r="T63" s="2" t="s">
        <v>328</v>
      </c>
      <c r="U63" s="2" t="s">
        <v>264</v>
      </c>
      <c r="V63" s="2" t="s">
        <v>238</v>
      </c>
      <c r="W63" s="2" t="s">
        <v>329</v>
      </c>
      <c r="X63" s="2" t="s">
        <v>235</v>
      </c>
      <c r="Y63" s="2" t="s">
        <v>235</v>
      </c>
      <c r="Z63" s="4"/>
      <c r="AA63" s="4">
        <f>=ROUNDDOWN({0},0)</f>
      </c>
      <c r="AB63" s="5">
        <v>6</v>
      </c>
      <c r="AC63" s="2" t="s">
        <v>166</v>
      </c>
      <c r="AD63" s="4">
        <v>280</v>
      </c>
      <c r="AE63" s="4">
        <v>280</v>
      </c>
      <c r="AF63" s="6">
        <v>73</v>
      </c>
      <c r="AG63" s="6"/>
      <c r="AH63" s="7"/>
      <c r="AI63" s="4"/>
      <c r="AJ63" s="4">
        <f>=ROUNDDOWN({0},0)</f>
      </c>
      <c r="AK63" s="5"/>
      <c r="AL63" s="2" t="s">
        <v>235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235</v>
      </c>
      <c r="AW63" s="8" t="s">
        <v>235</v>
      </c>
      <c r="AX63" s="4" t="s">
        <v>235</v>
      </c>
      <c r="AY63" s="8" t="s">
        <v>235</v>
      </c>
      <c r="AZ63" s="7" t="s">
        <v>235</v>
      </c>
      <c r="BA63" s="7" t="s">
        <v>235</v>
      </c>
      <c r="BB63" s="7"/>
      <c r="BC63" s="4" t="s">
        <v>235</v>
      </c>
      <c r="BD63" s="8" t="s">
        <v>235</v>
      </c>
      <c r="BE63" s="4" t="s">
        <v>235</v>
      </c>
      <c r="BF63" s="8" t="s">
        <v>235</v>
      </c>
      <c r="BG63" s="7" t="s">
        <v>235</v>
      </c>
      <c r="BH63" s="7" t="s">
        <v>235</v>
      </c>
      <c r="BI63" s="7"/>
      <c r="BJ63" s="4"/>
      <c r="BK63" s="8"/>
      <c r="BL63" s="2" t="s">
        <v>235</v>
      </c>
      <c r="BM63" s="7"/>
      <c r="BN63" s="7"/>
      <c r="BO63" s="4"/>
      <c r="BP63" s="8"/>
      <c r="BQ63" s="4"/>
      <c r="BR63" s="8"/>
      <c r="BS63" s="7"/>
      <c r="BT63" s="7"/>
      <c r="BU63" s="2" t="s">
        <v>330</v>
      </c>
      <c r="BV63" s="2" t="s">
        <v>235</v>
      </c>
      <c r="BW63" s="2" t="s">
        <v>235</v>
      </c>
      <c r="BX63" s="2" t="s">
        <v>330</v>
      </c>
      <c r="BY63" s="2" t="s">
        <v>331</v>
      </c>
      <c r="BZ63" s="2" t="s">
        <v>232</v>
      </c>
      <c r="CA63" s="2" t="s">
        <v>235</v>
      </c>
      <c r="CB63" s="2" t="s">
        <v>235</v>
      </c>
      <c r="CC63" s="2" t="s">
        <v>248</v>
      </c>
      <c r="CD63" s="2" t="s">
        <v>248</v>
      </c>
      <c r="CE63" s="2" t="s">
        <v>235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>
        <v>280</v>
      </c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>
        <v>280</v>
      </c>
      <c r="GL63" s="4">
        <v>280</v>
      </c>
      <c r="GM63" s="4">
        <v>280</v>
      </c>
      <c r="GN63" s="4">
        <v>280</v>
      </c>
      <c r="GO63" s="4">
        <v>280</v>
      </c>
      <c r="GP63" s="4">
        <v>280</v>
      </c>
      <c r="GQ63" s="4">
        <v>280</v>
      </c>
      <c r="GR63" s="4">
        <v>280</v>
      </c>
      <c r="GS63" s="4">
        <v>280</v>
      </c>
      <c r="GT63" s="4">
        <v>280</v>
      </c>
      <c r="GU63" s="4">
        <v>280</v>
      </c>
      <c r="GV63" s="4">
        <v>280</v>
      </c>
      <c r="GW63" s="4">
        <v>280</v>
      </c>
      <c r="GX63" s="4">
        <v>280</v>
      </c>
      <c r="GY63" s="4">
        <v>280</v>
      </c>
      <c r="GZ63" s="4">
        <v>280</v>
      </c>
      <c r="HA63" s="4">
        <v>280</v>
      </c>
      <c r="HB63" s="4">
        <v>280</v>
      </c>
      <c r="HC63" s="4">
        <v>280</v>
      </c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</row>
    <row r="64">
      <c r="A64" s="2" t="s">
        <v>355</v>
      </c>
      <c r="B64" s="2" t="s">
        <v>323</v>
      </c>
      <c r="C64" s="2" t="s">
        <v>324</v>
      </c>
      <c r="D64" s="2" t="s">
        <v>257</v>
      </c>
      <c r="E64" s="2" t="s">
        <v>258</v>
      </c>
      <c r="F64" s="2" t="s">
        <v>325</v>
      </c>
      <c r="G64" s="2" t="s">
        <v>325</v>
      </c>
      <c r="H64" s="2" t="s">
        <v>325</v>
      </c>
      <c r="I64" s="2" t="s">
        <v>326</v>
      </c>
      <c r="J64" s="2" t="s">
        <v>250</v>
      </c>
      <c r="K64" s="2" t="s">
        <v>316</v>
      </c>
      <c r="L64" s="3">
        <v>29.9</v>
      </c>
      <c r="M64" s="3">
        <v>31.4</v>
      </c>
      <c r="N64" s="3">
        <v>64.99</v>
      </c>
      <c r="O64" s="2" t="s">
        <v>327</v>
      </c>
      <c r="P64" s="2" t="s">
        <v>233</v>
      </c>
      <c r="Q64" s="2" t="s">
        <v>234</v>
      </c>
      <c r="R64" s="2" t="s">
        <v>235</v>
      </c>
      <c r="S64" s="2" t="s">
        <v>235</v>
      </c>
      <c r="T64" s="2" t="s">
        <v>328</v>
      </c>
      <c r="U64" s="2" t="s">
        <v>264</v>
      </c>
      <c r="V64" s="2" t="s">
        <v>238</v>
      </c>
      <c r="W64" s="2" t="s">
        <v>329</v>
      </c>
      <c r="X64" s="2" t="s">
        <v>235</v>
      </c>
      <c r="Y64" s="2" t="s">
        <v>235</v>
      </c>
      <c r="Z64" s="4"/>
      <c r="AA64" s="4">
        <f>=ROUNDDOWN({0},0)</f>
      </c>
      <c r="AB64" s="5">
        <v>8</v>
      </c>
      <c r="AC64" s="2" t="s">
        <v>235</v>
      </c>
      <c r="AD64" s="4"/>
      <c r="AE64" s="4"/>
      <c r="AF64" s="6">
        <v>73</v>
      </c>
      <c r="AG64" s="6"/>
      <c r="AH64" s="7"/>
      <c r="AI64" s="4"/>
      <c r="AJ64" s="4">
        <f>=ROUNDDOWN({0},0)</f>
      </c>
      <c r="AK64" s="5"/>
      <c r="AL64" s="2" t="s">
        <v>235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235</v>
      </c>
      <c r="AW64" s="8" t="s">
        <v>235</v>
      </c>
      <c r="AX64" s="4" t="s">
        <v>235</v>
      </c>
      <c r="AY64" s="8" t="s">
        <v>235</v>
      </c>
      <c r="AZ64" s="7" t="s">
        <v>235</v>
      </c>
      <c r="BA64" s="7" t="s">
        <v>235</v>
      </c>
      <c r="BB64" s="7"/>
      <c r="BC64" s="4" t="s">
        <v>235</v>
      </c>
      <c r="BD64" s="8" t="s">
        <v>235</v>
      </c>
      <c r="BE64" s="4" t="s">
        <v>235</v>
      </c>
      <c r="BF64" s="8" t="s">
        <v>235</v>
      </c>
      <c r="BG64" s="7" t="s">
        <v>235</v>
      </c>
      <c r="BH64" s="7" t="s">
        <v>235</v>
      </c>
      <c r="BI64" s="7"/>
      <c r="BJ64" s="4"/>
      <c r="BK64" s="8"/>
      <c r="BL64" s="2" t="s">
        <v>235</v>
      </c>
      <c r="BM64" s="7"/>
      <c r="BN64" s="7"/>
      <c r="BO64" s="4"/>
      <c r="BP64" s="8"/>
      <c r="BQ64" s="4"/>
      <c r="BR64" s="8"/>
      <c r="BS64" s="7"/>
      <c r="BT64" s="7"/>
      <c r="BU64" s="2" t="s">
        <v>330</v>
      </c>
      <c r="BV64" s="2" t="s">
        <v>235</v>
      </c>
      <c r="BW64" s="2" t="s">
        <v>235</v>
      </c>
      <c r="BX64" s="2" t="s">
        <v>330</v>
      </c>
      <c r="BY64" s="2" t="s">
        <v>331</v>
      </c>
      <c r="BZ64" s="2" t="s">
        <v>232</v>
      </c>
      <c r="CA64" s="2" t="s">
        <v>235</v>
      </c>
      <c r="CB64" s="2" t="s">
        <v>235</v>
      </c>
      <c r="CC64" s="2" t="s">
        <v>248</v>
      </c>
      <c r="CD64" s="2" t="s">
        <v>248</v>
      </c>
      <c r="CE64" s="2" t="s">
        <v>235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</row>
    <row r="65">
      <c r="A65" s="2" t="s">
        <v>356</v>
      </c>
      <c r="B65" s="2" t="s">
        <v>323</v>
      </c>
      <c r="C65" s="2" t="s">
        <v>324</v>
      </c>
      <c r="D65" s="2" t="s">
        <v>257</v>
      </c>
      <c r="E65" s="2" t="s">
        <v>258</v>
      </c>
      <c r="F65" s="2" t="s">
        <v>325</v>
      </c>
      <c r="G65" s="2" t="s">
        <v>325</v>
      </c>
      <c r="H65" s="2" t="s">
        <v>325</v>
      </c>
      <c r="I65" s="2" t="s">
        <v>326</v>
      </c>
      <c r="J65" s="2" t="s">
        <v>261</v>
      </c>
      <c r="K65" s="2" t="s">
        <v>316</v>
      </c>
      <c r="L65" s="3">
        <v>32.2</v>
      </c>
      <c r="M65" s="3">
        <v>33.81</v>
      </c>
      <c r="N65" s="3">
        <v>69.99</v>
      </c>
      <c r="O65" s="2" t="s">
        <v>327</v>
      </c>
      <c r="P65" s="2" t="s">
        <v>333</v>
      </c>
      <c r="Q65" s="2" t="s">
        <v>234</v>
      </c>
      <c r="R65" s="2" t="s">
        <v>235</v>
      </c>
      <c r="S65" s="2" t="s">
        <v>235</v>
      </c>
      <c r="T65" s="2" t="s">
        <v>328</v>
      </c>
      <c r="U65" s="2" t="s">
        <v>264</v>
      </c>
      <c r="V65" s="2" t="s">
        <v>238</v>
      </c>
      <c r="W65" s="2" t="s">
        <v>329</v>
      </c>
      <c r="X65" s="2" t="s">
        <v>235</v>
      </c>
      <c r="Y65" s="2" t="s">
        <v>235</v>
      </c>
      <c r="Z65" s="4"/>
      <c r="AA65" s="4">
        <f>=ROUNDDOWN({0},0)</f>
      </c>
      <c r="AB65" s="5">
        <v>34</v>
      </c>
      <c r="AC65" s="2" t="s">
        <v>166</v>
      </c>
      <c r="AD65" s="4">
        <v>500</v>
      </c>
      <c r="AE65" s="4">
        <v>500</v>
      </c>
      <c r="AF65" s="6">
        <v>73</v>
      </c>
      <c r="AG65" s="6"/>
      <c r="AH65" s="7"/>
      <c r="AI65" s="4"/>
      <c r="AJ65" s="4">
        <f>=ROUNDDOWN({0},0)</f>
      </c>
      <c r="AK65" s="5"/>
      <c r="AL65" s="2" t="s">
        <v>235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235</v>
      </c>
      <c r="AW65" s="8" t="s">
        <v>235</v>
      </c>
      <c r="AX65" s="4" t="s">
        <v>235</v>
      </c>
      <c r="AY65" s="8" t="s">
        <v>235</v>
      </c>
      <c r="AZ65" s="7" t="s">
        <v>235</v>
      </c>
      <c r="BA65" s="7" t="s">
        <v>235</v>
      </c>
      <c r="BB65" s="7"/>
      <c r="BC65" s="4" t="s">
        <v>235</v>
      </c>
      <c r="BD65" s="8" t="s">
        <v>235</v>
      </c>
      <c r="BE65" s="4" t="s">
        <v>235</v>
      </c>
      <c r="BF65" s="8" t="s">
        <v>235</v>
      </c>
      <c r="BG65" s="7" t="s">
        <v>235</v>
      </c>
      <c r="BH65" s="7" t="s">
        <v>235</v>
      </c>
      <c r="BI65" s="7"/>
      <c r="BJ65" s="4"/>
      <c r="BK65" s="8"/>
      <c r="BL65" s="2" t="s">
        <v>235</v>
      </c>
      <c r="BM65" s="7"/>
      <c r="BN65" s="7"/>
      <c r="BO65" s="4"/>
      <c r="BP65" s="8"/>
      <c r="BQ65" s="4"/>
      <c r="BR65" s="8"/>
      <c r="BS65" s="7"/>
      <c r="BT65" s="7"/>
      <c r="BU65" s="2" t="s">
        <v>330</v>
      </c>
      <c r="BV65" s="2" t="s">
        <v>235</v>
      </c>
      <c r="BW65" s="2" t="s">
        <v>235</v>
      </c>
      <c r="BX65" s="2" t="s">
        <v>330</v>
      </c>
      <c r="BY65" s="2" t="s">
        <v>331</v>
      </c>
      <c r="BZ65" s="2" t="s">
        <v>232</v>
      </c>
      <c r="CA65" s="2" t="s">
        <v>235</v>
      </c>
      <c r="CB65" s="2" t="s">
        <v>235</v>
      </c>
      <c r="CC65" s="2" t="s">
        <v>248</v>
      </c>
      <c r="CD65" s="2" t="s">
        <v>248</v>
      </c>
      <c r="CE65" s="2" t="s">
        <v>235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>
        <v>500</v>
      </c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>
        <v>500</v>
      </c>
      <c r="GL65" s="4">
        <v>500</v>
      </c>
      <c r="GM65" s="4">
        <v>500</v>
      </c>
      <c r="GN65" s="4">
        <v>500</v>
      </c>
      <c r="GO65" s="4">
        <v>500</v>
      </c>
      <c r="GP65" s="4">
        <v>500</v>
      </c>
      <c r="GQ65" s="4">
        <v>500</v>
      </c>
      <c r="GR65" s="4">
        <v>500</v>
      </c>
      <c r="GS65" s="4">
        <v>500</v>
      </c>
      <c r="GT65" s="4">
        <v>500</v>
      </c>
      <c r="GU65" s="4">
        <v>500</v>
      </c>
      <c r="GV65" s="4">
        <v>500</v>
      </c>
      <c r="GW65" s="4">
        <v>500</v>
      </c>
      <c r="GX65" s="4">
        <v>500</v>
      </c>
      <c r="GY65" s="4">
        <v>500</v>
      </c>
      <c r="GZ65" s="4">
        <v>500</v>
      </c>
      <c r="HA65" s="4">
        <v>500</v>
      </c>
      <c r="HB65" s="4">
        <v>500</v>
      </c>
      <c r="HC65" s="4">
        <v>500</v>
      </c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</row>
    <row r="66">
      <c r="A66" s="2" t="s">
        <v>357</v>
      </c>
      <c r="B66" s="2" t="s">
        <v>323</v>
      </c>
      <c r="C66" s="2" t="s">
        <v>324</v>
      </c>
      <c r="D66" s="2" t="s">
        <v>257</v>
      </c>
      <c r="E66" s="2" t="s">
        <v>258</v>
      </c>
      <c r="F66" s="2" t="s">
        <v>325</v>
      </c>
      <c r="G66" s="2" t="s">
        <v>325</v>
      </c>
      <c r="H66" s="2" t="s">
        <v>325</v>
      </c>
      <c r="I66" s="2" t="s">
        <v>326</v>
      </c>
      <c r="J66" s="2" t="s">
        <v>270</v>
      </c>
      <c r="K66" s="2" t="s">
        <v>316</v>
      </c>
      <c r="L66" s="3">
        <v>34.5</v>
      </c>
      <c r="M66" s="3">
        <v>36.23</v>
      </c>
      <c r="N66" s="3">
        <v>74.99</v>
      </c>
      <c r="O66" s="2" t="s">
        <v>327</v>
      </c>
      <c r="P66" s="2" t="s">
        <v>333</v>
      </c>
      <c r="Q66" s="2" t="s">
        <v>234</v>
      </c>
      <c r="R66" s="2" t="s">
        <v>235</v>
      </c>
      <c r="S66" s="2" t="s">
        <v>235</v>
      </c>
      <c r="T66" s="2" t="s">
        <v>328</v>
      </c>
      <c r="U66" s="2" t="s">
        <v>264</v>
      </c>
      <c r="V66" s="2" t="s">
        <v>238</v>
      </c>
      <c r="W66" s="2" t="s">
        <v>329</v>
      </c>
      <c r="X66" s="2" t="s">
        <v>235</v>
      </c>
      <c r="Y66" s="2" t="s">
        <v>235</v>
      </c>
      <c r="Z66" s="4"/>
      <c r="AA66" s="4">
        <f>=ROUNDDOWN({0},0)</f>
      </c>
      <c r="AB66" s="5">
        <v>32</v>
      </c>
      <c r="AC66" s="2" t="s">
        <v>166</v>
      </c>
      <c r="AD66" s="4">
        <v>650</v>
      </c>
      <c r="AE66" s="4">
        <v>650</v>
      </c>
      <c r="AF66" s="6">
        <v>73</v>
      </c>
      <c r="AG66" s="6"/>
      <c r="AH66" s="7"/>
      <c r="AI66" s="4"/>
      <c r="AJ66" s="4">
        <f>=ROUNDDOWN({0},0)</f>
      </c>
      <c r="AK66" s="5"/>
      <c r="AL66" s="2" t="s">
        <v>235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235</v>
      </c>
      <c r="AW66" s="8" t="s">
        <v>235</v>
      </c>
      <c r="AX66" s="4" t="s">
        <v>235</v>
      </c>
      <c r="AY66" s="8" t="s">
        <v>235</v>
      </c>
      <c r="AZ66" s="7" t="s">
        <v>235</v>
      </c>
      <c r="BA66" s="7" t="s">
        <v>235</v>
      </c>
      <c r="BB66" s="7"/>
      <c r="BC66" s="4" t="s">
        <v>235</v>
      </c>
      <c r="BD66" s="8" t="s">
        <v>235</v>
      </c>
      <c r="BE66" s="4" t="s">
        <v>235</v>
      </c>
      <c r="BF66" s="8" t="s">
        <v>235</v>
      </c>
      <c r="BG66" s="7" t="s">
        <v>235</v>
      </c>
      <c r="BH66" s="7" t="s">
        <v>235</v>
      </c>
      <c r="BI66" s="7"/>
      <c r="BJ66" s="4"/>
      <c r="BK66" s="8"/>
      <c r="BL66" s="2" t="s">
        <v>235</v>
      </c>
      <c r="BM66" s="7"/>
      <c r="BN66" s="7"/>
      <c r="BO66" s="4"/>
      <c r="BP66" s="8"/>
      <c r="BQ66" s="4"/>
      <c r="BR66" s="8"/>
      <c r="BS66" s="7"/>
      <c r="BT66" s="7"/>
      <c r="BU66" s="2" t="s">
        <v>330</v>
      </c>
      <c r="BV66" s="2" t="s">
        <v>235</v>
      </c>
      <c r="BW66" s="2" t="s">
        <v>235</v>
      </c>
      <c r="BX66" s="2" t="s">
        <v>330</v>
      </c>
      <c r="BY66" s="2" t="s">
        <v>331</v>
      </c>
      <c r="BZ66" s="2" t="s">
        <v>232</v>
      </c>
      <c r="CA66" s="2" t="s">
        <v>235</v>
      </c>
      <c r="CB66" s="2" t="s">
        <v>235</v>
      </c>
      <c r="CC66" s="2" t="s">
        <v>248</v>
      </c>
      <c r="CD66" s="2" t="s">
        <v>248</v>
      </c>
      <c r="CE66" s="2" t="s">
        <v>235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>
        <v>650</v>
      </c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>
        <v>650</v>
      </c>
      <c r="GL66" s="4">
        <v>650</v>
      </c>
      <c r="GM66" s="4">
        <v>650</v>
      </c>
      <c r="GN66" s="4">
        <v>650</v>
      </c>
      <c r="GO66" s="4">
        <v>650</v>
      </c>
      <c r="GP66" s="4">
        <v>650</v>
      </c>
      <c r="GQ66" s="4">
        <v>650</v>
      </c>
      <c r="GR66" s="4">
        <v>650</v>
      </c>
      <c r="GS66" s="4">
        <v>650</v>
      </c>
      <c r="GT66" s="4">
        <v>650</v>
      </c>
      <c r="GU66" s="4">
        <v>650</v>
      </c>
      <c r="GV66" s="4">
        <v>650</v>
      </c>
      <c r="GW66" s="4">
        <v>650</v>
      </c>
      <c r="GX66" s="4">
        <v>650</v>
      </c>
      <c r="GY66" s="4">
        <v>650</v>
      </c>
      <c r="GZ66" s="4">
        <v>650</v>
      </c>
      <c r="HA66" s="4">
        <v>650</v>
      </c>
      <c r="HB66" s="4">
        <v>650</v>
      </c>
      <c r="HC66" s="4">
        <v>650</v>
      </c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19">
        <v>108.3</v>
      </c>
      <c r="IC66" s="19">
        <v>50</v>
      </c>
    </row>
    <row r="67">
      <c r="A67" s="2" t="s">
        <v>358</v>
      </c>
      <c r="B67" s="2" t="s">
        <v>323</v>
      </c>
      <c r="C67" s="2" t="s">
        <v>324</v>
      </c>
      <c r="D67" s="2" t="s">
        <v>257</v>
      </c>
      <c r="E67" s="2" t="s">
        <v>258</v>
      </c>
      <c r="F67" s="2" t="s">
        <v>325</v>
      </c>
      <c r="G67" s="2" t="s">
        <v>325</v>
      </c>
      <c r="H67" s="2" t="s">
        <v>325</v>
      </c>
      <c r="I67" s="2" t="s">
        <v>326</v>
      </c>
      <c r="J67" s="2" t="s">
        <v>272</v>
      </c>
      <c r="K67" s="2" t="s">
        <v>316</v>
      </c>
      <c r="L67" s="3">
        <v>34.5</v>
      </c>
      <c r="M67" s="3">
        <v>36.23</v>
      </c>
      <c r="N67" s="3">
        <v>74.99</v>
      </c>
      <c r="O67" s="2" t="s">
        <v>327</v>
      </c>
      <c r="P67" s="2" t="s">
        <v>233</v>
      </c>
      <c r="Q67" s="2" t="s">
        <v>234</v>
      </c>
      <c r="R67" s="2" t="s">
        <v>235</v>
      </c>
      <c r="S67" s="2" t="s">
        <v>235</v>
      </c>
      <c r="T67" s="2" t="s">
        <v>328</v>
      </c>
      <c r="U67" s="2" t="s">
        <v>264</v>
      </c>
      <c r="V67" s="2" t="s">
        <v>238</v>
      </c>
      <c r="W67" s="2" t="s">
        <v>329</v>
      </c>
      <c r="X67" s="2" t="s">
        <v>235</v>
      </c>
      <c r="Y67" s="2" t="s">
        <v>235</v>
      </c>
      <c r="Z67" s="4"/>
      <c r="AA67" s="4">
        <f>=ROUNDDOWN({0},0)</f>
      </c>
      <c r="AB67" s="5">
        <v>7</v>
      </c>
      <c r="AC67" s="2" t="s">
        <v>166</v>
      </c>
      <c r="AD67" s="4">
        <v>100</v>
      </c>
      <c r="AE67" s="4">
        <v>100</v>
      </c>
      <c r="AF67" s="6">
        <v>73</v>
      </c>
      <c r="AG67" s="6"/>
      <c r="AH67" s="7"/>
      <c r="AI67" s="4"/>
      <c r="AJ67" s="4">
        <f>=ROUNDDOWN({0},0)</f>
      </c>
      <c r="AK67" s="5"/>
      <c r="AL67" s="2" t="s">
        <v>235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235</v>
      </c>
      <c r="AW67" s="8" t="s">
        <v>235</v>
      </c>
      <c r="AX67" s="4" t="s">
        <v>235</v>
      </c>
      <c r="AY67" s="8" t="s">
        <v>235</v>
      </c>
      <c r="AZ67" s="7" t="s">
        <v>235</v>
      </c>
      <c r="BA67" s="7" t="s">
        <v>235</v>
      </c>
      <c r="BB67" s="7"/>
      <c r="BC67" s="4" t="s">
        <v>235</v>
      </c>
      <c r="BD67" s="8" t="s">
        <v>235</v>
      </c>
      <c r="BE67" s="4" t="s">
        <v>235</v>
      </c>
      <c r="BF67" s="8" t="s">
        <v>235</v>
      </c>
      <c r="BG67" s="7" t="s">
        <v>235</v>
      </c>
      <c r="BH67" s="7" t="s">
        <v>235</v>
      </c>
      <c r="BI67" s="7"/>
      <c r="BJ67" s="4"/>
      <c r="BK67" s="8"/>
      <c r="BL67" s="2" t="s">
        <v>235</v>
      </c>
      <c r="BM67" s="7"/>
      <c r="BN67" s="7"/>
      <c r="BO67" s="4"/>
      <c r="BP67" s="8"/>
      <c r="BQ67" s="4"/>
      <c r="BR67" s="8"/>
      <c r="BS67" s="7"/>
      <c r="BT67" s="7"/>
      <c r="BU67" s="2" t="s">
        <v>330</v>
      </c>
      <c r="BV67" s="2" t="s">
        <v>235</v>
      </c>
      <c r="BW67" s="2" t="s">
        <v>235</v>
      </c>
      <c r="BX67" s="2" t="s">
        <v>330</v>
      </c>
      <c r="BY67" s="2" t="s">
        <v>331</v>
      </c>
      <c r="BZ67" s="2" t="s">
        <v>232</v>
      </c>
      <c r="CA67" s="2" t="s">
        <v>235</v>
      </c>
      <c r="CB67" s="2" t="s">
        <v>235</v>
      </c>
      <c r="CC67" s="2" t="s">
        <v>248</v>
      </c>
      <c r="CD67" s="2" t="s">
        <v>248</v>
      </c>
      <c r="CE67" s="2" t="s">
        <v>235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>
        <v>100</v>
      </c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>
        <v>100</v>
      </c>
      <c r="GL67" s="4">
        <v>100</v>
      </c>
      <c r="GM67" s="4">
        <v>100</v>
      </c>
      <c r="GN67" s="4">
        <v>100</v>
      </c>
      <c r="GO67" s="4">
        <v>100</v>
      </c>
      <c r="GP67" s="4">
        <v>100</v>
      </c>
      <c r="GQ67" s="4">
        <v>100</v>
      </c>
      <c r="GR67" s="4">
        <v>100</v>
      </c>
      <c r="GS67" s="4">
        <v>100</v>
      </c>
      <c r="GT67" s="4">
        <v>100</v>
      </c>
      <c r="GU67" s="4">
        <v>100</v>
      </c>
      <c r="GV67" s="4">
        <v>100</v>
      </c>
      <c r="GW67" s="4">
        <v>100</v>
      </c>
      <c r="GX67" s="4">
        <v>100</v>
      </c>
      <c r="GY67" s="4">
        <v>100</v>
      </c>
      <c r="GZ67" s="4">
        <v>100</v>
      </c>
      <c r="HA67" s="4">
        <v>100</v>
      </c>
      <c r="HB67" s="4">
        <v>100</v>
      </c>
      <c r="HC67" s="4">
        <v>100</v>
      </c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</row>
    <row r="68">
      <c r="A68" s="2" t="s">
        <v>359</v>
      </c>
      <c r="B68" s="2" t="s">
        <v>224</v>
      </c>
      <c r="C68" s="2" t="s">
        <v>360</v>
      </c>
      <c r="D68" s="2" t="s">
        <v>361</v>
      </c>
      <c r="E68" s="2" t="s">
        <v>362</v>
      </c>
      <c r="F68" s="2" t="s">
        <v>363</v>
      </c>
      <c r="G68" s="2" t="s">
        <v>363</v>
      </c>
      <c r="H68" s="2" t="s">
        <v>363</v>
      </c>
      <c r="I68" s="2" t="s">
        <v>364</v>
      </c>
      <c r="J68" s="2" t="s">
        <v>365</v>
      </c>
      <c r="K68" s="2" t="s">
        <v>316</v>
      </c>
      <c r="L68" s="3">
        <v>46.06</v>
      </c>
      <c r="M68" s="3">
        <v>48.36</v>
      </c>
      <c r="N68" s="3">
        <v>89.99</v>
      </c>
      <c r="O68" s="2" t="s">
        <v>232</v>
      </c>
      <c r="P68" s="2" t="s">
        <v>233</v>
      </c>
      <c r="Q68" s="2" t="s">
        <v>234</v>
      </c>
      <c r="R68" s="2" t="s">
        <v>235</v>
      </c>
      <c r="S68" s="2" t="s">
        <v>366</v>
      </c>
      <c r="T68" s="2" t="s">
        <v>328</v>
      </c>
      <c r="U68" s="2" t="s">
        <v>235</v>
      </c>
      <c r="V68" s="2" t="s">
        <v>238</v>
      </c>
      <c r="W68" s="2" t="s">
        <v>239</v>
      </c>
      <c r="X68" s="2" t="s">
        <v>235</v>
      </c>
      <c r="Y68" s="2" t="s">
        <v>240</v>
      </c>
      <c r="Z68" s="4">
        <v>546</v>
      </c>
      <c r="AA68" s="4">
        <f>=ROUNDDOWN(109.2,0)</f>
      </c>
      <c r="AB68" s="5">
        <v>5</v>
      </c>
      <c r="AC68" s="2" t="s">
        <v>235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235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235</v>
      </c>
      <c r="AW68" s="8" t="s">
        <v>235</v>
      </c>
      <c r="AX68" s="4" t="s">
        <v>235</v>
      </c>
      <c r="AY68" s="8" t="s">
        <v>235</v>
      </c>
      <c r="AZ68" s="7" t="s">
        <v>235</v>
      </c>
      <c r="BA68" s="7" t="s">
        <v>235</v>
      </c>
      <c r="BB68" s="7"/>
      <c r="BC68" s="4" t="s">
        <v>235</v>
      </c>
      <c r="BD68" s="8" t="s">
        <v>235</v>
      </c>
      <c r="BE68" s="4" t="s">
        <v>235</v>
      </c>
      <c r="BF68" s="8" t="s">
        <v>235</v>
      </c>
      <c r="BG68" s="7" t="s">
        <v>235</v>
      </c>
      <c r="BH68" s="7" t="s">
        <v>235</v>
      </c>
      <c r="BI68" s="7"/>
      <c r="BJ68" s="4">
        <v>12</v>
      </c>
      <c r="BK68" s="8">
        <v>601.84</v>
      </c>
      <c r="BL68" s="2" t="s">
        <v>367</v>
      </c>
      <c r="BM68" s="7"/>
      <c r="BN68" s="7"/>
      <c r="BO68" s="4"/>
      <c r="BP68" s="8"/>
      <c r="BQ68" s="4"/>
      <c r="BR68" s="8"/>
      <c r="BS68" s="7"/>
      <c r="BT68" s="7"/>
      <c r="BU68" s="2" t="s">
        <v>368</v>
      </c>
      <c r="BV68" s="2" t="s">
        <v>243</v>
      </c>
      <c r="BW68" s="2" t="s">
        <v>235</v>
      </c>
      <c r="BX68" s="2" t="s">
        <v>244</v>
      </c>
      <c r="BY68" s="2" t="s">
        <v>245</v>
      </c>
      <c r="BZ68" s="2" t="s">
        <v>232</v>
      </c>
      <c r="CA68" s="2" t="s">
        <v>369</v>
      </c>
      <c r="CB68" s="2" t="s">
        <v>370</v>
      </c>
      <c r="CC68" s="2" t="s">
        <v>248</v>
      </c>
      <c r="CD68" s="2" t="s">
        <v>248</v>
      </c>
      <c r="CE68" s="2" t="s">
        <v>235</v>
      </c>
      <c r="CF68" s="4">
        <v>546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>
        <v>547</v>
      </c>
      <c r="GE68" s="4">
        <v>541</v>
      </c>
      <c r="GF68" s="4">
        <v>536</v>
      </c>
      <c r="GG68" s="4">
        <v>531</v>
      </c>
      <c r="GH68" s="4">
        <v>526</v>
      </c>
      <c r="GI68" s="4">
        <v>520</v>
      </c>
      <c r="GJ68" s="4">
        <v>514</v>
      </c>
      <c r="GK68" s="4">
        <v>508</v>
      </c>
      <c r="GL68" s="4">
        <v>502</v>
      </c>
      <c r="GM68" s="4">
        <v>496</v>
      </c>
      <c r="GN68" s="4">
        <v>486</v>
      </c>
      <c r="GO68" s="4">
        <v>470</v>
      </c>
      <c r="GP68" s="4">
        <v>456</v>
      </c>
      <c r="GQ68" s="4">
        <v>426</v>
      </c>
      <c r="GR68" s="4">
        <v>412</v>
      </c>
      <c r="GS68" s="4">
        <v>399</v>
      </c>
      <c r="GT68" s="4">
        <v>391</v>
      </c>
      <c r="GU68" s="4">
        <v>386</v>
      </c>
      <c r="GV68" s="4">
        <v>381</v>
      </c>
      <c r="GW68" s="4">
        <v>378</v>
      </c>
      <c r="GX68" s="4">
        <v>375</v>
      </c>
      <c r="GY68" s="4">
        <v>372</v>
      </c>
      <c r="GZ68" s="4">
        <v>369</v>
      </c>
      <c r="HA68" s="4">
        <v>364</v>
      </c>
      <c r="HB68" s="4">
        <v>359</v>
      </c>
      <c r="HC68" s="4">
        <v>353</v>
      </c>
      <c r="HD68" s="19">
        <v>109.4</v>
      </c>
      <c r="HE68" s="19">
        <v>108.2</v>
      </c>
      <c r="HF68" s="19">
        <v>89.3</v>
      </c>
      <c r="HG68" s="19">
        <v>88.5</v>
      </c>
      <c r="HH68" s="19">
        <v>87.7</v>
      </c>
      <c r="HI68" s="19">
        <v>86.7</v>
      </c>
      <c r="HJ68" s="19">
        <v>73.4</v>
      </c>
      <c r="HK68" s="19">
        <v>50.8</v>
      </c>
      <c r="HL68" s="19">
        <v>41.8</v>
      </c>
      <c r="HM68" s="19">
        <v>27.6</v>
      </c>
      <c r="HN68" s="19">
        <v>27</v>
      </c>
      <c r="HO68" s="19">
        <v>26.1</v>
      </c>
      <c r="HP68" s="19">
        <v>28.5</v>
      </c>
      <c r="HQ68" s="19">
        <v>42.6</v>
      </c>
      <c r="HR68" s="19">
        <v>51.5</v>
      </c>
      <c r="HS68" s="19">
        <v>79.8</v>
      </c>
      <c r="HT68" s="19">
        <v>97.8</v>
      </c>
      <c r="HU68" s="19">
        <v>96.5</v>
      </c>
      <c r="HV68" s="19">
        <v>127</v>
      </c>
      <c r="HW68" s="19">
        <v>94.5</v>
      </c>
      <c r="HX68" s="19">
        <v>93.8</v>
      </c>
      <c r="HY68" s="19">
        <v>74.4</v>
      </c>
      <c r="HZ68" s="19">
        <v>73.8</v>
      </c>
      <c r="IA68" s="19">
        <v>60.7</v>
      </c>
      <c r="IB68" s="19">
        <v>59.8</v>
      </c>
      <c r="IC68" s="19">
        <v>58.8</v>
      </c>
    </row>
    <row r="69">
      <c r="A69" s="2" t="s">
        <v>371</v>
      </c>
      <c r="B69" s="2" t="s">
        <v>224</v>
      </c>
      <c r="C69" s="2" t="s">
        <v>360</v>
      </c>
      <c r="D69" s="2" t="s">
        <v>361</v>
      </c>
      <c r="E69" s="2" t="s">
        <v>362</v>
      </c>
      <c r="F69" s="2" t="s">
        <v>363</v>
      </c>
      <c r="G69" s="2" t="s">
        <v>363</v>
      </c>
      <c r="H69" s="2" t="s">
        <v>363</v>
      </c>
      <c r="I69" s="2" t="s">
        <v>364</v>
      </c>
      <c r="J69" s="2" t="s">
        <v>372</v>
      </c>
      <c r="K69" s="2" t="s">
        <v>316</v>
      </c>
      <c r="L69" s="3">
        <v>53.19</v>
      </c>
      <c r="M69" s="3">
        <v>55.85</v>
      </c>
      <c r="N69" s="3">
        <v>104.99</v>
      </c>
      <c r="O69" s="2" t="s">
        <v>232</v>
      </c>
      <c r="P69" s="2" t="s">
        <v>233</v>
      </c>
      <c r="Q69" s="2" t="s">
        <v>234</v>
      </c>
      <c r="R69" s="2" t="s">
        <v>235</v>
      </c>
      <c r="S69" s="2" t="s">
        <v>366</v>
      </c>
      <c r="T69" s="2" t="s">
        <v>328</v>
      </c>
      <c r="U69" s="2" t="s">
        <v>235</v>
      </c>
      <c r="V69" s="2" t="s">
        <v>238</v>
      </c>
      <c r="W69" s="2" t="s">
        <v>239</v>
      </c>
      <c r="X69" s="2" t="s">
        <v>235</v>
      </c>
      <c r="Y69" s="2" t="s">
        <v>240</v>
      </c>
      <c r="Z69" s="4">
        <v>614</v>
      </c>
      <c r="AA69" s="4">
        <f>=ROUNDDOWN(122.8,0)</f>
      </c>
      <c r="AB69" s="5">
        <v>5</v>
      </c>
      <c r="AC69" s="2" t="s">
        <v>235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235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235</v>
      </c>
      <c r="AW69" s="8" t="s">
        <v>235</v>
      </c>
      <c r="AX69" s="4" t="s">
        <v>235</v>
      </c>
      <c r="AY69" s="8" t="s">
        <v>235</v>
      </c>
      <c r="AZ69" s="7" t="s">
        <v>235</v>
      </c>
      <c r="BA69" s="7" t="s">
        <v>235</v>
      </c>
      <c r="BB69" s="7"/>
      <c r="BC69" s="4" t="s">
        <v>235</v>
      </c>
      <c r="BD69" s="8" t="s">
        <v>235</v>
      </c>
      <c r="BE69" s="4" t="s">
        <v>235</v>
      </c>
      <c r="BF69" s="8" t="s">
        <v>235</v>
      </c>
      <c r="BG69" s="7" t="s">
        <v>235</v>
      </c>
      <c r="BH69" s="7" t="s">
        <v>235</v>
      </c>
      <c r="BI69" s="7"/>
      <c r="BJ69" s="4">
        <v>21</v>
      </c>
      <c r="BK69" s="8">
        <v>1168.46</v>
      </c>
      <c r="BL69" s="2" t="s">
        <v>373</v>
      </c>
      <c r="BM69" s="7"/>
      <c r="BN69" s="7"/>
      <c r="BO69" s="4"/>
      <c r="BP69" s="8"/>
      <c r="BQ69" s="4"/>
      <c r="BR69" s="8"/>
      <c r="BS69" s="7"/>
      <c r="BT69" s="7"/>
      <c r="BU69" s="2" t="s">
        <v>368</v>
      </c>
      <c r="BV69" s="2" t="s">
        <v>243</v>
      </c>
      <c r="BW69" s="2" t="s">
        <v>235</v>
      </c>
      <c r="BX69" s="2" t="s">
        <v>244</v>
      </c>
      <c r="BY69" s="2" t="s">
        <v>245</v>
      </c>
      <c r="BZ69" s="2" t="s">
        <v>232</v>
      </c>
      <c r="CA69" s="2" t="s">
        <v>369</v>
      </c>
      <c r="CB69" s="2" t="s">
        <v>374</v>
      </c>
      <c r="CC69" s="2" t="s">
        <v>248</v>
      </c>
      <c r="CD69" s="2" t="s">
        <v>248</v>
      </c>
      <c r="CE69" s="2" t="s">
        <v>235</v>
      </c>
      <c r="CF69" s="4">
        <v>614</v>
      </c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>
        <v>615</v>
      </c>
      <c r="GE69" s="4">
        <v>609</v>
      </c>
      <c r="GF69" s="4">
        <v>604</v>
      </c>
      <c r="GG69" s="4">
        <v>599</v>
      </c>
      <c r="GH69" s="4">
        <v>594</v>
      </c>
      <c r="GI69" s="4">
        <v>588</v>
      </c>
      <c r="GJ69" s="4">
        <v>582</v>
      </c>
      <c r="GK69" s="4">
        <v>576</v>
      </c>
      <c r="GL69" s="4">
        <v>570</v>
      </c>
      <c r="GM69" s="4">
        <v>564</v>
      </c>
      <c r="GN69" s="4">
        <v>555</v>
      </c>
      <c r="GO69" s="4">
        <v>541</v>
      </c>
      <c r="GP69" s="4">
        <v>528</v>
      </c>
      <c r="GQ69" s="4">
        <v>501</v>
      </c>
      <c r="GR69" s="4">
        <v>490</v>
      </c>
      <c r="GS69" s="4">
        <v>480</v>
      </c>
      <c r="GT69" s="4">
        <v>473</v>
      </c>
      <c r="GU69" s="4">
        <v>469</v>
      </c>
      <c r="GV69" s="4">
        <v>464</v>
      </c>
      <c r="GW69" s="4">
        <v>461</v>
      </c>
      <c r="GX69" s="4">
        <v>458</v>
      </c>
      <c r="GY69" s="4">
        <v>455</v>
      </c>
      <c r="GZ69" s="4">
        <v>452</v>
      </c>
      <c r="HA69" s="4">
        <v>446</v>
      </c>
      <c r="HB69" s="4">
        <v>440</v>
      </c>
      <c r="HC69" s="4">
        <v>434</v>
      </c>
      <c r="HD69" s="19">
        <v>123</v>
      </c>
      <c r="HE69" s="19">
        <v>121.8</v>
      </c>
      <c r="HF69" s="19">
        <v>100.7</v>
      </c>
      <c r="HG69" s="19">
        <v>99.8</v>
      </c>
      <c r="HH69" s="19">
        <v>99</v>
      </c>
      <c r="HI69" s="19">
        <v>98</v>
      </c>
      <c r="HJ69" s="19">
        <v>83.1</v>
      </c>
      <c r="HK69" s="19">
        <v>64</v>
      </c>
      <c r="HL69" s="19">
        <v>57</v>
      </c>
      <c r="HM69" s="19">
        <v>35.3</v>
      </c>
      <c r="HN69" s="19">
        <v>34.7</v>
      </c>
      <c r="HO69" s="19">
        <v>36.1</v>
      </c>
      <c r="HP69" s="19">
        <v>37.7</v>
      </c>
      <c r="HQ69" s="19">
        <v>62.6</v>
      </c>
      <c r="HR69" s="19">
        <v>81.7</v>
      </c>
      <c r="HS69" s="19">
        <v>96</v>
      </c>
      <c r="HT69" s="19">
        <v>118.3</v>
      </c>
      <c r="HU69" s="19">
        <v>117.3</v>
      </c>
      <c r="HV69" s="19">
        <v>154.7</v>
      </c>
      <c r="HW69" s="19">
        <v>115.3</v>
      </c>
      <c r="HX69" s="19">
        <v>114.5</v>
      </c>
      <c r="HY69" s="19">
        <v>91</v>
      </c>
      <c r="HZ69" s="19">
        <v>75.3</v>
      </c>
      <c r="IA69" s="19">
        <v>74.3</v>
      </c>
      <c r="IB69" s="19">
        <v>73.3</v>
      </c>
      <c r="IC69" s="19">
        <v>62</v>
      </c>
    </row>
    <row r="70">
      <c r="A70" s="2" t="s">
        <v>375</v>
      </c>
      <c r="B70" s="2" t="s">
        <v>323</v>
      </c>
      <c r="C70" s="2" t="s">
        <v>324</v>
      </c>
      <c r="D70" s="2" t="s">
        <v>257</v>
      </c>
      <c r="E70" s="2" t="s">
        <v>258</v>
      </c>
      <c r="F70" s="2" t="s">
        <v>376</v>
      </c>
      <c r="G70" s="2" t="s">
        <v>376</v>
      </c>
      <c r="H70" s="2" t="s">
        <v>376</v>
      </c>
      <c r="I70" s="2" t="s">
        <v>377</v>
      </c>
      <c r="J70" s="2" t="s">
        <v>272</v>
      </c>
      <c r="K70" s="2" t="s">
        <v>378</v>
      </c>
      <c r="L70" s="3">
        <v>46</v>
      </c>
      <c r="M70" s="3">
        <v>48.3</v>
      </c>
      <c r="N70" s="3">
        <v>99.99</v>
      </c>
      <c r="O70" s="2" t="s">
        <v>232</v>
      </c>
      <c r="P70" s="2" t="s">
        <v>233</v>
      </c>
      <c r="Q70" s="2" t="s">
        <v>234</v>
      </c>
      <c r="R70" s="2" t="s">
        <v>235</v>
      </c>
      <c r="S70" s="2" t="s">
        <v>379</v>
      </c>
      <c r="T70" s="2" t="s">
        <v>328</v>
      </c>
      <c r="U70" s="2" t="s">
        <v>264</v>
      </c>
      <c r="V70" s="2" t="s">
        <v>238</v>
      </c>
      <c r="W70" s="2" t="s">
        <v>239</v>
      </c>
      <c r="X70" s="2" t="s">
        <v>329</v>
      </c>
      <c r="Y70" s="2" t="s">
        <v>380</v>
      </c>
      <c r="Z70" s="4">
        <v>251</v>
      </c>
      <c r="AA70" s="4">
        <f>=ROUNDDOWN(167.333333333333,0)</f>
      </c>
      <c r="AB70" s="5">
        <v>1.5</v>
      </c>
      <c r="AC70" s="2" t="s">
        <v>235</v>
      </c>
      <c r="AD70" s="4"/>
      <c r="AE70" s="4"/>
      <c r="AF70" s="6">
        <v>73</v>
      </c>
      <c r="AG70" s="6"/>
      <c r="AH70" s="7">
        <v>1</v>
      </c>
      <c r="AI70" s="4"/>
      <c r="AJ70" s="4">
        <f>=ROUNDDOWN({0},0)</f>
      </c>
      <c r="AK70" s="5"/>
      <c r="AL70" s="2" t="s">
        <v>235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235</v>
      </c>
      <c r="BD70" s="8" t="s">
        <v>235</v>
      </c>
      <c r="BE70" s="4" t="s">
        <v>235</v>
      </c>
      <c r="BF70" s="8" t="s">
        <v>235</v>
      </c>
      <c r="BG70" s="7" t="s">
        <v>235</v>
      </c>
      <c r="BH70" s="7" t="s">
        <v>235</v>
      </c>
      <c r="BI70" s="7"/>
      <c r="BJ70" s="4">
        <v>3</v>
      </c>
      <c r="BK70" s="8">
        <v>150.72</v>
      </c>
      <c r="BL70" s="2" t="s">
        <v>381</v>
      </c>
      <c r="BM70" s="7"/>
      <c r="BN70" s="7"/>
      <c r="BO70" s="4"/>
      <c r="BP70" s="8"/>
      <c r="BQ70" s="4"/>
      <c r="BR70" s="8"/>
      <c r="BS70" s="7"/>
      <c r="BT70" s="7"/>
      <c r="BU70" s="2" t="s">
        <v>382</v>
      </c>
      <c r="BV70" s="2" t="s">
        <v>243</v>
      </c>
      <c r="BW70" s="2" t="s">
        <v>235</v>
      </c>
      <c r="BX70" s="2" t="s">
        <v>383</v>
      </c>
      <c r="BY70" s="2" t="s">
        <v>245</v>
      </c>
      <c r="BZ70" s="2" t="s">
        <v>232</v>
      </c>
      <c r="CA70" s="2" t="s">
        <v>380</v>
      </c>
      <c r="CB70" s="2" t="s">
        <v>384</v>
      </c>
      <c r="CC70" s="2" t="s">
        <v>248</v>
      </c>
      <c r="CD70" s="2" t="s">
        <v>248</v>
      </c>
      <c r="CE70" s="2" t="s">
        <v>235</v>
      </c>
      <c r="CF70" s="4">
        <v>251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>
        <v>251</v>
      </c>
      <c r="GE70" s="4">
        <v>249</v>
      </c>
      <c r="GF70" s="4">
        <v>247</v>
      </c>
      <c r="GG70" s="4">
        <v>245</v>
      </c>
      <c r="GH70" s="4">
        <v>243</v>
      </c>
      <c r="GI70" s="4">
        <v>241</v>
      </c>
      <c r="GJ70" s="4">
        <v>239</v>
      </c>
      <c r="GK70" s="4">
        <v>237</v>
      </c>
      <c r="GL70" s="4">
        <v>235</v>
      </c>
      <c r="GM70" s="4">
        <v>233</v>
      </c>
      <c r="GN70" s="4">
        <v>230</v>
      </c>
      <c r="GO70" s="4">
        <v>226</v>
      </c>
      <c r="GP70" s="4">
        <v>220</v>
      </c>
      <c r="GQ70" s="4">
        <v>212</v>
      </c>
      <c r="GR70" s="4">
        <v>206</v>
      </c>
      <c r="GS70" s="4">
        <v>202</v>
      </c>
      <c r="GT70" s="4">
        <v>199</v>
      </c>
      <c r="GU70" s="4">
        <v>197</v>
      </c>
      <c r="GV70" s="4">
        <v>195</v>
      </c>
      <c r="GW70" s="4">
        <v>193</v>
      </c>
      <c r="GX70" s="4">
        <v>191</v>
      </c>
      <c r="GY70" s="4">
        <v>189</v>
      </c>
      <c r="GZ70" s="4">
        <v>187</v>
      </c>
      <c r="HA70" s="4">
        <v>185</v>
      </c>
      <c r="HB70" s="4">
        <v>183</v>
      </c>
      <c r="HC70" s="4">
        <v>181</v>
      </c>
      <c r="HD70" s="19">
        <v>125.5</v>
      </c>
      <c r="HE70" s="19">
        <v>124.5</v>
      </c>
      <c r="HF70" s="19">
        <v>123.5</v>
      </c>
      <c r="HG70" s="19">
        <v>122.5</v>
      </c>
      <c r="HH70" s="19">
        <v>121.5</v>
      </c>
      <c r="HI70" s="19">
        <v>120.5</v>
      </c>
      <c r="HJ70" s="19">
        <v>119.5</v>
      </c>
      <c r="HK70" s="19">
        <v>79</v>
      </c>
      <c r="HL70" s="19">
        <v>58.8</v>
      </c>
      <c r="HM70" s="19">
        <v>46.6</v>
      </c>
      <c r="HN70" s="19">
        <v>38.3</v>
      </c>
      <c r="HO70" s="19">
        <v>37.7</v>
      </c>
      <c r="HP70" s="19">
        <v>44</v>
      </c>
      <c r="HQ70" s="19">
        <v>53</v>
      </c>
      <c r="HR70" s="19">
        <v>68.7</v>
      </c>
      <c r="HS70" s="19">
        <v>101</v>
      </c>
      <c r="HT70" s="19">
        <v>99.5</v>
      </c>
      <c r="HU70" s="19">
        <v>98.5</v>
      </c>
      <c r="HV70" s="19">
        <v>97.5</v>
      </c>
      <c r="HW70" s="19">
        <v>96.5</v>
      </c>
      <c r="HX70" s="19">
        <v>95.5</v>
      </c>
      <c r="HY70" s="19">
        <v>94.5</v>
      </c>
      <c r="HZ70" s="19">
        <v>93.5</v>
      </c>
      <c r="IA70" s="19">
        <v>92.5</v>
      </c>
      <c r="IB70" s="19">
        <v>91.5</v>
      </c>
      <c r="IC70" s="19">
        <v>90.5</v>
      </c>
    </row>
    <row r="71">
      <c r="A71" s="2" t="s">
        <v>385</v>
      </c>
      <c r="B71" s="2" t="s">
        <v>323</v>
      </c>
      <c r="C71" s="2" t="s">
        <v>324</v>
      </c>
      <c r="D71" s="2" t="s">
        <v>257</v>
      </c>
      <c r="E71" s="2" t="s">
        <v>258</v>
      </c>
      <c r="F71" s="2" t="s">
        <v>376</v>
      </c>
      <c r="G71" s="2" t="s">
        <v>376</v>
      </c>
      <c r="H71" s="2" t="s">
        <v>376</v>
      </c>
      <c r="I71" s="2" t="s">
        <v>377</v>
      </c>
      <c r="J71" s="2" t="s">
        <v>272</v>
      </c>
      <c r="K71" s="2" t="s">
        <v>292</v>
      </c>
      <c r="L71" s="3">
        <v>46</v>
      </c>
      <c r="M71" s="3">
        <v>48.3</v>
      </c>
      <c r="N71" s="3">
        <v>99.99</v>
      </c>
      <c r="O71" s="2" t="s">
        <v>232</v>
      </c>
      <c r="P71" s="2" t="s">
        <v>233</v>
      </c>
      <c r="Q71" s="2" t="s">
        <v>234</v>
      </c>
      <c r="R71" s="2" t="s">
        <v>235</v>
      </c>
      <c r="S71" s="2" t="s">
        <v>386</v>
      </c>
      <c r="T71" s="2" t="s">
        <v>328</v>
      </c>
      <c r="U71" s="2" t="s">
        <v>264</v>
      </c>
      <c r="V71" s="2" t="s">
        <v>238</v>
      </c>
      <c r="W71" s="2" t="s">
        <v>239</v>
      </c>
      <c r="X71" s="2" t="s">
        <v>329</v>
      </c>
      <c r="Y71" s="2" t="s">
        <v>387</v>
      </c>
      <c r="Z71" s="4">
        <v>126</v>
      </c>
      <c r="AA71" s="4">
        <f>=ROUNDDOWN(46.6666666666667,0)</f>
      </c>
      <c r="AB71" s="5">
        <v>2.7</v>
      </c>
      <c r="AC71" s="2" t="s">
        <v>189</v>
      </c>
      <c r="AD71" s="4">
        <v>320</v>
      </c>
      <c r="AE71" s="4">
        <v>320</v>
      </c>
      <c r="AF71" s="6">
        <v>73</v>
      </c>
      <c r="AG71" s="6"/>
      <c r="AH71" s="7">
        <v>1</v>
      </c>
      <c r="AI71" s="4"/>
      <c r="AJ71" s="4">
        <f>=ROUNDDOWN({0},0)</f>
      </c>
      <c r="AK71" s="5"/>
      <c r="AL71" s="2" t="s">
        <v>235</v>
      </c>
      <c r="AM71" s="4"/>
      <c r="AN71" s="4"/>
      <c r="AO71" s="7"/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235</v>
      </c>
      <c r="BD71" s="8" t="s">
        <v>235</v>
      </c>
      <c r="BE71" s="4" t="s">
        <v>235</v>
      </c>
      <c r="BF71" s="8" t="s">
        <v>235</v>
      </c>
      <c r="BG71" s="7" t="s">
        <v>235</v>
      </c>
      <c r="BH71" s="7" t="s">
        <v>235</v>
      </c>
      <c r="BI71" s="7"/>
      <c r="BJ71" s="4">
        <v>12</v>
      </c>
      <c r="BK71" s="8">
        <v>600.61</v>
      </c>
      <c r="BL71" s="2" t="s">
        <v>388</v>
      </c>
      <c r="BM71" s="7"/>
      <c r="BN71" s="7"/>
      <c r="BO71" s="4"/>
      <c r="BP71" s="8"/>
      <c r="BQ71" s="4"/>
      <c r="BR71" s="8"/>
      <c r="BS71" s="7"/>
      <c r="BT71" s="7"/>
      <c r="BU71" s="2" t="s">
        <v>382</v>
      </c>
      <c r="BV71" s="2" t="s">
        <v>243</v>
      </c>
      <c r="BW71" s="2" t="s">
        <v>235</v>
      </c>
      <c r="BX71" s="2" t="s">
        <v>383</v>
      </c>
      <c r="BY71" s="2" t="s">
        <v>245</v>
      </c>
      <c r="BZ71" s="2" t="s">
        <v>232</v>
      </c>
      <c r="CA71" s="2" t="s">
        <v>389</v>
      </c>
      <c r="CB71" s="2" t="s">
        <v>390</v>
      </c>
      <c r="CC71" s="2" t="s">
        <v>248</v>
      </c>
      <c r="CD71" s="2" t="s">
        <v>248</v>
      </c>
      <c r="CE71" s="2" t="s">
        <v>235</v>
      </c>
      <c r="CF71" s="4">
        <v>126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>
        <v>320</v>
      </c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>
        <v>128</v>
      </c>
      <c r="GE71" s="4">
        <v>124</v>
      </c>
      <c r="GF71" s="4">
        <v>121</v>
      </c>
      <c r="GG71" s="4">
        <v>118</v>
      </c>
      <c r="GH71" s="4">
        <v>115</v>
      </c>
      <c r="GI71" s="4">
        <v>112</v>
      </c>
      <c r="GJ71" s="4">
        <v>109</v>
      </c>
      <c r="GK71" s="4">
        <v>106</v>
      </c>
      <c r="GL71" s="4">
        <v>103</v>
      </c>
      <c r="GM71" s="4">
        <v>100</v>
      </c>
      <c r="GN71" s="4">
        <v>95</v>
      </c>
      <c r="GO71" s="4">
        <v>89</v>
      </c>
      <c r="GP71" s="4">
        <v>401</v>
      </c>
      <c r="GQ71" s="4">
        <v>389</v>
      </c>
      <c r="GR71" s="4">
        <v>381</v>
      </c>
      <c r="GS71" s="4">
        <v>376</v>
      </c>
      <c r="GT71" s="4">
        <v>371</v>
      </c>
      <c r="GU71" s="4">
        <v>367</v>
      </c>
      <c r="GV71" s="4">
        <v>364</v>
      </c>
      <c r="GW71" s="4">
        <v>361</v>
      </c>
      <c r="GX71" s="4">
        <v>358</v>
      </c>
      <c r="GY71" s="4">
        <v>355</v>
      </c>
      <c r="GZ71" s="4">
        <v>352</v>
      </c>
      <c r="HA71" s="4">
        <v>349</v>
      </c>
      <c r="HB71" s="4">
        <v>346</v>
      </c>
      <c r="HC71" s="4">
        <v>342</v>
      </c>
      <c r="HD71" s="19">
        <v>42.7</v>
      </c>
      <c r="HE71" s="19">
        <v>41.3</v>
      </c>
      <c r="HF71" s="19">
        <v>40.3</v>
      </c>
      <c r="HG71" s="19">
        <v>39.3</v>
      </c>
      <c r="HH71" s="19">
        <v>38.3</v>
      </c>
      <c r="HI71" s="19">
        <v>37.3</v>
      </c>
      <c r="HJ71" s="19">
        <v>27.3</v>
      </c>
      <c r="HK71" s="19">
        <v>26.5</v>
      </c>
      <c r="HL71" s="19">
        <v>17.2</v>
      </c>
      <c r="HM71" s="19">
        <v>12.5</v>
      </c>
      <c r="HN71" s="19">
        <v>11.9</v>
      </c>
      <c r="HO71" s="19">
        <v>11.1</v>
      </c>
      <c r="HP71" s="19">
        <v>50.1</v>
      </c>
      <c r="HQ71" s="19">
        <v>64.8</v>
      </c>
      <c r="HR71" s="19">
        <v>95.3</v>
      </c>
      <c r="HS71" s="19">
        <v>94</v>
      </c>
      <c r="HT71" s="19">
        <v>123.7</v>
      </c>
      <c r="HU71" s="19">
        <v>122.3</v>
      </c>
      <c r="HV71" s="19">
        <v>121.3</v>
      </c>
      <c r="HW71" s="19">
        <v>120.3</v>
      </c>
      <c r="HX71" s="19">
        <v>119.3</v>
      </c>
      <c r="HY71" s="19">
        <v>118.3</v>
      </c>
      <c r="HZ71" s="19">
        <v>117.3</v>
      </c>
      <c r="IA71" s="19">
        <v>116.3</v>
      </c>
      <c r="IB71" s="19">
        <v>115.3</v>
      </c>
      <c r="IC71" s="19">
        <v>114</v>
      </c>
    </row>
    <row r="72">
      <c r="A72" s="2" t="s">
        <v>391</v>
      </c>
      <c r="B72" s="2" t="s">
        <v>224</v>
      </c>
      <c r="C72" s="2" t="s">
        <v>225</v>
      </c>
      <c r="D72" s="2" t="s">
        <v>226</v>
      </c>
      <c r="E72" s="2" t="s">
        <v>227</v>
      </c>
      <c r="F72" s="2" t="s">
        <v>392</v>
      </c>
      <c r="G72" s="2" t="s">
        <v>392</v>
      </c>
      <c r="H72" s="2" t="s">
        <v>392</v>
      </c>
      <c r="I72" s="2" t="s">
        <v>393</v>
      </c>
      <c r="J72" s="2" t="s">
        <v>394</v>
      </c>
      <c r="K72" s="2" t="s">
        <v>316</v>
      </c>
      <c r="L72" s="3">
        <v>64.66</v>
      </c>
      <c r="M72" s="3">
        <v>67.89</v>
      </c>
      <c r="N72" s="3">
        <v>124.99</v>
      </c>
      <c r="O72" s="2" t="s">
        <v>232</v>
      </c>
      <c r="P72" s="2" t="s">
        <v>233</v>
      </c>
      <c r="Q72" s="2" t="s">
        <v>234</v>
      </c>
      <c r="R72" s="2" t="s">
        <v>235</v>
      </c>
      <c r="S72" s="2" t="s">
        <v>395</v>
      </c>
      <c r="T72" s="2" t="s">
        <v>237</v>
      </c>
      <c r="U72" s="2" t="s">
        <v>235</v>
      </c>
      <c r="V72" s="2" t="s">
        <v>238</v>
      </c>
      <c r="W72" s="2" t="s">
        <v>239</v>
      </c>
      <c r="X72" s="2" t="s">
        <v>235</v>
      </c>
      <c r="Y72" s="2" t="s">
        <v>240</v>
      </c>
      <c r="Z72" s="4">
        <v>219</v>
      </c>
      <c r="AA72" s="4">
        <f>=ROUNDDOWN(219,0)</f>
      </c>
      <c r="AB72" s="5">
        <v>1</v>
      </c>
      <c r="AC72" s="2" t="s">
        <v>235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235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235</v>
      </c>
      <c r="AW72" s="8" t="s">
        <v>235</v>
      </c>
      <c r="AX72" s="4" t="s">
        <v>235</v>
      </c>
      <c r="AY72" s="8" t="s">
        <v>235</v>
      </c>
      <c r="AZ72" s="7" t="s">
        <v>235</v>
      </c>
      <c r="BA72" s="7" t="s">
        <v>235</v>
      </c>
      <c r="BB72" s="7"/>
      <c r="BC72" s="4" t="s">
        <v>235</v>
      </c>
      <c r="BD72" s="8" t="s">
        <v>235</v>
      </c>
      <c r="BE72" s="4" t="s">
        <v>235</v>
      </c>
      <c r="BF72" s="8" t="s">
        <v>235</v>
      </c>
      <c r="BG72" s="7" t="s">
        <v>235</v>
      </c>
      <c r="BH72" s="7" t="s">
        <v>235</v>
      </c>
      <c r="BI72" s="7"/>
      <c r="BJ72" s="4">
        <v>1</v>
      </c>
      <c r="BK72" s="8">
        <v>64.58</v>
      </c>
      <c r="BL72" s="2" t="s">
        <v>396</v>
      </c>
      <c r="BM72" s="7"/>
      <c r="BN72" s="7"/>
      <c r="BO72" s="4"/>
      <c r="BP72" s="8"/>
      <c r="BQ72" s="4"/>
      <c r="BR72" s="8"/>
      <c r="BS72" s="7"/>
      <c r="BT72" s="7"/>
      <c r="BU72" s="2" t="s">
        <v>397</v>
      </c>
      <c r="BV72" s="2" t="s">
        <v>243</v>
      </c>
      <c r="BW72" s="2" t="s">
        <v>235</v>
      </c>
      <c r="BX72" s="2" t="s">
        <v>244</v>
      </c>
      <c r="BY72" s="2" t="s">
        <v>245</v>
      </c>
      <c r="BZ72" s="2" t="s">
        <v>232</v>
      </c>
      <c r="CA72" s="2" t="s">
        <v>252</v>
      </c>
      <c r="CB72" s="2" t="s">
        <v>398</v>
      </c>
      <c r="CC72" s="2" t="s">
        <v>248</v>
      </c>
      <c r="CD72" s="2" t="s">
        <v>248</v>
      </c>
      <c r="CE72" s="2" t="s">
        <v>235</v>
      </c>
      <c r="CF72" s="4">
        <v>219</v>
      </c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>
        <v>219</v>
      </c>
      <c r="GE72" s="4">
        <v>218</v>
      </c>
      <c r="GF72" s="4">
        <v>217</v>
      </c>
      <c r="GG72" s="4">
        <v>216</v>
      </c>
      <c r="GH72" s="4">
        <v>215</v>
      </c>
      <c r="GI72" s="4">
        <v>214</v>
      </c>
      <c r="GJ72" s="4">
        <v>213</v>
      </c>
      <c r="GK72" s="4">
        <v>212</v>
      </c>
      <c r="GL72" s="4">
        <v>211</v>
      </c>
      <c r="GM72" s="4">
        <v>210</v>
      </c>
      <c r="GN72" s="4">
        <v>209</v>
      </c>
      <c r="GO72" s="4">
        <v>207</v>
      </c>
      <c r="GP72" s="4">
        <v>205</v>
      </c>
      <c r="GQ72" s="4">
        <v>202</v>
      </c>
      <c r="GR72" s="4">
        <v>200</v>
      </c>
      <c r="GS72" s="4">
        <v>198</v>
      </c>
      <c r="GT72" s="4">
        <v>197</v>
      </c>
      <c r="GU72" s="4">
        <v>196</v>
      </c>
      <c r="GV72" s="4">
        <v>195</v>
      </c>
      <c r="GW72" s="4">
        <v>194</v>
      </c>
      <c r="GX72" s="4">
        <v>193</v>
      </c>
      <c r="GY72" s="4">
        <v>192</v>
      </c>
      <c r="GZ72" s="4">
        <v>191</v>
      </c>
      <c r="HA72" s="4">
        <v>190</v>
      </c>
      <c r="HB72" s="4">
        <v>189</v>
      </c>
      <c r="HC72" s="4">
        <v>188</v>
      </c>
      <c r="HD72" s="19">
        <v>219</v>
      </c>
      <c r="HE72" s="19">
        <v>218</v>
      </c>
      <c r="HF72" s="19">
        <v>217</v>
      </c>
      <c r="HG72" s="19">
        <v>216</v>
      </c>
      <c r="HH72" s="19">
        <v>215</v>
      </c>
      <c r="HI72" s="19">
        <v>214</v>
      </c>
      <c r="HJ72" s="19">
        <v>213</v>
      </c>
      <c r="HK72" s="19">
        <v>212</v>
      </c>
      <c r="HL72" s="19">
        <v>105.5</v>
      </c>
      <c r="HM72" s="19">
        <v>105</v>
      </c>
      <c r="HN72" s="19">
        <v>104.5</v>
      </c>
      <c r="HO72" s="19">
        <v>103.5</v>
      </c>
      <c r="HP72" s="19">
        <v>102.5</v>
      </c>
      <c r="HQ72" s="19">
        <v>101</v>
      </c>
      <c r="HR72" s="19">
        <v>200</v>
      </c>
      <c r="HS72" s="19">
        <v>198</v>
      </c>
      <c r="HT72" s="19">
        <v>197</v>
      </c>
      <c r="HU72" s="19">
        <v>196</v>
      </c>
      <c r="HV72" s="19">
        <v>195</v>
      </c>
      <c r="HW72" s="19">
        <v>194</v>
      </c>
      <c r="HX72" s="19">
        <v>193</v>
      </c>
      <c r="HY72" s="19">
        <v>192</v>
      </c>
      <c r="HZ72" s="19">
        <v>191</v>
      </c>
      <c r="IA72" s="19">
        <v>190</v>
      </c>
      <c r="IB72" s="19">
        <v>189</v>
      </c>
      <c r="IC72" s="19">
        <v>188</v>
      </c>
    </row>
    <row r="73">
      <c r="A73" s="2" t="s">
        <v>399</v>
      </c>
      <c r="B73" s="2" t="s">
        <v>224</v>
      </c>
      <c r="C73" s="2" t="s">
        <v>225</v>
      </c>
      <c r="D73" s="2" t="s">
        <v>226</v>
      </c>
      <c r="E73" s="2" t="s">
        <v>227</v>
      </c>
      <c r="F73" s="2" t="s">
        <v>392</v>
      </c>
      <c r="G73" s="2" t="s">
        <v>392</v>
      </c>
      <c r="H73" s="2" t="s">
        <v>392</v>
      </c>
      <c r="I73" s="2" t="s">
        <v>393</v>
      </c>
      <c r="J73" s="2" t="s">
        <v>250</v>
      </c>
      <c r="K73" s="2" t="s">
        <v>316</v>
      </c>
      <c r="L73" s="3">
        <v>82.35</v>
      </c>
      <c r="M73" s="3">
        <v>86.47</v>
      </c>
      <c r="N73" s="3">
        <v>159.99</v>
      </c>
      <c r="O73" s="2" t="s">
        <v>232</v>
      </c>
      <c r="P73" s="2" t="s">
        <v>233</v>
      </c>
      <c r="Q73" s="2" t="s">
        <v>234</v>
      </c>
      <c r="R73" s="2" t="s">
        <v>235</v>
      </c>
      <c r="S73" s="2" t="s">
        <v>395</v>
      </c>
      <c r="T73" s="2" t="s">
        <v>237</v>
      </c>
      <c r="U73" s="2" t="s">
        <v>235</v>
      </c>
      <c r="V73" s="2" t="s">
        <v>238</v>
      </c>
      <c r="W73" s="2" t="s">
        <v>239</v>
      </c>
      <c r="X73" s="2" t="s">
        <v>235</v>
      </c>
      <c r="Y73" s="2" t="s">
        <v>240</v>
      </c>
      <c r="Z73" s="4">
        <v>231</v>
      </c>
      <c r="AA73" s="4">
        <f>=ROUNDDOWN(231,0)</f>
      </c>
      <c r="AB73" s="5">
        <v>1</v>
      </c>
      <c r="AC73" s="2" t="s">
        <v>235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235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235</v>
      </c>
      <c r="AW73" s="8" t="s">
        <v>235</v>
      </c>
      <c r="AX73" s="4" t="s">
        <v>235</v>
      </c>
      <c r="AY73" s="8" t="s">
        <v>235</v>
      </c>
      <c r="AZ73" s="7" t="s">
        <v>235</v>
      </c>
      <c r="BA73" s="7" t="s">
        <v>235</v>
      </c>
      <c r="BB73" s="7"/>
      <c r="BC73" s="4" t="s">
        <v>235</v>
      </c>
      <c r="BD73" s="8" t="s">
        <v>235</v>
      </c>
      <c r="BE73" s="4" t="s">
        <v>235</v>
      </c>
      <c r="BF73" s="8" t="s">
        <v>235</v>
      </c>
      <c r="BG73" s="7" t="s">
        <v>235</v>
      </c>
      <c r="BH73" s="7" t="s">
        <v>235</v>
      </c>
      <c r="BI73" s="7"/>
      <c r="BJ73" s="4"/>
      <c r="BK73" s="8"/>
      <c r="BL73" s="2" t="s">
        <v>400</v>
      </c>
      <c r="BM73" s="7"/>
      <c r="BN73" s="7"/>
      <c r="BO73" s="4"/>
      <c r="BP73" s="8"/>
      <c r="BQ73" s="4"/>
      <c r="BR73" s="8"/>
      <c r="BS73" s="7"/>
      <c r="BT73" s="7"/>
      <c r="BU73" s="2" t="s">
        <v>397</v>
      </c>
      <c r="BV73" s="2" t="s">
        <v>243</v>
      </c>
      <c r="BW73" s="2" t="s">
        <v>235</v>
      </c>
      <c r="BX73" s="2" t="s">
        <v>244</v>
      </c>
      <c r="BY73" s="2" t="s">
        <v>245</v>
      </c>
      <c r="BZ73" s="2" t="s">
        <v>232</v>
      </c>
      <c r="CA73" s="2" t="s">
        <v>252</v>
      </c>
      <c r="CB73" s="2" t="s">
        <v>401</v>
      </c>
      <c r="CC73" s="2" t="s">
        <v>248</v>
      </c>
      <c r="CD73" s="2" t="s">
        <v>248</v>
      </c>
      <c r="CE73" s="2" t="s">
        <v>235</v>
      </c>
      <c r="CF73" s="4">
        <v>231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>
        <v>231</v>
      </c>
      <c r="GE73" s="4">
        <v>230</v>
      </c>
      <c r="GF73" s="4">
        <v>229</v>
      </c>
      <c r="GG73" s="4">
        <v>228</v>
      </c>
      <c r="GH73" s="4">
        <v>227</v>
      </c>
      <c r="GI73" s="4">
        <v>226</v>
      </c>
      <c r="GJ73" s="4">
        <v>225</v>
      </c>
      <c r="GK73" s="4">
        <v>224</v>
      </c>
      <c r="GL73" s="4">
        <v>223</v>
      </c>
      <c r="GM73" s="4">
        <v>222</v>
      </c>
      <c r="GN73" s="4">
        <v>221</v>
      </c>
      <c r="GO73" s="4">
        <v>219</v>
      </c>
      <c r="GP73" s="4">
        <v>218</v>
      </c>
      <c r="GQ73" s="4">
        <v>216</v>
      </c>
      <c r="GR73" s="4">
        <v>214</v>
      </c>
      <c r="GS73" s="4">
        <v>212</v>
      </c>
      <c r="GT73" s="4">
        <v>211</v>
      </c>
      <c r="GU73" s="4">
        <v>210</v>
      </c>
      <c r="GV73" s="4">
        <v>209</v>
      </c>
      <c r="GW73" s="4">
        <v>208</v>
      </c>
      <c r="GX73" s="4">
        <v>207</v>
      </c>
      <c r="GY73" s="4">
        <v>206</v>
      </c>
      <c r="GZ73" s="4">
        <v>205</v>
      </c>
      <c r="HA73" s="4">
        <v>204</v>
      </c>
      <c r="HB73" s="4">
        <v>203</v>
      </c>
      <c r="HC73" s="4">
        <v>202</v>
      </c>
      <c r="HD73" s="19">
        <v>231</v>
      </c>
      <c r="HE73" s="19">
        <v>230</v>
      </c>
      <c r="HF73" s="19">
        <v>229</v>
      </c>
      <c r="HG73" s="19">
        <v>228</v>
      </c>
      <c r="HH73" s="19">
        <v>227</v>
      </c>
      <c r="HI73" s="19">
        <v>226</v>
      </c>
      <c r="HJ73" s="19">
        <v>225</v>
      </c>
      <c r="HK73" s="19">
        <v>224</v>
      </c>
      <c r="HL73" s="19">
        <v>223</v>
      </c>
      <c r="HM73" s="19">
        <v>111</v>
      </c>
      <c r="HN73" s="19">
        <v>110.5</v>
      </c>
      <c r="HO73" s="19">
        <v>109.5</v>
      </c>
      <c r="HP73" s="19">
        <v>109</v>
      </c>
      <c r="HQ73" s="19">
        <v>108</v>
      </c>
      <c r="HR73" s="19">
        <v>214</v>
      </c>
      <c r="HS73" s="19">
        <v>212</v>
      </c>
      <c r="HT73" s="19">
        <v>211</v>
      </c>
      <c r="HU73" s="19">
        <v>210</v>
      </c>
      <c r="HV73" s="19">
        <v>209</v>
      </c>
      <c r="HW73" s="19">
        <v>208</v>
      </c>
      <c r="HX73" s="19">
        <v>207</v>
      </c>
      <c r="HY73" s="19">
        <v>206</v>
      </c>
      <c r="HZ73" s="19">
        <v>205</v>
      </c>
      <c r="IA73" s="19">
        <v>204</v>
      </c>
      <c r="IB73" s="19">
        <v>203</v>
      </c>
      <c r="IC73" s="19">
        <v>202</v>
      </c>
    </row>
    <row r="74">
      <c r="A74" s="2" t="s">
        <v>402</v>
      </c>
      <c r="B74" s="2" t="s">
        <v>323</v>
      </c>
      <c r="C74" s="2" t="s">
        <v>403</v>
      </c>
      <c r="D74" s="2" t="s">
        <v>257</v>
      </c>
      <c r="E74" s="2" t="s">
        <v>258</v>
      </c>
      <c r="F74" s="2" t="s">
        <v>404</v>
      </c>
      <c r="G74" s="2" t="s">
        <v>404</v>
      </c>
      <c r="H74" s="2" t="s">
        <v>404</v>
      </c>
      <c r="I74" s="2" t="s">
        <v>405</v>
      </c>
      <c r="J74" s="2" t="s">
        <v>270</v>
      </c>
      <c r="K74" s="2" t="s">
        <v>406</v>
      </c>
      <c r="L74" s="3">
        <v>28.5</v>
      </c>
      <c r="M74" s="3">
        <v>29.93</v>
      </c>
      <c r="N74" s="3">
        <v>59.99</v>
      </c>
      <c r="O74" s="2" t="s">
        <v>407</v>
      </c>
      <c r="P74" s="2" t="s">
        <v>408</v>
      </c>
      <c r="Q74" s="2" t="s">
        <v>234</v>
      </c>
      <c r="R74" s="2" t="s">
        <v>235</v>
      </c>
      <c r="S74" s="2" t="s">
        <v>409</v>
      </c>
      <c r="T74" s="2" t="s">
        <v>263</v>
      </c>
      <c r="U74" s="2" t="s">
        <v>264</v>
      </c>
      <c r="V74" s="2" t="s">
        <v>410</v>
      </c>
      <c r="W74" s="2" t="s">
        <v>410</v>
      </c>
      <c r="X74" s="2" t="s">
        <v>239</v>
      </c>
      <c r="Y74" s="2" t="s">
        <v>411</v>
      </c>
      <c r="Z74" s="4">
        <v>1</v>
      </c>
      <c r="AA74" s="4">
        <f>=ROUNDDOWN(0.2,0)</f>
      </c>
      <c r="AB74" s="5">
        <v>5</v>
      </c>
      <c r="AC74" s="2" t="s">
        <v>235</v>
      </c>
      <c r="AD74" s="4"/>
      <c r="AE74" s="4"/>
      <c r="AF74" s="6">
        <v>83</v>
      </c>
      <c r="AG74" s="6"/>
      <c r="AH74" s="7">
        <v>0.8065</v>
      </c>
      <c r="AI74" s="4"/>
      <c r="AJ74" s="4">
        <f>=ROUNDDOWN({0},0)</f>
      </c>
      <c r="AK74" s="5"/>
      <c r="AL74" s="2" t="s">
        <v>235</v>
      </c>
      <c r="AM74" s="4"/>
      <c r="AN74" s="4"/>
      <c r="AO74" s="7"/>
      <c r="AP74" s="4"/>
      <c r="AQ74" s="8"/>
      <c r="AR74" s="4"/>
      <c r="AS74" s="8"/>
      <c r="AT74" s="7"/>
      <c r="AU74" s="7"/>
      <c r="AV74" s="4"/>
      <c r="AW74" s="8"/>
      <c r="AX74" s="4"/>
      <c r="AY74" s="8"/>
      <c r="AZ74" s="7"/>
      <c r="BA74" s="7"/>
      <c r="BB74" s="7"/>
      <c r="BC74" s="4" t="s">
        <v>235</v>
      </c>
      <c r="BD74" s="8" t="s">
        <v>235</v>
      </c>
      <c r="BE74" s="4" t="s">
        <v>235</v>
      </c>
      <c r="BF74" s="8" t="s">
        <v>235</v>
      </c>
      <c r="BG74" s="7" t="s">
        <v>235</v>
      </c>
      <c r="BH74" s="7" t="s">
        <v>235</v>
      </c>
      <c r="BI74" s="7"/>
      <c r="BJ74" s="4">
        <v>5</v>
      </c>
      <c r="BK74" s="8">
        <v>141.5</v>
      </c>
      <c r="BL74" s="2" t="s">
        <v>412</v>
      </c>
      <c r="BM74" s="7"/>
      <c r="BN74" s="7"/>
      <c r="BO74" s="4"/>
      <c r="BP74" s="8"/>
      <c r="BQ74" s="4"/>
      <c r="BR74" s="8"/>
      <c r="BS74" s="7"/>
      <c r="BT74" s="7"/>
      <c r="BU74" s="2" t="s">
        <v>413</v>
      </c>
      <c r="BV74" s="2" t="s">
        <v>243</v>
      </c>
      <c r="BW74" s="2" t="s">
        <v>235</v>
      </c>
      <c r="BX74" s="2" t="s">
        <v>414</v>
      </c>
      <c r="BY74" s="2" t="s">
        <v>245</v>
      </c>
      <c r="BZ74" s="2" t="s">
        <v>232</v>
      </c>
      <c r="CA74" s="2" t="s">
        <v>415</v>
      </c>
      <c r="CB74" s="2" t="s">
        <v>416</v>
      </c>
      <c r="CC74" s="2" t="s">
        <v>248</v>
      </c>
      <c r="CD74" s="2" t="s">
        <v>248</v>
      </c>
      <c r="CE74" s="2" t="s">
        <v>235</v>
      </c>
      <c r="CF74" s="4">
        <v>1</v>
      </c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>
        <v>1</v>
      </c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19">
        <v>0.3</v>
      </c>
      <c r="HE74" s="20">
        <v>0</v>
      </c>
      <c r="HF74" s="20">
        <v>0</v>
      </c>
      <c r="HG74" s="20">
        <v>0</v>
      </c>
      <c r="HH74" s="20">
        <v>0</v>
      </c>
      <c r="HI74" s="20">
        <v>0</v>
      </c>
      <c r="HJ74" s="20">
        <v>0</v>
      </c>
      <c r="HK74" s="20">
        <v>0</v>
      </c>
      <c r="HL74" s="20">
        <v>0</v>
      </c>
      <c r="HM74" s="20">
        <v>0</v>
      </c>
      <c r="HN74" s="20">
        <v>0</v>
      </c>
      <c r="HO74" s="20">
        <v>0</v>
      </c>
      <c r="HP74" s="20">
        <v>0</v>
      </c>
      <c r="HQ74" s="20">
        <v>0</v>
      </c>
      <c r="HR74" s="20">
        <v>0</v>
      </c>
      <c r="HS74" s="20">
        <v>0</v>
      </c>
      <c r="HT74" s="20">
        <v>0</v>
      </c>
      <c r="HU74" s="20">
        <v>0</v>
      </c>
      <c r="HV74" s="20">
        <v>0</v>
      </c>
      <c r="HW74" s="20">
        <v>0</v>
      </c>
      <c r="HX74" s="20">
        <v>0</v>
      </c>
      <c r="HY74" s="20">
        <v>0</v>
      </c>
      <c r="HZ74" s="20">
        <v>0</v>
      </c>
      <c r="IA74" s="20">
        <v>0</v>
      </c>
      <c r="IB74" s="20">
        <v>0</v>
      </c>
      <c r="IC74" s="20">
        <v>0</v>
      </c>
    </row>
    <row r="75">
      <c r="A75" s="2" t="s">
        <v>417</v>
      </c>
      <c r="B75" s="2" t="s">
        <v>323</v>
      </c>
      <c r="C75" s="2" t="s">
        <v>403</v>
      </c>
      <c r="D75" s="2" t="s">
        <v>257</v>
      </c>
      <c r="E75" s="2" t="s">
        <v>258</v>
      </c>
      <c r="F75" s="2" t="s">
        <v>404</v>
      </c>
      <c r="G75" s="2" t="s">
        <v>404</v>
      </c>
      <c r="H75" s="2" t="s">
        <v>404</v>
      </c>
      <c r="I75" s="2" t="s">
        <v>405</v>
      </c>
      <c r="J75" s="2" t="s">
        <v>270</v>
      </c>
      <c r="K75" s="2" t="s">
        <v>418</v>
      </c>
      <c r="L75" s="3">
        <v>28.5</v>
      </c>
      <c r="M75" s="3">
        <v>29.93</v>
      </c>
      <c r="N75" s="3">
        <v>59.99</v>
      </c>
      <c r="O75" s="2" t="s">
        <v>232</v>
      </c>
      <c r="P75" s="2" t="s">
        <v>233</v>
      </c>
      <c r="Q75" s="2" t="s">
        <v>234</v>
      </c>
      <c r="R75" s="2" t="s">
        <v>235</v>
      </c>
      <c r="S75" s="2" t="s">
        <v>419</v>
      </c>
      <c r="T75" s="2" t="s">
        <v>263</v>
      </c>
      <c r="U75" s="2" t="s">
        <v>264</v>
      </c>
      <c r="V75" s="2" t="s">
        <v>420</v>
      </c>
      <c r="W75" s="2" t="s">
        <v>239</v>
      </c>
      <c r="X75" s="2" t="s">
        <v>235</v>
      </c>
      <c r="Y75" s="2" t="s">
        <v>421</v>
      </c>
      <c r="Z75" s="4">
        <v>232</v>
      </c>
      <c r="AA75" s="4">
        <f>=ROUNDDOWN(74.8387096774193,0)</f>
      </c>
      <c r="AB75" s="5">
        <v>3.1</v>
      </c>
      <c r="AC75" s="2" t="s">
        <v>235</v>
      </c>
      <c r="AD75" s="4"/>
      <c r="AE75" s="4"/>
      <c r="AF75" s="6">
        <v>83</v>
      </c>
      <c r="AG75" s="6"/>
      <c r="AH75" s="7">
        <v>1</v>
      </c>
      <c r="AI75" s="4"/>
      <c r="AJ75" s="4">
        <f>=ROUNDDOWN({0},0)</f>
      </c>
      <c r="AK75" s="5"/>
      <c r="AL75" s="2" t="s">
        <v>235</v>
      </c>
      <c r="AM75" s="4"/>
      <c r="AN75" s="4"/>
      <c r="AO75" s="7"/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 t="s">
        <v>235</v>
      </c>
      <c r="BD75" s="8" t="s">
        <v>235</v>
      </c>
      <c r="BE75" s="4" t="s">
        <v>235</v>
      </c>
      <c r="BF75" s="8" t="s">
        <v>235</v>
      </c>
      <c r="BG75" s="7" t="s">
        <v>235</v>
      </c>
      <c r="BH75" s="7" t="s">
        <v>235</v>
      </c>
      <c r="BI75" s="7"/>
      <c r="BJ75" s="4">
        <v>15</v>
      </c>
      <c r="BK75" s="8">
        <v>483.54</v>
      </c>
      <c r="BL75" s="2" t="s">
        <v>422</v>
      </c>
      <c r="BM75" s="7"/>
      <c r="BN75" s="7"/>
      <c r="BO75" s="4"/>
      <c r="BP75" s="8"/>
      <c r="BQ75" s="4"/>
      <c r="BR75" s="8"/>
      <c r="BS75" s="7"/>
      <c r="BT75" s="7"/>
      <c r="BU75" s="2" t="s">
        <v>413</v>
      </c>
      <c r="BV75" s="2" t="s">
        <v>243</v>
      </c>
      <c r="BW75" s="2" t="s">
        <v>235</v>
      </c>
      <c r="BX75" s="2" t="s">
        <v>244</v>
      </c>
      <c r="BY75" s="2" t="s">
        <v>245</v>
      </c>
      <c r="BZ75" s="2" t="s">
        <v>232</v>
      </c>
      <c r="CA75" s="2" t="s">
        <v>423</v>
      </c>
      <c r="CB75" s="2" t="s">
        <v>424</v>
      </c>
      <c r="CC75" s="2" t="s">
        <v>248</v>
      </c>
      <c r="CD75" s="2" t="s">
        <v>248</v>
      </c>
      <c r="CE75" s="2" t="s">
        <v>235</v>
      </c>
      <c r="CF75" s="4">
        <v>232</v>
      </c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>
        <v>233</v>
      </c>
      <c r="GE75" s="4">
        <v>229</v>
      </c>
      <c r="GF75" s="4">
        <v>228</v>
      </c>
      <c r="GG75" s="4">
        <v>226</v>
      </c>
      <c r="GH75" s="4">
        <v>223</v>
      </c>
      <c r="GI75" s="4">
        <v>219</v>
      </c>
      <c r="GJ75" s="4">
        <v>213</v>
      </c>
      <c r="GK75" s="4">
        <v>207</v>
      </c>
      <c r="GL75" s="4">
        <v>202</v>
      </c>
      <c r="GM75" s="4">
        <v>199</v>
      </c>
      <c r="GN75" s="4">
        <v>196</v>
      </c>
      <c r="GO75" s="4">
        <v>193</v>
      </c>
      <c r="GP75" s="4">
        <v>190</v>
      </c>
      <c r="GQ75" s="4">
        <v>185</v>
      </c>
      <c r="GR75" s="4">
        <v>180</v>
      </c>
      <c r="GS75" s="4">
        <v>176</v>
      </c>
      <c r="GT75" s="4">
        <v>173</v>
      </c>
      <c r="GU75" s="4">
        <v>170</v>
      </c>
      <c r="GV75" s="4">
        <v>167</v>
      </c>
      <c r="GW75" s="4">
        <v>164</v>
      </c>
      <c r="GX75" s="4">
        <v>161</v>
      </c>
      <c r="GY75" s="4">
        <v>158</v>
      </c>
      <c r="GZ75" s="4">
        <v>155</v>
      </c>
      <c r="HA75" s="4">
        <v>152</v>
      </c>
      <c r="HB75" s="4">
        <v>149</v>
      </c>
      <c r="HC75" s="4">
        <v>146</v>
      </c>
      <c r="HD75" s="19">
        <v>116.5</v>
      </c>
      <c r="HE75" s="19">
        <v>114.5</v>
      </c>
      <c r="HF75" s="19">
        <v>57</v>
      </c>
      <c r="HG75" s="19">
        <v>45.2</v>
      </c>
      <c r="HH75" s="19">
        <v>44.6</v>
      </c>
      <c r="HI75" s="19">
        <v>43.8</v>
      </c>
      <c r="HJ75" s="19">
        <v>53.3</v>
      </c>
      <c r="HK75" s="19">
        <v>51.8</v>
      </c>
      <c r="HL75" s="19">
        <v>67.3</v>
      </c>
      <c r="HM75" s="19">
        <v>49.8</v>
      </c>
      <c r="HN75" s="19">
        <v>49</v>
      </c>
      <c r="HO75" s="19">
        <v>48.3</v>
      </c>
      <c r="HP75" s="19">
        <v>47.5</v>
      </c>
      <c r="HQ75" s="19">
        <v>46.3</v>
      </c>
      <c r="HR75" s="19">
        <v>60</v>
      </c>
      <c r="HS75" s="19">
        <v>58.7</v>
      </c>
      <c r="HT75" s="19">
        <v>57.7</v>
      </c>
      <c r="HU75" s="19">
        <v>56.7</v>
      </c>
      <c r="HV75" s="19">
        <v>55.7</v>
      </c>
      <c r="HW75" s="19">
        <v>54.7</v>
      </c>
      <c r="HX75" s="19">
        <v>53.7</v>
      </c>
      <c r="HY75" s="19">
        <v>52.7</v>
      </c>
      <c r="HZ75" s="19">
        <v>51.7</v>
      </c>
      <c r="IA75" s="19">
        <v>50.7</v>
      </c>
      <c r="IB75" s="19">
        <v>49.7</v>
      </c>
      <c r="IC75" s="19">
        <v>48.7</v>
      </c>
    </row>
    <row r="76">
      <c r="A76" s="2" t="s">
        <v>425</v>
      </c>
      <c r="B76" s="2" t="s">
        <v>323</v>
      </c>
      <c r="C76" s="2" t="s">
        <v>403</v>
      </c>
      <c r="D76" s="2" t="s">
        <v>257</v>
      </c>
      <c r="E76" s="2" t="s">
        <v>258</v>
      </c>
      <c r="F76" s="2" t="s">
        <v>404</v>
      </c>
      <c r="G76" s="2" t="s">
        <v>404</v>
      </c>
      <c r="H76" s="2" t="s">
        <v>404</v>
      </c>
      <c r="I76" s="2" t="s">
        <v>405</v>
      </c>
      <c r="J76" s="2" t="s">
        <v>250</v>
      </c>
      <c r="K76" s="2" t="s">
        <v>426</v>
      </c>
      <c r="L76" s="3">
        <v>23.75</v>
      </c>
      <c r="M76" s="3">
        <v>24.94</v>
      </c>
      <c r="N76" s="3">
        <v>49.99</v>
      </c>
      <c r="O76" s="2" t="s">
        <v>232</v>
      </c>
      <c r="P76" s="2" t="s">
        <v>233</v>
      </c>
      <c r="Q76" s="2" t="s">
        <v>234</v>
      </c>
      <c r="R76" s="2" t="s">
        <v>235</v>
      </c>
      <c r="S76" s="2" t="s">
        <v>427</v>
      </c>
      <c r="T76" s="2" t="s">
        <v>263</v>
      </c>
      <c r="U76" s="2" t="s">
        <v>264</v>
      </c>
      <c r="V76" s="2" t="s">
        <v>420</v>
      </c>
      <c r="W76" s="2" t="s">
        <v>239</v>
      </c>
      <c r="X76" s="2" t="s">
        <v>235</v>
      </c>
      <c r="Y76" s="2" t="s">
        <v>421</v>
      </c>
      <c r="Z76" s="4">
        <v>158</v>
      </c>
      <c r="AA76" s="4">
        <f>=ROUNDDOWN(56.4285714285714,0)</f>
      </c>
      <c r="AB76" s="5">
        <v>2.8</v>
      </c>
      <c r="AC76" s="2" t="s">
        <v>235</v>
      </c>
      <c r="AD76" s="4"/>
      <c r="AE76" s="4"/>
      <c r="AF76" s="6">
        <v>83</v>
      </c>
      <c r="AG76" s="6"/>
      <c r="AH76" s="7">
        <v>1</v>
      </c>
      <c r="AI76" s="4"/>
      <c r="AJ76" s="4">
        <f>=ROUNDDOWN({0},0)</f>
      </c>
      <c r="AK76" s="5"/>
      <c r="AL76" s="2" t="s">
        <v>235</v>
      </c>
      <c r="AM76" s="4"/>
      <c r="AN76" s="4"/>
      <c r="AO76" s="7"/>
      <c r="AP76" s="4"/>
      <c r="AQ76" s="8"/>
      <c r="AR76" s="4"/>
      <c r="AS76" s="8"/>
      <c r="AT76" s="7"/>
      <c r="AU76" s="7"/>
      <c r="AV76" s="4"/>
      <c r="AW76" s="8"/>
      <c r="AX76" s="4"/>
      <c r="AY76" s="8"/>
      <c r="AZ76" s="7"/>
      <c r="BA76" s="7"/>
      <c r="BB76" s="7"/>
      <c r="BC76" s="4" t="s">
        <v>235</v>
      </c>
      <c r="BD76" s="8" t="s">
        <v>235</v>
      </c>
      <c r="BE76" s="4" t="s">
        <v>235</v>
      </c>
      <c r="BF76" s="8" t="s">
        <v>235</v>
      </c>
      <c r="BG76" s="7" t="s">
        <v>235</v>
      </c>
      <c r="BH76" s="7" t="s">
        <v>235</v>
      </c>
      <c r="BI76" s="7"/>
      <c r="BJ76" s="4">
        <v>21</v>
      </c>
      <c r="BK76" s="8">
        <v>531.51</v>
      </c>
      <c r="BL76" s="2" t="s">
        <v>428</v>
      </c>
      <c r="BM76" s="7"/>
      <c r="BN76" s="7"/>
      <c r="BO76" s="4"/>
      <c r="BP76" s="8"/>
      <c r="BQ76" s="4"/>
      <c r="BR76" s="8"/>
      <c r="BS76" s="7"/>
      <c r="BT76" s="7"/>
      <c r="BU76" s="2" t="s">
        <v>413</v>
      </c>
      <c r="BV76" s="2" t="s">
        <v>243</v>
      </c>
      <c r="BW76" s="2" t="s">
        <v>235</v>
      </c>
      <c r="BX76" s="2" t="s">
        <v>244</v>
      </c>
      <c r="BY76" s="2" t="s">
        <v>245</v>
      </c>
      <c r="BZ76" s="2" t="s">
        <v>232</v>
      </c>
      <c r="CA76" s="2" t="s">
        <v>423</v>
      </c>
      <c r="CB76" s="2" t="s">
        <v>429</v>
      </c>
      <c r="CC76" s="2" t="s">
        <v>248</v>
      </c>
      <c r="CD76" s="2" t="s">
        <v>248</v>
      </c>
      <c r="CE76" s="2" t="s">
        <v>235</v>
      </c>
      <c r="CF76" s="4">
        <v>158</v>
      </c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>
        <v>158</v>
      </c>
      <c r="GE76" s="4">
        <v>156</v>
      </c>
      <c r="GF76" s="4">
        <v>154</v>
      </c>
      <c r="GG76" s="4">
        <v>152</v>
      </c>
      <c r="GH76" s="4">
        <v>150</v>
      </c>
      <c r="GI76" s="4">
        <v>148</v>
      </c>
      <c r="GJ76" s="4">
        <v>146</v>
      </c>
      <c r="GK76" s="4">
        <v>144</v>
      </c>
      <c r="GL76" s="4">
        <v>140</v>
      </c>
      <c r="GM76" s="4">
        <v>137</v>
      </c>
      <c r="GN76" s="4">
        <v>134</v>
      </c>
      <c r="GO76" s="4">
        <v>131</v>
      </c>
      <c r="GP76" s="4">
        <v>127</v>
      </c>
      <c r="GQ76" s="4">
        <v>121</v>
      </c>
      <c r="GR76" s="4">
        <v>115</v>
      </c>
      <c r="GS76" s="4">
        <v>110</v>
      </c>
      <c r="GT76" s="4">
        <v>107</v>
      </c>
      <c r="GU76" s="4">
        <v>104</v>
      </c>
      <c r="GV76" s="4">
        <v>101</v>
      </c>
      <c r="GW76" s="4">
        <v>98</v>
      </c>
      <c r="GX76" s="4">
        <v>95</v>
      </c>
      <c r="GY76" s="4">
        <v>92</v>
      </c>
      <c r="GZ76" s="4">
        <v>89</v>
      </c>
      <c r="HA76" s="4">
        <v>86</v>
      </c>
      <c r="HB76" s="4">
        <v>83</v>
      </c>
      <c r="HC76" s="4">
        <v>80</v>
      </c>
      <c r="HD76" s="19">
        <v>79</v>
      </c>
      <c r="HE76" s="19">
        <v>78</v>
      </c>
      <c r="HF76" s="19">
        <v>77</v>
      </c>
      <c r="HG76" s="19">
        <v>76</v>
      </c>
      <c r="HH76" s="19">
        <v>75</v>
      </c>
      <c r="HI76" s="19">
        <v>49.3</v>
      </c>
      <c r="HJ76" s="19">
        <v>48.7</v>
      </c>
      <c r="HK76" s="19">
        <v>48</v>
      </c>
      <c r="HL76" s="19">
        <v>46.7</v>
      </c>
      <c r="HM76" s="19">
        <v>34.3</v>
      </c>
      <c r="HN76" s="19">
        <v>26.8</v>
      </c>
      <c r="HO76" s="19">
        <v>26.2</v>
      </c>
      <c r="HP76" s="19">
        <v>25.4</v>
      </c>
      <c r="HQ76" s="19">
        <v>30.3</v>
      </c>
      <c r="HR76" s="19">
        <v>28.8</v>
      </c>
      <c r="HS76" s="19">
        <v>36.7</v>
      </c>
      <c r="HT76" s="19">
        <v>35.7</v>
      </c>
      <c r="HU76" s="19">
        <v>34.7</v>
      </c>
      <c r="HV76" s="19">
        <v>33.7</v>
      </c>
      <c r="HW76" s="19">
        <v>32.7</v>
      </c>
      <c r="HX76" s="19">
        <v>31.7</v>
      </c>
      <c r="HY76" s="19">
        <v>30.7</v>
      </c>
      <c r="HZ76" s="19">
        <v>29.7</v>
      </c>
      <c r="IA76" s="19">
        <v>28.7</v>
      </c>
      <c r="IB76" s="19">
        <v>27.7</v>
      </c>
      <c r="IC76" s="19">
        <v>26.7</v>
      </c>
    </row>
    <row r="77">
      <c r="A77" s="2" t="s">
        <v>430</v>
      </c>
      <c r="B77" s="2" t="s">
        <v>224</v>
      </c>
      <c r="C77" s="2" t="s">
        <v>225</v>
      </c>
      <c r="D77" s="2" t="s">
        <v>226</v>
      </c>
      <c r="E77" s="2" t="s">
        <v>227</v>
      </c>
      <c r="F77" s="2" t="s">
        <v>431</v>
      </c>
      <c r="G77" s="2" t="s">
        <v>431</v>
      </c>
      <c r="H77" s="2" t="s">
        <v>431</v>
      </c>
      <c r="I77" s="2" t="s">
        <v>432</v>
      </c>
      <c r="J77" s="2" t="s">
        <v>394</v>
      </c>
      <c r="K77" s="2" t="s">
        <v>231</v>
      </c>
      <c r="L77" s="3">
        <v>46.36</v>
      </c>
      <c r="M77" s="3">
        <v>48.68</v>
      </c>
      <c r="N77" s="3">
        <v>104.99</v>
      </c>
      <c r="O77" s="2" t="s">
        <v>232</v>
      </c>
      <c r="P77" s="2" t="s">
        <v>233</v>
      </c>
      <c r="Q77" s="2" t="s">
        <v>234</v>
      </c>
      <c r="R77" s="2" t="s">
        <v>235</v>
      </c>
      <c r="S77" s="2" t="s">
        <v>433</v>
      </c>
      <c r="T77" s="2" t="s">
        <v>237</v>
      </c>
      <c r="U77" s="2" t="s">
        <v>235</v>
      </c>
      <c r="V77" s="2" t="s">
        <v>238</v>
      </c>
      <c r="W77" s="2" t="s">
        <v>239</v>
      </c>
      <c r="X77" s="2" t="s">
        <v>235</v>
      </c>
      <c r="Y77" s="2" t="s">
        <v>240</v>
      </c>
      <c r="Z77" s="4">
        <v>415</v>
      </c>
      <c r="AA77" s="4">
        <f>=ROUNDDOWN(207.5,0)</f>
      </c>
      <c r="AB77" s="5">
        <v>2</v>
      </c>
      <c r="AC77" s="2" t="s">
        <v>235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235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235</v>
      </c>
      <c r="AW77" s="8" t="s">
        <v>235</v>
      </c>
      <c r="AX77" s="4" t="s">
        <v>235</v>
      </c>
      <c r="AY77" s="8" t="s">
        <v>235</v>
      </c>
      <c r="AZ77" s="7" t="s">
        <v>235</v>
      </c>
      <c r="BA77" s="7" t="s">
        <v>235</v>
      </c>
      <c r="BB77" s="7"/>
      <c r="BC77" s="4" t="s">
        <v>235</v>
      </c>
      <c r="BD77" s="8" t="s">
        <v>235</v>
      </c>
      <c r="BE77" s="4" t="s">
        <v>235</v>
      </c>
      <c r="BF77" s="8" t="s">
        <v>235</v>
      </c>
      <c r="BG77" s="7" t="s">
        <v>235</v>
      </c>
      <c r="BH77" s="7" t="s">
        <v>235</v>
      </c>
      <c r="BI77" s="7"/>
      <c r="BJ77" s="4">
        <v>8</v>
      </c>
      <c r="BK77" s="8">
        <v>426.97</v>
      </c>
      <c r="BL77" s="2" t="s">
        <v>434</v>
      </c>
      <c r="BM77" s="7"/>
      <c r="BN77" s="7"/>
      <c r="BO77" s="4"/>
      <c r="BP77" s="8"/>
      <c r="BQ77" s="4"/>
      <c r="BR77" s="8"/>
      <c r="BS77" s="7"/>
      <c r="BT77" s="7"/>
      <c r="BU77" s="2" t="s">
        <v>435</v>
      </c>
      <c r="BV77" s="2" t="s">
        <v>243</v>
      </c>
      <c r="BW77" s="2" t="s">
        <v>235</v>
      </c>
      <c r="BX77" s="2" t="s">
        <v>244</v>
      </c>
      <c r="BY77" s="2" t="s">
        <v>245</v>
      </c>
      <c r="BZ77" s="2" t="s">
        <v>232</v>
      </c>
      <c r="CA77" s="2" t="s">
        <v>252</v>
      </c>
      <c r="CB77" s="2" t="s">
        <v>436</v>
      </c>
      <c r="CC77" s="2" t="s">
        <v>248</v>
      </c>
      <c r="CD77" s="2" t="s">
        <v>248</v>
      </c>
      <c r="CE77" s="2" t="s">
        <v>235</v>
      </c>
      <c r="CF77" s="4">
        <v>284</v>
      </c>
      <c r="CG77" s="4">
        <v>131</v>
      </c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>
        <v>416</v>
      </c>
      <c r="GE77" s="4">
        <v>413</v>
      </c>
      <c r="GF77" s="4">
        <v>411</v>
      </c>
      <c r="GG77" s="4">
        <v>409</v>
      </c>
      <c r="GH77" s="4">
        <v>407</v>
      </c>
      <c r="GI77" s="4">
        <v>405</v>
      </c>
      <c r="GJ77" s="4">
        <v>403</v>
      </c>
      <c r="GK77" s="4">
        <v>401</v>
      </c>
      <c r="GL77" s="4">
        <v>399</v>
      </c>
      <c r="GM77" s="4">
        <v>397</v>
      </c>
      <c r="GN77" s="4">
        <v>394</v>
      </c>
      <c r="GO77" s="4">
        <v>390</v>
      </c>
      <c r="GP77" s="4">
        <v>387</v>
      </c>
      <c r="GQ77" s="4">
        <v>381</v>
      </c>
      <c r="GR77" s="4">
        <v>378</v>
      </c>
      <c r="GS77" s="4">
        <v>375</v>
      </c>
      <c r="GT77" s="4">
        <v>373</v>
      </c>
      <c r="GU77" s="4">
        <v>372</v>
      </c>
      <c r="GV77" s="4">
        <v>371</v>
      </c>
      <c r="GW77" s="4">
        <v>370</v>
      </c>
      <c r="GX77" s="4">
        <v>369</v>
      </c>
      <c r="GY77" s="4">
        <v>368</v>
      </c>
      <c r="GZ77" s="4">
        <v>367</v>
      </c>
      <c r="HA77" s="4">
        <v>365</v>
      </c>
      <c r="HB77" s="4">
        <v>363</v>
      </c>
      <c r="HC77" s="4">
        <v>361</v>
      </c>
      <c r="HD77" s="19">
        <v>208</v>
      </c>
      <c r="HE77" s="19">
        <v>206.5</v>
      </c>
      <c r="HF77" s="19">
        <v>205.5</v>
      </c>
      <c r="HG77" s="19">
        <v>204.5</v>
      </c>
      <c r="HH77" s="19">
        <v>203.5</v>
      </c>
      <c r="HI77" s="19">
        <v>202.5</v>
      </c>
      <c r="HJ77" s="19">
        <v>201.5</v>
      </c>
      <c r="HK77" s="19">
        <v>133.7</v>
      </c>
      <c r="HL77" s="19">
        <v>133</v>
      </c>
      <c r="HM77" s="19">
        <v>99.3</v>
      </c>
      <c r="HN77" s="19">
        <v>98.5</v>
      </c>
      <c r="HO77" s="19">
        <v>97.5</v>
      </c>
      <c r="HP77" s="19">
        <v>96.8</v>
      </c>
      <c r="HQ77" s="19">
        <v>190.5</v>
      </c>
      <c r="HR77" s="19">
        <v>189</v>
      </c>
      <c r="HS77" s="19">
        <v>375</v>
      </c>
      <c r="HT77" s="19">
        <v>373</v>
      </c>
      <c r="HU77" s="19">
        <v>372</v>
      </c>
      <c r="HV77" s="19">
        <v>371</v>
      </c>
      <c r="HW77" s="19">
        <v>370</v>
      </c>
      <c r="HX77" s="19">
        <v>184.5</v>
      </c>
      <c r="HY77" s="19">
        <v>184</v>
      </c>
      <c r="HZ77" s="19">
        <v>183.5</v>
      </c>
      <c r="IA77" s="19">
        <v>182.5</v>
      </c>
      <c r="IB77" s="19">
        <v>181.5</v>
      </c>
      <c r="IC77" s="19">
        <v>180.5</v>
      </c>
    </row>
    <row r="78">
      <c r="A78" s="2" t="s">
        <v>437</v>
      </c>
      <c r="B78" s="2" t="s">
        <v>224</v>
      </c>
      <c r="C78" s="2" t="s">
        <v>225</v>
      </c>
      <c r="D78" s="2" t="s">
        <v>226</v>
      </c>
      <c r="E78" s="2" t="s">
        <v>227</v>
      </c>
      <c r="F78" s="2" t="s">
        <v>431</v>
      </c>
      <c r="G78" s="2" t="s">
        <v>431</v>
      </c>
      <c r="H78" s="2" t="s">
        <v>431</v>
      </c>
      <c r="I78" s="2" t="s">
        <v>432</v>
      </c>
      <c r="J78" s="2" t="s">
        <v>270</v>
      </c>
      <c r="K78" s="2" t="s">
        <v>231</v>
      </c>
      <c r="L78" s="3">
        <v>86.57</v>
      </c>
      <c r="M78" s="3">
        <v>90.9</v>
      </c>
      <c r="N78" s="3">
        <v>174.99</v>
      </c>
      <c r="O78" s="2" t="s">
        <v>232</v>
      </c>
      <c r="P78" s="2" t="s">
        <v>233</v>
      </c>
      <c r="Q78" s="2" t="s">
        <v>234</v>
      </c>
      <c r="R78" s="2" t="s">
        <v>235</v>
      </c>
      <c r="S78" s="2" t="s">
        <v>433</v>
      </c>
      <c r="T78" s="2" t="s">
        <v>237</v>
      </c>
      <c r="U78" s="2" t="s">
        <v>235</v>
      </c>
      <c r="V78" s="2" t="s">
        <v>238</v>
      </c>
      <c r="W78" s="2" t="s">
        <v>239</v>
      </c>
      <c r="X78" s="2" t="s">
        <v>235</v>
      </c>
      <c r="Y78" s="2" t="s">
        <v>240</v>
      </c>
      <c r="Z78" s="4">
        <v>151</v>
      </c>
      <c r="AA78" s="4">
        <f>=ROUNDDOWN(50.3333333333333,0)</f>
      </c>
      <c r="AB78" s="5">
        <v>3</v>
      </c>
      <c r="AC78" s="2" t="s">
        <v>186</v>
      </c>
      <c r="AD78" s="4">
        <v>30</v>
      </c>
      <c r="AE78" s="4">
        <v>30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235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235</v>
      </c>
      <c r="AW78" s="8" t="s">
        <v>235</v>
      </c>
      <c r="AX78" s="4" t="s">
        <v>235</v>
      </c>
      <c r="AY78" s="8" t="s">
        <v>235</v>
      </c>
      <c r="AZ78" s="7" t="s">
        <v>235</v>
      </c>
      <c r="BA78" s="7" t="s">
        <v>235</v>
      </c>
      <c r="BB78" s="7"/>
      <c r="BC78" s="4" t="s">
        <v>235</v>
      </c>
      <c r="BD78" s="8" t="s">
        <v>235</v>
      </c>
      <c r="BE78" s="4" t="s">
        <v>235</v>
      </c>
      <c r="BF78" s="8" t="s">
        <v>235</v>
      </c>
      <c r="BG78" s="7" t="s">
        <v>235</v>
      </c>
      <c r="BH78" s="7" t="s">
        <v>235</v>
      </c>
      <c r="BI78" s="7"/>
      <c r="BJ78" s="4">
        <v>16</v>
      </c>
      <c r="BK78" s="8">
        <v>1584.3</v>
      </c>
      <c r="BL78" s="2" t="s">
        <v>438</v>
      </c>
      <c r="BM78" s="7"/>
      <c r="BN78" s="7"/>
      <c r="BO78" s="4"/>
      <c r="BP78" s="8"/>
      <c r="BQ78" s="4"/>
      <c r="BR78" s="8"/>
      <c r="BS78" s="7"/>
      <c r="BT78" s="7"/>
      <c r="BU78" s="2" t="s">
        <v>435</v>
      </c>
      <c r="BV78" s="2" t="s">
        <v>243</v>
      </c>
      <c r="BW78" s="2" t="s">
        <v>235</v>
      </c>
      <c r="BX78" s="2" t="s">
        <v>244</v>
      </c>
      <c r="BY78" s="2" t="s">
        <v>245</v>
      </c>
      <c r="BZ78" s="2" t="s">
        <v>232</v>
      </c>
      <c r="CA78" s="2" t="s">
        <v>252</v>
      </c>
      <c r="CB78" s="2" t="s">
        <v>439</v>
      </c>
      <c r="CC78" s="2" t="s">
        <v>248</v>
      </c>
      <c r="CD78" s="2" t="s">
        <v>248</v>
      </c>
      <c r="CE78" s="2" t="s">
        <v>235</v>
      </c>
      <c r="CF78" s="4">
        <v>148</v>
      </c>
      <c r="CG78" s="4">
        <v>3</v>
      </c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>
        <v>30</v>
      </c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>
        <v>152</v>
      </c>
      <c r="GE78" s="4">
        <v>148</v>
      </c>
      <c r="GF78" s="4">
        <v>145</v>
      </c>
      <c r="GG78" s="4">
        <v>142</v>
      </c>
      <c r="GH78" s="4">
        <v>139</v>
      </c>
      <c r="GI78" s="4">
        <v>136</v>
      </c>
      <c r="GJ78" s="4">
        <v>133</v>
      </c>
      <c r="GK78" s="4">
        <v>130</v>
      </c>
      <c r="GL78" s="4">
        <v>127</v>
      </c>
      <c r="GM78" s="4">
        <v>124</v>
      </c>
      <c r="GN78" s="4">
        <v>120</v>
      </c>
      <c r="GO78" s="4">
        <v>145</v>
      </c>
      <c r="GP78" s="4">
        <v>141</v>
      </c>
      <c r="GQ78" s="4">
        <v>133</v>
      </c>
      <c r="GR78" s="4">
        <v>129</v>
      </c>
      <c r="GS78" s="4">
        <v>125</v>
      </c>
      <c r="GT78" s="4">
        <v>123</v>
      </c>
      <c r="GU78" s="4">
        <v>121</v>
      </c>
      <c r="GV78" s="4">
        <v>119</v>
      </c>
      <c r="GW78" s="4">
        <v>117</v>
      </c>
      <c r="GX78" s="4">
        <v>115</v>
      </c>
      <c r="GY78" s="4">
        <v>113</v>
      </c>
      <c r="GZ78" s="4">
        <v>111</v>
      </c>
      <c r="HA78" s="4">
        <v>108</v>
      </c>
      <c r="HB78" s="4">
        <v>105</v>
      </c>
      <c r="HC78" s="4">
        <v>101</v>
      </c>
      <c r="HD78" s="19">
        <v>50.7</v>
      </c>
      <c r="HE78" s="19">
        <v>49.3</v>
      </c>
      <c r="HF78" s="19">
        <v>48.3</v>
      </c>
      <c r="HG78" s="19">
        <v>47.3</v>
      </c>
      <c r="HH78" s="19">
        <v>46.3</v>
      </c>
      <c r="HI78" s="19">
        <v>45.3</v>
      </c>
      <c r="HJ78" s="19">
        <v>44.3</v>
      </c>
      <c r="HK78" s="19">
        <v>32.5</v>
      </c>
      <c r="HL78" s="19">
        <v>31.8</v>
      </c>
      <c r="HM78" s="19">
        <v>24.8</v>
      </c>
      <c r="HN78" s="19">
        <v>24</v>
      </c>
      <c r="HO78" s="19">
        <v>29</v>
      </c>
      <c r="HP78" s="19">
        <v>35.3</v>
      </c>
      <c r="HQ78" s="19">
        <v>44.3</v>
      </c>
      <c r="HR78" s="19">
        <v>64.5</v>
      </c>
      <c r="HS78" s="19">
        <v>62.5</v>
      </c>
      <c r="HT78" s="19">
        <v>61.5</v>
      </c>
      <c r="HU78" s="19">
        <v>60.5</v>
      </c>
      <c r="HV78" s="19">
        <v>59.5</v>
      </c>
      <c r="HW78" s="19">
        <v>58.5</v>
      </c>
      <c r="HX78" s="19">
        <v>57.5</v>
      </c>
      <c r="HY78" s="19">
        <v>37.7</v>
      </c>
      <c r="HZ78" s="19">
        <v>37</v>
      </c>
      <c r="IA78" s="19">
        <v>27</v>
      </c>
      <c r="IB78" s="19">
        <v>26.3</v>
      </c>
      <c r="IC78" s="19">
        <v>25.3</v>
      </c>
    </row>
    <row r="79">
      <c r="A79" s="2" t="s">
        <v>440</v>
      </c>
      <c r="B79" s="2" t="s">
        <v>224</v>
      </c>
      <c r="C79" s="2" t="s">
        <v>225</v>
      </c>
      <c r="D79" s="2" t="s">
        <v>226</v>
      </c>
      <c r="E79" s="2" t="s">
        <v>227</v>
      </c>
      <c r="F79" s="2" t="s">
        <v>431</v>
      </c>
      <c r="G79" s="2" t="s">
        <v>431</v>
      </c>
      <c r="H79" s="2" t="s">
        <v>431</v>
      </c>
      <c r="I79" s="2" t="s">
        <v>432</v>
      </c>
      <c r="J79" s="2" t="s">
        <v>272</v>
      </c>
      <c r="K79" s="2" t="s">
        <v>231</v>
      </c>
      <c r="L79" s="3">
        <v>86.35</v>
      </c>
      <c r="M79" s="3">
        <v>90.67</v>
      </c>
      <c r="N79" s="3">
        <v>174.99</v>
      </c>
      <c r="O79" s="2" t="s">
        <v>232</v>
      </c>
      <c r="P79" s="2" t="s">
        <v>233</v>
      </c>
      <c r="Q79" s="2" t="s">
        <v>234</v>
      </c>
      <c r="R79" s="2" t="s">
        <v>235</v>
      </c>
      <c r="S79" s="2" t="s">
        <v>433</v>
      </c>
      <c r="T79" s="2" t="s">
        <v>237</v>
      </c>
      <c r="U79" s="2" t="s">
        <v>235</v>
      </c>
      <c r="V79" s="2" t="s">
        <v>238</v>
      </c>
      <c r="W79" s="2" t="s">
        <v>239</v>
      </c>
      <c r="X79" s="2" t="s">
        <v>235</v>
      </c>
      <c r="Y79" s="2" t="s">
        <v>240</v>
      </c>
      <c r="Z79" s="4">
        <v>79</v>
      </c>
      <c r="AA79" s="4">
        <f>=ROUNDDOWN(39.5,0)</f>
      </c>
      <c r="AB79" s="5">
        <v>2</v>
      </c>
      <c r="AC79" s="2" t="s">
        <v>186</v>
      </c>
      <c r="AD79" s="4">
        <v>50</v>
      </c>
      <c r="AE79" s="4">
        <v>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235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235</v>
      </c>
      <c r="AW79" s="8" t="s">
        <v>235</v>
      </c>
      <c r="AX79" s="4" t="s">
        <v>235</v>
      </c>
      <c r="AY79" s="8" t="s">
        <v>235</v>
      </c>
      <c r="AZ79" s="7" t="s">
        <v>235</v>
      </c>
      <c r="BA79" s="7" t="s">
        <v>235</v>
      </c>
      <c r="BB79" s="7"/>
      <c r="BC79" s="4" t="s">
        <v>235</v>
      </c>
      <c r="BD79" s="8" t="s">
        <v>235</v>
      </c>
      <c r="BE79" s="4" t="s">
        <v>235</v>
      </c>
      <c r="BF79" s="8" t="s">
        <v>235</v>
      </c>
      <c r="BG79" s="7" t="s">
        <v>235</v>
      </c>
      <c r="BH79" s="7" t="s">
        <v>235</v>
      </c>
      <c r="BI79" s="7"/>
      <c r="BJ79" s="4">
        <v>8</v>
      </c>
      <c r="BK79" s="8">
        <v>775.28</v>
      </c>
      <c r="BL79" s="2" t="s">
        <v>441</v>
      </c>
      <c r="BM79" s="7"/>
      <c r="BN79" s="7"/>
      <c r="BO79" s="4"/>
      <c r="BP79" s="8"/>
      <c r="BQ79" s="4"/>
      <c r="BR79" s="8"/>
      <c r="BS79" s="7"/>
      <c r="BT79" s="7"/>
      <c r="BU79" s="2" t="s">
        <v>435</v>
      </c>
      <c r="BV79" s="2" t="s">
        <v>243</v>
      </c>
      <c r="BW79" s="2" t="s">
        <v>235</v>
      </c>
      <c r="BX79" s="2" t="s">
        <v>244</v>
      </c>
      <c r="BY79" s="2" t="s">
        <v>245</v>
      </c>
      <c r="BZ79" s="2" t="s">
        <v>232</v>
      </c>
      <c r="CA79" s="2" t="s">
        <v>252</v>
      </c>
      <c r="CB79" s="2" t="s">
        <v>442</v>
      </c>
      <c r="CC79" s="2" t="s">
        <v>248</v>
      </c>
      <c r="CD79" s="2" t="s">
        <v>248</v>
      </c>
      <c r="CE79" s="2" t="s">
        <v>235</v>
      </c>
      <c r="CF79" s="4">
        <v>79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>
        <v>50</v>
      </c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>
        <v>80</v>
      </c>
      <c r="GE79" s="4">
        <v>77</v>
      </c>
      <c r="GF79" s="4">
        <v>75</v>
      </c>
      <c r="GG79" s="4">
        <v>73</v>
      </c>
      <c r="GH79" s="4">
        <v>71</v>
      </c>
      <c r="GI79" s="4">
        <v>68</v>
      </c>
      <c r="GJ79" s="4">
        <v>65</v>
      </c>
      <c r="GK79" s="4">
        <v>62</v>
      </c>
      <c r="GL79" s="4">
        <v>59</v>
      </c>
      <c r="GM79" s="4">
        <v>56</v>
      </c>
      <c r="GN79" s="4">
        <v>53</v>
      </c>
      <c r="GO79" s="4">
        <v>99</v>
      </c>
      <c r="GP79" s="4">
        <v>96</v>
      </c>
      <c r="GQ79" s="4">
        <v>90</v>
      </c>
      <c r="GR79" s="4">
        <v>87</v>
      </c>
      <c r="GS79" s="4">
        <v>83</v>
      </c>
      <c r="GT79" s="4">
        <v>81</v>
      </c>
      <c r="GU79" s="4">
        <v>80</v>
      </c>
      <c r="GV79" s="4">
        <v>79</v>
      </c>
      <c r="GW79" s="4">
        <v>78</v>
      </c>
      <c r="GX79" s="4">
        <v>77</v>
      </c>
      <c r="GY79" s="4">
        <v>76</v>
      </c>
      <c r="GZ79" s="4">
        <v>75</v>
      </c>
      <c r="HA79" s="4">
        <v>73</v>
      </c>
      <c r="HB79" s="4">
        <v>71</v>
      </c>
      <c r="HC79" s="4">
        <v>69</v>
      </c>
      <c r="HD79" s="19">
        <v>40</v>
      </c>
      <c r="HE79" s="19">
        <v>38.5</v>
      </c>
      <c r="HF79" s="19">
        <v>37.5</v>
      </c>
      <c r="HG79" s="19">
        <v>24.3</v>
      </c>
      <c r="HH79" s="19">
        <v>23.7</v>
      </c>
      <c r="HI79" s="19">
        <v>22.7</v>
      </c>
      <c r="HJ79" s="19">
        <v>21.7</v>
      </c>
      <c r="HK79" s="19">
        <v>20.7</v>
      </c>
      <c r="HL79" s="19">
        <v>19.7</v>
      </c>
      <c r="HM79" s="19">
        <v>14</v>
      </c>
      <c r="HN79" s="19">
        <v>13.3</v>
      </c>
      <c r="HO79" s="19">
        <v>24.8</v>
      </c>
      <c r="HP79" s="19">
        <v>24</v>
      </c>
      <c r="HQ79" s="19">
        <v>45</v>
      </c>
      <c r="HR79" s="19">
        <v>43.5</v>
      </c>
      <c r="HS79" s="19">
        <v>83</v>
      </c>
      <c r="HT79" s="19">
        <v>81</v>
      </c>
      <c r="HU79" s="19">
        <v>80</v>
      </c>
      <c r="HV79" s="19">
        <v>79</v>
      </c>
      <c r="HW79" s="19">
        <v>78</v>
      </c>
      <c r="HX79" s="19">
        <v>38.5</v>
      </c>
      <c r="HY79" s="19">
        <v>38</v>
      </c>
      <c r="HZ79" s="19">
        <v>37.5</v>
      </c>
      <c r="IA79" s="19">
        <v>36.5</v>
      </c>
      <c r="IB79" s="19">
        <v>35.5</v>
      </c>
      <c r="IC79" s="19">
        <v>34.5</v>
      </c>
    </row>
    <row r="80">
      <c r="A80" s="2" t="s">
        <v>443</v>
      </c>
      <c r="B80" s="2" t="s">
        <v>224</v>
      </c>
      <c r="C80" s="2" t="s">
        <v>225</v>
      </c>
      <c r="D80" s="2" t="s">
        <v>226</v>
      </c>
      <c r="E80" s="2" t="s">
        <v>227</v>
      </c>
      <c r="F80" s="2" t="s">
        <v>444</v>
      </c>
      <c r="G80" s="2" t="s">
        <v>444</v>
      </c>
      <c r="H80" s="2" t="s">
        <v>444</v>
      </c>
      <c r="I80" s="2" t="s">
        <v>393</v>
      </c>
      <c r="J80" s="2" t="s">
        <v>394</v>
      </c>
      <c r="K80" s="2" t="s">
        <v>316</v>
      </c>
      <c r="L80" s="3">
        <v>76.36</v>
      </c>
      <c r="M80" s="3">
        <v>80.18</v>
      </c>
      <c r="N80" s="3">
        <v>149.99</v>
      </c>
      <c r="O80" s="2" t="s">
        <v>232</v>
      </c>
      <c r="P80" s="2" t="s">
        <v>233</v>
      </c>
      <c r="Q80" s="2" t="s">
        <v>234</v>
      </c>
      <c r="R80" s="2" t="s">
        <v>235</v>
      </c>
      <c r="S80" s="2" t="s">
        <v>445</v>
      </c>
      <c r="T80" s="2" t="s">
        <v>237</v>
      </c>
      <c r="U80" s="2" t="s">
        <v>235</v>
      </c>
      <c r="V80" s="2" t="s">
        <v>238</v>
      </c>
      <c r="W80" s="2" t="s">
        <v>239</v>
      </c>
      <c r="X80" s="2" t="s">
        <v>235</v>
      </c>
      <c r="Y80" s="2" t="s">
        <v>240</v>
      </c>
      <c r="Z80" s="4">
        <v>179</v>
      </c>
      <c r="AA80" s="4">
        <f>=ROUNDDOWN(179,0)</f>
      </c>
      <c r="AB80" s="5">
        <v>1</v>
      </c>
      <c r="AC80" s="2" t="s">
        <v>235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235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235</v>
      </c>
      <c r="AW80" s="8" t="s">
        <v>235</v>
      </c>
      <c r="AX80" s="4" t="s">
        <v>235</v>
      </c>
      <c r="AY80" s="8" t="s">
        <v>235</v>
      </c>
      <c r="AZ80" s="7" t="s">
        <v>235</v>
      </c>
      <c r="BA80" s="7" t="s">
        <v>235</v>
      </c>
      <c r="BB80" s="7"/>
      <c r="BC80" s="4" t="s">
        <v>235</v>
      </c>
      <c r="BD80" s="8" t="s">
        <v>235</v>
      </c>
      <c r="BE80" s="4" t="s">
        <v>235</v>
      </c>
      <c r="BF80" s="8" t="s">
        <v>235</v>
      </c>
      <c r="BG80" s="7" t="s">
        <v>235</v>
      </c>
      <c r="BH80" s="7" t="s">
        <v>235</v>
      </c>
      <c r="BI80" s="7"/>
      <c r="BJ80" s="4">
        <v>4</v>
      </c>
      <c r="BK80" s="8">
        <v>334.38</v>
      </c>
      <c r="BL80" s="2" t="s">
        <v>446</v>
      </c>
      <c r="BM80" s="7"/>
      <c r="BN80" s="7"/>
      <c r="BO80" s="4"/>
      <c r="BP80" s="8"/>
      <c r="BQ80" s="4"/>
      <c r="BR80" s="8"/>
      <c r="BS80" s="7"/>
      <c r="BT80" s="7"/>
      <c r="BU80" s="2" t="s">
        <v>447</v>
      </c>
      <c r="BV80" s="2" t="s">
        <v>243</v>
      </c>
      <c r="BW80" s="2" t="s">
        <v>235</v>
      </c>
      <c r="BX80" s="2" t="s">
        <v>244</v>
      </c>
      <c r="BY80" s="2" t="s">
        <v>245</v>
      </c>
      <c r="BZ80" s="2" t="s">
        <v>232</v>
      </c>
      <c r="CA80" s="2" t="s">
        <v>252</v>
      </c>
      <c r="CB80" s="2" t="s">
        <v>448</v>
      </c>
      <c r="CC80" s="2" t="s">
        <v>248</v>
      </c>
      <c r="CD80" s="2" t="s">
        <v>248</v>
      </c>
      <c r="CE80" s="2" t="s">
        <v>235</v>
      </c>
      <c r="CF80" s="4">
        <v>148</v>
      </c>
      <c r="CG80" s="4">
        <v>31</v>
      </c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>
        <v>179</v>
      </c>
      <c r="GE80" s="4">
        <v>178</v>
      </c>
      <c r="GF80" s="4">
        <v>177</v>
      </c>
      <c r="GG80" s="4">
        <v>176</v>
      </c>
      <c r="GH80" s="4">
        <v>175</v>
      </c>
      <c r="GI80" s="4">
        <v>174</v>
      </c>
      <c r="GJ80" s="4">
        <v>173</v>
      </c>
      <c r="GK80" s="4">
        <v>172</v>
      </c>
      <c r="GL80" s="4">
        <v>171</v>
      </c>
      <c r="GM80" s="4">
        <v>170</v>
      </c>
      <c r="GN80" s="4">
        <v>169</v>
      </c>
      <c r="GO80" s="4">
        <v>167</v>
      </c>
      <c r="GP80" s="4">
        <v>165</v>
      </c>
      <c r="GQ80" s="4">
        <v>162</v>
      </c>
      <c r="GR80" s="4">
        <v>160</v>
      </c>
      <c r="GS80" s="4">
        <v>158</v>
      </c>
      <c r="GT80" s="4">
        <v>157</v>
      </c>
      <c r="GU80" s="4">
        <v>156</v>
      </c>
      <c r="GV80" s="4">
        <v>155</v>
      </c>
      <c r="GW80" s="4">
        <v>154</v>
      </c>
      <c r="GX80" s="4">
        <v>153</v>
      </c>
      <c r="GY80" s="4">
        <v>152</v>
      </c>
      <c r="GZ80" s="4">
        <v>151</v>
      </c>
      <c r="HA80" s="4">
        <v>150</v>
      </c>
      <c r="HB80" s="4">
        <v>149</v>
      </c>
      <c r="HC80" s="4">
        <v>148</v>
      </c>
      <c r="HD80" s="19">
        <v>179</v>
      </c>
      <c r="HE80" s="19">
        <v>178</v>
      </c>
      <c r="HF80" s="19">
        <v>177</v>
      </c>
      <c r="HG80" s="19">
        <v>176</v>
      </c>
      <c r="HH80" s="19">
        <v>175</v>
      </c>
      <c r="HI80" s="19">
        <v>174</v>
      </c>
      <c r="HJ80" s="19">
        <v>173</v>
      </c>
      <c r="HK80" s="19">
        <v>172</v>
      </c>
      <c r="HL80" s="19">
        <v>85.5</v>
      </c>
      <c r="HM80" s="19">
        <v>85</v>
      </c>
      <c r="HN80" s="19">
        <v>84.5</v>
      </c>
      <c r="HO80" s="19">
        <v>83.5</v>
      </c>
      <c r="HP80" s="19">
        <v>82.5</v>
      </c>
      <c r="HQ80" s="19">
        <v>81</v>
      </c>
      <c r="HR80" s="19">
        <v>160</v>
      </c>
      <c r="HS80" s="19">
        <v>158</v>
      </c>
      <c r="HT80" s="19">
        <v>157</v>
      </c>
      <c r="HU80" s="19">
        <v>156</v>
      </c>
      <c r="HV80" s="19">
        <v>155</v>
      </c>
      <c r="HW80" s="19">
        <v>154</v>
      </c>
      <c r="HX80" s="19">
        <v>153</v>
      </c>
      <c r="HY80" s="19">
        <v>152</v>
      </c>
      <c r="HZ80" s="19">
        <v>151</v>
      </c>
      <c r="IA80" s="19">
        <v>150</v>
      </c>
      <c r="IB80" s="19">
        <v>149</v>
      </c>
      <c r="IC80" s="19">
        <v>148</v>
      </c>
    </row>
    <row r="81">
      <c r="A81" s="2" t="s">
        <v>449</v>
      </c>
      <c r="B81" s="2" t="s">
        <v>224</v>
      </c>
      <c r="C81" s="2" t="s">
        <v>225</v>
      </c>
      <c r="D81" s="2" t="s">
        <v>226</v>
      </c>
      <c r="E81" s="2" t="s">
        <v>227</v>
      </c>
      <c r="F81" s="2" t="s">
        <v>444</v>
      </c>
      <c r="G81" s="2" t="s">
        <v>444</v>
      </c>
      <c r="H81" s="2" t="s">
        <v>444</v>
      </c>
      <c r="I81" s="2" t="s">
        <v>393</v>
      </c>
      <c r="J81" s="2" t="s">
        <v>250</v>
      </c>
      <c r="K81" s="2" t="s">
        <v>316</v>
      </c>
      <c r="L81" s="3">
        <v>98.06</v>
      </c>
      <c r="M81" s="3">
        <v>102.96</v>
      </c>
      <c r="N81" s="3">
        <v>194.99</v>
      </c>
      <c r="O81" s="2" t="s">
        <v>232</v>
      </c>
      <c r="P81" s="2" t="s">
        <v>233</v>
      </c>
      <c r="Q81" s="2" t="s">
        <v>234</v>
      </c>
      <c r="R81" s="2" t="s">
        <v>235</v>
      </c>
      <c r="S81" s="2" t="s">
        <v>445</v>
      </c>
      <c r="T81" s="2" t="s">
        <v>237</v>
      </c>
      <c r="U81" s="2" t="s">
        <v>235</v>
      </c>
      <c r="V81" s="2" t="s">
        <v>238</v>
      </c>
      <c r="W81" s="2" t="s">
        <v>239</v>
      </c>
      <c r="X81" s="2" t="s">
        <v>235</v>
      </c>
      <c r="Y81" s="2" t="s">
        <v>240</v>
      </c>
      <c r="Z81" s="4">
        <v>236</v>
      </c>
      <c r="AA81" s="4">
        <f>=ROUNDDOWN(236,0)</f>
      </c>
      <c r="AB81" s="5">
        <v>1</v>
      </c>
      <c r="AC81" s="2" t="s">
        <v>235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235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235</v>
      </c>
      <c r="AW81" s="8" t="s">
        <v>235</v>
      </c>
      <c r="AX81" s="4" t="s">
        <v>235</v>
      </c>
      <c r="AY81" s="8" t="s">
        <v>235</v>
      </c>
      <c r="AZ81" s="7" t="s">
        <v>235</v>
      </c>
      <c r="BA81" s="7" t="s">
        <v>235</v>
      </c>
      <c r="BB81" s="7"/>
      <c r="BC81" s="4" t="s">
        <v>235</v>
      </c>
      <c r="BD81" s="8" t="s">
        <v>235</v>
      </c>
      <c r="BE81" s="4" t="s">
        <v>235</v>
      </c>
      <c r="BF81" s="8" t="s">
        <v>235</v>
      </c>
      <c r="BG81" s="7" t="s">
        <v>235</v>
      </c>
      <c r="BH81" s="7" t="s">
        <v>235</v>
      </c>
      <c r="BI81" s="7"/>
      <c r="BJ81" s="4">
        <v>10</v>
      </c>
      <c r="BK81" s="8">
        <v>1053.55</v>
      </c>
      <c r="BL81" s="2" t="s">
        <v>450</v>
      </c>
      <c r="BM81" s="7"/>
      <c r="BN81" s="7"/>
      <c r="BO81" s="4"/>
      <c r="BP81" s="8"/>
      <c r="BQ81" s="4"/>
      <c r="BR81" s="8"/>
      <c r="BS81" s="7"/>
      <c r="BT81" s="7"/>
      <c r="BU81" s="2" t="s">
        <v>447</v>
      </c>
      <c r="BV81" s="2" t="s">
        <v>243</v>
      </c>
      <c r="BW81" s="2" t="s">
        <v>235</v>
      </c>
      <c r="BX81" s="2" t="s">
        <v>244</v>
      </c>
      <c r="BY81" s="2" t="s">
        <v>245</v>
      </c>
      <c r="BZ81" s="2" t="s">
        <v>232</v>
      </c>
      <c r="CA81" s="2" t="s">
        <v>252</v>
      </c>
      <c r="CB81" s="2" t="s">
        <v>451</v>
      </c>
      <c r="CC81" s="2" t="s">
        <v>248</v>
      </c>
      <c r="CD81" s="2" t="s">
        <v>248</v>
      </c>
      <c r="CE81" s="2" t="s">
        <v>235</v>
      </c>
      <c r="CF81" s="4">
        <v>236</v>
      </c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>
        <v>236</v>
      </c>
      <c r="GE81" s="4">
        <v>235</v>
      </c>
      <c r="GF81" s="4">
        <v>234</v>
      </c>
      <c r="GG81" s="4">
        <v>233</v>
      </c>
      <c r="GH81" s="4">
        <v>232</v>
      </c>
      <c r="GI81" s="4">
        <v>231</v>
      </c>
      <c r="GJ81" s="4">
        <v>230</v>
      </c>
      <c r="GK81" s="4">
        <v>229</v>
      </c>
      <c r="GL81" s="4">
        <v>228</v>
      </c>
      <c r="GM81" s="4">
        <v>227</v>
      </c>
      <c r="GN81" s="4">
        <v>226</v>
      </c>
      <c r="GO81" s="4">
        <v>224</v>
      </c>
      <c r="GP81" s="4">
        <v>223</v>
      </c>
      <c r="GQ81" s="4">
        <v>221</v>
      </c>
      <c r="GR81" s="4">
        <v>219</v>
      </c>
      <c r="GS81" s="4">
        <v>217</v>
      </c>
      <c r="GT81" s="4">
        <v>216</v>
      </c>
      <c r="GU81" s="4">
        <v>215</v>
      </c>
      <c r="GV81" s="4">
        <v>214</v>
      </c>
      <c r="GW81" s="4">
        <v>213</v>
      </c>
      <c r="GX81" s="4">
        <v>212</v>
      </c>
      <c r="GY81" s="4">
        <v>211</v>
      </c>
      <c r="GZ81" s="4">
        <v>210</v>
      </c>
      <c r="HA81" s="4">
        <v>209</v>
      </c>
      <c r="HB81" s="4">
        <v>208</v>
      </c>
      <c r="HC81" s="4">
        <v>207</v>
      </c>
      <c r="HD81" s="19">
        <v>236</v>
      </c>
      <c r="HE81" s="19">
        <v>235</v>
      </c>
      <c r="HF81" s="19">
        <v>234</v>
      </c>
      <c r="HG81" s="19">
        <v>233</v>
      </c>
      <c r="HH81" s="19">
        <v>232</v>
      </c>
      <c r="HI81" s="19">
        <v>231</v>
      </c>
      <c r="HJ81" s="19">
        <v>230</v>
      </c>
      <c r="HK81" s="19">
        <v>229</v>
      </c>
      <c r="HL81" s="19">
        <v>228</v>
      </c>
      <c r="HM81" s="19">
        <v>113.5</v>
      </c>
      <c r="HN81" s="19">
        <v>113</v>
      </c>
      <c r="HO81" s="19">
        <v>112</v>
      </c>
      <c r="HP81" s="19">
        <v>111.5</v>
      </c>
      <c r="HQ81" s="19">
        <v>110.5</v>
      </c>
      <c r="HR81" s="19">
        <v>219</v>
      </c>
      <c r="HS81" s="19">
        <v>217</v>
      </c>
      <c r="HT81" s="19">
        <v>216</v>
      </c>
      <c r="HU81" s="19">
        <v>215</v>
      </c>
      <c r="HV81" s="19">
        <v>214</v>
      </c>
      <c r="HW81" s="19">
        <v>213</v>
      </c>
      <c r="HX81" s="19">
        <v>212</v>
      </c>
      <c r="HY81" s="19">
        <v>211</v>
      </c>
      <c r="HZ81" s="19">
        <v>210</v>
      </c>
      <c r="IA81" s="19">
        <v>209</v>
      </c>
      <c r="IB81" s="19">
        <v>208</v>
      </c>
      <c r="IC81" s="19">
        <v>207</v>
      </c>
    </row>
    <row r="82">
      <c r="A82" s="2" t="s">
        <v>452</v>
      </c>
      <c r="B82" s="2" t="s">
        <v>224</v>
      </c>
      <c r="C82" s="2" t="s">
        <v>225</v>
      </c>
      <c r="D82" s="2" t="s">
        <v>226</v>
      </c>
      <c r="E82" s="2" t="s">
        <v>227</v>
      </c>
      <c r="F82" s="2" t="s">
        <v>453</v>
      </c>
      <c r="G82" s="2" t="s">
        <v>454</v>
      </c>
      <c r="H82" s="2" t="s">
        <v>453</v>
      </c>
      <c r="I82" s="2" t="s">
        <v>455</v>
      </c>
      <c r="J82" s="2" t="s">
        <v>394</v>
      </c>
      <c r="K82" s="2" t="s">
        <v>316</v>
      </c>
      <c r="L82" s="3">
        <v>88.93</v>
      </c>
      <c r="M82" s="3">
        <v>93.38</v>
      </c>
      <c r="N82" s="3">
        <v>174.99</v>
      </c>
      <c r="O82" s="2" t="s">
        <v>232</v>
      </c>
      <c r="P82" s="2" t="s">
        <v>233</v>
      </c>
      <c r="Q82" s="2" t="s">
        <v>234</v>
      </c>
      <c r="R82" s="2" t="s">
        <v>235</v>
      </c>
      <c r="S82" s="2" t="s">
        <v>456</v>
      </c>
      <c r="T82" s="2" t="s">
        <v>237</v>
      </c>
      <c r="U82" s="2" t="s">
        <v>235</v>
      </c>
      <c r="V82" s="2" t="s">
        <v>238</v>
      </c>
      <c r="W82" s="2" t="s">
        <v>239</v>
      </c>
      <c r="X82" s="2" t="s">
        <v>235</v>
      </c>
      <c r="Y82" s="2" t="s">
        <v>240</v>
      </c>
      <c r="Z82" s="4">
        <v>83</v>
      </c>
      <c r="AA82" s="4">
        <f>=ROUNDDOWN(83,0)</f>
      </c>
      <c r="AB82" s="5">
        <v>1</v>
      </c>
      <c r="AC82" s="2" t="s">
        <v>235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235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235</v>
      </c>
      <c r="AW82" s="8" t="s">
        <v>235</v>
      </c>
      <c r="AX82" s="4" t="s">
        <v>235</v>
      </c>
      <c r="AY82" s="8" t="s">
        <v>235</v>
      </c>
      <c r="AZ82" s="7" t="s">
        <v>235</v>
      </c>
      <c r="BA82" s="7" t="s">
        <v>235</v>
      </c>
      <c r="BB82" s="7"/>
      <c r="BC82" s="4" t="s">
        <v>235</v>
      </c>
      <c r="BD82" s="8" t="s">
        <v>235</v>
      </c>
      <c r="BE82" s="4" t="s">
        <v>235</v>
      </c>
      <c r="BF82" s="8" t="s">
        <v>235</v>
      </c>
      <c r="BG82" s="7" t="s">
        <v>235</v>
      </c>
      <c r="BH82" s="7" t="s">
        <v>235</v>
      </c>
      <c r="BI82" s="7"/>
      <c r="BJ82" s="4">
        <v>9</v>
      </c>
      <c r="BK82" s="8">
        <v>763.2</v>
      </c>
      <c r="BL82" s="2" t="s">
        <v>457</v>
      </c>
      <c r="BM82" s="7"/>
      <c r="BN82" s="7"/>
      <c r="BO82" s="4"/>
      <c r="BP82" s="8"/>
      <c r="BQ82" s="4"/>
      <c r="BR82" s="8"/>
      <c r="BS82" s="7"/>
      <c r="BT82" s="7"/>
      <c r="BU82" s="2" t="s">
        <v>458</v>
      </c>
      <c r="BV82" s="2" t="s">
        <v>243</v>
      </c>
      <c r="BW82" s="2" t="s">
        <v>235</v>
      </c>
      <c r="BX82" s="2" t="s">
        <v>244</v>
      </c>
      <c r="BY82" s="2" t="s">
        <v>245</v>
      </c>
      <c r="BZ82" s="2" t="s">
        <v>232</v>
      </c>
      <c r="CA82" s="2" t="s">
        <v>459</v>
      </c>
      <c r="CB82" s="2" t="s">
        <v>253</v>
      </c>
      <c r="CC82" s="2" t="s">
        <v>248</v>
      </c>
      <c r="CD82" s="2" t="s">
        <v>248</v>
      </c>
      <c r="CE82" s="2" t="s">
        <v>235</v>
      </c>
      <c r="CF82" s="4">
        <v>83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>
        <v>83</v>
      </c>
      <c r="GE82" s="4">
        <v>82</v>
      </c>
      <c r="GF82" s="4">
        <v>81</v>
      </c>
      <c r="GG82" s="4">
        <v>80</v>
      </c>
      <c r="GH82" s="4">
        <v>79</v>
      </c>
      <c r="GI82" s="4">
        <v>78</v>
      </c>
      <c r="GJ82" s="4">
        <v>77</v>
      </c>
      <c r="GK82" s="4">
        <v>76</v>
      </c>
      <c r="GL82" s="4">
        <v>75</v>
      </c>
      <c r="GM82" s="4">
        <v>74</v>
      </c>
      <c r="GN82" s="4">
        <v>73</v>
      </c>
      <c r="GO82" s="4">
        <v>71</v>
      </c>
      <c r="GP82" s="4">
        <v>69</v>
      </c>
      <c r="GQ82" s="4">
        <v>66</v>
      </c>
      <c r="GR82" s="4">
        <v>64</v>
      </c>
      <c r="GS82" s="4">
        <v>62</v>
      </c>
      <c r="GT82" s="4">
        <v>61</v>
      </c>
      <c r="GU82" s="4">
        <v>60</v>
      </c>
      <c r="GV82" s="4">
        <v>59</v>
      </c>
      <c r="GW82" s="4">
        <v>58</v>
      </c>
      <c r="GX82" s="4">
        <v>57</v>
      </c>
      <c r="GY82" s="4">
        <v>56</v>
      </c>
      <c r="GZ82" s="4">
        <v>55</v>
      </c>
      <c r="HA82" s="4">
        <v>54</v>
      </c>
      <c r="HB82" s="4">
        <v>53</v>
      </c>
      <c r="HC82" s="4">
        <v>52</v>
      </c>
      <c r="HD82" s="19">
        <v>83</v>
      </c>
      <c r="HE82" s="19">
        <v>82</v>
      </c>
      <c r="HF82" s="19">
        <v>81</v>
      </c>
      <c r="HG82" s="19">
        <v>80</v>
      </c>
      <c r="HH82" s="19">
        <v>79</v>
      </c>
      <c r="HI82" s="19">
        <v>78</v>
      </c>
      <c r="HJ82" s="19">
        <v>77</v>
      </c>
      <c r="HK82" s="19">
        <v>76</v>
      </c>
      <c r="HL82" s="19">
        <v>37.5</v>
      </c>
      <c r="HM82" s="19">
        <v>37</v>
      </c>
      <c r="HN82" s="19">
        <v>36.5</v>
      </c>
      <c r="HO82" s="19">
        <v>35.5</v>
      </c>
      <c r="HP82" s="19">
        <v>34.5</v>
      </c>
      <c r="HQ82" s="19">
        <v>33</v>
      </c>
      <c r="HR82" s="19">
        <v>64</v>
      </c>
      <c r="HS82" s="19">
        <v>62</v>
      </c>
      <c r="HT82" s="19">
        <v>61</v>
      </c>
      <c r="HU82" s="19">
        <v>60</v>
      </c>
      <c r="HV82" s="19">
        <v>59</v>
      </c>
      <c r="HW82" s="19">
        <v>58</v>
      </c>
      <c r="HX82" s="19">
        <v>57</v>
      </c>
      <c r="HY82" s="19">
        <v>56</v>
      </c>
      <c r="HZ82" s="19">
        <v>55</v>
      </c>
      <c r="IA82" s="19">
        <v>54</v>
      </c>
      <c r="IB82" s="19">
        <v>53</v>
      </c>
      <c r="IC82" s="19">
        <v>52</v>
      </c>
    </row>
    <row r="83">
      <c r="A83" s="2" t="s">
        <v>460</v>
      </c>
      <c r="B83" s="2" t="s">
        <v>224</v>
      </c>
      <c r="C83" s="2" t="s">
        <v>225</v>
      </c>
      <c r="D83" s="2" t="s">
        <v>226</v>
      </c>
      <c r="E83" s="2" t="s">
        <v>227</v>
      </c>
      <c r="F83" s="2" t="s">
        <v>453</v>
      </c>
      <c r="G83" s="2" t="s">
        <v>454</v>
      </c>
      <c r="H83" s="2" t="s">
        <v>453</v>
      </c>
      <c r="I83" s="2" t="s">
        <v>455</v>
      </c>
      <c r="J83" s="2" t="s">
        <v>250</v>
      </c>
      <c r="K83" s="2" t="s">
        <v>316</v>
      </c>
      <c r="L83" s="3">
        <v>113.16</v>
      </c>
      <c r="M83" s="3">
        <v>118.82</v>
      </c>
      <c r="N83" s="3">
        <v>209.99</v>
      </c>
      <c r="O83" s="2" t="s">
        <v>232</v>
      </c>
      <c r="P83" s="2" t="s">
        <v>233</v>
      </c>
      <c r="Q83" s="2" t="s">
        <v>234</v>
      </c>
      <c r="R83" s="2" t="s">
        <v>235</v>
      </c>
      <c r="S83" s="2" t="s">
        <v>456</v>
      </c>
      <c r="T83" s="2" t="s">
        <v>237</v>
      </c>
      <c r="U83" s="2" t="s">
        <v>235</v>
      </c>
      <c r="V83" s="2" t="s">
        <v>238</v>
      </c>
      <c r="W83" s="2" t="s">
        <v>239</v>
      </c>
      <c r="X83" s="2" t="s">
        <v>235</v>
      </c>
      <c r="Y83" s="2" t="s">
        <v>240</v>
      </c>
      <c r="Z83" s="4">
        <v>127</v>
      </c>
      <c r="AA83" s="4">
        <f>=ROUNDDOWN(127,0)</f>
      </c>
      <c r="AB83" s="5">
        <v>1</v>
      </c>
      <c r="AC83" s="2" t="s">
        <v>235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235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235</v>
      </c>
      <c r="AW83" s="8" t="s">
        <v>235</v>
      </c>
      <c r="AX83" s="4" t="s">
        <v>235</v>
      </c>
      <c r="AY83" s="8" t="s">
        <v>235</v>
      </c>
      <c r="AZ83" s="7" t="s">
        <v>235</v>
      </c>
      <c r="BA83" s="7" t="s">
        <v>235</v>
      </c>
      <c r="BB83" s="7"/>
      <c r="BC83" s="4" t="s">
        <v>235</v>
      </c>
      <c r="BD83" s="8" t="s">
        <v>235</v>
      </c>
      <c r="BE83" s="4" t="s">
        <v>235</v>
      </c>
      <c r="BF83" s="8" t="s">
        <v>235</v>
      </c>
      <c r="BG83" s="7" t="s">
        <v>235</v>
      </c>
      <c r="BH83" s="7" t="s">
        <v>235</v>
      </c>
      <c r="BI83" s="7"/>
      <c r="BJ83" s="4">
        <v>13</v>
      </c>
      <c r="BK83" s="8">
        <v>1553.26</v>
      </c>
      <c r="BL83" s="2" t="s">
        <v>461</v>
      </c>
      <c r="BM83" s="7"/>
      <c r="BN83" s="7"/>
      <c r="BO83" s="4"/>
      <c r="BP83" s="8"/>
      <c r="BQ83" s="4"/>
      <c r="BR83" s="8"/>
      <c r="BS83" s="7"/>
      <c r="BT83" s="7"/>
      <c r="BU83" s="2" t="s">
        <v>458</v>
      </c>
      <c r="BV83" s="2" t="s">
        <v>243</v>
      </c>
      <c r="BW83" s="2" t="s">
        <v>235</v>
      </c>
      <c r="BX83" s="2" t="s">
        <v>244</v>
      </c>
      <c r="BY83" s="2" t="s">
        <v>245</v>
      </c>
      <c r="BZ83" s="2" t="s">
        <v>232</v>
      </c>
      <c r="CA83" s="2" t="s">
        <v>459</v>
      </c>
      <c r="CB83" s="2" t="s">
        <v>462</v>
      </c>
      <c r="CC83" s="2" t="s">
        <v>248</v>
      </c>
      <c r="CD83" s="2" t="s">
        <v>248</v>
      </c>
      <c r="CE83" s="2" t="s">
        <v>235</v>
      </c>
      <c r="CF83" s="4">
        <v>127</v>
      </c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>
        <v>127</v>
      </c>
      <c r="GE83" s="4">
        <v>126</v>
      </c>
      <c r="GF83" s="4">
        <v>125</v>
      </c>
      <c r="GG83" s="4">
        <v>124</v>
      </c>
      <c r="GH83" s="4">
        <v>123</v>
      </c>
      <c r="GI83" s="4">
        <v>122</v>
      </c>
      <c r="GJ83" s="4">
        <v>121</v>
      </c>
      <c r="GK83" s="4">
        <v>120</v>
      </c>
      <c r="GL83" s="4">
        <v>119</v>
      </c>
      <c r="GM83" s="4">
        <v>118</v>
      </c>
      <c r="GN83" s="4">
        <v>117</v>
      </c>
      <c r="GO83" s="4">
        <v>115</v>
      </c>
      <c r="GP83" s="4">
        <v>114</v>
      </c>
      <c r="GQ83" s="4">
        <v>112</v>
      </c>
      <c r="GR83" s="4">
        <v>110</v>
      </c>
      <c r="GS83" s="4">
        <v>108</v>
      </c>
      <c r="GT83" s="4">
        <v>107</v>
      </c>
      <c r="GU83" s="4">
        <v>106</v>
      </c>
      <c r="GV83" s="4">
        <v>105</v>
      </c>
      <c r="GW83" s="4">
        <v>104</v>
      </c>
      <c r="GX83" s="4">
        <v>103</v>
      </c>
      <c r="GY83" s="4">
        <v>102</v>
      </c>
      <c r="GZ83" s="4">
        <v>101</v>
      </c>
      <c r="HA83" s="4">
        <v>100</v>
      </c>
      <c r="HB83" s="4">
        <v>99</v>
      </c>
      <c r="HC83" s="4">
        <v>98</v>
      </c>
      <c r="HD83" s="19">
        <v>127</v>
      </c>
      <c r="HE83" s="19">
        <v>126</v>
      </c>
      <c r="HF83" s="19">
        <v>125</v>
      </c>
      <c r="HG83" s="19">
        <v>124</v>
      </c>
      <c r="HH83" s="19">
        <v>123</v>
      </c>
      <c r="HI83" s="19">
        <v>122</v>
      </c>
      <c r="HJ83" s="19">
        <v>121</v>
      </c>
      <c r="HK83" s="19">
        <v>120</v>
      </c>
      <c r="HL83" s="19">
        <v>119</v>
      </c>
      <c r="HM83" s="19">
        <v>59</v>
      </c>
      <c r="HN83" s="19">
        <v>58.5</v>
      </c>
      <c r="HO83" s="19">
        <v>57.5</v>
      </c>
      <c r="HP83" s="19">
        <v>57</v>
      </c>
      <c r="HQ83" s="19">
        <v>56</v>
      </c>
      <c r="HR83" s="19">
        <v>110</v>
      </c>
      <c r="HS83" s="19">
        <v>108</v>
      </c>
      <c r="HT83" s="19">
        <v>107</v>
      </c>
      <c r="HU83" s="19">
        <v>106</v>
      </c>
      <c r="HV83" s="19">
        <v>105</v>
      </c>
      <c r="HW83" s="19">
        <v>104</v>
      </c>
      <c r="HX83" s="19">
        <v>103</v>
      </c>
      <c r="HY83" s="19">
        <v>102</v>
      </c>
      <c r="HZ83" s="19">
        <v>101</v>
      </c>
      <c r="IA83" s="19">
        <v>100</v>
      </c>
      <c r="IB83" s="19">
        <v>99</v>
      </c>
      <c r="IC83" s="19">
        <v>98</v>
      </c>
    </row>
    <row r="84">
      <c r="A84" s="2" t="s">
        <v>463</v>
      </c>
      <c r="B84" s="2" t="s">
        <v>224</v>
      </c>
      <c r="C84" s="2" t="s">
        <v>225</v>
      </c>
      <c r="D84" s="2" t="s">
        <v>226</v>
      </c>
      <c r="E84" s="2" t="s">
        <v>227</v>
      </c>
      <c r="F84" s="2" t="s">
        <v>453</v>
      </c>
      <c r="G84" s="2" t="s">
        <v>454</v>
      </c>
      <c r="H84" s="2" t="s">
        <v>453</v>
      </c>
      <c r="I84" s="2" t="s">
        <v>455</v>
      </c>
      <c r="J84" s="2" t="s">
        <v>261</v>
      </c>
      <c r="K84" s="2" t="s">
        <v>316</v>
      </c>
      <c r="L84" s="3">
        <v>125.52</v>
      </c>
      <c r="M84" s="3">
        <v>131.8</v>
      </c>
      <c r="N84" s="3">
        <v>244.99</v>
      </c>
      <c r="O84" s="2" t="s">
        <v>232</v>
      </c>
      <c r="P84" s="2" t="s">
        <v>233</v>
      </c>
      <c r="Q84" s="2" t="s">
        <v>234</v>
      </c>
      <c r="R84" s="2" t="s">
        <v>235</v>
      </c>
      <c r="S84" s="2" t="s">
        <v>456</v>
      </c>
      <c r="T84" s="2" t="s">
        <v>237</v>
      </c>
      <c r="U84" s="2" t="s">
        <v>235</v>
      </c>
      <c r="V84" s="2" t="s">
        <v>238</v>
      </c>
      <c r="W84" s="2" t="s">
        <v>239</v>
      </c>
      <c r="X84" s="2" t="s">
        <v>235</v>
      </c>
      <c r="Y84" s="2" t="s">
        <v>240</v>
      </c>
      <c r="Z84" s="4">
        <v>109</v>
      </c>
      <c r="AA84" s="4">
        <f>=ROUNDDOWN(27.25,0)</f>
      </c>
      <c r="AB84" s="5">
        <v>4</v>
      </c>
      <c r="AC84" s="2" t="s">
        <v>235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235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235</v>
      </c>
      <c r="AW84" s="8" t="s">
        <v>235</v>
      </c>
      <c r="AX84" s="4" t="s">
        <v>235</v>
      </c>
      <c r="AY84" s="8" t="s">
        <v>235</v>
      </c>
      <c r="AZ84" s="7" t="s">
        <v>235</v>
      </c>
      <c r="BA84" s="7" t="s">
        <v>235</v>
      </c>
      <c r="BB84" s="7"/>
      <c r="BC84" s="4" t="s">
        <v>235</v>
      </c>
      <c r="BD84" s="8" t="s">
        <v>235</v>
      </c>
      <c r="BE84" s="4" t="s">
        <v>235</v>
      </c>
      <c r="BF84" s="8" t="s">
        <v>235</v>
      </c>
      <c r="BG84" s="7" t="s">
        <v>235</v>
      </c>
      <c r="BH84" s="7" t="s">
        <v>235</v>
      </c>
      <c r="BI84" s="7"/>
      <c r="BJ84" s="4">
        <v>30</v>
      </c>
      <c r="BK84" s="8">
        <v>4250.81</v>
      </c>
      <c r="BL84" s="2" t="s">
        <v>464</v>
      </c>
      <c r="BM84" s="7"/>
      <c r="BN84" s="7"/>
      <c r="BO84" s="4"/>
      <c r="BP84" s="8"/>
      <c r="BQ84" s="4"/>
      <c r="BR84" s="8"/>
      <c r="BS84" s="7"/>
      <c r="BT84" s="7"/>
      <c r="BU84" s="2" t="s">
        <v>458</v>
      </c>
      <c r="BV84" s="2" t="s">
        <v>243</v>
      </c>
      <c r="BW84" s="2" t="s">
        <v>235</v>
      </c>
      <c r="BX84" s="2" t="s">
        <v>244</v>
      </c>
      <c r="BY84" s="2" t="s">
        <v>245</v>
      </c>
      <c r="BZ84" s="2" t="s">
        <v>232</v>
      </c>
      <c r="CA84" s="2" t="s">
        <v>459</v>
      </c>
      <c r="CB84" s="2" t="s">
        <v>462</v>
      </c>
      <c r="CC84" s="2" t="s">
        <v>248</v>
      </c>
      <c r="CD84" s="2" t="s">
        <v>248</v>
      </c>
      <c r="CE84" s="2" t="s">
        <v>235</v>
      </c>
      <c r="CF84" s="4">
        <v>109</v>
      </c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>
        <v>110</v>
      </c>
      <c r="GE84" s="4">
        <v>105</v>
      </c>
      <c r="GF84" s="4">
        <v>101</v>
      </c>
      <c r="GG84" s="4">
        <v>97</v>
      </c>
      <c r="GH84" s="4">
        <v>93</v>
      </c>
      <c r="GI84" s="4">
        <v>89</v>
      </c>
      <c r="GJ84" s="4">
        <v>85</v>
      </c>
      <c r="GK84" s="4">
        <v>81</v>
      </c>
      <c r="GL84" s="4">
        <v>77</v>
      </c>
      <c r="GM84" s="4">
        <v>73</v>
      </c>
      <c r="GN84" s="4">
        <v>69</v>
      </c>
      <c r="GO84" s="4">
        <v>63</v>
      </c>
      <c r="GP84" s="4">
        <v>58</v>
      </c>
      <c r="GQ84" s="4">
        <v>49</v>
      </c>
      <c r="GR84" s="4">
        <v>44</v>
      </c>
      <c r="GS84" s="4">
        <v>39</v>
      </c>
      <c r="GT84" s="4">
        <v>36</v>
      </c>
      <c r="GU84" s="4">
        <v>34</v>
      </c>
      <c r="GV84" s="4">
        <v>32</v>
      </c>
      <c r="GW84" s="4">
        <v>122</v>
      </c>
      <c r="GX84" s="4">
        <v>120</v>
      </c>
      <c r="GY84" s="4">
        <v>118</v>
      </c>
      <c r="GZ84" s="4">
        <v>116</v>
      </c>
      <c r="HA84" s="4">
        <v>113</v>
      </c>
      <c r="HB84" s="4">
        <v>110</v>
      </c>
      <c r="HC84" s="4">
        <v>107</v>
      </c>
      <c r="HD84" s="19">
        <v>27.5</v>
      </c>
      <c r="HE84" s="19">
        <v>26.3</v>
      </c>
      <c r="HF84" s="19">
        <v>25.3</v>
      </c>
      <c r="HG84" s="19">
        <v>24.3</v>
      </c>
      <c r="HH84" s="19">
        <v>23.3</v>
      </c>
      <c r="HI84" s="19">
        <v>22.3</v>
      </c>
      <c r="HJ84" s="19">
        <v>21.3</v>
      </c>
      <c r="HK84" s="19">
        <v>20.3</v>
      </c>
      <c r="HL84" s="19">
        <v>15.4</v>
      </c>
      <c r="HM84" s="19">
        <v>12.2</v>
      </c>
      <c r="HN84" s="19">
        <v>11.5</v>
      </c>
      <c r="HO84" s="19">
        <v>10.5</v>
      </c>
      <c r="HP84" s="19">
        <v>9.7</v>
      </c>
      <c r="HQ84" s="19">
        <v>12.3</v>
      </c>
      <c r="HR84" s="19">
        <v>14.7</v>
      </c>
      <c r="HS84" s="19">
        <v>19.5</v>
      </c>
      <c r="HT84" s="19">
        <v>18</v>
      </c>
      <c r="HU84" s="19">
        <v>17</v>
      </c>
      <c r="HV84" s="19">
        <v>16</v>
      </c>
      <c r="HW84" s="19">
        <v>61</v>
      </c>
      <c r="HX84" s="19">
        <v>60</v>
      </c>
      <c r="HY84" s="19">
        <v>39.3</v>
      </c>
      <c r="HZ84" s="19">
        <v>38.7</v>
      </c>
      <c r="IA84" s="19">
        <v>37.7</v>
      </c>
      <c r="IB84" s="19">
        <v>27.5</v>
      </c>
      <c r="IC84" s="19">
        <v>26.8</v>
      </c>
    </row>
    <row r="85">
      <c r="A85" s="2" t="s">
        <v>465</v>
      </c>
      <c r="B85" s="2" t="s">
        <v>224</v>
      </c>
      <c r="C85" s="2" t="s">
        <v>225</v>
      </c>
      <c r="D85" s="2" t="s">
        <v>226</v>
      </c>
      <c r="E85" s="2" t="s">
        <v>227</v>
      </c>
      <c r="F85" s="2" t="s">
        <v>453</v>
      </c>
      <c r="G85" s="2" t="s">
        <v>454</v>
      </c>
      <c r="H85" s="2" t="s">
        <v>453</v>
      </c>
      <c r="I85" s="2" t="s">
        <v>455</v>
      </c>
      <c r="J85" s="2" t="s">
        <v>270</v>
      </c>
      <c r="K85" s="2" t="s">
        <v>316</v>
      </c>
      <c r="L85" s="3">
        <v>155.72</v>
      </c>
      <c r="M85" s="3">
        <v>163.51</v>
      </c>
      <c r="N85" s="3">
        <v>289.99</v>
      </c>
      <c r="O85" s="2" t="s">
        <v>232</v>
      </c>
      <c r="P85" s="2" t="s">
        <v>233</v>
      </c>
      <c r="Q85" s="2" t="s">
        <v>234</v>
      </c>
      <c r="R85" s="2" t="s">
        <v>235</v>
      </c>
      <c r="S85" s="2" t="s">
        <v>456</v>
      </c>
      <c r="T85" s="2" t="s">
        <v>237</v>
      </c>
      <c r="U85" s="2" t="s">
        <v>235</v>
      </c>
      <c r="V85" s="2" t="s">
        <v>238</v>
      </c>
      <c r="W85" s="2" t="s">
        <v>239</v>
      </c>
      <c r="X85" s="2" t="s">
        <v>235</v>
      </c>
      <c r="Y85" s="2" t="s">
        <v>240</v>
      </c>
      <c r="Z85" s="4">
        <v>95</v>
      </c>
      <c r="AA85" s="4">
        <f>=ROUNDDOWN(47.5,0)</f>
      </c>
      <c r="AB85" s="5">
        <v>2</v>
      </c>
      <c r="AC85" s="2" t="s">
        <v>235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235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235</v>
      </c>
      <c r="AW85" s="8" t="s">
        <v>235</v>
      </c>
      <c r="AX85" s="4" t="s">
        <v>235</v>
      </c>
      <c r="AY85" s="8" t="s">
        <v>235</v>
      </c>
      <c r="AZ85" s="7" t="s">
        <v>235</v>
      </c>
      <c r="BA85" s="7" t="s">
        <v>235</v>
      </c>
      <c r="BB85" s="7"/>
      <c r="BC85" s="4" t="s">
        <v>235</v>
      </c>
      <c r="BD85" s="8" t="s">
        <v>235</v>
      </c>
      <c r="BE85" s="4" t="s">
        <v>235</v>
      </c>
      <c r="BF85" s="8" t="s">
        <v>235</v>
      </c>
      <c r="BG85" s="7" t="s">
        <v>235</v>
      </c>
      <c r="BH85" s="7" t="s">
        <v>235</v>
      </c>
      <c r="BI85" s="7"/>
      <c r="BJ85" s="4">
        <v>9</v>
      </c>
      <c r="BK85" s="8">
        <v>1710.5</v>
      </c>
      <c r="BL85" s="2" t="s">
        <v>466</v>
      </c>
      <c r="BM85" s="7"/>
      <c r="BN85" s="7"/>
      <c r="BO85" s="4"/>
      <c r="BP85" s="8"/>
      <c r="BQ85" s="4"/>
      <c r="BR85" s="8"/>
      <c r="BS85" s="7"/>
      <c r="BT85" s="7"/>
      <c r="BU85" s="2" t="s">
        <v>458</v>
      </c>
      <c r="BV85" s="2" t="s">
        <v>243</v>
      </c>
      <c r="BW85" s="2" t="s">
        <v>235</v>
      </c>
      <c r="BX85" s="2" t="s">
        <v>244</v>
      </c>
      <c r="BY85" s="2" t="s">
        <v>245</v>
      </c>
      <c r="BZ85" s="2" t="s">
        <v>232</v>
      </c>
      <c r="CA85" s="2" t="s">
        <v>459</v>
      </c>
      <c r="CB85" s="2" t="s">
        <v>467</v>
      </c>
      <c r="CC85" s="2" t="s">
        <v>248</v>
      </c>
      <c r="CD85" s="2" t="s">
        <v>248</v>
      </c>
      <c r="CE85" s="2" t="s">
        <v>235</v>
      </c>
      <c r="CF85" s="4">
        <v>95</v>
      </c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>
        <v>96</v>
      </c>
      <c r="GE85" s="4">
        <v>94</v>
      </c>
      <c r="GF85" s="4">
        <v>92</v>
      </c>
      <c r="GG85" s="4">
        <v>90</v>
      </c>
      <c r="GH85" s="4">
        <v>88</v>
      </c>
      <c r="GI85" s="4">
        <v>86</v>
      </c>
      <c r="GJ85" s="4">
        <v>84</v>
      </c>
      <c r="GK85" s="4">
        <v>82</v>
      </c>
      <c r="GL85" s="4">
        <v>80</v>
      </c>
      <c r="GM85" s="4">
        <v>78</v>
      </c>
      <c r="GN85" s="4">
        <v>76</v>
      </c>
      <c r="GO85" s="4">
        <v>73</v>
      </c>
      <c r="GP85" s="4">
        <v>70</v>
      </c>
      <c r="GQ85" s="4">
        <v>65</v>
      </c>
      <c r="GR85" s="4">
        <v>62</v>
      </c>
      <c r="GS85" s="4">
        <v>59</v>
      </c>
      <c r="GT85" s="4">
        <v>57</v>
      </c>
      <c r="GU85" s="4">
        <v>56</v>
      </c>
      <c r="GV85" s="4">
        <v>55</v>
      </c>
      <c r="GW85" s="4">
        <v>66</v>
      </c>
      <c r="GX85" s="4">
        <v>65</v>
      </c>
      <c r="GY85" s="4">
        <v>64</v>
      </c>
      <c r="GZ85" s="4">
        <v>63</v>
      </c>
      <c r="HA85" s="4">
        <v>61</v>
      </c>
      <c r="HB85" s="4">
        <v>59</v>
      </c>
      <c r="HC85" s="4">
        <v>57</v>
      </c>
      <c r="HD85" s="19">
        <v>48</v>
      </c>
      <c r="HE85" s="19">
        <v>47</v>
      </c>
      <c r="HF85" s="19">
        <v>46</v>
      </c>
      <c r="HG85" s="19">
        <v>45</v>
      </c>
      <c r="HH85" s="19">
        <v>44</v>
      </c>
      <c r="HI85" s="19">
        <v>43</v>
      </c>
      <c r="HJ85" s="19">
        <v>42</v>
      </c>
      <c r="HK85" s="19">
        <v>41</v>
      </c>
      <c r="HL85" s="19">
        <v>40</v>
      </c>
      <c r="HM85" s="19">
        <v>26</v>
      </c>
      <c r="HN85" s="19">
        <v>19</v>
      </c>
      <c r="HO85" s="19">
        <v>18.3</v>
      </c>
      <c r="HP85" s="19">
        <v>23.3</v>
      </c>
      <c r="HQ85" s="19">
        <v>32.5</v>
      </c>
      <c r="HR85" s="19">
        <v>31</v>
      </c>
      <c r="HS85" s="19">
        <v>59</v>
      </c>
      <c r="HT85" s="19">
        <v>57</v>
      </c>
      <c r="HU85" s="19">
        <v>56</v>
      </c>
      <c r="HV85" s="19">
        <v>55</v>
      </c>
      <c r="HW85" s="19">
        <v>66</v>
      </c>
      <c r="HX85" s="19">
        <v>32.5</v>
      </c>
      <c r="HY85" s="19">
        <v>32</v>
      </c>
      <c r="HZ85" s="19">
        <v>31.5</v>
      </c>
      <c r="IA85" s="19">
        <v>30.5</v>
      </c>
      <c r="IB85" s="19">
        <v>29.5</v>
      </c>
      <c r="IC85" s="19">
        <v>28.5</v>
      </c>
    </row>
    <row r="86">
      <c r="A86" s="2" t="s">
        <v>468</v>
      </c>
      <c r="B86" s="2" t="s">
        <v>323</v>
      </c>
      <c r="C86" s="2" t="s">
        <v>324</v>
      </c>
      <c r="D86" s="2" t="s">
        <v>257</v>
      </c>
      <c r="E86" s="2" t="s">
        <v>258</v>
      </c>
      <c r="F86" s="2" t="s">
        <v>469</v>
      </c>
      <c r="G86" s="2" t="s">
        <v>469</v>
      </c>
      <c r="H86" s="2" t="s">
        <v>469</v>
      </c>
      <c r="I86" s="2" t="s">
        <v>470</v>
      </c>
      <c r="J86" s="2" t="s">
        <v>270</v>
      </c>
      <c r="K86" s="2" t="s">
        <v>292</v>
      </c>
      <c r="L86" s="3">
        <v>33</v>
      </c>
      <c r="M86" s="3">
        <v>34.65</v>
      </c>
      <c r="N86" s="3">
        <v>69.99</v>
      </c>
      <c r="O86" s="2" t="s">
        <v>232</v>
      </c>
      <c r="P86" s="2" t="s">
        <v>233</v>
      </c>
      <c r="Q86" s="2" t="s">
        <v>234</v>
      </c>
      <c r="R86" s="2" t="s">
        <v>235</v>
      </c>
      <c r="S86" s="2" t="s">
        <v>471</v>
      </c>
      <c r="T86" s="2" t="s">
        <v>263</v>
      </c>
      <c r="U86" s="2" t="s">
        <v>264</v>
      </c>
      <c r="V86" s="2" t="s">
        <v>238</v>
      </c>
      <c r="W86" s="2" t="s">
        <v>239</v>
      </c>
      <c r="X86" s="2" t="s">
        <v>235</v>
      </c>
      <c r="Y86" s="2" t="s">
        <v>472</v>
      </c>
      <c r="Z86" s="4">
        <v>326</v>
      </c>
      <c r="AA86" s="4">
        <f>=ROUNDDOWN(105.161290322581,0)</f>
      </c>
      <c r="AB86" s="5">
        <v>3.1</v>
      </c>
      <c r="AC86" s="2" t="s">
        <v>235</v>
      </c>
      <c r="AD86" s="4"/>
      <c r="AE86" s="4"/>
      <c r="AF86" s="6">
        <v>73</v>
      </c>
      <c r="AG86" s="6"/>
      <c r="AH86" s="7">
        <v>1</v>
      </c>
      <c r="AI86" s="4"/>
      <c r="AJ86" s="4">
        <f>=ROUNDDOWN({0},0)</f>
      </c>
      <c r="AK86" s="5"/>
      <c r="AL86" s="2" t="s">
        <v>235</v>
      </c>
      <c r="AM86" s="4"/>
      <c r="AN86" s="4"/>
      <c r="AO86" s="7"/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235</v>
      </c>
      <c r="BD86" s="8" t="s">
        <v>235</v>
      </c>
      <c r="BE86" s="4" t="s">
        <v>235</v>
      </c>
      <c r="BF86" s="8" t="s">
        <v>235</v>
      </c>
      <c r="BG86" s="7" t="s">
        <v>235</v>
      </c>
      <c r="BH86" s="7" t="s">
        <v>235</v>
      </c>
      <c r="BI86" s="7"/>
      <c r="BJ86" s="4">
        <v>12</v>
      </c>
      <c r="BK86" s="8">
        <v>455.89</v>
      </c>
      <c r="BL86" s="2" t="s">
        <v>473</v>
      </c>
      <c r="BM86" s="7"/>
      <c r="BN86" s="7"/>
      <c r="BO86" s="4"/>
      <c r="BP86" s="8"/>
      <c r="BQ86" s="4"/>
      <c r="BR86" s="8"/>
      <c r="BS86" s="7"/>
      <c r="BT86" s="7"/>
      <c r="BU86" s="2" t="s">
        <v>474</v>
      </c>
      <c r="BV86" s="2" t="s">
        <v>243</v>
      </c>
      <c r="BW86" s="2" t="s">
        <v>235</v>
      </c>
      <c r="BX86" s="2" t="s">
        <v>244</v>
      </c>
      <c r="BY86" s="2" t="s">
        <v>245</v>
      </c>
      <c r="BZ86" s="2" t="s">
        <v>232</v>
      </c>
      <c r="CA86" s="2" t="s">
        <v>475</v>
      </c>
      <c r="CB86" s="2" t="s">
        <v>476</v>
      </c>
      <c r="CC86" s="2" t="s">
        <v>248</v>
      </c>
      <c r="CD86" s="2" t="s">
        <v>248</v>
      </c>
      <c r="CE86" s="2" t="s">
        <v>235</v>
      </c>
      <c r="CF86" s="4">
        <v>326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>
        <v>330</v>
      </c>
      <c r="GE86" s="4">
        <v>324</v>
      </c>
      <c r="GF86" s="4">
        <v>322</v>
      </c>
      <c r="GG86" s="4">
        <v>320</v>
      </c>
      <c r="GH86" s="4">
        <v>318</v>
      </c>
      <c r="GI86" s="4">
        <v>316</v>
      </c>
      <c r="GJ86" s="4">
        <v>311</v>
      </c>
      <c r="GK86" s="4">
        <v>306</v>
      </c>
      <c r="GL86" s="4">
        <v>302</v>
      </c>
      <c r="GM86" s="4">
        <v>299</v>
      </c>
      <c r="GN86" s="4">
        <v>296</v>
      </c>
      <c r="GO86" s="4">
        <v>293</v>
      </c>
      <c r="GP86" s="4">
        <v>289</v>
      </c>
      <c r="GQ86" s="4">
        <v>283</v>
      </c>
      <c r="GR86" s="4">
        <v>277</v>
      </c>
      <c r="GS86" s="4">
        <v>272</v>
      </c>
      <c r="GT86" s="4">
        <v>269</v>
      </c>
      <c r="GU86" s="4">
        <v>266</v>
      </c>
      <c r="GV86" s="4">
        <v>263</v>
      </c>
      <c r="GW86" s="4">
        <v>260</v>
      </c>
      <c r="GX86" s="4">
        <v>257</v>
      </c>
      <c r="GY86" s="4">
        <v>254</v>
      </c>
      <c r="GZ86" s="4">
        <v>251</v>
      </c>
      <c r="HA86" s="4">
        <v>248</v>
      </c>
      <c r="HB86" s="4">
        <v>245</v>
      </c>
      <c r="HC86" s="4">
        <v>242</v>
      </c>
      <c r="HD86" s="19">
        <v>110</v>
      </c>
      <c r="HE86" s="19">
        <v>162</v>
      </c>
      <c r="HF86" s="19">
        <v>107.3</v>
      </c>
      <c r="HG86" s="19">
        <v>80</v>
      </c>
      <c r="HH86" s="19">
        <v>79.5</v>
      </c>
      <c r="HI86" s="19">
        <v>79</v>
      </c>
      <c r="HJ86" s="19">
        <v>77.8</v>
      </c>
      <c r="HK86" s="19">
        <v>102</v>
      </c>
      <c r="HL86" s="19">
        <v>100.7</v>
      </c>
      <c r="HM86" s="19">
        <v>74.8</v>
      </c>
      <c r="HN86" s="19">
        <v>59.2</v>
      </c>
      <c r="HO86" s="19">
        <v>58.6</v>
      </c>
      <c r="HP86" s="19">
        <v>57.8</v>
      </c>
      <c r="HQ86" s="19">
        <v>70.8</v>
      </c>
      <c r="HR86" s="19">
        <v>69.3</v>
      </c>
      <c r="HS86" s="19">
        <v>90.7</v>
      </c>
      <c r="HT86" s="19">
        <v>89.7</v>
      </c>
      <c r="HU86" s="19">
        <v>88.7</v>
      </c>
      <c r="HV86" s="19">
        <v>87.7</v>
      </c>
      <c r="HW86" s="19">
        <v>86.7</v>
      </c>
      <c r="HX86" s="19">
        <v>85.7</v>
      </c>
      <c r="HY86" s="19">
        <v>84.7</v>
      </c>
      <c r="HZ86" s="19">
        <v>83.7</v>
      </c>
      <c r="IA86" s="19">
        <v>82.7</v>
      </c>
      <c r="IB86" s="19">
        <v>81.7</v>
      </c>
      <c r="IC86" s="19">
        <v>80.7</v>
      </c>
    </row>
    <row r="87">
      <c r="A87" s="2" t="s">
        <v>477</v>
      </c>
      <c r="B87" s="2" t="s">
        <v>323</v>
      </c>
      <c r="C87" s="2" t="s">
        <v>324</v>
      </c>
      <c r="D87" s="2" t="s">
        <v>257</v>
      </c>
      <c r="E87" s="2" t="s">
        <v>258</v>
      </c>
      <c r="F87" s="2" t="s">
        <v>469</v>
      </c>
      <c r="G87" s="2" t="s">
        <v>469</v>
      </c>
      <c r="H87" s="2" t="s">
        <v>469</v>
      </c>
      <c r="I87" s="2" t="s">
        <v>470</v>
      </c>
      <c r="J87" s="2" t="s">
        <v>270</v>
      </c>
      <c r="K87" s="2" t="s">
        <v>295</v>
      </c>
      <c r="L87" s="3">
        <v>33</v>
      </c>
      <c r="M87" s="3">
        <v>34.65</v>
      </c>
      <c r="N87" s="3">
        <v>69.99</v>
      </c>
      <c r="O87" s="2" t="s">
        <v>232</v>
      </c>
      <c r="P87" s="2" t="s">
        <v>233</v>
      </c>
      <c r="Q87" s="2" t="s">
        <v>234</v>
      </c>
      <c r="R87" s="2" t="s">
        <v>235</v>
      </c>
      <c r="S87" s="2" t="s">
        <v>478</v>
      </c>
      <c r="T87" s="2" t="s">
        <v>263</v>
      </c>
      <c r="U87" s="2" t="s">
        <v>264</v>
      </c>
      <c r="V87" s="2" t="s">
        <v>238</v>
      </c>
      <c r="W87" s="2" t="s">
        <v>239</v>
      </c>
      <c r="X87" s="2" t="s">
        <v>235</v>
      </c>
      <c r="Y87" s="2" t="s">
        <v>472</v>
      </c>
      <c r="Z87" s="4">
        <v>187</v>
      </c>
      <c r="AA87" s="4">
        <f>=ROUNDDOWN(39.7872340425532,0)</f>
      </c>
      <c r="AB87" s="5">
        <v>4.7</v>
      </c>
      <c r="AC87" s="2" t="s">
        <v>235</v>
      </c>
      <c r="AD87" s="4"/>
      <c r="AE87" s="4"/>
      <c r="AF87" s="6">
        <v>73</v>
      </c>
      <c r="AG87" s="6"/>
      <c r="AH87" s="7">
        <v>1</v>
      </c>
      <c r="AI87" s="4"/>
      <c r="AJ87" s="4">
        <f>=ROUNDDOWN({0},0)</f>
      </c>
      <c r="AK87" s="5"/>
      <c r="AL87" s="2" t="s">
        <v>235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235</v>
      </c>
      <c r="BD87" s="8" t="s">
        <v>235</v>
      </c>
      <c r="BE87" s="4" t="s">
        <v>235</v>
      </c>
      <c r="BF87" s="8" t="s">
        <v>235</v>
      </c>
      <c r="BG87" s="7" t="s">
        <v>235</v>
      </c>
      <c r="BH87" s="7" t="s">
        <v>235</v>
      </c>
      <c r="BI87" s="7"/>
      <c r="BJ87" s="4">
        <v>11</v>
      </c>
      <c r="BK87" s="8">
        <v>444.57</v>
      </c>
      <c r="BL87" s="2" t="s">
        <v>479</v>
      </c>
      <c r="BM87" s="7"/>
      <c r="BN87" s="7"/>
      <c r="BO87" s="4"/>
      <c r="BP87" s="8"/>
      <c r="BQ87" s="4"/>
      <c r="BR87" s="8"/>
      <c r="BS87" s="7"/>
      <c r="BT87" s="7"/>
      <c r="BU87" s="2" t="s">
        <v>474</v>
      </c>
      <c r="BV87" s="2" t="s">
        <v>243</v>
      </c>
      <c r="BW87" s="2" t="s">
        <v>235</v>
      </c>
      <c r="BX87" s="2" t="s">
        <v>244</v>
      </c>
      <c r="BY87" s="2" t="s">
        <v>245</v>
      </c>
      <c r="BZ87" s="2" t="s">
        <v>232</v>
      </c>
      <c r="CA87" s="2" t="s">
        <v>475</v>
      </c>
      <c r="CB87" s="2" t="s">
        <v>480</v>
      </c>
      <c r="CC87" s="2" t="s">
        <v>248</v>
      </c>
      <c r="CD87" s="2" t="s">
        <v>248</v>
      </c>
      <c r="CE87" s="2" t="s">
        <v>235</v>
      </c>
      <c r="CF87" s="4">
        <v>187</v>
      </c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>
        <v>188</v>
      </c>
      <c r="GE87" s="4">
        <v>181</v>
      </c>
      <c r="GF87" s="4">
        <v>177</v>
      </c>
      <c r="GG87" s="4">
        <v>173</v>
      </c>
      <c r="GH87" s="4">
        <v>168</v>
      </c>
      <c r="GI87" s="4">
        <v>163</v>
      </c>
      <c r="GJ87" s="4">
        <v>156</v>
      </c>
      <c r="GK87" s="4">
        <v>149</v>
      </c>
      <c r="GL87" s="4">
        <v>143</v>
      </c>
      <c r="GM87" s="4">
        <v>138</v>
      </c>
      <c r="GN87" s="4">
        <v>133</v>
      </c>
      <c r="GO87" s="4">
        <v>128</v>
      </c>
      <c r="GP87" s="4">
        <v>122</v>
      </c>
      <c r="GQ87" s="4">
        <v>110</v>
      </c>
      <c r="GR87" s="4">
        <v>99</v>
      </c>
      <c r="GS87" s="4">
        <v>90</v>
      </c>
      <c r="GT87" s="4">
        <v>85</v>
      </c>
      <c r="GU87" s="4">
        <v>80</v>
      </c>
      <c r="GV87" s="4">
        <v>75</v>
      </c>
      <c r="GW87" s="4">
        <v>70</v>
      </c>
      <c r="GX87" s="4">
        <v>65</v>
      </c>
      <c r="GY87" s="4">
        <v>60</v>
      </c>
      <c r="GZ87" s="4">
        <v>55</v>
      </c>
      <c r="HA87" s="4">
        <v>50</v>
      </c>
      <c r="HB87" s="4">
        <v>45</v>
      </c>
      <c r="HC87" s="4">
        <v>39</v>
      </c>
      <c r="HD87" s="19">
        <v>37.6</v>
      </c>
      <c r="HE87" s="19">
        <v>45.3</v>
      </c>
      <c r="HF87" s="19">
        <v>35.4</v>
      </c>
      <c r="HG87" s="19">
        <v>28.8</v>
      </c>
      <c r="HH87" s="19">
        <v>28</v>
      </c>
      <c r="HI87" s="19">
        <v>27.2</v>
      </c>
      <c r="HJ87" s="19">
        <v>26</v>
      </c>
      <c r="HK87" s="19">
        <v>29.8</v>
      </c>
      <c r="HL87" s="19">
        <v>28.6</v>
      </c>
      <c r="HM87" s="19">
        <v>19.7</v>
      </c>
      <c r="HN87" s="19">
        <v>16.6</v>
      </c>
      <c r="HO87" s="19">
        <v>12.8</v>
      </c>
      <c r="HP87" s="19">
        <v>13.6</v>
      </c>
      <c r="HQ87" s="19">
        <v>13.8</v>
      </c>
      <c r="HR87" s="19">
        <v>16.5</v>
      </c>
      <c r="HS87" s="19">
        <v>18</v>
      </c>
      <c r="HT87" s="19">
        <v>17</v>
      </c>
      <c r="HU87" s="19">
        <v>16</v>
      </c>
      <c r="HV87" s="19">
        <v>15</v>
      </c>
      <c r="HW87" s="19">
        <v>14</v>
      </c>
      <c r="HX87" s="19">
        <v>13</v>
      </c>
      <c r="HY87" s="19">
        <v>12</v>
      </c>
      <c r="HZ87" s="19">
        <v>11</v>
      </c>
      <c r="IA87" s="19">
        <v>10</v>
      </c>
      <c r="IB87" s="19">
        <v>9</v>
      </c>
      <c r="IC87" s="19">
        <v>7.8</v>
      </c>
    </row>
    <row r="88">
      <c r="A88" s="2" t="s">
        <v>481</v>
      </c>
      <c r="B88" s="2" t="s">
        <v>323</v>
      </c>
      <c r="C88" s="2" t="s">
        <v>482</v>
      </c>
      <c r="D88" s="2" t="s">
        <v>257</v>
      </c>
      <c r="E88" s="2" t="s">
        <v>258</v>
      </c>
      <c r="F88" s="2" t="s">
        <v>483</v>
      </c>
      <c r="G88" s="2" t="s">
        <v>483</v>
      </c>
      <c r="H88" s="2" t="s">
        <v>483</v>
      </c>
      <c r="I88" s="2" t="s">
        <v>484</v>
      </c>
      <c r="J88" s="2" t="s">
        <v>250</v>
      </c>
      <c r="K88" s="2" t="s">
        <v>292</v>
      </c>
      <c r="L88" s="3">
        <v>32</v>
      </c>
      <c r="M88" s="3">
        <v>33.6</v>
      </c>
      <c r="N88" s="3">
        <v>59.99</v>
      </c>
      <c r="O88" s="2" t="s">
        <v>485</v>
      </c>
      <c r="P88" s="2" t="s">
        <v>408</v>
      </c>
      <c r="Q88" s="2" t="s">
        <v>234</v>
      </c>
      <c r="R88" s="2" t="s">
        <v>235</v>
      </c>
      <c r="S88" s="2" t="s">
        <v>486</v>
      </c>
      <c r="T88" s="2" t="s">
        <v>263</v>
      </c>
      <c r="U88" s="2" t="s">
        <v>264</v>
      </c>
      <c r="V88" s="2" t="s">
        <v>238</v>
      </c>
      <c r="W88" s="2" t="s">
        <v>239</v>
      </c>
      <c r="X88" s="2" t="s">
        <v>239</v>
      </c>
      <c r="Y88" s="2" t="s">
        <v>487</v>
      </c>
      <c r="Z88" s="4"/>
      <c r="AA88" s="4">
        <f>=ROUNDDOWN({0},0)</f>
      </c>
      <c r="AB88" s="5">
        <v>1</v>
      </c>
      <c r="AC88" s="2" t="s">
        <v>235</v>
      </c>
      <c r="AD88" s="4"/>
      <c r="AE88" s="4"/>
      <c r="AF88" s="6">
        <v>78</v>
      </c>
      <c r="AG88" s="6"/>
      <c r="AH88" s="7">
        <v>0.8387</v>
      </c>
      <c r="AI88" s="4"/>
      <c r="AJ88" s="4">
        <f>=ROUNDDOWN({0},0)</f>
      </c>
      <c r="AK88" s="5"/>
      <c r="AL88" s="2" t="s">
        <v>235</v>
      </c>
      <c r="AM88" s="4"/>
      <c r="AN88" s="4"/>
      <c r="AO88" s="7"/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235</v>
      </c>
      <c r="BD88" s="8" t="s">
        <v>235</v>
      </c>
      <c r="BE88" s="4" t="s">
        <v>235</v>
      </c>
      <c r="BF88" s="8" t="s">
        <v>235</v>
      </c>
      <c r="BG88" s="7" t="s">
        <v>235</v>
      </c>
      <c r="BH88" s="7" t="s">
        <v>235</v>
      </c>
      <c r="BI88" s="7"/>
      <c r="BJ88" s="4">
        <v>10</v>
      </c>
      <c r="BK88" s="8">
        <v>202.46</v>
      </c>
      <c r="BL88" s="2" t="s">
        <v>488</v>
      </c>
      <c r="BM88" s="7"/>
      <c r="BN88" s="7"/>
      <c r="BO88" s="4"/>
      <c r="BP88" s="8"/>
      <c r="BQ88" s="4"/>
      <c r="BR88" s="8"/>
      <c r="BS88" s="7"/>
      <c r="BT88" s="7"/>
      <c r="BU88" s="2" t="s">
        <v>489</v>
      </c>
      <c r="BV88" s="2" t="s">
        <v>243</v>
      </c>
      <c r="BW88" s="2" t="s">
        <v>235</v>
      </c>
      <c r="BX88" s="2" t="s">
        <v>414</v>
      </c>
      <c r="BY88" s="2" t="s">
        <v>245</v>
      </c>
      <c r="BZ88" s="2" t="s">
        <v>232</v>
      </c>
      <c r="CA88" s="2" t="s">
        <v>490</v>
      </c>
      <c r="CB88" s="2" t="s">
        <v>491</v>
      </c>
      <c r="CC88" s="2" t="s">
        <v>492</v>
      </c>
      <c r="CD88" s="2" t="s">
        <v>248</v>
      </c>
      <c r="CE88" s="2" t="s">
        <v>235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>
        <v>100</v>
      </c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19">
        <v>3.8</v>
      </c>
      <c r="HE88" s="20">
        <v>0</v>
      </c>
      <c r="HF88" s="20">
        <v>0</v>
      </c>
      <c r="HG88" s="20">
        <v>0</v>
      </c>
      <c r="HH88" s="20">
        <v>0</v>
      </c>
      <c r="HI88" s="20">
        <v>0</v>
      </c>
      <c r="HJ88" s="20">
        <v>0</v>
      </c>
      <c r="HK88" s="20">
        <v>0</v>
      </c>
      <c r="HL88" s="20">
        <v>0</v>
      </c>
      <c r="HM88" s="20">
        <v>0</v>
      </c>
      <c r="HN88" s="20">
        <v>0</v>
      </c>
      <c r="HO88" s="20">
        <v>0</v>
      </c>
      <c r="HP88" s="20">
        <v>0</v>
      </c>
      <c r="HQ88" s="20">
        <v>0</v>
      </c>
      <c r="HR88" s="20">
        <v>0</v>
      </c>
      <c r="HS88" s="20">
        <v>0</v>
      </c>
      <c r="HT88" s="20">
        <v>0</v>
      </c>
      <c r="HU88" s="20">
        <v>0</v>
      </c>
      <c r="HV88" s="20">
        <v>0</v>
      </c>
      <c r="HW88" s="20">
        <v>0</v>
      </c>
      <c r="HX88" s="20">
        <v>0</v>
      </c>
      <c r="HY88" s="20">
        <v>0</v>
      </c>
      <c r="HZ88" s="20">
        <v>0</v>
      </c>
      <c r="IA88" s="20">
        <v>0</v>
      </c>
      <c r="IB88" s="20">
        <v>0</v>
      </c>
      <c r="IC88" s="20">
        <v>0</v>
      </c>
    </row>
    <row r="89">
      <c r="A89" s="2" t="s">
        <v>493</v>
      </c>
      <c r="B89" s="2" t="s">
        <v>323</v>
      </c>
      <c r="C89" s="2" t="s">
        <v>482</v>
      </c>
      <c r="D89" s="2" t="s">
        <v>257</v>
      </c>
      <c r="E89" s="2" t="s">
        <v>258</v>
      </c>
      <c r="F89" s="2" t="s">
        <v>483</v>
      </c>
      <c r="G89" s="2" t="s">
        <v>483</v>
      </c>
      <c r="H89" s="2" t="s">
        <v>483</v>
      </c>
      <c r="I89" s="2" t="s">
        <v>484</v>
      </c>
      <c r="J89" s="2" t="s">
        <v>250</v>
      </c>
      <c r="K89" s="2" t="s">
        <v>316</v>
      </c>
      <c r="L89" s="3">
        <v>32</v>
      </c>
      <c r="M89" s="3">
        <v>33.6</v>
      </c>
      <c r="N89" s="3">
        <v>59.99</v>
      </c>
      <c r="O89" s="2" t="s">
        <v>485</v>
      </c>
      <c r="P89" s="2" t="s">
        <v>408</v>
      </c>
      <c r="Q89" s="2" t="s">
        <v>234</v>
      </c>
      <c r="R89" s="2" t="s">
        <v>235</v>
      </c>
      <c r="S89" s="2" t="s">
        <v>494</v>
      </c>
      <c r="T89" s="2" t="s">
        <v>263</v>
      </c>
      <c r="U89" s="2" t="s">
        <v>264</v>
      </c>
      <c r="V89" s="2" t="s">
        <v>238</v>
      </c>
      <c r="W89" s="2" t="s">
        <v>239</v>
      </c>
      <c r="X89" s="2" t="s">
        <v>239</v>
      </c>
      <c r="Y89" s="2" t="s">
        <v>487</v>
      </c>
      <c r="Z89" s="4"/>
      <c r="AA89" s="4">
        <f>=ROUNDDOWN({0},0)</f>
      </c>
      <c r="AB89" s="5">
        <v>1</v>
      </c>
      <c r="AC89" s="2" t="s">
        <v>235</v>
      </c>
      <c r="AD89" s="4"/>
      <c r="AE89" s="4"/>
      <c r="AF89" s="6">
        <v>78</v>
      </c>
      <c r="AG89" s="6"/>
      <c r="AH89" s="7">
        <v>0.8387</v>
      </c>
      <c r="AI89" s="4"/>
      <c r="AJ89" s="4">
        <f>=ROUNDDOWN({0},0)</f>
      </c>
      <c r="AK89" s="5"/>
      <c r="AL89" s="2" t="s">
        <v>235</v>
      </c>
      <c r="AM89" s="4"/>
      <c r="AN89" s="4"/>
      <c r="AO89" s="7"/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 t="s">
        <v>235</v>
      </c>
      <c r="BD89" s="8" t="s">
        <v>235</v>
      </c>
      <c r="BE89" s="4" t="s">
        <v>235</v>
      </c>
      <c r="BF89" s="8" t="s">
        <v>235</v>
      </c>
      <c r="BG89" s="7" t="s">
        <v>235</v>
      </c>
      <c r="BH89" s="7" t="s">
        <v>235</v>
      </c>
      <c r="BI89" s="7"/>
      <c r="BJ89" s="4">
        <v>31</v>
      </c>
      <c r="BK89" s="8">
        <v>672.63</v>
      </c>
      <c r="BL89" s="2" t="s">
        <v>495</v>
      </c>
      <c r="BM89" s="7"/>
      <c r="BN89" s="7"/>
      <c r="BO89" s="4"/>
      <c r="BP89" s="8"/>
      <c r="BQ89" s="4"/>
      <c r="BR89" s="8"/>
      <c r="BS89" s="7"/>
      <c r="BT89" s="7"/>
      <c r="BU89" s="2" t="s">
        <v>489</v>
      </c>
      <c r="BV89" s="2" t="s">
        <v>243</v>
      </c>
      <c r="BW89" s="2" t="s">
        <v>235</v>
      </c>
      <c r="BX89" s="2" t="s">
        <v>414</v>
      </c>
      <c r="BY89" s="2" t="s">
        <v>245</v>
      </c>
      <c r="BZ89" s="2" t="s">
        <v>232</v>
      </c>
      <c r="CA89" s="2" t="s">
        <v>490</v>
      </c>
      <c r="CB89" s="2" t="s">
        <v>496</v>
      </c>
      <c r="CC89" s="2" t="s">
        <v>492</v>
      </c>
      <c r="CD89" s="2" t="s">
        <v>248</v>
      </c>
      <c r="CE89" s="2" t="s">
        <v>235</v>
      </c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>
        <v>65</v>
      </c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19">
        <v>3.8</v>
      </c>
      <c r="HE89" s="20">
        <v>0</v>
      </c>
      <c r="HF89" s="20">
        <v>0</v>
      </c>
      <c r="HG89" s="20">
        <v>0</v>
      </c>
      <c r="HH89" s="20">
        <v>0</v>
      </c>
      <c r="HI89" s="20">
        <v>0</v>
      </c>
      <c r="HJ89" s="20">
        <v>0</v>
      </c>
      <c r="HK89" s="20">
        <v>0</v>
      </c>
      <c r="HL89" s="20">
        <v>0</v>
      </c>
      <c r="HM89" s="20">
        <v>0</v>
      </c>
      <c r="HN89" s="20">
        <v>0</v>
      </c>
      <c r="HO89" s="20">
        <v>0</v>
      </c>
      <c r="HP89" s="20">
        <v>0</v>
      </c>
      <c r="HQ89" s="20">
        <v>0</v>
      </c>
      <c r="HR89" s="20">
        <v>0</v>
      </c>
      <c r="HS89" s="20">
        <v>0</v>
      </c>
      <c r="HT89" s="20">
        <v>0</v>
      </c>
      <c r="HU89" s="20">
        <v>0</v>
      </c>
      <c r="HV89" s="20">
        <v>0</v>
      </c>
      <c r="HW89" s="20">
        <v>0</v>
      </c>
      <c r="HX89" s="20">
        <v>0</v>
      </c>
      <c r="HY89" s="20">
        <v>0</v>
      </c>
      <c r="HZ89" s="20">
        <v>0</v>
      </c>
      <c r="IA89" s="20">
        <v>0</v>
      </c>
      <c r="IB89" s="20">
        <v>0</v>
      </c>
      <c r="IC89" s="20">
        <v>0</v>
      </c>
    </row>
    <row r="90">
      <c r="A90" s="2" t="s">
        <v>497</v>
      </c>
      <c r="B90" s="2" t="s">
        <v>323</v>
      </c>
      <c r="C90" s="2" t="s">
        <v>324</v>
      </c>
      <c r="D90" s="2" t="s">
        <v>257</v>
      </c>
      <c r="E90" s="2" t="s">
        <v>258</v>
      </c>
      <c r="F90" s="2" t="s">
        <v>498</v>
      </c>
      <c r="G90" s="2" t="s">
        <v>498</v>
      </c>
      <c r="H90" s="2" t="s">
        <v>498</v>
      </c>
      <c r="I90" s="2" t="s">
        <v>499</v>
      </c>
      <c r="J90" s="2" t="s">
        <v>272</v>
      </c>
      <c r="K90" s="2" t="s">
        <v>231</v>
      </c>
      <c r="L90" s="3">
        <v>24.16</v>
      </c>
      <c r="M90" s="3">
        <v>25.37</v>
      </c>
      <c r="N90" s="3">
        <v>49.99</v>
      </c>
      <c r="O90" s="2" t="s">
        <v>232</v>
      </c>
      <c r="P90" s="2" t="s">
        <v>233</v>
      </c>
      <c r="Q90" s="2" t="s">
        <v>234</v>
      </c>
      <c r="R90" s="2" t="s">
        <v>235</v>
      </c>
      <c r="S90" s="2" t="s">
        <v>500</v>
      </c>
      <c r="T90" s="2" t="s">
        <v>501</v>
      </c>
      <c r="U90" s="2" t="s">
        <v>235</v>
      </c>
      <c r="V90" s="2" t="s">
        <v>238</v>
      </c>
      <c r="W90" s="2" t="s">
        <v>239</v>
      </c>
      <c r="X90" s="2" t="s">
        <v>235</v>
      </c>
      <c r="Y90" s="2" t="s">
        <v>240</v>
      </c>
      <c r="Z90" s="4">
        <v>109</v>
      </c>
      <c r="AA90" s="4">
        <f>=ROUNDDOWN(77.8571428571429,0)</f>
      </c>
      <c r="AB90" s="5">
        <v>1.4</v>
      </c>
      <c r="AC90" s="2" t="s">
        <v>235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235</v>
      </c>
      <c r="AM90" s="4"/>
      <c r="AN90" s="4"/>
      <c r="AO90" s="7"/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 t="s">
        <v>235</v>
      </c>
      <c r="BD90" s="8" t="s">
        <v>235</v>
      </c>
      <c r="BE90" s="4" t="s">
        <v>235</v>
      </c>
      <c r="BF90" s="8" t="s">
        <v>235</v>
      </c>
      <c r="BG90" s="7" t="s">
        <v>235</v>
      </c>
      <c r="BH90" s="7" t="s">
        <v>235</v>
      </c>
      <c r="BI90" s="7"/>
      <c r="BJ90" s="4">
        <v>5</v>
      </c>
      <c r="BK90" s="8">
        <v>124.07</v>
      </c>
      <c r="BL90" s="2" t="s">
        <v>502</v>
      </c>
      <c r="BM90" s="7"/>
      <c r="BN90" s="7"/>
      <c r="BO90" s="4"/>
      <c r="BP90" s="8"/>
      <c r="BQ90" s="4"/>
      <c r="BR90" s="8"/>
      <c r="BS90" s="7"/>
      <c r="BT90" s="7"/>
      <c r="BU90" s="2" t="s">
        <v>503</v>
      </c>
      <c r="BV90" s="2" t="s">
        <v>243</v>
      </c>
      <c r="BW90" s="2" t="s">
        <v>235</v>
      </c>
      <c r="BX90" s="2" t="s">
        <v>244</v>
      </c>
      <c r="BY90" s="2" t="s">
        <v>245</v>
      </c>
      <c r="BZ90" s="2" t="s">
        <v>232</v>
      </c>
      <c r="CA90" s="2" t="s">
        <v>252</v>
      </c>
      <c r="CB90" s="2" t="s">
        <v>504</v>
      </c>
      <c r="CC90" s="2" t="s">
        <v>248</v>
      </c>
      <c r="CD90" s="2" t="s">
        <v>248</v>
      </c>
      <c r="CE90" s="2" t="s">
        <v>235</v>
      </c>
      <c r="CF90" s="4">
        <v>109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>
        <v>109</v>
      </c>
      <c r="GE90" s="4">
        <v>108</v>
      </c>
      <c r="GF90" s="4">
        <v>107</v>
      </c>
      <c r="GG90" s="4">
        <v>106</v>
      </c>
      <c r="GH90" s="4">
        <v>105</v>
      </c>
      <c r="GI90" s="4">
        <v>104</v>
      </c>
      <c r="GJ90" s="4">
        <v>103</v>
      </c>
      <c r="GK90" s="4">
        <v>102</v>
      </c>
      <c r="GL90" s="4">
        <v>101</v>
      </c>
      <c r="GM90" s="4">
        <v>100</v>
      </c>
      <c r="GN90" s="4">
        <v>99</v>
      </c>
      <c r="GO90" s="4">
        <v>98</v>
      </c>
      <c r="GP90" s="4">
        <v>97</v>
      </c>
      <c r="GQ90" s="4">
        <v>95</v>
      </c>
      <c r="GR90" s="4">
        <v>93</v>
      </c>
      <c r="GS90" s="4">
        <v>91</v>
      </c>
      <c r="GT90" s="4">
        <v>90</v>
      </c>
      <c r="GU90" s="4">
        <v>89</v>
      </c>
      <c r="GV90" s="4">
        <v>88</v>
      </c>
      <c r="GW90" s="4">
        <v>87</v>
      </c>
      <c r="GX90" s="4">
        <v>86</v>
      </c>
      <c r="GY90" s="4">
        <v>85</v>
      </c>
      <c r="GZ90" s="4">
        <v>84</v>
      </c>
      <c r="HA90" s="4">
        <v>83</v>
      </c>
      <c r="HB90" s="4">
        <v>82</v>
      </c>
      <c r="HC90" s="4">
        <v>81</v>
      </c>
      <c r="HD90" s="19">
        <v>109</v>
      </c>
      <c r="HE90" s="19">
        <v>108</v>
      </c>
      <c r="HF90" s="19">
        <v>107</v>
      </c>
      <c r="HG90" s="19">
        <v>106</v>
      </c>
      <c r="HH90" s="19">
        <v>105</v>
      </c>
      <c r="HI90" s="19">
        <v>104</v>
      </c>
      <c r="HJ90" s="19">
        <v>103</v>
      </c>
      <c r="HK90" s="19">
        <v>102</v>
      </c>
      <c r="HL90" s="19">
        <v>101</v>
      </c>
      <c r="HM90" s="19">
        <v>100</v>
      </c>
      <c r="HN90" s="19">
        <v>49.5</v>
      </c>
      <c r="HO90" s="19">
        <v>49</v>
      </c>
      <c r="HP90" s="19">
        <v>48.5</v>
      </c>
      <c r="HQ90" s="19">
        <v>47.5</v>
      </c>
      <c r="HR90" s="19">
        <v>93</v>
      </c>
      <c r="HS90" s="19">
        <v>91</v>
      </c>
      <c r="HT90" s="19">
        <v>90</v>
      </c>
      <c r="HU90" s="19">
        <v>89</v>
      </c>
      <c r="HV90" s="19">
        <v>88</v>
      </c>
      <c r="HW90" s="19">
        <v>87</v>
      </c>
      <c r="HX90" s="19">
        <v>86</v>
      </c>
      <c r="HY90" s="19">
        <v>85</v>
      </c>
      <c r="HZ90" s="19">
        <v>84</v>
      </c>
      <c r="IA90" s="19">
        <v>83</v>
      </c>
      <c r="IB90" s="19">
        <v>82</v>
      </c>
      <c r="IC90" s="19">
        <v>81</v>
      </c>
    </row>
    <row r="91">
      <c r="A91" s="2" t="s">
        <v>505</v>
      </c>
      <c r="B91" s="2" t="s">
        <v>323</v>
      </c>
      <c r="C91" s="2" t="s">
        <v>324</v>
      </c>
      <c r="D91" s="2" t="s">
        <v>257</v>
      </c>
      <c r="E91" s="2" t="s">
        <v>258</v>
      </c>
      <c r="F91" s="2" t="s">
        <v>498</v>
      </c>
      <c r="G91" s="2" t="s">
        <v>498</v>
      </c>
      <c r="H91" s="2" t="s">
        <v>498</v>
      </c>
      <c r="I91" s="2" t="s">
        <v>499</v>
      </c>
      <c r="J91" s="2" t="s">
        <v>394</v>
      </c>
      <c r="K91" s="2" t="s">
        <v>506</v>
      </c>
      <c r="L91" s="3">
        <v>15.14</v>
      </c>
      <c r="M91" s="3">
        <v>15.9</v>
      </c>
      <c r="N91" s="3">
        <v>29.99</v>
      </c>
      <c r="O91" s="2" t="s">
        <v>232</v>
      </c>
      <c r="P91" s="2" t="s">
        <v>233</v>
      </c>
      <c r="Q91" s="2" t="s">
        <v>234</v>
      </c>
      <c r="R91" s="2" t="s">
        <v>235</v>
      </c>
      <c r="S91" s="2" t="s">
        <v>507</v>
      </c>
      <c r="T91" s="2" t="s">
        <v>501</v>
      </c>
      <c r="U91" s="2" t="s">
        <v>235</v>
      </c>
      <c r="V91" s="2" t="s">
        <v>238</v>
      </c>
      <c r="W91" s="2" t="s">
        <v>239</v>
      </c>
      <c r="X91" s="2" t="s">
        <v>235</v>
      </c>
      <c r="Y91" s="2" t="s">
        <v>508</v>
      </c>
      <c r="Z91" s="4">
        <v>51</v>
      </c>
      <c r="AA91" s="4">
        <f>=ROUNDDOWN(17,0)</f>
      </c>
      <c r="AB91" s="5">
        <v>3</v>
      </c>
      <c r="AC91" s="2" t="s">
        <v>235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235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235</v>
      </c>
      <c r="AW91" s="8" t="s">
        <v>235</v>
      </c>
      <c r="AX91" s="4" t="s">
        <v>235</v>
      </c>
      <c r="AY91" s="8" t="s">
        <v>235</v>
      </c>
      <c r="AZ91" s="7" t="s">
        <v>235</v>
      </c>
      <c r="BA91" s="7" t="s">
        <v>235</v>
      </c>
      <c r="BB91" s="7"/>
      <c r="BC91" s="4" t="s">
        <v>235</v>
      </c>
      <c r="BD91" s="8" t="s">
        <v>235</v>
      </c>
      <c r="BE91" s="4" t="s">
        <v>235</v>
      </c>
      <c r="BF91" s="8" t="s">
        <v>235</v>
      </c>
      <c r="BG91" s="7" t="s">
        <v>235</v>
      </c>
      <c r="BH91" s="7" t="s">
        <v>235</v>
      </c>
      <c r="BI91" s="7"/>
      <c r="BJ91" s="4">
        <v>7</v>
      </c>
      <c r="BK91" s="8">
        <v>115.87</v>
      </c>
      <c r="BL91" s="2" t="s">
        <v>509</v>
      </c>
      <c r="BM91" s="7"/>
      <c r="BN91" s="7"/>
      <c r="BO91" s="4"/>
      <c r="BP91" s="8"/>
      <c r="BQ91" s="4"/>
      <c r="BR91" s="8"/>
      <c r="BS91" s="7"/>
      <c r="BT91" s="7"/>
      <c r="BU91" s="2" t="s">
        <v>503</v>
      </c>
      <c r="BV91" s="2" t="s">
        <v>243</v>
      </c>
      <c r="BW91" s="2" t="s">
        <v>235</v>
      </c>
      <c r="BX91" s="2" t="s">
        <v>244</v>
      </c>
      <c r="BY91" s="2" t="s">
        <v>245</v>
      </c>
      <c r="BZ91" s="2" t="s">
        <v>232</v>
      </c>
      <c r="CA91" s="2" t="s">
        <v>510</v>
      </c>
      <c r="CB91" s="2" t="s">
        <v>511</v>
      </c>
      <c r="CC91" s="2" t="s">
        <v>248</v>
      </c>
      <c r="CD91" s="2" t="s">
        <v>248</v>
      </c>
      <c r="CE91" s="2" t="s">
        <v>235</v>
      </c>
      <c r="CF91" s="4">
        <v>51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>
        <v>53</v>
      </c>
      <c r="GE91" s="4">
        <v>41</v>
      </c>
      <c r="GF91" s="4">
        <v>38</v>
      </c>
      <c r="GG91" s="4">
        <v>35</v>
      </c>
      <c r="GH91" s="4">
        <v>32</v>
      </c>
      <c r="GI91" s="4">
        <v>29</v>
      </c>
      <c r="GJ91" s="4">
        <v>24</v>
      </c>
      <c r="GK91" s="4">
        <v>19</v>
      </c>
      <c r="GL91" s="4">
        <v>14</v>
      </c>
      <c r="GM91" s="4">
        <v>11</v>
      </c>
      <c r="GN91" s="4">
        <v>8</v>
      </c>
      <c r="GO91" s="4">
        <v>5</v>
      </c>
      <c r="GP91" s="4">
        <v>1</v>
      </c>
      <c r="GQ91" s="4"/>
      <c r="GR91" s="4"/>
      <c r="GS91" s="4"/>
      <c r="GT91" s="4"/>
      <c r="GU91" s="4"/>
      <c r="GV91" s="4"/>
      <c r="GW91" s="4">
        <v>164</v>
      </c>
      <c r="GX91" s="4">
        <v>154</v>
      </c>
      <c r="GY91" s="4">
        <v>151</v>
      </c>
      <c r="GZ91" s="4">
        <v>148</v>
      </c>
      <c r="HA91" s="4">
        <v>145</v>
      </c>
      <c r="HB91" s="4">
        <v>142</v>
      </c>
      <c r="HC91" s="4">
        <v>139</v>
      </c>
      <c r="HD91" s="19">
        <v>10.6</v>
      </c>
      <c r="HE91" s="19">
        <v>13.7</v>
      </c>
      <c r="HF91" s="19">
        <v>9.5</v>
      </c>
      <c r="HG91" s="19">
        <v>8.8</v>
      </c>
      <c r="HH91" s="19">
        <v>8</v>
      </c>
      <c r="HI91" s="19">
        <v>7.3</v>
      </c>
      <c r="HJ91" s="19">
        <v>6</v>
      </c>
      <c r="HK91" s="19">
        <v>4.8</v>
      </c>
      <c r="HL91" s="19">
        <v>4.7</v>
      </c>
      <c r="HM91" s="19">
        <v>2.8</v>
      </c>
      <c r="HN91" s="19">
        <v>1.6</v>
      </c>
      <c r="HO91" s="19">
        <v>1</v>
      </c>
      <c r="HP91" s="19">
        <v>0.2</v>
      </c>
      <c r="HQ91" s="20">
        <v>0</v>
      </c>
      <c r="HR91" s="20">
        <v>0</v>
      </c>
      <c r="HS91" s="20">
        <v>0</v>
      </c>
      <c r="HT91" s="20">
        <v>0</v>
      </c>
      <c r="HU91" s="20">
        <v>0</v>
      </c>
      <c r="HV91" s="20">
        <v>0</v>
      </c>
      <c r="HW91" s="19">
        <v>32.8</v>
      </c>
      <c r="HX91" s="19">
        <v>51.3</v>
      </c>
      <c r="HY91" s="19">
        <v>50.3</v>
      </c>
      <c r="HZ91" s="19">
        <v>49.3</v>
      </c>
      <c r="IA91" s="19">
        <v>48.3</v>
      </c>
      <c r="IB91" s="19">
        <v>47.3</v>
      </c>
      <c r="IC91" s="19">
        <v>46.3</v>
      </c>
    </row>
    <row r="92">
      <c r="A92" s="2" t="s">
        <v>512</v>
      </c>
      <c r="B92" s="2" t="s">
        <v>323</v>
      </c>
      <c r="C92" s="2" t="s">
        <v>324</v>
      </c>
      <c r="D92" s="2" t="s">
        <v>257</v>
      </c>
      <c r="E92" s="2" t="s">
        <v>258</v>
      </c>
      <c r="F92" s="2" t="s">
        <v>498</v>
      </c>
      <c r="G92" s="2" t="s">
        <v>498</v>
      </c>
      <c r="H92" s="2" t="s">
        <v>498</v>
      </c>
      <c r="I92" s="2" t="s">
        <v>499</v>
      </c>
      <c r="J92" s="2" t="s">
        <v>272</v>
      </c>
      <c r="K92" s="2" t="s">
        <v>506</v>
      </c>
      <c r="L92" s="3">
        <v>24.16</v>
      </c>
      <c r="M92" s="3">
        <v>25.37</v>
      </c>
      <c r="N92" s="3">
        <v>49.99</v>
      </c>
      <c r="O92" s="2" t="s">
        <v>232</v>
      </c>
      <c r="P92" s="2" t="s">
        <v>233</v>
      </c>
      <c r="Q92" s="2" t="s">
        <v>234</v>
      </c>
      <c r="R92" s="2" t="s">
        <v>235</v>
      </c>
      <c r="S92" s="2" t="s">
        <v>507</v>
      </c>
      <c r="T92" s="2" t="s">
        <v>501</v>
      </c>
      <c r="U92" s="2" t="s">
        <v>235</v>
      </c>
      <c r="V92" s="2" t="s">
        <v>238</v>
      </c>
      <c r="W92" s="2" t="s">
        <v>239</v>
      </c>
      <c r="X92" s="2" t="s">
        <v>235</v>
      </c>
      <c r="Y92" s="2" t="s">
        <v>508</v>
      </c>
      <c r="Z92" s="4">
        <v>75</v>
      </c>
      <c r="AA92" s="4">
        <f>=ROUNDDOWN(57.6923076923077,0)</f>
      </c>
      <c r="AB92" s="5">
        <v>1.3</v>
      </c>
      <c r="AC92" s="2" t="s">
        <v>235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235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235</v>
      </c>
      <c r="AW92" s="8" t="s">
        <v>235</v>
      </c>
      <c r="AX92" s="4" t="s">
        <v>235</v>
      </c>
      <c r="AY92" s="8" t="s">
        <v>235</v>
      </c>
      <c r="AZ92" s="7" t="s">
        <v>235</v>
      </c>
      <c r="BA92" s="7" t="s">
        <v>235</v>
      </c>
      <c r="BB92" s="7"/>
      <c r="BC92" s="4" t="s">
        <v>235</v>
      </c>
      <c r="BD92" s="8" t="s">
        <v>235</v>
      </c>
      <c r="BE92" s="4" t="s">
        <v>235</v>
      </c>
      <c r="BF92" s="8" t="s">
        <v>235</v>
      </c>
      <c r="BG92" s="7" t="s">
        <v>235</v>
      </c>
      <c r="BH92" s="7" t="s">
        <v>235</v>
      </c>
      <c r="BI92" s="7"/>
      <c r="BJ92" s="4">
        <v>6</v>
      </c>
      <c r="BK92" s="8">
        <v>145.41</v>
      </c>
      <c r="BL92" s="2" t="s">
        <v>513</v>
      </c>
      <c r="BM92" s="7"/>
      <c r="BN92" s="7"/>
      <c r="BO92" s="4"/>
      <c r="BP92" s="8"/>
      <c r="BQ92" s="4"/>
      <c r="BR92" s="8"/>
      <c r="BS92" s="7"/>
      <c r="BT92" s="7"/>
      <c r="BU92" s="2" t="s">
        <v>503</v>
      </c>
      <c r="BV92" s="2" t="s">
        <v>243</v>
      </c>
      <c r="BW92" s="2" t="s">
        <v>235</v>
      </c>
      <c r="BX92" s="2" t="s">
        <v>244</v>
      </c>
      <c r="BY92" s="2" t="s">
        <v>245</v>
      </c>
      <c r="BZ92" s="2" t="s">
        <v>232</v>
      </c>
      <c r="CA92" s="2" t="s">
        <v>510</v>
      </c>
      <c r="CB92" s="2" t="s">
        <v>514</v>
      </c>
      <c r="CC92" s="2" t="s">
        <v>248</v>
      </c>
      <c r="CD92" s="2" t="s">
        <v>248</v>
      </c>
      <c r="CE92" s="2" t="s">
        <v>235</v>
      </c>
      <c r="CF92" s="4">
        <v>75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>
        <v>75</v>
      </c>
      <c r="GE92" s="4">
        <v>74</v>
      </c>
      <c r="GF92" s="4">
        <v>73</v>
      </c>
      <c r="GG92" s="4">
        <v>72</v>
      </c>
      <c r="GH92" s="4">
        <v>71</v>
      </c>
      <c r="GI92" s="4">
        <v>70</v>
      </c>
      <c r="GJ92" s="4">
        <v>69</v>
      </c>
      <c r="GK92" s="4">
        <v>68</v>
      </c>
      <c r="GL92" s="4">
        <v>67</v>
      </c>
      <c r="GM92" s="4">
        <v>66</v>
      </c>
      <c r="GN92" s="4">
        <v>65</v>
      </c>
      <c r="GO92" s="4">
        <v>64</v>
      </c>
      <c r="GP92" s="4">
        <v>63</v>
      </c>
      <c r="GQ92" s="4">
        <v>61</v>
      </c>
      <c r="GR92" s="4">
        <v>59</v>
      </c>
      <c r="GS92" s="4">
        <v>57</v>
      </c>
      <c r="GT92" s="4">
        <v>56</v>
      </c>
      <c r="GU92" s="4">
        <v>55</v>
      </c>
      <c r="GV92" s="4">
        <v>54</v>
      </c>
      <c r="GW92" s="4">
        <v>55</v>
      </c>
      <c r="GX92" s="4">
        <v>54</v>
      </c>
      <c r="GY92" s="4">
        <v>53</v>
      </c>
      <c r="GZ92" s="4">
        <v>52</v>
      </c>
      <c r="HA92" s="4">
        <v>51</v>
      </c>
      <c r="HB92" s="4">
        <v>50</v>
      </c>
      <c r="HC92" s="4">
        <v>49</v>
      </c>
      <c r="HD92" s="19">
        <v>75</v>
      </c>
      <c r="HE92" s="19">
        <v>74</v>
      </c>
      <c r="HF92" s="19">
        <v>73</v>
      </c>
      <c r="HG92" s="19">
        <v>72</v>
      </c>
      <c r="HH92" s="19">
        <v>71</v>
      </c>
      <c r="HI92" s="19">
        <v>70</v>
      </c>
      <c r="HJ92" s="19">
        <v>69</v>
      </c>
      <c r="HK92" s="19">
        <v>68</v>
      </c>
      <c r="HL92" s="19">
        <v>67</v>
      </c>
      <c r="HM92" s="19">
        <v>66</v>
      </c>
      <c r="HN92" s="19">
        <v>32.5</v>
      </c>
      <c r="HO92" s="19">
        <v>32</v>
      </c>
      <c r="HP92" s="19">
        <v>31.5</v>
      </c>
      <c r="HQ92" s="19">
        <v>30.5</v>
      </c>
      <c r="HR92" s="19">
        <v>59</v>
      </c>
      <c r="HS92" s="19">
        <v>57</v>
      </c>
      <c r="HT92" s="19">
        <v>56</v>
      </c>
      <c r="HU92" s="19">
        <v>55</v>
      </c>
      <c r="HV92" s="19">
        <v>54</v>
      </c>
      <c r="HW92" s="19">
        <v>55</v>
      </c>
      <c r="HX92" s="19">
        <v>54</v>
      </c>
      <c r="HY92" s="19">
        <v>53</v>
      </c>
      <c r="HZ92" s="19">
        <v>52</v>
      </c>
      <c r="IA92" s="19">
        <v>51</v>
      </c>
      <c r="IB92" s="19">
        <v>50</v>
      </c>
      <c r="IC92" s="19">
        <v>49</v>
      </c>
    </row>
    <row r="93">
      <c r="A93" s="2" t="s">
        <v>515</v>
      </c>
      <c r="B93" s="2" t="s">
        <v>323</v>
      </c>
      <c r="C93" s="2" t="s">
        <v>324</v>
      </c>
      <c r="D93" s="2" t="s">
        <v>257</v>
      </c>
      <c r="E93" s="2" t="s">
        <v>258</v>
      </c>
      <c r="F93" s="2" t="s">
        <v>498</v>
      </c>
      <c r="G93" s="2" t="s">
        <v>498</v>
      </c>
      <c r="H93" s="2" t="s">
        <v>498</v>
      </c>
      <c r="I93" s="2" t="s">
        <v>499</v>
      </c>
      <c r="J93" s="2" t="s">
        <v>394</v>
      </c>
      <c r="K93" s="2" t="s">
        <v>292</v>
      </c>
      <c r="L93" s="3">
        <v>15.14</v>
      </c>
      <c r="M93" s="3">
        <v>15.9</v>
      </c>
      <c r="N93" s="3">
        <v>29.99</v>
      </c>
      <c r="O93" s="2" t="s">
        <v>232</v>
      </c>
      <c r="P93" s="2" t="s">
        <v>233</v>
      </c>
      <c r="Q93" s="2" t="s">
        <v>234</v>
      </c>
      <c r="R93" s="2" t="s">
        <v>235</v>
      </c>
      <c r="S93" s="2" t="s">
        <v>516</v>
      </c>
      <c r="T93" s="2" t="s">
        <v>501</v>
      </c>
      <c r="U93" s="2" t="s">
        <v>235</v>
      </c>
      <c r="V93" s="2" t="s">
        <v>238</v>
      </c>
      <c r="W93" s="2" t="s">
        <v>239</v>
      </c>
      <c r="X93" s="2" t="s">
        <v>235</v>
      </c>
      <c r="Y93" s="2" t="s">
        <v>240</v>
      </c>
      <c r="Z93" s="4">
        <v>116</v>
      </c>
      <c r="AA93" s="4">
        <f>=ROUNDDOWN(96.6666666666667,0)</f>
      </c>
      <c r="AB93" s="5">
        <v>1.2</v>
      </c>
      <c r="AC93" s="2" t="s">
        <v>235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235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235</v>
      </c>
      <c r="AW93" s="8" t="s">
        <v>235</v>
      </c>
      <c r="AX93" s="4" t="s">
        <v>235</v>
      </c>
      <c r="AY93" s="8" t="s">
        <v>235</v>
      </c>
      <c r="AZ93" s="7" t="s">
        <v>235</v>
      </c>
      <c r="BA93" s="7" t="s">
        <v>235</v>
      </c>
      <c r="BB93" s="7"/>
      <c r="BC93" s="4" t="s">
        <v>235</v>
      </c>
      <c r="BD93" s="8" t="s">
        <v>235</v>
      </c>
      <c r="BE93" s="4" t="s">
        <v>235</v>
      </c>
      <c r="BF93" s="8" t="s">
        <v>235</v>
      </c>
      <c r="BG93" s="7" t="s">
        <v>235</v>
      </c>
      <c r="BH93" s="7" t="s">
        <v>235</v>
      </c>
      <c r="BI93" s="7"/>
      <c r="BJ93" s="4">
        <v>2</v>
      </c>
      <c r="BK93" s="8">
        <v>31.38</v>
      </c>
      <c r="BL93" s="2" t="s">
        <v>517</v>
      </c>
      <c r="BM93" s="7"/>
      <c r="BN93" s="7"/>
      <c r="BO93" s="4"/>
      <c r="BP93" s="8"/>
      <c r="BQ93" s="4"/>
      <c r="BR93" s="8"/>
      <c r="BS93" s="7"/>
      <c r="BT93" s="7"/>
      <c r="BU93" s="2" t="s">
        <v>503</v>
      </c>
      <c r="BV93" s="2" t="s">
        <v>243</v>
      </c>
      <c r="BW93" s="2" t="s">
        <v>235</v>
      </c>
      <c r="BX93" s="2" t="s">
        <v>244</v>
      </c>
      <c r="BY93" s="2" t="s">
        <v>245</v>
      </c>
      <c r="BZ93" s="2" t="s">
        <v>232</v>
      </c>
      <c r="CA93" s="2" t="s">
        <v>252</v>
      </c>
      <c r="CB93" s="2" t="s">
        <v>518</v>
      </c>
      <c r="CC93" s="2" t="s">
        <v>248</v>
      </c>
      <c r="CD93" s="2" t="s">
        <v>248</v>
      </c>
      <c r="CE93" s="2" t="s">
        <v>235</v>
      </c>
      <c r="CF93" s="4">
        <v>116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>
        <v>116</v>
      </c>
      <c r="GE93" s="4">
        <v>115</v>
      </c>
      <c r="GF93" s="4">
        <v>114</v>
      </c>
      <c r="GG93" s="4">
        <v>113</v>
      </c>
      <c r="GH93" s="4">
        <v>112</v>
      </c>
      <c r="GI93" s="4">
        <v>111</v>
      </c>
      <c r="GJ93" s="4">
        <v>110</v>
      </c>
      <c r="GK93" s="4">
        <v>109</v>
      </c>
      <c r="GL93" s="4">
        <v>108</v>
      </c>
      <c r="GM93" s="4">
        <v>107</v>
      </c>
      <c r="GN93" s="4">
        <v>106</v>
      </c>
      <c r="GO93" s="4">
        <v>105</v>
      </c>
      <c r="GP93" s="4">
        <v>104</v>
      </c>
      <c r="GQ93" s="4">
        <v>101</v>
      </c>
      <c r="GR93" s="4">
        <v>98</v>
      </c>
      <c r="GS93" s="4">
        <v>95</v>
      </c>
      <c r="GT93" s="4">
        <v>94</v>
      </c>
      <c r="GU93" s="4">
        <v>93</v>
      </c>
      <c r="GV93" s="4">
        <v>92</v>
      </c>
      <c r="GW93" s="4">
        <v>91</v>
      </c>
      <c r="GX93" s="4">
        <v>90</v>
      </c>
      <c r="GY93" s="4">
        <v>89</v>
      </c>
      <c r="GZ93" s="4">
        <v>88</v>
      </c>
      <c r="HA93" s="4">
        <v>87</v>
      </c>
      <c r="HB93" s="4">
        <v>86</v>
      </c>
      <c r="HC93" s="4">
        <v>85</v>
      </c>
      <c r="HD93" s="19">
        <v>116</v>
      </c>
      <c r="HE93" s="19">
        <v>115</v>
      </c>
      <c r="HF93" s="19">
        <v>114</v>
      </c>
      <c r="HG93" s="19">
        <v>113</v>
      </c>
      <c r="HH93" s="19">
        <v>112</v>
      </c>
      <c r="HI93" s="19">
        <v>111</v>
      </c>
      <c r="HJ93" s="19">
        <v>110</v>
      </c>
      <c r="HK93" s="19">
        <v>109</v>
      </c>
      <c r="HL93" s="19">
        <v>108</v>
      </c>
      <c r="HM93" s="19">
        <v>53.5</v>
      </c>
      <c r="HN93" s="19">
        <v>53</v>
      </c>
      <c r="HO93" s="19">
        <v>52.5</v>
      </c>
      <c r="HP93" s="19">
        <v>52</v>
      </c>
      <c r="HQ93" s="19">
        <v>50.5</v>
      </c>
      <c r="HR93" s="19">
        <v>49</v>
      </c>
      <c r="HS93" s="19">
        <v>95</v>
      </c>
      <c r="HT93" s="19">
        <v>94</v>
      </c>
      <c r="HU93" s="19">
        <v>93</v>
      </c>
      <c r="HV93" s="19">
        <v>92</v>
      </c>
      <c r="HW93" s="19">
        <v>91</v>
      </c>
      <c r="HX93" s="19">
        <v>90</v>
      </c>
      <c r="HY93" s="19">
        <v>89</v>
      </c>
      <c r="HZ93" s="19">
        <v>88</v>
      </c>
      <c r="IA93" s="19">
        <v>87</v>
      </c>
      <c r="IB93" s="19">
        <v>86</v>
      </c>
      <c r="IC93" s="19">
        <v>85</v>
      </c>
    </row>
    <row r="94">
      <c r="A94" s="2" t="s">
        <v>519</v>
      </c>
      <c r="B94" s="2" t="s">
        <v>323</v>
      </c>
      <c r="C94" s="2" t="s">
        <v>324</v>
      </c>
      <c r="D94" s="2" t="s">
        <v>257</v>
      </c>
      <c r="E94" s="2" t="s">
        <v>258</v>
      </c>
      <c r="F94" s="2" t="s">
        <v>498</v>
      </c>
      <c r="G94" s="2" t="s">
        <v>498</v>
      </c>
      <c r="H94" s="2" t="s">
        <v>498</v>
      </c>
      <c r="I94" s="2" t="s">
        <v>499</v>
      </c>
      <c r="J94" s="2" t="s">
        <v>230</v>
      </c>
      <c r="K94" s="2" t="s">
        <v>292</v>
      </c>
      <c r="L94" s="3">
        <v>16.92</v>
      </c>
      <c r="M94" s="3">
        <v>17.77</v>
      </c>
      <c r="N94" s="3">
        <v>34.99</v>
      </c>
      <c r="O94" s="2" t="s">
        <v>232</v>
      </c>
      <c r="P94" s="2" t="s">
        <v>233</v>
      </c>
      <c r="Q94" s="2" t="s">
        <v>234</v>
      </c>
      <c r="R94" s="2" t="s">
        <v>235</v>
      </c>
      <c r="S94" s="2" t="s">
        <v>516</v>
      </c>
      <c r="T94" s="2" t="s">
        <v>501</v>
      </c>
      <c r="U94" s="2" t="s">
        <v>235</v>
      </c>
      <c r="V94" s="2" t="s">
        <v>238</v>
      </c>
      <c r="W94" s="2" t="s">
        <v>239</v>
      </c>
      <c r="X94" s="2" t="s">
        <v>235</v>
      </c>
      <c r="Y94" s="2" t="s">
        <v>240</v>
      </c>
      <c r="Z94" s="4">
        <v>410</v>
      </c>
      <c r="AA94" s="4">
        <f>=ROUNDDOWN(341.666666666667,0)</f>
      </c>
      <c r="AB94" s="5">
        <v>1.2</v>
      </c>
      <c r="AC94" s="2" t="s">
        <v>235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235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235</v>
      </c>
      <c r="AW94" s="8" t="s">
        <v>235</v>
      </c>
      <c r="AX94" s="4" t="s">
        <v>235</v>
      </c>
      <c r="AY94" s="8" t="s">
        <v>235</v>
      </c>
      <c r="AZ94" s="7" t="s">
        <v>235</v>
      </c>
      <c r="BA94" s="7" t="s">
        <v>235</v>
      </c>
      <c r="BB94" s="7"/>
      <c r="BC94" s="4" t="s">
        <v>235</v>
      </c>
      <c r="BD94" s="8" t="s">
        <v>235</v>
      </c>
      <c r="BE94" s="4" t="s">
        <v>235</v>
      </c>
      <c r="BF94" s="8" t="s">
        <v>235</v>
      </c>
      <c r="BG94" s="7" t="s">
        <v>235</v>
      </c>
      <c r="BH94" s="7" t="s">
        <v>235</v>
      </c>
      <c r="BI94" s="7"/>
      <c r="BJ94" s="4">
        <v>33</v>
      </c>
      <c r="BK94" s="8">
        <v>605.39</v>
      </c>
      <c r="BL94" s="2" t="s">
        <v>520</v>
      </c>
      <c r="BM94" s="7"/>
      <c r="BN94" s="7"/>
      <c r="BO94" s="4"/>
      <c r="BP94" s="8"/>
      <c r="BQ94" s="4"/>
      <c r="BR94" s="8"/>
      <c r="BS94" s="7"/>
      <c r="BT94" s="7"/>
      <c r="BU94" s="2" t="s">
        <v>503</v>
      </c>
      <c r="BV94" s="2" t="s">
        <v>243</v>
      </c>
      <c r="BW94" s="2" t="s">
        <v>235</v>
      </c>
      <c r="BX94" s="2" t="s">
        <v>244</v>
      </c>
      <c r="BY94" s="2" t="s">
        <v>245</v>
      </c>
      <c r="BZ94" s="2" t="s">
        <v>232</v>
      </c>
      <c r="CA94" s="2" t="s">
        <v>252</v>
      </c>
      <c r="CB94" s="2" t="s">
        <v>521</v>
      </c>
      <c r="CC94" s="2" t="s">
        <v>248</v>
      </c>
      <c r="CD94" s="2" t="s">
        <v>248</v>
      </c>
      <c r="CE94" s="2" t="s">
        <v>235</v>
      </c>
      <c r="CF94" s="4">
        <v>410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>
        <v>411</v>
      </c>
      <c r="GE94" s="4">
        <v>409</v>
      </c>
      <c r="GF94" s="4">
        <v>408</v>
      </c>
      <c r="GG94" s="4">
        <v>407</v>
      </c>
      <c r="GH94" s="4">
        <v>406</v>
      </c>
      <c r="GI94" s="4">
        <v>405</v>
      </c>
      <c r="GJ94" s="4">
        <v>404</v>
      </c>
      <c r="GK94" s="4">
        <v>403</v>
      </c>
      <c r="GL94" s="4">
        <v>402</v>
      </c>
      <c r="GM94" s="4">
        <v>401</v>
      </c>
      <c r="GN94" s="4">
        <v>400</v>
      </c>
      <c r="GO94" s="4">
        <v>399</v>
      </c>
      <c r="GP94" s="4">
        <v>397</v>
      </c>
      <c r="GQ94" s="4">
        <v>394</v>
      </c>
      <c r="GR94" s="4">
        <v>390</v>
      </c>
      <c r="GS94" s="4">
        <v>387</v>
      </c>
      <c r="GT94" s="4">
        <v>385</v>
      </c>
      <c r="GU94" s="4">
        <v>384</v>
      </c>
      <c r="GV94" s="4">
        <v>383</v>
      </c>
      <c r="GW94" s="4">
        <v>382</v>
      </c>
      <c r="GX94" s="4">
        <v>381</v>
      </c>
      <c r="GY94" s="4">
        <v>380</v>
      </c>
      <c r="GZ94" s="4">
        <v>379</v>
      </c>
      <c r="HA94" s="4">
        <v>378</v>
      </c>
      <c r="HB94" s="4">
        <v>377</v>
      </c>
      <c r="HC94" s="4">
        <v>376</v>
      </c>
      <c r="HD94" s="19">
        <v>411</v>
      </c>
      <c r="HE94" s="19">
        <v>409</v>
      </c>
      <c r="HF94" s="19">
        <v>408</v>
      </c>
      <c r="HG94" s="19">
        <v>407</v>
      </c>
      <c r="HH94" s="19">
        <v>406</v>
      </c>
      <c r="HI94" s="19">
        <v>405</v>
      </c>
      <c r="HJ94" s="19">
        <v>404</v>
      </c>
      <c r="HK94" s="19">
        <v>403</v>
      </c>
      <c r="HL94" s="19">
        <v>402</v>
      </c>
      <c r="HM94" s="19">
        <v>200.5</v>
      </c>
      <c r="HN94" s="19">
        <v>200</v>
      </c>
      <c r="HO94" s="19">
        <v>133</v>
      </c>
      <c r="HP94" s="19">
        <v>132.3</v>
      </c>
      <c r="HQ94" s="19">
        <v>197</v>
      </c>
      <c r="HR94" s="19">
        <v>195</v>
      </c>
      <c r="HS94" s="19">
        <v>387</v>
      </c>
      <c r="HT94" s="19">
        <v>385</v>
      </c>
      <c r="HU94" s="19">
        <v>384</v>
      </c>
      <c r="HV94" s="19">
        <v>383</v>
      </c>
      <c r="HW94" s="19">
        <v>382</v>
      </c>
      <c r="HX94" s="19">
        <v>381</v>
      </c>
      <c r="HY94" s="19">
        <v>380</v>
      </c>
      <c r="HZ94" s="19">
        <v>379</v>
      </c>
      <c r="IA94" s="19">
        <v>378</v>
      </c>
      <c r="IB94" s="19">
        <v>377</v>
      </c>
      <c r="IC94" s="19">
        <v>376</v>
      </c>
    </row>
    <row r="95">
      <c r="A95" s="2" t="s">
        <v>522</v>
      </c>
      <c r="B95" s="2" t="s">
        <v>323</v>
      </c>
      <c r="C95" s="2" t="s">
        <v>324</v>
      </c>
      <c r="D95" s="2" t="s">
        <v>257</v>
      </c>
      <c r="E95" s="2" t="s">
        <v>258</v>
      </c>
      <c r="F95" s="2" t="s">
        <v>498</v>
      </c>
      <c r="G95" s="2" t="s">
        <v>498</v>
      </c>
      <c r="H95" s="2" t="s">
        <v>498</v>
      </c>
      <c r="I95" s="2" t="s">
        <v>499</v>
      </c>
      <c r="J95" s="2" t="s">
        <v>250</v>
      </c>
      <c r="K95" s="2" t="s">
        <v>292</v>
      </c>
      <c r="L95" s="3">
        <v>18.61</v>
      </c>
      <c r="M95" s="3">
        <v>19.54</v>
      </c>
      <c r="N95" s="3">
        <v>36.99</v>
      </c>
      <c r="O95" s="2" t="s">
        <v>232</v>
      </c>
      <c r="P95" s="2" t="s">
        <v>233</v>
      </c>
      <c r="Q95" s="2" t="s">
        <v>234</v>
      </c>
      <c r="R95" s="2" t="s">
        <v>235</v>
      </c>
      <c r="S95" s="2" t="s">
        <v>516</v>
      </c>
      <c r="T95" s="2" t="s">
        <v>501</v>
      </c>
      <c r="U95" s="2" t="s">
        <v>235</v>
      </c>
      <c r="V95" s="2" t="s">
        <v>238</v>
      </c>
      <c r="W95" s="2" t="s">
        <v>239</v>
      </c>
      <c r="X95" s="2" t="s">
        <v>235</v>
      </c>
      <c r="Y95" s="2" t="s">
        <v>240</v>
      </c>
      <c r="Z95" s="4">
        <v>134</v>
      </c>
      <c r="AA95" s="4">
        <f>=ROUNDDOWN(47.8571428571429,0)</f>
      </c>
      <c r="AB95" s="5">
        <v>2.8</v>
      </c>
      <c r="AC95" s="2" t="s">
        <v>235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235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235</v>
      </c>
      <c r="AW95" s="8" t="s">
        <v>235</v>
      </c>
      <c r="AX95" s="4" t="s">
        <v>235</v>
      </c>
      <c r="AY95" s="8" t="s">
        <v>235</v>
      </c>
      <c r="AZ95" s="7" t="s">
        <v>235</v>
      </c>
      <c r="BA95" s="7" t="s">
        <v>235</v>
      </c>
      <c r="BB95" s="7"/>
      <c r="BC95" s="4" t="s">
        <v>235</v>
      </c>
      <c r="BD95" s="8" t="s">
        <v>235</v>
      </c>
      <c r="BE95" s="4" t="s">
        <v>235</v>
      </c>
      <c r="BF95" s="8" t="s">
        <v>235</v>
      </c>
      <c r="BG95" s="7" t="s">
        <v>235</v>
      </c>
      <c r="BH95" s="7" t="s">
        <v>235</v>
      </c>
      <c r="BI95" s="7"/>
      <c r="BJ95" s="4">
        <v>7</v>
      </c>
      <c r="BK95" s="8">
        <v>115.68</v>
      </c>
      <c r="BL95" s="2" t="s">
        <v>523</v>
      </c>
      <c r="BM95" s="7"/>
      <c r="BN95" s="7"/>
      <c r="BO95" s="4"/>
      <c r="BP95" s="8"/>
      <c r="BQ95" s="4"/>
      <c r="BR95" s="8"/>
      <c r="BS95" s="7"/>
      <c r="BT95" s="7"/>
      <c r="BU95" s="2" t="s">
        <v>503</v>
      </c>
      <c r="BV95" s="2" t="s">
        <v>243</v>
      </c>
      <c r="BW95" s="2" t="s">
        <v>235</v>
      </c>
      <c r="BX95" s="2" t="s">
        <v>244</v>
      </c>
      <c r="BY95" s="2" t="s">
        <v>245</v>
      </c>
      <c r="BZ95" s="2" t="s">
        <v>232</v>
      </c>
      <c r="CA95" s="2" t="s">
        <v>252</v>
      </c>
      <c r="CB95" s="2" t="s">
        <v>524</v>
      </c>
      <c r="CC95" s="2" t="s">
        <v>248</v>
      </c>
      <c r="CD95" s="2" t="s">
        <v>248</v>
      </c>
      <c r="CE95" s="2" t="s">
        <v>235</v>
      </c>
      <c r="CF95" s="4">
        <v>134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>
        <v>138</v>
      </c>
      <c r="GE95" s="4">
        <v>133</v>
      </c>
      <c r="GF95" s="4">
        <v>130</v>
      </c>
      <c r="GG95" s="4">
        <v>127</v>
      </c>
      <c r="GH95" s="4">
        <v>124</v>
      </c>
      <c r="GI95" s="4">
        <v>121</v>
      </c>
      <c r="GJ95" s="4">
        <v>118</v>
      </c>
      <c r="GK95" s="4">
        <v>115</v>
      </c>
      <c r="GL95" s="4">
        <v>112</v>
      </c>
      <c r="GM95" s="4">
        <v>109</v>
      </c>
      <c r="GN95" s="4">
        <v>106</v>
      </c>
      <c r="GO95" s="4">
        <v>102</v>
      </c>
      <c r="GP95" s="4">
        <v>98</v>
      </c>
      <c r="GQ95" s="4">
        <v>89</v>
      </c>
      <c r="GR95" s="4">
        <v>80</v>
      </c>
      <c r="GS95" s="4">
        <v>73</v>
      </c>
      <c r="GT95" s="4">
        <v>69</v>
      </c>
      <c r="GU95" s="4">
        <v>66</v>
      </c>
      <c r="GV95" s="4">
        <v>63</v>
      </c>
      <c r="GW95" s="4">
        <v>60</v>
      </c>
      <c r="GX95" s="4">
        <v>57</v>
      </c>
      <c r="GY95" s="4">
        <v>54</v>
      </c>
      <c r="GZ95" s="4">
        <v>51</v>
      </c>
      <c r="HA95" s="4">
        <v>48</v>
      </c>
      <c r="HB95" s="4">
        <v>45</v>
      </c>
      <c r="HC95" s="4">
        <v>41</v>
      </c>
      <c r="HD95" s="19">
        <v>34.5</v>
      </c>
      <c r="HE95" s="19">
        <v>44.3</v>
      </c>
      <c r="HF95" s="19">
        <v>43.3</v>
      </c>
      <c r="HG95" s="19">
        <v>42.3</v>
      </c>
      <c r="HH95" s="19">
        <v>41.3</v>
      </c>
      <c r="HI95" s="19">
        <v>40.3</v>
      </c>
      <c r="HJ95" s="19">
        <v>39.3</v>
      </c>
      <c r="HK95" s="19">
        <v>38.3</v>
      </c>
      <c r="HL95" s="19">
        <v>28</v>
      </c>
      <c r="HM95" s="19">
        <v>21.8</v>
      </c>
      <c r="HN95" s="19">
        <v>17.7</v>
      </c>
      <c r="HO95" s="19">
        <v>14.6</v>
      </c>
      <c r="HP95" s="19">
        <v>14</v>
      </c>
      <c r="HQ95" s="19">
        <v>14.8</v>
      </c>
      <c r="HR95" s="19">
        <v>20</v>
      </c>
      <c r="HS95" s="19">
        <v>24.3</v>
      </c>
      <c r="HT95" s="19">
        <v>23</v>
      </c>
      <c r="HU95" s="19">
        <v>22</v>
      </c>
      <c r="HV95" s="19">
        <v>21</v>
      </c>
      <c r="HW95" s="19">
        <v>20</v>
      </c>
      <c r="HX95" s="19">
        <v>19</v>
      </c>
      <c r="HY95" s="19">
        <v>18</v>
      </c>
      <c r="HZ95" s="19">
        <v>17</v>
      </c>
      <c r="IA95" s="19">
        <v>16</v>
      </c>
      <c r="IB95" s="19">
        <v>15</v>
      </c>
      <c r="IC95" s="19">
        <v>13.7</v>
      </c>
    </row>
    <row r="96">
      <c r="A96" s="2" t="s">
        <v>525</v>
      </c>
      <c r="B96" s="2" t="s">
        <v>323</v>
      </c>
      <c r="C96" s="2" t="s">
        <v>324</v>
      </c>
      <c r="D96" s="2" t="s">
        <v>257</v>
      </c>
      <c r="E96" s="2" t="s">
        <v>258</v>
      </c>
      <c r="F96" s="2" t="s">
        <v>498</v>
      </c>
      <c r="G96" s="2" t="s">
        <v>498</v>
      </c>
      <c r="H96" s="2" t="s">
        <v>498</v>
      </c>
      <c r="I96" s="2" t="s">
        <v>499</v>
      </c>
      <c r="J96" s="2" t="s">
        <v>261</v>
      </c>
      <c r="K96" s="2" t="s">
        <v>292</v>
      </c>
      <c r="L96" s="3">
        <v>21.24</v>
      </c>
      <c r="M96" s="3">
        <v>22.3</v>
      </c>
      <c r="N96" s="3">
        <v>43.99</v>
      </c>
      <c r="O96" s="2" t="s">
        <v>232</v>
      </c>
      <c r="P96" s="2" t="s">
        <v>233</v>
      </c>
      <c r="Q96" s="2" t="s">
        <v>234</v>
      </c>
      <c r="R96" s="2" t="s">
        <v>235</v>
      </c>
      <c r="S96" s="2" t="s">
        <v>516</v>
      </c>
      <c r="T96" s="2" t="s">
        <v>501</v>
      </c>
      <c r="U96" s="2" t="s">
        <v>235</v>
      </c>
      <c r="V96" s="2" t="s">
        <v>238</v>
      </c>
      <c r="W96" s="2" t="s">
        <v>239</v>
      </c>
      <c r="X96" s="2" t="s">
        <v>235</v>
      </c>
      <c r="Y96" s="2" t="s">
        <v>240</v>
      </c>
      <c r="Z96" s="4">
        <v>432</v>
      </c>
      <c r="AA96" s="4">
        <f>=ROUNDDOWN(41.5384615384615,0)</f>
      </c>
      <c r="AB96" s="5">
        <v>10.4</v>
      </c>
      <c r="AC96" s="2" t="s">
        <v>235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235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235</v>
      </c>
      <c r="AW96" s="8" t="s">
        <v>235</v>
      </c>
      <c r="AX96" s="4" t="s">
        <v>235</v>
      </c>
      <c r="AY96" s="8" t="s">
        <v>235</v>
      </c>
      <c r="AZ96" s="7" t="s">
        <v>235</v>
      </c>
      <c r="BA96" s="7" t="s">
        <v>235</v>
      </c>
      <c r="BB96" s="7"/>
      <c r="BC96" s="4" t="s">
        <v>235</v>
      </c>
      <c r="BD96" s="8" t="s">
        <v>235</v>
      </c>
      <c r="BE96" s="4" t="s">
        <v>235</v>
      </c>
      <c r="BF96" s="8" t="s">
        <v>235</v>
      </c>
      <c r="BG96" s="7" t="s">
        <v>235</v>
      </c>
      <c r="BH96" s="7" t="s">
        <v>235</v>
      </c>
      <c r="BI96" s="7"/>
      <c r="BJ96" s="4">
        <v>42</v>
      </c>
      <c r="BK96" s="8">
        <v>981.93</v>
      </c>
      <c r="BL96" s="2" t="s">
        <v>526</v>
      </c>
      <c r="BM96" s="7"/>
      <c r="BN96" s="7"/>
      <c r="BO96" s="4"/>
      <c r="BP96" s="8"/>
      <c r="BQ96" s="4"/>
      <c r="BR96" s="8"/>
      <c r="BS96" s="7"/>
      <c r="BT96" s="7"/>
      <c r="BU96" s="2" t="s">
        <v>503</v>
      </c>
      <c r="BV96" s="2" t="s">
        <v>243</v>
      </c>
      <c r="BW96" s="2" t="s">
        <v>235</v>
      </c>
      <c r="BX96" s="2" t="s">
        <v>244</v>
      </c>
      <c r="BY96" s="2" t="s">
        <v>245</v>
      </c>
      <c r="BZ96" s="2" t="s">
        <v>232</v>
      </c>
      <c r="CA96" s="2" t="s">
        <v>252</v>
      </c>
      <c r="CB96" s="2" t="s">
        <v>527</v>
      </c>
      <c r="CC96" s="2" t="s">
        <v>248</v>
      </c>
      <c r="CD96" s="2" t="s">
        <v>248</v>
      </c>
      <c r="CE96" s="2" t="s">
        <v>235</v>
      </c>
      <c r="CF96" s="4">
        <v>432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>
        <v>434</v>
      </c>
      <c r="GE96" s="4">
        <v>422</v>
      </c>
      <c r="GF96" s="4">
        <v>412</v>
      </c>
      <c r="GG96" s="4">
        <v>402</v>
      </c>
      <c r="GH96" s="4">
        <v>392</v>
      </c>
      <c r="GI96" s="4">
        <v>382</v>
      </c>
      <c r="GJ96" s="4">
        <v>372</v>
      </c>
      <c r="GK96" s="4">
        <v>362</v>
      </c>
      <c r="GL96" s="4">
        <v>352</v>
      </c>
      <c r="GM96" s="4">
        <v>342</v>
      </c>
      <c r="GN96" s="4">
        <v>331</v>
      </c>
      <c r="GO96" s="4">
        <v>319</v>
      </c>
      <c r="GP96" s="4">
        <v>307</v>
      </c>
      <c r="GQ96" s="4">
        <v>281</v>
      </c>
      <c r="GR96" s="4">
        <v>254</v>
      </c>
      <c r="GS96" s="4">
        <v>232</v>
      </c>
      <c r="GT96" s="4">
        <v>220</v>
      </c>
      <c r="GU96" s="4">
        <v>210</v>
      </c>
      <c r="GV96" s="4">
        <v>200</v>
      </c>
      <c r="GW96" s="4">
        <v>190</v>
      </c>
      <c r="GX96" s="4">
        <v>180</v>
      </c>
      <c r="GY96" s="4">
        <v>170</v>
      </c>
      <c r="GZ96" s="4">
        <v>160</v>
      </c>
      <c r="HA96" s="4">
        <v>150</v>
      </c>
      <c r="HB96" s="4">
        <v>140</v>
      </c>
      <c r="HC96" s="4">
        <v>128</v>
      </c>
      <c r="HD96" s="19">
        <v>43.4</v>
      </c>
      <c r="HE96" s="19">
        <v>42.2</v>
      </c>
      <c r="HF96" s="19">
        <v>41.2</v>
      </c>
      <c r="HG96" s="19">
        <v>40.2</v>
      </c>
      <c r="HH96" s="19">
        <v>39.2</v>
      </c>
      <c r="HI96" s="19">
        <v>38.2</v>
      </c>
      <c r="HJ96" s="19">
        <v>37.2</v>
      </c>
      <c r="HK96" s="19">
        <v>32.9</v>
      </c>
      <c r="HL96" s="19">
        <v>32</v>
      </c>
      <c r="HM96" s="19">
        <v>22.8</v>
      </c>
      <c r="HN96" s="19">
        <v>17.4</v>
      </c>
      <c r="HO96" s="19">
        <v>14.5</v>
      </c>
      <c r="HP96" s="19">
        <v>14</v>
      </c>
      <c r="HQ96" s="19">
        <v>15.6</v>
      </c>
      <c r="HR96" s="19">
        <v>18.1</v>
      </c>
      <c r="HS96" s="19">
        <v>23.2</v>
      </c>
      <c r="HT96" s="19">
        <v>22</v>
      </c>
      <c r="HU96" s="19">
        <v>21</v>
      </c>
      <c r="HV96" s="19">
        <v>20</v>
      </c>
      <c r="HW96" s="19">
        <v>19</v>
      </c>
      <c r="HX96" s="19">
        <v>18</v>
      </c>
      <c r="HY96" s="19">
        <v>17</v>
      </c>
      <c r="HZ96" s="19">
        <v>16</v>
      </c>
      <c r="IA96" s="19">
        <v>15</v>
      </c>
      <c r="IB96" s="19">
        <v>14</v>
      </c>
      <c r="IC96" s="19">
        <v>12.8</v>
      </c>
    </row>
    <row r="97">
      <c r="A97" s="2" t="s">
        <v>528</v>
      </c>
      <c r="B97" s="2" t="s">
        <v>323</v>
      </c>
      <c r="C97" s="2" t="s">
        <v>324</v>
      </c>
      <c r="D97" s="2" t="s">
        <v>257</v>
      </c>
      <c r="E97" s="2" t="s">
        <v>258</v>
      </c>
      <c r="F97" s="2" t="s">
        <v>498</v>
      </c>
      <c r="G97" s="2" t="s">
        <v>498</v>
      </c>
      <c r="H97" s="2" t="s">
        <v>498</v>
      </c>
      <c r="I97" s="2" t="s">
        <v>499</v>
      </c>
      <c r="J97" s="2" t="s">
        <v>272</v>
      </c>
      <c r="K97" s="2" t="s">
        <v>292</v>
      </c>
      <c r="L97" s="3">
        <v>24.16</v>
      </c>
      <c r="M97" s="3">
        <v>25.37</v>
      </c>
      <c r="N97" s="3">
        <v>49.99</v>
      </c>
      <c r="O97" s="2" t="s">
        <v>232</v>
      </c>
      <c r="P97" s="2" t="s">
        <v>233</v>
      </c>
      <c r="Q97" s="2" t="s">
        <v>234</v>
      </c>
      <c r="R97" s="2" t="s">
        <v>235</v>
      </c>
      <c r="S97" s="2" t="s">
        <v>516</v>
      </c>
      <c r="T97" s="2" t="s">
        <v>501</v>
      </c>
      <c r="U97" s="2" t="s">
        <v>235</v>
      </c>
      <c r="V97" s="2" t="s">
        <v>238</v>
      </c>
      <c r="W97" s="2" t="s">
        <v>239</v>
      </c>
      <c r="X97" s="2" t="s">
        <v>235</v>
      </c>
      <c r="Y97" s="2" t="s">
        <v>240</v>
      </c>
      <c r="Z97" s="4">
        <v>114</v>
      </c>
      <c r="AA97" s="4">
        <f>=ROUNDDOWN(71.25,0)</f>
      </c>
      <c r="AB97" s="5">
        <v>1.6</v>
      </c>
      <c r="AC97" s="2" t="s">
        <v>235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235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235</v>
      </c>
      <c r="AW97" s="8" t="s">
        <v>235</v>
      </c>
      <c r="AX97" s="4" t="s">
        <v>235</v>
      </c>
      <c r="AY97" s="8" t="s">
        <v>235</v>
      </c>
      <c r="AZ97" s="7" t="s">
        <v>235</v>
      </c>
      <c r="BA97" s="7" t="s">
        <v>235</v>
      </c>
      <c r="BB97" s="7"/>
      <c r="BC97" s="4" t="s">
        <v>235</v>
      </c>
      <c r="BD97" s="8" t="s">
        <v>235</v>
      </c>
      <c r="BE97" s="4" t="s">
        <v>235</v>
      </c>
      <c r="BF97" s="8" t="s">
        <v>235</v>
      </c>
      <c r="BG97" s="7" t="s">
        <v>235</v>
      </c>
      <c r="BH97" s="7" t="s">
        <v>235</v>
      </c>
      <c r="BI97" s="7"/>
      <c r="BJ97" s="4">
        <v>7</v>
      </c>
      <c r="BK97" s="8">
        <v>170.2</v>
      </c>
      <c r="BL97" s="2" t="s">
        <v>529</v>
      </c>
      <c r="BM97" s="7"/>
      <c r="BN97" s="7"/>
      <c r="BO97" s="4"/>
      <c r="BP97" s="8"/>
      <c r="BQ97" s="4"/>
      <c r="BR97" s="8"/>
      <c r="BS97" s="7"/>
      <c r="BT97" s="7"/>
      <c r="BU97" s="2" t="s">
        <v>503</v>
      </c>
      <c r="BV97" s="2" t="s">
        <v>243</v>
      </c>
      <c r="BW97" s="2" t="s">
        <v>235</v>
      </c>
      <c r="BX97" s="2" t="s">
        <v>244</v>
      </c>
      <c r="BY97" s="2" t="s">
        <v>245</v>
      </c>
      <c r="BZ97" s="2" t="s">
        <v>232</v>
      </c>
      <c r="CA97" s="2" t="s">
        <v>252</v>
      </c>
      <c r="CB97" s="2" t="s">
        <v>530</v>
      </c>
      <c r="CC97" s="2" t="s">
        <v>248</v>
      </c>
      <c r="CD97" s="2" t="s">
        <v>248</v>
      </c>
      <c r="CE97" s="2" t="s">
        <v>235</v>
      </c>
      <c r="CF97" s="4">
        <v>114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>
        <v>115</v>
      </c>
      <c r="GE97" s="4">
        <v>114</v>
      </c>
      <c r="GF97" s="4">
        <v>113</v>
      </c>
      <c r="GG97" s="4">
        <v>112</v>
      </c>
      <c r="GH97" s="4">
        <v>111</v>
      </c>
      <c r="GI97" s="4">
        <v>110</v>
      </c>
      <c r="GJ97" s="4">
        <v>109</v>
      </c>
      <c r="GK97" s="4">
        <v>108</v>
      </c>
      <c r="GL97" s="4">
        <v>107</v>
      </c>
      <c r="GM97" s="4">
        <v>106</v>
      </c>
      <c r="GN97" s="4">
        <v>105</v>
      </c>
      <c r="GO97" s="4">
        <v>104</v>
      </c>
      <c r="GP97" s="4">
        <v>103</v>
      </c>
      <c r="GQ97" s="4">
        <v>101</v>
      </c>
      <c r="GR97" s="4">
        <v>99</v>
      </c>
      <c r="GS97" s="4">
        <v>97</v>
      </c>
      <c r="GT97" s="4">
        <v>96</v>
      </c>
      <c r="GU97" s="4">
        <v>95</v>
      </c>
      <c r="GV97" s="4">
        <v>94</v>
      </c>
      <c r="GW97" s="4">
        <v>93</v>
      </c>
      <c r="GX97" s="4">
        <v>92</v>
      </c>
      <c r="GY97" s="4">
        <v>91</v>
      </c>
      <c r="GZ97" s="4">
        <v>90</v>
      </c>
      <c r="HA97" s="4">
        <v>89</v>
      </c>
      <c r="HB97" s="4">
        <v>88</v>
      </c>
      <c r="HC97" s="4">
        <v>87</v>
      </c>
      <c r="HD97" s="19">
        <v>115</v>
      </c>
      <c r="HE97" s="19">
        <v>114</v>
      </c>
      <c r="HF97" s="19">
        <v>113</v>
      </c>
      <c r="HG97" s="19">
        <v>112</v>
      </c>
      <c r="HH97" s="19">
        <v>111</v>
      </c>
      <c r="HI97" s="19">
        <v>110</v>
      </c>
      <c r="HJ97" s="19">
        <v>109</v>
      </c>
      <c r="HK97" s="19">
        <v>108</v>
      </c>
      <c r="HL97" s="19">
        <v>107</v>
      </c>
      <c r="HM97" s="19">
        <v>106</v>
      </c>
      <c r="HN97" s="19">
        <v>52.5</v>
      </c>
      <c r="HO97" s="19">
        <v>52</v>
      </c>
      <c r="HP97" s="19">
        <v>51.5</v>
      </c>
      <c r="HQ97" s="19">
        <v>50.5</v>
      </c>
      <c r="HR97" s="19">
        <v>99</v>
      </c>
      <c r="HS97" s="19">
        <v>97</v>
      </c>
      <c r="HT97" s="19">
        <v>96</v>
      </c>
      <c r="HU97" s="19">
        <v>95</v>
      </c>
      <c r="HV97" s="19">
        <v>94</v>
      </c>
      <c r="HW97" s="19">
        <v>93</v>
      </c>
      <c r="HX97" s="19">
        <v>92</v>
      </c>
      <c r="HY97" s="19">
        <v>91</v>
      </c>
      <c r="HZ97" s="19">
        <v>90</v>
      </c>
      <c r="IA97" s="19">
        <v>89</v>
      </c>
      <c r="IB97" s="19">
        <v>88</v>
      </c>
      <c r="IC97" s="19">
        <v>87</v>
      </c>
    </row>
    <row r="98">
      <c r="A98" s="2" t="s">
        <v>531</v>
      </c>
      <c r="B98" s="2" t="s">
        <v>323</v>
      </c>
      <c r="C98" s="2" t="s">
        <v>324</v>
      </c>
      <c r="D98" s="2" t="s">
        <v>257</v>
      </c>
      <c r="E98" s="2" t="s">
        <v>258</v>
      </c>
      <c r="F98" s="2" t="s">
        <v>498</v>
      </c>
      <c r="G98" s="2" t="s">
        <v>498</v>
      </c>
      <c r="H98" s="2" t="s">
        <v>498</v>
      </c>
      <c r="I98" s="2" t="s">
        <v>499</v>
      </c>
      <c r="J98" s="2" t="s">
        <v>394</v>
      </c>
      <c r="K98" s="2" t="s">
        <v>295</v>
      </c>
      <c r="L98" s="3">
        <v>15.14</v>
      </c>
      <c r="M98" s="3">
        <v>15.9</v>
      </c>
      <c r="N98" s="3">
        <v>29.99</v>
      </c>
      <c r="O98" s="2" t="s">
        <v>232</v>
      </c>
      <c r="P98" s="2" t="s">
        <v>233</v>
      </c>
      <c r="Q98" s="2" t="s">
        <v>234</v>
      </c>
      <c r="R98" s="2" t="s">
        <v>235</v>
      </c>
      <c r="S98" s="2" t="s">
        <v>532</v>
      </c>
      <c r="T98" s="2" t="s">
        <v>501</v>
      </c>
      <c r="U98" s="2" t="s">
        <v>235</v>
      </c>
      <c r="V98" s="2" t="s">
        <v>238</v>
      </c>
      <c r="W98" s="2" t="s">
        <v>239</v>
      </c>
      <c r="X98" s="2" t="s">
        <v>235</v>
      </c>
      <c r="Y98" s="2" t="s">
        <v>240</v>
      </c>
      <c r="Z98" s="4">
        <v>62</v>
      </c>
      <c r="AA98" s="4">
        <f>=ROUNDDOWN(68.8888888888889,0)</f>
      </c>
      <c r="AB98" s="5">
        <v>0.9</v>
      </c>
      <c r="AC98" s="2" t="s">
        <v>235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235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235</v>
      </c>
      <c r="AW98" s="8" t="s">
        <v>235</v>
      </c>
      <c r="AX98" s="4" t="s">
        <v>235</v>
      </c>
      <c r="AY98" s="8" t="s">
        <v>235</v>
      </c>
      <c r="AZ98" s="7" t="s">
        <v>235</v>
      </c>
      <c r="BA98" s="7" t="s">
        <v>235</v>
      </c>
      <c r="BB98" s="7"/>
      <c r="BC98" s="4" t="s">
        <v>235</v>
      </c>
      <c r="BD98" s="8" t="s">
        <v>235</v>
      </c>
      <c r="BE98" s="4" t="s">
        <v>235</v>
      </c>
      <c r="BF98" s="8" t="s">
        <v>235</v>
      </c>
      <c r="BG98" s="7" t="s">
        <v>235</v>
      </c>
      <c r="BH98" s="7" t="s">
        <v>235</v>
      </c>
      <c r="BI98" s="7"/>
      <c r="BJ98" s="4">
        <v>5</v>
      </c>
      <c r="BK98" s="8">
        <v>77.27</v>
      </c>
      <c r="BL98" s="2" t="s">
        <v>533</v>
      </c>
      <c r="BM98" s="7"/>
      <c r="BN98" s="7"/>
      <c r="BO98" s="4"/>
      <c r="BP98" s="8"/>
      <c r="BQ98" s="4"/>
      <c r="BR98" s="8"/>
      <c r="BS98" s="7"/>
      <c r="BT98" s="7"/>
      <c r="BU98" s="2" t="s">
        <v>503</v>
      </c>
      <c r="BV98" s="2" t="s">
        <v>243</v>
      </c>
      <c r="BW98" s="2" t="s">
        <v>235</v>
      </c>
      <c r="BX98" s="2" t="s">
        <v>244</v>
      </c>
      <c r="BY98" s="2" t="s">
        <v>245</v>
      </c>
      <c r="BZ98" s="2" t="s">
        <v>232</v>
      </c>
      <c r="CA98" s="2" t="s">
        <v>252</v>
      </c>
      <c r="CB98" s="2" t="s">
        <v>534</v>
      </c>
      <c r="CC98" s="2" t="s">
        <v>248</v>
      </c>
      <c r="CD98" s="2" t="s">
        <v>248</v>
      </c>
      <c r="CE98" s="2" t="s">
        <v>235</v>
      </c>
      <c r="CF98" s="4">
        <v>62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>
        <v>62</v>
      </c>
      <c r="GE98" s="4">
        <v>61</v>
      </c>
      <c r="GF98" s="4">
        <v>60</v>
      </c>
      <c r="GG98" s="4">
        <v>59</v>
      </c>
      <c r="GH98" s="4">
        <v>58</v>
      </c>
      <c r="GI98" s="4">
        <v>57</v>
      </c>
      <c r="GJ98" s="4">
        <v>56</v>
      </c>
      <c r="GK98" s="4">
        <v>55</v>
      </c>
      <c r="GL98" s="4">
        <v>54</v>
      </c>
      <c r="GM98" s="4">
        <v>53</v>
      </c>
      <c r="GN98" s="4">
        <v>52</v>
      </c>
      <c r="GO98" s="4">
        <v>51</v>
      </c>
      <c r="GP98" s="4">
        <v>50</v>
      </c>
      <c r="GQ98" s="4">
        <v>47</v>
      </c>
      <c r="GR98" s="4">
        <v>44</v>
      </c>
      <c r="GS98" s="4">
        <v>41</v>
      </c>
      <c r="GT98" s="4">
        <v>40</v>
      </c>
      <c r="GU98" s="4">
        <v>39</v>
      </c>
      <c r="GV98" s="4">
        <v>38</v>
      </c>
      <c r="GW98" s="4">
        <v>46</v>
      </c>
      <c r="GX98" s="4">
        <v>45</v>
      </c>
      <c r="GY98" s="4">
        <v>44</v>
      </c>
      <c r="GZ98" s="4">
        <v>43</v>
      </c>
      <c r="HA98" s="4">
        <v>42</v>
      </c>
      <c r="HB98" s="4">
        <v>41</v>
      </c>
      <c r="HC98" s="4">
        <v>40</v>
      </c>
      <c r="HD98" s="19">
        <v>62</v>
      </c>
      <c r="HE98" s="19">
        <v>61</v>
      </c>
      <c r="HF98" s="19">
        <v>60</v>
      </c>
      <c r="HG98" s="19">
        <v>59</v>
      </c>
      <c r="HH98" s="19">
        <v>58</v>
      </c>
      <c r="HI98" s="19">
        <v>57</v>
      </c>
      <c r="HJ98" s="19">
        <v>56</v>
      </c>
      <c r="HK98" s="19">
        <v>55</v>
      </c>
      <c r="HL98" s="19">
        <v>54</v>
      </c>
      <c r="HM98" s="19">
        <v>26.5</v>
      </c>
      <c r="HN98" s="19">
        <v>26</v>
      </c>
      <c r="HO98" s="19">
        <v>25.5</v>
      </c>
      <c r="HP98" s="19">
        <v>25</v>
      </c>
      <c r="HQ98" s="19">
        <v>23.5</v>
      </c>
      <c r="HR98" s="19">
        <v>22</v>
      </c>
      <c r="HS98" s="19">
        <v>41</v>
      </c>
      <c r="HT98" s="19">
        <v>40</v>
      </c>
      <c r="HU98" s="19">
        <v>39</v>
      </c>
      <c r="HV98" s="19">
        <v>38</v>
      </c>
      <c r="HW98" s="19">
        <v>46</v>
      </c>
      <c r="HX98" s="19">
        <v>45</v>
      </c>
      <c r="HY98" s="19">
        <v>44</v>
      </c>
      <c r="HZ98" s="19">
        <v>43</v>
      </c>
      <c r="IA98" s="19">
        <v>42</v>
      </c>
      <c r="IB98" s="19">
        <v>41</v>
      </c>
      <c r="IC98" s="19">
        <v>40</v>
      </c>
    </row>
    <row r="99">
      <c r="A99" s="2" t="s">
        <v>535</v>
      </c>
      <c r="B99" s="2" t="s">
        <v>323</v>
      </c>
      <c r="C99" s="2" t="s">
        <v>324</v>
      </c>
      <c r="D99" s="2" t="s">
        <v>257</v>
      </c>
      <c r="E99" s="2" t="s">
        <v>258</v>
      </c>
      <c r="F99" s="2" t="s">
        <v>498</v>
      </c>
      <c r="G99" s="2" t="s">
        <v>498</v>
      </c>
      <c r="H99" s="2" t="s">
        <v>498</v>
      </c>
      <c r="I99" s="2" t="s">
        <v>499</v>
      </c>
      <c r="J99" s="2" t="s">
        <v>250</v>
      </c>
      <c r="K99" s="2" t="s">
        <v>295</v>
      </c>
      <c r="L99" s="3">
        <v>18.61</v>
      </c>
      <c r="M99" s="3">
        <v>19.54</v>
      </c>
      <c r="N99" s="3">
        <v>36.99</v>
      </c>
      <c r="O99" s="2" t="s">
        <v>232</v>
      </c>
      <c r="P99" s="2" t="s">
        <v>233</v>
      </c>
      <c r="Q99" s="2" t="s">
        <v>234</v>
      </c>
      <c r="R99" s="2" t="s">
        <v>235</v>
      </c>
      <c r="S99" s="2" t="s">
        <v>532</v>
      </c>
      <c r="T99" s="2" t="s">
        <v>501</v>
      </c>
      <c r="U99" s="2" t="s">
        <v>235</v>
      </c>
      <c r="V99" s="2" t="s">
        <v>238</v>
      </c>
      <c r="W99" s="2" t="s">
        <v>239</v>
      </c>
      <c r="X99" s="2" t="s">
        <v>235</v>
      </c>
      <c r="Y99" s="2" t="s">
        <v>240</v>
      </c>
      <c r="Z99" s="4">
        <v>63</v>
      </c>
      <c r="AA99" s="4">
        <f>=ROUNDDOWN(31.5,0)</f>
      </c>
      <c r="AB99" s="5">
        <v>2</v>
      </c>
      <c r="AC99" s="2" t="s">
        <v>235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235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235</v>
      </c>
      <c r="AW99" s="8" t="s">
        <v>235</v>
      </c>
      <c r="AX99" s="4" t="s">
        <v>235</v>
      </c>
      <c r="AY99" s="8" t="s">
        <v>235</v>
      </c>
      <c r="AZ99" s="7" t="s">
        <v>235</v>
      </c>
      <c r="BA99" s="7" t="s">
        <v>235</v>
      </c>
      <c r="BB99" s="7"/>
      <c r="BC99" s="4" t="s">
        <v>235</v>
      </c>
      <c r="BD99" s="8" t="s">
        <v>235</v>
      </c>
      <c r="BE99" s="4" t="s">
        <v>235</v>
      </c>
      <c r="BF99" s="8" t="s">
        <v>235</v>
      </c>
      <c r="BG99" s="7" t="s">
        <v>235</v>
      </c>
      <c r="BH99" s="7" t="s">
        <v>235</v>
      </c>
      <c r="BI99" s="7"/>
      <c r="BJ99" s="4">
        <v>9</v>
      </c>
      <c r="BK99" s="8">
        <v>168.08</v>
      </c>
      <c r="BL99" s="2" t="s">
        <v>536</v>
      </c>
      <c r="BM99" s="7"/>
      <c r="BN99" s="7"/>
      <c r="BO99" s="4"/>
      <c r="BP99" s="8"/>
      <c r="BQ99" s="4"/>
      <c r="BR99" s="8"/>
      <c r="BS99" s="7"/>
      <c r="BT99" s="7"/>
      <c r="BU99" s="2" t="s">
        <v>503</v>
      </c>
      <c r="BV99" s="2" t="s">
        <v>243</v>
      </c>
      <c r="BW99" s="2" t="s">
        <v>235</v>
      </c>
      <c r="BX99" s="2" t="s">
        <v>244</v>
      </c>
      <c r="BY99" s="2" t="s">
        <v>245</v>
      </c>
      <c r="BZ99" s="2" t="s">
        <v>232</v>
      </c>
      <c r="CA99" s="2" t="s">
        <v>252</v>
      </c>
      <c r="CB99" s="2" t="s">
        <v>537</v>
      </c>
      <c r="CC99" s="2" t="s">
        <v>248</v>
      </c>
      <c r="CD99" s="2" t="s">
        <v>248</v>
      </c>
      <c r="CE99" s="2" t="s">
        <v>235</v>
      </c>
      <c r="CF99" s="4">
        <v>63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>
        <v>63</v>
      </c>
      <c r="GE99" s="4">
        <v>61</v>
      </c>
      <c r="GF99" s="4">
        <v>59</v>
      </c>
      <c r="GG99" s="4">
        <v>57</v>
      </c>
      <c r="GH99" s="4">
        <v>55</v>
      </c>
      <c r="GI99" s="4">
        <v>53</v>
      </c>
      <c r="GJ99" s="4">
        <v>51</v>
      </c>
      <c r="GK99" s="4">
        <v>49</v>
      </c>
      <c r="GL99" s="4">
        <v>47</v>
      </c>
      <c r="GM99" s="4">
        <v>45</v>
      </c>
      <c r="GN99" s="4">
        <v>43</v>
      </c>
      <c r="GO99" s="4">
        <v>41</v>
      </c>
      <c r="GP99" s="4">
        <v>38</v>
      </c>
      <c r="GQ99" s="4">
        <v>32</v>
      </c>
      <c r="GR99" s="4">
        <v>26</v>
      </c>
      <c r="GS99" s="4">
        <v>21</v>
      </c>
      <c r="GT99" s="4">
        <v>18</v>
      </c>
      <c r="GU99" s="4">
        <v>16</v>
      </c>
      <c r="GV99" s="4">
        <v>14</v>
      </c>
      <c r="GW99" s="4">
        <v>92</v>
      </c>
      <c r="GX99" s="4">
        <v>90</v>
      </c>
      <c r="GY99" s="4">
        <v>88</v>
      </c>
      <c r="GZ99" s="4">
        <v>86</v>
      </c>
      <c r="HA99" s="4">
        <v>84</v>
      </c>
      <c r="HB99" s="4">
        <v>82</v>
      </c>
      <c r="HC99" s="4">
        <v>80</v>
      </c>
      <c r="HD99" s="19">
        <v>31.5</v>
      </c>
      <c r="HE99" s="19">
        <v>30.5</v>
      </c>
      <c r="HF99" s="19">
        <v>29.5</v>
      </c>
      <c r="HG99" s="19">
        <v>28.5</v>
      </c>
      <c r="HH99" s="19">
        <v>27.5</v>
      </c>
      <c r="HI99" s="19">
        <v>26.5</v>
      </c>
      <c r="HJ99" s="19">
        <v>25.5</v>
      </c>
      <c r="HK99" s="19">
        <v>24.5</v>
      </c>
      <c r="HL99" s="19">
        <v>23.5</v>
      </c>
      <c r="HM99" s="19">
        <v>15</v>
      </c>
      <c r="HN99" s="19">
        <v>10.8</v>
      </c>
      <c r="HO99" s="19">
        <v>8.2</v>
      </c>
      <c r="HP99" s="19">
        <v>7.6</v>
      </c>
      <c r="HQ99" s="19">
        <v>8</v>
      </c>
      <c r="HR99" s="19">
        <v>8.7</v>
      </c>
      <c r="HS99" s="19">
        <v>10.5</v>
      </c>
      <c r="HT99" s="19">
        <v>9</v>
      </c>
      <c r="HU99" s="19">
        <v>8</v>
      </c>
      <c r="HV99" s="19">
        <v>7</v>
      </c>
      <c r="HW99" s="19">
        <v>46</v>
      </c>
      <c r="HX99" s="19">
        <v>45</v>
      </c>
      <c r="HY99" s="19">
        <v>44</v>
      </c>
      <c r="HZ99" s="19">
        <v>43</v>
      </c>
      <c r="IA99" s="19">
        <v>42</v>
      </c>
      <c r="IB99" s="19">
        <v>41</v>
      </c>
      <c r="IC99" s="19">
        <v>40</v>
      </c>
    </row>
    <row r="100">
      <c r="A100" s="2" t="s">
        <v>538</v>
      </c>
      <c r="B100" s="2" t="s">
        <v>323</v>
      </c>
      <c r="C100" s="2" t="s">
        <v>324</v>
      </c>
      <c r="D100" s="2" t="s">
        <v>257</v>
      </c>
      <c r="E100" s="2" t="s">
        <v>258</v>
      </c>
      <c r="F100" s="2" t="s">
        <v>498</v>
      </c>
      <c r="G100" s="2" t="s">
        <v>498</v>
      </c>
      <c r="H100" s="2" t="s">
        <v>498</v>
      </c>
      <c r="I100" s="2" t="s">
        <v>499</v>
      </c>
      <c r="J100" s="2" t="s">
        <v>272</v>
      </c>
      <c r="K100" s="2" t="s">
        <v>295</v>
      </c>
      <c r="L100" s="3">
        <v>24.16</v>
      </c>
      <c r="M100" s="3">
        <v>25.37</v>
      </c>
      <c r="N100" s="3">
        <v>49.99</v>
      </c>
      <c r="O100" s="2" t="s">
        <v>232</v>
      </c>
      <c r="P100" s="2" t="s">
        <v>233</v>
      </c>
      <c r="Q100" s="2" t="s">
        <v>234</v>
      </c>
      <c r="R100" s="2" t="s">
        <v>235</v>
      </c>
      <c r="S100" s="2" t="s">
        <v>532</v>
      </c>
      <c r="T100" s="2" t="s">
        <v>501</v>
      </c>
      <c r="U100" s="2" t="s">
        <v>235</v>
      </c>
      <c r="V100" s="2" t="s">
        <v>238</v>
      </c>
      <c r="W100" s="2" t="s">
        <v>239</v>
      </c>
      <c r="X100" s="2" t="s">
        <v>235</v>
      </c>
      <c r="Y100" s="2" t="s">
        <v>240</v>
      </c>
      <c r="Z100" s="4">
        <v>54</v>
      </c>
      <c r="AA100" s="4">
        <f>=ROUNDDOWN(16.875,0)</f>
      </c>
      <c r="AB100" s="5">
        <v>3.2</v>
      </c>
      <c r="AC100" s="2" t="s">
        <v>235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235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235</v>
      </c>
      <c r="AW100" s="8" t="s">
        <v>235</v>
      </c>
      <c r="AX100" s="4" t="s">
        <v>235</v>
      </c>
      <c r="AY100" s="8" t="s">
        <v>235</v>
      </c>
      <c r="AZ100" s="7" t="s">
        <v>235</v>
      </c>
      <c r="BA100" s="7" t="s">
        <v>235</v>
      </c>
      <c r="BB100" s="7"/>
      <c r="BC100" s="4" t="s">
        <v>235</v>
      </c>
      <c r="BD100" s="8" t="s">
        <v>235</v>
      </c>
      <c r="BE100" s="4" t="s">
        <v>235</v>
      </c>
      <c r="BF100" s="8" t="s">
        <v>235</v>
      </c>
      <c r="BG100" s="7" t="s">
        <v>235</v>
      </c>
      <c r="BH100" s="7" t="s">
        <v>235</v>
      </c>
      <c r="BI100" s="7"/>
      <c r="BJ100" s="4">
        <v>9</v>
      </c>
      <c r="BK100" s="8">
        <v>224.3</v>
      </c>
      <c r="BL100" s="2" t="s">
        <v>539</v>
      </c>
      <c r="BM100" s="7"/>
      <c r="BN100" s="7"/>
      <c r="BO100" s="4"/>
      <c r="BP100" s="8"/>
      <c r="BQ100" s="4"/>
      <c r="BR100" s="8"/>
      <c r="BS100" s="7"/>
      <c r="BT100" s="7"/>
      <c r="BU100" s="2" t="s">
        <v>503</v>
      </c>
      <c r="BV100" s="2" t="s">
        <v>243</v>
      </c>
      <c r="BW100" s="2" t="s">
        <v>235</v>
      </c>
      <c r="BX100" s="2" t="s">
        <v>244</v>
      </c>
      <c r="BY100" s="2" t="s">
        <v>245</v>
      </c>
      <c r="BZ100" s="2" t="s">
        <v>232</v>
      </c>
      <c r="CA100" s="2" t="s">
        <v>252</v>
      </c>
      <c r="CB100" s="2" t="s">
        <v>540</v>
      </c>
      <c r="CC100" s="2" t="s">
        <v>248</v>
      </c>
      <c r="CD100" s="2" t="s">
        <v>248</v>
      </c>
      <c r="CE100" s="2" t="s">
        <v>235</v>
      </c>
      <c r="CF100" s="4">
        <v>54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>
        <v>54</v>
      </c>
      <c r="GE100" s="4">
        <v>51</v>
      </c>
      <c r="GF100" s="4">
        <v>48</v>
      </c>
      <c r="GG100" s="4">
        <v>45</v>
      </c>
      <c r="GH100" s="4">
        <v>42</v>
      </c>
      <c r="GI100" s="4">
        <v>39</v>
      </c>
      <c r="GJ100" s="4">
        <v>36</v>
      </c>
      <c r="GK100" s="4">
        <v>33</v>
      </c>
      <c r="GL100" s="4">
        <v>30</v>
      </c>
      <c r="GM100" s="4">
        <v>27</v>
      </c>
      <c r="GN100" s="4">
        <v>24</v>
      </c>
      <c r="GO100" s="4">
        <v>20</v>
      </c>
      <c r="GP100" s="4">
        <v>16</v>
      </c>
      <c r="GQ100" s="4">
        <v>9</v>
      </c>
      <c r="GR100" s="4">
        <v>3</v>
      </c>
      <c r="GS100" s="4"/>
      <c r="GT100" s="4"/>
      <c r="GU100" s="4"/>
      <c r="GV100" s="4"/>
      <c r="GW100" s="4">
        <v>140</v>
      </c>
      <c r="GX100" s="4">
        <v>137</v>
      </c>
      <c r="GY100" s="4">
        <v>134</v>
      </c>
      <c r="GZ100" s="4">
        <v>131</v>
      </c>
      <c r="HA100" s="4">
        <v>128</v>
      </c>
      <c r="HB100" s="4">
        <v>125</v>
      </c>
      <c r="HC100" s="4">
        <v>121</v>
      </c>
      <c r="HD100" s="19">
        <v>18</v>
      </c>
      <c r="HE100" s="19">
        <v>17</v>
      </c>
      <c r="HF100" s="19">
        <v>16</v>
      </c>
      <c r="HG100" s="19">
        <v>15</v>
      </c>
      <c r="HH100" s="19">
        <v>14</v>
      </c>
      <c r="HI100" s="19">
        <v>13</v>
      </c>
      <c r="HJ100" s="19">
        <v>12</v>
      </c>
      <c r="HK100" s="19">
        <v>11</v>
      </c>
      <c r="HL100" s="19">
        <v>7.5</v>
      </c>
      <c r="HM100" s="19">
        <v>6.8</v>
      </c>
      <c r="HN100" s="19">
        <v>4.8</v>
      </c>
      <c r="HO100" s="19">
        <v>3.3</v>
      </c>
      <c r="HP100" s="19">
        <v>3.2</v>
      </c>
      <c r="HQ100" s="19">
        <v>2.3</v>
      </c>
      <c r="HR100" s="19">
        <v>0.8</v>
      </c>
      <c r="HS100" s="20">
        <v>0</v>
      </c>
      <c r="HT100" s="20">
        <v>0</v>
      </c>
      <c r="HU100" s="20">
        <v>0</v>
      </c>
      <c r="HV100" s="20">
        <v>0</v>
      </c>
      <c r="HW100" s="19">
        <v>46.7</v>
      </c>
      <c r="HX100" s="19">
        <v>45.7</v>
      </c>
      <c r="HY100" s="19">
        <v>44.7</v>
      </c>
      <c r="HZ100" s="19">
        <v>43.7</v>
      </c>
      <c r="IA100" s="19">
        <v>42.7</v>
      </c>
      <c r="IB100" s="19">
        <v>41.7</v>
      </c>
      <c r="IC100" s="19">
        <v>40.3</v>
      </c>
    </row>
    <row r="101">
      <c r="A101" s="2" t="s">
        <v>541</v>
      </c>
      <c r="B101" s="2" t="s">
        <v>323</v>
      </c>
      <c r="C101" s="2" t="s">
        <v>324</v>
      </c>
      <c r="D101" s="2" t="s">
        <v>257</v>
      </c>
      <c r="E101" s="2" t="s">
        <v>258</v>
      </c>
      <c r="F101" s="2" t="s">
        <v>498</v>
      </c>
      <c r="G101" s="2" t="s">
        <v>498</v>
      </c>
      <c r="H101" s="2" t="s">
        <v>498</v>
      </c>
      <c r="I101" s="2" t="s">
        <v>499</v>
      </c>
      <c r="J101" s="2" t="s">
        <v>394</v>
      </c>
      <c r="K101" s="2" t="s">
        <v>542</v>
      </c>
      <c r="L101" s="3">
        <v>15.14</v>
      </c>
      <c r="M101" s="3">
        <v>15.9</v>
      </c>
      <c r="N101" s="3">
        <v>29.99</v>
      </c>
      <c r="O101" s="2" t="s">
        <v>232</v>
      </c>
      <c r="P101" s="2" t="s">
        <v>233</v>
      </c>
      <c r="Q101" s="2" t="s">
        <v>234</v>
      </c>
      <c r="R101" s="2" t="s">
        <v>235</v>
      </c>
      <c r="S101" s="2" t="s">
        <v>543</v>
      </c>
      <c r="T101" s="2" t="s">
        <v>501</v>
      </c>
      <c r="U101" s="2" t="s">
        <v>235</v>
      </c>
      <c r="V101" s="2" t="s">
        <v>238</v>
      </c>
      <c r="W101" s="2" t="s">
        <v>239</v>
      </c>
      <c r="X101" s="2" t="s">
        <v>235</v>
      </c>
      <c r="Y101" s="2" t="s">
        <v>240</v>
      </c>
      <c r="Z101" s="4">
        <v>74</v>
      </c>
      <c r="AA101" s="4">
        <f>=ROUNDDOWN(74,0)</f>
      </c>
      <c r="AB101" s="5">
        <v>1</v>
      </c>
      <c r="AC101" s="2" t="s">
        <v>235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235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235</v>
      </c>
      <c r="AW101" s="8" t="s">
        <v>235</v>
      </c>
      <c r="AX101" s="4" t="s">
        <v>235</v>
      </c>
      <c r="AY101" s="8" t="s">
        <v>235</v>
      </c>
      <c r="AZ101" s="7" t="s">
        <v>235</v>
      </c>
      <c r="BA101" s="7" t="s">
        <v>235</v>
      </c>
      <c r="BB101" s="7"/>
      <c r="BC101" s="4" t="s">
        <v>235</v>
      </c>
      <c r="BD101" s="8" t="s">
        <v>235</v>
      </c>
      <c r="BE101" s="4" t="s">
        <v>235</v>
      </c>
      <c r="BF101" s="8" t="s">
        <v>235</v>
      </c>
      <c r="BG101" s="7" t="s">
        <v>235</v>
      </c>
      <c r="BH101" s="7" t="s">
        <v>235</v>
      </c>
      <c r="BI101" s="7"/>
      <c r="BJ101" s="4">
        <v>5</v>
      </c>
      <c r="BK101" s="8">
        <v>78.9</v>
      </c>
      <c r="BL101" s="2" t="s">
        <v>544</v>
      </c>
      <c r="BM101" s="7"/>
      <c r="BN101" s="7"/>
      <c r="BO101" s="4"/>
      <c r="BP101" s="8"/>
      <c r="BQ101" s="4"/>
      <c r="BR101" s="8"/>
      <c r="BS101" s="7"/>
      <c r="BT101" s="7"/>
      <c r="BU101" s="2" t="s">
        <v>503</v>
      </c>
      <c r="BV101" s="2" t="s">
        <v>243</v>
      </c>
      <c r="BW101" s="2" t="s">
        <v>235</v>
      </c>
      <c r="BX101" s="2" t="s">
        <v>244</v>
      </c>
      <c r="BY101" s="2" t="s">
        <v>245</v>
      </c>
      <c r="BZ101" s="2" t="s">
        <v>232</v>
      </c>
      <c r="CA101" s="2" t="s">
        <v>252</v>
      </c>
      <c r="CB101" s="2" t="s">
        <v>540</v>
      </c>
      <c r="CC101" s="2" t="s">
        <v>248</v>
      </c>
      <c r="CD101" s="2" t="s">
        <v>248</v>
      </c>
      <c r="CE101" s="2" t="s">
        <v>235</v>
      </c>
      <c r="CF101" s="4">
        <v>74</v>
      </c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>
        <v>76</v>
      </c>
      <c r="GE101" s="4">
        <v>75</v>
      </c>
      <c r="GF101" s="4">
        <v>74</v>
      </c>
      <c r="GG101" s="4">
        <v>73</v>
      </c>
      <c r="GH101" s="4">
        <v>72</v>
      </c>
      <c r="GI101" s="4">
        <v>71</v>
      </c>
      <c r="GJ101" s="4">
        <v>70</v>
      </c>
      <c r="GK101" s="4">
        <v>69</v>
      </c>
      <c r="GL101" s="4">
        <v>68</v>
      </c>
      <c r="GM101" s="4">
        <v>67</v>
      </c>
      <c r="GN101" s="4">
        <v>66</v>
      </c>
      <c r="GO101" s="4">
        <v>65</v>
      </c>
      <c r="GP101" s="4">
        <v>64</v>
      </c>
      <c r="GQ101" s="4">
        <v>61</v>
      </c>
      <c r="GR101" s="4">
        <v>58</v>
      </c>
      <c r="GS101" s="4">
        <v>55</v>
      </c>
      <c r="GT101" s="4">
        <v>54</v>
      </c>
      <c r="GU101" s="4">
        <v>53</v>
      </c>
      <c r="GV101" s="4">
        <v>52</v>
      </c>
      <c r="GW101" s="4">
        <v>51</v>
      </c>
      <c r="GX101" s="4">
        <v>50</v>
      </c>
      <c r="GY101" s="4">
        <v>49</v>
      </c>
      <c r="GZ101" s="4">
        <v>48</v>
      </c>
      <c r="HA101" s="4">
        <v>47</v>
      </c>
      <c r="HB101" s="4">
        <v>46</v>
      </c>
      <c r="HC101" s="4">
        <v>45</v>
      </c>
      <c r="HD101" s="19">
        <v>76</v>
      </c>
      <c r="HE101" s="19">
        <v>75</v>
      </c>
      <c r="HF101" s="19">
        <v>74</v>
      </c>
      <c r="HG101" s="19">
        <v>73</v>
      </c>
      <c r="HH101" s="19">
        <v>72</v>
      </c>
      <c r="HI101" s="19">
        <v>71</v>
      </c>
      <c r="HJ101" s="19">
        <v>70</v>
      </c>
      <c r="HK101" s="19">
        <v>69</v>
      </c>
      <c r="HL101" s="19">
        <v>68</v>
      </c>
      <c r="HM101" s="19">
        <v>33.5</v>
      </c>
      <c r="HN101" s="19">
        <v>33</v>
      </c>
      <c r="HO101" s="19">
        <v>32.5</v>
      </c>
      <c r="HP101" s="19">
        <v>32</v>
      </c>
      <c r="HQ101" s="19">
        <v>30.5</v>
      </c>
      <c r="HR101" s="19">
        <v>29</v>
      </c>
      <c r="HS101" s="19">
        <v>55</v>
      </c>
      <c r="HT101" s="19">
        <v>54</v>
      </c>
      <c r="HU101" s="19">
        <v>53</v>
      </c>
      <c r="HV101" s="19">
        <v>52</v>
      </c>
      <c r="HW101" s="19">
        <v>51</v>
      </c>
      <c r="HX101" s="19">
        <v>50</v>
      </c>
      <c r="HY101" s="19">
        <v>49</v>
      </c>
      <c r="HZ101" s="19">
        <v>48</v>
      </c>
      <c r="IA101" s="19">
        <v>47</v>
      </c>
      <c r="IB101" s="19">
        <v>46</v>
      </c>
      <c r="IC101" s="19">
        <v>45</v>
      </c>
    </row>
    <row r="102">
      <c r="A102" s="2" t="s">
        <v>545</v>
      </c>
      <c r="B102" s="2" t="s">
        <v>323</v>
      </c>
      <c r="C102" s="2" t="s">
        <v>324</v>
      </c>
      <c r="D102" s="2" t="s">
        <v>257</v>
      </c>
      <c r="E102" s="2" t="s">
        <v>258</v>
      </c>
      <c r="F102" s="2" t="s">
        <v>498</v>
      </c>
      <c r="G102" s="2" t="s">
        <v>498</v>
      </c>
      <c r="H102" s="2" t="s">
        <v>498</v>
      </c>
      <c r="I102" s="2" t="s">
        <v>499</v>
      </c>
      <c r="J102" s="2" t="s">
        <v>270</v>
      </c>
      <c r="K102" s="2" t="s">
        <v>542</v>
      </c>
      <c r="L102" s="3">
        <v>24.1</v>
      </c>
      <c r="M102" s="3">
        <v>25.3</v>
      </c>
      <c r="N102" s="3">
        <v>49.99</v>
      </c>
      <c r="O102" s="2" t="s">
        <v>232</v>
      </c>
      <c r="P102" s="2" t="s">
        <v>233</v>
      </c>
      <c r="Q102" s="2" t="s">
        <v>234</v>
      </c>
      <c r="R102" s="2" t="s">
        <v>235</v>
      </c>
      <c r="S102" s="2" t="s">
        <v>543</v>
      </c>
      <c r="T102" s="2" t="s">
        <v>501</v>
      </c>
      <c r="U102" s="2" t="s">
        <v>235</v>
      </c>
      <c r="V102" s="2" t="s">
        <v>238</v>
      </c>
      <c r="W102" s="2" t="s">
        <v>239</v>
      </c>
      <c r="X102" s="2" t="s">
        <v>235</v>
      </c>
      <c r="Y102" s="2" t="s">
        <v>240</v>
      </c>
      <c r="Z102" s="4">
        <v>307</v>
      </c>
      <c r="AA102" s="4">
        <f>=ROUNDDOWN(65.3191489361702,0)</f>
      </c>
      <c r="AB102" s="5">
        <v>4.7</v>
      </c>
      <c r="AC102" s="2" t="s">
        <v>235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235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235</v>
      </c>
      <c r="AW102" s="8" t="s">
        <v>235</v>
      </c>
      <c r="AX102" s="4" t="s">
        <v>235</v>
      </c>
      <c r="AY102" s="8" t="s">
        <v>235</v>
      </c>
      <c r="AZ102" s="7" t="s">
        <v>235</v>
      </c>
      <c r="BA102" s="7" t="s">
        <v>235</v>
      </c>
      <c r="BB102" s="7"/>
      <c r="BC102" s="4" t="s">
        <v>235</v>
      </c>
      <c r="BD102" s="8" t="s">
        <v>235</v>
      </c>
      <c r="BE102" s="4" t="s">
        <v>235</v>
      </c>
      <c r="BF102" s="8" t="s">
        <v>235</v>
      </c>
      <c r="BG102" s="7" t="s">
        <v>235</v>
      </c>
      <c r="BH102" s="7" t="s">
        <v>235</v>
      </c>
      <c r="BI102" s="7"/>
      <c r="BJ102" s="4">
        <v>19</v>
      </c>
      <c r="BK102" s="8">
        <v>486.81</v>
      </c>
      <c r="BL102" s="2" t="s">
        <v>546</v>
      </c>
      <c r="BM102" s="7"/>
      <c r="BN102" s="7"/>
      <c r="BO102" s="4"/>
      <c r="BP102" s="8"/>
      <c r="BQ102" s="4"/>
      <c r="BR102" s="8"/>
      <c r="BS102" s="7"/>
      <c r="BT102" s="7"/>
      <c r="BU102" s="2" t="s">
        <v>503</v>
      </c>
      <c r="BV102" s="2" t="s">
        <v>243</v>
      </c>
      <c r="BW102" s="2" t="s">
        <v>235</v>
      </c>
      <c r="BX102" s="2" t="s">
        <v>244</v>
      </c>
      <c r="BY102" s="2" t="s">
        <v>245</v>
      </c>
      <c r="BZ102" s="2" t="s">
        <v>232</v>
      </c>
      <c r="CA102" s="2" t="s">
        <v>252</v>
      </c>
      <c r="CB102" s="2" t="s">
        <v>547</v>
      </c>
      <c r="CC102" s="2" t="s">
        <v>248</v>
      </c>
      <c r="CD102" s="2" t="s">
        <v>248</v>
      </c>
      <c r="CE102" s="2" t="s">
        <v>235</v>
      </c>
      <c r="CF102" s="4">
        <v>307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>
        <v>308</v>
      </c>
      <c r="GE102" s="4">
        <v>302</v>
      </c>
      <c r="GF102" s="4">
        <v>297</v>
      </c>
      <c r="GG102" s="4">
        <v>292</v>
      </c>
      <c r="GH102" s="4">
        <v>287</v>
      </c>
      <c r="GI102" s="4">
        <v>282</v>
      </c>
      <c r="GJ102" s="4">
        <v>277</v>
      </c>
      <c r="GK102" s="4">
        <v>272</v>
      </c>
      <c r="GL102" s="4">
        <v>267</v>
      </c>
      <c r="GM102" s="4">
        <v>262</v>
      </c>
      <c r="GN102" s="4">
        <v>256</v>
      </c>
      <c r="GO102" s="4">
        <v>250</v>
      </c>
      <c r="GP102" s="4">
        <v>244</v>
      </c>
      <c r="GQ102" s="4">
        <v>232</v>
      </c>
      <c r="GR102" s="4">
        <v>220</v>
      </c>
      <c r="GS102" s="4">
        <v>210</v>
      </c>
      <c r="GT102" s="4">
        <v>204</v>
      </c>
      <c r="GU102" s="4">
        <v>199</v>
      </c>
      <c r="GV102" s="4">
        <v>194</v>
      </c>
      <c r="GW102" s="4">
        <v>189</v>
      </c>
      <c r="GX102" s="4">
        <v>184</v>
      </c>
      <c r="GY102" s="4">
        <v>179</v>
      </c>
      <c r="GZ102" s="4">
        <v>174</v>
      </c>
      <c r="HA102" s="4">
        <v>169</v>
      </c>
      <c r="HB102" s="4">
        <v>164</v>
      </c>
      <c r="HC102" s="4">
        <v>158</v>
      </c>
      <c r="HD102" s="19">
        <v>61.6</v>
      </c>
      <c r="HE102" s="19">
        <v>60.4</v>
      </c>
      <c r="HF102" s="19">
        <v>59.4</v>
      </c>
      <c r="HG102" s="19">
        <v>58.4</v>
      </c>
      <c r="HH102" s="19">
        <v>57.4</v>
      </c>
      <c r="HI102" s="19">
        <v>56.4</v>
      </c>
      <c r="HJ102" s="19">
        <v>55.4</v>
      </c>
      <c r="HK102" s="19">
        <v>45.3</v>
      </c>
      <c r="HL102" s="19">
        <v>44.5</v>
      </c>
      <c r="HM102" s="19">
        <v>32.8</v>
      </c>
      <c r="HN102" s="19">
        <v>28.4</v>
      </c>
      <c r="HO102" s="19">
        <v>25</v>
      </c>
      <c r="HP102" s="19">
        <v>24.4</v>
      </c>
      <c r="HQ102" s="19">
        <v>29</v>
      </c>
      <c r="HR102" s="19">
        <v>36.7</v>
      </c>
      <c r="HS102" s="19">
        <v>42</v>
      </c>
      <c r="HT102" s="19">
        <v>40.8</v>
      </c>
      <c r="HU102" s="19">
        <v>39.8</v>
      </c>
      <c r="HV102" s="19">
        <v>38.8</v>
      </c>
      <c r="HW102" s="19">
        <v>37.8</v>
      </c>
      <c r="HX102" s="19">
        <v>36.8</v>
      </c>
      <c r="HY102" s="19">
        <v>35.8</v>
      </c>
      <c r="HZ102" s="19">
        <v>34.8</v>
      </c>
      <c r="IA102" s="19">
        <v>33.8</v>
      </c>
      <c r="IB102" s="19">
        <v>32.8</v>
      </c>
      <c r="IC102" s="19">
        <v>31.6</v>
      </c>
    </row>
    <row r="103">
      <c r="A103" s="2" t="s">
        <v>548</v>
      </c>
      <c r="B103" s="2" t="s">
        <v>323</v>
      </c>
      <c r="C103" s="2" t="s">
        <v>324</v>
      </c>
      <c r="D103" s="2" t="s">
        <v>257</v>
      </c>
      <c r="E103" s="2" t="s">
        <v>258</v>
      </c>
      <c r="F103" s="2" t="s">
        <v>498</v>
      </c>
      <c r="G103" s="2" t="s">
        <v>498</v>
      </c>
      <c r="H103" s="2" t="s">
        <v>498</v>
      </c>
      <c r="I103" s="2" t="s">
        <v>499</v>
      </c>
      <c r="J103" s="2" t="s">
        <v>272</v>
      </c>
      <c r="K103" s="2" t="s">
        <v>542</v>
      </c>
      <c r="L103" s="3">
        <v>24.16</v>
      </c>
      <c r="M103" s="3">
        <v>25.37</v>
      </c>
      <c r="N103" s="3">
        <v>49.99</v>
      </c>
      <c r="O103" s="2" t="s">
        <v>232</v>
      </c>
      <c r="P103" s="2" t="s">
        <v>233</v>
      </c>
      <c r="Q103" s="2" t="s">
        <v>234</v>
      </c>
      <c r="R103" s="2" t="s">
        <v>235</v>
      </c>
      <c r="S103" s="2" t="s">
        <v>543</v>
      </c>
      <c r="T103" s="2" t="s">
        <v>501</v>
      </c>
      <c r="U103" s="2" t="s">
        <v>235</v>
      </c>
      <c r="V103" s="2" t="s">
        <v>238</v>
      </c>
      <c r="W103" s="2" t="s">
        <v>239</v>
      </c>
      <c r="X103" s="2" t="s">
        <v>235</v>
      </c>
      <c r="Y103" s="2" t="s">
        <v>240</v>
      </c>
      <c r="Z103" s="4">
        <v>70</v>
      </c>
      <c r="AA103" s="4">
        <f>=ROUNDDOWN(50,0)</f>
      </c>
      <c r="AB103" s="5">
        <v>1.4</v>
      </c>
      <c r="AC103" s="2" t="s">
        <v>235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235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235</v>
      </c>
      <c r="AW103" s="8" t="s">
        <v>235</v>
      </c>
      <c r="AX103" s="4" t="s">
        <v>235</v>
      </c>
      <c r="AY103" s="8" t="s">
        <v>235</v>
      </c>
      <c r="AZ103" s="7" t="s">
        <v>235</v>
      </c>
      <c r="BA103" s="7" t="s">
        <v>235</v>
      </c>
      <c r="BB103" s="7"/>
      <c r="BC103" s="4" t="s">
        <v>235</v>
      </c>
      <c r="BD103" s="8" t="s">
        <v>235</v>
      </c>
      <c r="BE103" s="4" t="s">
        <v>235</v>
      </c>
      <c r="BF103" s="8" t="s">
        <v>235</v>
      </c>
      <c r="BG103" s="7" t="s">
        <v>235</v>
      </c>
      <c r="BH103" s="7" t="s">
        <v>235</v>
      </c>
      <c r="BI103" s="7"/>
      <c r="BJ103" s="4">
        <v>7</v>
      </c>
      <c r="BK103" s="8">
        <v>176.88</v>
      </c>
      <c r="BL103" s="2" t="s">
        <v>544</v>
      </c>
      <c r="BM103" s="7"/>
      <c r="BN103" s="7"/>
      <c r="BO103" s="4"/>
      <c r="BP103" s="8"/>
      <c r="BQ103" s="4"/>
      <c r="BR103" s="8"/>
      <c r="BS103" s="7"/>
      <c r="BT103" s="7"/>
      <c r="BU103" s="2" t="s">
        <v>503</v>
      </c>
      <c r="BV103" s="2" t="s">
        <v>243</v>
      </c>
      <c r="BW103" s="2" t="s">
        <v>235</v>
      </c>
      <c r="BX103" s="2" t="s">
        <v>244</v>
      </c>
      <c r="BY103" s="2" t="s">
        <v>245</v>
      </c>
      <c r="BZ103" s="2" t="s">
        <v>232</v>
      </c>
      <c r="CA103" s="2" t="s">
        <v>252</v>
      </c>
      <c r="CB103" s="2" t="s">
        <v>540</v>
      </c>
      <c r="CC103" s="2" t="s">
        <v>248</v>
      </c>
      <c r="CD103" s="2" t="s">
        <v>248</v>
      </c>
      <c r="CE103" s="2" t="s">
        <v>235</v>
      </c>
      <c r="CF103" s="4">
        <v>70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>
        <v>71</v>
      </c>
      <c r="GE103" s="4">
        <v>69</v>
      </c>
      <c r="GF103" s="4">
        <v>68</v>
      </c>
      <c r="GG103" s="4">
        <v>67</v>
      </c>
      <c r="GH103" s="4">
        <v>66</v>
      </c>
      <c r="GI103" s="4">
        <v>65</v>
      </c>
      <c r="GJ103" s="4">
        <v>64</v>
      </c>
      <c r="GK103" s="4">
        <v>63</v>
      </c>
      <c r="GL103" s="4">
        <v>62</v>
      </c>
      <c r="GM103" s="4">
        <v>61</v>
      </c>
      <c r="GN103" s="4">
        <v>60</v>
      </c>
      <c r="GO103" s="4">
        <v>59</v>
      </c>
      <c r="GP103" s="4">
        <v>58</v>
      </c>
      <c r="GQ103" s="4">
        <v>56</v>
      </c>
      <c r="GR103" s="4">
        <v>54</v>
      </c>
      <c r="GS103" s="4">
        <v>52</v>
      </c>
      <c r="GT103" s="4">
        <v>51</v>
      </c>
      <c r="GU103" s="4">
        <v>50</v>
      </c>
      <c r="GV103" s="4">
        <v>49</v>
      </c>
      <c r="GW103" s="4">
        <v>48</v>
      </c>
      <c r="GX103" s="4">
        <v>47</v>
      </c>
      <c r="GY103" s="4">
        <v>46</v>
      </c>
      <c r="GZ103" s="4">
        <v>45</v>
      </c>
      <c r="HA103" s="4">
        <v>44</v>
      </c>
      <c r="HB103" s="4">
        <v>43</v>
      </c>
      <c r="HC103" s="4">
        <v>42</v>
      </c>
      <c r="HD103" s="19">
        <v>71</v>
      </c>
      <c r="HE103" s="19">
        <v>69</v>
      </c>
      <c r="HF103" s="19">
        <v>68</v>
      </c>
      <c r="HG103" s="19">
        <v>67</v>
      </c>
      <c r="HH103" s="19">
        <v>66</v>
      </c>
      <c r="HI103" s="19">
        <v>65</v>
      </c>
      <c r="HJ103" s="19">
        <v>64</v>
      </c>
      <c r="HK103" s="19">
        <v>63</v>
      </c>
      <c r="HL103" s="19">
        <v>62</v>
      </c>
      <c r="HM103" s="19">
        <v>61</v>
      </c>
      <c r="HN103" s="19">
        <v>30</v>
      </c>
      <c r="HO103" s="19">
        <v>29.5</v>
      </c>
      <c r="HP103" s="19">
        <v>29</v>
      </c>
      <c r="HQ103" s="19">
        <v>28</v>
      </c>
      <c r="HR103" s="19">
        <v>54</v>
      </c>
      <c r="HS103" s="19">
        <v>52</v>
      </c>
      <c r="HT103" s="19">
        <v>51</v>
      </c>
      <c r="HU103" s="19">
        <v>50</v>
      </c>
      <c r="HV103" s="19">
        <v>49</v>
      </c>
      <c r="HW103" s="19">
        <v>48</v>
      </c>
      <c r="HX103" s="19">
        <v>47</v>
      </c>
      <c r="HY103" s="19">
        <v>46</v>
      </c>
      <c r="HZ103" s="19">
        <v>45</v>
      </c>
      <c r="IA103" s="19">
        <v>44</v>
      </c>
      <c r="IB103" s="19">
        <v>43</v>
      </c>
      <c r="IC103" s="19">
        <v>42</v>
      </c>
    </row>
    <row r="104">
      <c r="A104" s="2" t="s">
        <v>549</v>
      </c>
      <c r="B104" s="2" t="s">
        <v>323</v>
      </c>
      <c r="C104" s="2" t="s">
        <v>324</v>
      </c>
      <c r="D104" s="2" t="s">
        <v>257</v>
      </c>
      <c r="E104" s="2" t="s">
        <v>258</v>
      </c>
      <c r="F104" s="2" t="s">
        <v>498</v>
      </c>
      <c r="G104" s="2" t="s">
        <v>498</v>
      </c>
      <c r="H104" s="2" t="s">
        <v>498</v>
      </c>
      <c r="I104" s="2" t="s">
        <v>499</v>
      </c>
      <c r="J104" s="2" t="s">
        <v>230</v>
      </c>
      <c r="K104" s="2" t="s">
        <v>550</v>
      </c>
      <c r="L104" s="3">
        <v>15.19</v>
      </c>
      <c r="M104" s="3">
        <v>15.95</v>
      </c>
      <c r="N104" s="3">
        <v>30.99</v>
      </c>
      <c r="O104" s="2" t="s">
        <v>485</v>
      </c>
      <c r="P104" s="2" t="s">
        <v>408</v>
      </c>
      <c r="Q104" s="2" t="s">
        <v>234</v>
      </c>
      <c r="R104" s="2" t="s">
        <v>235</v>
      </c>
      <c r="S104" s="2" t="s">
        <v>551</v>
      </c>
      <c r="T104" s="2" t="s">
        <v>501</v>
      </c>
      <c r="U104" s="2" t="s">
        <v>552</v>
      </c>
      <c r="V104" s="2" t="s">
        <v>238</v>
      </c>
      <c r="W104" s="2" t="s">
        <v>239</v>
      </c>
      <c r="X104" s="2" t="s">
        <v>235</v>
      </c>
      <c r="Y104" s="2" t="s">
        <v>553</v>
      </c>
      <c r="Z104" s="4"/>
      <c r="AA104" s="4">
        <f>=ROUNDDOWN({0},0)</f>
      </c>
      <c r="AB104" s="5">
        <v>2.7</v>
      </c>
      <c r="AC104" s="2" t="s">
        <v>235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235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235</v>
      </c>
      <c r="BD104" s="8" t="s">
        <v>235</v>
      </c>
      <c r="BE104" s="4" t="s">
        <v>235</v>
      </c>
      <c r="BF104" s="8" t="s">
        <v>235</v>
      </c>
      <c r="BG104" s="7" t="s">
        <v>235</v>
      </c>
      <c r="BH104" s="7" t="s">
        <v>235</v>
      </c>
      <c r="BI104" s="7"/>
      <c r="BJ104" s="4"/>
      <c r="BK104" s="8"/>
      <c r="BL104" s="2" t="s">
        <v>554</v>
      </c>
      <c r="BM104" s="7"/>
      <c r="BN104" s="7"/>
      <c r="BO104" s="4"/>
      <c r="BP104" s="8"/>
      <c r="BQ104" s="4"/>
      <c r="BR104" s="8"/>
      <c r="BS104" s="7"/>
      <c r="BT104" s="7"/>
      <c r="BU104" s="2" t="s">
        <v>503</v>
      </c>
      <c r="BV104" s="2" t="s">
        <v>243</v>
      </c>
      <c r="BW104" s="2" t="s">
        <v>235</v>
      </c>
      <c r="BX104" s="2" t="s">
        <v>414</v>
      </c>
      <c r="BY104" s="2" t="s">
        <v>245</v>
      </c>
      <c r="BZ104" s="2" t="s">
        <v>232</v>
      </c>
      <c r="CA104" s="2" t="s">
        <v>555</v>
      </c>
      <c r="CB104" s="2" t="s">
        <v>556</v>
      </c>
      <c r="CC104" s="2" t="s">
        <v>492</v>
      </c>
      <c r="CD104" s="2" t="s">
        <v>248</v>
      </c>
      <c r="CE104" s="2" t="s">
        <v>235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20">
        <v>0</v>
      </c>
      <c r="HE104" s="20">
        <v>0</v>
      </c>
      <c r="HF104" s="20">
        <v>0</v>
      </c>
      <c r="HG104" s="20">
        <v>0</v>
      </c>
      <c r="HH104" s="20">
        <v>0</v>
      </c>
      <c r="HI104" s="20">
        <v>0</v>
      </c>
      <c r="HJ104" s="20">
        <v>0</v>
      </c>
      <c r="HK104" s="20">
        <v>0</v>
      </c>
      <c r="HL104" s="20">
        <v>0</v>
      </c>
      <c r="HM104" s="20">
        <v>0</v>
      </c>
      <c r="HN104" s="20">
        <v>0</v>
      </c>
      <c r="HO104" s="20">
        <v>0</v>
      </c>
      <c r="HP104" s="20">
        <v>0</v>
      </c>
      <c r="HQ104" s="20">
        <v>0</v>
      </c>
      <c r="HR104" s="20">
        <v>0</v>
      </c>
      <c r="HS104" s="20">
        <v>0</v>
      </c>
      <c r="HT104" s="20">
        <v>0</v>
      </c>
      <c r="HU104" s="20">
        <v>0</v>
      </c>
      <c r="HV104" s="20">
        <v>0</v>
      </c>
      <c r="HW104" s="20">
        <v>0</v>
      </c>
      <c r="HX104" s="20">
        <v>0</v>
      </c>
      <c r="HY104" s="20">
        <v>0</v>
      </c>
      <c r="HZ104" s="20">
        <v>0</v>
      </c>
      <c r="IA104" s="20">
        <v>0</v>
      </c>
      <c r="IB104" s="20">
        <v>0</v>
      </c>
      <c r="IC104" s="20">
        <v>0</v>
      </c>
    </row>
    <row r="105">
      <c r="A105" s="2" t="s">
        <v>557</v>
      </c>
      <c r="B105" s="2" t="s">
        <v>323</v>
      </c>
      <c r="C105" s="2" t="s">
        <v>324</v>
      </c>
      <c r="D105" s="2" t="s">
        <v>257</v>
      </c>
      <c r="E105" s="2" t="s">
        <v>258</v>
      </c>
      <c r="F105" s="2" t="s">
        <v>498</v>
      </c>
      <c r="G105" s="2" t="s">
        <v>498</v>
      </c>
      <c r="H105" s="2" t="s">
        <v>498</v>
      </c>
      <c r="I105" s="2" t="s">
        <v>499</v>
      </c>
      <c r="J105" s="2" t="s">
        <v>394</v>
      </c>
      <c r="K105" s="2" t="s">
        <v>351</v>
      </c>
      <c r="L105" s="3">
        <v>15.14</v>
      </c>
      <c r="M105" s="3">
        <v>15.9</v>
      </c>
      <c r="N105" s="3">
        <v>29.99</v>
      </c>
      <c r="O105" s="2" t="s">
        <v>232</v>
      </c>
      <c r="P105" s="2" t="s">
        <v>233</v>
      </c>
      <c r="Q105" s="2" t="s">
        <v>234</v>
      </c>
      <c r="R105" s="2" t="s">
        <v>235</v>
      </c>
      <c r="S105" s="2" t="s">
        <v>558</v>
      </c>
      <c r="T105" s="2" t="s">
        <v>501</v>
      </c>
      <c r="U105" s="2" t="s">
        <v>235</v>
      </c>
      <c r="V105" s="2" t="s">
        <v>238</v>
      </c>
      <c r="W105" s="2" t="s">
        <v>239</v>
      </c>
      <c r="X105" s="2" t="s">
        <v>235</v>
      </c>
      <c r="Y105" s="2" t="s">
        <v>240</v>
      </c>
      <c r="Z105" s="4">
        <v>193</v>
      </c>
      <c r="AA105" s="4">
        <f>=ROUNDDOWN(74.2307692307692,0)</f>
      </c>
      <c r="AB105" s="5">
        <v>2.6</v>
      </c>
      <c r="AC105" s="2" t="s">
        <v>235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235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235</v>
      </c>
      <c r="AW105" s="8" t="s">
        <v>235</v>
      </c>
      <c r="AX105" s="4" t="s">
        <v>235</v>
      </c>
      <c r="AY105" s="8" t="s">
        <v>235</v>
      </c>
      <c r="AZ105" s="7" t="s">
        <v>235</v>
      </c>
      <c r="BA105" s="7" t="s">
        <v>235</v>
      </c>
      <c r="BB105" s="7"/>
      <c r="BC105" s="4" t="s">
        <v>235</v>
      </c>
      <c r="BD105" s="8" t="s">
        <v>235</v>
      </c>
      <c r="BE105" s="4" t="s">
        <v>235</v>
      </c>
      <c r="BF105" s="8" t="s">
        <v>235</v>
      </c>
      <c r="BG105" s="7" t="s">
        <v>235</v>
      </c>
      <c r="BH105" s="7" t="s">
        <v>235</v>
      </c>
      <c r="BI105" s="7"/>
      <c r="BJ105" s="4">
        <v>5</v>
      </c>
      <c r="BK105" s="8">
        <v>78.45</v>
      </c>
      <c r="BL105" s="2" t="s">
        <v>559</v>
      </c>
      <c r="BM105" s="7"/>
      <c r="BN105" s="7"/>
      <c r="BO105" s="4"/>
      <c r="BP105" s="8"/>
      <c r="BQ105" s="4"/>
      <c r="BR105" s="8"/>
      <c r="BS105" s="7"/>
      <c r="BT105" s="7"/>
      <c r="BU105" s="2" t="s">
        <v>503</v>
      </c>
      <c r="BV105" s="2" t="s">
        <v>243</v>
      </c>
      <c r="BW105" s="2" t="s">
        <v>235</v>
      </c>
      <c r="BX105" s="2" t="s">
        <v>244</v>
      </c>
      <c r="BY105" s="2" t="s">
        <v>245</v>
      </c>
      <c r="BZ105" s="2" t="s">
        <v>232</v>
      </c>
      <c r="CA105" s="2" t="s">
        <v>252</v>
      </c>
      <c r="CB105" s="2" t="s">
        <v>560</v>
      </c>
      <c r="CC105" s="2" t="s">
        <v>248</v>
      </c>
      <c r="CD105" s="2" t="s">
        <v>248</v>
      </c>
      <c r="CE105" s="2" t="s">
        <v>235</v>
      </c>
      <c r="CF105" s="4">
        <v>193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>
        <v>193</v>
      </c>
      <c r="GE105" s="4">
        <v>191</v>
      </c>
      <c r="GF105" s="4">
        <v>189</v>
      </c>
      <c r="GG105" s="4">
        <v>187</v>
      </c>
      <c r="GH105" s="4">
        <v>185</v>
      </c>
      <c r="GI105" s="4">
        <v>183</v>
      </c>
      <c r="GJ105" s="4">
        <v>181</v>
      </c>
      <c r="GK105" s="4">
        <v>179</v>
      </c>
      <c r="GL105" s="4">
        <v>174</v>
      </c>
      <c r="GM105" s="4">
        <v>171</v>
      </c>
      <c r="GN105" s="4">
        <v>168</v>
      </c>
      <c r="GO105" s="4">
        <v>165</v>
      </c>
      <c r="GP105" s="4">
        <v>161</v>
      </c>
      <c r="GQ105" s="4">
        <v>154</v>
      </c>
      <c r="GR105" s="4">
        <v>147</v>
      </c>
      <c r="GS105" s="4">
        <v>141</v>
      </c>
      <c r="GT105" s="4">
        <v>137</v>
      </c>
      <c r="GU105" s="4">
        <v>134</v>
      </c>
      <c r="GV105" s="4">
        <v>131</v>
      </c>
      <c r="GW105" s="4">
        <v>128</v>
      </c>
      <c r="GX105" s="4">
        <v>125</v>
      </c>
      <c r="GY105" s="4">
        <v>122</v>
      </c>
      <c r="GZ105" s="4">
        <v>119</v>
      </c>
      <c r="HA105" s="4">
        <v>116</v>
      </c>
      <c r="HB105" s="4">
        <v>113</v>
      </c>
      <c r="HC105" s="4">
        <v>110</v>
      </c>
      <c r="HD105" s="19">
        <v>96.5</v>
      </c>
      <c r="HE105" s="19">
        <v>95.5</v>
      </c>
      <c r="HF105" s="19">
        <v>94.5</v>
      </c>
      <c r="HG105" s="19">
        <v>93.5</v>
      </c>
      <c r="HH105" s="19">
        <v>61.7</v>
      </c>
      <c r="HI105" s="19">
        <v>61</v>
      </c>
      <c r="HJ105" s="19">
        <v>60.3</v>
      </c>
      <c r="HK105" s="19">
        <v>44.8</v>
      </c>
      <c r="HL105" s="19">
        <v>58</v>
      </c>
      <c r="HM105" s="19">
        <v>42.8</v>
      </c>
      <c r="HN105" s="19">
        <v>33.6</v>
      </c>
      <c r="HO105" s="19">
        <v>27.5</v>
      </c>
      <c r="HP105" s="19">
        <v>26.8</v>
      </c>
      <c r="HQ105" s="19">
        <v>30.8</v>
      </c>
      <c r="HR105" s="19">
        <v>36.8</v>
      </c>
      <c r="HS105" s="19">
        <v>47</v>
      </c>
      <c r="HT105" s="19">
        <v>45.7</v>
      </c>
      <c r="HU105" s="19">
        <v>44.7</v>
      </c>
      <c r="HV105" s="19">
        <v>43.7</v>
      </c>
      <c r="HW105" s="19">
        <v>42.7</v>
      </c>
      <c r="HX105" s="19">
        <v>41.7</v>
      </c>
      <c r="HY105" s="19">
        <v>40.7</v>
      </c>
      <c r="HZ105" s="19">
        <v>39.7</v>
      </c>
      <c r="IA105" s="19">
        <v>38.7</v>
      </c>
      <c r="IB105" s="19">
        <v>37.7</v>
      </c>
      <c r="IC105" s="19">
        <v>36.7</v>
      </c>
    </row>
    <row r="106">
      <c r="A106" s="2" t="s">
        <v>561</v>
      </c>
      <c r="B106" s="2" t="s">
        <v>323</v>
      </c>
      <c r="C106" s="2" t="s">
        <v>324</v>
      </c>
      <c r="D106" s="2" t="s">
        <v>257</v>
      </c>
      <c r="E106" s="2" t="s">
        <v>258</v>
      </c>
      <c r="F106" s="2" t="s">
        <v>498</v>
      </c>
      <c r="G106" s="2" t="s">
        <v>498</v>
      </c>
      <c r="H106" s="2" t="s">
        <v>498</v>
      </c>
      <c r="I106" s="2" t="s">
        <v>499</v>
      </c>
      <c r="J106" s="2" t="s">
        <v>250</v>
      </c>
      <c r="K106" s="2" t="s">
        <v>351</v>
      </c>
      <c r="L106" s="3">
        <v>18.61</v>
      </c>
      <c r="M106" s="3">
        <v>19.54</v>
      </c>
      <c r="N106" s="3">
        <v>36.99</v>
      </c>
      <c r="O106" s="2" t="s">
        <v>232</v>
      </c>
      <c r="P106" s="2" t="s">
        <v>233</v>
      </c>
      <c r="Q106" s="2" t="s">
        <v>234</v>
      </c>
      <c r="R106" s="2" t="s">
        <v>235</v>
      </c>
      <c r="S106" s="2" t="s">
        <v>558</v>
      </c>
      <c r="T106" s="2" t="s">
        <v>501</v>
      </c>
      <c r="U106" s="2" t="s">
        <v>235</v>
      </c>
      <c r="V106" s="2" t="s">
        <v>238</v>
      </c>
      <c r="W106" s="2" t="s">
        <v>239</v>
      </c>
      <c r="X106" s="2" t="s">
        <v>235</v>
      </c>
      <c r="Y106" s="2" t="s">
        <v>240</v>
      </c>
      <c r="Z106" s="4">
        <v>219</v>
      </c>
      <c r="AA106" s="4">
        <f>=ROUNDDOWN(49.7727272727273,0)</f>
      </c>
      <c r="AB106" s="5">
        <v>4.4</v>
      </c>
      <c r="AC106" s="2" t="s">
        <v>235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235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235</v>
      </c>
      <c r="AW106" s="8" t="s">
        <v>235</v>
      </c>
      <c r="AX106" s="4" t="s">
        <v>235</v>
      </c>
      <c r="AY106" s="8" t="s">
        <v>235</v>
      </c>
      <c r="AZ106" s="7" t="s">
        <v>235</v>
      </c>
      <c r="BA106" s="7" t="s">
        <v>235</v>
      </c>
      <c r="BB106" s="7"/>
      <c r="BC106" s="4" t="s">
        <v>235</v>
      </c>
      <c r="BD106" s="8" t="s">
        <v>235</v>
      </c>
      <c r="BE106" s="4" t="s">
        <v>235</v>
      </c>
      <c r="BF106" s="8" t="s">
        <v>235</v>
      </c>
      <c r="BG106" s="7" t="s">
        <v>235</v>
      </c>
      <c r="BH106" s="7" t="s">
        <v>235</v>
      </c>
      <c r="BI106" s="7"/>
      <c r="BJ106" s="4">
        <v>10</v>
      </c>
      <c r="BK106" s="8">
        <v>213.85</v>
      </c>
      <c r="BL106" s="2" t="s">
        <v>562</v>
      </c>
      <c r="BM106" s="7"/>
      <c r="BN106" s="7"/>
      <c r="BO106" s="4"/>
      <c r="BP106" s="8"/>
      <c r="BQ106" s="4"/>
      <c r="BR106" s="8"/>
      <c r="BS106" s="7"/>
      <c r="BT106" s="7"/>
      <c r="BU106" s="2" t="s">
        <v>503</v>
      </c>
      <c r="BV106" s="2" t="s">
        <v>243</v>
      </c>
      <c r="BW106" s="2" t="s">
        <v>235</v>
      </c>
      <c r="BX106" s="2" t="s">
        <v>244</v>
      </c>
      <c r="BY106" s="2" t="s">
        <v>245</v>
      </c>
      <c r="BZ106" s="2" t="s">
        <v>232</v>
      </c>
      <c r="CA106" s="2" t="s">
        <v>252</v>
      </c>
      <c r="CB106" s="2" t="s">
        <v>247</v>
      </c>
      <c r="CC106" s="2" t="s">
        <v>248</v>
      </c>
      <c r="CD106" s="2" t="s">
        <v>248</v>
      </c>
      <c r="CE106" s="2" t="s">
        <v>235</v>
      </c>
      <c r="CF106" s="4">
        <v>219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>
        <v>219</v>
      </c>
      <c r="GE106" s="4">
        <v>208</v>
      </c>
      <c r="GF106" s="4">
        <v>204</v>
      </c>
      <c r="GG106" s="4">
        <v>200</v>
      </c>
      <c r="GH106" s="4">
        <v>196</v>
      </c>
      <c r="GI106" s="4">
        <v>192</v>
      </c>
      <c r="GJ106" s="4">
        <v>186</v>
      </c>
      <c r="GK106" s="4">
        <v>180</v>
      </c>
      <c r="GL106" s="4">
        <v>175</v>
      </c>
      <c r="GM106" s="4">
        <v>171</v>
      </c>
      <c r="GN106" s="4">
        <v>167</v>
      </c>
      <c r="GO106" s="4">
        <v>162</v>
      </c>
      <c r="GP106" s="4">
        <v>157</v>
      </c>
      <c r="GQ106" s="4">
        <v>147</v>
      </c>
      <c r="GR106" s="4">
        <v>137</v>
      </c>
      <c r="GS106" s="4">
        <v>129</v>
      </c>
      <c r="GT106" s="4">
        <v>124</v>
      </c>
      <c r="GU106" s="4">
        <v>120</v>
      </c>
      <c r="GV106" s="4">
        <v>116</v>
      </c>
      <c r="GW106" s="4">
        <v>112</v>
      </c>
      <c r="GX106" s="4">
        <v>108</v>
      </c>
      <c r="GY106" s="4">
        <v>104</v>
      </c>
      <c r="GZ106" s="4">
        <v>100</v>
      </c>
      <c r="HA106" s="4">
        <v>96</v>
      </c>
      <c r="HB106" s="4">
        <v>92</v>
      </c>
      <c r="HC106" s="4">
        <v>87</v>
      </c>
      <c r="HD106" s="19">
        <v>36.5</v>
      </c>
      <c r="HE106" s="19">
        <v>52</v>
      </c>
      <c r="HF106" s="19">
        <v>51</v>
      </c>
      <c r="HG106" s="19">
        <v>40</v>
      </c>
      <c r="HH106" s="19">
        <v>39.2</v>
      </c>
      <c r="HI106" s="19">
        <v>38.4</v>
      </c>
      <c r="HJ106" s="19">
        <v>37.2</v>
      </c>
      <c r="HK106" s="19">
        <v>45</v>
      </c>
      <c r="HL106" s="19">
        <v>43.8</v>
      </c>
      <c r="HM106" s="19">
        <v>28.5</v>
      </c>
      <c r="HN106" s="19">
        <v>20.9</v>
      </c>
      <c r="HO106" s="19">
        <v>20.3</v>
      </c>
      <c r="HP106" s="19">
        <v>19.6</v>
      </c>
      <c r="HQ106" s="19">
        <v>21</v>
      </c>
      <c r="HR106" s="19">
        <v>27.4</v>
      </c>
      <c r="HS106" s="19">
        <v>32.3</v>
      </c>
      <c r="HT106" s="19">
        <v>31</v>
      </c>
      <c r="HU106" s="19">
        <v>30</v>
      </c>
      <c r="HV106" s="19">
        <v>29</v>
      </c>
      <c r="HW106" s="19">
        <v>28</v>
      </c>
      <c r="HX106" s="19">
        <v>27</v>
      </c>
      <c r="HY106" s="19">
        <v>26</v>
      </c>
      <c r="HZ106" s="19">
        <v>25</v>
      </c>
      <c r="IA106" s="19">
        <v>24</v>
      </c>
      <c r="IB106" s="19">
        <v>23</v>
      </c>
      <c r="IC106" s="19">
        <v>21.8</v>
      </c>
    </row>
    <row r="107">
      <c r="A107" s="2" t="s">
        <v>563</v>
      </c>
      <c r="B107" s="2" t="s">
        <v>323</v>
      </c>
      <c r="C107" s="2" t="s">
        <v>324</v>
      </c>
      <c r="D107" s="2" t="s">
        <v>257</v>
      </c>
      <c r="E107" s="2" t="s">
        <v>258</v>
      </c>
      <c r="F107" s="2" t="s">
        <v>498</v>
      </c>
      <c r="G107" s="2" t="s">
        <v>498</v>
      </c>
      <c r="H107" s="2" t="s">
        <v>498</v>
      </c>
      <c r="I107" s="2" t="s">
        <v>499</v>
      </c>
      <c r="J107" s="2" t="s">
        <v>272</v>
      </c>
      <c r="K107" s="2" t="s">
        <v>351</v>
      </c>
      <c r="L107" s="3">
        <v>24.16</v>
      </c>
      <c r="M107" s="3">
        <v>25.37</v>
      </c>
      <c r="N107" s="3">
        <v>49.99</v>
      </c>
      <c r="O107" s="2" t="s">
        <v>232</v>
      </c>
      <c r="P107" s="2" t="s">
        <v>233</v>
      </c>
      <c r="Q107" s="2" t="s">
        <v>234</v>
      </c>
      <c r="R107" s="2" t="s">
        <v>235</v>
      </c>
      <c r="S107" s="2" t="s">
        <v>558</v>
      </c>
      <c r="T107" s="2" t="s">
        <v>501</v>
      </c>
      <c r="U107" s="2" t="s">
        <v>235</v>
      </c>
      <c r="V107" s="2" t="s">
        <v>238</v>
      </c>
      <c r="W107" s="2" t="s">
        <v>239</v>
      </c>
      <c r="X107" s="2" t="s">
        <v>235</v>
      </c>
      <c r="Y107" s="2" t="s">
        <v>240</v>
      </c>
      <c r="Z107" s="4">
        <v>113</v>
      </c>
      <c r="AA107" s="4">
        <f>=ROUNDDOWN(59.4736842105263,0)</f>
      </c>
      <c r="AB107" s="5">
        <v>1.9</v>
      </c>
      <c r="AC107" s="2" t="s">
        <v>235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235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235</v>
      </c>
      <c r="AW107" s="8" t="s">
        <v>235</v>
      </c>
      <c r="AX107" s="4" t="s">
        <v>235</v>
      </c>
      <c r="AY107" s="8" t="s">
        <v>235</v>
      </c>
      <c r="AZ107" s="7" t="s">
        <v>235</v>
      </c>
      <c r="BA107" s="7" t="s">
        <v>235</v>
      </c>
      <c r="BB107" s="7"/>
      <c r="BC107" s="4" t="s">
        <v>235</v>
      </c>
      <c r="BD107" s="8" t="s">
        <v>235</v>
      </c>
      <c r="BE107" s="4" t="s">
        <v>235</v>
      </c>
      <c r="BF107" s="8" t="s">
        <v>235</v>
      </c>
      <c r="BG107" s="7" t="s">
        <v>235</v>
      </c>
      <c r="BH107" s="7" t="s">
        <v>235</v>
      </c>
      <c r="BI107" s="7"/>
      <c r="BJ107" s="4">
        <v>9</v>
      </c>
      <c r="BK107" s="8">
        <v>235.67</v>
      </c>
      <c r="BL107" s="2" t="s">
        <v>564</v>
      </c>
      <c r="BM107" s="7"/>
      <c r="BN107" s="7"/>
      <c r="BO107" s="4"/>
      <c r="BP107" s="8"/>
      <c r="BQ107" s="4"/>
      <c r="BR107" s="8"/>
      <c r="BS107" s="7"/>
      <c r="BT107" s="7"/>
      <c r="BU107" s="2" t="s">
        <v>503</v>
      </c>
      <c r="BV107" s="2" t="s">
        <v>243</v>
      </c>
      <c r="BW107" s="2" t="s">
        <v>235</v>
      </c>
      <c r="BX107" s="2" t="s">
        <v>244</v>
      </c>
      <c r="BY107" s="2" t="s">
        <v>245</v>
      </c>
      <c r="BZ107" s="2" t="s">
        <v>232</v>
      </c>
      <c r="CA107" s="2" t="s">
        <v>252</v>
      </c>
      <c r="CB107" s="2" t="s">
        <v>565</v>
      </c>
      <c r="CC107" s="2" t="s">
        <v>248</v>
      </c>
      <c r="CD107" s="2" t="s">
        <v>248</v>
      </c>
      <c r="CE107" s="2" t="s">
        <v>235</v>
      </c>
      <c r="CF107" s="4">
        <v>113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>
        <v>116</v>
      </c>
      <c r="GE107" s="4">
        <v>112</v>
      </c>
      <c r="GF107" s="4">
        <v>110</v>
      </c>
      <c r="GG107" s="4">
        <v>108</v>
      </c>
      <c r="GH107" s="4">
        <v>106</v>
      </c>
      <c r="GI107" s="4">
        <v>104</v>
      </c>
      <c r="GJ107" s="4">
        <v>102</v>
      </c>
      <c r="GK107" s="4">
        <v>100</v>
      </c>
      <c r="GL107" s="4">
        <v>98</v>
      </c>
      <c r="GM107" s="4">
        <v>96</v>
      </c>
      <c r="GN107" s="4">
        <v>94</v>
      </c>
      <c r="GO107" s="4">
        <v>92</v>
      </c>
      <c r="GP107" s="4">
        <v>90</v>
      </c>
      <c r="GQ107" s="4">
        <v>85</v>
      </c>
      <c r="GR107" s="4">
        <v>81</v>
      </c>
      <c r="GS107" s="4">
        <v>78</v>
      </c>
      <c r="GT107" s="4">
        <v>76</v>
      </c>
      <c r="GU107" s="4">
        <v>74</v>
      </c>
      <c r="GV107" s="4">
        <v>72</v>
      </c>
      <c r="GW107" s="4">
        <v>70</v>
      </c>
      <c r="GX107" s="4">
        <v>68</v>
      </c>
      <c r="GY107" s="4">
        <v>66</v>
      </c>
      <c r="GZ107" s="4">
        <v>64</v>
      </c>
      <c r="HA107" s="4">
        <v>62</v>
      </c>
      <c r="HB107" s="4">
        <v>60</v>
      </c>
      <c r="HC107" s="4">
        <v>58</v>
      </c>
      <c r="HD107" s="19">
        <v>58</v>
      </c>
      <c r="HE107" s="19">
        <v>56</v>
      </c>
      <c r="HF107" s="19">
        <v>55</v>
      </c>
      <c r="HG107" s="19">
        <v>54</v>
      </c>
      <c r="HH107" s="19">
        <v>53</v>
      </c>
      <c r="HI107" s="19">
        <v>52</v>
      </c>
      <c r="HJ107" s="19">
        <v>51</v>
      </c>
      <c r="HK107" s="19">
        <v>50</v>
      </c>
      <c r="HL107" s="19">
        <v>49</v>
      </c>
      <c r="HM107" s="19">
        <v>32</v>
      </c>
      <c r="HN107" s="19">
        <v>31.3</v>
      </c>
      <c r="HO107" s="19">
        <v>23</v>
      </c>
      <c r="HP107" s="19">
        <v>22.5</v>
      </c>
      <c r="HQ107" s="19">
        <v>28.3</v>
      </c>
      <c r="HR107" s="19">
        <v>40.5</v>
      </c>
      <c r="HS107" s="19">
        <v>39</v>
      </c>
      <c r="HT107" s="19">
        <v>38</v>
      </c>
      <c r="HU107" s="19">
        <v>37</v>
      </c>
      <c r="HV107" s="19">
        <v>36</v>
      </c>
      <c r="HW107" s="19">
        <v>35</v>
      </c>
      <c r="HX107" s="19">
        <v>34</v>
      </c>
      <c r="HY107" s="19">
        <v>33</v>
      </c>
      <c r="HZ107" s="19">
        <v>32</v>
      </c>
      <c r="IA107" s="19">
        <v>31</v>
      </c>
      <c r="IB107" s="19">
        <v>30</v>
      </c>
      <c r="IC107" s="19">
        <v>29</v>
      </c>
    </row>
    <row r="108">
      <c r="A108" s="2" t="s">
        <v>566</v>
      </c>
      <c r="B108" s="2" t="s">
        <v>323</v>
      </c>
      <c r="C108" s="2" t="s">
        <v>324</v>
      </c>
      <c r="D108" s="2" t="s">
        <v>257</v>
      </c>
      <c r="E108" s="2" t="s">
        <v>258</v>
      </c>
      <c r="F108" s="2" t="s">
        <v>498</v>
      </c>
      <c r="G108" s="2" t="s">
        <v>498</v>
      </c>
      <c r="H108" s="2" t="s">
        <v>498</v>
      </c>
      <c r="I108" s="2" t="s">
        <v>499</v>
      </c>
      <c r="J108" s="2" t="s">
        <v>272</v>
      </c>
      <c r="K108" s="2" t="s">
        <v>567</v>
      </c>
      <c r="L108" s="3">
        <v>21.5</v>
      </c>
      <c r="M108" s="3">
        <v>22.58</v>
      </c>
      <c r="N108" s="3">
        <v>42.99</v>
      </c>
      <c r="O108" s="2" t="s">
        <v>485</v>
      </c>
      <c r="P108" s="2" t="s">
        <v>408</v>
      </c>
      <c r="Q108" s="2" t="s">
        <v>234</v>
      </c>
      <c r="R108" s="2" t="s">
        <v>235</v>
      </c>
      <c r="S108" s="2" t="s">
        <v>568</v>
      </c>
      <c r="T108" s="2" t="s">
        <v>501</v>
      </c>
      <c r="U108" s="2" t="s">
        <v>264</v>
      </c>
      <c r="V108" s="2" t="s">
        <v>238</v>
      </c>
      <c r="W108" s="2" t="s">
        <v>239</v>
      </c>
      <c r="X108" s="2" t="s">
        <v>235</v>
      </c>
      <c r="Y108" s="2" t="s">
        <v>553</v>
      </c>
      <c r="Z108" s="4"/>
      <c r="AA108" s="4">
        <f>=ROUNDDOWN({0},0)</f>
      </c>
      <c r="AB108" s="5">
        <v>1</v>
      </c>
      <c r="AC108" s="2" t="s">
        <v>235</v>
      </c>
      <c r="AD108" s="4"/>
      <c r="AE108" s="4"/>
      <c r="AF108" s="6">
        <v>65</v>
      </c>
      <c r="AG108" s="6"/>
      <c r="AH108" s="7">
        <v>0.8387</v>
      </c>
      <c r="AI108" s="4"/>
      <c r="AJ108" s="4">
        <f>=ROUNDDOWN({0},0)</f>
      </c>
      <c r="AK108" s="5"/>
      <c r="AL108" s="2" t="s">
        <v>235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235</v>
      </c>
      <c r="BD108" s="8" t="s">
        <v>235</v>
      </c>
      <c r="BE108" s="4" t="s">
        <v>235</v>
      </c>
      <c r="BF108" s="8" t="s">
        <v>235</v>
      </c>
      <c r="BG108" s="7" t="s">
        <v>235</v>
      </c>
      <c r="BH108" s="7" t="s">
        <v>235</v>
      </c>
      <c r="BI108" s="7"/>
      <c r="BJ108" s="4">
        <v>1</v>
      </c>
      <c r="BK108" s="8">
        <v>23.48</v>
      </c>
      <c r="BL108" s="2" t="s">
        <v>569</v>
      </c>
      <c r="BM108" s="7"/>
      <c r="BN108" s="7"/>
      <c r="BO108" s="4"/>
      <c r="BP108" s="8"/>
      <c r="BQ108" s="4"/>
      <c r="BR108" s="8"/>
      <c r="BS108" s="7"/>
      <c r="BT108" s="7"/>
      <c r="BU108" s="2" t="s">
        <v>503</v>
      </c>
      <c r="BV108" s="2" t="s">
        <v>243</v>
      </c>
      <c r="BW108" s="2" t="s">
        <v>235</v>
      </c>
      <c r="BX108" s="2" t="s">
        <v>414</v>
      </c>
      <c r="BY108" s="2" t="s">
        <v>245</v>
      </c>
      <c r="BZ108" s="2" t="s">
        <v>232</v>
      </c>
      <c r="CA108" s="2" t="s">
        <v>570</v>
      </c>
      <c r="CB108" s="2" t="s">
        <v>571</v>
      </c>
      <c r="CC108" s="2" t="s">
        <v>492</v>
      </c>
      <c r="CD108" s="2" t="s">
        <v>248</v>
      </c>
      <c r="CE108" s="2" t="s">
        <v>235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>
        <v>22</v>
      </c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19">
        <v>3.7</v>
      </c>
      <c r="HE108" s="20">
        <v>0</v>
      </c>
      <c r="HF108" s="20">
        <v>0</v>
      </c>
      <c r="HG108" s="20">
        <v>0</v>
      </c>
      <c r="HH108" s="20">
        <v>0</v>
      </c>
      <c r="HI108" s="20">
        <v>0</v>
      </c>
      <c r="HJ108" s="20">
        <v>0</v>
      </c>
      <c r="HK108" s="20">
        <v>0</v>
      </c>
      <c r="HL108" s="20">
        <v>0</v>
      </c>
      <c r="HM108" s="20">
        <v>0</v>
      </c>
      <c r="HN108" s="20">
        <v>0</v>
      </c>
      <c r="HO108" s="20">
        <v>0</v>
      </c>
      <c r="HP108" s="20">
        <v>0</v>
      </c>
      <c r="HQ108" s="20">
        <v>0</v>
      </c>
      <c r="HR108" s="20">
        <v>0</v>
      </c>
      <c r="HS108" s="20">
        <v>0</v>
      </c>
      <c r="HT108" s="20">
        <v>0</v>
      </c>
      <c r="HU108" s="20">
        <v>0</v>
      </c>
      <c r="HV108" s="20">
        <v>0</v>
      </c>
      <c r="HW108" s="20">
        <v>0</v>
      </c>
      <c r="HX108" s="20">
        <v>0</v>
      </c>
      <c r="HY108" s="20">
        <v>0</v>
      </c>
      <c r="HZ108" s="20">
        <v>0</v>
      </c>
      <c r="IA108" s="20">
        <v>0</v>
      </c>
      <c r="IB108" s="20">
        <v>0</v>
      </c>
      <c r="IC108" s="20">
        <v>0</v>
      </c>
    </row>
    <row r="109">
      <c r="A109" s="2" t="s">
        <v>572</v>
      </c>
      <c r="B109" s="2" t="s">
        <v>323</v>
      </c>
      <c r="C109" s="2" t="s">
        <v>324</v>
      </c>
      <c r="D109" s="2" t="s">
        <v>257</v>
      </c>
      <c r="E109" s="2" t="s">
        <v>258</v>
      </c>
      <c r="F109" s="2" t="s">
        <v>498</v>
      </c>
      <c r="G109" s="2" t="s">
        <v>498</v>
      </c>
      <c r="H109" s="2" t="s">
        <v>498</v>
      </c>
      <c r="I109" s="2" t="s">
        <v>499</v>
      </c>
      <c r="J109" s="2" t="s">
        <v>230</v>
      </c>
      <c r="K109" s="2" t="s">
        <v>316</v>
      </c>
      <c r="L109" s="3">
        <v>16.92</v>
      </c>
      <c r="M109" s="3">
        <v>17.77</v>
      </c>
      <c r="N109" s="3">
        <v>34.99</v>
      </c>
      <c r="O109" s="2" t="s">
        <v>232</v>
      </c>
      <c r="P109" s="2" t="s">
        <v>233</v>
      </c>
      <c r="Q109" s="2" t="s">
        <v>234</v>
      </c>
      <c r="R109" s="2" t="s">
        <v>235</v>
      </c>
      <c r="S109" s="2" t="s">
        <v>573</v>
      </c>
      <c r="T109" s="2" t="s">
        <v>501</v>
      </c>
      <c r="U109" s="2" t="s">
        <v>235</v>
      </c>
      <c r="V109" s="2" t="s">
        <v>238</v>
      </c>
      <c r="W109" s="2" t="s">
        <v>239</v>
      </c>
      <c r="X109" s="2" t="s">
        <v>235</v>
      </c>
      <c r="Y109" s="2" t="s">
        <v>240</v>
      </c>
      <c r="Z109" s="4">
        <v>140</v>
      </c>
      <c r="AA109" s="4">
        <f>=ROUNDDOWN(46.6666666666667,0)</f>
      </c>
      <c r="AB109" s="5">
        <v>3</v>
      </c>
      <c r="AC109" s="2" t="s">
        <v>574</v>
      </c>
      <c r="AD109" s="4">
        <v>30</v>
      </c>
      <c r="AE109" s="4">
        <v>30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235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235</v>
      </c>
      <c r="AW109" s="8" t="s">
        <v>235</v>
      </c>
      <c r="AX109" s="4" t="s">
        <v>235</v>
      </c>
      <c r="AY109" s="8" t="s">
        <v>235</v>
      </c>
      <c r="AZ109" s="7" t="s">
        <v>235</v>
      </c>
      <c r="BA109" s="7" t="s">
        <v>235</v>
      </c>
      <c r="BB109" s="7"/>
      <c r="BC109" s="4" t="s">
        <v>235</v>
      </c>
      <c r="BD109" s="8" t="s">
        <v>235</v>
      </c>
      <c r="BE109" s="4" t="s">
        <v>235</v>
      </c>
      <c r="BF109" s="8" t="s">
        <v>235</v>
      </c>
      <c r="BG109" s="7" t="s">
        <v>235</v>
      </c>
      <c r="BH109" s="7" t="s">
        <v>235</v>
      </c>
      <c r="BI109" s="7"/>
      <c r="BJ109" s="4">
        <v>17</v>
      </c>
      <c r="BK109" s="8">
        <v>312.75</v>
      </c>
      <c r="BL109" s="2" t="s">
        <v>575</v>
      </c>
      <c r="BM109" s="7"/>
      <c r="BN109" s="7"/>
      <c r="BO109" s="4"/>
      <c r="BP109" s="8"/>
      <c r="BQ109" s="4"/>
      <c r="BR109" s="8"/>
      <c r="BS109" s="7"/>
      <c r="BT109" s="7"/>
      <c r="BU109" s="2" t="s">
        <v>503</v>
      </c>
      <c r="BV109" s="2" t="s">
        <v>243</v>
      </c>
      <c r="BW109" s="2" t="s">
        <v>235</v>
      </c>
      <c r="BX109" s="2" t="s">
        <v>244</v>
      </c>
      <c r="BY109" s="2" t="s">
        <v>245</v>
      </c>
      <c r="BZ109" s="2" t="s">
        <v>232</v>
      </c>
      <c r="CA109" s="2" t="s">
        <v>252</v>
      </c>
      <c r="CB109" s="2" t="s">
        <v>576</v>
      </c>
      <c r="CC109" s="2" t="s">
        <v>248</v>
      </c>
      <c r="CD109" s="2" t="s">
        <v>248</v>
      </c>
      <c r="CE109" s="2" t="s">
        <v>235</v>
      </c>
      <c r="CF109" s="4">
        <v>140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>
        <v>30</v>
      </c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>
        <v>140</v>
      </c>
      <c r="GE109" s="4">
        <v>137</v>
      </c>
      <c r="GF109" s="4">
        <v>134</v>
      </c>
      <c r="GG109" s="4">
        <v>131</v>
      </c>
      <c r="GH109" s="4">
        <v>128</v>
      </c>
      <c r="GI109" s="4">
        <v>125</v>
      </c>
      <c r="GJ109" s="4">
        <v>122</v>
      </c>
      <c r="GK109" s="4">
        <v>119</v>
      </c>
      <c r="GL109" s="4">
        <v>116</v>
      </c>
      <c r="GM109" s="4">
        <v>143</v>
      </c>
      <c r="GN109" s="4">
        <v>140</v>
      </c>
      <c r="GO109" s="4">
        <v>136</v>
      </c>
      <c r="GP109" s="4">
        <v>131</v>
      </c>
      <c r="GQ109" s="4">
        <v>122</v>
      </c>
      <c r="GR109" s="4">
        <v>110</v>
      </c>
      <c r="GS109" s="4">
        <v>100</v>
      </c>
      <c r="GT109" s="4">
        <v>95</v>
      </c>
      <c r="GU109" s="4">
        <v>91</v>
      </c>
      <c r="GV109" s="4">
        <v>88</v>
      </c>
      <c r="GW109" s="4">
        <v>85</v>
      </c>
      <c r="GX109" s="4">
        <v>82</v>
      </c>
      <c r="GY109" s="4">
        <v>79</v>
      </c>
      <c r="GZ109" s="4">
        <v>76</v>
      </c>
      <c r="HA109" s="4">
        <v>73</v>
      </c>
      <c r="HB109" s="4">
        <v>70</v>
      </c>
      <c r="HC109" s="4">
        <v>66</v>
      </c>
      <c r="HD109" s="19">
        <v>46.7</v>
      </c>
      <c r="HE109" s="19">
        <v>45.7</v>
      </c>
      <c r="HF109" s="19">
        <v>44.7</v>
      </c>
      <c r="HG109" s="19">
        <v>43.7</v>
      </c>
      <c r="HH109" s="19">
        <v>42.7</v>
      </c>
      <c r="HI109" s="19">
        <v>41.7</v>
      </c>
      <c r="HJ109" s="19">
        <v>40.7</v>
      </c>
      <c r="HK109" s="19">
        <v>39.7</v>
      </c>
      <c r="HL109" s="19">
        <v>29</v>
      </c>
      <c r="HM109" s="19">
        <v>28.6</v>
      </c>
      <c r="HN109" s="19">
        <v>17.5</v>
      </c>
      <c r="HO109" s="19">
        <v>15.1</v>
      </c>
      <c r="HP109" s="19">
        <v>14.6</v>
      </c>
      <c r="HQ109" s="19">
        <v>15.3</v>
      </c>
      <c r="HR109" s="19">
        <v>18.3</v>
      </c>
      <c r="HS109" s="19">
        <v>25</v>
      </c>
      <c r="HT109" s="19">
        <v>31.7</v>
      </c>
      <c r="HU109" s="19">
        <v>30.3</v>
      </c>
      <c r="HV109" s="19">
        <v>29.3</v>
      </c>
      <c r="HW109" s="19">
        <v>28.3</v>
      </c>
      <c r="HX109" s="19">
        <v>27.3</v>
      </c>
      <c r="HY109" s="19">
        <v>26.3</v>
      </c>
      <c r="HZ109" s="19">
        <v>25.3</v>
      </c>
      <c r="IA109" s="19">
        <v>24.3</v>
      </c>
      <c r="IB109" s="19">
        <v>23.3</v>
      </c>
      <c r="IC109" s="19">
        <v>22</v>
      </c>
    </row>
    <row r="110">
      <c r="A110" s="2" t="s">
        <v>577</v>
      </c>
      <c r="B110" s="2" t="s">
        <v>323</v>
      </c>
      <c r="C110" s="2" t="s">
        <v>324</v>
      </c>
      <c r="D110" s="2" t="s">
        <v>257</v>
      </c>
      <c r="E110" s="2" t="s">
        <v>258</v>
      </c>
      <c r="F110" s="2" t="s">
        <v>498</v>
      </c>
      <c r="G110" s="2" t="s">
        <v>498</v>
      </c>
      <c r="H110" s="2" t="s">
        <v>498</v>
      </c>
      <c r="I110" s="2" t="s">
        <v>499</v>
      </c>
      <c r="J110" s="2" t="s">
        <v>250</v>
      </c>
      <c r="K110" s="2" t="s">
        <v>316</v>
      </c>
      <c r="L110" s="3">
        <v>18.61</v>
      </c>
      <c r="M110" s="3">
        <v>19.54</v>
      </c>
      <c r="N110" s="3">
        <v>36.99</v>
      </c>
      <c r="O110" s="2" t="s">
        <v>232</v>
      </c>
      <c r="P110" s="2" t="s">
        <v>233</v>
      </c>
      <c r="Q110" s="2" t="s">
        <v>234</v>
      </c>
      <c r="R110" s="2" t="s">
        <v>235</v>
      </c>
      <c r="S110" s="2" t="s">
        <v>573</v>
      </c>
      <c r="T110" s="2" t="s">
        <v>501</v>
      </c>
      <c r="U110" s="2" t="s">
        <v>235</v>
      </c>
      <c r="V110" s="2" t="s">
        <v>238</v>
      </c>
      <c r="W110" s="2" t="s">
        <v>239</v>
      </c>
      <c r="X110" s="2" t="s">
        <v>235</v>
      </c>
      <c r="Y110" s="2" t="s">
        <v>240</v>
      </c>
      <c r="Z110" s="4">
        <v>128</v>
      </c>
      <c r="AA110" s="4">
        <f>=ROUNDDOWN(32.8205128205128,0)</f>
      </c>
      <c r="AB110" s="5">
        <v>3.9</v>
      </c>
      <c r="AC110" s="2" t="s">
        <v>574</v>
      </c>
      <c r="AD110" s="4">
        <v>70</v>
      </c>
      <c r="AE110" s="4">
        <v>70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235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235</v>
      </c>
      <c r="AW110" s="8" t="s">
        <v>235</v>
      </c>
      <c r="AX110" s="4" t="s">
        <v>235</v>
      </c>
      <c r="AY110" s="8" t="s">
        <v>235</v>
      </c>
      <c r="AZ110" s="7" t="s">
        <v>235</v>
      </c>
      <c r="BA110" s="7" t="s">
        <v>235</v>
      </c>
      <c r="BB110" s="7"/>
      <c r="BC110" s="4" t="s">
        <v>235</v>
      </c>
      <c r="BD110" s="8" t="s">
        <v>235</v>
      </c>
      <c r="BE110" s="4" t="s">
        <v>235</v>
      </c>
      <c r="BF110" s="8" t="s">
        <v>235</v>
      </c>
      <c r="BG110" s="7" t="s">
        <v>235</v>
      </c>
      <c r="BH110" s="7" t="s">
        <v>235</v>
      </c>
      <c r="BI110" s="7"/>
      <c r="BJ110" s="4">
        <v>9</v>
      </c>
      <c r="BK110" s="8">
        <v>175.05</v>
      </c>
      <c r="BL110" s="2" t="s">
        <v>578</v>
      </c>
      <c r="BM110" s="7"/>
      <c r="BN110" s="7"/>
      <c r="BO110" s="4"/>
      <c r="BP110" s="8"/>
      <c r="BQ110" s="4"/>
      <c r="BR110" s="8"/>
      <c r="BS110" s="7"/>
      <c r="BT110" s="7"/>
      <c r="BU110" s="2" t="s">
        <v>503</v>
      </c>
      <c r="BV110" s="2" t="s">
        <v>243</v>
      </c>
      <c r="BW110" s="2" t="s">
        <v>235</v>
      </c>
      <c r="BX110" s="2" t="s">
        <v>244</v>
      </c>
      <c r="BY110" s="2" t="s">
        <v>245</v>
      </c>
      <c r="BZ110" s="2" t="s">
        <v>232</v>
      </c>
      <c r="CA110" s="2" t="s">
        <v>252</v>
      </c>
      <c r="CB110" s="2" t="s">
        <v>579</v>
      </c>
      <c r="CC110" s="2" t="s">
        <v>248</v>
      </c>
      <c r="CD110" s="2" t="s">
        <v>248</v>
      </c>
      <c r="CE110" s="2" t="s">
        <v>235</v>
      </c>
      <c r="CF110" s="4">
        <v>128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>
        <v>70</v>
      </c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>
        <v>132</v>
      </c>
      <c r="GE110" s="4">
        <v>128</v>
      </c>
      <c r="GF110" s="4">
        <v>124</v>
      </c>
      <c r="GG110" s="4">
        <v>120</v>
      </c>
      <c r="GH110" s="4">
        <v>116</v>
      </c>
      <c r="GI110" s="4">
        <v>112</v>
      </c>
      <c r="GJ110" s="4">
        <v>108</v>
      </c>
      <c r="GK110" s="4">
        <v>104</v>
      </c>
      <c r="GL110" s="4">
        <v>100</v>
      </c>
      <c r="GM110" s="4">
        <v>166</v>
      </c>
      <c r="GN110" s="4">
        <v>162</v>
      </c>
      <c r="GO110" s="4">
        <v>157</v>
      </c>
      <c r="GP110" s="4">
        <v>151</v>
      </c>
      <c r="GQ110" s="4">
        <v>139</v>
      </c>
      <c r="GR110" s="4">
        <v>127</v>
      </c>
      <c r="GS110" s="4">
        <v>117</v>
      </c>
      <c r="GT110" s="4">
        <v>112</v>
      </c>
      <c r="GU110" s="4">
        <v>108</v>
      </c>
      <c r="GV110" s="4">
        <v>104</v>
      </c>
      <c r="GW110" s="4">
        <v>100</v>
      </c>
      <c r="GX110" s="4">
        <v>96</v>
      </c>
      <c r="GY110" s="4">
        <v>92</v>
      </c>
      <c r="GZ110" s="4">
        <v>88</v>
      </c>
      <c r="HA110" s="4">
        <v>84</v>
      </c>
      <c r="HB110" s="4">
        <v>80</v>
      </c>
      <c r="HC110" s="4">
        <v>75</v>
      </c>
      <c r="HD110" s="19">
        <v>33</v>
      </c>
      <c r="HE110" s="19">
        <v>32</v>
      </c>
      <c r="HF110" s="19">
        <v>31</v>
      </c>
      <c r="HG110" s="19">
        <v>30</v>
      </c>
      <c r="HH110" s="19">
        <v>29</v>
      </c>
      <c r="HI110" s="19">
        <v>28</v>
      </c>
      <c r="HJ110" s="19">
        <v>27</v>
      </c>
      <c r="HK110" s="19">
        <v>26</v>
      </c>
      <c r="HL110" s="19">
        <v>20</v>
      </c>
      <c r="HM110" s="19">
        <v>23.7</v>
      </c>
      <c r="HN110" s="19">
        <v>18</v>
      </c>
      <c r="HO110" s="19">
        <v>15.7</v>
      </c>
      <c r="HP110" s="19">
        <v>15.1</v>
      </c>
      <c r="HQ110" s="19">
        <v>17.4</v>
      </c>
      <c r="HR110" s="19">
        <v>21.2</v>
      </c>
      <c r="HS110" s="19">
        <v>29.3</v>
      </c>
      <c r="HT110" s="19">
        <v>28</v>
      </c>
      <c r="HU110" s="19">
        <v>27</v>
      </c>
      <c r="HV110" s="19">
        <v>26</v>
      </c>
      <c r="HW110" s="19">
        <v>25</v>
      </c>
      <c r="HX110" s="19">
        <v>24</v>
      </c>
      <c r="HY110" s="19">
        <v>23</v>
      </c>
      <c r="HZ110" s="19">
        <v>22</v>
      </c>
      <c r="IA110" s="19">
        <v>21</v>
      </c>
      <c r="IB110" s="19">
        <v>20</v>
      </c>
      <c r="IC110" s="19">
        <v>18.8</v>
      </c>
    </row>
    <row r="111">
      <c r="A111" s="2" t="s">
        <v>580</v>
      </c>
      <c r="B111" s="2" t="s">
        <v>323</v>
      </c>
      <c r="C111" s="2" t="s">
        <v>324</v>
      </c>
      <c r="D111" s="2" t="s">
        <v>257</v>
      </c>
      <c r="E111" s="2" t="s">
        <v>258</v>
      </c>
      <c r="F111" s="2" t="s">
        <v>498</v>
      </c>
      <c r="G111" s="2" t="s">
        <v>498</v>
      </c>
      <c r="H111" s="2" t="s">
        <v>498</v>
      </c>
      <c r="I111" s="2" t="s">
        <v>499</v>
      </c>
      <c r="J111" s="2" t="s">
        <v>272</v>
      </c>
      <c r="K111" s="2" t="s">
        <v>316</v>
      </c>
      <c r="L111" s="3">
        <v>24.16</v>
      </c>
      <c r="M111" s="3">
        <v>25.37</v>
      </c>
      <c r="N111" s="3">
        <v>49.99</v>
      </c>
      <c r="O111" s="2" t="s">
        <v>232</v>
      </c>
      <c r="P111" s="2" t="s">
        <v>233</v>
      </c>
      <c r="Q111" s="2" t="s">
        <v>234</v>
      </c>
      <c r="R111" s="2" t="s">
        <v>235</v>
      </c>
      <c r="S111" s="2" t="s">
        <v>573</v>
      </c>
      <c r="T111" s="2" t="s">
        <v>501</v>
      </c>
      <c r="U111" s="2" t="s">
        <v>235</v>
      </c>
      <c r="V111" s="2" t="s">
        <v>238</v>
      </c>
      <c r="W111" s="2" t="s">
        <v>239</v>
      </c>
      <c r="X111" s="2" t="s">
        <v>235</v>
      </c>
      <c r="Y111" s="2" t="s">
        <v>240</v>
      </c>
      <c r="Z111" s="4">
        <v>97</v>
      </c>
      <c r="AA111" s="4">
        <f>=ROUNDDOWN(88.1818181818182,0)</f>
      </c>
      <c r="AB111" s="5">
        <v>1.1</v>
      </c>
      <c r="AC111" s="2" t="s">
        <v>235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235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235</v>
      </c>
      <c r="AW111" s="8" t="s">
        <v>235</v>
      </c>
      <c r="AX111" s="4" t="s">
        <v>235</v>
      </c>
      <c r="AY111" s="8" t="s">
        <v>235</v>
      </c>
      <c r="AZ111" s="7" t="s">
        <v>235</v>
      </c>
      <c r="BA111" s="7" t="s">
        <v>235</v>
      </c>
      <c r="BB111" s="7"/>
      <c r="BC111" s="4" t="s">
        <v>235</v>
      </c>
      <c r="BD111" s="8" t="s">
        <v>235</v>
      </c>
      <c r="BE111" s="4" t="s">
        <v>235</v>
      </c>
      <c r="BF111" s="8" t="s">
        <v>235</v>
      </c>
      <c r="BG111" s="7" t="s">
        <v>235</v>
      </c>
      <c r="BH111" s="7" t="s">
        <v>235</v>
      </c>
      <c r="BI111" s="7"/>
      <c r="BJ111" s="4">
        <v>3</v>
      </c>
      <c r="BK111" s="8">
        <v>69.57</v>
      </c>
      <c r="BL111" s="2" t="s">
        <v>536</v>
      </c>
      <c r="BM111" s="7"/>
      <c r="BN111" s="7"/>
      <c r="BO111" s="4"/>
      <c r="BP111" s="8"/>
      <c r="BQ111" s="4"/>
      <c r="BR111" s="8"/>
      <c r="BS111" s="7"/>
      <c r="BT111" s="7"/>
      <c r="BU111" s="2" t="s">
        <v>503</v>
      </c>
      <c r="BV111" s="2" t="s">
        <v>243</v>
      </c>
      <c r="BW111" s="2" t="s">
        <v>235</v>
      </c>
      <c r="BX111" s="2" t="s">
        <v>244</v>
      </c>
      <c r="BY111" s="2" t="s">
        <v>245</v>
      </c>
      <c r="BZ111" s="2" t="s">
        <v>232</v>
      </c>
      <c r="CA111" s="2" t="s">
        <v>252</v>
      </c>
      <c r="CB111" s="2" t="s">
        <v>581</v>
      </c>
      <c r="CC111" s="2" t="s">
        <v>248</v>
      </c>
      <c r="CD111" s="2" t="s">
        <v>248</v>
      </c>
      <c r="CE111" s="2" t="s">
        <v>235</v>
      </c>
      <c r="CF111" s="4">
        <v>97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>
        <v>97</v>
      </c>
      <c r="GE111" s="4">
        <v>96</v>
      </c>
      <c r="GF111" s="4">
        <v>95</v>
      </c>
      <c r="GG111" s="4">
        <v>94</v>
      </c>
      <c r="GH111" s="4">
        <v>93</v>
      </c>
      <c r="GI111" s="4">
        <v>92</v>
      </c>
      <c r="GJ111" s="4">
        <v>91</v>
      </c>
      <c r="GK111" s="4">
        <v>90</v>
      </c>
      <c r="GL111" s="4">
        <v>89</v>
      </c>
      <c r="GM111" s="4">
        <v>88</v>
      </c>
      <c r="GN111" s="4">
        <v>87</v>
      </c>
      <c r="GO111" s="4">
        <v>86</v>
      </c>
      <c r="GP111" s="4">
        <v>85</v>
      </c>
      <c r="GQ111" s="4">
        <v>83</v>
      </c>
      <c r="GR111" s="4">
        <v>81</v>
      </c>
      <c r="GS111" s="4">
        <v>79</v>
      </c>
      <c r="GT111" s="4">
        <v>78</v>
      </c>
      <c r="GU111" s="4">
        <v>77</v>
      </c>
      <c r="GV111" s="4">
        <v>76</v>
      </c>
      <c r="GW111" s="4">
        <v>75</v>
      </c>
      <c r="GX111" s="4">
        <v>74</v>
      </c>
      <c r="GY111" s="4">
        <v>73</v>
      </c>
      <c r="GZ111" s="4">
        <v>72</v>
      </c>
      <c r="HA111" s="4">
        <v>71</v>
      </c>
      <c r="HB111" s="4">
        <v>70</v>
      </c>
      <c r="HC111" s="4">
        <v>69</v>
      </c>
      <c r="HD111" s="19">
        <v>97</v>
      </c>
      <c r="HE111" s="19">
        <v>96</v>
      </c>
      <c r="HF111" s="19">
        <v>95</v>
      </c>
      <c r="HG111" s="19">
        <v>94</v>
      </c>
      <c r="HH111" s="19">
        <v>93</v>
      </c>
      <c r="HI111" s="19">
        <v>92</v>
      </c>
      <c r="HJ111" s="19">
        <v>91</v>
      </c>
      <c r="HK111" s="19">
        <v>90</v>
      </c>
      <c r="HL111" s="19">
        <v>89</v>
      </c>
      <c r="HM111" s="19">
        <v>88</v>
      </c>
      <c r="HN111" s="19">
        <v>43.5</v>
      </c>
      <c r="HO111" s="19">
        <v>43</v>
      </c>
      <c r="HP111" s="19">
        <v>42.5</v>
      </c>
      <c r="HQ111" s="19">
        <v>41.5</v>
      </c>
      <c r="HR111" s="19">
        <v>81</v>
      </c>
      <c r="HS111" s="19">
        <v>79</v>
      </c>
      <c r="HT111" s="19">
        <v>78</v>
      </c>
      <c r="HU111" s="19">
        <v>77</v>
      </c>
      <c r="HV111" s="19">
        <v>76</v>
      </c>
      <c r="HW111" s="19">
        <v>75</v>
      </c>
      <c r="HX111" s="19">
        <v>74</v>
      </c>
      <c r="HY111" s="19">
        <v>73</v>
      </c>
      <c r="HZ111" s="19">
        <v>72</v>
      </c>
      <c r="IA111" s="19">
        <v>71</v>
      </c>
      <c r="IB111" s="19">
        <v>70</v>
      </c>
      <c r="IC111" s="19">
        <v>69</v>
      </c>
    </row>
    <row r="112">
      <c r="A112" s="2" t="s">
        <v>582</v>
      </c>
      <c r="B112" s="2" t="s">
        <v>323</v>
      </c>
      <c r="C112" s="2" t="s">
        <v>583</v>
      </c>
      <c r="D112" s="2" t="s">
        <v>257</v>
      </c>
      <c r="E112" s="2" t="s">
        <v>258</v>
      </c>
      <c r="F112" s="2" t="s">
        <v>584</v>
      </c>
      <c r="G112" s="2" t="s">
        <v>584</v>
      </c>
      <c r="H112" s="2" t="s">
        <v>235</v>
      </c>
      <c r="I112" s="2" t="s">
        <v>585</v>
      </c>
      <c r="J112" s="2" t="s">
        <v>250</v>
      </c>
      <c r="K112" s="2" t="s">
        <v>378</v>
      </c>
      <c r="L112" s="3">
        <v>31.68</v>
      </c>
      <c r="M112" s="3">
        <v>33.26</v>
      </c>
      <c r="N112" s="3">
        <v>64.99</v>
      </c>
      <c r="O112" s="2" t="s">
        <v>485</v>
      </c>
      <c r="P112" s="2" t="s">
        <v>408</v>
      </c>
      <c r="Q112" s="2" t="s">
        <v>234</v>
      </c>
      <c r="R112" s="2" t="s">
        <v>235</v>
      </c>
      <c r="S112" s="2" t="s">
        <v>586</v>
      </c>
      <c r="T112" s="2" t="s">
        <v>587</v>
      </c>
      <c r="U112" s="2" t="s">
        <v>235</v>
      </c>
      <c r="V112" s="2" t="s">
        <v>238</v>
      </c>
      <c r="W112" s="2" t="s">
        <v>239</v>
      </c>
      <c r="X112" s="2" t="s">
        <v>235</v>
      </c>
      <c r="Y112" s="2" t="s">
        <v>240</v>
      </c>
      <c r="Z112" s="4">
        <v>181</v>
      </c>
      <c r="AA112" s="4">
        <f>=ROUNDDOWN(82.2727272727273,0)</f>
      </c>
      <c r="AB112" s="5">
        <v>2.2</v>
      </c>
      <c r="AC112" s="2" t="s">
        <v>235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235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235</v>
      </c>
      <c r="AW112" s="8" t="s">
        <v>235</v>
      </c>
      <c r="AX112" s="4" t="s">
        <v>235</v>
      </c>
      <c r="AY112" s="8" t="s">
        <v>235</v>
      </c>
      <c r="AZ112" s="7" t="s">
        <v>235</v>
      </c>
      <c r="BA112" s="7" t="s">
        <v>235</v>
      </c>
      <c r="BB112" s="7"/>
      <c r="BC112" s="4" t="s">
        <v>235</v>
      </c>
      <c r="BD112" s="8" t="s">
        <v>235</v>
      </c>
      <c r="BE112" s="4" t="s">
        <v>235</v>
      </c>
      <c r="BF112" s="8" t="s">
        <v>235</v>
      </c>
      <c r="BG112" s="7" t="s">
        <v>235</v>
      </c>
      <c r="BH112" s="7" t="s">
        <v>235</v>
      </c>
      <c r="BI112" s="7"/>
      <c r="BJ112" s="4">
        <v>4</v>
      </c>
      <c r="BK112" s="8">
        <v>105.62</v>
      </c>
      <c r="BL112" s="2" t="s">
        <v>588</v>
      </c>
      <c r="BM112" s="7"/>
      <c r="BN112" s="7"/>
      <c r="BO112" s="4"/>
      <c r="BP112" s="8"/>
      <c r="BQ112" s="4"/>
      <c r="BR112" s="8"/>
      <c r="BS112" s="7"/>
      <c r="BT112" s="7"/>
      <c r="BU112" s="2" t="s">
        <v>589</v>
      </c>
      <c r="BV112" s="2" t="s">
        <v>243</v>
      </c>
      <c r="BW112" s="2" t="s">
        <v>235</v>
      </c>
      <c r="BX112" s="2" t="s">
        <v>414</v>
      </c>
      <c r="BY112" s="2" t="s">
        <v>245</v>
      </c>
      <c r="BZ112" s="2" t="s">
        <v>232</v>
      </c>
      <c r="CA112" s="2" t="s">
        <v>252</v>
      </c>
      <c r="CB112" s="2" t="s">
        <v>590</v>
      </c>
      <c r="CC112" s="2" t="s">
        <v>492</v>
      </c>
      <c r="CD112" s="2" t="s">
        <v>248</v>
      </c>
      <c r="CE112" s="2" t="s">
        <v>235</v>
      </c>
      <c r="CF112" s="4">
        <v>181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>
        <v>181</v>
      </c>
      <c r="GE112" s="4">
        <v>176</v>
      </c>
      <c r="GF112" s="4">
        <v>174</v>
      </c>
      <c r="GG112" s="4">
        <v>171</v>
      </c>
      <c r="GH112" s="4">
        <v>169</v>
      </c>
      <c r="GI112" s="4">
        <v>166</v>
      </c>
      <c r="GJ112" s="4">
        <v>163</v>
      </c>
      <c r="GK112" s="4">
        <v>159</v>
      </c>
      <c r="GL112" s="4">
        <v>156</v>
      </c>
      <c r="GM112" s="4">
        <v>153</v>
      </c>
      <c r="GN112" s="4">
        <v>150</v>
      </c>
      <c r="GO112" s="4">
        <v>146</v>
      </c>
      <c r="GP112" s="4">
        <v>142</v>
      </c>
      <c r="GQ112" s="4">
        <v>135</v>
      </c>
      <c r="GR112" s="4">
        <v>132</v>
      </c>
      <c r="GS112" s="4">
        <v>129</v>
      </c>
      <c r="GT112" s="4">
        <v>127</v>
      </c>
      <c r="GU112" s="4">
        <v>126</v>
      </c>
      <c r="GV112" s="4">
        <v>125</v>
      </c>
      <c r="GW112" s="4">
        <v>124</v>
      </c>
      <c r="GX112" s="4">
        <v>123</v>
      </c>
      <c r="GY112" s="4">
        <v>122</v>
      </c>
      <c r="GZ112" s="4">
        <v>121</v>
      </c>
      <c r="HA112" s="4">
        <v>120</v>
      </c>
      <c r="HB112" s="4">
        <v>119</v>
      </c>
      <c r="HC112" s="4">
        <v>118</v>
      </c>
      <c r="HD112" s="19">
        <v>60.3</v>
      </c>
      <c r="HE112" s="19">
        <v>88</v>
      </c>
      <c r="HF112" s="19">
        <v>58</v>
      </c>
      <c r="HG112" s="19">
        <v>57</v>
      </c>
      <c r="HH112" s="19">
        <v>56.3</v>
      </c>
      <c r="HI112" s="19">
        <v>55.3</v>
      </c>
      <c r="HJ112" s="19">
        <v>54.3</v>
      </c>
      <c r="HK112" s="19">
        <v>53</v>
      </c>
      <c r="HL112" s="19">
        <v>39</v>
      </c>
      <c r="HM112" s="19">
        <v>38.3</v>
      </c>
      <c r="HN112" s="19">
        <v>37.5</v>
      </c>
      <c r="HO112" s="19">
        <v>36.5</v>
      </c>
      <c r="HP112" s="19">
        <v>35.5</v>
      </c>
      <c r="HQ112" s="19">
        <v>67.5</v>
      </c>
      <c r="HR112" s="19">
        <v>66</v>
      </c>
      <c r="HS112" s="19">
        <v>129</v>
      </c>
      <c r="HT112" s="19">
        <v>127</v>
      </c>
      <c r="HU112" s="19">
        <v>126</v>
      </c>
      <c r="HV112" s="19">
        <v>125</v>
      </c>
      <c r="HW112" s="19">
        <v>124</v>
      </c>
      <c r="HX112" s="19">
        <v>123</v>
      </c>
      <c r="HY112" s="19">
        <v>122</v>
      </c>
      <c r="HZ112" s="19">
        <v>121</v>
      </c>
      <c r="IA112" s="19">
        <v>120</v>
      </c>
      <c r="IB112" s="19">
        <v>119</v>
      </c>
      <c r="IC112" s="19">
        <v>118</v>
      </c>
    </row>
    <row r="113">
      <c r="A113" s="2" t="s">
        <v>591</v>
      </c>
      <c r="B113" s="2" t="s">
        <v>323</v>
      </c>
      <c r="C113" s="2" t="s">
        <v>583</v>
      </c>
      <c r="D113" s="2" t="s">
        <v>257</v>
      </c>
      <c r="E113" s="2" t="s">
        <v>258</v>
      </c>
      <c r="F113" s="2" t="s">
        <v>584</v>
      </c>
      <c r="G113" s="2" t="s">
        <v>584</v>
      </c>
      <c r="H113" s="2" t="s">
        <v>235</v>
      </c>
      <c r="I113" s="2" t="s">
        <v>585</v>
      </c>
      <c r="J113" s="2" t="s">
        <v>270</v>
      </c>
      <c r="K113" s="2" t="s">
        <v>378</v>
      </c>
      <c r="L113" s="3">
        <v>37.49</v>
      </c>
      <c r="M113" s="3">
        <v>39.36</v>
      </c>
      <c r="N113" s="3">
        <v>75.99</v>
      </c>
      <c r="O113" s="2" t="s">
        <v>485</v>
      </c>
      <c r="P113" s="2" t="s">
        <v>408</v>
      </c>
      <c r="Q113" s="2" t="s">
        <v>234</v>
      </c>
      <c r="R113" s="2" t="s">
        <v>235</v>
      </c>
      <c r="S113" s="2" t="s">
        <v>586</v>
      </c>
      <c r="T113" s="2" t="s">
        <v>587</v>
      </c>
      <c r="U113" s="2" t="s">
        <v>235</v>
      </c>
      <c r="V113" s="2" t="s">
        <v>238</v>
      </c>
      <c r="W113" s="2" t="s">
        <v>239</v>
      </c>
      <c r="X113" s="2" t="s">
        <v>235</v>
      </c>
      <c r="Y113" s="2" t="s">
        <v>240</v>
      </c>
      <c r="Z113" s="4">
        <v>287</v>
      </c>
      <c r="AA113" s="4">
        <f>=ROUNDDOWN(98.9655172413793,0)</f>
      </c>
      <c r="AB113" s="5">
        <v>2.9</v>
      </c>
      <c r="AC113" s="2" t="s">
        <v>235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235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235</v>
      </c>
      <c r="AW113" s="8" t="s">
        <v>235</v>
      </c>
      <c r="AX113" s="4" t="s">
        <v>235</v>
      </c>
      <c r="AY113" s="8" t="s">
        <v>235</v>
      </c>
      <c r="AZ113" s="7" t="s">
        <v>235</v>
      </c>
      <c r="BA113" s="7" t="s">
        <v>235</v>
      </c>
      <c r="BB113" s="7"/>
      <c r="BC113" s="4" t="s">
        <v>235</v>
      </c>
      <c r="BD113" s="8" t="s">
        <v>235</v>
      </c>
      <c r="BE113" s="4" t="s">
        <v>235</v>
      </c>
      <c r="BF113" s="8" t="s">
        <v>235</v>
      </c>
      <c r="BG113" s="7" t="s">
        <v>235</v>
      </c>
      <c r="BH113" s="7" t="s">
        <v>235</v>
      </c>
      <c r="BI113" s="7"/>
      <c r="BJ113" s="4">
        <v>3</v>
      </c>
      <c r="BK113" s="8">
        <v>60.82</v>
      </c>
      <c r="BL113" s="2" t="s">
        <v>592</v>
      </c>
      <c r="BM113" s="7"/>
      <c r="BN113" s="7"/>
      <c r="BO113" s="4"/>
      <c r="BP113" s="8"/>
      <c r="BQ113" s="4"/>
      <c r="BR113" s="8"/>
      <c r="BS113" s="7"/>
      <c r="BT113" s="7"/>
      <c r="BU113" s="2" t="s">
        <v>589</v>
      </c>
      <c r="BV113" s="2" t="s">
        <v>243</v>
      </c>
      <c r="BW113" s="2" t="s">
        <v>235</v>
      </c>
      <c r="BX113" s="2" t="s">
        <v>414</v>
      </c>
      <c r="BY113" s="2" t="s">
        <v>245</v>
      </c>
      <c r="BZ113" s="2" t="s">
        <v>232</v>
      </c>
      <c r="CA113" s="2" t="s">
        <v>252</v>
      </c>
      <c r="CB113" s="2" t="s">
        <v>593</v>
      </c>
      <c r="CC113" s="2" t="s">
        <v>492</v>
      </c>
      <c r="CD113" s="2" t="s">
        <v>248</v>
      </c>
      <c r="CE113" s="2" t="s">
        <v>235</v>
      </c>
      <c r="CF113" s="4">
        <v>287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>
        <v>287</v>
      </c>
      <c r="GE113" s="4">
        <v>279</v>
      </c>
      <c r="GF113" s="4">
        <v>278</v>
      </c>
      <c r="GG113" s="4">
        <v>277</v>
      </c>
      <c r="GH113" s="4">
        <v>276</v>
      </c>
      <c r="GI113" s="4">
        <v>273</v>
      </c>
      <c r="GJ113" s="4">
        <v>269</v>
      </c>
      <c r="GK113" s="4">
        <v>265</v>
      </c>
      <c r="GL113" s="4">
        <v>261</v>
      </c>
      <c r="GM113" s="4">
        <v>258</v>
      </c>
      <c r="GN113" s="4">
        <v>254</v>
      </c>
      <c r="GO113" s="4">
        <v>248</v>
      </c>
      <c r="GP113" s="4">
        <v>241</v>
      </c>
      <c r="GQ113" s="4">
        <v>229</v>
      </c>
      <c r="GR113" s="4">
        <v>224</v>
      </c>
      <c r="GS113" s="4">
        <v>217</v>
      </c>
      <c r="GT113" s="4">
        <v>213</v>
      </c>
      <c r="GU113" s="4">
        <v>210</v>
      </c>
      <c r="GV113" s="4">
        <v>206</v>
      </c>
      <c r="GW113" s="4">
        <v>203</v>
      </c>
      <c r="GX113" s="4">
        <v>200</v>
      </c>
      <c r="GY113" s="4">
        <v>197</v>
      </c>
      <c r="GZ113" s="4">
        <v>195</v>
      </c>
      <c r="HA113" s="4">
        <v>193</v>
      </c>
      <c r="HB113" s="4">
        <v>192</v>
      </c>
      <c r="HC113" s="4">
        <v>191</v>
      </c>
      <c r="HD113" s="19">
        <v>95.7</v>
      </c>
      <c r="HE113" s="19">
        <v>139.5</v>
      </c>
      <c r="HF113" s="19">
        <v>139</v>
      </c>
      <c r="HG113" s="19">
        <v>92.3</v>
      </c>
      <c r="HH113" s="19">
        <v>69</v>
      </c>
      <c r="HI113" s="19">
        <v>68.3</v>
      </c>
      <c r="HJ113" s="19">
        <v>67.3</v>
      </c>
      <c r="HK113" s="19">
        <v>66.3</v>
      </c>
      <c r="HL113" s="19">
        <v>52.2</v>
      </c>
      <c r="HM113" s="19">
        <v>36.9</v>
      </c>
      <c r="HN113" s="19">
        <v>31.8</v>
      </c>
      <c r="HO113" s="19">
        <v>31</v>
      </c>
      <c r="HP113" s="19">
        <v>34.4</v>
      </c>
      <c r="HQ113" s="19">
        <v>45.8</v>
      </c>
      <c r="HR113" s="19">
        <v>56</v>
      </c>
      <c r="HS113" s="19">
        <v>54.3</v>
      </c>
      <c r="HT113" s="19">
        <v>71</v>
      </c>
      <c r="HU113" s="19">
        <v>70</v>
      </c>
      <c r="HV113" s="19">
        <v>68.7</v>
      </c>
      <c r="HW113" s="19">
        <v>101.5</v>
      </c>
      <c r="HX113" s="19">
        <v>100</v>
      </c>
      <c r="HY113" s="19">
        <v>98.5</v>
      </c>
      <c r="HZ113" s="19">
        <v>195</v>
      </c>
      <c r="IA113" s="19">
        <v>193</v>
      </c>
      <c r="IB113" s="19">
        <v>192</v>
      </c>
      <c r="IC113" s="19">
        <v>191</v>
      </c>
    </row>
    <row r="114">
      <c r="A114" s="2" t="s">
        <v>594</v>
      </c>
      <c r="B114" s="2" t="s">
        <v>323</v>
      </c>
      <c r="C114" s="2" t="s">
        <v>583</v>
      </c>
      <c r="D114" s="2" t="s">
        <v>257</v>
      </c>
      <c r="E114" s="2" t="s">
        <v>258</v>
      </c>
      <c r="F114" s="2" t="s">
        <v>584</v>
      </c>
      <c r="G114" s="2" t="s">
        <v>584</v>
      </c>
      <c r="H114" s="2" t="s">
        <v>235</v>
      </c>
      <c r="I114" s="2" t="s">
        <v>585</v>
      </c>
      <c r="J114" s="2" t="s">
        <v>394</v>
      </c>
      <c r="K114" s="2" t="s">
        <v>595</v>
      </c>
      <c r="L114" s="3">
        <v>25.34</v>
      </c>
      <c r="M114" s="3">
        <v>26.61</v>
      </c>
      <c r="N114" s="3">
        <v>52.99</v>
      </c>
      <c r="O114" s="2" t="s">
        <v>485</v>
      </c>
      <c r="P114" s="2" t="s">
        <v>408</v>
      </c>
      <c r="Q114" s="2" t="s">
        <v>234</v>
      </c>
      <c r="R114" s="2" t="s">
        <v>235</v>
      </c>
      <c r="S114" s="2" t="s">
        <v>596</v>
      </c>
      <c r="T114" s="2" t="s">
        <v>587</v>
      </c>
      <c r="U114" s="2" t="s">
        <v>235</v>
      </c>
      <c r="V114" s="2" t="s">
        <v>238</v>
      </c>
      <c r="W114" s="2" t="s">
        <v>239</v>
      </c>
      <c r="X114" s="2" t="s">
        <v>235</v>
      </c>
      <c r="Y114" s="2" t="s">
        <v>240</v>
      </c>
      <c r="Z114" s="4">
        <v>47</v>
      </c>
      <c r="AA114" s="4">
        <f>=ROUNDDOWN(33.5714285714286,0)</f>
      </c>
      <c r="AB114" s="5">
        <v>1.4</v>
      </c>
      <c r="AC114" s="2" t="s">
        <v>235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235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235</v>
      </c>
      <c r="BD114" s="8" t="s">
        <v>235</v>
      </c>
      <c r="BE114" s="4" t="s">
        <v>235</v>
      </c>
      <c r="BF114" s="8" t="s">
        <v>235</v>
      </c>
      <c r="BG114" s="7" t="s">
        <v>235</v>
      </c>
      <c r="BH114" s="7" t="s">
        <v>235</v>
      </c>
      <c r="BI114" s="7"/>
      <c r="BJ114" s="4">
        <v>3</v>
      </c>
      <c r="BK114" s="8">
        <v>34.14</v>
      </c>
      <c r="BL114" s="2" t="s">
        <v>597</v>
      </c>
      <c r="BM114" s="7"/>
      <c r="BN114" s="7"/>
      <c r="BO114" s="4"/>
      <c r="BP114" s="8"/>
      <c r="BQ114" s="4"/>
      <c r="BR114" s="8"/>
      <c r="BS114" s="7"/>
      <c r="BT114" s="7"/>
      <c r="BU114" s="2" t="s">
        <v>589</v>
      </c>
      <c r="BV114" s="2" t="s">
        <v>243</v>
      </c>
      <c r="BW114" s="2" t="s">
        <v>235</v>
      </c>
      <c r="BX114" s="2" t="s">
        <v>414</v>
      </c>
      <c r="BY114" s="2" t="s">
        <v>245</v>
      </c>
      <c r="BZ114" s="2" t="s">
        <v>232</v>
      </c>
      <c r="CA114" s="2" t="s">
        <v>252</v>
      </c>
      <c r="CB114" s="2" t="s">
        <v>598</v>
      </c>
      <c r="CC114" s="2" t="s">
        <v>492</v>
      </c>
      <c r="CD114" s="2" t="s">
        <v>248</v>
      </c>
      <c r="CE114" s="2" t="s">
        <v>235</v>
      </c>
      <c r="CF114" s="4">
        <v>47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>
        <v>47</v>
      </c>
      <c r="GE114" s="4">
        <v>47</v>
      </c>
      <c r="GF114" s="4">
        <v>46</v>
      </c>
      <c r="GG114" s="4">
        <v>44</v>
      </c>
      <c r="GH114" s="4">
        <v>43</v>
      </c>
      <c r="GI114" s="4">
        <v>40</v>
      </c>
      <c r="GJ114" s="4">
        <v>37</v>
      </c>
      <c r="GK114" s="4">
        <v>33</v>
      </c>
      <c r="GL114" s="4">
        <v>30</v>
      </c>
      <c r="GM114" s="4">
        <v>27</v>
      </c>
      <c r="GN114" s="4">
        <v>25</v>
      </c>
      <c r="GO114" s="4">
        <v>22</v>
      </c>
      <c r="GP114" s="4">
        <v>19</v>
      </c>
      <c r="GQ114" s="4">
        <v>14</v>
      </c>
      <c r="GR114" s="4">
        <v>12</v>
      </c>
      <c r="GS114" s="4">
        <v>10</v>
      </c>
      <c r="GT114" s="4">
        <v>9</v>
      </c>
      <c r="GU114" s="4">
        <v>8</v>
      </c>
      <c r="GV114" s="4">
        <v>7</v>
      </c>
      <c r="GW114" s="4">
        <v>6</v>
      </c>
      <c r="GX114" s="4">
        <v>5</v>
      </c>
      <c r="GY114" s="4">
        <v>4</v>
      </c>
      <c r="GZ114" s="4">
        <v>4</v>
      </c>
      <c r="HA114" s="4">
        <v>3</v>
      </c>
      <c r="HB114" s="4">
        <v>2</v>
      </c>
      <c r="HC114" s="4">
        <v>1</v>
      </c>
      <c r="HD114" s="19">
        <v>47</v>
      </c>
      <c r="HE114" s="19">
        <v>23.5</v>
      </c>
      <c r="HF114" s="19">
        <v>23</v>
      </c>
      <c r="HG114" s="19">
        <v>14.7</v>
      </c>
      <c r="HH114" s="19">
        <v>14.3</v>
      </c>
      <c r="HI114" s="19">
        <v>13.3</v>
      </c>
      <c r="HJ114" s="19">
        <v>12.3</v>
      </c>
      <c r="HK114" s="19">
        <v>11</v>
      </c>
      <c r="HL114" s="19">
        <v>10</v>
      </c>
      <c r="HM114" s="19">
        <v>9</v>
      </c>
      <c r="HN114" s="19">
        <v>8.3</v>
      </c>
      <c r="HO114" s="19">
        <v>7.3</v>
      </c>
      <c r="HP114" s="19">
        <v>9.5</v>
      </c>
      <c r="HQ114" s="19">
        <v>7</v>
      </c>
      <c r="HR114" s="19">
        <v>12</v>
      </c>
      <c r="HS114" s="19">
        <v>10</v>
      </c>
      <c r="HT114" s="19">
        <v>9</v>
      </c>
      <c r="HU114" s="19">
        <v>8</v>
      </c>
      <c r="HV114" s="19">
        <v>7</v>
      </c>
      <c r="HW114" s="19">
        <v>6</v>
      </c>
      <c r="HX114" s="19">
        <v>5</v>
      </c>
      <c r="HY114" s="19">
        <v>4</v>
      </c>
      <c r="HZ114" s="19">
        <v>4</v>
      </c>
      <c r="IA114" s="19">
        <v>3</v>
      </c>
      <c r="IB114" s="20">
        <v>0</v>
      </c>
      <c r="IC114" s="20">
        <v>0</v>
      </c>
    </row>
    <row r="115">
      <c r="A115" s="2" t="s">
        <v>599</v>
      </c>
      <c r="B115" s="2" t="s">
        <v>323</v>
      </c>
      <c r="C115" s="2" t="s">
        <v>583</v>
      </c>
      <c r="D115" s="2" t="s">
        <v>257</v>
      </c>
      <c r="E115" s="2" t="s">
        <v>258</v>
      </c>
      <c r="F115" s="2" t="s">
        <v>584</v>
      </c>
      <c r="G115" s="2" t="s">
        <v>584</v>
      </c>
      <c r="H115" s="2" t="s">
        <v>235</v>
      </c>
      <c r="I115" s="2" t="s">
        <v>585</v>
      </c>
      <c r="J115" s="2" t="s">
        <v>250</v>
      </c>
      <c r="K115" s="2" t="s">
        <v>600</v>
      </c>
      <c r="L115" s="3">
        <v>31.68</v>
      </c>
      <c r="M115" s="3">
        <v>33.26</v>
      </c>
      <c r="N115" s="3">
        <v>64.99</v>
      </c>
      <c r="O115" s="2" t="s">
        <v>485</v>
      </c>
      <c r="P115" s="2" t="s">
        <v>408</v>
      </c>
      <c r="Q115" s="2" t="s">
        <v>234</v>
      </c>
      <c r="R115" s="2" t="s">
        <v>235</v>
      </c>
      <c r="S115" s="2" t="s">
        <v>601</v>
      </c>
      <c r="T115" s="2" t="s">
        <v>587</v>
      </c>
      <c r="U115" s="2" t="s">
        <v>235</v>
      </c>
      <c r="V115" s="2" t="s">
        <v>238</v>
      </c>
      <c r="W115" s="2" t="s">
        <v>239</v>
      </c>
      <c r="X115" s="2" t="s">
        <v>235</v>
      </c>
      <c r="Y115" s="2" t="s">
        <v>240</v>
      </c>
      <c r="Z115" s="4">
        <v>123</v>
      </c>
      <c r="AA115" s="4">
        <f>=ROUNDDOWN(58.5714285714286,0)</f>
      </c>
      <c r="AB115" s="5">
        <v>2.1</v>
      </c>
      <c r="AC115" s="2" t="s">
        <v>235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235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 t="s">
        <v>235</v>
      </c>
      <c r="BD115" s="8" t="s">
        <v>235</v>
      </c>
      <c r="BE115" s="4" t="s">
        <v>235</v>
      </c>
      <c r="BF115" s="8" t="s">
        <v>235</v>
      </c>
      <c r="BG115" s="7" t="s">
        <v>235</v>
      </c>
      <c r="BH115" s="7" t="s">
        <v>235</v>
      </c>
      <c r="BI115" s="7"/>
      <c r="BJ115" s="4">
        <v>5</v>
      </c>
      <c r="BK115" s="8">
        <v>112.11</v>
      </c>
      <c r="BL115" s="2" t="s">
        <v>602</v>
      </c>
      <c r="BM115" s="7"/>
      <c r="BN115" s="7"/>
      <c r="BO115" s="4"/>
      <c r="BP115" s="8"/>
      <c r="BQ115" s="4"/>
      <c r="BR115" s="8"/>
      <c r="BS115" s="7"/>
      <c r="BT115" s="7"/>
      <c r="BU115" s="2" t="s">
        <v>589</v>
      </c>
      <c r="BV115" s="2" t="s">
        <v>243</v>
      </c>
      <c r="BW115" s="2" t="s">
        <v>235</v>
      </c>
      <c r="BX115" s="2" t="s">
        <v>414</v>
      </c>
      <c r="BY115" s="2" t="s">
        <v>245</v>
      </c>
      <c r="BZ115" s="2" t="s">
        <v>232</v>
      </c>
      <c r="CA115" s="2" t="s">
        <v>252</v>
      </c>
      <c r="CB115" s="2" t="s">
        <v>603</v>
      </c>
      <c r="CC115" s="2" t="s">
        <v>248</v>
      </c>
      <c r="CD115" s="2" t="s">
        <v>248</v>
      </c>
      <c r="CE115" s="2" t="s">
        <v>235</v>
      </c>
      <c r="CF115" s="4">
        <v>123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>
        <v>123</v>
      </c>
      <c r="GE115" s="4">
        <v>118</v>
      </c>
      <c r="GF115" s="4">
        <v>116</v>
      </c>
      <c r="GG115" s="4">
        <v>113</v>
      </c>
      <c r="GH115" s="4">
        <v>111</v>
      </c>
      <c r="GI115" s="4">
        <v>108</v>
      </c>
      <c r="GJ115" s="4">
        <v>104</v>
      </c>
      <c r="GK115" s="4">
        <v>99</v>
      </c>
      <c r="GL115" s="4">
        <v>95</v>
      </c>
      <c r="GM115" s="4">
        <v>92</v>
      </c>
      <c r="GN115" s="4">
        <v>88</v>
      </c>
      <c r="GO115" s="4">
        <v>82</v>
      </c>
      <c r="GP115" s="4">
        <v>75</v>
      </c>
      <c r="GQ115" s="4">
        <v>63</v>
      </c>
      <c r="GR115" s="4">
        <v>58</v>
      </c>
      <c r="GS115" s="4">
        <v>52</v>
      </c>
      <c r="GT115" s="4">
        <v>49</v>
      </c>
      <c r="GU115" s="4">
        <v>47</v>
      </c>
      <c r="GV115" s="4">
        <v>45</v>
      </c>
      <c r="GW115" s="4">
        <v>44</v>
      </c>
      <c r="GX115" s="4">
        <v>42</v>
      </c>
      <c r="GY115" s="4">
        <v>40</v>
      </c>
      <c r="GZ115" s="4">
        <v>39</v>
      </c>
      <c r="HA115" s="4">
        <v>38</v>
      </c>
      <c r="HB115" s="4">
        <v>37</v>
      </c>
      <c r="HC115" s="4">
        <v>36</v>
      </c>
      <c r="HD115" s="19">
        <v>41</v>
      </c>
      <c r="HE115" s="19">
        <v>59</v>
      </c>
      <c r="HF115" s="19">
        <v>38.7</v>
      </c>
      <c r="HG115" s="19">
        <v>28.3</v>
      </c>
      <c r="HH115" s="19">
        <v>27.8</v>
      </c>
      <c r="HI115" s="19">
        <v>27</v>
      </c>
      <c r="HJ115" s="19">
        <v>26</v>
      </c>
      <c r="HK115" s="19">
        <v>24.8</v>
      </c>
      <c r="HL115" s="19">
        <v>19</v>
      </c>
      <c r="HM115" s="19">
        <v>13.1</v>
      </c>
      <c r="HN115" s="19">
        <v>11</v>
      </c>
      <c r="HO115" s="19">
        <v>10.3</v>
      </c>
      <c r="HP115" s="19">
        <v>12.5</v>
      </c>
      <c r="HQ115" s="19">
        <v>15.8</v>
      </c>
      <c r="HR115" s="19">
        <v>19.3</v>
      </c>
      <c r="HS115" s="19">
        <v>26</v>
      </c>
      <c r="HT115" s="19">
        <v>24.5</v>
      </c>
      <c r="HU115" s="19">
        <v>23.5</v>
      </c>
      <c r="HV115" s="19">
        <v>22.5</v>
      </c>
      <c r="HW115" s="19">
        <v>22</v>
      </c>
      <c r="HX115" s="19">
        <v>42</v>
      </c>
      <c r="HY115" s="19">
        <v>40</v>
      </c>
      <c r="HZ115" s="19">
        <v>39</v>
      </c>
      <c r="IA115" s="19">
        <v>38</v>
      </c>
      <c r="IB115" s="19">
        <v>37</v>
      </c>
      <c r="IC115" s="19">
        <v>36</v>
      </c>
    </row>
    <row r="116">
      <c r="A116" s="2" t="s">
        <v>604</v>
      </c>
      <c r="B116" s="2" t="s">
        <v>605</v>
      </c>
      <c r="C116" s="2" t="s">
        <v>606</v>
      </c>
      <c r="D116" s="2" t="s">
        <v>607</v>
      </c>
      <c r="E116" s="2" t="s">
        <v>608</v>
      </c>
      <c r="F116" s="2" t="s">
        <v>609</v>
      </c>
      <c r="G116" s="2" t="s">
        <v>609</v>
      </c>
      <c r="H116" s="2" t="s">
        <v>609</v>
      </c>
      <c r="I116" s="2" t="s">
        <v>610</v>
      </c>
      <c r="J116" s="2" t="s">
        <v>611</v>
      </c>
      <c r="K116" s="2" t="s">
        <v>612</v>
      </c>
      <c r="L116" s="3">
        <v>17.83</v>
      </c>
      <c r="M116" s="3">
        <v>18.72</v>
      </c>
      <c r="N116" s="3">
        <v>28.99</v>
      </c>
      <c r="O116" s="2" t="s">
        <v>232</v>
      </c>
      <c r="P116" s="2" t="s">
        <v>233</v>
      </c>
      <c r="Q116" s="2" t="s">
        <v>234</v>
      </c>
      <c r="R116" s="2" t="s">
        <v>235</v>
      </c>
      <c r="S116" s="2" t="s">
        <v>613</v>
      </c>
      <c r="T116" s="2" t="s">
        <v>263</v>
      </c>
      <c r="U116" s="2" t="s">
        <v>614</v>
      </c>
      <c r="V116" s="2" t="s">
        <v>238</v>
      </c>
      <c r="W116" s="2" t="s">
        <v>239</v>
      </c>
      <c r="X116" s="2" t="s">
        <v>235</v>
      </c>
      <c r="Y116" s="2" t="s">
        <v>615</v>
      </c>
      <c r="Z116" s="4">
        <v>426</v>
      </c>
      <c r="AA116" s="4">
        <f>=ROUNDDOWN(24.4827586206897,0)</f>
      </c>
      <c r="AB116" s="5">
        <v>17.4</v>
      </c>
      <c r="AC116" s="2" t="s">
        <v>235</v>
      </c>
      <c r="AD116" s="4"/>
      <c r="AE116" s="4"/>
      <c r="AF116" s="6">
        <v>76</v>
      </c>
      <c r="AG116" s="6"/>
      <c r="AH116" s="7">
        <v>1</v>
      </c>
      <c r="AI116" s="4"/>
      <c r="AJ116" s="4">
        <f>=ROUNDDOWN({0},0)</f>
      </c>
      <c r="AK116" s="5"/>
      <c r="AL116" s="2" t="s">
        <v>235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235</v>
      </c>
      <c r="AW116" s="8" t="s">
        <v>235</v>
      </c>
      <c r="AX116" s="4" t="s">
        <v>235</v>
      </c>
      <c r="AY116" s="8" t="s">
        <v>235</v>
      </c>
      <c r="AZ116" s="7" t="s">
        <v>235</v>
      </c>
      <c r="BA116" s="7" t="s">
        <v>235</v>
      </c>
      <c r="BB116" s="7"/>
      <c r="BC116" s="4" t="s">
        <v>235</v>
      </c>
      <c r="BD116" s="8" t="s">
        <v>235</v>
      </c>
      <c r="BE116" s="4" t="s">
        <v>235</v>
      </c>
      <c r="BF116" s="8" t="s">
        <v>235</v>
      </c>
      <c r="BG116" s="7" t="s">
        <v>235</v>
      </c>
      <c r="BH116" s="7" t="s">
        <v>235</v>
      </c>
      <c r="BI116" s="7"/>
      <c r="BJ116" s="4">
        <v>87</v>
      </c>
      <c r="BK116" s="8">
        <v>1531.64</v>
      </c>
      <c r="BL116" s="2" t="s">
        <v>616</v>
      </c>
      <c r="BM116" s="7"/>
      <c r="BN116" s="7"/>
      <c r="BO116" s="4"/>
      <c r="BP116" s="8"/>
      <c r="BQ116" s="4"/>
      <c r="BR116" s="8"/>
      <c r="BS116" s="7"/>
      <c r="BT116" s="7"/>
      <c r="BU116" s="2" t="s">
        <v>617</v>
      </c>
      <c r="BV116" s="2" t="s">
        <v>618</v>
      </c>
      <c r="BW116" s="2" t="s">
        <v>235</v>
      </c>
      <c r="BX116" s="2" t="s">
        <v>619</v>
      </c>
      <c r="BY116" s="2" t="s">
        <v>245</v>
      </c>
      <c r="BZ116" s="2" t="s">
        <v>232</v>
      </c>
      <c r="CA116" s="2" t="s">
        <v>620</v>
      </c>
      <c r="CB116" s="2" t="s">
        <v>235</v>
      </c>
      <c r="CC116" s="2" t="s">
        <v>248</v>
      </c>
      <c r="CD116" s="2" t="s">
        <v>248</v>
      </c>
      <c r="CE116" s="2" t="s">
        <v>235</v>
      </c>
      <c r="CF116" s="4">
        <v>426</v>
      </c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>
        <v>459</v>
      </c>
      <c r="GE116" s="4">
        <v>424</v>
      </c>
      <c r="GF116" s="4">
        <v>422</v>
      </c>
      <c r="GG116" s="4">
        <v>420</v>
      </c>
      <c r="GH116" s="4">
        <v>418</v>
      </c>
      <c r="GI116" s="4">
        <v>415</v>
      </c>
      <c r="GJ116" s="4">
        <v>384</v>
      </c>
      <c r="GK116" s="4">
        <v>363</v>
      </c>
      <c r="GL116" s="4">
        <v>351</v>
      </c>
      <c r="GM116" s="4">
        <v>338</v>
      </c>
      <c r="GN116" s="4">
        <v>320</v>
      </c>
      <c r="GO116" s="4">
        <v>305</v>
      </c>
      <c r="GP116" s="4">
        <v>289</v>
      </c>
      <c r="GQ116" s="4">
        <v>272</v>
      </c>
      <c r="GR116" s="4">
        <v>257</v>
      </c>
      <c r="GS116" s="4">
        <v>239</v>
      </c>
      <c r="GT116" s="4">
        <v>228</v>
      </c>
      <c r="GU116" s="4">
        <v>218</v>
      </c>
      <c r="GV116" s="4">
        <v>209</v>
      </c>
      <c r="GW116" s="4">
        <v>193</v>
      </c>
      <c r="GX116" s="4">
        <v>177</v>
      </c>
      <c r="GY116" s="4">
        <v>161</v>
      </c>
      <c r="GZ116" s="4">
        <v>145</v>
      </c>
      <c r="HA116" s="4">
        <v>129</v>
      </c>
      <c r="HB116" s="4">
        <v>113</v>
      </c>
      <c r="HC116" s="4">
        <v>97</v>
      </c>
      <c r="HD116" s="19">
        <v>45.9</v>
      </c>
      <c r="HE116" s="19">
        <v>212</v>
      </c>
      <c r="HF116" s="19">
        <v>42.2</v>
      </c>
      <c r="HG116" s="19">
        <v>30</v>
      </c>
      <c r="HH116" s="19">
        <v>24.6</v>
      </c>
      <c r="HI116" s="19">
        <v>21.8</v>
      </c>
      <c r="HJ116" s="19">
        <v>24</v>
      </c>
      <c r="HK116" s="19">
        <v>25.9</v>
      </c>
      <c r="HL116" s="19">
        <v>21.9</v>
      </c>
      <c r="HM116" s="19">
        <v>21.1</v>
      </c>
      <c r="HN116" s="19">
        <v>20</v>
      </c>
      <c r="HO116" s="19">
        <v>19.1</v>
      </c>
      <c r="HP116" s="19">
        <v>19.3</v>
      </c>
      <c r="HQ116" s="19">
        <v>19.4</v>
      </c>
      <c r="HR116" s="19">
        <v>21.4</v>
      </c>
      <c r="HS116" s="19">
        <v>19.9</v>
      </c>
      <c r="HT116" s="19">
        <v>17.5</v>
      </c>
      <c r="HU116" s="19">
        <v>15.6</v>
      </c>
      <c r="HV116" s="19">
        <v>13.1</v>
      </c>
      <c r="HW116" s="19">
        <v>12.1</v>
      </c>
      <c r="HX116" s="19">
        <v>11.1</v>
      </c>
      <c r="HY116" s="19">
        <v>10.1</v>
      </c>
      <c r="HZ116" s="19">
        <v>9.1</v>
      </c>
      <c r="IA116" s="19">
        <v>8.1</v>
      </c>
      <c r="IB116" s="19">
        <v>6.3</v>
      </c>
      <c r="IC116" s="19">
        <v>5.1</v>
      </c>
    </row>
    <row r="117">
      <c r="A117" s="2" t="s">
        <v>621</v>
      </c>
      <c r="B117" s="2" t="s">
        <v>605</v>
      </c>
      <c r="C117" s="2" t="s">
        <v>606</v>
      </c>
      <c r="D117" s="2" t="s">
        <v>607</v>
      </c>
      <c r="E117" s="2" t="s">
        <v>608</v>
      </c>
      <c r="F117" s="2" t="s">
        <v>609</v>
      </c>
      <c r="G117" s="2" t="s">
        <v>609</v>
      </c>
      <c r="H117" s="2" t="s">
        <v>609</v>
      </c>
      <c r="I117" s="2" t="s">
        <v>622</v>
      </c>
      <c r="J117" s="2" t="s">
        <v>623</v>
      </c>
      <c r="K117" s="2" t="s">
        <v>612</v>
      </c>
      <c r="L117" s="3">
        <v>22.29</v>
      </c>
      <c r="M117" s="3">
        <v>23.4</v>
      </c>
      <c r="N117" s="3">
        <v>43.99</v>
      </c>
      <c r="O117" s="2" t="s">
        <v>232</v>
      </c>
      <c r="P117" s="2" t="s">
        <v>624</v>
      </c>
      <c r="Q117" s="2" t="s">
        <v>234</v>
      </c>
      <c r="R117" s="2" t="s">
        <v>235</v>
      </c>
      <c r="S117" s="2" t="s">
        <v>613</v>
      </c>
      <c r="T117" s="2" t="s">
        <v>263</v>
      </c>
      <c r="U117" s="2" t="s">
        <v>625</v>
      </c>
      <c r="V117" s="2" t="s">
        <v>238</v>
      </c>
      <c r="W117" s="2" t="s">
        <v>239</v>
      </c>
      <c r="X117" s="2" t="s">
        <v>235</v>
      </c>
      <c r="Y117" s="2" t="s">
        <v>626</v>
      </c>
      <c r="Z117" s="4">
        <v>252</v>
      </c>
      <c r="AA117" s="4">
        <f>=ROUNDDOWN(5.6,0)</f>
      </c>
      <c r="AB117" s="5">
        <v>45</v>
      </c>
      <c r="AC117" s="2" t="s">
        <v>235</v>
      </c>
      <c r="AD117" s="4"/>
      <c r="AE117" s="4"/>
      <c r="AF117" s="6">
        <v>76</v>
      </c>
      <c r="AG117" s="6"/>
      <c r="AH117" s="7">
        <v>1</v>
      </c>
      <c r="AI117" s="4"/>
      <c r="AJ117" s="4">
        <f>=ROUNDDOWN({0},0)</f>
      </c>
      <c r="AK117" s="5"/>
      <c r="AL117" s="2" t="s">
        <v>235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235</v>
      </c>
      <c r="AW117" s="8" t="s">
        <v>235</v>
      </c>
      <c r="AX117" s="4" t="s">
        <v>235</v>
      </c>
      <c r="AY117" s="8" t="s">
        <v>235</v>
      </c>
      <c r="AZ117" s="7" t="s">
        <v>235</v>
      </c>
      <c r="BA117" s="7" t="s">
        <v>235</v>
      </c>
      <c r="BB117" s="7"/>
      <c r="BC117" s="4" t="s">
        <v>235</v>
      </c>
      <c r="BD117" s="8" t="s">
        <v>235</v>
      </c>
      <c r="BE117" s="4" t="s">
        <v>235</v>
      </c>
      <c r="BF117" s="8" t="s">
        <v>235</v>
      </c>
      <c r="BG117" s="7" t="s">
        <v>235</v>
      </c>
      <c r="BH117" s="7" t="s">
        <v>235</v>
      </c>
      <c r="BI117" s="7"/>
      <c r="BJ117" s="4">
        <v>257</v>
      </c>
      <c r="BK117" s="8">
        <v>6638.34</v>
      </c>
      <c r="BL117" s="2" t="s">
        <v>627</v>
      </c>
      <c r="BM117" s="7"/>
      <c r="BN117" s="7"/>
      <c r="BO117" s="4"/>
      <c r="BP117" s="8"/>
      <c r="BQ117" s="4"/>
      <c r="BR117" s="8"/>
      <c r="BS117" s="7"/>
      <c r="BT117" s="7"/>
      <c r="BU117" s="2" t="s">
        <v>617</v>
      </c>
      <c r="BV117" s="2" t="s">
        <v>618</v>
      </c>
      <c r="BW117" s="2" t="s">
        <v>235</v>
      </c>
      <c r="BX117" s="2" t="s">
        <v>619</v>
      </c>
      <c r="BY117" s="2" t="s">
        <v>245</v>
      </c>
      <c r="BZ117" s="2" t="s">
        <v>232</v>
      </c>
      <c r="CA117" s="2" t="s">
        <v>620</v>
      </c>
      <c r="CB117" s="2" t="s">
        <v>235</v>
      </c>
      <c r="CC117" s="2" t="s">
        <v>248</v>
      </c>
      <c r="CD117" s="2" t="s">
        <v>248</v>
      </c>
      <c r="CE117" s="2" t="s">
        <v>235</v>
      </c>
      <c r="CF117" s="4">
        <v>252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>
        <v>387</v>
      </c>
      <c r="GE117" s="4">
        <v>262</v>
      </c>
      <c r="GF117" s="4">
        <v>250</v>
      </c>
      <c r="GG117" s="4">
        <v>238</v>
      </c>
      <c r="GH117" s="4">
        <v>215</v>
      </c>
      <c r="GI117" s="4">
        <v>159</v>
      </c>
      <c r="GJ117" s="4">
        <v>91</v>
      </c>
      <c r="GK117" s="4">
        <v>25</v>
      </c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19">
        <v>9</v>
      </c>
      <c r="HE117" s="19">
        <v>10.1</v>
      </c>
      <c r="HF117" s="19">
        <v>6.3</v>
      </c>
      <c r="HG117" s="19">
        <v>4.5</v>
      </c>
      <c r="HH117" s="19">
        <v>4</v>
      </c>
      <c r="HI117" s="19">
        <v>3.7</v>
      </c>
      <c r="HJ117" s="19">
        <v>3</v>
      </c>
      <c r="HK117" s="19">
        <v>1.4</v>
      </c>
      <c r="HL117" s="20">
        <v>0</v>
      </c>
      <c r="HM117" s="20">
        <v>0</v>
      </c>
      <c r="HN117" s="20">
        <v>0</v>
      </c>
      <c r="HO117" s="20">
        <v>0</v>
      </c>
      <c r="HP117" s="20">
        <v>0</v>
      </c>
      <c r="HQ117" s="20">
        <v>0</v>
      </c>
      <c r="HR117" s="20">
        <v>0</v>
      </c>
      <c r="HS117" s="20">
        <v>0</v>
      </c>
      <c r="HT117" s="20">
        <v>0</v>
      </c>
      <c r="HU117" s="20">
        <v>0</v>
      </c>
      <c r="HV117" s="20">
        <v>0</v>
      </c>
      <c r="HW117" s="20">
        <v>0</v>
      </c>
      <c r="HX117" s="20">
        <v>0</v>
      </c>
      <c r="HY117" s="20">
        <v>0</v>
      </c>
      <c r="HZ117" s="20">
        <v>0</v>
      </c>
      <c r="IA117" s="20">
        <v>0</v>
      </c>
      <c r="IB117" s="20">
        <v>0</v>
      </c>
      <c r="IC117" s="20">
        <v>0</v>
      </c>
    </row>
    <row r="118">
      <c r="A118" s="2" t="s">
        <v>628</v>
      </c>
      <c r="B118" s="2" t="s">
        <v>605</v>
      </c>
      <c r="C118" s="2" t="s">
        <v>606</v>
      </c>
      <c r="D118" s="2" t="s">
        <v>607</v>
      </c>
      <c r="E118" s="2" t="s">
        <v>608</v>
      </c>
      <c r="F118" s="2" t="s">
        <v>609</v>
      </c>
      <c r="G118" s="2" t="s">
        <v>609</v>
      </c>
      <c r="H118" s="2" t="s">
        <v>609</v>
      </c>
      <c r="I118" s="2" t="s">
        <v>629</v>
      </c>
      <c r="J118" s="2" t="s">
        <v>630</v>
      </c>
      <c r="K118" s="2" t="s">
        <v>612</v>
      </c>
      <c r="L118" s="3">
        <v>22.29</v>
      </c>
      <c r="M118" s="3">
        <v>23.4</v>
      </c>
      <c r="N118" s="3">
        <v>39.99</v>
      </c>
      <c r="O118" s="2" t="s">
        <v>232</v>
      </c>
      <c r="P118" s="2" t="s">
        <v>624</v>
      </c>
      <c r="Q118" s="2" t="s">
        <v>234</v>
      </c>
      <c r="R118" s="2" t="s">
        <v>235</v>
      </c>
      <c r="S118" s="2" t="s">
        <v>613</v>
      </c>
      <c r="T118" s="2" t="s">
        <v>263</v>
      </c>
      <c r="U118" s="2" t="s">
        <v>264</v>
      </c>
      <c r="V118" s="2" t="s">
        <v>238</v>
      </c>
      <c r="W118" s="2" t="s">
        <v>239</v>
      </c>
      <c r="X118" s="2" t="s">
        <v>235</v>
      </c>
      <c r="Y118" s="2" t="s">
        <v>626</v>
      </c>
      <c r="Z118" s="4">
        <v>458</v>
      </c>
      <c r="AA118" s="4">
        <f>=ROUNDDOWN(190.833333333333,0)</f>
      </c>
      <c r="AB118" s="5">
        <v>2.4</v>
      </c>
      <c r="AC118" s="2" t="s">
        <v>235</v>
      </c>
      <c r="AD118" s="4"/>
      <c r="AE118" s="4"/>
      <c r="AF118" s="6">
        <v>76</v>
      </c>
      <c r="AG118" s="6"/>
      <c r="AH118" s="7">
        <v>1</v>
      </c>
      <c r="AI118" s="4"/>
      <c r="AJ118" s="4">
        <f>=ROUNDDOWN({0},0)</f>
      </c>
      <c r="AK118" s="5"/>
      <c r="AL118" s="2" t="s">
        <v>235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235</v>
      </c>
      <c r="AW118" s="8" t="s">
        <v>235</v>
      </c>
      <c r="AX118" s="4" t="s">
        <v>235</v>
      </c>
      <c r="AY118" s="8" t="s">
        <v>235</v>
      </c>
      <c r="AZ118" s="7" t="s">
        <v>235</v>
      </c>
      <c r="BA118" s="7" t="s">
        <v>235</v>
      </c>
      <c r="BB118" s="7"/>
      <c r="BC118" s="4" t="s">
        <v>235</v>
      </c>
      <c r="BD118" s="8" t="s">
        <v>235</v>
      </c>
      <c r="BE118" s="4" t="s">
        <v>235</v>
      </c>
      <c r="BF118" s="8" t="s">
        <v>235</v>
      </c>
      <c r="BG118" s="7" t="s">
        <v>235</v>
      </c>
      <c r="BH118" s="7" t="s">
        <v>235</v>
      </c>
      <c r="BI118" s="7"/>
      <c r="BJ118" s="4">
        <v>14</v>
      </c>
      <c r="BK118" s="8">
        <v>346.67</v>
      </c>
      <c r="BL118" s="2" t="s">
        <v>631</v>
      </c>
      <c r="BM118" s="7"/>
      <c r="BN118" s="7"/>
      <c r="BO118" s="4"/>
      <c r="BP118" s="8"/>
      <c r="BQ118" s="4"/>
      <c r="BR118" s="8"/>
      <c r="BS118" s="7"/>
      <c r="BT118" s="7"/>
      <c r="BU118" s="2" t="s">
        <v>617</v>
      </c>
      <c r="BV118" s="2" t="s">
        <v>618</v>
      </c>
      <c r="BW118" s="2" t="s">
        <v>235</v>
      </c>
      <c r="BX118" s="2" t="s">
        <v>619</v>
      </c>
      <c r="BY118" s="2" t="s">
        <v>245</v>
      </c>
      <c r="BZ118" s="2" t="s">
        <v>232</v>
      </c>
      <c r="CA118" s="2" t="s">
        <v>620</v>
      </c>
      <c r="CB118" s="2" t="s">
        <v>235</v>
      </c>
      <c r="CC118" s="2" t="s">
        <v>248</v>
      </c>
      <c r="CD118" s="2" t="s">
        <v>248</v>
      </c>
      <c r="CE118" s="2" t="s">
        <v>235</v>
      </c>
      <c r="CF118" s="4">
        <v>458</v>
      </c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>
        <v>459</v>
      </c>
      <c r="GE118" s="4">
        <v>447</v>
      </c>
      <c r="GF118" s="4">
        <v>443</v>
      </c>
      <c r="GG118" s="4">
        <v>439</v>
      </c>
      <c r="GH118" s="4">
        <v>435</v>
      </c>
      <c r="GI118" s="4">
        <v>429</v>
      </c>
      <c r="GJ118" s="4">
        <v>425</v>
      </c>
      <c r="GK118" s="4">
        <v>420</v>
      </c>
      <c r="GL118" s="4">
        <v>416</v>
      </c>
      <c r="GM118" s="4">
        <v>411</v>
      </c>
      <c r="GN118" s="4">
        <v>408</v>
      </c>
      <c r="GO118" s="4">
        <v>405</v>
      </c>
      <c r="GP118" s="4">
        <v>401</v>
      </c>
      <c r="GQ118" s="4">
        <v>396</v>
      </c>
      <c r="GR118" s="4">
        <v>388</v>
      </c>
      <c r="GS118" s="4">
        <v>383</v>
      </c>
      <c r="GT118" s="4">
        <v>379</v>
      </c>
      <c r="GU118" s="4">
        <v>376</v>
      </c>
      <c r="GV118" s="4">
        <v>370</v>
      </c>
      <c r="GW118" s="4">
        <v>367</v>
      </c>
      <c r="GX118" s="4">
        <v>364</v>
      </c>
      <c r="GY118" s="4">
        <v>361</v>
      </c>
      <c r="GZ118" s="4">
        <v>358</v>
      </c>
      <c r="HA118" s="4">
        <v>355</v>
      </c>
      <c r="HB118" s="4">
        <v>352</v>
      </c>
      <c r="HC118" s="4">
        <v>349</v>
      </c>
      <c r="HD118" s="19">
        <v>76.5</v>
      </c>
      <c r="HE118" s="19">
        <v>111.8</v>
      </c>
      <c r="HF118" s="19">
        <v>110.8</v>
      </c>
      <c r="HG118" s="19">
        <v>87.8</v>
      </c>
      <c r="HH118" s="19">
        <v>87</v>
      </c>
      <c r="HI118" s="19">
        <v>107.3</v>
      </c>
      <c r="HJ118" s="19">
        <v>106.3</v>
      </c>
      <c r="HK118" s="19">
        <v>105</v>
      </c>
      <c r="HL118" s="19">
        <v>104</v>
      </c>
      <c r="HM118" s="19">
        <v>102.8</v>
      </c>
      <c r="HN118" s="19">
        <v>81.6</v>
      </c>
      <c r="HO118" s="19">
        <v>67.5</v>
      </c>
      <c r="HP118" s="19">
        <v>66.8</v>
      </c>
      <c r="HQ118" s="19">
        <v>79.2</v>
      </c>
      <c r="HR118" s="19">
        <v>97</v>
      </c>
      <c r="HS118" s="19">
        <v>95.8</v>
      </c>
      <c r="HT118" s="19">
        <v>94.8</v>
      </c>
      <c r="HU118" s="19">
        <v>94</v>
      </c>
      <c r="HV118" s="19">
        <v>123.3</v>
      </c>
      <c r="HW118" s="19">
        <v>122.3</v>
      </c>
      <c r="HX118" s="19">
        <v>121.3</v>
      </c>
      <c r="HY118" s="19">
        <v>120.3</v>
      </c>
      <c r="HZ118" s="19">
        <v>119.3</v>
      </c>
      <c r="IA118" s="19">
        <v>118.3</v>
      </c>
      <c r="IB118" s="19">
        <v>117.3</v>
      </c>
      <c r="IC118" s="19">
        <v>116.3</v>
      </c>
    </row>
    <row r="119">
      <c r="A119" s="2" t="s">
        <v>632</v>
      </c>
      <c r="B119" s="2" t="s">
        <v>605</v>
      </c>
      <c r="C119" s="2" t="s">
        <v>606</v>
      </c>
      <c r="D119" s="2" t="s">
        <v>607</v>
      </c>
      <c r="E119" s="2" t="s">
        <v>608</v>
      </c>
      <c r="F119" s="2" t="s">
        <v>609</v>
      </c>
      <c r="G119" s="2" t="s">
        <v>609</v>
      </c>
      <c r="H119" s="2" t="s">
        <v>609</v>
      </c>
      <c r="I119" s="2" t="s">
        <v>610</v>
      </c>
      <c r="J119" s="2" t="s">
        <v>611</v>
      </c>
      <c r="K119" s="2" t="s">
        <v>506</v>
      </c>
      <c r="L119" s="3">
        <v>17.83</v>
      </c>
      <c r="M119" s="3">
        <v>18.72</v>
      </c>
      <c r="N119" s="3">
        <v>28.99</v>
      </c>
      <c r="O119" s="2" t="s">
        <v>232</v>
      </c>
      <c r="P119" s="2" t="s">
        <v>233</v>
      </c>
      <c r="Q119" s="2" t="s">
        <v>234</v>
      </c>
      <c r="R119" s="2" t="s">
        <v>235</v>
      </c>
      <c r="S119" s="2" t="s">
        <v>633</v>
      </c>
      <c r="T119" s="2" t="s">
        <v>263</v>
      </c>
      <c r="U119" s="2" t="s">
        <v>614</v>
      </c>
      <c r="V119" s="2" t="s">
        <v>238</v>
      </c>
      <c r="W119" s="2" t="s">
        <v>239</v>
      </c>
      <c r="X119" s="2" t="s">
        <v>235</v>
      </c>
      <c r="Y119" s="2" t="s">
        <v>615</v>
      </c>
      <c r="Z119" s="4">
        <v>325</v>
      </c>
      <c r="AA119" s="4">
        <f>=ROUNDDOWN(54.1666666666667,0)</f>
      </c>
      <c r="AB119" s="5">
        <v>6</v>
      </c>
      <c r="AC119" s="2" t="s">
        <v>235</v>
      </c>
      <c r="AD119" s="4"/>
      <c r="AE119" s="4"/>
      <c r="AF119" s="6">
        <v>76</v>
      </c>
      <c r="AG119" s="6"/>
      <c r="AH119" s="7">
        <v>1</v>
      </c>
      <c r="AI119" s="4"/>
      <c r="AJ119" s="4">
        <f>=ROUNDDOWN({0},0)</f>
      </c>
      <c r="AK119" s="5"/>
      <c r="AL119" s="2" t="s">
        <v>235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235</v>
      </c>
      <c r="AW119" s="8" t="s">
        <v>235</v>
      </c>
      <c r="AX119" s="4" t="s">
        <v>235</v>
      </c>
      <c r="AY119" s="8" t="s">
        <v>235</v>
      </c>
      <c r="AZ119" s="7" t="s">
        <v>235</v>
      </c>
      <c r="BA119" s="7" t="s">
        <v>235</v>
      </c>
      <c r="BB119" s="7"/>
      <c r="BC119" s="4" t="s">
        <v>235</v>
      </c>
      <c r="BD119" s="8" t="s">
        <v>235</v>
      </c>
      <c r="BE119" s="4" t="s">
        <v>235</v>
      </c>
      <c r="BF119" s="8" t="s">
        <v>235</v>
      </c>
      <c r="BG119" s="7" t="s">
        <v>235</v>
      </c>
      <c r="BH119" s="7" t="s">
        <v>235</v>
      </c>
      <c r="BI119" s="7"/>
      <c r="BJ119" s="4">
        <v>11</v>
      </c>
      <c r="BK119" s="8">
        <v>214.02</v>
      </c>
      <c r="BL119" s="2" t="s">
        <v>634</v>
      </c>
      <c r="BM119" s="7"/>
      <c r="BN119" s="7"/>
      <c r="BO119" s="4"/>
      <c r="BP119" s="8"/>
      <c r="BQ119" s="4"/>
      <c r="BR119" s="8"/>
      <c r="BS119" s="7"/>
      <c r="BT119" s="7"/>
      <c r="BU119" s="2" t="s">
        <v>617</v>
      </c>
      <c r="BV119" s="2" t="s">
        <v>618</v>
      </c>
      <c r="BW119" s="2" t="s">
        <v>235</v>
      </c>
      <c r="BX119" s="2" t="s">
        <v>619</v>
      </c>
      <c r="BY119" s="2" t="s">
        <v>245</v>
      </c>
      <c r="BZ119" s="2" t="s">
        <v>232</v>
      </c>
      <c r="CA119" s="2" t="s">
        <v>620</v>
      </c>
      <c r="CB119" s="2" t="s">
        <v>235</v>
      </c>
      <c r="CC119" s="2" t="s">
        <v>248</v>
      </c>
      <c r="CD119" s="2" t="s">
        <v>248</v>
      </c>
      <c r="CE119" s="2" t="s">
        <v>235</v>
      </c>
      <c r="CF119" s="4">
        <v>325</v>
      </c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>
        <v>327</v>
      </c>
      <c r="GE119" s="4">
        <v>289</v>
      </c>
      <c r="GF119" s="4">
        <v>282</v>
      </c>
      <c r="GG119" s="4">
        <v>275</v>
      </c>
      <c r="GH119" s="4">
        <v>268</v>
      </c>
      <c r="GI119" s="4">
        <v>257</v>
      </c>
      <c r="GJ119" s="4">
        <v>248</v>
      </c>
      <c r="GK119" s="4">
        <v>235</v>
      </c>
      <c r="GL119" s="4">
        <v>227</v>
      </c>
      <c r="GM119" s="4">
        <v>217</v>
      </c>
      <c r="GN119" s="4">
        <v>211</v>
      </c>
      <c r="GO119" s="4">
        <v>205</v>
      </c>
      <c r="GP119" s="4">
        <v>198</v>
      </c>
      <c r="GQ119" s="4">
        <v>190</v>
      </c>
      <c r="GR119" s="4">
        <v>178</v>
      </c>
      <c r="GS119" s="4">
        <v>170</v>
      </c>
      <c r="GT119" s="4">
        <v>162</v>
      </c>
      <c r="GU119" s="4">
        <v>155</v>
      </c>
      <c r="GV119" s="4">
        <v>147</v>
      </c>
      <c r="GW119" s="4">
        <v>141</v>
      </c>
      <c r="GX119" s="4">
        <v>135</v>
      </c>
      <c r="GY119" s="4">
        <v>129</v>
      </c>
      <c r="GZ119" s="4">
        <v>123</v>
      </c>
      <c r="HA119" s="4">
        <v>117</v>
      </c>
      <c r="HB119" s="4">
        <v>111</v>
      </c>
      <c r="HC119" s="4">
        <v>105</v>
      </c>
      <c r="HD119" s="19">
        <v>21.8</v>
      </c>
      <c r="HE119" s="19">
        <v>36.1</v>
      </c>
      <c r="HF119" s="19">
        <v>35.3</v>
      </c>
      <c r="HG119" s="19">
        <v>27.5</v>
      </c>
      <c r="HH119" s="19">
        <v>26.8</v>
      </c>
      <c r="HI119" s="19">
        <v>25.7</v>
      </c>
      <c r="HJ119" s="19">
        <v>27.6</v>
      </c>
      <c r="HK119" s="19">
        <v>29.4</v>
      </c>
      <c r="HL119" s="19">
        <v>32.4</v>
      </c>
      <c r="HM119" s="19">
        <v>31</v>
      </c>
      <c r="HN119" s="19">
        <v>26.4</v>
      </c>
      <c r="HO119" s="19">
        <v>22.8</v>
      </c>
      <c r="HP119" s="19">
        <v>22</v>
      </c>
      <c r="HQ119" s="19">
        <v>21.1</v>
      </c>
      <c r="HR119" s="19">
        <v>22.3</v>
      </c>
      <c r="HS119" s="19">
        <v>24.3</v>
      </c>
      <c r="HT119" s="19">
        <v>23.1</v>
      </c>
      <c r="HU119" s="19">
        <v>25.8</v>
      </c>
      <c r="HV119" s="19">
        <v>24.5</v>
      </c>
      <c r="HW119" s="19">
        <v>23.5</v>
      </c>
      <c r="HX119" s="19">
        <v>22.5</v>
      </c>
      <c r="HY119" s="19">
        <v>21.5</v>
      </c>
      <c r="HZ119" s="19">
        <v>20.5</v>
      </c>
      <c r="IA119" s="19">
        <v>19.5</v>
      </c>
      <c r="IB119" s="19">
        <v>18.5</v>
      </c>
      <c r="IC119" s="19">
        <v>17.5</v>
      </c>
    </row>
    <row r="120">
      <c r="A120" s="2" t="s">
        <v>635</v>
      </c>
      <c r="B120" s="2" t="s">
        <v>605</v>
      </c>
      <c r="C120" s="2" t="s">
        <v>606</v>
      </c>
      <c r="D120" s="2" t="s">
        <v>607</v>
      </c>
      <c r="E120" s="2" t="s">
        <v>608</v>
      </c>
      <c r="F120" s="2" t="s">
        <v>609</v>
      </c>
      <c r="G120" s="2" t="s">
        <v>609</v>
      </c>
      <c r="H120" s="2" t="s">
        <v>609</v>
      </c>
      <c r="I120" s="2" t="s">
        <v>622</v>
      </c>
      <c r="J120" s="2" t="s">
        <v>623</v>
      </c>
      <c r="K120" s="2" t="s">
        <v>506</v>
      </c>
      <c r="L120" s="3">
        <v>22.29</v>
      </c>
      <c r="M120" s="3">
        <v>23.4</v>
      </c>
      <c r="N120" s="3">
        <v>43.99</v>
      </c>
      <c r="O120" s="2" t="s">
        <v>232</v>
      </c>
      <c r="P120" s="2" t="s">
        <v>624</v>
      </c>
      <c r="Q120" s="2" t="s">
        <v>234</v>
      </c>
      <c r="R120" s="2" t="s">
        <v>235</v>
      </c>
      <c r="S120" s="2" t="s">
        <v>633</v>
      </c>
      <c r="T120" s="2" t="s">
        <v>263</v>
      </c>
      <c r="U120" s="2" t="s">
        <v>625</v>
      </c>
      <c r="V120" s="2" t="s">
        <v>238</v>
      </c>
      <c r="W120" s="2" t="s">
        <v>239</v>
      </c>
      <c r="X120" s="2" t="s">
        <v>235</v>
      </c>
      <c r="Y120" s="2" t="s">
        <v>626</v>
      </c>
      <c r="Z120" s="4">
        <v>196</v>
      </c>
      <c r="AA120" s="4">
        <f>=ROUNDDOWN(6.97508896797153,0)</f>
      </c>
      <c r="AB120" s="5">
        <v>28.1</v>
      </c>
      <c r="AC120" s="2" t="s">
        <v>235</v>
      </c>
      <c r="AD120" s="4"/>
      <c r="AE120" s="4"/>
      <c r="AF120" s="6">
        <v>76</v>
      </c>
      <c r="AG120" s="6"/>
      <c r="AH120" s="7">
        <v>1</v>
      </c>
      <c r="AI120" s="4"/>
      <c r="AJ120" s="4">
        <f>=ROUNDDOWN({0},0)</f>
      </c>
      <c r="AK120" s="5"/>
      <c r="AL120" s="2" t="s">
        <v>235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235</v>
      </c>
      <c r="AW120" s="8" t="s">
        <v>235</v>
      </c>
      <c r="AX120" s="4" t="s">
        <v>235</v>
      </c>
      <c r="AY120" s="8" t="s">
        <v>235</v>
      </c>
      <c r="AZ120" s="7" t="s">
        <v>235</v>
      </c>
      <c r="BA120" s="7" t="s">
        <v>235</v>
      </c>
      <c r="BB120" s="7"/>
      <c r="BC120" s="4" t="s">
        <v>235</v>
      </c>
      <c r="BD120" s="8" t="s">
        <v>235</v>
      </c>
      <c r="BE120" s="4" t="s">
        <v>235</v>
      </c>
      <c r="BF120" s="8" t="s">
        <v>235</v>
      </c>
      <c r="BG120" s="7" t="s">
        <v>235</v>
      </c>
      <c r="BH120" s="7" t="s">
        <v>235</v>
      </c>
      <c r="BI120" s="7"/>
      <c r="BJ120" s="4">
        <v>278</v>
      </c>
      <c r="BK120" s="8">
        <v>7128.27</v>
      </c>
      <c r="BL120" s="2" t="s">
        <v>636</v>
      </c>
      <c r="BM120" s="7"/>
      <c r="BN120" s="7"/>
      <c r="BO120" s="4"/>
      <c r="BP120" s="8"/>
      <c r="BQ120" s="4"/>
      <c r="BR120" s="8"/>
      <c r="BS120" s="7"/>
      <c r="BT120" s="7"/>
      <c r="BU120" s="2" t="s">
        <v>617</v>
      </c>
      <c r="BV120" s="2" t="s">
        <v>618</v>
      </c>
      <c r="BW120" s="2" t="s">
        <v>235</v>
      </c>
      <c r="BX120" s="2" t="s">
        <v>619</v>
      </c>
      <c r="BY120" s="2" t="s">
        <v>245</v>
      </c>
      <c r="BZ120" s="2" t="s">
        <v>232</v>
      </c>
      <c r="CA120" s="2" t="s">
        <v>620</v>
      </c>
      <c r="CB120" s="2" t="s">
        <v>235</v>
      </c>
      <c r="CC120" s="2" t="s">
        <v>248</v>
      </c>
      <c r="CD120" s="2" t="s">
        <v>248</v>
      </c>
      <c r="CE120" s="2" t="s">
        <v>235</v>
      </c>
      <c r="CF120" s="4">
        <v>196</v>
      </c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>
        <v>268</v>
      </c>
      <c r="GE120" s="4">
        <v>182</v>
      </c>
      <c r="GF120" s="4">
        <v>177</v>
      </c>
      <c r="GG120" s="4">
        <v>172</v>
      </c>
      <c r="GH120" s="4">
        <v>149</v>
      </c>
      <c r="GI120" s="4">
        <v>97</v>
      </c>
      <c r="GJ120" s="4">
        <v>52</v>
      </c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19">
        <v>8.9</v>
      </c>
      <c r="HE120" s="19">
        <v>8.7</v>
      </c>
      <c r="HF120" s="19">
        <v>5.7</v>
      </c>
      <c r="HG120" s="19">
        <v>4</v>
      </c>
      <c r="HH120" s="19">
        <v>3.9</v>
      </c>
      <c r="HI120" s="19">
        <v>3.6</v>
      </c>
      <c r="HJ120" s="19">
        <v>3.1</v>
      </c>
      <c r="HK120" s="20">
        <v>0</v>
      </c>
      <c r="HL120" s="20">
        <v>0</v>
      </c>
      <c r="HM120" s="20">
        <v>0</v>
      </c>
      <c r="HN120" s="20">
        <v>0</v>
      </c>
      <c r="HO120" s="20">
        <v>0</v>
      </c>
      <c r="HP120" s="20">
        <v>0</v>
      </c>
      <c r="HQ120" s="20">
        <v>0</v>
      </c>
      <c r="HR120" s="9"/>
      <c r="HS120" s="20">
        <v>0</v>
      </c>
      <c r="HT120" s="20">
        <v>0</v>
      </c>
      <c r="HU120" s="20">
        <v>0</v>
      </c>
      <c r="HV120" s="20">
        <v>0</v>
      </c>
      <c r="HW120" s="20">
        <v>0</v>
      </c>
      <c r="HX120" s="9"/>
      <c r="HY120" s="20">
        <v>0</v>
      </c>
      <c r="HZ120" s="20">
        <v>0</v>
      </c>
      <c r="IA120" s="20">
        <v>0</v>
      </c>
      <c r="IB120" s="20">
        <v>0</v>
      </c>
      <c r="IC120" s="20">
        <v>0</v>
      </c>
    </row>
    <row r="121">
      <c r="A121" s="2" t="s">
        <v>637</v>
      </c>
      <c r="B121" s="2" t="s">
        <v>605</v>
      </c>
      <c r="C121" s="2" t="s">
        <v>606</v>
      </c>
      <c r="D121" s="2" t="s">
        <v>607</v>
      </c>
      <c r="E121" s="2" t="s">
        <v>608</v>
      </c>
      <c r="F121" s="2" t="s">
        <v>609</v>
      </c>
      <c r="G121" s="2" t="s">
        <v>609</v>
      </c>
      <c r="H121" s="2" t="s">
        <v>609</v>
      </c>
      <c r="I121" s="2" t="s">
        <v>610</v>
      </c>
      <c r="J121" s="2" t="s">
        <v>611</v>
      </c>
      <c r="K121" s="2" t="s">
        <v>292</v>
      </c>
      <c r="L121" s="3">
        <v>17.83</v>
      </c>
      <c r="M121" s="3">
        <v>18.72</v>
      </c>
      <c r="N121" s="3">
        <v>28.99</v>
      </c>
      <c r="O121" s="2" t="s">
        <v>232</v>
      </c>
      <c r="P121" s="2" t="s">
        <v>233</v>
      </c>
      <c r="Q121" s="2" t="s">
        <v>234</v>
      </c>
      <c r="R121" s="2" t="s">
        <v>235</v>
      </c>
      <c r="S121" s="2" t="s">
        <v>638</v>
      </c>
      <c r="T121" s="2" t="s">
        <v>263</v>
      </c>
      <c r="U121" s="2" t="s">
        <v>614</v>
      </c>
      <c r="V121" s="2" t="s">
        <v>238</v>
      </c>
      <c r="W121" s="2" t="s">
        <v>239</v>
      </c>
      <c r="X121" s="2" t="s">
        <v>235</v>
      </c>
      <c r="Y121" s="2" t="s">
        <v>615</v>
      </c>
      <c r="Z121" s="4">
        <v>2209</v>
      </c>
      <c r="AA121" s="4">
        <f>=ROUNDDOWN(566.410256410256,0)</f>
      </c>
      <c r="AB121" s="5">
        <v>3.9</v>
      </c>
      <c r="AC121" s="2" t="s">
        <v>235</v>
      </c>
      <c r="AD121" s="4"/>
      <c r="AE121" s="4"/>
      <c r="AF121" s="6">
        <v>76</v>
      </c>
      <c r="AG121" s="6"/>
      <c r="AH121" s="7">
        <v>1</v>
      </c>
      <c r="AI121" s="4"/>
      <c r="AJ121" s="4">
        <f>=ROUNDDOWN({0},0)</f>
      </c>
      <c r="AK121" s="5"/>
      <c r="AL121" s="2" t="s">
        <v>235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235</v>
      </c>
      <c r="AW121" s="8" t="s">
        <v>235</v>
      </c>
      <c r="AX121" s="4" t="s">
        <v>235</v>
      </c>
      <c r="AY121" s="8" t="s">
        <v>235</v>
      </c>
      <c r="AZ121" s="7" t="s">
        <v>235</v>
      </c>
      <c r="BA121" s="7" t="s">
        <v>235</v>
      </c>
      <c r="BB121" s="7"/>
      <c r="BC121" s="4" t="s">
        <v>235</v>
      </c>
      <c r="BD121" s="8" t="s">
        <v>235</v>
      </c>
      <c r="BE121" s="4" t="s">
        <v>235</v>
      </c>
      <c r="BF121" s="8" t="s">
        <v>235</v>
      </c>
      <c r="BG121" s="7" t="s">
        <v>235</v>
      </c>
      <c r="BH121" s="7" t="s">
        <v>235</v>
      </c>
      <c r="BI121" s="7"/>
      <c r="BJ121" s="4">
        <v>30</v>
      </c>
      <c r="BK121" s="8">
        <v>578.02</v>
      </c>
      <c r="BL121" s="2" t="s">
        <v>639</v>
      </c>
      <c r="BM121" s="7"/>
      <c r="BN121" s="7"/>
      <c r="BO121" s="4"/>
      <c r="BP121" s="8"/>
      <c r="BQ121" s="4"/>
      <c r="BR121" s="8"/>
      <c r="BS121" s="7"/>
      <c r="BT121" s="7"/>
      <c r="BU121" s="2" t="s">
        <v>617</v>
      </c>
      <c r="BV121" s="2" t="s">
        <v>618</v>
      </c>
      <c r="BW121" s="2" t="s">
        <v>235</v>
      </c>
      <c r="BX121" s="2" t="s">
        <v>619</v>
      </c>
      <c r="BY121" s="2" t="s">
        <v>245</v>
      </c>
      <c r="BZ121" s="2" t="s">
        <v>232</v>
      </c>
      <c r="CA121" s="2" t="s">
        <v>620</v>
      </c>
      <c r="CB121" s="2" t="s">
        <v>235</v>
      </c>
      <c r="CC121" s="2" t="s">
        <v>248</v>
      </c>
      <c r="CD121" s="2" t="s">
        <v>248</v>
      </c>
      <c r="CE121" s="2" t="s">
        <v>235</v>
      </c>
      <c r="CF121" s="4">
        <v>2209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>
        <v>2225</v>
      </c>
      <c r="GE121" s="4">
        <v>2206</v>
      </c>
      <c r="GF121" s="4">
        <v>2204</v>
      </c>
      <c r="GG121" s="4">
        <v>2202</v>
      </c>
      <c r="GH121" s="4">
        <v>2200</v>
      </c>
      <c r="GI121" s="4">
        <v>2198</v>
      </c>
      <c r="GJ121" s="4">
        <v>2195</v>
      </c>
      <c r="GK121" s="4">
        <v>2192</v>
      </c>
      <c r="GL121" s="4">
        <v>2189</v>
      </c>
      <c r="GM121" s="4">
        <v>2184</v>
      </c>
      <c r="GN121" s="4">
        <v>2180</v>
      </c>
      <c r="GO121" s="4">
        <v>2176</v>
      </c>
      <c r="GP121" s="4">
        <v>2170</v>
      </c>
      <c r="GQ121" s="4">
        <v>2162</v>
      </c>
      <c r="GR121" s="4">
        <v>2151</v>
      </c>
      <c r="GS121" s="4">
        <v>2145</v>
      </c>
      <c r="GT121" s="4">
        <v>2140</v>
      </c>
      <c r="GU121" s="4">
        <v>2137</v>
      </c>
      <c r="GV121" s="4">
        <v>2131</v>
      </c>
      <c r="GW121" s="4">
        <v>2128</v>
      </c>
      <c r="GX121" s="4">
        <v>2125</v>
      </c>
      <c r="GY121" s="4">
        <v>2122</v>
      </c>
      <c r="GZ121" s="4">
        <v>2118</v>
      </c>
      <c r="HA121" s="4">
        <v>2114</v>
      </c>
      <c r="HB121" s="4">
        <v>2110</v>
      </c>
      <c r="HC121" s="4">
        <v>2106</v>
      </c>
      <c r="HD121" s="19">
        <v>370.8</v>
      </c>
      <c r="HE121" s="19">
        <v>1103</v>
      </c>
      <c r="HF121" s="19">
        <v>1102</v>
      </c>
      <c r="HG121" s="19">
        <v>1101</v>
      </c>
      <c r="HH121" s="19">
        <v>733.3</v>
      </c>
      <c r="HI121" s="19">
        <v>549.5</v>
      </c>
      <c r="HJ121" s="19">
        <v>548.8</v>
      </c>
      <c r="HK121" s="19">
        <v>548</v>
      </c>
      <c r="HL121" s="19">
        <v>437.8</v>
      </c>
      <c r="HM121" s="19">
        <v>364</v>
      </c>
      <c r="HN121" s="19">
        <v>311.4</v>
      </c>
      <c r="HO121" s="19">
        <v>272</v>
      </c>
      <c r="HP121" s="19">
        <v>271.3</v>
      </c>
      <c r="HQ121" s="19">
        <v>360.3</v>
      </c>
      <c r="HR121" s="19">
        <v>430.2</v>
      </c>
      <c r="HS121" s="19">
        <v>536.3</v>
      </c>
      <c r="HT121" s="19">
        <v>535</v>
      </c>
      <c r="HU121" s="19">
        <v>534.3</v>
      </c>
      <c r="HV121" s="19">
        <v>710.3</v>
      </c>
      <c r="HW121" s="19">
        <v>532</v>
      </c>
      <c r="HX121" s="19">
        <v>531.3</v>
      </c>
      <c r="HY121" s="19">
        <v>530.5</v>
      </c>
      <c r="HZ121" s="19">
        <v>529.5</v>
      </c>
      <c r="IA121" s="19">
        <v>528.5</v>
      </c>
      <c r="IB121" s="19">
        <v>527.5</v>
      </c>
      <c r="IC121" s="19">
        <v>526.5</v>
      </c>
    </row>
    <row r="122">
      <c r="A122" s="2" t="s">
        <v>640</v>
      </c>
      <c r="B122" s="2" t="s">
        <v>605</v>
      </c>
      <c r="C122" s="2" t="s">
        <v>606</v>
      </c>
      <c r="D122" s="2" t="s">
        <v>607</v>
      </c>
      <c r="E122" s="2" t="s">
        <v>608</v>
      </c>
      <c r="F122" s="2" t="s">
        <v>609</v>
      </c>
      <c r="G122" s="2" t="s">
        <v>609</v>
      </c>
      <c r="H122" s="2" t="s">
        <v>609</v>
      </c>
      <c r="I122" s="2" t="s">
        <v>622</v>
      </c>
      <c r="J122" s="2" t="s">
        <v>623</v>
      </c>
      <c r="K122" s="2" t="s">
        <v>292</v>
      </c>
      <c r="L122" s="3">
        <v>22.29</v>
      </c>
      <c r="M122" s="3">
        <v>23.4</v>
      </c>
      <c r="N122" s="3">
        <v>43.99</v>
      </c>
      <c r="O122" s="2" t="s">
        <v>232</v>
      </c>
      <c r="P122" s="2" t="s">
        <v>624</v>
      </c>
      <c r="Q122" s="2" t="s">
        <v>234</v>
      </c>
      <c r="R122" s="2" t="s">
        <v>235</v>
      </c>
      <c r="S122" s="2" t="s">
        <v>638</v>
      </c>
      <c r="T122" s="2" t="s">
        <v>263</v>
      </c>
      <c r="U122" s="2" t="s">
        <v>625</v>
      </c>
      <c r="V122" s="2" t="s">
        <v>238</v>
      </c>
      <c r="W122" s="2" t="s">
        <v>239</v>
      </c>
      <c r="X122" s="2" t="s">
        <v>235</v>
      </c>
      <c r="Y122" s="2" t="s">
        <v>626</v>
      </c>
      <c r="Z122" s="4">
        <v>666</v>
      </c>
      <c r="AA122" s="4">
        <f>=ROUNDDOWN(14.1702127659574,0)</f>
      </c>
      <c r="AB122" s="5">
        <v>47</v>
      </c>
      <c r="AC122" s="2" t="s">
        <v>235</v>
      </c>
      <c r="AD122" s="4"/>
      <c r="AE122" s="4"/>
      <c r="AF122" s="6">
        <v>76</v>
      </c>
      <c r="AG122" s="6"/>
      <c r="AH122" s="7">
        <v>1</v>
      </c>
      <c r="AI122" s="4"/>
      <c r="AJ122" s="4">
        <f>=ROUNDDOWN({0},0)</f>
      </c>
      <c r="AK122" s="5"/>
      <c r="AL122" s="2" t="s">
        <v>235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235</v>
      </c>
      <c r="AW122" s="8" t="s">
        <v>235</v>
      </c>
      <c r="AX122" s="4" t="s">
        <v>235</v>
      </c>
      <c r="AY122" s="8" t="s">
        <v>235</v>
      </c>
      <c r="AZ122" s="7" t="s">
        <v>235</v>
      </c>
      <c r="BA122" s="7" t="s">
        <v>235</v>
      </c>
      <c r="BB122" s="7"/>
      <c r="BC122" s="4" t="s">
        <v>235</v>
      </c>
      <c r="BD122" s="8" t="s">
        <v>235</v>
      </c>
      <c r="BE122" s="4" t="s">
        <v>235</v>
      </c>
      <c r="BF122" s="8" t="s">
        <v>235</v>
      </c>
      <c r="BG122" s="7" t="s">
        <v>235</v>
      </c>
      <c r="BH122" s="7" t="s">
        <v>235</v>
      </c>
      <c r="BI122" s="7"/>
      <c r="BJ122" s="4">
        <v>344</v>
      </c>
      <c r="BK122" s="8">
        <v>8768.65</v>
      </c>
      <c r="BL122" s="2" t="s">
        <v>641</v>
      </c>
      <c r="BM122" s="7"/>
      <c r="BN122" s="7"/>
      <c r="BO122" s="4"/>
      <c r="BP122" s="8"/>
      <c r="BQ122" s="4"/>
      <c r="BR122" s="8"/>
      <c r="BS122" s="7"/>
      <c r="BT122" s="7"/>
      <c r="BU122" s="2" t="s">
        <v>617</v>
      </c>
      <c r="BV122" s="2" t="s">
        <v>618</v>
      </c>
      <c r="BW122" s="2" t="s">
        <v>235</v>
      </c>
      <c r="BX122" s="2" t="s">
        <v>619</v>
      </c>
      <c r="BY122" s="2" t="s">
        <v>245</v>
      </c>
      <c r="BZ122" s="2" t="s">
        <v>232</v>
      </c>
      <c r="CA122" s="2" t="s">
        <v>620</v>
      </c>
      <c r="CB122" s="2" t="s">
        <v>642</v>
      </c>
      <c r="CC122" s="2" t="s">
        <v>248</v>
      </c>
      <c r="CD122" s="2" t="s">
        <v>248</v>
      </c>
      <c r="CE122" s="2" t="s">
        <v>235</v>
      </c>
      <c r="CF122" s="4">
        <v>666</v>
      </c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>
        <v>747</v>
      </c>
      <c r="GE122" s="4">
        <v>531</v>
      </c>
      <c r="GF122" s="4">
        <v>468</v>
      </c>
      <c r="GG122" s="4">
        <v>405</v>
      </c>
      <c r="GH122" s="4">
        <v>337</v>
      </c>
      <c r="GI122" s="4">
        <v>248</v>
      </c>
      <c r="GJ122" s="4">
        <v>174</v>
      </c>
      <c r="GK122" s="4">
        <v>48</v>
      </c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19">
        <v>7.3</v>
      </c>
      <c r="HE122" s="19">
        <v>7.5</v>
      </c>
      <c r="HF122" s="19">
        <v>6.3</v>
      </c>
      <c r="HG122" s="19">
        <v>4.6</v>
      </c>
      <c r="HH122" s="19">
        <v>4</v>
      </c>
      <c r="HI122" s="19">
        <v>3.8</v>
      </c>
      <c r="HJ122" s="19">
        <v>3.6</v>
      </c>
      <c r="HK122" s="19">
        <v>2.3</v>
      </c>
      <c r="HL122" s="20">
        <v>0</v>
      </c>
      <c r="HM122" s="20">
        <v>0</v>
      </c>
      <c r="HN122" s="20">
        <v>0</v>
      </c>
      <c r="HO122" s="20">
        <v>0</v>
      </c>
      <c r="HP122" s="20">
        <v>0</v>
      </c>
      <c r="HQ122" s="20">
        <v>0</v>
      </c>
      <c r="HR122" s="20">
        <v>0</v>
      </c>
      <c r="HS122" s="20">
        <v>0</v>
      </c>
      <c r="HT122" s="20">
        <v>0</v>
      </c>
      <c r="HU122" s="20">
        <v>0</v>
      </c>
      <c r="HV122" s="20">
        <v>0</v>
      </c>
      <c r="HW122" s="20">
        <v>0</v>
      </c>
      <c r="HX122" s="20">
        <v>0</v>
      </c>
      <c r="HY122" s="20">
        <v>0</v>
      </c>
      <c r="HZ122" s="20">
        <v>0</v>
      </c>
      <c r="IA122" s="20">
        <v>0</v>
      </c>
      <c r="IB122" s="20">
        <v>0</v>
      </c>
      <c r="IC122" s="20">
        <v>0</v>
      </c>
    </row>
    <row r="123">
      <c r="A123" s="2" t="s">
        <v>643</v>
      </c>
      <c r="B123" s="2" t="s">
        <v>605</v>
      </c>
      <c r="C123" s="2" t="s">
        <v>606</v>
      </c>
      <c r="D123" s="2" t="s">
        <v>607</v>
      </c>
      <c r="E123" s="2" t="s">
        <v>608</v>
      </c>
      <c r="F123" s="2" t="s">
        <v>609</v>
      </c>
      <c r="G123" s="2" t="s">
        <v>609</v>
      </c>
      <c r="H123" s="2" t="s">
        <v>609</v>
      </c>
      <c r="I123" s="2" t="s">
        <v>629</v>
      </c>
      <c r="J123" s="2" t="s">
        <v>630</v>
      </c>
      <c r="K123" s="2" t="s">
        <v>292</v>
      </c>
      <c r="L123" s="3">
        <v>22.29</v>
      </c>
      <c r="M123" s="3">
        <v>23.4</v>
      </c>
      <c r="N123" s="3">
        <v>39.99</v>
      </c>
      <c r="O123" s="2" t="s">
        <v>232</v>
      </c>
      <c r="P123" s="2" t="s">
        <v>624</v>
      </c>
      <c r="Q123" s="2" t="s">
        <v>234</v>
      </c>
      <c r="R123" s="2" t="s">
        <v>235</v>
      </c>
      <c r="S123" s="2" t="s">
        <v>638</v>
      </c>
      <c r="T123" s="2" t="s">
        <v>263</v>
      </c>
      <c r="U123" s="2" t="s">
        <v>264</v>
      </c>
      <c r="V123" s="2" t="s">
        <v>238</v>
      </c>
      <c r="W123" s="2" t="s">
        <v>239</v>
      </c>
      <c r="X123" s="2" t="s">
        <v>235</v>
      </c>
      <c r="Y123" s="2" t="s">
        <v>626</v>
      </c>
      <c r="Z123" s="4">
        <v>721</v>
      </c>
      <c r="AA123" s="4">
        <f>=ROUNDDOWN(600.833333333333,0)</f>
      </c>
      <c r="AB123" s="5">
        <v>1.2</v>
      </c>
      <c r="AC123" s="2" t="s">
        <v>235</v>
      </c>
      <c r="AD123" s="4"/>
      <c r="AE123" s="4"/>
      <c r="AF123" s="6">
        <v>76</v>
      </c>
      <c r="AG123" s="6"/>
      <c r="AH123" s="7">
        <v>1</v>
      </c>
      <c r="AI123" s="4"/>
      <c r="AJ123" s="4">
        <f>=ROUNDDOWN({0},0)</f>
      </c>
      <c r="AK123" s="5"/>
      <c r="AL123" s="2" t="s">
        <v>235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235</v>
      </c>
      <c r="AW123" s="8" t="s">
        <v>235</v>
      </c>
      <c r="AX123" s="4" t="s">
        <v>235</v>
      </c>
      <c r="AY123" s="8" t="s">
        <v>235</v>
      </c>
      <c r="AZ123" s="7" t="s">
        <v>235</v>
      </c>
      <c r="BA123" s="7" t="s">
        <v>235</v>
      </c>
      <c r="BB123" s="7"/>
      <c r="BC123" s="4" t="s">
        <v>235</v>
      </c>
      <c r="BD123" s="8" t="s">
        <v>235</v>
      </c>
      <c r="BE123" s="4" t="s">
        <v>235</v>
      </c>
      <c r="BF123" s="8" t="s">
        <v>235</v>
      </c>
      <c r="BG123" s="7" t="s">
        <v>235</v>
      </c>
      <c r="BH123" s="7" t="s">
        <v>235</v>
      </c>
      <c r="BI123" s="7"/>
      <c r="BJ123" s="4">
        <v>10</v>
      </c>
      <c r="BK123" s="8">
        <v>248.88</v>
      </c>
      <c r="BL123" s="2" t="s">
        <v>592</v>
      </c>
      <c r="BM123" s="7"/>
      <c r="BN123" s="7"/>
      <c r="BO123" s="4"/>
      <c r="BP123" s="8"/>
      <c r="BQ123" s="4"/>
      <c r="BR123" s="8"/>
      <c r="BS123" s="7"/>
      <c r="BT123" s="7"/>
      <c r="BU123" s="2" t="s">
        <v>617</v>
      </c>
      <c r="BV123" s="2" t="s">
        <v>618</v>
      </c>
      <c r="BW123" s="2" t="s">
        <v>235</v>
      </c>
      <c r="BX123" s="2" t="s">
        <v>619</v>
      </c>
      <c r="BY123" s="2" t="s">
        <v>245</v>
      </c>
      <c r="BZ123" s="2" t="s">
        <v>232</v>
      </c>
      <c r="CA123" s="2" t="s">
        <v>620</v>
      </c>
      <c r="CB123" s="2" t="s">
        <v>644</v>
      </c>
      <c r="CC123" s="2" t="s">
        <v>248</v>
      </c>
      <c r="CD123" s="2" t="s">
        <v>248</v>
      </c>
      <c r="CE123" s="2" t="s">
        <v>235</v>
      </c>
      <c r="CF123" s="4">
        <v>721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>
        <v>721</v>
      </c>
      <c r="GE123" s="4">
        <v>720</v>
      </c>
      <c r="GF123" s="4">
        <v>719</v>
      </c>
      <c r="GG123" s="4">
        <v>718</v>
      </c>
      <c r="GH123" s="4">
        <v>717</v>
      </c>
      <c r="GI123" s="4">
        <v>716</v>
      </c>
      <c r="GJ123" s="4">
        <v>714</v>
      </c>
      <c r="GK123" s="4">
        <v>710</v>
      </c>
      <c r="GL123" s="4">
        <v>707</v>
      </c>
      <c r="GM123" s="4">
        <v>703</v>
      </c>
      <c r="GN123" s="4">
        <v>701</v>
      </c>
      <c r="GO123" s="4">
        <v>699</v>
      </c>
      <c r="GP123" s="4">
        <v>696</v>
      </c>
      <c r="GQ123" s="4">
        <v>693</v>
      </c>
      <c r="GR123" s="4">
        <v>687</v>
      </c>
      <c r="GS123" s="4">
        <v>684</v>
      </c>
      <c r="GT123" s="4">
        <v>682</v>
      </c>
      <c r="GU123" s="4">
        <v>680</v>
      </c>
      <c r="GV123" s="4">
        <v>675</v>
      </c>
      <c r="GW123" s="4">
        <v>673</v>
      </c>
      <c r="GX123" s="4">
        <v>671</v>
      </c>
      <c r="GY123" s="4">
        <v>669</v>
      </c>
      <c r="GZ123" s="4">
        <v>667</v>
      </c>
      <c r="HA123" s="4">
        <v>665</v>
      </c>
      <c r="HB123" s="4">
        <v>663</v>
      </c>
      <c r="HC123" s="4">
        <v>661</v>
      </c>
      <c r="HD123" s="19">
        <v>721</v>
      </c>
      <c r="HE123" s="19">
        <v>720</v>
      </c>
      <c r="HF123" s="19">
        <v>719</v>
      </c>
      <c r="HG123" s="19">
        <v>359</v>
      </c>
      <c r="HH123" s="19">
        <v>358.5</v>
      </c>
      <c r="HI123" s="19">
        <v>238.7</v>
      </c>
      <c r="HJ123" s="19">
        <v>238</v>
      </c>
      <c r="HK123" s="19">
        <v>236.7</v>
      </c>
      <c r="HL123" s="19">
        <v>235.7</v>
      </c>
      <c r="HM123" s="19">
        <v>351.5</v>
      </c>
      <c r="HN123" s="19">
        <v>175.3</v>
      </c>
      <c r="HO123" s="19">
        <v>174.8</v>
      </c>
      <c r="HP123" s="19">
        <v>174</v>
      </c>
      <c r="HQ123" s="19">
        <v>231</v>
      </c>
      <c r="HR123" s="19">
        <v>229</v>
      </c>
      <c r="HS123" s="19">
        <v>228</v>
      </c>
      <c r="HT123" s="19">
        <v>227.3</v>
      </c>
      <c r="HU123" s="19">
        <v>226.7</v>
      </c>
      <c r="HV123" s="19">
        <v>337.5</v>
      </c>
      <c r="HW123" s="19">
        <v>336.5</v>
      </c>
      <c r="HX123" s="19">
        <v>335.5</v>
      </c>
      <c r="HY123" s="19">
        <v>334.5</v>
      </c>
      <c r="HZ123" s="19">
        <v>333.5</v>
      </c>
      <c r="IA123" s="19">
        <v>332.5</v>
      </c>
      <c r="IB123" s="19">
        <v>331.5</v>
      </c>
      <c r="IC123" s="19">
        <v>330.5</v>
      </c>
    </row>
    <row r="124">
      <c r="A124" s="2" t="s">
        <v>645</v>
      </c>
      <c r="B124" s="2" t="s">
        <v>605</v>
      </c>
      <c r="C124" s="2" t="s">
        <v>606</v>
      </c>
      <c r="D124" s="2" t="s">
        <v>607</v>
      </c>
      <c r="E124" s="2" t="s">
        <v>608</v>
      </c>
      <c r="F124" s="2" t="s">
        <v>609</v>
      </c>
      <c r="G124" s="2" t="s">
        <v>609</v>
      </c>
      <c r="H124" s="2" t="s">
        <v>609</v>
      </c>
      <c r="I124" s="2" t="s">
        <v>610</v>
      </c>
      <c r="J124" s="2" t="s">
        <v>611</v>
      </c>
      <c r="K124" s="2" t="s">
        <v>646</v>
      </c>
      <c r="L124" s="3">
        <v>17.83</v>
      </c>
      <c r="M124" s="3">
        <v>18.72</v>
      </c>
      <c r="N124" s="3">
        <v>28.99</v>
      </c>
      <c r="O124" s="2" t="s">
        <v>232</v>
      </c>
      <c r="P124" s="2" t="s">
        <v>233</v>
      </c>
      <c r="Q124" s="2" t="s">
        <v>234</v>
      </c>
      <c r="R124" s="2" t="s">
        <v>235</v>
      </c>
      <c r="S124" s="2" t="s">
        <v>647</v>
      </c>
      <c r="T124" s="2" t="s">
        <v>263</v>
      </c>
      <c r="U124" s="2" t="s">
        <v>614</v>
      </c>
      <c r="V124" s="2" t="s">
        <v>238</v>
      </c>
      <c r="W124" s="2" t="s">
        <v>239</v>
      </c>
      <c r="X124" s="2" t="s">
        <v>235</v>
      </c>
      <c r="Y124" s="2" t="s">
        <v>615</v>
      </c>
      <c r="Z124" s="4">
        <v>1076</v>
      </c>
      <c r="AA124" s="4">
        <f>=ROUNDDOWN(182.372881355932,0)</f>
      </c>
      <c r="AB124" s="5">
        <v>5.9</v>
      </c>
      <c r="AC124" s="2" t="s">
        <v>235</v>
      </c>
      <c r="AD124" s="4"/>
      <c r="AE124" s="4"/>
      <c r="AF124" s="6">
        <v>76</v>
      </c>
      <c r="AG124" s="6"/>
      <c r="AH124" s="7">
        <v>1</v>
      </c>
      <c r="AI124" s="4"/>
      <c r="AJ124" s="4">
        <f>=ROUNDDOWN({0},0)</f>
      </c>
      <c r="AK124" s="5"/>
      <c r="AL124" s="2" t="s">
        <v>235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235</v>
      </c>
      <c r="AW124" s="8" t="s">
        <v>235</v>
      </c>
      <c r="AX124" s="4" t="s">
        <v>235</v>
      </c>
      <c r="AY124" s="8" t="s">
        <v>235</v>
      </c>
      <c r="AZ124" s="7" t="s">
        <v>235</v>
      </c>
      <c r="BA124" s="7" t="s">
        <v>235</v>
      </c>
      <c r="BB124" s="7"/>
      <c r="BC124" s="4" t="s">
        <v>235</v>
      </c>
      <c r="BD124" s="8" t="s">
        <v>235</v>
      </c>
      <c r="BE124" s="4" t="s">
        <v>235</v>
      </c>
      <c r="BF124" s="8" t="s">
        <v>235</v>
      </c>
      <c r="BG124" s="7" t="s">
        <v>235</v>
      </c>
      <c r="BH124" s="7" t="s">
        <v>235</v>
      </c>
      <c r="BI124" s="7"/>
      <c r="BJ124" s="4">
        <v>20</v>
      </c>
      <c r="BK124" s="8">
        <v>419.19</v>
      </c>
      <c r="BL124" s="2" t="s">
        <v>648</v>
      </c>
      <c r="BM124" s="7"/>
      <c r="BN124" s="7"/>
      <c r="BO124" s="4"/>
      <c r="BP124" s="8"/>
      <c r="BQ124" s="4"/>
      <c r="BR124" s="8"/>
      <c r="BS124" s="7"/>
      <c r="BT124" s="7"/>
      <c r="BU124" s="2" t="s">
        <v>617</v>
      </c>
      <c r="BV124" s="2" t="s">
        <v>618</v>
      </c>
      <c r="BW124" s="2" t="s">
        <v>235</v>
      </c>
      <c r="BX124" s="2" t="s">
        <v>619</v>
      </c>
      <c r="BY124" s="2" t="s">
        <v>245</v>
      </c>
      <c r="BZ124" s="2" t="s">
        <v>232</v>
      </c>
      <c r="CA124" s="2" t="s">
        <v>620</v>
      </c>
      <c r="CB124" s="2" t="s">
        <v>235</v>
      </c>
      <c r="CC124" s="2" t="s">
        <v>248</v>
      </c>
      <c r="CD124" s="2" t="s">
        <v>248</v>
      </c>
      <c r="CE124" s="2" t="s">
        <v>235</v>
      </c>
      <c r="CF124" s="4">
        <v>1076</v>
      </c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>
        <v>1077</v>
      </c>
      <c r="GE124" s="4">
        <v>1068</v>
      </c>
      <c r="GF124" s="4">
        <v>1063</v>
      </c>
      <c r="GG124" s="4">
        <v>1058</v>
      </c>
      <c r="GH124" s="4">
        <v>1053</v>
      </c>
      <c r="GI124" s="4">
        <v>1047</v>
      </c>
      <c r="GJ124" s="4">
        <v>1040</v>
      </c>
      <c r="GK124" s="4">
        <v>1033</v>
      </c>
      <c r="GL124" s="4">
        <v>1027</v>
      </c>
      <c r="GM124" s="4">
        <v>1022</v>
      </c>
      <c r="GN124" s="4">
        <v>1016</v>
      </c>
      <c r="GO124" s="4">
        <v>1009</v>
      </c>
      <c r="GP124" s="4">
        <v>999</v>
      </c>
      <c r="GQ124" s="4">
        <v>987</v>
      </c>
      <c r="GR124" s="4">
        <v>974</v>
      </c>
      <c r="GS124" s="4">
        <v>964</v>
      </c>
      <c r="GT124" s="4">
        <v>956</v>
      </c>
      <c r="GU124" s="4">
        <v>951</v>
      </c>
      <c r="GV124" s="4">
        <v>947</v>
      </c>
      <c r="GW124" s="4">
        <v>942</v>
      </c>
      <c r="GX124" s="4">
        <v>937</v>
      </c>
      <c r="GY124" s="4">
        <v>932</v>
      </c>
      <c r="GZ124" s="4">
        <v>926</v>
      </c>
      <c r="HA124" s="4">
        <v>920</v>
      </c>
      <c r="HB124" s="4">
        <v>914</v>
      </c>
      <c r="HC124" s="4">
        <v>908</v>
      </c>
      <c r="HD124" s="19">
        <v>179.5</v>
      </c>
      <c r="HE124" s="19">
        <v>213.6</v>
      </c>
      <c r="HF124" s="19">
        <v>177.2</v>
      </c>
      <c r="HG124" s="19">
        <v>176.3</v>
      </c>
      <c r="HH124" s="19">
        <v>175.5</v>
      </c>
      <c r="HI124" s="19">
        <v>174.5</v>
      </c>
      <c r="HJ124" s="19">
        <v>173.3</v>
      </c>
      <c r="HK124" s="19">
        <v>172.2</v>
      </c>
      <c r="HL124" s="19">
        <v>146.7</v>
      </c>
      <c r="HM124" s="19">
        <v>113.6</v>
      </c>
      <c r="HN124" s="19">
        <v>101.6</v>
      </c>
      <c r="HO124" s="19">
        <v>91.7</v>
      </c>
      <c r="HP124" s="19">
        <v>90.8</v>
      </c>
      <c r="HQ124" s="19">
        <v>109.7</v>
      </c>
      <c r="HR124" s="19">
        <v>139.1</v>
      </c>
      <c r="HS124" s="19">
        <v>160.7</v>
      </c>
      <c r="HT124" s="19">
        <v>191.2</v>
      </c>
      <c r="HU124" s="19">
        <v>190.2</v>
      </c>
      <c r="HV124" s="19">
        <v>189.4</v>
      </c>
      <c r="HW124" s="19">
        <v>157</v>
      </c>
      <c r="HX124" s="19">
        <v>156.2</v>
      </c>
      <c r="HY124" s="19">
        <v>155.3</v>
      </c>
      <c r="HZ124" s="19">
        <v>154.3</v>
      </c>
      <c r="IA124" s="19">
        <v>153.3</v>
      </c>
      <c r="IB124" s="19">
        <v>152.3</v>
      </c>
      <c r="IC124" s="19">
        <v>151.3</v>
      </c>
    </row>
    <row r="125">
      <c r="A125" s="2" t="s">
        <v>649</v>
      </c>
      <c r="B125" s="2" t="s">
        <v>605</v>
      </c>
      <c r="C125" s="2" t="s">
        <v>606</v>
      </c>
      <c r="D125" s="2" t="s">
        <v>607</v>
      </c>
      <c r="E125" s="2" t="s">
        <v>608</v>
      </c>
      <c r="F125" s="2" t="s">
        <v>609</v>
      </c>
      <c r="G125" s="2" t="s">
        <v>609</v>
      </c>
      <c r="H125" s="2" t="s">
        <v>609</v>
      </c>
      <c r="I125" s="2" t="s">
        <v>622</v>
      </c>
      <c r="J125" s="2" t="s">
        <v>623</v>
      </c>
      <c r="K125" s="2" t="s">
        <v>646</v>
      </c>
      <c r="L125" s="3">
        <v>22.29</v>
      </c>
      <c r="M125" s="3">
        <v>23.4</v>
      </c>
      <c r="N125" s="3">
        <v>43.99</v>
      </c>
      <c r="O125" s="2" t="s">
        <v>232</v>
      </c>
      <c r="P125" s="2" t="s">
        <v>624</v>
      </c>
      <c r="Q125" s="2" t="s">
        <v>234</v>
      </c>
      <c r="R125" s="2" t="s">
        <v>235</v>
      </c>
      <c r="S125" s="2" t="s">
        <v>647</v>
      </c>
      <c r="T125" s="2" t="s">
        <v>263</v>
      </c>
      <c r="U125" s="2" t="s">
        <v>625</v>
      </c>
      <c r="V125" s="2" t="s">
        <v>238</v>
      </c>
      <c r="W125" s="2" t="s">
        <v>239</v>
      </c>
      <c r="X125" s="2" t="s">
        <v>235</v>
      </c>
      <c r="Y125" s="2" t="s">
        <v>626</v>
      </c>
      <c r="Z125" s="4">
        <v>1132</v>
      </c>
      <c r="AA125" s="4">
        <f>=ROUNDDOWN(60.8602150537634,0)</f>
      </c>
      <c r="AB125" s="5">
        <v>18.6</v>
      </c>
      <c r="AC125" s="2" t="s">
        <v>235</v>
      </c>
      <c r="AD125" s="4"/>
      <c r="AE125" s="4"/>
      <c r="AF125" s="6">
        <v>76</v>
      </c>
      <c r="AG125" s="6"/>
      <c r="AH125" s="7">
        <v>1</v>
      </c>
      <c r="AI125" s="4"/>
      <c r="AJ125" s="4">
        <f>=ROUNDDOWN({0},0)</f>
      </c>
      <c r="AK125" s="5"/>
      <c r="AL125" s="2" t="s">
        <v>235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235</v>
      </c>
      <c r="AW125" s="8" t="s">
        <v>235</v>
      </c>
      <c r="AX125" s="4" t="s">
        <v>235</v>
      </c>
      <c r="AY125" s="8" t="s">
        <v>235</v>
      </c>
      <c r="AZ125" s="7" t="s">
        <v>235</v>
      </c>
      <c r="BA125" s="7" t="s">
        <v>235</v>
      </c>
      <c r="BB125" s="7"/>
      <c r="BC125" s="4" t="s">
        <v>235</v>
      </c>
      <c r="BD125" s="8" t="s">
        <v>235</v>
      </c>
      <c r="BE125" s="4" t="s">
        <v>235</v>
      </c>
      <c r="BF125" s="8" t="s">
        <v>235</v>
      </c>
      <c r="BG125" s="7" t="s">
        <v>235</v>
      </c>
      <c r="BH125" s="7" t="s">
        <v>235</v>
      </c>
      <c r="BI125" s="7"/>
      <c r="BJ125" s="4">
        <v>85</v>
      </c>
      <c r="BK125" s="8">
        <v>2148.99</v>
      </c>
      <c r="BL125" s="2" t="s">
        <v>650</v>
      </c>
      <c r="BM125" s="7"/>
      <c r="BN125" s="7"/>
      <c r="BO125" s="4"/>
      <c r="BP125" s="8"/>
      <c r="BQ125" s="4"/>
      <c r="BR125" s="8"/>
      <c r="BS125" s="7"/>
      <c r="BT125" s="7"/>
      <c r="BU125" s="2" t="s">
        <v>617</v>
      </c>
      <c r="BV125" s="2" t="s">
        <v>618</v>
      </c>
      <c r="BW125" s="2" t="s">
        <v>235</v>
      </c>
      <c r="BX125" s="2" t="s">
        <v>619</v>
      </c>
      <c r="BY125" s="2" t="s">
        <v>245</v>
      </c>
      <c r="BZ125" s="2" t="s">
        <v>232</v>
      </c>
      <c r="CA125" s="2" t="s">
        <v>620</v>
      </c>
      <c r="CB125" s="2" t="s">
        <v>651</v>
      </c>
      <c r="CC125" s="2" t="s">
        <v>248</v>
      </c>
      <c r="CD125" s="2" t="s">
        <v>248</v>
      </c>
      <c r="CE125" s="2" t="s">
        <v>235</v>
      </c>
      <c r="CF125" s="4">
        <v>1132</v>
      </c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>
        <v>1135</v>
      </c>
      <c r="GE125" s="4">
        <v>1012</v>
      </c>
      <c r="GF125" s="4">
        <v>987</v>
      </c>
      <c r="GG125" s="4">
        <v>962</v>
      </c>
      <c r="GH125" s="4">
        <v>934</v>
      </c>
      <c r="GI125" s="4">
        <v>897</v>
      </c>
      <c r="GJ125" s="4">
        <v>874</v>
      </c>
      <c r="GK125" s="4">
        <v>825</v>
      </c>
      <c r="GL125" s="4">
        <v>793</v>
      </c>
      <c r="GM125" s="4">
        <v>758</v>
      </c>
      <c r="GN125" s="4">
        <v>740</v>
      </c>
      <c r="GO125" s="4">
        <v>712</v>
      </c>
      <c r="GP125" s="4">
        <v>676</v>
      </c>
      <c r="GQ125" s="4">
        <v>633</v>
      </c>
      <c r="GR125" s="4">
        <v>584</v>
      </c>
      <c r="GS125" s="4">
        <v>556</v>
      </c>
      <c r="GT125" s="4">
        <v>521</v>
      </c>
      <c r="GU125" s="4">
        <v>494</v>
      </c>
      <c r="GV125" s="4">
        <v>466</v>
      </c>
      <c r="GW125" s="4">
        <v>451</v>
      </c>
      <c r="GX125" s="4">
        <v>436</v>
      </c>
      <c r="GY125" s="4">
        <v>421</v>
      </c>
      <c r="GZ125" s="4">
        <v>403</v>
      </c>
      <c r="HA125" s="4">
        <v>385</v>
      </c>
      <c r="HB125" s="4">
        <v>367</v>
      </c>
      <c r="HC125" s="4">
        <v>349</v>
      </c>
      <c r="HD125" s="19">
        <v>22.7</v>
      </c>
      <c r="HE125" s="19">
        <v>34.9</v>
      </c>
      <c r="HF125" s="19">
        <v>35.3</v>
      </c>
      <c r="HG125" s="19">
        <v>28.3</v>
      </c>
      <c r="HH125" s="19">
        <v>26.7</v>
      </c>
      <c r="HI125" s="19">
        <v>25.6</v>
      </c>
      <c r="HJ125" s="19">
        <v>25.7</v>
      </c>
      <c r="HK125" s="19">
        <v>29.5</v>
      </c>
      <c r="HL125" s="19">
        <v>27.3</v>
      </c>
      <c r="HM125" s="19">
        <v>24.5</v>
      </c>
      <c r="HN125" s="19">
        <v>19</v>
      </c>
      <c r="HO125" s="19">
        <v>18.3</v>
      </c>
      <c r="HP125" s="19">
        <v>17.3</v>
      </c>
      <c r="HQ125" s="19">
        <v>18.1</v>
      </c>
      <c r="HR125" s="19">
        <v>19.5</v>
      </c>
      <c r="HS125" s="19">
        <v>21.4</v>
      </c>
      <c r="HT125" s="19">
        <v>24.8</v>
      </c>
      <c r="HU125" s="19">
        <v>27.4</v>
      </c>
      <c r="HV125" s="19">
        <v>29.1</v>
      </c>
      <c r="HW125" s="19">
        <v>28.2</v>
      </c>
      <c r="HX125" s="19">
        <v>25.6</v>
      </c>
      <c r="HY125" s="19">
        <v>23.4</v>
      </c>
      <c r="HZ125" s="19">
        <v>22.4</v>
      </c>
      <c r="IA125" s="19">
        <v>21.4</v>
      </c>
      <c r="IB125" s="19">
        <v>19.3</v>
      </c>
      <c r="IC125" s="19">
        <v>18.4</v>
      </c>
    </row>
    <row r="126">
      <c r="A126" s="2" t="s">
        <v>652</v>
      </c>
      <c r="B126" s="2" t="s">
        <v>605</v>
      </c>
      <c r="C126" s="2" t="s">
        <v>606</v>
      </c>
      <c r="D126" s="2" t="s">
        <v>607</v>
      </c>
      <c r="E126" s="2" t="s">
        <v>608</v>
      </c>
      <c r="F126" s="2" t="s">
        <v>609</v>
      </c>
      <c r="G126" s="2" t="s">
        <v>609</v>
      </c>
      <c r="H126" s="2" t="s">
        <v>609</v>
      </c>
      <c r="I126" s="2" t="s">
        <v>629</v>
      </c>
      <c r="J126" s="2" t="s">
        <v>630</v>
      </c>
      <c r="K126" s="2" t="s">
        <v>646</v>
      </c>
      <c r="L126" s="3">
        <v>22.29</v>
      </c>
      <c r="M126" s="3">
        <v>23.4</v>
      </c>
      <c r="N126" s="3">
        <v>39.99</v>
      </c>
      <c r="O126" s="2" t="s">
        <v>232</v>
      </c>
      <c r="P126" s="2" t="s">
        <v>624</v>
      </c>
      <c r="Q126" s="2" t="s">
        <v>234</v>
      </c>
      <c r="R126" s="2" t="s">
        <v>235</v>
      </c>
      <c r="S126" s="2" t="s">
        <v>647</v>
      </c>
      <c r="T126" s="2" t="s">
        <v>263</v>
      </c>
      <c r="U126" s="2" t="s">
        <v>264</v>
      </c>
      <c r="V126" s="2" t="s">
        <v>238</v>
      </c>
      <c r="W126" s="2" t="s">
        <v>239</v>
      </c>
      <c r="X126" s="2" t="s">
        <v>235</v>
      </c>
      <c r="Y126" s="2" t="s">
        <v>626</v>
      </c>
      <c r="Z126" s="4">
        <v>469</v>
      </c>
      <c r="AA126" s="4">
        <f>=ROUNDDOWN(195.416666666667,0)</f>
      </c>
      <c r="AB126" s="5">
        <v>2.4</v>
      </c>
      <c r="AC126" s="2" t="s">
        <v>235</v>
      </c>
      <c r="AD126" s="4"/>
      <c r="AE126" s="4"/>
      <c r="AF126" s="6">
        <v>76</v>
      </c>
      <c r="AG126" s="6"/>
      <c r="AH126" s="7">
        <v>1</v>
      </c>
      <c r="AI126" s="4"/>
      <c r="AJ126" s="4">
        <f>=ROUNDDOWN({0},0)</f>
      </c>
      <c r="AK126" s="5"/>
      <c r="AL126" s="2" t="s">
        <v>235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235</v>
      </c>
      <c r="AW126" s="8" t="s">
        <v>235</v>
      </c>
      <c r="AX126" s="4" t="s">
        <v>235</v>
      </c>
      <c r="AY126" s="8" t="s">
        <v>235</v>
      </c>
      <c r="AZ126" s="7" t="s">
        <v>235</v>
      </c>
      <c r="BA126" s="7" t="s">
        <v>235</v>
      </c>
      <c r="BB126" s="7"/>
      <c r="BC126" s="4" t="s">
        <v>235</v>
      </c>
      <c r="BD126" s="8" t="s">
        <v>235</v>
      </c>
      <c r="BE126" s="4" t="s">
        <v>235</v>
      </c>
      <c r="BF126" s="8" t="s">
        <v>235</v>
      </c>
      <c r="BG126" s="7" t="s">
        <v>235</v>
      </c>
      <c r="BH126" s="7" t="s">
        <v>235</v>
      </c>
      <c r="BI126" s="7"/>
      <c r="BJ126" s="4">
        <v>7</v>
      </c>
      <c r="BK126" s="8">
        <v>198.74</v>
      </c>
      <c r="BL126" s="2" t="s">
        <v>653</v>
      </c>
      <c r="BM126" s="7"/>
      <c r="BN126" s="7"/>
      <c r="BO126" s="4"/>
      <c r="BP126" s="8"/>
      <c r="BQ126" s="4"/>
      <c r="BR126" s="8"/>
      <c r="BS126" s="7"/>
      <c r="BT126" s="7"/>
      <c r="BU126" s="2" t="s">
        <v>617</v>
      </c>
      <c r="BV126" s="2" t="s">
        <v>618</v>
      </c>
      <c r="BW126" s="2" t="s">
        <v>235</v>
      </c>
      <c r="BX126" s="2" t="s">
        <v>619</v>
      </c>
      <c r="BY126" s="2" t="s">
        <v>245</v>
      </c>
      <c r="BZ126" s="2" t="s">
        <v>232</v>
      </c>
      <c r="CA126" s="2" t="s">
        <v>620</v>
      </c>
      <c r="CB126" s="2" t="s">
        <v>235</v>
      </c>
      <c r="CC126" s="2" t="s">
        <v>248</v>
      </c>
      <c r="CD126" s="2" t="s">
        <v>248</v>
      </c>
      <c r="CE126" s="2" t="s">
        <v>235</v>
      </c>
      <c r="CF126" s="4">
        <v>469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>
        <v>470</v>
      </c>
      <c r="GE126" s="4">
        <v>465</v>
      </c>
      <c r="GF126" s="4">
        <v>462</v>
      </c>
      <c r="GG126" s="4">
        <v>459</v>
      </c>
      <c r="GH126" s="4">
        <v>456</v>
      </c>
      <c r="GI126" s="4">
        <v>450</v>
      </c>
      <c r="GJ126" s="4">
        <v>446</v>
      </c>
      <c r="GK126" s="4">
        <v>441</v>
      </c>
      <c r="GL126" s="4">
        <v>438</v>
      </c>
      <c r="GM126" s="4">
        <v>433</v>
      </c>
      <c r="GN126" s="4">
        <v>430</v>
      </c>
      <c r="GO126" s="4">
        <v>427</v>
      </c>
      <c r="GP126" s="4">
        <v>423</v>
      </c>
      <c r="GQ126" s="4">
        <v>418</v>
      </c>
      <c r="GR126" s="4">
        <v>411</v>
      </c>
      <c r="GS126" s="4">
        <v>406</v>
      </c>
      <c r="GT126" s="4">
        <v>402</v>
      </c>
      <c r="GU126" s="4">
        <v>399</v>
      </c>
      <c r="GV126" s="4">
        <v>394</v>
      </c>
      <c r="GW126" s="4">
        <v>391</v>
      </c>
      <c r="GX126" s="4">
        <v>388</v>
      </c>
      <c r="GY126" s="4">
        <v>385</v>
      </c>
      <c r="GZ126" s="4">
        <v>382</v>
      </c>
      <c r="HA126" s="4">
        <v>379</v>
      </c>
      <c r="HB126" s="4">
        <v>376</v>
      </c>
      <c r="HC126" s="4">
        <v>373</v>
      </c>
      <c r="HD126" s="19">
        <v>117.5</v>
      </c>
      <c r="HE126" s="19">
        <v>116.3</v>
      </c>
      <c r="HF126" s="19">
        <v>115.5</v>
      </c>
      <c r="HG126" s="19">
        <v>114.8</v>
      </c>
      <c r="HH126" s="19">
        <v>114</v>
      </c>
      <c r="HI126" s="19">
        <v>112.5</v>
      </c>
      <c r="HJ126" s="19">
        <v>111.5</v>
      </c>
      <c r="HK126" s="19">
        <v>110.3</v>
      </c>
      <c r="HL126" s="19">
        <v>109.5</v>
      </c>
      <c r="HM126" s="19">
        <v>108.3</v>
      </c>
      <c r="HN126" s="19">
        <v>86</v>
      </c>
      <c r="HO126" s="19">
        <v>85.4</v>
      </c>
      <c r="HP126" s="19">
        <v>84.6</v>
      </c>
      <c r="HQ126" s="19">
        <v>83.6</v>
      </c>
      <c r="HR126" s="19">
        <v>102.8</v>
      </c>
      <c r="HS126" s="19">
        <v>101.5</v>
      </c>
      <c r="HT126" s="19">
        <v>100.5</v>
      </c>
      <c r="HU126" s="19">
        <v>99.8</v>
      </c>
      <c r="HV126" s="19">
        <v>131.3</v>
      </c>
      <c r="HW126" s="19">
        <v>130.3</v>
      </c>
      <c r="HX126" s="19">
        <v>129.3</v>
      </c>
      <c r="HY126" s="19">
        <v>128.3</v>
      </c>
      <c r="HZ126" s="19">
        <v>127.3</v>
      </c>
      <c r="IA126" s="19">
        <v>126.3</v>
      </c>
      <c r="IB126" s="19">
        <v>125.3</v>
      </c>
      <c r="IC126" s="19">
        <v>124.3</v>
      </c>
    </row>
    <row r="127">
      <c r="A127" s="2" t="s">
        <v>654</v>
      </c>
      <c r="B127" s="2" t="s">
        <v>605</v>
      </c>
      <c r="C127" s="2" t="s">
        <v>606</v>
      </c>
      <c r="D127" s="2" t="s">
        <v>607</v>
      </c>
      <c r="E127" s="2" t="s">
        <v>608</v>
      </c>
      <c r="F127" s="2" t="s">
        <v>609</v>
      </c>
      <c r="G127" s="2" t="s">
        <v>609</v>
      </c>
      <c r="H127" s="2" t="s">
        <v>609</v>
      </c>
      <c r="I127" s="2" t="s">
        <v>610</v>
      </c>
      <c r="J127" s="2" t="s">
        <v>611</v>
      </c>
      <c r="K127" s="2" t="s">
        <v>351</v>
      </c>
      <c r="L127" s="3">
        <v>17.83</v>
      </c>
      <c r="M127" s="3">
        <v>18.72</v>
      </c>
      <c r="N127" s="3">
        <v>28.99</v>
      </c>
      <c r="O127" s="2" t="s">
        <v>232</v>
      </c>
      <c r="P127" s="2" t="s">
        <v>233</v>
      </c>
      <c r="Q127" s="2" t="s">
        <v>234</v>
      </c>
      <c r="R127" s="2" t="s">
        <v>235</v>
      </c>
      <c r="S127" s="2" t="s">
        <v>655</v>
      </c>
      <c r="T127" s="2" t="s">
        <v>263</v>
      </c>
      <c r="U127" s="2" t="s">
        <v>614</v>
      </c>
      <c r="V127" s="2" t="s">
        <v>238</v>
      </c>
      <c r="W127" s="2" t="s">
        <v>239</v>
      </c>
      <c r="X127" s="2" t="s">
        <v>235</v>
      </c>
      <c r="Y127" s="2" t="s">
        <v>615</v>
      </c>
      <c r="Z127" s="4">
        <v>1699</v>
      </c>
      <c r="AA127" s="4">
        <f>=ROUNDDOWN(333.137254901961,0)</f>
      </c>
      <c r="AB127" s="5">
        <v>5.1</v>
      </c>
      <c r="AC127" s="2" t="s">
        <v>235</v>
      </c>
      <c r="AD127" s="4"/>
      <c r="AE127" s="4"/>
      <c r="AF127" s="6">
        <v>76</v>
      </c>
      <c r="AG127" s="6"/>
      <c r="AH127" s="7">
        <v>1</v>
      </c>
      <c r="AI127" s="4"/>
      <c r="AJ127" s="4">
        <f>=ROUNDDOWN({0},0)</f>
      </c>
      <c r="AK127" s="5"/>
      <c r="AL127" s="2" t="s">
        <v>235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235</v>
      </c>
      <c r="AW127" s="8" t="s">
        <v>235</v>
      </c>
      <c r="AX127" s="4" t="s">
        <v>235</v>
      </c>
      <c r="AY127" s="8" t="s">
        <v>235</v>
      </c>
      <c r="AZ127" s="7" t="s">
        <v>235</v>
      </c>
      <c r="BA127" s="7" t="s">
        <v>235</v>
      </c>
      <c r="BB127" s="7"/>
      <c r="BC127" s="4" t="s">
        <v>235</v>
      </c>
      <c r="BD127" s="8" t="s">
        <v>235</v>
      </c>
      <c r="BE127" s="4" t="s">
        <v>235</v>
      </c>
      <c r="BF127" s="8" t="s">
        <v>235</v>
      </c>
      <c r="BG127" s="7" t="s">
        <v>235</v>
      </c>
      <c r="BH127" s="7" t="s">
        <v>235</v>
      </c>
      <c r="BI127" s="7"/>
      <c r="BJ127" s="4">
        <v>23</v>
      </c>
      <c r="BK127" s="8">
        <v>491.21</v>
      </c>
      <c r="BL127" s="2" t="s">
        <v>656</v>
      </c>
      <c r="BM127" s="7"/>
      <c r="BN127" s="7"/>
      <c r="BO127" s="4"/>
      <c r="BP127" s="8"/>
      <c r="BQ127" s="4"/>
      <c r="BR127" s="8"/>
      <c r="BS127" s="7"/>
      <c r="BT127" s="7"/>
      <c r="BU127" s="2" t="s">
        <v>617</v>
      </c>
      <c r="BV127" s="2" t="s">
        <v>618</v>
      </c>
      <c r="BW127" s="2" t="s">
        <v>235</v>
      </c>
      <c r="BX127" s="2" t="s">
        <v>619</v>
      </c>
      <c r="BY127" s="2" t="s">
        <v>245</v>
      </c>
      <c r="BZ127" s="2" t="s">
        <v>232</v>
      </c>
      <c r="CA127" s="2" t="s">
        <v>620</v>
      </c>
      <c r="CB127" s="2" t="s">
        <v>235</v>
      </c>
      <c r="CC127" s="2" t="s">
        <v>248</v>
      </c>
      <c r="CD127" s="2" t="s">
        <v>248</v>
      </c>
      <c r="CE127" s="2" t="s">
        <v>235</v>
      </c>
      <c r="CF127" s="4">
        <v>1699</v>
      </c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>
        <v>1703</v>
      </c>
      <c r="GE127" s="4">
        <v>1665</v>
      </c>
      <c r="GF127" s="4">
        <v>1658</v>
      </c>
      <c r="GG127" s="4">
        <v>1651</v>
      </c>
      <c r="GH127" s="4">
        <v>1644</v>
      </c>
      <c r="GI127" s="4">
        <v>1632</v>
      </c>
      <c r="GJ127" s="4">
        <v>1624</v>
      </c>
      <c r="GK127" s="4">
        <v>1611</v>
      </c>
      <c r="GL127" s="4">
        <v>1602</v>
      </c>
      <c r="GM127" s="4">
        <v>1591</v>
      </c>
      <c r="GN127" s="4">
        <v>1585</v>
      </c>
      <c r="GO127" s="4">
        <v>1578</v>
      </c>
      <c r="GP127" s="4">
        <v>1569</v>
      </c>
      <c r="GQ127" s="4">
        <v>1558</v>
      </c>
      <c r="GR127" s="4">
        <v>1544</v>
      </c>
      <c r="GS127" s="4">
        <v>1536</v>
      </c>
      <c r="GT127" s="4">
        <v>1527</v>
      </c>
      <c r="GU127" s="4">
        <v>1520</v>
      </c>
      <c r="GV127" s="4">
        <v>1512</v>
      </c>
      <c r="GW127" s="4">
        <v>1507</v>
      </c>
      <c r="GX127" s="4">
        <v>1502</v>
      </c>
      <c r="GY127" s="4">
        <v>1497</v>
      </c>
      <c r="GZ127" s="4">
        <v>1491</v>
      </c>
      <c r="HA127" s="4">
        <v>1485</v>
      </c>
      <c r="HB127" s="4">
        <v>1479</v>
      </c>
      <c r="HC127" s="4">
        <v>1473</v>
      </c>
      <c r="HD127" s="19">
        <v>113.5</v>
      </c>
      <c r="HE127" s="19">
        <v>208.1</v>
      </c>
      <c r="HF127" s="19">
        <v>207.3</v>
      </c>
      <c r="HG127" s="19">
        <v>165.1</v>
      </c>
      <c r="HH127" s="19">
        <v>164.4</v>
      </c>
      <c r="HI127" s="19">
        <v>163.2</v>
      </c>
      <c r="HJ127" s="19">
        <v>162.4</v>
      </c>
      <c r="HK127" s="19">
        <v>201.4</v>
      </c>
      <c r="HL127" s="19">
        <v>200.3</v>
      </c>
      <c r="HM127" s="19">
        <v>198.9</v>
      </c>
      <c r="HN127" s="19">
        <v>158.5</v>
      </c>
      <c r="HO127" s="19">
        <v>157.8</v>
      </c>
      <c r="HP127" s="19">
        <v>156.9</v>
      </c>
      <c r="HQ127" s="19">
        <v>155.8</v>
      </c>
      <c r="HR127" s="19">
        <v>193</v>
      </c>
      <c r="HS127" s="19">
        <v>219.4</v>
      </c>
      <c r="HT127" s="19">
        <v>254.5</v>
      </c>
      <c r="HU127" s="19">
        <v>253.3</v>
      </c>
      <c r="HV127" s="19">
        <v>302.4</v>
      </c>
      <c r="HW127" s="19">
        <v>251.2</v>
      </c>
      <c r="HX127" s="19">
        <v>250.3</v>
      </c>
      <c r="HY127" s="19">
        <v>249.5</v>
      </c>
      <c r="HZ127" s="19">
        <v>248.5</v>
      </c>
      <c r="IA127" s="19">
        <v>247.5</v>
      </c>
      <c r="IB127" s="19">
        <v>246.5</v>
      </c>
      <c r="IC127" s="19">
        <v>245.5</v>
      </c>
    </row>
    <row r="128">
      <c r="A128" s="2" t="s">
        <v>657</v>
      </c>
      <c r="B128" s="2" t="s">
        <v>605</v>
      </c>
      <c r="C128" s="2" t="s">
        <v>606</v>
      </c>
      <c r="D128" s="2" t="s">
        <v>607</v>
      </c>
      <c r="E128" s="2" t="s">
        <v>608</v>
      </c>
      <c r="F128" s="2" t="s">
        <v>609</v>
      </c>
      <c r="G128" s="2" t="s">
        <v>609</v>
      </c>
      <c r="H128" s="2" t="s">
        <v>609</v>
      </c>
      <c r="I128" s="2" t="s">
        <v>622</v>
      </c>
      <c r="J128" s="2" t="s">
        <v>623</v>
      </c>
      <c r="K128" s="2" t="s">
        <v>351</v>
      </c>
      <c r="L128" s="3">
        <v>22.29</v>
      </c>
      <c r="M128" s="3">
        <v>23.4</v>
      </c>
      <c r="N128" s="3">
        <v>43.99</v>
      </c>
      <c r="O128" s="2" t="s">
        <v>232</v>
      </c>
      <c r="P128" s="2" t="s">
        <v>624</v>
      </c>
      <c r="Q128" s="2" t="s">
        <v>234</v>
      </c>
      <c r="R128" s="2" t="s">
        <v>235</v>
      </c>
      <c r="S128" s="2" t="s">
        <v>655</v>
      </c>
      <c r="T128" s="2" t="s">
        <v>263</v>
      </c>
      <c r="U128" s="2" t="s">
        <v>625</v>
      </c>
      <c r="V128" s="2" t="s">
        <v>238</v>
      </c>
      <c r="W128" s="2" t="s">
        <v>239</v>
      </c>
      <c r="X128" s="2" t="s">
        <v>235</v>
      </c>
      <c r="Y128" s="2" t="s">
        <v>626</v>
      </c>
      <c r="Z128" s="4">
        <v>793</v>
      </c>
      <c r="AA128" s="4">
        <f>=ROUNDDOWN(31.72,0)</f>
      </c>
      <c r="AB128" s="5">
        <v>25</v>
      </c>
      <c r="AC128" s="2" t="s">
        <v>235</v>
      </c>
      <c r="AD128" s="4"/>
      <c r="AE128" s="4"/>
      <c r="AF128" s="6">
        <v>76</v>
      </c>
      <c r="AG128" s="6"/>
      <c r="AH128" s="7">
        <v>1</v>
      </c>
      <c r="AI128" s="4"/>
      <c r="AJ128" s="4">
        <f>=ROUNDDOWN({0},0)</f>
      </c>
      <c r="AK128" s="5"/>
      <c r="AL128" s="2" t="s">
        <v>235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235</v>
      </c>
      <c r="AW128" s="8" t="s">
        <v>235</v>
      </c>
      <c r="AX128" s="4" t="s">
        <v>235</v>
      </c>
      <c r="AY128" s="8" t="s">
        <v>235</v>
      </c>
      <c r="AZ128" s="7" t="s">
        <v>235</v>
      </c>
      <c r="BA128" s="7" t="s">
        <v>235</v>
      </c>
      <c r="BB128" s="7"/>
      <c r="BC128" s="4" t="s">
        <v>235</v>
      </c>
      <c r="BD128" s="8" t="s">
        <v>235</v>
      </c>
      <c r="BE128" s="4" t="s">
        <v>235</v>
      </c>
      <c r="BF128" s="8" t="s">
        <v>235</v>
      </c>
      <c r="BG128" s="7" t="s">
        <v>235</v>
      </c>
      <c r="BH128" s="7" t="s">
        <v>235</v>
      </c>
      <c r="BI128" s="7"/>
      <c r="BJ128" s="4">
        <v>106</v>
      </c>
      <c r="BK128" s="8">
        <v>2695.96</v>
      </c>
      <c r="BL128" s="2" t="s">
        <v>641</v>
      </c>
      <c r="BM128" s="7"/>
      <c r="BN128" s="7"/>
      <c r="BO128" s="4"/>
      <c r="BP128" s="8"/>
      <c r="BQ128" s="4"/>
      <c r="BR128" s="8"/>
      <c r="BS128" s="7"/>
      <c r="BT128" s="7"/>
      <c r="BU128" s="2" t="s">
        <v>617</v>
      </c>
      <c r="BV128" s="2" t="s">
        <v>618</v>
      </c>
      <c r="BW128" s="2" t="s">
        <v>235</v>
      </c>
      <c r="BX128" s="2" t="s">
        <v>619</v>
      </c>
      <c r="BY128" s="2" t="s">
        <v>245</v>
      </c>
      <c r="BZ128" s="2" t="s">
        <v>232</v>
      </c>
      <c r="CA128" s="2" t="s">
        <v>620</v>
      </c>
      <c r="CB128" s="2" t="s">
        <v>644</v>
      </c>
      <c r="CC128" s="2" t="s">
        <v>248</v>
      </c>
      <c r="CD128" s="2" t="s">
        <v>248</v>
      </c>
      <c r="CE128" s="2" t="s">
        <v>235</v>
      </c>
      <c r="CF128" s="4">
        <v>793</v>
      </c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>
        <v>825</v>
      </c>
      <c r="GE128" s="4">
        <v>781</v>
      </c>
      <c r="GF128" s="4">
        <v>756</v>
      </c>
      <c r="GG128" s="4">
        <v>731</v>
      </c>
      <c r="GH128" s="4">
        <v>704</v>
      </c>
      <c r="GI128" s="4">
        <v>668</v>
      </c>
      <c r="GJ128" s="4">
        <v>627</v>
      </c>
      <c r="GK128" s="4">
        <v>581</v>
      </c>
      <c r="GL128" s="4">
        <v>552</v>
      </c>
      <c r="GM128" s="4">
        <v>523</v>
      </c>
      <c r="GN128" s="4">
        <v>498</v>
      </c>
      <c r="GO128" s="4">
        <v>473</v>
      </c>
      <c r="GP128" s="4">
        <v>445</v>
      </c>
      <c r="GQ128" s="4">
        <v>415</v>
      </c>
      <c r="GR128" s="4">
        <v>383</v>
      </c>
      <c r="GS128" s="4">
        <v>356</v>
      </c>
      <c r="GT128" s="4">
        <v>329</v>
      </c>
      <c r="GU128" s="4">
        <v>305</v>
      </c>
      <c r="GV128" s="4">
        <v>280</v>
      </c>
      <c r="GW128" s="4">
        <v>258</v>
      </c>
      <c r="GX128" s="4">
        <v>236</v>
      </c>
      <c r="GY128" s="4">
        <v>214</v>
      </c>
      <c r="GZ128" s="4">
        <v>191</v>
      </c>
      <c r="HA128" s="4">
        <v>168</v>
      </c>
      <c r="HB128" s="4">
        <v>145</v>
      </c>
      <c r="HC128" s="4">
        <v>122</v>
      </c>
      <c r="HD128" s="19">
        <v>27.5</v>
      </c>
      <c r="HE128" s="19">
        <v>27.9</v>
      </c>
      <c r="HF128" s="19">
        <v>23.6</v>
      </c>
      <c r="HG128" s="19">
        <v>19.2</v>
      </c>
      <c r="HH128" s="19">
        <v>18.5</v>
      </c>
      <c r="HI128" s="19">
        <v>18.6</v>
      </c>
      <c r="HJ128" s="19">
        <v>19.6</v>
      </c>
      <c r="HK128" s="19">
        <v>21.5</v>
      </c>
      <c r="HL128" s="19">
        <v>20.4</v>
      </c>
      <c r="HM128" s="19">
        <v>19.4</v>
      </c>
      <c r="HN128" s="19">
        <v>17.2</v>
      </c>
      <c r="HO128" s="19">
        <v>16.3</v>
      </c>
      <c r="HP128" s="19">
        <v>15.3</v>
      </c>
      <c r="HQ128" s="19">
        <v>14.8</v>
      </c>
      <c r="HR128" s="19">
        <v>14.7</v>
      </c>
      <c r="HS128" s="19">
        <v>14.8</v>
      </c>
      <c r="HT128" s="19">
        <v>14.3</v>
      </c>
      <c r="HU128" s="19">
        <v>13.3</v>
      </c>
      <c r="HV128" s="19">
        <v>12.7</v>
      </c>
      <c r="HW128" s="19">
        <v>11.7</v>
      </c>
      <c r="HX128" s="19">
        <v>10.3</v>
      </c>
      <c r="HY128" s="19">
        <v>9.3</v>
      </c>
      <c r="HZ128" s="19">
        <v>8.3</v>
      </c>
      <c r="IA128" s="19">
        <v>7</v>
      </c>
      <c r="IB128" s="19">
        <v>5.8</v>
      </c>
      <c r="IC128" s="19">
        <v>4.7</v>
      </c>
    </row>
    <row r="129">
      <c r="A129" s="2" t="s">
        <v>658</v>
      </c>
      <c r="B129" s="2" t="s">
        <v>605</v>
      </c>
      <c r="C129" s="2" t="s">
        <v>606</v>
      </c>
      <c r="D129" s="2" t="s">
        <v>607</v>
      </c>
      <c r="E129" s="2" t="s">
        <v>608</v>
      </c>
      <c r="F129" s="2" t="s">
        <v>609</v>
      </c>
      <c r="G129" s="2" t="s">
        <v>609</v>
      </c>
      <c r="H129" s="2" t="s">
        <v>609</v>
      </c>
      <c r="I129" s="2" t="s">
        <v>629</v>
      </c>
      <c r="J129" s="2" t="s">
        <v>630</v>
      </c>
      <c r="K129" s="2" t="s">
        <v>351</v>
      </c>
      <c r="L129" s="3">
        <v>22.29</v>
      </c>
      <c r="M129" s="3">
        <v>23.4</v>
      </c>
      <c r="N129" s="3">
        <v>39.99</v>
      </c>
      <c r="O129" s="2" t="s">
        <v>232</v>
      </c>
      <c r="P129" s="2" t="s">
        <v>624</v>
      </c>
      <c r="Q129" s="2" t="s">
        <v>234</v>
      </c>
      <c r="R129" s="2" t="s">
        <v>235</v>
      </c>
      <c r="S129" s="2" t="s">
        <v>655</v>
      </c>
      <c r="T129" s="2" t="s">
        <v>263</v>
      </c>
      <c r="U129" s="2" t="s">
        <v>264</v>
      </c>
      <c r="V129" s="2" t="s">
        <v>238</v>
      </c>
      <c r="W129" s="2" t="s">
        <v>239</v>
      </c>
      <c r="X129" s="2" t="s">
        <v>235</v>
      </c>
      <c r="Y129" s="2" t="s">
        <v>626</v>
      </c>
      <c r="Z129" s="4">
        <v>575</v>
      </c>
      <c r="AA129" s="4">
        <f>=ROUNDDOWN(69.2771084337349,0)</f>
      </c>
      <c r="AB129" s="5">
        <v>8.3</v>
      </c>
      <c r="AC129" s="2" t="s">
        <v>235</v>
      </c>
      <c r="AD129" s="4"/>
      <c r="AE129" s="4"/>
      <c r="AF129" s="6">
        <v>76</v>
      </c>
      <c r="AG129" s="6"/>
      <c r="AH129" s="7">
        <v>1</v>
      </c>
      <c r="AI129" s="4"/>
      <c r="AJ129" s="4">
        <f>=ROUNDDOWN({0},0)</f>
      </c>
      <c r="AK129" s="5"/>
      <c r="AL129" s="2" t="s">
        <v>235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235</v>
      </c>
      <c r="AW129" s="8" t="s">
        <v>235</v>
      </c>
      <c r="AX129" s="4" t="s">
        <v>235</v>
      </c>
      <c r="AY129" s="8" t="s">
        <v>235</v>
      </c>
      <c r="AZ129" s="7" t="s">
        <v>235</v>
      </c>
      <c r="BA129" s="7" t="s">
        <v>235</v>
      </c>
      <c r="BB129" s="7"/>
      <c r="BC129" s="4" t="s">
        <v>235</v>
      </c>
      <c r="BD129" s="8" t="s">
        <v>235</v>
      </c>
      <c r="BE129" s="4" t="s">
        <v>235</v>
      </c>
      <c r="BF129" s="8" t="s">
        <v>235</v>
      </c>
      <c r="BG129" s="7" t="s">
        <v>235</v>
      </c>
      <c r="BH129" s="7" t="s">
        <v>235</v>
      </c>
      <c r="BI129" s="7"/>
      <c r="BJ129" s="4">
        <v>26</v>
      </c>
      <c r="BK129" s="8">
        <v>625.34</v>
      </c>
      <c r="BL129" s="2" t="s">
        <v>659</v>
      </c>
      <c r="BM129" s="7"/>
      <c r="BN129" s="7"/>
      <c r="BO129" s="4"/>
      <c r="BP129" s="8"/>
      <c r="BQ129" s="4"/>
      <c r="BR129" s="8"/>
      <c r="BS129" s="7"/>
      <c r="BT129" s="7"/>
      <c r="BU129" s="2" t="s">
        <v>617</v>
      </c>
      <c r="BV129" s="2" t="s">
        <v>618</v>
      </c>
      <c r="BW129" s="2" t="s">
        <v>235</v>
      </c>
      <c r="BX129" s="2" t="s">
        <v>619</v>
      </c>
      <c r="BY129" s="2" t="s">
        <v>245</v>
      </c>
      <c r="BZ129" s="2" t="s">
        <v>232</v>
      </c>
      <c r="CA129" s="2" t="s">
        <v>620</v>
      </c>
      <c r="CB129" s="2" t="s">
        <v>644</v>
      </c>
      <c r="CC129" s="2" t="s">
        <v>248</v>
      </c>
      <c r="CD129" s="2" t="s">
        <v>248</v>
      </c>
      <c r="CE129" s="2" t="s">
        <v>235</v>
      </c>
      <c r="CF129" s="4">
        <v>575</v>
      </c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>
        <v>575</v>
      </c>
      <c r="GE129" s="4">
        <v>562</v>
      </c>
      <c r="GF129" s="4">
        <v>554</v>
      </c>
      <c r="GG129" s="4">
        <v>546</v>
      </c>
      <c r="GH129" s="4">
        <v>537</v>
      </c>
      <c r="GI129" s="4">
        <v>523</v>
      </c>
      <c r="GJ129" s="4">
        <v>508</v>
      </c>
      <c r="GK129" s="4">
        <v>490</v>
      </c>
      <c r="GL129" s="4">
        <v>480</v>
      </c>
      <c r="GM129" s="4">
        <v>467</v>
      </c>
      <c r="GN129" s="4">
        <v>458</v>
      </c>
      <c r="GO129" s="4">
        <v>449</v>
      </c>
      <c r="GP129" s="4">
        <v>439</v>
      </c>
      <c r="GQ129" s="4">
        <v>428</v>
      </c>
      <c r="GR129" s="4">
        <v>415</v>
      </c>
      <c r="GS129" s="4">
        <v>405</v>
      </c>
      <c r="GT129" s="4">
        <v>396</v>
      </c>
      <c r="GU129" s="4">
        <v>388</v>
      </c>
      <c r="GV129" s="4">
        <v>378</v>
      </c>
      <c r="GW129" s="4">
        <v>370</v>
      </c>
      <c r="GX129" s="4">
        <v>362</v>
      </c>
      <c r="GY129" s="4">
        <v>354</v>
      </c>
      <c r="GZ129" s="4">
        <v>346</v>
      </c>
      <c r="HA129" s="4">
        <v>338</v>
      </c>
      <c r="HB129" s="4">
        <v>330</v>
      </c>
      <c r="HC129" s="4">
        <v>322</v>
      </c>
      <c r="HD129" s="19">
        <v>57.5</v>
      </c>
      <c r="HE129" s="19">
        <v>56.2</v>
      </c>
      <c r="HF129" s="19">
        <v>46.2</v>
      </c>
      <c r="HG129" s="19">
        <v>39</v>
      </c>
      <c r="HH129" s="19">
        <v>38.4</v>
      </c>
      <c r="HI129" s="19">
        <v>37.4</v>
      </c>
      <c r="HJ129" s="19">
        <v>42.3</v>
      </c>
      <c r="HK129" s="19">
        <v>49</v>
      </c>
      <c r="HL129" s="19">
        <v>48</v>
      </c>
      <c r="HM129" s="19">
        <v>46.7</v>
      </c>
      <c r="HN129" s="19">
        <v>41.6</v>
      </c>
      <c r="HO129" s="19">
        <v>40.8</v>
      </c>
      <c r="HP129" s="19">
        <v>39.9</v>
      </c>
      <c r="HQ129" s="19">
        <v>42.8</v>
      </c>
      <c r="HR129" s="19">
        <v>46.1</v>
      </c>
      <c r="HS129" s="19">
        <v>45</v>
      </c>
      <c r="HT129" s="19">
        <v>49.5</v>
      </c>
      <c r="HU129" s="19">
        <v>48.5</v>
      </c>
      <c r="HV129" s="19">
        <v>47.3</v>
      </c>
      <c r="HW129" s="19">
        <v>46.3</v>
      </c>
      <c r="HX129" s="19">
        <v>45.3</v>
      </c>
      <c r="HY129" s="19">
        <v>44.3</v>
      </c>
      <c r="HZ129" s="19">
        <v>43.3</v>
      </c>
      <c r="IA129" s="19">
        <v>42.3</v>
      </c>
      <c r="IB129" s="19">
        <v>36.7</v>
      </c>
      <c r="IC129" s="19">
        <v>35.8</v>
      </c>
    </row>
    <row r="130">
      <c r="A130" s="2" t="s">
        <v>660</v>
      </c>
      <c r="B130" s="2" t="s">
        <v>605</v>
      </c>
      <c r="C130" s="2" t="s">
        <v>606</v>
      </c>
      <c r="D130" s="2" t="s">
        <v>607</v>
      </c>
      <c r="E130" s="2" t="s">
        <v>608</v>
      </c>
      <c r="F130" s="2" t="s">
        <v>609</v>
      </c>
      <c r="G130" s="2" t="s">
        <v>609</v>
      </c>
      <c r="H130" s="2" t="s">
        <v>609</v>
      </c>
      <c r="I130" s="2" t="s">
        <v>610</v>
      </c>
      <c r="J130" s="2" t="s">
        <v>611</v>
      </c>
      <c r="K130" s="2" t="s">
        <v>316</v>
      </c>
      <c r="L130" s="3">
        <v>17.83</v>
      </c>
      <c r="M130" s="3">
        <v>18.72</v>
      </c>
      <c r="N130" s="3">
        <v>28.99</v>
      </c>
      <c r="O130" s="2" t="s">
        <v>232</v>
      </c>
      <c r="P130" s="2" t="s">
        <v>233</v>
      </c>
      <c r="Q130" s="2" t="s">
        <v>234</v>
      </c>
      <c r="R130" s="2" t="s">
        <v>235</v>
      </c>
      <c r="S130" s="2" t="s">
        <v>661</v>
      </c>
      <c r="T130" s="2" t="s">
        <v>263</v>
      </c>
      <c r="U130" s="2" t="s">
        <v>614</v>
      </c>
      <c r="V130" s="2" t="s">
        <v>238</v>
      </c>
      <c r="W130" s="2" t="s">
        <v>239</v>
      </c>
      <c r="X130" s="2" t="s">
        <v>235</v>
      </c>
      <c r="Y130" s="2" t="s">
        <v>615</v>
      </c>
      <c r="Z130" s="4">
        <v>2425</v>
      </c>
      <c r="AA130" s="4">
        <f>=ROUNDDOWN(932.692307692308,0)</f>
      </c>
      <c r="AB130" s="5">
        <v>2.6</v>
      </c>
      <c r="AC130" s="2" t="s">
        <v>235</v>
      </c>
      <c r="AD130" s="4"/>
      <c r="AE130" s="4"/>
      <c r="AF130" s="6">
        <v>76</v>
      </c>
      <c r="AG130" s="6"/>
      <c r="AH130" s="7">
        <v>1</v>
      </c>
      <c r="AI130" s="4"/>
      <c r="AJ130" s="4">
        <f>=ROUNDDOWN({0},0)</f>
      </c>
      <c r="AK130" s="5"/>
      <c r="AL130" s="2" t="s">
        <v>235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235</v>
      </c>
      <c r="AW130" s="8" t="s">
        <v>235</v>
      </c>
      <c r="AX130" s="4" t="s">
        <v>235</v>
      </c>
      <c r="AY130" s="8" t="s">
        <v>235</v>
      </c>
      <c r="AZ130" s="7" t="s">
        <v>235</v>
      </c>
      <c r="BA130" s="7" t="s">
        <v>235</v>
      </c>
      <c r="BB130" s="7"/>
      <c r="BC130" s="4" t="s">
        <v>235</v>
      </c>
      <c r="BD130" s="8" t="s">
        <v>235</v>
      </c>
      <c r="BE130" s="4" t="s">
        <v>235</v>
      </c>
      <c r="BF130" s="8" t="s">
        <v>235</v>
      </c>
      <c r="BG130" s="7" t="s">
        <v>235</v>
      </c>
      <c r="BH130" s="7" t="s">
        <v>235</v>
      </c>
      <c r="BI130" s="7"/>
      <c r="BJ130" s="4">
        <v>9</v>
      </c>
      <c r="BK130" s="8">
        <v>194.58</v>
      </c>
      <c r="BL130" s="2" t="s">
        <v>662</v>
      </c>
      <c r="BM130" s="7"/>
      <c r="BN130" s="7"/>
      <c r="BO130" s="4"/>
      <c r="BP130" s="8"/>
      <c r="BQ130" s="4"/>
      <c r="BR130" s="8"/>
      <c r="BS130" s="7"/>
      <c r="BT130" s="7"/>
      <c r="BU130" s="2" t="s">
        <v>617</v>
      </c>
      <c r="BV130" s="2" t="s">
        <v>618</v>
      </c>
      <c r="BW130" s="2" t="s">
        <v>235</v>
      </c>
      <c r="BX130" s="2" t="s">
        <v>619</v>
      </c>
      <c r="BY130" s="2" t="s">
        <v>245</v>
      </c>
      <c r="BZ130" s="2" t="s">
        <v>232</v>
      </c>
      <c r="CA130" s="2" t="s">
        <v>620</v>
      </c>
      <c r="CB130" s="2" t="s">
        <v>235</v>
      </c>
      <c r="CC130" s="2" t="s">
        <v>248</v>
      </c>
      <c r="CD130" s="2" t="s">
        <v>248</v>
      </c>
      <c r="CE130" s="2" t="s">
        <v>235</v>
      </c>
      <c r="CF130" s="4">
        <v>2425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>
        <v>2426</v>
      </c>
      <c r="GE130" s="4">
        <v>2411</v>
      </c>
      <c r="GF130" s="4">
        <v>2407</v>
      </c>
      <c r="GG130" s="4">
        <v>2403</v>
      </c>
      <c r="GH130" s="4">
        <v>2399</v>
      </c>
      <c r="GI130" s="4">
        <v>2395</v>
      </c>
      <c r="GJ130" s="4">
        <v>2391</v>
      </c>
      <c r="GK130" s="4">
        <v>2385</v>
      </c>
      <c r="GL130" s="4">
        <v>2381</v>
      </c>
      <c r="GM130" s="4">
        <v>2377</v>
      </c>
      <c r="GN130" s="4">
        <v>2374</v>
      </c>
      <c r="GO130" s="4">
        <v>2371</v>
      </c>
      <c r="GP130" s="4">
        <v>2367</v>
      </c>
      <c r="GQ130" s="4">
        <v>2362</v>
      </c>
      <c r="GR130" s="4">
        <v>2355</v>
      </c>
      <c r="GS130" s="4">
        <v>2350</v>
      </c>
      <c r="GT130" s="4">
        <v>2346</v>
      </c>
      <c r="GU130" s="4">
        <v>2343</v>
      </c>
      <c r="GV130" s="4">
        <v>2338</v>
      </c>
      <c r="GW130" s="4">
        <v>2335</v>
      </c>
      <c r="GX130" s="4">
        <v>2332</v>
      </c>
      <c r="GY130" s="4">
        <v>2329</v>
      </c>
      <c r="GZ130" s="4">
        <v>2326</v>
      </c>
      <c r="HA130" s="4">
        <v>2323</v>
      </c>
      <c r="HB130" s="4">
        <v>2320</v>
      </c>
      <c r="HC130" s="4">
        <v>2317</v>
      </c>
      <c r="HD130" s="19">
        <v>346.6</v>
      </c>
      <c r="HE130" s="19">
        <v>602.8</v>
      </c>
      <c r="HF130" s="19">
        <v>601.8</v>
      </c>
      <c r="HG130" s="19">
        <v>600.8</v>
      </c>
      <c r="HH130" s="19">
        <v>599.8</v>
      </c>
      <c r="HI130" s="19">
        <v>598.8</v>
      </c>
      <c r="HJ130" s="19">
        <v>597.8</v>
      </c>
      <c r="HK130" s="19">
        <v>596.3</v>
      </c>
      <c r="HL130" s="19">
        <v>595.3</v>
      </c>
      <c r="HM130" s="19">
        <v>594.3</v>
      </c>
      <c r="HN130" s="19">
        <v>474.8</v>
      </c>
      <c r="HO130" s="19">
        <v>474.2</v>
      </c>
      <c r="HP130" s="19">
        <v>473.4</v>
      </c>
      <c r="HQ130" s="19">
        <v>472.4</v>
      </c>
      <c r="HR130" s="19">
        <v>588.8</v>
      </c>
      <c r="HS130" s="19">
        <v>587.5</v>
      </c>
      <c r="HT130" s="19">
        <v>586.5</v>
      </c>
      <c r="HU130" s="19">
        <v>585.8</v>
      </c>
      <c r="HV130" s="19">
        <v>779.3</v>
      </c>
      <c r="HW130" s="19">
        <v>778.3</v>
      </c>
      <c r="HX130" s="19">
        <v>777.3</v>
      </c>
      <c r="HY130" s="19">
        <v>776.3</v>
      </c>
      <c r="HZ130" s="19">
        <v>775.3</v>
      </c>
      <c r="IA130" s="19">
        <v>774.3</v>
      </c>
      <c r="IB130" s="19">
        <v>773.3</v>
      </c>
      <c r="IC130" s="19">
        <v>772.3</v>
      </c>
    </row>
    <row r="131">
      <c r="A131" s="2" t="s">
        <v>663</v>
      </c>
      <c r="B131" s="2" t="s">
        <v>605</v>
      </c>
      <c r="C131" s="2" t="s">
        <v>606</v>
      </c>
      <c r="D131" s="2" t="s">
        <v>607</v>
      </c>
      <c r="E131" s="2" t="s">
        <v>608</v>
      </c>
      <c r="F131" s="2" t="s">
        <v>609</v>
      </c>
      <c r="G131" s="2" t="s">
        <v>609</v>
      </c>
      <c r="H131" s="2" t="s">
        <v>609</v>
      </c>
      <c r="I131" s="2" t="s">
        <v>622</v>
      </c>
      <c r="J131" s="2" t="s">
        <v>623</v>
      </c>
      <c r="K131" s="2" t="s">
        <v>316</v>
      </c>
      <c r="L131" s="3">
        <v>22.29</v>
      </c>
      <c r="M131" s="3">
        <v>23.4</v>
      </c>
      <c r="N131" s="3">
        <v>43.99</v>
      </c>
      <c r="O131" s="2" t="s">
        <v>232</v>
      </c>
      <c r="P131" s="2" t="s">
        <v>624</v>
      </c>
      <c r="Q131" s="2" t="s">
        <v>234</v>
      </c>
      <c r="R131" s="2" t="s">
        <v>235</v>
      </c>
      <c r="S131" s="2" t="s">
        <v>661</v>
      </c>
      <c r="T131" s="2" t="s">
        <v>263</v>
      </c>
      <c r="U131" s="2" t="s">
        <v>625</v>
      </c>
      <c r="V131" s="2" t="s">
        <v>238</v>
      </c>
      <c r="W131" s="2" t="s">
        <v>239</v>
      </c>
      <c r="X131" s="2" t="s">
        <v>235</v>
      </c>
      <c r="Y131" s="2" t="s">
        <v>626</v>
      </c>
      <c r="Z131" s="4">
        <v>1231</v>
      </c>
      <c r="AA131" s="4">
        <f>=ROUNDDOWN(49.24,0)</f>
      </c>
      <c r="AB131" s="5">
        <v>25</v>
      </c>
      <c r="AC131" s="2" t="s">
        <v>235</v>
      </c>
      <c r="AD131" s="4"/>
      <c r="AE131" s="4"/>
      <c r="AF131" s="6">
        <v>76</v>
      </c>
      <c r="AG131" s="6"/>
      <c r="AH131" s="7">
        <v>1</v>
      </c>
      <c r="AI131" s="4"/>
      <c r="AJ131" s="4">
        <f>=ROUNDDOWN({0},0)</f>
      </c>
      <c r="AK131" s="5"/>
      <c r="AL131" s="2" t="s">
        <v>235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235</v>
      </c>
      <c r="AW131" s="8" t="s">
        <v>235</v>
      </c>
      <c r="AX131" s="4" t="s">
        <v>235</v>
      </c>
      <c r="AY131" s="8" t="s">
        <v>235</v>
      </c>
      <c r="AZ131" s="7" t="s">
        <v>235</v>
      </c>
      <c r="BA131" s="7" t="s">
        <v>235</v>
      </c>
      <c r="BB131" s="7"/>
      <c r="BC131" s="4" t="s">
        <v>235</v>
      </c>
      <c r="BD131" s="8" t="s">
        <v>235</v>
      </c>
      <c r="BE131" s="4" t="s">
        <v>235</v>
      </c>
      <c r="BF131" s="8" t="s">
        <v>235</v>
      </c>
      <c r="BG131" s="7" t="s">
        <v>235</v>
      </c>
      <c r="BH131" s="7" t="s">
        <v>235</v>
      </c>
      <c r="BI131" s="7"/>
      <c r="BJ131" s="4">
        <v>116</v>
      </c>
      <c r="BK131" s="8">
        <v>2928.28</v>
      </c>
      <c r="BL131" s="2" t="s">
        <v>664</v>
      </c>
      <c r="BM131" s="7"/>
      <c r="BN131" s="7"/>
      <c r="BO131" s="4"/>
      <c r="BP131" s="8"/>
      <c r="BQ131" s="4"/>
      <c r="BR131" s="8"/>
      <c r="BS131" s="7"/>
      <c r="BT131" s="7"/>
      <c r="BU131" s="2" t="s">
        <v>617</v>
      </c>
      <c r="BV131" s="2" t="s">
        <v>618</v>
      </c>
      <c r="BW131" s="2" t="s">
        <v>235</v>
      </c>
      <c r="BX131" s="2" t="s">
        <v>619</v>
      </c>
      <c r="BY131" s="2" t="s">
        <v>245</v>
      </c>
      <c r="BZ131" s="2" t="s">
        <v>232</v>
      </c>
      <c r="CA131" s="2" t="s">
        <v>620</v>
      </c>
      <c r="CB131" s="2" t="s">
        <v>665</v>
      </c>
      <c r="CC131" s="2" t="s">
        <v>248</v>
      </c>
      <c r="CD131" s="2" t="s">
        <v>248</v>
      </c>
      <c r="CE131" s="2" t="s">
        <v>235</v>
      </c>
      <c r="CF131" s="4">
        <v>1231</v>
      </c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>
        <v>1240</v>
      </c>
      <c r="GE131" s="4">
        <v>1092</v>
      </c>
      <c r="GF131" s="4">
        <v>1066</v>
      </c>
      <c r="GG131" s="4">
        <v>1040</v>
      </c>
      <c r="GH131" s="4">
        <v>1013</v>
      </c>
      <c r="GI131" s="4">
        <v>976</v>
      </c>
      <c r="GJ131" s="4">
        <v>942</v>
      </c>
      <c r="GK131" s="4">
        <v>894</v>
      </c>
      <c r="GL131" s="4">
        <v>862</v>
      </c>
      <c r="GM131" s="4">
        <v>826</v>
      </c>
      <c r="GN131" s="4">
        <v>802</v>
      </c>
      <c r="GO131" s="4">
        <v>772</v>
      </c>
      <c r="GP131" s="4">
        <v>734</v>
      </c>
      <c r="GQ131" s="4">
        <v>689</v>
      </c>
      <c r="GR131" s="4">
        <v>639</v>
      </c>
      <c r="GS131" s="4">
        <v>605</v>
      </c>
      <c r="GT131" s="4">
        <v>571</v>
      </c>
      <c r="GU131" s="4">
        <v>545</v>
      </c>
      <c r="GV131" s="4">
        <v>517</v>
      </c>
      <c r="GW131" s="4">
        <v>496</v>
      </c>
      <c r="GX131" s="4">
        <v>475</v>
      </c>
      <c r="GY131" s="4">
        <v>454</v>
      </c>
      <c r="GZ131" s="4">
        <v>430</v>
      </c>
      <c r="HA131" s="4">
        <v>406</v>
      </c>
      <c r="HB131" s="4">
        <v>382</v>
      </c>
      <c r="HC131" s="4">
        <v>358</v>
      </c>
      <c r="HD131" s="19">
        <v>21.8</v>
      </c>
      <c r="HE131" s="19">
        <v>37.7</v>
      </c>
      <c r="HF131" s="19">
        <v>34.4</v>
      </c>
      <c r="HG131" s="19">
        <v>28.9</v>
      </c>
      <c r="HH131" s="19">
        <v>26.7</v>
      </c>
      <c r="HI131" s="19">
        <v>25.7</v>
      </c>
      <c r="HJ131" s="19">
        <v>26.9</v>
      </c>
      <c r="HK131" s="19">
        <v>29.8</v>
      </c>
      <c r="HL131" s="19">
        <v>26.9</v>
      </c>
      <c r="HM131" s="19">
        <v>24.3</v>
      </c>
      <c r="HN131" s="19">
        <v>19.6</v>
      </c>
      <c r="HO131" s="19">
        <v>18.4</v>
      </c>
      <c r="HP131" s="19">
        <v>17.9</v>
      </c>
      <c r="HQ131" s="19">
        <v>19.1</v>
      </c>
      <c r="HR131" s="19">
        <v>21.3</v>
      </c>
      <c r="HS131" s="19">
        <v>22.4</v>
      </c>
      <c r="HT131" s="19">
        <v>23.8</v>
      </c>
      <c r="HU131" s="19">
        <v>23.7</v>
      </c>
      <c r="HV131" s="19">
        <v>23.5</v>
      </c>
      <c r="HW131" s="19">
        <v>22.5</v>
      </c>
      <c r="HX131" s="19">
        <v>20.7</v>
      </c>
      <c r="HY131" s="19">
        <v>18.9</v>
      </c>
      <c r="HZ131" s="19">
        <v>17.9</v>
      </c>
      <c r="IA131" s="19">
        <v>16.9</v>
      </c>
      <c r="IB131" s="19">
        <v>15.3</v>
      </c>
      <c r="IC131" s="19">
        <v>13.8</v>
      </c>
    </row>
    <row r="132">
      <c r="A132" s="2" t="s">
        <v>666</v>
      </c>
      <c r="B132" s="2" t="s">
        <v>605</v>
      </c>
      <c r="C132" s="2" t="s">
        <v>606</v>
      </c>
      <c r="D132" s="2" t="s">
        <v>607</v>
      </c>
      <c r="E132" s="2" t="s">
        <v>608</v>
      </c>
      <c r="F132" s="2" t="s">
        <v>609</v>
      </c>
      <c r="G132" s="2" t="s">
        <v>609</v>
      </c>
      <c r="H132" s="2" t="s">
        <v>609</v>
      </c>
      <c r="I132" s="2" t="s">
        <v>629</v>
      </c>
      <c r="J132" s="2" t="s">
        <v>630</v>
      </c>
      <c r="K132" s="2" t="s">
        <v>316</v>
      </c>
      <c r="L132" s="3">
        <v>22.29</v>
      </c>
      <c r="M132" s="3">
        <v>23.4</v>
      </c>
      <c r="N132" s="3">
        <v>39.99</v>
      </c>
      <c r="O132" s="2" t="s">
        <v>232</v>
      </c>
      <c r="P132" s="2" t="s">
        <v>624</v>
      </c>
      <c r="Q132" s="2" t="s">
        <v>234</v>
      </c>
      <c r="R132" s="2" t="s">
        <v>235</v>
      </c>
      <c r="S132" s="2" t="s">
        <v>661</v>
      </c>
      <c r="T132" s="2" t="s">
        <v>263</v>
      </c>
      <c r="U132" s="2" t="s">
        <v>264</v>
      </c>
      <c r="V132" s="2" t="s">
        <v>238</v>
      </c>
      <c r="W132" s="2" t="s">
        <v>239</v>
      </c>
      <c r="X132" s="2" t="s">
        <v>235</v>
      </c>
      <c r="Y132" s="2" t="s">
        <v>626</v>
      </c>
      <c r="Z132" s="4">
        <v>818</v>
      </c>
      <c r="AA132" s="4">
        <f>=ROUNDDOWN(409,0)</f>
      </c>
      <c r="AB132" s="5">
        <v>2</v>
      </c>
      <c r="AC132" s="2" t="s">
        <v>235</v>
      </c>
      <c r="AD132" s="4"/>
      <c r="AE132" s="4"/>
      <c r="AF132" s="6">
        <v>76</v>
      </c>
      <c r="AG132" s="6"/>
      <c r="AH132" s="7">
        <v>1</v>
      </c>
      <c r="AI132" s="4"/>
      <c r="AJ132" s="4">
        <f>=ROUNDDOWN({0},0)</f>
      </c>
      <c r="AK132" s="5"/>
      <c r="AL132" s="2" t="s">
        <v>235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235</v>
      </c>
      <c r="AW132" s="8" t="s">
        <v>235</v>
      </c>
      <c r="AX132" s="4" t="s">
        <v>235</v>
      </c>
      <c r="AY132" s="8" t="s">
        <v>235</v>
      </c>
      <c r="AZ132" s="7" t="s">
        <v>235</v>
      </c>
      <c r="BA132" s="7" t="s">
        <v>235</v>
      </c>
      <c r="BB132" s="7"/>
      <c r="BC132" s="4" t="s">
        <v>235</v>
      </c>
      <c r="BD132" s="8" t="s">
        <v>235</v>
      </c>
      <c r="BE132" s="4" t="s">
        <v>235</v>
      </c>
      <c r="BF132" s="8" t="s">
        <v>235</v>
      </c>
      <c r="BG132" s="7" t="s">
        <v>235</v>
      </c>
      <c r="BH132" s="7" t="s">
        <v>235</v>
      </c>
      <c r="BI132" s="7"/>
      <c r="BJ132" s="4">
        <v>11</v>
      </c>
      <c r="BK132" s="8">
        <v>275.41</v>
      </c>
      <c r="BL132" s="2" t="s">
        <v>634</v>
      </c>
      <c r="BM132" s="7"/>
      <c r="BN132" s="7"/>
      <c r="BO132" s="4"/>
      <c r="BP132" s="8"/>
      <c r="BQ132" s="4"/>
      <c r="BR132" s="8"/>
      <c r="BS132" s="7"/>
      <c r="BT132" s="7"/>
      <c r="BU132" s="2" t="s">
        <v>617</v>
      </c>
      <c r="BV132" s="2" t="s">
        <v>618</v>
      </c>
      <c r="BW132" s="2" t="s">
        <v>235</v>
      </c>
      <c r="BX132" s="2" t="s">
        <v>619</v>
      </c>
      <c r="BY132" s="2" t="s">
        <v>245</v>
      </c>
      <c r="BZ132" s="2" t="s">
        <v>232</v>
      </c>
      <c r="CA132" s="2" t="s">
        <v>620</v>
      </c>
      <c r="CB132" s="2" t="s">
        <v>235</v>
      </c>
      <c r="CC132" s="2" t="s">
        <v>248</v>
      </c>
      <c r="CD132" s="2" t="s">
        <v>248</v>
      </c>
      <c r="CE132" s="2" t="s">
        <v>235</v>
      </c>
      <c r="CF132" s="4">
        <v>818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>
        <v>819</v>
      </c>
      <c r="GE132" s="4">
        <v>804</v>
      </c>
      <c r="GF132" s="4">
        <v>800</v>
      </c>
      <c r="GG132" s="4">
        <v>796</v>
      </c>
      <c r="GH132" s="4">
        <v>792</v>
      </c>
      <c r="GI132" s="4">
        <v>788</v>
      </c>
      <c r="GJ132" s="4">
        <v>784</v>
      </c>
      <c r="GK132" s="4">
        <v>778</v>
      </c>
      <c r="GL132" s="4">
        <v>774</v>
      </c>
      <c r="GM132" s="4">
        <v>770</v>
      </c>
      <c r="GN132" s="4">
        <v>767</v>
      </c>
      <c r="GO132" s="4">
        <v>764</v>
      </c>
      <c r="GP132" s="4">
        <v>760</v>
      </c>
      <c r="GQ132" s="4">
        <v>755</v>
      </c>
      <c r="GR132" s="4">
        <v>748</v>
      </c>
      <c r="GS132" s="4">
        <v>743</v>
      </c>
      <c r="GT132" s="4">
        <v>739</v>
      </c>
      <c r="GU132" s="4">
        <v>736</v>
      </c>
      <c r="GV132" s="4">
        <v>731</v>
      </c>
      <c r="GW132" s="4">
        <v>728</v>
      </c>
      <c r="GX132" s="4">
        <v>725</v>
      </c>
      <c r="GY132" s="4">
        <v>722</v>
      </c>
      <c r="GZ132" s="4">
        <v>719</v>
      </c>
      <c r="HA132" s="4">
        <v>716</v>
      </c>
      <c r="HB132" s="4">
        <v>713</v>
      </c>
      <c r="HC132" s="4">
        <v>710</v>
      </c>
      <c r="HD132" s="19">
        <v>117</v>
      </c>
      <c r="HE132" s="19">
        <v>201</v>
      </c>
      <c r="HF132" s="19">
        <v>200</v>
      </c>
      <c r="HG132" s="19">
        <v>199</v>
      </c>
      <c r="HH132" s="19">
        <v>198</v>
      </c>
      <c r="HI132" s="19">
        <v>197</v>
      </c>
      <c r="HJ132" s="19">
        <v>196</v>
      </c>
      <c r="HK132" s="19">
        <v>194.5</v>
      </c>
      <c r="HL132" s="19">
        <v>193.5</v>
      </c>
      <c r="HM132" s="19">
        <v>192.5</v>
      </c>
      <c r="HN132" s="19">
        <v>153.4</v>
      </c>
      <c r="HO132" s="19">
        <v>152.8</v>
      </c>
      <c r="HP132" s="19">
        <v>152</v>
      </c>
      <c r="HQ132" s="19">
        <v>151</v>
      </c>
      <c r="HR132" s="19">
        <v>187</v>
      </c>
      <c r="HS132" s="19">
        <v>185.8</v>
      </c>
      <c r="HT132" s="19">
        <v>184.8</v>
      </c>
      <c r="HU132" s="19">
        <v>184</v>
      </c>
      <c r="HV132" s="19">
        <v>243.7</v>
      </c>
      <c r="HW132" s="19">
        <v>242.7</v>
      </c>
      <c r="HX132" s="19">
        <v>241.7</v>
      </c>
      <c r="HY132" s="19">
        <v>240.7</v>
      </c>
      <c r="HZ132" s="19">
        <v>239.7</v>
      </c>
      <c r="IA132" s="19">
        <v>238.7</v>
      </c>
      <c r="IB132" s="19">
        <v>237.7</v>
      </c>
      <c r="IC132" s="19">
        <v>236.7</v>
      </c>
    </row>
    <row r="133">
      <c r="A133" s="2" t="s">
        <v>667</v>
      </c>
      <c r="B133" s="2" t="s">
        <v>323</v>
      </c>
      <c r="C133" s="2" t="s">
        <v>324</v>
      </c>
      <c r="D133" s="2" t="s">
        <v>257</v>
      </c>
      <c r="E133" s="2" t="s">
        <v>258</v>
      </c>
      <c r="F133" s="2" t="s">
        <v>668</v>
      </c>
      <c r="G133" s="2" t="s">
        <v>668</v>
      </c>
      <c r="H133" s="2" t="s">
        <v>668</v>
      </c>
      <c r="I133" s="2" t="s">
        <v>669</v>
      </c>
      <c r="J133" s="2" t="s">
        <v>250</v>
      </c>
      <c r="K133" s="2" t="s">
        <v>542</v>
      </c>
      <c r="L133" s="3">
        <v>25.99</v>
      </c>
      <c r="M133" s="3">
        <v>27.29</v>
      </c>
      <c r="N133" s="3">
        <v>57.99</v>
      </c>
      <c r="O133" s="2" t="s">
        <v>485</v>
      </c>
      <c r="P133" s="2" t="s">
        <v>408</v>
      </c>
      <c r="Q133" s="2" t="s">
        <v>234</v>
      </c>
      <c r="R133" s="2" t="s">
        <v>235</v>
      </c>
      <c r="S133" s="2" t="s">
        <v>670</v>
      </c>
      <c r="T133" s="2" t="s">
        <v>328</v>
      </c>
      <c r="U133" s="2" t="s">
        <v>264</v>
      </c>
      <c r="V133" s="2" t="s">
        <v>238</v>
      </c>
      <c r="W133" s="2" t="s">
        <v>239</v>
      </c>
      <c r="X133" s="2" t="s">
        <v>671</v>
      </c>
      <c r="Y133" s="2" t="s">
        <v>672</v>
      </c>
      <c r="Z133" s="4"/>
      <c r="AA133" s="4">
        <f>=ROUNDDOWN({0},0)</f>
      </c>
      <c r="AB133" s="5">
        <v>4</v>
      </c>
      <c r="AC133" s="2" t="s">
        <v>235</v>
      </c>
      <c r="AD133" s="4"/>
      <c r="AE133" s="4"/>
      <c r="AF133" s="6">
        <v>78</v>
      </c>
      <c r="AG133" s="6"/>
      <c r="AH133" s="7">
        <v>0.8387</v>
      </c>
      <c r="AI133" s="4"/>
      <c r="AJ133" s="4">
        <f>=ROUNDDOWN({0},0)</f>
      </c>
      <c r="AK133" s="5"/>
      <c r="AL133" s="2" t="s">
        <v>235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/>
      <c r="BD133" s="8"/>
      <c r="BE133" s="4"/>
      <c r="BF133" s="8"/>
      <c r="BG133" s="7"/>
      <c r="BH133" s="7"/>
      <c r="BI133" s="7"/>
      <c r="BJ133" s="4">
        <v>3</v>
      </c>
      <c r="BK133" s="8">
        <v>94.97</v>
      </c>
      <c r="BL133" s="2" t="s">
        <v>673</v>
      </c>
      <c r="BM133" s="7"/>
      <c r="BN133" s="7"/>
      <c r="BO133" s="4"/>
      <c r="BP133" s="8"/>
      <c r="BQ133" s="4"/>
      <c r="BR133" s="8"/>
      <c r="BS133" s="7"/>
      <c r="BT133" s="7"/>
      <c r="BU133" s="2" t="s">
        <v>674</v>
      </c>
      <c r="BV133" s="2" t="s">
        <v>243</v>
      </c>
      <c r="BW133" s="2" t="s">
        <v>235</v>
      </c>
      <c r="BX133" s="2" t="s">
        <v>414</v>
      </c>
      <c r="BY133" s="2" t="s">
        <v>245</v>
      </c>
      <c r="BZ133" s="2" t="s">
        <v>232</v>
      </c>
      <c r="CA133" s="2" t="s">
        <v>675</v>
      </c>
      <c r="CB133" s="2" t="s">
        <v>676</v>
      </c>
      <c r="CC133" s="2" t="s">
        <v>248</v>
      </c>
      <c r="CD133" s="2" t="s">
        <v>248</v>
      </c>
      <c r="CE133" s="2" t="s">
        <v>235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>
        <v>2</v>
      </c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19">
        <v>0.5</v>
      </c>
      <c r="HE133" s="20">
        <v>0</v>
      </c>
      <c r="HF133" s="20">
        <v>0</v>
      </c>
      <c r="HG133" s="20">
        <v>0</v>
      </c>
      <c r="HH133" s="20">
        <v>0</v>
      </c>
      <c r="HI133" s="20">
        <v>0</v>
      </c>
      <c r="HJ133" s="20">
        <v>0</v>
      </c>
      <c r="HK133" s="20">
        <v>0</v>
      </c>
      <c r="HL133" s="20">
        <v>0</v>
      </c>
      <c r="HM133" s="20">
        <v>0</v>
      </c>
      <c r="HN133" s="20">
        <v>0</v>
      </c>
      <c r="HO133" s="20">
        <v>0</v>
      </c>
      <c r="HP133" s="20">
        <v>0</v>
      </c>
      <c r="HQ133" s="20">
        <v>0</v>
      </c>
      <c r="HR133" s="20">
        <v>0</v>
      </c>
      <c r="HS133" s="20">
        <v>0</v>
      </c>
      <c r="HT133" s="20">
        <v>0</v>
      </c>
      <c r="HU133" s="20">
        <v>0</v>
      </c>
      <c r="HV133" s="20">
        <v>0</v>
      </c>
      <c r="HW133" s="20">
        <v>0</v>
      </c>
      <c r="HX133" s="20">
        <v>0</v>
      </c>
      <c r="HY133" s="20">
        <v>0</v>
      </c>
      <c r="HZ133" s="20">
        <v>0</v>
      </c>
      <c r="IA133" s="20">
        <v>0</v>
      </c>
      <c r="IB133" s="20">
        <v>0</v>
      </c>
      <c r="IC133" s="20">
        <v>0</v>
      </c>
    </row>
    <row r="134">
      <c r="A134" s="2" t="s">
        <v>677</v>
      </c>
      <c r="B134" s="2" t="s">
        <v>323</v>
      </c>
      <c r="C134" s="2" t="s">
        <v>678</v>
      </c>
      <c r="D134" s="2" t="s">
        <v>257</v>
      </c>
      <c r="E134" s="2" t="s">
        <v>258</v>
      </c>
      <c r="F134" s="2" t="s">
        <v>679</v>
      </c>
      <c r="G134" s="2" t="s">
        <v>679</v>
      </c>
      <c r="H134" s="2" t="s">
        <v>679</v>
      </c>
      <c r="I134" s="2" t="s">
        <v>680</v>
      </c>
      <c r="J134" s="2" t="s">
        <v>250</v>
      </c>
      <c r="K134" s="2" t="s">
        <v>378</v>
      </c>
      <c r="L134" s="3">
        <v>27.72</v>
      </c>
      <c r="M134" s="3">
        <v>29.11</v>
      </c>
      <c r="N134" s="3">
        <v>59.99</v>
      </c>
      <c r="O134" s="2" t="s">
        <v>232</v>
      </c>
      <c r="P134" s="2" t="s">
        <v>233</v>
      </c>
      <c r="Q134" s="2" t="s">
        <v>234</v>
      </c>
      <c r="R134" s="2" t="s">
        <v>235</v>
      </c>
      <c r="S134" s="2" t="s">
        <v>681</v>
      </c>
      <c r="T134" s="2" t="s">
        <v>328</v>
      </c>
      <c r="U134" s="2" t="s">
        <v>264</v>
      </c>
      <c r="V134" s="2" t="s">
        <v>238</v>
      </c>
      <c r="W134" s="2" t="s">
        <v>239</v>
      </c>
      <c r="X134" s="2" t="s">
        <v>682</v>
      </c>
      <c r="Y134" s="2" t="s">
        <v>380</v>
      </c>
      <c r="Z134" s="4">
        <v>226</v>
      </c>
      <c r="AA134" s="4">
        <f>=ROUNDDOWN(35.3125,0)</f>
      </c>
      <c r="AB134" s="5">
        <v>6.4</v>
      </c>
      <c r="AC134" s="2" t="s">
        <v>235</v>
      </c>
      <c r="AD134" s="4"/>
      <c r="AE134" s="4"/>
      <c r="AF134" s="6">
        <v>73</v>
      </c>
      <c r="AG134" s="6"/>
      <c r="AH134" s="7">
        <v>1</v>
      </c>
      <c r="AI134" s="4"/>
      <c r="AJ134" s="4">
        <f>=ROUNDDOWN({0},0)</f>
      </c>
      <c r="AK134" s="5"/>
      <c r="AL134" s="2" t="s">
        <v>235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235</v>
      </c>
      <c r="AW134" s="8" t="s">
        <v>235</v>
      </c>
      <c r="AX134" s="4" t="s">
        <v>235</v>
      </c>
      <c r="AY134" s="8" t="s">
        <v>235</v>
      </c>
      <c r="AZ134" s="7" t="s">
        <v>235</v>
      </c>
      <c r="BA134" s="7" t="s">
        <v>235</v>
      </c>
      <c r="BB134" s="7" t="s">
        <v>235</v>
      </c>
      <c r="BC134" s="4" t="s">
        <v>235</v>
      </c>
      <c r="BD134" s="8" t="s">
        <v>235</v>
      </c>
      <c r="BE134" s="4" t="s">
        <v>235</v>
      </c>
      <c r="BF134" s="8" t="s">
        <v>235</v>
      </c>
      <c r="BG134" s="7" t="s">
        <v>235</v>
      </c>
      <c r="BH134" s="7" t="s">
        <v>235</v>
      </c>
      <c r="BI134" s="7"/>
      <c r="BJ134" s="4">
        <v>43</v>
      </c>
      <c r="BK134" s="8">
        <v>1306.78</v>
      </c>
      <c r="BL134" s="2" t="s">
        <v>683</v>
      </c>
      <c r="BM134" s="7"/>
      <c r="BN134" s="7"/>
      <c r="BO134" s="4"/>
      <c r="BP134" s="8"/>
      <c r="BQ134" s="4"/>
      <c r="BR134" s="8"/>
      <c r="BS134" s="7"/>
      <c r="BT134" s="7"/>
      <c r="BU134" s="2" t="s">
        <v>684</v>
      </c>
      <c r="BV134" s="2" t="s">
        <v>243</v>
      </c>
      <c r="BW134" s="2" t="s">
        <v>235</v>
      </c>
      <c r="BX134" s="2" t="s">
        <v>685</v>
      </c>
      <c r="BY134" s="2" t="s">
        <v>245</v>
      </c>
      <c r="BZ134" s="2" t="s">
        <v>232</v>
      </c>
      <c r="CA134" s="2" t="s">
        <v>686</v>
      </c>
      <c r="CB134" s="2" t="s">
        <v>687</v>
      </c>
      <c r="CC134" s="2" t="s">
        <v>248</v>
      </c>
      <c r="CD134" s="2" t="s">
        <v>248</v>
      </c>
      <c r="CE134" s="2" t="s">
        <v>235</v>
      </c>
      <c r="CF134" s="4">
        <v>226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>
        <v>226</v>
      </c>
      <c r="GE134" s="4">
        <v>218</v>
      </c>
      <c r="GF134" s="4">
        <v>212</v>
      </c>
      <c r="GG134" s="4">
        <v>206</v>
      </c>
      <c r="GH134" s="4">
        <v>199</v>
      </c>
      <c r="GI134" s="4">
        <v>192</v>
      </c>
      <c r="GJ134" s="4">
        <v>184</v>
      </c>
      <c r="GK134" s="4">
        <v>176</v>
      </c>
      <c r="GL134" s="4">
        <v>169</v>
      </c>
      <c r="GM134" s="4">
        <v>162</v>
      </c>
      <c r="GN134" s="4">
        <v>154</v>
      </c>
      <c r="GO134" s="4">
        <v>144</v>
      </c>
      <c r="GP134" s="4">
        <v>136</v>
      </c>
      <c r="GQ134" s="4">
        <v>122</v>
      </c>
      <c r="GR134" s="4">
        <v>110</v>
      </c>
      <c r="GS134" s="4">
        <v>102</v>
      </c>
      <c r="GT134" s="4">
        <v>95</v>
      </c>
      <c r="GU134" s="4">
        <v>88</v>
      </c>
      <c r="GV134" s="4">
        <v>83</v>
      </c>
      <c r="GW134" s="4">
        <v>78</v>
      </c>
      <c r="GX134" s="4">
        <v>73</v>
      </c>
      <c r="GY134" s="4">
        <v>68</v>
      </c>
      <c r="GZ134" s="4">
        <v>63</v>
      </c>
      <c r="HA134" s="4">
        <v>58</v>
      </c>
      <c r="HB134" s="4">
        <v>53</v>
      </c>
      <c r="HC134" s="4">
        <v>48</v>
      </c>
      <c r="HD134" s="19">
        <v>32.3</v>
      </c>
      <c r="HE134" s="19">
        <v>36.3</v>
      </c>
      <c r="HF134" s="19">
        <v>30.3</v>
      </c>
      <c r="HG134" s="19">
        <v>25.8</v>
      </c>
      <c r="HH134" s="19">
        <v>24.9</v>
      </c>
      <c r="HI134" s="19">
        <v>24</v>
      </c>
      <c r="HJ134" s="19">
        <v>23</v>
      </c>
      <c r="HK134" s="19">
        <v>22</v>
      </c>
      <c r="HL134" s="19">
        <v>21.1</v>
      </c>
      <c r="HM134" s="19">
        <v>16.2</v>
      </c>
      <c r="HN134" s="19">
        <v>14</v>
      </c>
      <c r="HO134" s="19">
        <v>14.4</v>
      </c>
      <c r="HP134" s="19">
        <v>13.6</v>
      </c>
      <c r="HQ134" s="19">
        <v>15.3</v>
      </c>
      <c r="HR134" s="19">
        <v>15.7</v>
      </c>
      <c r="HS134" s="19">
        <v>17</v>
      </c>
      <c r="HT134" s="19">
        <v>15.8</v>
      </c>
      <c r="HU134" s="19">
        <v>17.6</v>
      </c>
      <c r="HV134" s="19">
        <v>16.6</v>
      </c>
      <c r="HW134" s="19">
        <v>15.6</v>
      </c>
      <c r="HX134" s="19">
        <v>14.6</v>
      </c>
      <c r="HY134" s="19">
        <v>13.6</v>
      </c>
      <c r="HZ134" s="19">
        <v>12.6</v>
      </c>
      <c r="IA134" s="19">
        <v>11.6</v>
      </c>
      <c r="IB134" s="19">
        <v>10.6</v>
      </c>
      <c r="IC134" s="19">
        <v>9.6</v>
      </c>
    </row>
    <row r="135">
      <c r="A135" s="2" t="s">
        <v>688</v>
      </c>
      <c r="B135" s="2" t="s">
        <v>323</v>
      </c>
      <c r="C135" s="2" t="s">
        <v>324</v>
      </c>
      <c r="D135" s="2" t="s">
        <v>257</v>
      </c>
      <c r="E135" s="2" t="s">
        <v>258</v>
      </c>
      <c r="F135" s="2" t="s">
        <v>679</v>
      </c>
      <c r="G135" s="2" t="s">
        <v>679</v>
      </c>
      <c r="H135" s="2" t="s">
        <v>679</v>
      </c>
      <c r="I135" s="2" t="s">
        <v>680</v>
      </c>
      <c r="J135" s="2" t="s">
        <v>250</v>
      </c>
      <c r="K135" s="2" t="s">
        <v>378</v>
      </c>
      <c r="L135" s="3">
        <v>27.72</v>
      </c>
      <c r="M135" s="3">
        <v>29.11</v>
      </c>
      <c r="N135" s="3">
        <v>59.99</v>
      </c>
      <c r="O135" s="2" t="s">
        <v>327</v>
      </c>
      <c r="P135" s="2" t="s">
        <v>233</v>
      </c>
      <c r="Q135" s="2" t="s">
        <v>234</v>
      </c>
      <c r="R135" s="2" t="s">
        <v>235</v>
      </c>
      <c r="S135" s="2" t="s">
        <v>235</v>
      </c>
      <c r="T135" s="2" t="s">
        <v>328</v>
      </c>
      <c r="U135" s="2" t="s">
        <v>264</v>
      </c>
      <c r="V135" s="2" t="s">
        <v>238</v>
      </c>
      <c r="W135" s="2" t="s">
        <v>329</v>
      </c>
      <c r="X135" s="2" t="s">
        <v>235</v>
      </c>
      <c r="Y135" s="2" t="s">
        <v>235</v>
      </c>
      <c r="Z135" s="4"/>
      <c r="AA135" s="4">
        <f>=ROUNDDOWN({0},0)</f>
      </c>
      <c r="AB135" s="5"/>
      <c r="AC135" s="2" t="s">
        <v>166</v>
      </c>
      <c r="AD135" s="4">
        <v>80</v>
      </c>
      <c r="AE135" s="4">
        <v>80</v>
      </c>
      <c r="AF135" s="6">
        <v>73</v>
      </c>
      <c r="AG135" s="6"/>
      <c r="AH135" s="7"/>
      <c r="AI135" s="4"/>
      <c r="AJ135" s="4">
        <f>=ROUNDDOWN({0},0)</f>
      </c>
      <c r="AK135" s="5"/>
      <c r="AL135" s="2" t="s">
        <v>235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235</v>
      </c>
      <c r="AW135" s="8" t="s">
        <v>235</v>
      </c>
      <c r="AX135" s="4" t="s">
        <v>235</v>
      </c>
      <c r="AY135" s="8" t="s">
        <v>235</v>
      </c>
      <c r="AZ135" s="7" t="s">
        <v>235</v>
      </c>
      <c r="BA135" s="7" t="s">
        <v>235</v>
      </c>
      <c r="BB135" s="7" t="s">
        <v>235</v>
      </c>
      <c r="BC135" s="4" t="s">
        <v>235</v>
      </c>
      <c r="BD135" s="8" t="s">
        <v>235</v>
      </c>
      <c r="BE135" s="4" t="s">
        <v>235</v>
      </c>
      <c r="BF135" s="8" t="s">
        <v>235</v>
      </c>
      <c r="BG135" s="7" t="s">
        <v>235</v>
      </c>
      <c r="BH135" s="7" t="s">
        <v>235</v>
      </c>
      <c r="BI135" s="7"/>
      <c r="BJ135" s="4"/>
      <c r="BK135" s="8"/>
      <c r="BL135" s="2" t="s">
        <v>235</v>
      </c>
      <c r="BM135" s="7"/>
      <c r="BN135" s="7"/>
      <c r="BO135" s="4"/>
      <c r="BP135" s="8"/>
      <c r="BQ135" s="4"/>
      <c r="BR135" s="8"/>
      <c r="BS135" s="7"/>
      <c r="BT135" s="7"/>
      <c r="BU135" s="2" t="s">
        <v>330</v>
      </c>
      <c r="BV135" s="2" t="s">
        <v>235</v>
      </c>
      <c r="BW135" s="2" t="s">
        <v>235</v>
      </c>
      <c r="BX135" s="2" t="s">
        <v>330</v>
      </c>
      <c r="BY135" s="2" t="s">
        <v>331</v>
      </c>
      <c r="BZ135" s="2" t="s">
        <v>232</v>
      </c>
      <c r="CA135" s="2" t="s">
        <v>235</v>
      </c>
      <c r="CB135" s="2" t="s">
        <v>235</v>
      </c>
      <c r="CC135" s="2" t="s">
        <v>248</v>
      </c>
      <c r="CD135" s="2" t="s">
        <v>248</v>
      </c>
      <c r="CE135" s="2" t="s">
        <v>235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>
        <v>80</v>
      </c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>
        <v>80</v>
      </c>
      <c r="GL135" s="4">
        <v>80</v>
      </c>
      <c r="GM135" s="4">
        <v>80</v>
      </c>
      <c r="GN135" s="4">
        <v>80</v>
      </c>
      <c r="GO135" s="4">
        <v>80</v>
      </c>
      <c r="GP135" s="4">
        <v>80</v>
      </c>
      <c r="GQ135" s="4">
        <v>80</v>
      </c>
      <c r="GR135" s="4">
        <v>80</v>
      </c>
      <c r="GS135" s="4">
        <v>80</v>
      </c>
      <c r="GT135" s="4">
        <v>80</v>
      </c>
      <c r="GU135" s="4">
        <v>80</v>
      </c>
      <c r="GV135" s="4">
        <v>80</v>
      </c>
      <c r="GW135" s="4">
        <v>80</v>
      </c>
      <c r="GX135" s="4">
        <v>80</v>
      </c>
      <c r="GY135" s="4">
        <v>80</v>
      </c>
      <c r="GZ135" s="4">
        <v>80</v>
      </c>
      <c r="HA135" s="4">
        <v>80</v>
      </c>
      <c r="HB135" s="4">
        <v>80</v>
      </c>
      <c r="HC135" s="4">
        <v>80</v>
      </c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</row>
    <row r="136">
      <c r="A136" s="2" t="s">
        <v>689</v>
      </c>
      <c r="B136" s="2" t="s">
        <v>323</v>
      </c>
      <c r="C136" s="2" t="s">
        <v>324</v>
      </c>
      <c r="D136" s="2" t="s">
        <v>257</v>
      </c>
      <c r="E136" s="2" t="s">
        <v>258</v>
      </c>
      <c r="F136" s="2" t="s">
        <v>679</v>
      </c>
      <c r="G136" s="2" t="s">
        <v>679</v>
      </c>
      <c r="H136" s="2" t="s">
        <v>679</v>
      </c>
      <c r="I136" s="2" t="s">
        <v>680</v>
      </c>
      <c r="J136" s="2" t="s">
        <v>261</v>
      </c>
      <c r="K136" s="2" t="s">
        <v>378</v>
      </c>
      <c r="L136" s="3">
        <v>30.71</v>
      </c>
      <c r="M136" s="3">
        <v>32.25</v>
      </c>
      <c r="N136" s="3">
        <v>64.99</v>
      </c>
      <c r="O136" s="2" t="s">
        <v>327</v>
      </c>
      <c r="P136" s="2" t="s">
        <v>233</v>
      </c>
      <c r="Q136" s="2" t="s">
        <v>234</v>
      </c>
      <c r="R136" s="2" t="s">
        <v>235</v>
      </c>
      <c r="S136" s="2" t="s">
        <v>235</v>
      </c>
      <c r="T136" s="2" t="s">
        <v>328</v>
      </c>
      <c r="U136" s="2" t="s">
        <v>264</v>
      </c>
      <c r="V136" s="2" t="s">
        <v>238</v>
      </c>
      <c r="W136" s="2" t="s">
        <v>329</v>
      </c>
      <c r="X136" s="2" t="s">
        <v>235</v>
      </c>
      <c r="Y136" s="2" t="s">
        <v>235</v>
      </c>
      <c r="Z136" s="4"/>
      <c r="AA136" s="4">
        <f>=ROUNDDOWN({0},0)</f>
      </c>
      <c r="AB136" s="5"/>
      <c r="AC136" s="2" t="s">
        <v>166</v>
      </c>
      <c r="AD136" s="4">
        <v>240</v>
      </c>
      <c r="AE136" s="4">
        <v>240</v>
      </c>
      <c r="AF136" s="6">
        <v>73</v>
      </c>
      <c r="AG136" s="6"/>
      <c r="AH136" s="7"/>
      <c r="AI136" s="4"/>
      <c r="AJ136" s="4">
        <f>=ROUNDDOWN({0},0)</f>
      </c>
      <c r="AK136" s="5"/>
      <c r="AL136" s="2" t="s">
        <v>235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235</v>
      </c>
      <c r="AW136" s="8" t="s">
        <v>235</v>
      </c>
      <c r="AX136" s="4" t="s">
        <v>235</v>
      </c>
      <c r="AY136" s="8" t="s">
        <v>235</v>
      </c>
      <c r="AZ136" s="7" t="s">
        <v>235</v>
      </c>
      <c r="BA136" s="7" t="s">
        <v>235</v>
      </c>
      <c r="BB136" s="7"/>
      <c r="BC136" s="4" t="s">
        <v>235</v>
      </c>
      <c r="BD136" s="8" t="s">
        <v>235</v>
      </c>
      <c r="BE136" s="4" t="s">
        <v>235</v>
      </c>
      <c r="BF136" s="8" t="s">
        <v>235</v>
      </c>
      <c r="BG136" s="7" t="s">
        <v>235</v>
      </c>
      <c r="BH136" s="7" t="s">
        <v>235</v>
      </c>
      <c r="BI136" s="7"/>
      <c r="BJ136" s="4"/>
      <c r="BK136" s="8"/>
      <c r="BL136" s="2" t="s">
        <v>235</v>
      </c>
      <c r="BM136" s="7"/>
      <c r="BN136" s="7"/>
      <c r="BO136" s="4"/>
      <c r="BP136" s="8"/>
      <c r="BQ136" s="4"/>
      <c r="BR136" s="8"/>
      <c r="BS136" s="7"/>
      <c r="BT136" s="7"/>
      <c r="BU136" s="2" t="s">
        <v>330</v>
      </c>
      <c r="BV136" s="2" t="s">
        <v>235</v>
      </c>
      <c r="BW136" s="2" t="s">
        <v>235</v>
      </c>
      <c r="BX136" s="2" t="s">
        <v>330</v>
      </c>
      <c r="BY136" s="2" t="s">
        <v>331</v>
      </c>
      <c r="BZ136" s="2" t="s">
        <v>232</v>
      </c>
      <c r="CA136" s="2" t="s">
        <v>235</v>
      </c>
      <c r="CB136" s="2" t="s">
        <v>235</v>
      </c>
      <c r="CC136" s="2" t="s">
        <v>248</v>
      </c>
      <c r="CD136" s="2" t="s">
        <v>248</v>
      </c>
      <c r="CE136" s="2" t="s">
        <v>235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>
        <v>240</v>
      </c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>
        <v>240</v>
      </c>
      <c r="GL136" s="4">
        <v>240</v>
      </c>
      <c r="GM136" s="4">
        <v>240</v>
      </c>
      <c r="GN136" s="4">
        <v>240</v>
      </c>
      <c r="GO136" s="4">
        <v>240</v>
      </c>
      <c r="GP136" s="4">
        <v>240</v>
      </c>
      <c r="GQ136" s="4">
        <v>240</v>
      </c>
      <c r="GR136" s="4">
        <v>240</v>
      </c>
      <c r="GS136" s="4">
        <v>240</v>
      </c>
      <c r="GT136" s="4">
        <v>240</v>
      </c>
      <c r="GU136" s="4">
        <v>240</v>
      </c>
      <c r="GV136" s="4">
        <v>240</v>
      </c>
      <c r="GW136" s="4">
        <v>240</v>
      </c>
      <c r="GX136" s="4">
        <v>240</v>
      </c>
      <c r="GY136" s="4">
        <v>240</v>
      </c>
      <c r="GZ136" s="4">
        <v>240</v>
      </c>
      <c r="HA136" s="4">
        <v>240</v>
      </c>
      <c r="HB136" s="4">
        <v>240</v>
      </c>
      <c r="HC136" s="4">
        <v>240</v>
      </c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19">
        <v>80</v>
      </c>
      <c r="IC136" s="19">
        <v>40</v>
      </c>
    </row>
    <row r="137">
      <c r="A137" s="2" t="s">
        <v>690</v>
      </c>
      <c r="B137" s="2" t="s">
        <v>323</v>
      </c>
      <c r="C137" s="2" t="s">
        <v>324</v>
      </c>
      <c r="D137" s="2" t="s">
        <v>257</v>
      </c>
      <c r="E137" s="2" t="s">
        <v>258</v>
      </c>
      <c r="F137" s="2" t="s">
        <v>679</v>
      </c>
      <c r="G137" s="2" t="s">
        <v>679</v>
      </c>
      <c r="H137" s="2" t="s">
        <v>679</v>
      </c>
      <c r="I137" s="2" t="s">
        <v>680</v>
      </c>
      <c r="J137" s="2" t="s">
        <v>270</v>
      </c>
      <c r="K137" s="2" t="s">
        <v>378</v>
      </c>
      <c r="L137" s="3">
        <v>33.08</v>
      </c>
      <c r="M137" s="3">
        <v>34.73</v>
      </c>
      <c r="N137" s="3">
        <v>69.99</v>
      </c>
      <c r="O137" s="2" t="s">
        <v>327</v>
      </c>
      <c r="P137" s="2" t="s">
        <v>233</v>
      </c>
      <c r="Q137" s="2" t="s">
        <v>234</v>
      </c>
      <c r="R137" s="2" t="s">
        <v>235</v>
      </c>
      <c r="S137" s="2" t="s">
        <v>235</v>
      </c>
      <c r="T137" s="2" t="s">
        <v>328</v>
      </c>
      <c r="U137" s="2" t="s">
        <v>264</v>
      </c>
      <c r="V137" s="2" t="s">
        <v>238</v>
      </c>
      <c r="W137" s="2" t="s">
        <v>329</v>
      </c>
      <c r="X137" s="2" t="s">
        <v>235</v>
      </c>
      <c r="Y137" s="2" t="s">
        <v>235</v>
      </c>
      <c r="Z137" s="4"/>
      <c r="AA137" s="4">
        <f>=ROUNDDOWN({0},0)</f>
      </c>
      <c r="AB137" s="5"/>
      <c r="AC137" s="2" t="s">
        <v>166</v>
      </c>
      <c r="AD137" s="4">
        <v>160</v>
      </c>
      <c r="AE137" s="4">
        <v>160</v>
      </c>
      <c r="AF137" s="6">
        <v>73</v>
      </c>
      <c r="AG137" s="6"/>
      <c r="AH137" s="7"/>
      <c r="AI137" s="4"/>
      <c r="AJ137" s="4">
        <f>=ROUNDDOWN({0},0)</f>
      </c>
      <c r="AK137" s="5"/>
      <c r="AL137" s="2" t="s">
        <v>235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235</v>
      </c>
      <c r="AW137" s="8" t="s">
        <v>235</v>
      </c>
      <c r="AX137" s="4" t="s">
        <v>235</v>
      </c>
      <c r="AY137" s="8" t="s">
        <v>235</v>
      </c>
      <c r="AZ137" s="7" t="s">
        <v>235</v>
      </c>
      <c r="BA137" s="7" t="s">
        <v>235</v>
      </c>
      <c r="BB137" s="7"/>
      <c r="BC137" s="4" t="s">
        <v>235</v>
      </c>
      <c r="BD137" s="8" t="s">
        <v>235</v>
      </c>
      <c r="BE137" s="4" t="s">
        <v>235</v>
      </c>
      <c r="BF137" s="8" t="s">
        <v>235</v>
      </c>
      <c r="BG137" s="7" t="s">
        <v>235</v>
      </c>
      <c r="BH137" s="7" t="s">
        <v>235</v>
      </c>
      <c r="BI137" s="7"/>
      <c r="BJ137" s="4"/>
      <c r="BK137" s="8"/>
      <c r="BL137" s="2" t="s">
        <v>235</v>
      </c>
      <c r="BM137" s="7"/>
      <c r="BN137" s="7"/>
      <c r="BO137" s="4"/>
      <c r="BP137" s="8"/>
      <c r="BQ137" s="4"/>
      <c r="BR137" s="8"/>
      <c r="BS137" s="7"/>
      <c r="BT137" s="7"/>
      <c r="BU137" s="2" t="s">
        <v>330</v>
      </c>
      <c r="BV137" s="2" t="s">
        <v>235</v>
      </c>
      <c r="BW137" s="2" t="s">
        <v>235</v>
      </c>
      <c r="BX137" s="2" t="s">
        <v>330</v>
      </c>
      <c r="BY137" s="2" t="s">
        <v>331</v>
      </c>
      <c r="BZ137" s="2" t="s">
        <v>232</v>
      </c>
      <c r="CA137" s="2" t="s">
        <v>235</v>
      </c>
      <c r="CB137" s="2" t="s">
        <v>235</v>
      </c>
      <c r="CC137" s="2" t="s">
        <v>248</v>
      </c>
      <c r="CD137" s="2" t="s">
        <v>248</v>
      </c>
      <c r="CE137" s="2" t="s">
        <v>235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>
        <v>160</v>
      </c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>
        <v>160</v>
      </c>
      <c r="GL137" s="4">
        <v>160</v>
      </c>
      <c r="GM137" s="4">
        <v>160</v>
      </c>
      <c r="GN137" s="4">
        <v>160</v>
      </c>
      <c r="GO137" s="4">
        <v>160</v>
      </c>
      <c r="GP137" s="4">
        <v>160</v>
      </c>
      <c r="GQ137" s="4">
        <v>160</v>
      </c>
      <c r="GR137" s="4">
        <v>160</v>
      </c>
      <c r="GS137" s="4">
        <v>160</v>
      </c>
      <c r="GT137" s="4">
        <v>160</v>
      </c>
      <c r="GU137" s="4">
        <v>160</v>
      </c>
      <c r="GV137" s="4">
        <v>160</v>
      </c>
      <c r="GW137" s="4">
        <v>160</v>
      </c>
      <c r="GX137" s="4">
        <v>160</v>
      </c>
      <c r="GY137" s="4">
        <v>160</v>
      </c>
      <c r="GZ137" s="4">
        <v>160</v>
      </c>
      <c r="HA137" s="4">
        <v>160</v>
      </c>
      <c r="HB137" s="4">
        <v>160</v>
      </c>
      <c r="HC137" s="4">
        <v>160</v>
      </c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</row>
    <row r="138">
      <c r="A138" s="2" t="s">
        <v>691</v>
      </c>
      <c r="B138" s="2" t="s">
        <v>323</v>
      </c>
      <c r="C138" s="2" t="s">
        <v>678</v>
      </c>
      <c r="D138" s="2" t="s">
        <v>257</v>
      </c>
      <c r="E138" s="2" t="s">
        <v>258</v>
      </c>
      <c r="F138" s="2" t="s">
        <v>679</v>
      </c>
      <c r="G138" s="2" t="s">
        <v>679</v>
      </c>
      <c r="H138" s="2" t="s">
        <v>679</v>
      </c>
      <c r="I138" s="2" t="s">
        <v>680</v>
      </c>
      <c r="J138" s="2" t="s">
        <v>272</v>
      </c>
      <c r="K138" s="2" t="s">
        <v>378</v>
      </c>
      <c r="L138" s="3">
        <v>33.08</v>
      </c>
      <c r="M138" s="3">
        <v>34.73</v>
      </c>
      <c r="N138" s="3">
        <v>69.99</v>
      </c>
      <c r="O138" s="2" t="s">
        <v>232</v>
      </c>
      <c r="P138" s="2" t="s">
        <v>233</v>
      </c>
      <c r="Q138" s="2" t="s">
        <v>234</v>
      </c>
      <c r="R138" s="2" t="s">
        <v>235</v>
      </c>
      <c r="S138" s="2" t="s">
        <v>681</v>
      </c>
      <c r="T138" s="2" t="s">
        <v>328</v>
      </c>
      <c r="U138" s="2" t="s">
        <v>264</v>
      </c>
      <c r="V138" s="2" t="s">
        <v>238</v>
      </c>
      <c r="W138" s="2" t="s">
        <v>239</v>
      </c>
      <c r="X138" s="2" t="s">
        <v>682</v>
      </c>
      <c r="Y138" s="2" t="s">
        <v>686</v>
      </c>
      <c r="Z138" s="4">
        <v>194</v>
      </c>
      <c r="AA138" s="4">
        <f>=ROUNDDOWN(77.6,0)</f>
      </c>
      <c r="AB138" s="5">
        <v>2.5</v>
      </c>
      <c r="AC138" s="2" t="s">
        <v>235</v>
      </c>
      <c r="AD138" s="4"/>
      <c r="AE138" s="4"/>
      <c r="AF138" s="6">
        <v>73</v>
      </c>
      <c r="AG138" s="6"/>
      <c r="AH138" s="7">
        <v>1</v>
      </c>
      <c r="AI138" s="4"/>
      <c r="AJ138" s="4">
        <f>=ROUNDDOWN({0},0)</f>
      </c>
      <c r="AK138" s="5"/>
      <c r="AL138" s="2" t="s">
        <v>235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235</v>
      </c>
      <c r="AW138" s="8" t="s">
        <v>235</v>
      </c>
      <c r="AX138" s="4" t="s">
        <v>235</v>
      </c>
      <c r="AY138" s="8" t="s">
        <v>235</v>
      </c>
      <c r="AZ138" s="7" t="s">
        <v>235</v>
      </c>
      <c r="BA138" s="7" t="s">
        <v>235</v>
      </c>
      <c r="BB138" s="7" t="s">
        <v>235</v>
      </c>
      <c r="BC138" s="4" t="s">
        <v>235</v>
      </c>
      <c r="BD138" s="8" t="s">
        <v>235</v>
      </c>
      <c r="BE138" s="4" t="s">
        <v>235</v>
      </c>
      <c r="BF138" s="8" t="s">
        <v>235</v>
      </c>
      <c r="BG138" s="7" t="s">
        <v>235</v>
      </c>
      <c r="BH138" s="7" t="s">
        <v>235</v>
      </c>
      <c r="BI138" s="7"/>
      <c r="BJ138" s="4">
        <v>12</v>
      </c>
      <c r="BK138" s="8">
        <v>432.77</v>
      </c>
      <c r="BL138" s="2" t="s">
        <v>692</v>
      </c>
      <c r="BM138" s="7"/>
      <c r="BN138" s="7"/>
      <c r="BO138" s="4"/>
      <c r="BP138" s="8"/>
      <c r="BQ138" s="4"/>
      <c r="BR138" s="8"/>
      <c r="BS138" s="7"/>
      <c r="BT138" s="7"/>
      <c r="BU138" s="2" t="s">
        <v>684</v>
      </c>
      <c r="BV138" s="2" t="s">
        <v>243</v>
      </c>
      <c r="BW138" s="2" t="s">
        <v>235</v>
      </c>
      <c r="BX138" s="2" t="s">
        <v>685</v>
      </c>
      <c r="BY138" s="2" t="s">
        <v>245</v>
      </c>
      <c r="BZ138" s="2" t="s">
        <v>232</v>
      </c>
      <c r="CA138" s="2" t="s">
        <v>686</v>
      </c>
      <c r="CB138" s="2" t="s">
        <v>693</v>
      </c>
      <c r="CC138" s="2" t="s">
        <v>248</v>
      </c>
      <c r="CD138" s="2" t="s">
        <v>248</v>
      </c>
      <c r="CE138" s="2" t="s">
        <v>235</v>
      </c>
      <c r="CF138" s="4">
        <v>194</v>
      </c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>
        <v>197</v>
      </c>
      <c r="GE138" s="4">
        <v>192</v>
      </c>
      <c r="GF138" s="4">
        <v>190</v>
      </c>
      <c r="GG138" s="4">
        <v>188</v>
      </c>
      <c r="GH138" s="4">
        <v>186</v>
      </c>
      <c r="GI138" s="4">
        <v>184</v>
      </c>
      <c r="GJ138" s="4">
        <v>182</v>
      </c>
      <c r="GK138" s="4">
        <v>180</v>
      </c>
      <c r="GL138" s="4">
        <v>178</v>
      </c>
      <c r="GM138" s="4">
        <v>176</v>
      </c>
      <c r="GN138" s="4">
        <v>174</v>
      </c>
      <c r="GO138" s="4">
        <v>171</v>
      </c>
      <c r="GP138" s="4">
        <v>169</v>
      </c>
      <c r="GQ138" s="4">
        <v>165</v>
      </c>
      <c r="GR138" s="4">
        <v>161</v>
      </c>
      <c r="GS138" s="4">
        <v>159</v>
      </c>
      <c r="GT138" s="4">
        <v>157</v>
      </c>
      <c r="GU138" s="4">
        <v>155</v>
      </c>
      <c r="GV138" s="4">
        <v>154</v>
      </c>
      <c r="GW138" s="4">
        <v>153</v>
      </c>
      <c r="GX138" s="4">
        <v>152</v>
      </c>
      <c r="GY138" s="4">
        <v>151</v>
      </c>
      <c r="GZ138" s="4">
        <v>150</v>
      </c>
      <c r="HA138" s="4">
        <v>149</v>
      </c>
      <c r="HB138" s="4">
        <v>148</v>
      </c>
      <c r="HC138" s="4">
        <v>147</v>
      </c>
      <c r="HD138" s="19">
        <v>65.7</v>
      </c>
      <c r="HE138" s="19">
        <v>96</v>
      </c>
      <c r="HF138" s="19">
        <v>95</v>
      </c>
      <c r="HG138" s="19">
        <v>94</v>
      </c>
      <c r="HH138" s="19">
        <v>93</v>
      </c>
      <c r="HI138" s="19">
        <v>92</v>
      </c>
      <c r="HJ138" s="19">
        <v>91</v>
      </c>
      <c r="HK138" s="19">
        <v>90</v>
      </c>
      <c r="HL138" s="19">
        <v>89</v>
      </c>
      <c r="HM138" s="19">
        <v>58.7</v>
      </c>
      <c r="HN138" s="19">
        <v>58</v>
      </c>
      <c r="HO138" s="19">
        <v>57</v>
      </c>
      <c r="HP138" s="19">
        <v>56.3</v>
      </c>
      <c r="HQ138" s="19">
        <v>82.5</v>
      </c>
      <c r="HR138" s="19">
        <v>80.5</v>
      </c>
      <c r="HS138" s="19">
        <v>79.5</v>
      </c>
      <c r="HT138" s="19">
        <v>157</v>
      </c>
      <c r="HU138" s="19">
        <v>155</v>
      </c>
      <c r="HV138" s="19">
        <v>154</v>
      </c>
      <c r="HW138" s="19">
        <v>153</v>
      </c>
      <c r="HX138" s="19">
        <v>152</v>
      </c>
      <c r="HY138" s="19">
        <v>151</v>
      </c>
      <c r="HZ138" s="19">
        <v>150</v>
      </c>
      <c r="IA138" s="19">
        <v>149</v>
      </c>
      <c r="IB138" s="19">
        <v>148</v>
      </c>
      <c r="IC138" s="19">
        <v>147</v>
      </c>
    </row>
    <row r="139">
      <c r="A139" s="2" t="s">
        <v>694</v>
      </c>
      <c r="B139" s="2" t="s">
        <v>323</v>
      </c>
      <c r="C139" s="2" t="s">
        <v>324</v>
      </c>
      <c r="D139" s="2" t="s">
        <v>257</v>
      </c>
      <c r="E139" s="2" t="s">
        <v>258</v>
      </c>
      <c r="F139" s="2" t="s">
        <v>679</v>
      </c>
      <c r="G139" s="2" t="s">
        <v>679</v>
      </c>
      <c r="H139" s="2" t="s">
        <v>679</v>
      </c>
      <c r="I139" s="2" t="s">
        <v>680</v>
      </c>
      <c r="J139" s="2" t="s">
        <v>272</v>
      </c>
      <c r="K139" s="2" t="s">
        <v>378</v>
      </c>
      <c r="L139" s="3">
        <v>33.08</v>
      </c>
      <c r="M139" s="3">
        <v>34.73</v>
      </c>
      <c r="N139" s="3">
        <v>69.99</v>
      </c>
      <c r="O139" s="2" t="s">
        <v>327</v>
      </c>
      <c r="P139" s="2" t="s">
        <v>233</v>
      </c>
      <c r="Q139" s="2" t="s">
        <v>234</v>
      </c>
      <c r="R139" s="2" t="s">
        <v>235</v>
      </c>
      <c r="S139" s="2" t="s">
        <v>235</v>
      </c>
      <c r="T139" s="2" t="s">
        <v>328</v>
      </c>
      <c r="U139" s="2" t="s">
        <v>264</v>
      </c>
      <c r="V139" s="2" t="s">
        <v>238</v>
      </c>
      <c r="W139" s="2" t="s">
        <v>329</v>
      </c>
      <c r="X139" s="2" t="s">
        <v>235</v>
      </c>
      <c r="Y139" s="2" t="s">
        <v>235</v>
      </c>
      <c r="Z139" s="4"/>
      <c r="AA139" s="4">
        <f>=ROUNDDOWN({0},0)</f>
      </c>
      <c r="AB139" s="5"/>
      <c r="AC139" s="2" t="s">
        <v>166</v>
      </c>
      <c r="AD139" s="4">
        <v>50</v>
      </c>
      <c r="AE139" s="4">
        <v>50</v>
      </c>
      <c r="AF139" s="6">
        <v>73</v>
      </c>
      <c r="AG139" s="6"/>
      <c r="AH139" s="7"/>
      <c r="AI139" s="4"/>
      <c r="AJ139" s="4">
        <f>=ROUNDDOWN({0},0)</f>
      </c>
      <c r="AK139" s="5"/>
      <c r="AL139" s="2" t="s">
        <v>235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235</v>
      </c>
      <c r="AW139" s="8" t="s">
        <v>235</v>
      </c>
      <c r="AX139" s="4" t="s">
        <v>235</v>
      </c>
      <c r="AY139" s="8" t="s">
        <v>235</v>
      </c>
      <c r="AZ139" s="7" t="s">
        <v>235</v>
      </c>
      <c r="BA139" s="7" t="s">
        <v>235</v>
      </c>
      <c r="BB139" s="7" t="s">
        <v>235</v>
      </c>
      <c r="BC139" s="4" t="s">
        <v>235</v>
      </c>
      <c r="BD139" s="8" t="s">
        <v>235</v>
      </c>
      <c r="BE139" s="4" t="s">
        <v>235</v>
      </c>
      <c r="BF139" s="8" t="s">
        <v>235</v>
      </c>
      <c r="BG139" s="7" t="s">
        <v>235</v>
      </c>
      <c r="BH139" s="7" t="s">
        <v>235</v>
      </c>
      <c r="BI139" s="7"/>
      <c r="BJ139" s="4"/>
      <c r="BK139" s="8"/>
      <c r="BL139" s="2" t="s">
        <v>235</v>
      </c>
      <c r="BM139" s="7"/>
      <c r="BN139" s="7"/>
      <c r="BO139" s="4"/>
      <c r="BP139" s="8"/>
      <c r="BQ139" s="4"/>
      <c r="BR139" s="8"/>
      <c r="BS139" s="7"/>
      <c r="BT139" s="7"/>
      <c r="BU139" s="2" t="s">
        <v>330</v>
      </c>
      <c r="BV139" s="2" t="s">
        <v>235</v>
      </c>
      <c r="BW139" s="2" t="s">
        <v>235</v>
      </c>
      <c r="BX139" s="2" t="s">
        <v>330</v>
      </c>
      <c r="BY139" s="2" t="s">
        <v>331</v>
      </c>
      <c r="BZ139" s="2" t="s">
        <v>232</v>
      </c>
      <c r="CA139" s="2" t="s">
        <v>235</v>
      </c>
      <c r="CB139" s="2" t="s">
        <v>235</v>
      </c>
      <c r="CC139" s="2" t="s">
        <v>248</v>
      </c>
      <c r="CD139" s="2" t="s">
        <v>248</v>
      </c>
      <c r="CE139" s="2" t="s">
        <v>235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>
        <v>50</v>
      </c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>
        <v>50</v>
      </c>
      <c r="GL139" s="4">
        <v>50</v>
      </c>
      <c r="GM139" s="4">
        <v>50</v>
      </c>
      <c r="GN139" s="4">
        <v>50</v>
      </c>
      <c r="GO139" s="4">
        <v>50</v>
      </c>
      <c r="GP139" s="4">
        <v>50</v>
      </c>
      <c r="GQ139" s="4">
        <v>50</v>
      </c>
      <c r="GR139" s="4">
        <v>50</v>
      </c>
      <c r="GS139" s="4">
        <v>50</v>
      </c>
      <c r="GT139" s="4">
        <v>50</v>
      </c>
      <c r="GU139" s="4">
        <v>50</v>
      </c>
      <c r="GV139" s="4">
        <v>50</v>
      </c>
      <c r="GW139" s="4">
        <v>50</v>
      </c>
      <c r="GX139" s="4">
        <v>50</v>
      </c>
      <c r="GY139" s="4">
        <v>50</v>
      </c>
      <c r="GZ139" s="4">
        <v>50</v>
      </c>
      <c r="HA139" s="4">
        <v>50</v>
      </c>
      <c r="HB139" s="4">
        <v>50</v>
      </c>
      <c r="HC139" s="4">
        <v>50</v>
      </c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</row>
    <row r="140">
      <c r="A140" s="2" t="s">
        <v>695</v>
      </c>
      <c r="B140" s="2" t="s">
        <v>323</v>
      </c>
      <c r="C140" s="2" t="s">
        <v>324</v>
      </c>
      <c r="D140" s="2" t="s">
        <v>257</v>
      </c>
      <c r="E140" s="2" t="s">
        <v>258</v>
      </c>
      <c r="F140" s="2" t="s">
        <v>679</v>
      </c>
      <c r="G140" s="2" t="s">
        <v>679</v>
      </c>
      <c r="H140" s="2" t="s">
        <v>679</v>
      </c>
      <c r="I140" s="2" t="s">
        <v>680</v>
      </c>
      <c r="J140" s="2" t="s">
        <v>250</v>
      </c>
      <c r="K140" s="2" t="s">
        <v>231</v>
      </c>
      <c r="L140" s="3">
        <v>27.72</v>
      </c>
      <c r="M140" s="3">
        <v>29.11</v>
      </c>
      <c r="N140" s="3">
        <v>59.99</v>
      </c>
      <c r="O140" s="2" t="s">
        <v>327</v>
      </c>
      <c r="P140" s="2" t="s">
        <v>233</v>
      </c>
      <c r="Q140" s="2" t="s">
        <v>234</v>
      </c>
      <c r="R140" s="2" t="s">
        <v>235</v>
      </c>
      <c r="S140" s="2" t="s">
        <v>235</v>
      </c>
      <c r="T140" s="2" t="s">
        <v>328</v>
      </c>
      <c r="U140" s="2" t="s">
        <v>264</v>
      </c>
      <c r="V140" s="2" t="s">
        <v>238</v>
      </c>
      <c r="W140" s="2" t="s">
        <v>329</v>
      </c>
      <c r="X140" s="2" t="s">
        <v>235</v>
      </c>
      <c r="Y140" s="2" t="s">
        <v>235</v>
      </c>
      <c r="Z140" s="4"/>
      <c r="AA140" s="4">
        <f>=ROUNDDOWN({0},0)</f>
      </c>
      <c r="AB140" s="5"/>
      <c r="AC140" s="2" t="s">
        <v>162</v>
      </c>
      <c r="AD140" s="4">
        <v>248</v>
      </c>
      <c r="AE140" s="4">
        <v>300</v>
      </c>
      <c r="AF140" s="6">
        <v>73</v>
      </c>
      <c r="AG140" s="6"/>
      <c r="AH140" s="7"/>
      <c r="AI140" s="4"/>
      <c r="AJ140" s="4">
        <f>=ROUNDDOWN({0},0)</f>
      </c>
      <c r="AK140" s="5"/>
      <c r="AL140" s="2" t="s">
        <v>235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235</v>
      </c>
      <c r="AW140" s="8" t="s">
        <v>235</v>
      </c>
      <c r="AX140" s="4" t="s">
        <v>235</v>
      </c>
      <c r="AY140" s="8" t="s">
        <v>235</v>
      </c>
      <c r="AZ140" s="7" t="s">
        <v>235</v>
      </c>
      <c r="BA140" s="7" t="s">
        <v>235</v>
      </c>
      <c r="BB140" s="7"/>
      <c r="BC140" s="4" t="s">
        <v>235</v>
      </c>
      <c r="BD140" s="8" t="s">
        <v>235</v>
      </c>
      <c r="BE140" s="4" t="s">
        <v>235</v>
      </c>
      <c r="BF140" s="8" t="s">
        <v>235</v>
      </c>
      <c r="BG140" s="7" t="s">
        <v>235</v>
      </c>
      <c r="BH140" s="7" t="s">
        <v>235</v>
      </c>
      <c r="BI140" s="7"/>
      <c r="BJ140" s="4"/>
      <c r="BK140" s="8"/>
      <c r="BL140" s="2" t="s">
        <v>235</v>
      </c>
      <c r="BM140" s="7"/>
      <c r="BN140" s="7"/>
      <c r="BO140" s="4"/>
      <c r="BP140" s="8"/>
      <c r="BQ140" s="4"/>
      <c r="BR140" s="8"/>
      <c r="BS140" s="7"/>
      <c r="BT140" s="7"/>
      <c r="BU140" s="2" t="s">
        <v>330</v>
      </c>
      <c r="BV140" s="2" t="s">
        <v>235</v>
      </c>
      <c r="BW140" s="2" t="s">
        <v>235</v>
      </c>
      <c r="BX140" s="2" t="s">
        <v>330</v>
      </c>
      <c r="BY140" s="2" t="s">
        <v>331</v>
      </c>
      <c r="BZ140" s="2" t="s">
        <v>232</v>
      </c>
      <c r="CA140" s="2" t="s">
        <v>235</v>
      </c>
      <c r="CB140" s="2" t="s">
        <v>235</v>
      </c>
      <c r="CC140" s="2" t="s">
        <v>248</v>
      </c>
      <c r="CD140" s="2" t="s">
        <v>248</v>
      </c>
      <c r="CE140" s="2" t="s">
        <v>235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>
        <v>248</v>
      </c>
      <c r="DX140" s="4"/>
      <c r="DY140" s="4"/>
      <c r="DZ140" s="4"/>
      <c r="EA140" s="4">
        <v>52</v>
      </c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>
        <v>248</v>
      </c>
      <c r="GK140" s="4">
        <v>300</v>
      </c>
      <c r="GL140" s="4">
        <v>300</v>
      </c>
      <c r="GM140" s="4">
        <v>300</v>
      </c>
      <c r="GN140" s="4">
        <v>300</v>
      </c>
      <c r="GO140" s="4">
        <v>300</v>
      </c>
      <c r="GP140" s="4">
        <v>300</v>
      </c>
      <c r="GQ140" s="4">
        <v>300</v>
      </c>
      <c r="GR140" s="4">
        <v>300</v>
      </c>
      <c r="GS140" s="4">
        <v>300</v>
      </c>
      <c r="GT140" s="4">
        <v>300</v>
      </c>
      <c r="GU140" s="4">
        <v>300</v>
      </c>
      <c r="GV140" s="4">
        <v>300</v>
      </c>
      <c r="GW140" s="4">
        <v>300</v>
      </c>
      <c r="GX140" s="4">
        <v>300</v>
      </c>
      <c r="GY140" s="4">
        <v>294</v>
      </c>
      <c r="GZ140" s="4">
        <v>288</v>
      </c>
      <c r="HA140" s="4">
        <v>282</v>
      </c>
      <c r="HB140" s="4">
        <v>276</v>
      </c>
      <c r="HC140" s="4">
        <v>270</v>
      </c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19">
        <v>150</v>
      </c>
      <c r="HV140" s="19">
        <v>100</v>
      </c>
      <c r="HW140" s="19">
        <v>75</v>
      </c>
      <c r="HX140" s="19">
        <v>50</v>
      </c>
      <c r="HY140" s="19">
        <v>49</v>
      </c>
      <c r="HZ140" s="19">
        <v>48</v>
      </c>
      <c r="IA140" s="19">
        <v>47</v>
      </c>
      <c r="IB140" s="19">
        <v>46</v>
      </c>
      <c r="IC140" s="19">
        <v>45</v>
      </c>
    </row>
    <row r="141">
      <c r="A141" s="2" t="s">
        <v>696</v>
      </c>
      <c r="B141" s="2" t="s">
        <v>323</v>
      </c>
      <c r="C141" s="2" t="s">
        <v>324</v>
      </c>
      <c r="D141" s="2" t="s">
        <v>257</v>
      </c>
      <c r="E141" s="2" t="s">
        <v>258</v>
      </c>
      <c r="F141" s="2" t="s">
        <v>679</v>
      </c>
      <c r="G141" s="2" t="s">
        <v>679</v>
      </c>
      <c r="H141" s="2" t="s">
        <v>679</v>
      </c>
      <c r="I141" s="2" t="s">
        <v>680</v>
      </c>
      <c r="J141" s="2" t="s">
        <v>261</v>
      </c>
      <c r="K141" s="2" t="s">
        <v>231</v>
      </c>
      <c r="L141" s="3">
        <v>30.71</v>
      </c>
      <c r="M141" s="3">
        <v>32.25</v>
      </c>
      <c r="N141" s="3">
        <v>64.99</v>
      </c>
      <c r="O141" s="2" t="s">
        <v>327</v>
      </c>
      <c r="P141" s="2" t="s">
        <v>333</v>
      </c>
      <c r="Q141" s="2" t="s">
        <v>234</v>
      </c>
      <c r="R141" s="2" t="s">
        <v>235</v>
      </c>
      <c r="S141" s="2" t="s">
        <v>235</v>
      </c>
      <c r="T141" s="2" t="s">
        <v>328</v>
      </c>
      <c r="U141" s="2" t="s">
        <v>264</v>
      </c>
      <c r="V141" s="2" t="s">
        <v>238</v>
      </c>
      <c r="W141" s="2" t="s">
        <v>329</v>
      </c>
      <c r="X141" s="2" t="s">
        <v>235</v>
      </c>
      <c r="Y141" s="2" t="s">
        <v>235</v>
      </c>
      <c r="Z141" s="4"/>
      <c r="AA141" s="4">
        <f>=ROUNDDOWN({0},0)</f>
      </c>
      <c r="AB141" s="5"/>
      <c r="AC141" s="2" t="s">
        <v>162</v>
      </c>
      <c r="AD141" s="4">
        <v>800</v>
      </c>
      <c r="AE141" s="4">
        <v>800</v>
      </c>
      <c r="AF141" s="6">
        <v>73</v>
      </c>
      <c r="AG141" s="6"/>
      <c r="AH141" s="7"/>
      <c r="AI141" s="4"/>
      <c r="AJ141" s="4">
        <f>=ROUNDDOWN({0},0)</f>
      </c>
      <c r="AK141" s="5"/>
      <c r="AL141" s="2" t="s">
        <v>235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235</v>
      </c>
      <c r="AW141" s="8" t="s">
        <v>235</v>
      </c>
      <c r="AX141" s="4" t="s">
        <v>235</v>
      </c>
      <c r="AY141" s="8" t="s">
        <v>235</v>
      </c>
      <c r="AZ141" s="7" t="s">
        <v>235</v>
      </c>
      <c r="BA141" s="7" t="s">
        <v>235</v>
      </c>
      <c r="BB141" s="7"/>
      <c r="BC141" s="4" t="s">
        <v>235</v>
      </c>
      <c r="BD141" s="8" t="s">
        <v>235</v>
      </c>
      <c r="BE141" s="4" t="s">
        <v>235</v>
      </c>
      <c r="BF141" s="8" t="s">
        <v>235</v>
      </c>
      <c r="BG141" s="7" t="s">
        <v>235</v>
      </c>
      <c r="BH141" s="7" t="s">
        <v>235</v>
      </c>
      <c r="BI141" s="7"/>
      <c r="BJ141" s="4"/>
      <c r="BK141" s="8"/>
      <c r="BL141" s="2" t="s">
        <v>235</v>
      </c>
      <c r="BM141" s="7"/>
      <c r="BN141" s="7"/>
      <c r="BO141" s="4"/>
      <c r="BP141" s="8"/>
      <c r="BQ141" s="4"/>
      <c r="BR141" s="8"/>
      <c r="BS141" s="7"/>
      <c r="BT141" s="7"/>
      <c r="BU141" s="2" t="s">
        <v>330</v>
      </c>
      <c r="BV141" s="2" t="s">
        <v>235</v>
      </c>
      <c r="BW141" s="2" t="s">
        <v>235</v>
      </c>
      <c r="BX141" s="2" t="s">
        <v>330</v>
      </c>
      <c r="BY141" s="2" t="s">
        <v>331</v>
      </c>
      <c r="BZ141" s="2" t="s">
        <v>232</v>
      </c>
      <c r="CA141" s="2" t="s">
        <v>235</v>
      </c>
      <c r="CB141" s="2" t="s">
        <v>235</v>
      </c>
      <c r="CC141" s="2" t="s">
        <v>248</v>
      </c>
      <c r="CD141" s="2" t="s">
        <v>248</v>
      </c>
      <c r="CE141" s="2" t="s">
        <v>235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>
        <v>800</v>
      </c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>
        <v>800</v>
      </c>
      <c r="GK141" s="4">
        <v>800</v>
      </c>
      <c r="GL141" s="4">
        <v>800</v>
      </c>
      <c r="GM141" s="4">
        <v>800</v>
      </c>
      <c r="GN141" s="4">
        <v>800</v>
      </c>
      <c r="GO141" s="4">
        <v>800</v>
      </c>
      <c r="GP141" s="4">
        <v>800</v>
      </c>
      <c r="GQ141" s="4">
        <v>800</v>
      </c>
      <c r="GR141" s="4">
        <v>800</v>
      </c>
      <c r="GS141" s="4">
        <v>800</v>
      </c>
      <c r="GT141" s="4">
        <v>800</v>
      </c>
      <c r="GU141" s="4">
        <v>800</v>
      </c>
      <c r="GV141" s="4">
        <v>800</v>
      </c>
      <c r="GW141" s="4">
        <v>800</v>
      </c>
      <c r="GX141" s="4">
        <v>800</v>
      </c>
      <c r="GY141" s="4">
        <v>800</v>
      </c>
      <c r="GZ141" s="4">
        <v>800</v>
      </c>
      <c r="HA141" s="4">
        <v>800</v>
      </c>
      <c r="HB141" s="4">
        <v>800</v>
      </c>
      <c r="HC141" s="4">
        <v>800</v>
      </c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</row>
    <row r="142">
      <c r="A142" s="2" t="s">
        <v>697</v>
      </c>
      <c r="B142" s="2" t="s">
        <v>323</v>
      </c>
      <c r="C142" s="2" t="s">
        <v>324</v>
      </c>
      <c r="D142" s="2" t="s">
        <v>257</v>
      </c>
      <c r="E142" s="2" t="s">
        <v>258</v>
      </c>
      <c r="F142" s="2" t="s">
        <v>679</v>
      </c>
      <c r="G142" s="2" t="s">
        <v>679</v>
      </c>
      <c r="H142" s="2" t="s">
        <v>679</v>
      </c>
      <c r="I142" s="2" t="s">
        <v>680</v>
      </c>
      <c r="J142" s="2" t="s">
        <v>270</v>
      </c>
      <c r="K142" s="2" t="s">
        <v>231</v>
      </c>
      <c r="L142" s="3">
        <v>33.08</v>
      </c>
      <c r="M142" s="3">
        <v>34.73</v>
      </c>
      <c r="N142" s="3">
        <v>69.99</v>
      </c>
      <c r="O142" s="2" t="s">
        <v>327</v>
      </c>
      <c r="P142" s="2" t="s">
        <v>698</v>
      </c>
      <c r="Q142" s="2" t="s">
        <v>234</v>
      </c>
      <c r="R142" s="2" t="s">
        <v>235</v>
      </c>
      <c r="S142" s="2" t="s">
        <v>235</v>
      </c>
      <c r="T142" s="2" t="s">
        <v>328</v>
      </c>
      <c r="U142" s="2" t="s">
        <v>264</v>
      </c>
      <c r="V142" s="2" t="s">
        <v>238</v>
      </c>
      <c r="W142" s="2" t="s">
        <v>329</v>
      </c>
      <c r="X142" s="2" t="s">
        <v>235</v>
      </c>
      <c r="Y142" s="2" t="s">
        <v>235</v>
      </c>
      <c r="Z142" s="4"/>
      <c r="AA142" s="4">
        <f>=ROUNDDOWN({0},0)</f>
      </c>
      <c r="AB142" s="5"/>
      <c r="AC142" s="2" t="s">
        <v>162</v>
      </c>
      <c r="AD142" s="4">
        <v>200</v>
      </c>
      <c r="AE142" s="4">
        <v>200</v>
      </c>
      <c r="AF142" s="6">
        <v>73</v>
      </c>
      <c r="AG142" s="6"/>
      <c r="AH142" s="7"/>
      <c r="AI142" s="4"/>
      <c r="AJ142" s="4">
        <f>=ROUNDDOWN({0},0)</f>
      </c>
      <c r="AK142" s="5"/>
      <c r="AL142" s="2" t="s">
        <v>235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235</v>
      </c>
      <c r="AW142" s="8" t="s">
        <v>235</v>
      </c>
      <c r="AX142" s="4" t="s">
        <v>235</v>
      </c>
      <c r="AY142" s="8" t="s">
        <v>235</v>
      </c>
      <c r="AZ142" s="7" t="s">
        <v>235</v>
      </c>
      <c r="BA142" s="7" t="s">
        <v>235</v>
      </c>
      <c r="BB142" s="7"/>
      <c r="BC142" s="4" t="s">
        <v>235</v>
      </c>
      <c r="BD142" s="8" t="s">
        <v>235</v>
      </c>
      <c r="BE142" s="4" t="s">
        <v>235</v>
      </c>
      <c r="BF142" s="8" t="s">
        <v>235</v>
      </c>
      <c r="BG142" s="7" t="s">
        <v>235</v>
      </c>
      <c r="BH142" s="7" t="s">
        <v>235</v>
      </c>
      <c r="BI142" s="7"/>
      <c r="BJ142" s="4"/>
      <c r="BK142" s="8"/>
      <c r="BL142" s="2" t="s">
        <v>235</v>
      </c>
      <c r="BM142" s="7"/>
      <c r="BN142" s="7"/>
      <c r="BO142" s="4"/>
      <c r="BP142" s="8"/>
      <c r="BQ142" s="4"/>
      <c r="BR142" s="8"/>
      <c r="BS142" s="7"/>
      <c r="BT142" s="7"/>
      <c r="BU142" s="2" t="s">
        <v>330</v>
      </c>
      <c r="BV142" s="2" t="s">
        <v>235</v>
      </c>
      <c r="BW142" s="2" t="s">
        <v>235</v>
      </c>
      <c r="BX142" s="2" t="s">
        <v>330</v>
      </c>
      <c r="BY142" s="2" t="s">
        <v>331</v>
      </c>
      <c r="BZ142" s="2" t="s">
        <v>232</v>
      </c>
      <c r="CA142" s="2" t="s">
        <v>235</v>
      </c>
      <c r="CB142" s="2" t="s">
        <v>235</v>
      </c>
      <c r="CC142" s="2" t="s">
        <v>248</v>
      </c>
      <c r="CD142" s="2" t="s">
        <v>248</v>
      </c>
      <c r="CE142" s="2" t="s">
        <v>235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>
        <v>200</v>
      </c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>
        <v>200</v>
      </c>
      <c r="GK142" s="4">
        <v>200</v>
      </c>
      <c r="GL142" s="4">
        <v>200</v>
      </c>
      <c r="GM142" s="4">
        <v>200</v>
      </c>
      <c r="GN142" s="4">
        <v>200</v>
      </c>
      <c r="GO142" s="4">
        <v>200</v>
      </c>
      <c r="GP142" s="4">
        <v>200</v>
      </c>
      <c r="GQ142" s="4">
        <v>200</v>
      </c>
      <c r="GR142" s="4">
        <v>200</v>
      </c>
      <c r="GS142" s="4">
        <v>200</v>
      </c>
      <c r="GT142" s="4">
        <v>200</v>
      </c>
      <c r="GU142" s="4">
        <v>200</v>
      </c>
      <c r="GV142" s="4">
        <v>200</v>
      </c>
      <c r="GW142" s="4">
        <v>200</v>
      </c>
      <c r="GX142" s="4">
        <v>200</v>
      </c>
      <c r="GY142" s="4">
        <v>200</v>
      </c>
      <c r="GZ142" s="4">
        <v>200</v>
      </c>
      <c r="HA142" s="4">
        <v>200</v>
      </c>
      <c r="HB142" s="4">
        <v>200</v>
      </c>
      <c r="HC142" s="4">
        <v>200</v>
      </c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</row>
    <row r="143">
      <c r="A143" s="2" t="s">
        <v>699</v>
      </c>
      <c r="B143" s="2" t="s">
        <v>323</v>
      </c>
      <c r="C143" s="2" t="s">
        <v>324</v>
      </c>
      <c r="D143" s="2" t="s">
        <v>257</v>
      </c>
      <c r="E143" s="2" t="s">
        <v>258</v>
      </c>
      <c r="F143" s="2" t="s">
        <v>679</v>
      </c>
      <c r="G143" s="2" t="s">
        <v>679</v>
      </c>
      <c r="H143" s="2" t="s">
        <v>679</v>
      </c>
      <c r="I143" s="2" t="s">
        <v>680</v>
      </c>
      <c r="J143" s="2" t="s">
        <v>272</v>
      </c>
      <c r="K143" s="2" t="s">
        <v>231</v>
      </c>
      <c r="L143" s="3">
        <v>33.08</v>
      </c>
      <c r="M143" s="3">
        <v>34.73</v>
      </c>
      <c r="N143" s="3">
        <v>69.99</v>
      </c>
      <c r="O143" s="2" t="s">
        <v>327</v>
      </c>
      <c r="P143" s="2" t="s">
        <v>233</v>
      </c>
      <c r="Q143" s="2" t="s">
        <v>234</v>
      </c>
      <c r="R143" s="2" t="s">
        <v>235</v>
      </c>
      <c r="S143" s="2" t="s">
        <v>235</v>
      </c>
      <c r="T143" s="2" t="s">
        <v>328</v>
      </c>
      <c r="U143" s="2" t="s">
        <v>264</v>
      </c>
      <c r="V143" s="2" t="s">
        <v>238</v>
      </c>
      <c r="W143" s="2" t="s">
        <v>329</v>
      </c>
      <c r="X143" s="2" t="s">
        <v>235</v>
      </c>
      <c r="Y143" s="2" t="s">
        <v>235</v>
      </c>
      <c r="Z143" s="4"/>
      <c r="AA143" s="4">
        <f>=ROUNDDOWN({0},0)</f>
      </c>
      <c r="AB143" s="5"/>
      <c r="AC143" s="2" t="s">
        <v>162</v>
      </c>
      <c r="AD143" s="4">
        <v>220</v>
      </c>
      <c r="AE143" s="4">
        <v>220</v>
      </c>
      <c r="AF143" s="6">
        <v>73</v>
      </c>
      <c r="AG143" s="6"/>
      <c r="AH143" s="7"/>
      <c r="AI143" s="4"/>
      <c r="AJ143" s="4">
        <f>=ROUNDDOWN({0},0)</f>
      </c>
      <c r="AK143" s="5"/>
      <c r="AL143" s="2" t="s">
        <v>235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235</v>
      </c>
      <c r="AW143" s="8" t="s">
        <v>235</v>
      </c>
      <c r="AX143" s="4" t="s">
        <v>235</v>
      </c>
      <c r="AY143" s="8" t="s">
        <v>235</v>
      </c>
      <c r="AZ143" s="7" t="s">
        <v>235</v>
      </c>
      <c r="BA143" s="7" t="s">
        <v>235</v>
      </c>
      <c r="BB143" s="7"/>
      <c r="BC143" s="4" t="s">
        <v>235</v>
      </c>
      <c r="BD143" s="8" t="s">
        <v>235</v>
      </c>
      <c r="BE143" s="4" t="s">
        <v>235</v>
      </c>
      <c r="BF143" s="8" t="s">
        <v>235</v>
      </c>
      <c r="BG143" s="7" t="s">
        <v>235</v>
      </c>
      <c r="BH143" s="7" t="s">
        <v>235</v>
      </c>
      <c r="BI143" s="7"/>
      <c r="BJ143" s="4"/>
      <c r="BK143" s="8"/>
      <c r="BL143" s="2" t="s">
        <v>235</v>
      </c>
      <c r="BM143" s="7"/>
      <c r="BN143" s="7"/>
      <c r="BO143" s="4"/>
      <c r="BP143" s="8"/>
      <c r="BQ143" s="4"/>
      <c r="BR143" s="8"/>
      <c r="BS143" s="7"/>
      <c r="BT143" s="7"/>
      <c r="BU143" s="2" t="s">
        <v>330</v>
      </c>
      <c r="BV143" s="2" t="s">
        <v>235</v>
      </c>
      <c r="BW143" s="2" t="s">
        <v>235</v>
      </c>
      <c r="BX143" s="2" t="s">
        <v>330</v>
      </c>
      <c r="BY143" s="2" t="s">
        <v>331</v>
      </c>
      <c r="BZ143" s="2" t="s">
        <v>232</v>
      </c>
      <c r="CA143" s="2" t="s">
        <v>235</v>
      </c>
      <c r="CB143" s="2" t="s">
        <v>235</v>
      </c>
      <c r="CC143" s="2" t="s">
        <v>248</v>
      </c>
      <c r="CD143" s="2" t="s">
        <v>248</v>
      </c>
      <c r="CE143" s="2" t="s">
        <v>235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>
        <v>220</v>
      </c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>
        <v>220</v>
      </c>
      <c r="GK143" s="4">
        <v>220</v>
      </c>
      <c r="GL143" s="4">
        <v>220</v>
      </c>
      <c r="GM143" s="4">
        <v>220</v>
      </c>
      <c r="GN143" s="4">
        <v>220</v>
      </c>
      <c r="GO143" s="4">
        <v>220</v>
      </c>
      <c r="GP143" s="4">
        <v>220</v>
      </c>
      <c r="GQ143" s="4">
        <v>220</v>
      </c>
      <c r="GR143" s="4">
        <v>220</v>
      </c>
      <c r="GS143" s="4">
        <v>220</v>
      </c>
      <c r="GT143" s="4">
        <v>220</v>
      </c>
      <c r="GU143" s="4">
        <v>220</v>
      </c>
      <c r="GV143" s="4">
        <v>220</v>
      </c>
      <c r="GW143" s="4">
        <v>220</v>
      </c>
      <c r="GX143" s="4">
        <v>220</v>
      </c>
      <c r="GY143" s="4">
        <v>220</v>
      </c>
      <c r="GZ143" s="4">
        <v>220</v>
      </c>
      <c r="HA143" s="4">
        <v>220</v>
      </c>
      <c r="HB143" s="4">
        <v>220</v>
      </c>
      <c r="HC143" s="4">
        <v>220</v>
      </c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</row>
    <row r="144">
      <c r="A144" s="2" t="s">
        <v>700</v>
      </c>
      <c r="B144" s="2" t="s">
        <v>323</v>
      </c>
      <c r="C144" s="2" t="s">
        <v>324</v>
      </c>
      <c r="D144" s="2" t="s">
        <v>257</v>
      </c>
      <c r="E144" s="2" t="s">
        <v>258</v>
      </c>
      <c r="F144" s="2" t="s">
        <v>679</v>
      </c>
      <c r="G144" s="2" t="s">
        <v>679</v>
      </c>
      <c r="H144" s="2" t="s">
        <v>679</v>
      </c>
      <c r="I144" s="2" t="s">
        <v>680</v>
      </c>
      <c r="J144" s="2" t="s">
        <v>250</v>
      </c>
      <c r="K144" s="2" t="s">
        <v>338</v>
      </c>
      <c r="L144" s="3">
        <v>27.72</v>
      </c>
      <c r="M144" s="3">
        <v>29.11</v>
      </c>
      <c r="N144" s="3">
        <v>59.99</v>
      </c>
      <c r="O144" s="2" t="s">
        <v>327</v>
      </c>
      <c r="P144" s="2" t="s">
        <v>233</v>
      </c>
      <c r="Q144" s="2" t="s">
        <v>234</v>
      </c>
      <c r="R144" s="2" t="s">
        <v>235</v>
      </c>
      <c r="S144" s="2" t="s">
        <v>235</v>
      </c>
      <c r="T144" s="2" t="s">
        <v>328</v>
      </c>
      <c r="U144" s="2" t="s">
        <v>264</v>
      </c>
      <c r="V144" s="2" t="s">
        <v>238</v>
      </c>
      <c r="W144" s="2" t="s">
        <v>329</v>
      </c>
      <c r="X144" s="2" t="s">
        <v>235</v>
      </c>
      <c r="Y144" s="2" t="s">
        <v>235</v>
      </c>
      <c r="Z144" s="4"/>
      <c r="AA144" s="4">
        <f>=ROUNDDOWN({0},0)</f>
      </c>
      <c r="AB144" s="5">
        <v>5</v>
      </c>
      <c r="AC144" s="2" t="s">
        <v>235</v>
      </c>
      <c r="AD144" s="4"/>
      <c r="AE144" s="4"/>
      <c r="AF144" s="6">
        <v>73</v>
      </c>
      <c r="AG144" s="6"/>
      <c r="AH144" s="7"/>
      <c r="AI144" s="4"/>
      <c r="AJ144" s="4">
        <f>=ROUNDDOWN({0},0)</f>
      </c>
      <c r="AK144" s="5"/>
      <c r="AL144" s="2" t="s">
        <v>235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235</v>
      </c>
      <c r="AW144" s="8" t="s">
        <v>235</v>
      </c>
      <c r="AX144" s="4" t="s">
        <v>235</v>
      </c>
      <c r="AY144" s="8" t="s">
        <v>235</v>
      </c>
      <c r="AZ144" s="7" t="s">
        <v>235</v>
      </c>
      <c r="BA144" s="7" t="s">
        <v>235</v>
      </c>
      <c r="BB144" s="7"/>
      <c r="BC144" s="4" t="s">
        <v>235</v>
      </c>
      <c r="BD144" s="8" t="s">
        <v>235</v>
      </c>
      <c r="BE144" s="4" t="s">
        <v>235</v>
      </c>
      <c r="BF144" s="8" t="s">
        <v>235</v>
      </c>
      <c r="BG144" s="7" t="s">
        <v>235</v>
      </c>
      <c r="BH144" s="7" t="s">
        <v>235</v>
      </c>
      <c r="BI144" s="7"/>
      <c r="BJ144" s="4"/>
      <c r="BK144" s="8"/>
      <c r="BL144" s="2" t="s">
        <v>235</v>
      </c>
      <c r="BM144" s="7"/>
      <c r="BN144" s="7"/>
      <c r="BO144" s="4"/>
      <c r="BP144" s="8"/>
      <c r="BQ144" s="4"/>
      <c r="BR144" s="8"/>
      <c r="BS144" s="7"/>
      <c r="BT144" s="7"/>
      <c r="BU144" s="2" t="s">
        <v>330</v>
      </c>
      <c r="BV144" s="2" t="s">
        <v>235</v>
      </c>
      <c r="BW144" s="2" t="s">
        <v>235</v>
      </c>
      <c r="BX144" s="2" t="s">
        <v>330</v>
      </c>
      <c r="BY144" s="2" t="s">
        <v>331</v>
      </c>
      <c r="BZ144" s="2" t="s">
        <v>232</v>
      </c>
      <c r="CA144" s="2" t="s">
        <v>235</v>
      </c>
      <c r="CB144" s="2" t="s">
        <v>235</v>
      </c>
      <c r="CC144" s="2" t="s">
        <v>248</v>
      </c>
      <c r="CD144" s="2" t="s">
        <v>248</v>
      </c>
      <c r="CE144" s="2" t="s">
        <v>235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</row>
    <row r="145">
      <c r="A145" s="2" t="s">
        <v>701</v>
      </c>
      <c r="B145" s="2" t="s">
        <v>323</v>
      </c>
      <c r="C145" s="2" t="s">
        <v>324</v>
      </c>
      <c r="D145" s="2" t="s">
        <v>257</v>
      </c>
      <c r="E145" s="2" t="s">
        <v>258</v>
      </c>
      <c r="F145" s="2" t="s">
        <v>679</v>
      </c>
      <c r="G145" s="2" t="s">
        <v>679</v>
      </c>
      <c r="H145" s="2" t="s">
        <v>679</v>
      </c>
      <c r="I145" s="2" t="s">
        <v>680</v>
      </c>
      <c r="J145" s="2" t="s">
        <v>261</v>
      </c>
      <c r="K145" s="2" t="s">
        <v>338</v>
      </c>
      <c r="L145" s="3">
        <v>30.71</v>
      </c>
      <c r="M145" s="3">
        <v>32.25</v>
      </c>
      <c r="N145" s="3">
        <v>64.99</v>
      </c>
      <c r="O145" s="2" t="s">
        <v>327</v>
      </c>
      <c r="P145" s="2" t="s">
        <v>698</v>
      </c>
      <c r="Q145" s="2" t="s">
        <v>234</v>
      </c>
      <c r="R145" s="2" t="s">
        <v>235</v>
      </c>
      <c r="S145" s="2" t="s">
        <v>235</v>
      </c>
      <c r="T145" s="2" t="s">
        <v>328</v>
      </c>
      <c r="U145" s="2" t="s">
        <v>264</v>
      </c>
      <c r="V145" s="2" t="s">
        <v>238</v>
      </c>
      <c r="W145" s="2" t="s">
        <v>329</v>
      </c>
      <c r="X145" s="2" t="s">
        <v>235</v>
      </c>
      <c r="Y145" s="2" t="s">
        <v>235</v>
      </c>
      <c r="Z145" s="4"/>
      <c r="AA145" s="4">
        <f>=ROUNDDOWN({0},0)</f>
      </c>
      <c r="AB145" s="5"/>
      <c r="AC145" s="2" t="s">
        <v>166</v>
      </c>
      <c r="AD145" s="4">
        <v>140</v>
      </c>
      <c r="AE145" s="4">
        <v>140</v>
      </c>
      <c r="AF145" s="6">
        <v>73</v>
      </c>
      <c r="AG145" s="6"/>
      <c r="AH145" s="7"/>
      <c r="AI145" s="4"/>
      <c r="AJ145" s="4">
        <f>=ROUNDDOWN({0},0)</f>
      </c>
      <c r="AK145" s="5"/>
      <c r="AL145" s="2" t="s">
        <v>235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235</v>
      </c>
      <c r="AW145" s="8" t="s">
        <v>235</v>
      </c>
      <c r="AX145" s="4" t="s">
        <v>235</v>
      </c>
      <c r="AY145" s="8" t="s">
        <v>235</v>
      </c>
      <c r="AZ145" s="7" t="s">
        <v>235</v>
      </c>
      <c r="BA145" s="7" t="s">
        <v>235</v>
      </c>
      <c r="BB145" s="7"/>
      <c r="BC145" s="4" t="s">
        <v>235</v>
      </c>
      <c r="BD145" s="8" t="s">
        <v>235</v>
      </c>
      <c r="BE145" s="4" t="s">
        <v>235</v>
      </c>
      <c r="BF145" s="8" t="s">
        <v>235</v>
      </c>
      <c r="BG145" s="7" t="s">
        <v>235</v>
      </c>
      <c r="BH145" s="7" t="s">
        <v>235</v>
      </c>
      <c r="BI145" s="7"/>
      <c r="BJ145" s="4"/>
      <c r="BK145" s="8"/>
      <c r="BL145" s="2" t="s">
        <v>235</v>
      </c>
      <c r="BM145" s="7"/>
      <c r="BN145" s="7"/>
      <c r="BO145" s="4"/>
      <c r="BP145" s="8"/>
      <c r="BQ145" s="4"/>
      <c r="BR145" s="8"/>
      <c r="BS145" s="7"/>
      <c r="BT145" s="7"/>
      <c r="BU145" s="2" t="s">
        <v>330</v>
      </c>
      <c r="BV145" s="2" t="s">
        <v>235</v>
      </c>
      <c r="BW145" s="2" t="s">
        <v>235</v>
      </c>
      <c r="BX145" s="2" t="s">
        <v>330</v>
      </c>
      <c r="BY145" s="2" t="s">
        <v>331</v>
      </c>
      <c r="BZ145" s="2" t="s">
        <v>232</v>
      </c>
      <c r="CA145" s="2" t="s">
        <v>235</v>
      </c>
      <c r="CB145" s="2" t="s">
        <v>235</v>
      </c>
      <c r="CC145" s="2" t="s">
        <v>248</v>
      </c>
      <c r="CD145" s="2" t="s">
        <v>248</v>
      </c>
      <c r="CE145" s="2" t="s">
        <v>235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>
        <v>140</v>
      </c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>
        <v>140</v>
      </c>
      <c r="GL145" s="4">
        <v>140</v>
      </c>
      <c r="GM145" s="4">
        <v>140</v>
      </c>
      <c r="GN145" s="4">
        <v>140</v>
      </c>
      <c r="GO145" s="4">
        <v>140</v>
      </c>
      <c r="GP145" s="4">
        <v>140</v>
      </c>
      <c r="GQ145" s="4">
        <v>140</v>
      </c>
      <c r="GR145" s="4">
        <v>140</v>
      </c>
      <c r="GS145" s="4">
        <v>140</v>
      </c>
      <c r="GT145" s="4">
        <v>140</v>
      </c>
      <c r="GU145" s="4">
        <v>140</v>
      </c>
      <c r="GV145" s="4">
        <v>140</v>
      </c>
      <c r="GW145" s="4">
        <v>140</v>
      </c>
      <c r="GX145" s="4">
        <v>140</v>
      </c>
      <c r="GY145" s="4">
        <v>140</v>
      </c>
      <c r="GZ145" s="4">
        <v>140</v>
      </c>
      <c r="HA145" s="4">
        <v>140</v>
      </c>
      <c r="HB145" s="4">
        <v>140</v>
      </c>
      <c r="HC145" s="4">
        <v>140</v>
      </c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</row>
    <row r="146">
      <c r="A146" s="2" t="s">
        <v>702</v>
      </c>
      <c r="B146" s="2" t="s">
        <v>323</v>
      </c>
      <c r="C146" s="2" t="s">
        <v>324</v>
      </c>
      <c r="D146" s="2" t="s">
        <v>257</v>
      </c>
      <c r="E146" s="2" t="s">
        <v>258</v>
      </c>
      <c r="F146" s="2" t="s">
        <v>679</v>
      </c>
      <c r="G146" s="2" t="s">
        <v>679</v>
      </c>
      <c r="H146" s="2" t="s">
        <v>679</v>
      </c>
      <c r="I146" s="2" t="s">
        <v>680</v>
      </c>
      <c r="J146" s="2" t="s">
        <v>270</v>
      </c>
      <c r="K146" s="2" t="s">
        <v>338</v>
      </c>
      <c r="L146" s="3">
        <v>33.08</v>
      </c>
      <c r="M146" s="3">
        <v>34.73</v>
      </c>
      <c r="N146" s="3">
        <v>69.99</v>
      </c>
      <c r="O146" s="2" t="s">
        <v>327</v>
      </c>
      <c r="P146" s="2" t="s">
        <v>336</v>
      </c>
      <c r="Q146" s="2" t="s">
        <v>234</v>
      </c>
      <c r="R146" s="2" t="s">
        <v>235</v>
      </c>
      <c r="S146" s="2" t="s">
        <v>235</v>
      </c>
      <c r="T146" s="2" t="s">
        <v>328</v>
      </c>
      <c r="U146" s="2" t="s">
        <v>264</v>
      </c>
      <c r="V146" s="2" t="s">
        <v>238</v>
      </c>
      <c r="W146" s="2" t="s">
        <v>329</v>
      </c>
      <c r="X146" s="2" t="s">
        <v>235</v>
      </c>
      <c r="Y146" s="2" t="s">
        <v>235</v>
      </c>
      <c r="Z146" s="4"/>
      <c r="AA146" s="4">
        <f>=ROUNDDOWN({0},0)</f>
      </c>
      <c r="AB146" s="5"/>
      <c r="AC146" s="2" t="s">
        <v>166</v>
      </c>
      <c r="AD146" s="4">
        <v>250</v>
      </c>
      <c r="AE146" s="4">
        <v>250</v>
      </c>
      <c r="AF146" s="6">
        <v>73</v>
      </c>
      <c r="AG146" s="6"/>
      <c r="AH146" s="7"/>
      <c r="AI146" s="4"/>
      <c r="AJ146" s="4">
        <f>=ROUNDDOWN({0},0)</f>
      </c>
      <c r="AK146" s="5"/>
      <c r="AL146" s="2" t="s">
        <v>235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235</v>
      </c>
      <c r="AW146" s="8" t="s">
        <v>235</v>
      </c>
      <c r="AX146" s="4" t="s">
        <v>235</v>
      </c>
      <c r="AY146" s="8" t="s">
        <v>235</v>
      </c>
      <c r="AZ146" s="7" t="s">
        <v>235</v>
      </c>
      <c r="BA146" s="7" t="s">
        <v>235</v>
      </c>
      <c r="BB146" s="7"/>
      <c r="BC146" s="4" t="s">
        <v>235</v>
      </c>
      <c r="BD146" s="8" t="s">
        <v>235</v>
      </c>
      <c r="BE146" s="4" t="s">
        <v>235</v>
      </c>
      <c r="BF146" s="8" t="s">
        <v>235</v>
      </c>
      <c r="BG146" s="7" t="s">
        <v>235</v>
      </c>
      <c r="BH146" s="7" t="s">
        <v>235</v>
      </c>
      <c r="BI146" s="7"/>
      <c r="BJ146" s="4"/>
      <c r="BK146" s="8"/>
      <c r="BL146" s="2" t="s">
        <v>235</v>
      </c>
      <c r="BM146" s="7"/>
      <c r="BN146" s="7"/>
      <c r="BO146" s="4"/>
      <c r="BP146" s="8"/>
      <c r="BQ146" s="4"/>
      <c r="BR146" s="8"/>
      <c r="BS146" s="7"/>
      <c r="BT146" s="7"/>
      <c r="BU146" s="2" t="s">
        <v>330</v>
      </c>
      <c r="BV146" s="2" t="s">
        <v>235</v>
      </c>
      <c r="BW146" s="2" t="s">
        <v>235</v>
      </c>
      <c r="BX146" s="2" t="s">
        <v>330</v>
      </c>
      <c r="BY146" s="2" t="s">
        <v>331</v>
      </c>
      <c r="BZ146" s="2" t="s">
        <v>232</v>
      </c>
      <c r="CA146" s="2" t="s">
        <v>235</v>
      </c>
      <c r="CB146" s="2" t="s">
        <v>235</v>
      </c>
      <c r="CC146" s="2" t="s">
        <v>248</v>
      </c>
      <c r="CD146" s="2" t="s">
        <v>248</v>
      </c>
      <c r="CE146" s="2" t="s">
        <v>235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>
        <v>250</v>
      </c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>
        <v>250</v>
      </c>
      <c r="GL146" s="4">
        <v>250</v>
      </c>
      <c r="GM146" s="4">
        <v>250</v>
      </c>
      <c r="GN146" s="4">
        <v>250</v>
      </c>
      <c r="GO146" s="4">
        <v>250</v>
      </c>
      <c r="GP146" s="4">
        <v>250</v>
      </c>
      <c r="GQ146" s="4">
        <v>250</v>
      </c>
      <c r="GR146" s="4">
        <v>250</v>
      </c>
      <c r="GS146" s="4">
        <v>250</v>
      </c>
      <c r="GT146" s="4">
        <v>250</v>
      </c>
      <c r="GU146" s="4">
        <v>250</v>
      </c>
      <c r="GV146" s="4">
        <v>250</v>
      </c>
      <c r="GW146" s="4">
        <v>250</v>
      </c>
      <c r="GX146" s="4">
        <v>250</v>
      </c>
      <c r="GY146" s="4">
        <v>250</v>
      </c>
      <c r="GZ146" s="4">
        <v>250</v>
      </c>
      <c r="HA146" s="4">
        <v>250</v>
      </c>
      <c r="HB146" s="4">
        <v>250</v>
      </c>
      <c r="HC146" s="4">
        <v>250</v>
      </c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</row>
    <row r="147">
      <c r="A147" s="2" t="s">
        <v>703</v>
      </c>
      <c r="B147" s="2" t="s">
        <v>323</v>
      </c>
      <c r="C147" s="2" t="s">
        <v>324</v>
      </c>
      <c r="D147" s="2" t="s">
        <v>257</v>
      </c>
      <c r="E147" s="2" t="s">
        <v>258</v>
      </c>
      <c r="F147" s="2" t="s">
        <v>679</v>
      </c>
      <c r="G147" s="2" t="s">
        <v>679</v>
      </c>
      <c r="H147" s="2" t="s">
        <v>679</v>
      </c>
      <c r="I147" s="2" t="s">
        <v>680</v>
      </c>
      <c r="J147" s="2" t="s">
        <v>272</v>
      </c>
      <c r="K147" s="2" t="s">
        <v>338</v>
      </c>
      <c r="L147" s="3">
        <v>33.08</v>
      </c>
      <c r="M147" s="3">
        <v>34.73</v>
      </c>
      <c r="N147" s="3">
        <v>69.99</v>
      </c>
      <c r="O147" s="2" t="s">
        <v>327</v>
      </c>
      <c r="P147" s="2" t="s">
        <v>233</v>
      </c>
      <c r="Q147" s="2" t="s">
        <v>234</v>
      </c>
      <c r="R147" s="2" t="s">
        <v>235</v>
      </c>
      <c r="S147" s="2" t="s">
        <v>235</v>
      </c>
      <c r="T147" s="2" t="s">
        <v>328</v>
      </c>
      <c r="U147" s="2" t="s">
        <v>264</v>
      </c>
      <c r="V147" s="2" t="s">
        <v>238</v>
      </c>
      <c r="W147" s="2" t="s">
        <v>329</v>
      </c>
      <c r="X147" s="2" t="s">
        <v>235</v>
      </c>
      <c r="Y147" s="2" t="s">
        <v>235</v>
      </c>
      <c r="Z147" s="4"/>
      <c r="AA147" s="4">
        <f>=ROUNDDOWN({0},0)</f>
      </c>
      <c r="AB147" s="5"/>
      <c r="AC147" s="2" t="s">
        <v>166</v>
      </c>
      <c r="AD147" s="4">
        <v>200</v>
      </c>
      <c r="AE147" s="4">
        <v>200</v>
      </c>
      <c r="AF147" s="6">
        <v>73</v>
      </c>
      <c r="AG147" s="6"/>
      <c r="AH147" s="7"/>
      <c r="AI147" s="4"/>
      <c r="AJ147" s="4">
        <f>=ROUNDDOWN({0},0)</f>
      </c>
      <c r="AK147" s="5"/>
      <c r="AL147" s="2" t="s">
        <v>235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235</v>
      </c>
      <c r="AW147" s="8" t="s">
        <v>235</v>
      </c>
      <c r="AX147" s="4" t="s">
        <v>235</v>
      </c>
      <c r="AY147" s="8" t="s">
        <v>235</v>
      </c>
      <c r="AZ147" s="7" t="s">
        <v>235</v>
      </c>
      <c r="BA147" s="7" t="s">
        <v>235</v>
      </c>
      <c r="BB147" s="7"/>
      <c r="BC147" s="4" t="s">
        <v>235</v>
      </c>
      <c r="BD147" s="8" t="s">
        <v>235</v>
      </c>
      <c r="BE147" s="4" t="s">
        <v>235</v>
      </c>
      <c r="BF147" s="8" t="s">
        <v>235</v>
      </c>
      <c r="BG147" s="7" t="s">
        <v>235</v>
      </c>
      <c r="BH147" s="7" t="s">
        <v>235</v>
      </c>
      <c r="BI147" s="7"/>
      <c r="BJ147" s="4"/>
      <c r="BK147" s="8"/>
      <c r="BL147" s="2" t="s">
        <v>235</v>
      </c>
      <c r="BM147" s="7"/>
      <c r="BN147" s="7"/>
      <c r="BO147" s="4"/>
      <c r="BP147" s="8"/>
      <c r="BQ147" s="4"/>
      <c r="BR147" s="8"/>
      <c r="BS147" s="7"/>
      <c r="BT147" s="7"/>
      <c r="BU147" s="2" t="s">
        <v>330</v>
      </c>
      <c r="BV147" s="2" t="s">
        <v>235</v>
      </c>
      <c r="BW147" s="2" t="s">
        <v>235</v>
      </c>
      <c r="BX147" s="2" t="s">
        <v>330</v>
      </c>
      <c r="BY147" s="2" t="s">
        <v>331</v>
      </c>
      <c r="BZ147" s="2" t="s">
        <v>232</v>
      </c>
      <c r="CA147" s="2" t="s">
        <v>235</v>
      </c>
      <c r="CB147" s="2" t="s">
        <v>235</v>
      </c>
      <c r="CC147" s="2" t="s">
        <v>248</v>
      </c>
      <c r="CD147" s="2" t="s">
        <v>248</v>
      </c>
      <c r="CE147" s="2" t="s">
        <v>235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>
        <v>200</v>
      </c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>
        <v>200</v>
      </c>
      <c r="GL147" s="4">
        <v>200</v>
      </c>
      <c r="GM147" s="4">
        <v>200</v>
      </c>
      <c r="GN147" s="4">
        <v>200</v>
      </c>
      <c r="GO147" s="4">
        <v>200</v>
      </c>
      <c r="GP147" s="4">
        <v>200</v>
      </c>
      <c r="GQ147" s="4">
        <v>200</v>
      </c>
      <c r="GR147" s="4">
        <v>200</v>
      </c>
      <c r="GS147" s="4">
        <v>200</v>
      </c>
      <c r="GT147" s="4">
        <v>200</v>
      </c>
      <c r="GU147" s="4">
        <v>200</v>
      </c>
      <c r="GV147" s="4">
        <v>200</v>
      </c>
      <c r="GW147" s="4">
        <v>200</v>
      </c>
      <c r="GX147" s="4">
        <v>200</v>
      </c>
      <c r="GY147" s="4">
        <v>200</v>
      </c>
      <c r="GZ147" s="4">
        <v>200</v>
      </c>
      <c r="HA147" s="4">
        <v>200</v>
      </c>
      <c r="HB147" s="4">
        <v>200</v>
      </c>
      <c r="HC147" s="4">
        <v>200</v>
      </c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</row>
    <row r="148">
      <c r="A148" s="2" t="s">
        <v>704</v>
      </c>
      <c r="B148" s="2" t="s">
        <v>323</v>
      </c>
      <c r="C148" s="2" t="s">
        <v>324</v>
      </c>
      <c r="D148" s="2" t="s">
        <v>257</v>
      </c>
      <c r="E148" s="2" t="s">
        <v>258</v>
      </c>
      <c r="F148" s="2" t="s">
        <v>679</v>
      </c>
      <c r="G148" s="2" t="s">
        <v>679</v>
      </c>
      <c r="H148" s="2" t="s">
        <v>679</v>
      </c>
      <c r="I148" s="2" t="s">
        <v>680</v>
      </c>
      <c r="J148" s="2" t="s">
        <v>250</v>
      </c>
      <c r="K148" s="2" t="s">
        <v>292</v>
      </c>
      <c r="L148" s="3">
        <v>27.72</v>
      </c>
      <c r="M148" s="3">
        <v>29.11</v>
      </c>
      <c r="N148" s="3">
        <v>59.99</v>
      </c>
      <c r="O148" s="2" t="s">
        <v>327</v>
      </c>
      <c r="P148" s="2" t="s">
        <v>233</v>
      </c>
      <c r="Q148" s="2" t="s">
        <v>234</v>
      </c>
      <c r="R148" s="2" t="s">
        <v>235</v>
      </c>
      <c r="S148" s="2" t="s">
        <v>235</v>
      </c>
      <c r="T148" s="2" t="s">
        <v>328</v>
      </c>
      <c r="U148" s="2" t="s">
        <v>264</v>
      </c>
      <c r="V148" s="2" t="s">
        <v>238</v>
      </c>
      <c r="W148" s="2" t="s">
        <v>329</v>
      </c>
      <c r="X148" s="2" t="s">
        <v>235</v>
      </c>
      <c r="Y148" s="2" t="s">
        <v>235</v>
      </c>
      <c r="Z148" s="4"/>
      <c r="AA148" s="4">
        <f>=ROUNDDOWN({0},0)</f>
      </c>
      <c r="AB148" s="5">
        <v>10</v>
      </c>
      <c r="AC148" s="2" t="s">
        <v>166</v>
      </c>
      <c r="AD148" s="4">
        <v>100</v>
      </c>
      <c r="AE148" s="4">
        <v>100</v>
      </c>
      <c r="AF148" s="6">
        <v>73</v>
      </c>
      <c r="AG148" s="6"/>
      <c r="AH148" s="7"/>
      <c r="AI148" s="4"/>
      <c r="AJ148" s="4">
        <f>=ROUNDDOWN({0},0)</f>
      </c>
      <c r="AK148" s="5"/>
      <c r="AL148" s="2" t="s">
        <v>235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235</v>
      </c>
      <c r="AW148" s="8" t="s">
        <v>235</v>
      </c>
      <c r="AX148" s="4" t="s">
        <v>235</v>
      </c>
      <c r="AY148" s="8" t="s">
        <v>235</v>
      </c>
      <c r="AZ148" s="7" t="s">
        <v>235</v>
      </c>
      <c r="BA148" s="7" t="s">
        <v>235</v>
      </c>
      <c r="BB148" s="7"/>
      <c r="BC148" s="4" t="s">
        <v>235</v>
      </c>
      <c r="BD148" s="8" t="s">
        <v>235</v>
      </c>
      <c r="BE148" s="4" t="s">
        <v>235</v>
      </c>
      <c r="BF148" s="8" t="s">
        <v>235</v>
      </c>
      <c r="BG148" s="7" t="s">
        <v>235</v>
      </c>
      <c r="BH148" s="7" t="s">
        <v>235</v>
      </c>
      <c r="BI148" s="7"/>
      <c r="BJ148" s="4"/>
      <c r="BK148" s="8"/>
      <c r="BL148" s="2" t="s">
        <v>235</v>
      </c>
      <c r="BM148" s="7"/>
      <c r="BN148" s="7"/>
      <c r="BO148" s="4"/>
      <c r="BP148" s="8"/>
      <c r="BQ148" s="4"/>
      <c r="BR148" s="8"/>
      <c r="BS148" s="7"/>
      <c r="BT148" s="7"/>
      <c r="BU148" s="2" t="s">
        <v>330</v>
      </c>
      <c r="BV148" s="2" t="s">
        <v>235</v>
      </c>
      <c r="BW148" s="2" t="s">
        <v>235</v>
      </c>
      <c r="BX148" s="2" t="s">
        <v>330</v>
      </c>
      <c r="BY148" s="2" t="s">
        <v>331</v>
      </c>
      <c r="BZ148" s="2" t="s">
        <v>232</v>
      </c>
      <c r="CA148" s="2" t="s">
        <v>235</v>
      </c>
      <c r="CB148" s="2" t="s">
        <v>235</v>
      </c>
      <c r="CC148" s="2" t="s">
        <v>248</v>
      </c>
      <c r="CD148" s="2" t="s">
        <v>248</v>
      </c>
      <c r="CE148" s="2" t="s">
        <v>235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>
        <v>100</v>
      </c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>
        <v>100</v>
      </c>
      <c r="GL148" s="4">
        <v>100</v>
      </c>
      <c r="GM148" s="4">
        <v>100</v>
      </c>
      <c r="GN148" s="4">
        <v>100</v>
      </c>
      <c r="GO148" s="4">
        <v>100</v>
      </c>
      <c r="GP148" s="4">
        <v>100</v>
      </c>
      <c r="GQ148" s="4">
        <v>100</v>
      </c>
      <c r="GR148" s="4">
        <v>100</v>
      </c>
      <c r="GS148" s="4">
        <v>100</v>
      </c>
      <c r="GT148" s="4">
        <v>100</v>
      </c>
      <c r="GU148" s="4">
        <v>100</v>
      </c>
      <c r="GV148" s="4">
        <v>100</v>
      </c>
      <c r="GW148" s="4">
        <v>100</v>
      </c>
      <c r="GX148" s="4">
        <v>100</v>
      </c>
      <c r="GY148" s="4">
        <v>100</v>
      </c>
      <c r="GZ148" s="4">
        <v>100</v>
      </c>
      <c r="HA148" s="4">
        <v>100</v>
      </c>
      <c r="HB148" s="4">
        <v>100</v>
      </c>
      <c r="HC148" s="4">
        <v>100</v>
      </c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</row>
    <row r="149">
      <c r="A149" s="2" t="s">
        <v>705</v>
      </c>
      <c r="B149" s="2" t="s">
        <v>323</v>
      </c>
      <c r="C149" s="2" t="s">
        <v>324</v>
      </c>
      <c r="D149" s="2" t="s">
        <v>257</v>
      </c>
      <c r="E149" s="2" t="s">
        <v>258</v>
      </c>
      <c r="F149" s="2" t="s">
        <v>679</v>
      </c>
      <c r="G149" s="2" t="s">
        <v>679</v>
      </c>
      <c r="H149" s="2" t="s">
        <v>679</v>
      </c>
      <c r="I149" s="2" t="s">
        <v>680</v>
      </c>
      <c r="J149" s="2" t="s">
        <v>261</v>
      </c>
      <c r="K149" s="2" t="s">
        <v>292</v>
      </c>
      <c r="L149" s="3">
        <v>30.71</v>
      </c>
      <c r="M149" s="3">
        <v>32.25</v>
      </c>
      <c r="N149" s="3">
        <v>64.99</v>
      </c>
      <c r="O149" s="2" t="s">
        <v>327</v>
      </c>
      <c r="P149" s="2" t="s">
        <v>333</v>
      </c>
      <c r="Q149" s="2" t="s">
        <v>234</v>
      </c>
      <c r="R149" s="2" t="s">
        <v>235</v>
      </c>
      <c r="S149" s="2" t="s">
        <v>235</v>
      </c>
      <c r="T149" s="2" t="s">
        <v>328</v>
      </c>
      <c r="U149" s="2" t="s">
        <v>264</v>
      </c>
      <c r="V149" s="2" t="s">
        <v>238</v>
      </c>
      <c r="W149" s="2" t="s">
        <v>329</v>
      </c>
      <c r="X149" s="2" t="s">
        <v>235</v>
      </c>
      <c r="Y149" s="2" t="s">
        <v>235</v>
      </c>
      <c r="Z149" s="4"/>
      <c r="AA149" s="4">
        <f>=ROUNDDOWN({0},0)</f>
      </c>
      <c r="AB149" s="5"/>
      <c r="AC149" s="2" t="s">
        <v>162</v>
      </c>
      <c r="AD149" s="4">
        <v>172</v>
      </c>
      <c r="AE149" s="4">
        <v>620</v>
      </c>
      <c r="AF149" s="6">
        <v>73</v>
      </c>
      <c r="AG149" s="6"/>
      <c r="AH149" s="7"/>
      <c r="AI149" s="4"/>
      <c r="AJ149" s="4">
        <f>=ROUNDDOWN({0},0)</f>
      </c>
      <c r="AK149" s="5"/>
      <c r="AL149" s="2" t="s">
        <v>235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235</v>
      </c>
      <c r="AW149" s="8" t="s">
        <v>235</v>
      </c>
      <c r="AX149" s="4" t="s">
        <v>235</v>
      </c>
      <c r="AY149" s="8" t="s">
        <v>235</v>
      </c>
      <c r="AZ149" s="7" t="s">
        <v>235</v>
      </c>
      <c r="BA149" s="7" t="s">
        <v>235</v>
      </c>
      <c r="BB149" s="7"/>
      <c r="BC149" s="4" t="s">
        <v>235</v>
      </c>
      <c r="BD149" s="8" t="s">
        <v>235</v>
      </c>
      <c r="BE149" s="4" t="s">
        <v>235</v>
      </c>
      <c r="BF149" s="8" t="s">
        <v>235</v>
      </c>
      <c r="BG149" s="7" t="s">
        <v>235</v>
      </c>
      <c r="BH149" s="7" t="s">
        <v>235</v>
      </c>
      <c r="BI149" s="7"/>
      <c r="BJ149" s="4"/>
      <c r="BK149" s="8"/>
      <c r="BL149" s="2" t="s">
        <v>235</v>
      </c>
      <c r="BM149" s="7"/>
      <c r="BN149" s="7"/>
      <c r="BO149" s="4"/>
      <c r="BP149" s="8"/>
      <c r="BQ149" s="4"/>
      <c r="BR149" s="8"/>
      <c r="BS149" s="7"/>
      <c r="BT149" s="7"/>
      <c r="BU149" s="2" t="s">
        <v>330</v>
      </c>
      <c r="BV149" s="2" t="s">
        <v>235</v>
      </c>
      <c r="BW149" s="2" t="s">
        <v>235</v>
      </c>
      <c r="BX149" s="2" t="s">
        <v>330</v>
      </c>
      <c r="BY149" s="2" t="s">
        <v>331</v>
      </c>
      <c r="BZ149" s="2" t="s">
        <v>232</v>
      </c>
      <c r="CA149" s="2" t="s">
        <v>235</v>
      </c>
      <c r="CB149" s="2" t="s">
        <v>235</v>
      </c>
      <c r="CC149" s="2" t="s">
        <v>248</v>
      </c>
      <c r="CD149" s="2" t="s">
        <v>248</v>
      </c>
      <c r="CE149" s="2" t="s">
        <v>235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>
        <v>172</v>
      </c>
      <c r="DX149" s="4"/>
      <c r="DY149" s="4"/>
      <c r="DZ149" s="4"/>
      <c r="EA149" s="4">
        <v>448</v>
      </c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>
        <v>172</v>
      </c>
      <c r="GK149" s="4">
        <v>620</v>
      </c>
      <c r="GL149" s="4">
        <v>620</v>
      </c>
      <c r="GM149" s="4">
        <v>620</v>
      </c>
      <c r="GN149" s="4">
        <v>620</v>
      </c>
      <c r="GO149" s="4">
        <v>620</v>
      </c>
      <c r="GP149" s="4">
        <v>620</v>
      </c>
      <c r="GQ149" s="4">
        <v>620</v>
      </c>
      <c r="GR149" s="4">
        <v>620</v>
      </c>
      <c r="GS149" s="4">
        <v>620</v>
      </c>
      <c r="GT149" s="4">
        <v>620</v>
      </c>
      <c r="GU149" s="4">
        <v>620</v>
      </c>
      <c r="GV149" s="4">
        <v>620</v>
      </c>
      <c r="GW149" s="4">
        <v>620</v>
      </c>
      <c r="GX149" s="4">
        <v>620</v>
      </c>
      <c r="GY149" s="4">
        <v>620</v>
      </c>
      <c r="GZ149" s="4">
        <v>620</v>
      </c>
      <c r="HA149" s="4">
        <v>620</v>
      </c>
      <c r="HB149" s="4">
        <v>620</v>
      </c>
      <c r="HC149" s="4">
        <v>620</v>
      </c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</row>
    <row r="150">
      <c r="A150" s="2" t="s">
        <v>706</v>
      </c>
      <c r="B150" s="2" t="s">
        <v>323</v>
      </c>
      <c r="C150" s="2" t="s">
        <v>324</v>
      </c>
      <c r="D150" s="2" t="s">
        <v>257</v>
      </c>
      <c r="E150" s="2" t="s">
        <v>258</v>
      </c>
      <c r="F150" s="2" t="s">
        <v>679</v>
      </c>
      <c r="G150" s="2" t="s">
        <v>679</v>
      </c>
      <c r="H150" s="2" t="s">
        <v>679</v>
      </c>
      <c r="I150" s="2" t="s">
        <v>680</v>
      </c>
      <c r="J150" s="2" t="s">
        <v>270</v>
      </c>
      <c r="K150" s="2" t="s">
        <v>292</v>
      </c>
      <c r="L150" s="3">
        <v>33.08</v>
      </c>
      <c r="M150" s="3">
        <v>34.73</v>
      </c>
      <c r="N150" s="3">
        <v>69.99</v>
      </c>
      <c r="O150" s="2" t="s">
        <v>327</v>
      </c>
      <c r="P150" s="2" t="s">
        <v>698</v>
      </c>
      <c r="Q150" s="2" t="s">
        <v>234</v>
      </c>
      <c r="R150" s="2" t="s">
        <v>235</v>
      </c>
      <c r="S150" s="2" t="s">
        <v>235</v>
      </c>
      <c r="T150" s="2" t="s">
        <v>328</v>
      </c>
      <c r="U150" s="2" t="s">
        <v>264</v>
      </c>
      <c r="V150" s="2" t="s">
        <v>238</v>
      </c>
      <c r="W150" s="2" t="s">
        <v>329</v>
      </c>
      <c r="X150" s="2" t="s">
        <v>235</v>
      </c>
      <c r="Y150" s="2" t="s">
        <v>235</v>
      </c>
      <c r="Z150" s="4"/>
      <c r="AA150" s="4">
        <f>=ROUNDDOWN({0},0)</f>
      </c>
      <c r="AB150" s="5"/>
      <c r="AC150" s="2" t="s">
        <v>166</v>
      </c>
      <c r="AD150" s="4">
        <v>130</v>
      </c>
      <c r="AE150" s="4">
        <v>130</v>
      </c>
      <c r="AF150" s="6">
        <v>73</v>
      </c>
      <c r="AG150" s="6"/>
      <c r="AH150" s="7"/>
      <c r="AI150" s="4"/>
      <c r="AJ150" s="4">
        <f>=ROUNDDOWN({0},0)</f>
      </c>
      <c r="AK150" s="5"/>
      <c r="AL150" s="2" t="s">
        <v>235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235</v>
      </c>
      <c r="AW150" s="8" t="s">
        <v>235</v>
      </c>
      <c r="AX150" s="4" t="s">
        <v>235</v>
      </c>
      <c r="AY150" s="8" t="s">
        <v>235</v>
      </c>
      <c r="AZ150" s="7" t="s">
        <v>235</v>
      </c>
      <c r="BA150" s="7" t="s">
        <v>235</v>
      </c>
      <c r="BB150" s="7"/>
      <c r="BC150" s="4" t="s">
        <v>235</v>
      </c>
      <c r="BD150" s="8" t="s">
        <v>235</v>
      </c>
      <c r="BE150" s="4" t="s">
        <v>235</v>
      </c>
      <c r="BF150" s="8" t="s">
        <v>235</v>
      </c>
      <c r="BG150" s="7" t="s">
        <v>235</v>
      </c>
      <c r="BH150" s="7" t="s">
        <v>235</v>
      </c>
      <c r="BI150" s="7"/>
      <c r="BJ150" s="4"/>
      <c r="BK150" s="8"/>
      <c r="BL150" s="2" t="s">
        <v>235</v>
      </c>
      <c r="BM150" s="7"/>
      <c r="BN150" s="7"/>
      <c r="BO150" s="4"/>
      <c r="BP150" s="8"/>
      <c r="BQ150" s="4"/>
      <c r="BR150" s="8"/>
      <c r="BS150" s="7"/>
      <c r="BT150" s="7"/>
      <c r="BU150" s="2" t="s">
        <v>330</v>
      </c>
      <c r="BV150" s="2" t="s">
        <v>235</v>
      </c>
      <c r="BW150" s="2" t="s">
        <v>235</v>
      </c>
      <c r="BX150" s="2" t="s">
        <v>330</v>
      </c>
      <c r="BY150" s="2" t="s">
        <v>331</v>
      </c>
      <c r="BZ150" s="2" t="s">
        <v>232</v>
      </c>
      <c r="CA150" s="2" t="s">
        <v>235</v>
      </c>
      <c r="CB150" s="2" t="s">
        <v>235</v>
      </c>
      <c r="CC150" s="2" t="s">
        <v>248</v>
      </c>
      <c r="CD150" s="2" t="s">
        <v>248</v>
      </c>
      <c r="CE150" s="2" t="s">
        <v>235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>
        <v>130</v>
      </c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>
        <v>130</v>
      </c>
      <c r="GL150" s="4">
        <v>130</v>
      </c>
      <c r="GM150" s="4">
        <v>130</v>
      </c>
      <c r="GN150" s="4">
        <v>130</v>
      </c>
      <c r="GO150" s="4">
        <v>130</v>
      </c>
      <c r="GP150" s="4">
        <v>130</v>
      </c>
      <c r="GQ150" s="4">
        <v>130</v>
      </c>
      <c r="GR150" s="4">
        <v>130</v>
      </c>
      <c r="GS150" s="4">
        <v>130</v>
      </c>
      <c r="GT150" s="4">
        <v>130</v>
      </c>
      <c r="GU150" s="4">
        <v>130</v>
      </c>
      <c r="GV150" s="4">
        <v>130</v>
      </c>
      <c r="GW150" s="4">
        <v>130</v>
      </c>
      <c r="GX150" s="4">
        <v>130</v>
      </c>
      <c r="GY150" s="4">
        <v>130</v>
      </c>
      <c r="GZ150" s="4">
        <v>130</v>
      </c>
      <c r="HA150" s="4">
        <v>130</v>
      </c>
      <c r="HB150" s="4">
        <v>130</v>
      </c>
      <c r="HC150" s="4">
        <v>130</v>
      </c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</row>
    <row r="151">
      <c r="A151" s="2" t="s">
        <v>707</v>
      </c>
      <c r="B151" s="2" t="s">
        <v>323</v>
      </c>
      <c r="C151" s="2" t="s">
        <v>324</v>
      </c>
      <c r="D151" s="2" t="s">
        <v>257</v>
      </c>
      <c r="E151" s="2" t="s">
        <v>258</v>
      </c>
      <c r="F151" s="2" t="s">
        <v>679</v>
      </c>
      <c r="G151" s="2" t="s">
        <v>679</v>
      </c>
      <c r="H151" s="2" t="s">
        <v>679</v>
      </c>
      <c r="I151" s="2" t="s">
        <v>680</v>
      </c>
      <c r="J151" s="2" t="s">
        <v>272</v>
      </c>
      <c r="K151" s="2" t="s">
        <v>292</v>
      </c>
      <c r="L151" s="3">
        <v>33.08</v>
      </c>
      <c r="M151" s="3">
        <v>34.73</v>
      </c>
      <c r="N151" s="3">
        <v>69.99</v>
      </c>
      <c r="O151" s="2" t="s">
        <v>327</v>
      </c>
      <c r="P151" s="2" t="s">
        <v>233</v>
      </c>
      <c r="Q151" s="2" t="s">
        <v>234</v>
      </c>
      <c r="R151" s="2" t="s">
        <v>235</v>
      </c>
      <c r="S151" s="2" t="s">
        <v>235</v>
      </c>
      <c r="T151" s="2" t="s">
        <v>328</v>
      </c>
      <c r="U151" s="2" t="s">
        <v>264</v>
      </c>
      <c r="V151" s="2" t="s">
        <v>238</v>
      </c>
      <c r="W151" s="2" t="s">
        <v>329</v>
      </c>
      <c r="X151" s="2" t="s">
        <v>235</v>
      </c>
      <c r="Y151" s="2" t="s">
        <v>235</v>
      </c>
      <c r="Z151" s="4"/>
      <c r="AA151" s="4">
        <f>=ROUNDDOWN({0},0)</f>
      </c>
      <c r="AB151" s="5"/>
      <c r="AC151" s="2" t="s">
        <v>162</v>
      </c>
      <c r="AD151" s="4">
        <v>190</v>
      </c>
      <c r="AE151" s="4">
        <v>200</v>
      </c>
      <c r="AF151" s="6">
        <v>73</v>
      </c>
      <c r="AG151" s="6"/>
      <c r="AH151" s="7"/>
      <c r="AI151" s="4"/>
      <c r="AJ151" s="4">
        <f>=ROUNDDOWN({0},0)</f>
      </c>
      <c r="AK151" s="5"/>
      <c r="AL151" s="2" t="s">
        <v>235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235</v>
      </c>
      <c r="AW151" s="8" t="s">
        <v>235</v>
      </c>
      <c r="AX151" s="4" t="s">
        <v>235</v>
      </c>
      <c r="AY151" s="8" t="s">
        <v>235</v>
      </c>
      <c r="AZ151" s="7" t="s">
        <v>235</v>
      </c>
      <c r="BA151" s="7" t="s">
        <v>235</v>
      </c>
      <c r="BB151" s="7"/>
      <c r="BC151" s="4" t="s">
        <v>235</v>
      </c>
      <c r="BD151" s="8" t="s">
        <v>235</v>
      </c>
      <c r="BE151" s="4" t="s">
        <v>235</v>
      </c>
      <c r="BF151" s="8" t="s">
        <v>235</v>
      </c>
      <c r="BG151" s="7" t="s">
        <v>235</v>
      </c>
      <c r="BH151" s="7" t="s">
        <v>235</v>
      </c>
      <c r="BI151" s="7"/>
      <c r="BJ151" s="4"/>
      <c r="BK151" s="8"/>
      <c r="BL151" s="2" t="s">
        <v>235</v>
      </c>
      <c r="BM151" s="7"/>
      <c r="BN151" s="7"/>
      <c r="BO151" s="4"/>
      <c r="BP151" s="8"/>
      <c r="BQ151" s="4"/>
      <c r="BR151" s="8"/>
      <c r="BS151" s="7"/>
      <c r="BT151" s="7"/>
      <c r="BU151" s="2" t="s">
        <v>330</v>
      </c>
      <c r="BV151" s="2" t="s">
        <v>235</v>
      </c>
      <c r="BW151" s="2" t="s">
        <v>235</v>
      </c>
      <c r="BX151" s="2" t="s">
        <v>330</v>
      </c>
      <c r="BY151" s="2" t="s">
        <v>331</v>
      </c>
      <c r="BZ151" s="2" t="s">
        <v>232</v>
      </c>
      <c r="CA151" s="2" t="s">
        <v>235</v>
      </c>
      <c r="CB151" s="2" t="s">
        <v>235</v>
      </c>
      <c r="CC151" s="2" t="s">
        <v>248</v>
      </c>
      <c r="CD151" s="2" t="s">
        <v>248</v>
      </c>
      <c r="CE151" s="2" t="s">
        <v>235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>
        <v>190</v>
      </c>
      <c r="DX151" s="4"/>
      <c r="DY151" s="4"/>
      <c r="DZ151" s="4"/>
      <c r="EA151" s="4">
        <v>10</v>
      </c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>
        <v>190</v>
      </c>
      <c r="GK151" s="4">
        <v>200</v>
      </c>
      <c r="GL151" s="4">
        <v>200</v>
      </c>
      <c r="GM151" s="4">
        <v>200</v>
      </c>
      <c r="GN151" s="4">
        <v>200</v>
      </c>
      <c r="GO151" s="4">
        <v>200</v>
      </c>
      <c r="GP151" s="4">
        <v>200</v>
      </c>
      <c r="GQ151" s="4">
        <v>200</v>
      </c>
      <c r="GR151" s="4">
        <v>200</v>
      </c>
      <c r="GS151" s="4">
        <v>200</v>
      </c>
      <c r="GT151" s="4">
        <v>200</v>
      </c>
      <c r="GU151" s="4">
        <v>200</v>
      </c>
      <c r="GV151" s="4">
        <v>200</v>
      </c>
      <c r="GW151" s="4">
        <v>200</v>
      </c>
      <c r="GX151" s="4">
        <v>200</v>
      </c>
      <c r="GY151" s="4">
        <v>200</v>
      </c>
      <c r="GZ151" s="4">
        <v>200</v>
      </c>
      <c r="HA151" s="4">
        <v>200</v>
      </c>
      <c r="HB151" s="4">
        <v>200</v>
      </c>
      <c r="HC151" s="4">
        <v>200</v>
      </c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</row>
    <row r="152">
      <c r="A152" s="2" t="s">
        <v>708</v>
      </c>
      <c r="B152" s="2" t="s">
        <v>323</v>
      </c>
      <c r="C152" s="2" t="s">
        <v>324</v>
      </c>
      <c r="D152" s="2" t="s">
        <v>257</v>
      </c>
      <c r="E152" s="2" t="s">
        <v>258</v>
      </c>
      <c r="F152" s="2" t="s">
        <v>679</v>
      </c>
      <c r="G152" s="2" t="s">
        <v>679</v>
      </c>
      <c r="H152" s="2" t="s">
        <v>679</v>
      </c>
      <c r="I152" s="2" t="s">
        <v>680</v>
      </c>
      <c r="J152" s="2" t="s">
        <v>250</v>
      </c>
      <c r="K152" s="2" t="s">
        <v>295</v>
      </c>
      <c r="L152" s="3">
        <v>27.72</v>
      </c>
      <c r="M152" s="3">
        <v>29.11</v>
      </c>
      <c r="N152" s="3">
        <v>59.99</v>
      </c>
      <c r="O152" s="2" t="s">
        <v>327</v>
      </c>
      <c r="P152" s="2" t="s">
        <v>233</v>
      </c>
      <c r="Q152" s="2" t="s">
        <v>234</v>
      </c>
      <c r="R152" s="2" t="s">
        <v>235</v>
      </c>
      <c r="S152" s="2" t="s">
        <v>235</v>
      </c>
      <c r="T152" s="2" t="s">
        <v>328</v>
      </c>
      <c r="U152" s="2" t="s">
        <v>264</v>
      </c>
      <c r="V152" s="2" t="s">
        <v>238</v>
      </c>
      <c r="W152" s="2" t="s">
        <v>329</v>
      </c>
      <c r="X152" s="2" t="s">
        <v>235</v>
      </c>
      <c r="Y152" s="2" t="s">
        <v>235</v>
      </c>
      <c r="Z152" s="4"/>
      <c r="AA152" s="4">
        <f>=ROUNDDOWN({0},0)</f>
      </c>
      <c r="AB152" s="5"/>
      <c r="AC152" s="2" t="s">
        <v>162</v>
      </c>
      <c r="AD152" s="4">
        <v>300</v>
      </c>
      <c r="AE152" s="4">
        <v>300</v>
      </c>
      <c r="AF152" s="6">
        <v>73</v>
      </c>
      <c r="AG152" s="6"/>
      <c r="AH152" s="7"/>
      <c r="AI152" s="4"/>
      <c r="AJ152" s="4">
        <f>=ROUNDDOWN({0},0)</f>
      </c>
      <c r="AK152" s="5"/>
      <c r="AL152" s="2" t="s">
        <v>235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235</v>
      </c>
      <c r="AW152" s="8" t="s">
        <v>235</v>
      </c>
      <c r="AX152" s="4" t="s">
        <v>235</v>
      </c>
      <c r="AY152" s="8" t="s">
        <v>235</v>
      </c>
      <c r="AZ152" s="7" t="s">
        <v>235</v>
      </c>
      <c r="BA152" s="7" t="s">
        <v>235</v>
      </c>
      <c r="BB152" s="7"/>
      <c r="BC152" s="4" t="s">
        <v>235</v>
      </c>
      <c r="BD152" s="8" t="s">
        <v>235</v>
      </c>
      <c r="BE152" s="4" t="s">
        <v>235</v>
      </c>
      <c r="BF152" s="8" t="s">
        <v>235</v>
      </c>
      <c r="BG152" s="7" t="s">
        <v>235</v>
      </c>
      <c r="BH152" s="7" t="s">
        <v>235</v>
      </c>
      <c r="BI152" s="7"/>
      <c r="BJ152" s="4"/>
      <c r="BK152" s="8"/>
      <c r="BL152" s="2" t="s">
        <v>235</v>
      </c>
      <c r="BM152" s="7"/>
      <c r="BN152" s="7"/>
      <c r="BO152" s="4"/>
      <c r="BP152" s="8"/>
      <c r="BQ152" s="4"/>
      <c r="BR152" s="8"/>
      <c r="BS152" s="7"/>
      <c r="BT152" s="7"/>
      <c r="BU152" s="2" t="s">
        <v>330</v>
      </c>
      <c r="BV152" s="2" t="s">
        <v>235</v>
      </c>
      <c r="BW152" s="2" t="s">
        <v>235</v>
      </c>
      <c r="BX152" s="2" t="s">
        <v>330</v>
      </c>
      <c r="BY152" s="2" t="s">
        <v>331</v>
      </c>
      <c r="BZ152" s="2" t="s">
        <v>232</v>
      </c>
      <c r="CA152" s="2" t="s">
        <v>235</v>
      </c>
      <c r="CB152" s="2" t="s">
        <v>235</v>
      </c>
      <c r="CC152" s="2" t="s">
        <v>248</v>
      </c>
      <c r="CD152" s="2" t="s">
        <v>248</v>
      </c>
      <c r="CE152" s="2" t="s">
        <v>235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>
        <v>300</v>
      </c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>
        <v>300</v>
      </c>
      <c r="GK152" s="4">
        <v>300</v>
      </c>
      <c r="GL152" s="4">
        <v>300</v>
      </c>
      <c r="GM152" s="4">
        <v>300</v>
      </c>
      <c r="GN152" s="4">
        <v>300</v>
      </c>
      <c r="GO152" s="4">
        <v>300</v>
      </c>
      <c r="GP152" s="4">
        <v>300</v>
      </c>
      <c r="GQ152" s="4">
        <v>300</v>
      </c>
      <c r="GR152" s="4">
        <v>300</v>
      </c>
      <c r="GS152" s="4">
        <v>300</v>
      </c>
      <c r="GT152" s="4">
        <v>300</v>
      </c>
      <c r="GU152" s="4">
        <v>300</v>
      </c>
      <c r="GV152" s="4">
        <v>300</v>
      </c>
      <c r="GW152" s="4">
        <v>300</v>
      </c>
      <c r="GX152" s="4">
        <v>300</v>
      </c>
      <c r="GY152" s="4">
        <v>300</v>
      </c>
      <c r="GZ152" s="4">
        <v>300</v>
      </c>
      <c r="HA152" s="4">
        <v>300</v>
      </c>
      <c r="HB152" s="4">
        <v>300</v>
      </c>
      <c r="HC152" s="4">
        <v>300</v>
      </c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</row>
    <row r="153">
      <c r="A153" s="2" t="s">
        <v>709</v>
      </c>
      <c r="B153" s="2" t="s">
        <v>323</v>
      </c>
      <c r="C153" s="2" t="s">
        <v>324</v>
      </c>
      <c r="D153" s="2" t="s">
        <v>257</v>
      </c>
      <c r="E153" s="2" t="s">
        <v>258</v>
      </c>
      <c r="F153" s="2" t="s">
        <v>679</v>
      </c>
      <c r="G153" s="2" t="s">
        <v>679</v>
      </c>
      <c r="H153" s="2" t="s">
        <v>679</v>
      </c>
      <c r="I153" s="2" t="s">
        <v>680</v>
      </c>
      <c r="J153" s="2" t="s">
        <v>261</v>
      </c>
      <c r="K153" s="2" t="s">
        <v>295</v>
      </c>
      <c r="L153" s="3">
        <v>30.71</v>
      </c>
      <c r="M153" s="3">
        <v>32.25</v>
      </c>
      <c r="N153" s="3">
        <v>64.99</v>
      </c>
      <c r="O153" s="2" t="s">
        <v>327</v>
      </c>
      <c r="P153" s="2" t="s">
        <v>333</v>
      </c>
      <c r="Q153" s="2" t="s">
        <v>234</v>
      </c>
      <c r="R153" s="2" t="s">
        <v>235</v>
      </c>
      <c r="S153" s="2" t="s">
        <v>235</v>
      </c>
      <c r="T153" s="2" t="s">
        <v>328</v>
      </c>
      <c r="U153" s="2" t="s">
        <v>264</v>
      </c>
      <c r="V153" s="2" t="s">
        <v>238</v>
      </c>
      <c r="W153" s="2" t="s">
        <v>329</v>
      </c>
      <c r="X153" s="2" t="s">
        <v>235</v>
      </c>
      <c r="Y153" s="2" t="s">
        <v>235</v>
      </c>
      <c r="Z153" s="4"/>
      <c r="AA153" s="4">
        <f>=ROUNDDOWN({0},0)</f>
      </c>
      <c r="AB153" s="5"/>
      <c r="AC153" s="2" t="s">
        <v>162</v>
      </c>
      <c r="AD153" s="4">
        <v>984</v>
      </c>
      <c r="AE153" s="4">
        <v>1000</v>
      </c>
      <c r="AF153" s="6">
        <v>73</v>
      </c>
      <c r="AG153" s="6"/>
      <c r="AH153" s="7"/>
      <c r="AI153" s="4"/>
      <c r="AJ153" s="4">
        <f>=ROUNDDOWN({0},0)</f>
      </c>
      <c r="AK153" s="5"/>
      <c r="AL153" s="2" t="s">
        <v>235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235</v>
      </c>
      <c r="AW153" s="8" t="s">
        <v>235</v>
      </c>
      <c r="AX153" s="4" t="s">
        <v>235</v>
      </c>
      <c r="AY153" s="8" t="s">
        <v>235</v>
      </c>
      <c r="AZ153" s="7" t="s">
        <v>235</v>
      </c>
      <c r="BA153" s="7" t="s">
        <v>235</v>
      </c>
      <c r="BB153" s="7"/>
      <c r="BC153" s="4" t="s">
        <v>235</v>
      </c>
      <c r="BD153" s="8" t="s">
        <v>235</v>
      </c>
      <c r="BE153" s="4" t="s">
        <v>235</v>
      </c>
      <c r="BF153" s="8" t="s">
        <v>235</v>
      </c>
      <c r="BG153" s="7" t="s">
        <v>235</v>
      </c>
      <c r="BH153" s="7" t="s">
        <v>235</v>
      </c>
      <c r="BI153" s="7"/>
      <c r="BJ153" s="4"/>
      <c r="BK153" s="8"/>
      <c r="BL153" s="2" t="s">
        <v>235</v>
      </c>
      <c r="BM153" s="7"/>
      <c r="BN153" s="7"/>
      <c r="BO153" s="4"/>
      <c r="BP153" s="8"/>
      <c r="BQ153" s="4"/>
      <c r="BR153" s="8"/>
      <c r="BS153" s="7"/>
      <c r="BT153" s="7"/>
      <c r="BU153" s="2" t="s">
        <v>330</v>
      </c>
      <c r="BV153" s="2" t="s">
        <v>235</v>
      </c>
      <c r="BW153" s="2" t="s">
        <v>235</v>
      </c>
      <c r="BX153" s="2" t="s">
        <v>330</v>
      </c>
      <c r="BY153" s="2" t="s">
        <v>331</v>
      </c>
      <c r="BZ153" s="2" t="s">
        <v>232</v>
      </c>
      <c r="CA153" s="2" t="s">
        <v>235</v>
      </c>
      <c r="CB153" s="2" t="s">
        <v>235</v>
      </c>
      <c r="CC153" s="2" t="s">
        <v>248</v>
      </c>
      <c r="CD153" s="2" t="s">
        <v>248</v>
      </c>
      <c r="CE153" s="2" t="s">
        <v>235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>
        <v>984</v>
      </c>
      <c r="DX153" s="4"/>
      <c r="DY153" s="4"/>
      <c r="DZ153" s="4"/>
      <c r="EA153" s="4">
        <v>16</v>
      </c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>
        <v>984</v>
      </c>
      <c r="GK153" s="4">
        <v>1000</v>
      </c>
      <c r="GL153" s="4">
        <v>1000</v>
      </c>
      <c r="GM153" s="4">
        <v>1000</v>
      </c>
      <c r="GN153" s="4">
        <v>1000</v>
      </c>
      <c r="GO153" s="4">
        <v>1000</v>
      </c>
      <c r="GP153" s="4">
        <v>1000</v>
      </c>
      <c r="GQ153" s="4">
        <v>1000</v>
      </c>
      <c r="GR153" s="4">
        <v>1000</v>
      </c>
      <c r="GS153" s="4">
        <v>1000</v>
      </c>
      <c r="GT153" s="4">
        <v>1000</v>
      </c>
      <c r="GU153" s="4">
        <v>1000</v>
      </c>
      <c r="GV153" s="4">
        <v>1000</v>
      </c>
      <c r="GW153" s="4">
        <v>1000</v>
      </c>
      <c r="GX153" s="4">
        <v>1000</v>
      </c>
      <c r="GY153" s="4">
        <v>1000</v>
      </c>
      <c r="GZ153" s="4">
        <v>1000</v>
      </c>
      <c r="HA153" s="4">
        <v>1000</v>
      </c>
      <c r="HB153" s="4">
        <v>1000</v>
      </c>
      <c r="HC153" s="4">
        <v>1000</v>
      </c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</row>
    <row r="154">
      <c r="A154" s="2" t="s">
        <v>710</v>
      </c>
      <c r="B154" s="2" t="s">
        <v>323</v>
      </c>
      <c r="C154" s="2" t="s">
        <v>324</v>
      </c>
      <c r="D154" s="2" t="s">
        <v>257</v>
      </c>
      <c r="E154" s="2" t="s">
        <v>258</v>
      </c>
      <c r="F154" s="2" t="s">
        <v>679</v>
      </c>
      <c r="G154" s="2" t="s">
        <v>679</v>
      </c>
      <c r="H154" s="2" t="s">
        <v>679</v>
      </c>
      <c r="I154" s="2" t="s">
        <v>680</v>
      </c>
      <c r="J154" s="2" t="s">
        <v>270</v>
      </c>
      <c r="K154" s="2" t="s">
        <v>295</v>
      </c>
      <c r="L154" s="3">
        <v>33.08</v>
      </c>
      <c r="M154" s="3">
        <v>34.73</v>
      </c>
      <c r="N154" s="3">
        <v>69.99</v>
      </c>
      <c r="O154" s="2" t="s">
        <v>327</v>
      </c>
      <c r="P154" s="2" t="s">
        <v>333</v>
      </c>
      <c r="Q154" s="2" t="s">
        <v>234</v>
      </c>
      <c r="R154" s="2" t="s">
        <v>235</v>
      </c>
      <c r="S154" s="2" t="s">
        <v>235</v>
      </c>
      <c r="T154" s="2" t="s">
        <v>328</v>
      </c>
      <c r="U154" s="2" t="s">
        <v>264</v>
      </c>
      <c r="V154" s="2" t="s">
        <v>238</v>
      </c>
      <c r="W154" s="2" t="s">
        <v>329</v>
      </c>
      <c r="X154" s="2" t="s">
        <v>235</v>
      </c>
      <c r="Y154" s="2" t="s">
        <v>235</v>
      </c>
      <c r="Z154" s="4"/>
      <c r="AA154" s="4">
        <f>=ROUNDDOWN({0},0)</f>
      </c>
      <c r="AB154" s="5"/>
      <c r="AC154" s="2" t="s">
        <v>162</v>
      </c>
      <c r="AD154" s="4">
        <v>800</v>
      </c>
      <c r="AE154" s="4">
        <v>800</v>
      </c>
      <c r="AF154" s="6">
        <v>73</v>
      </c>
      <c r="AG154" s="6"/>
      <c r="AH154" s="7"/>
      <c r="AI154" s="4"/>
      <c r="AJ154" s="4">
        <f>=ROUNDDOWN({0},0)</f>
      </c>
      <c r="AK154" s="5"/>
      <c r="AL154" s="2" t="s">
        <v>235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235</v>
      </c>
      <c r="AW154" s="8" t="s">
        <v>235</v>
      </c>
      <c r="AX154" s="4" t="s">
        <v>235</v>
      </c>
      <c r="AY154" s="8" t="s">
        <v>235</v>
      </c>
      <c r="AZ154" s="7" t="s">
        <v>235</v>
      </c>
      <c r="BA154" s="7" t="s">
        <v>235</v>
      </c>
      <c r="BB154" s="7"/>
      <c r="BC154" s="4" t="s">
        <v>235</v>
      </c>
      <c r="BD154" s="8" t="s">
        <v>235</v>
      </c>
      <c r="BE154" s="4" t="s">
        <v>235</v>
      </c>
      <c r="BF154" s="8" t="s">
        <v>235</v>
      </c>
      <c r="BG154" s="7" t="s">
        <v>235</v>
      </c>
      <c r="BH154" s="7" t="s">
        <v>235</v>
      </c>
      <c r="BI154" s="7"/>
      <c r="BJ154" s="4"/>
      <c r="BK154" s="8"/>
      <c r="BL154" s="2" t="s">
        <v>235</v>
      </c>
      <c r="BM154" s="7"/>
      <c r="BN154" s="7"/>
      <c r="BO154" s="4"/>
      <c r="BP154" s="8"/>
      <c r="BQ154" s="4"/>
      <c r="BR154" s="8"/>
      <c r="BS154" s="7"/>
      <c r="BT154" s="7"/>
      <c r="BU154" s="2" t="s">
        <v>330</v>
      </c>
      <c r="BV154" s="2" t="s">
        <v>235</v>
      </c>
      <c r="BW154" s="2" t="s">
        <v>235</v>
      </c>
      <c r="BX154" s="2" t="s">
        <v>330</v>
      </c>
      <c r="BY154" s="2" t="s">
        <v>331</v>
      </c>
      <c r="BZ154" s="2" t="s">
        <v>232</v>
      </c>
      <c r="CA154" s="2" t="s">
        <v>235</v>
      </c>
      <c r="CB154" s="2" t="s">
        <v>235</v>
      </c>
      <c r="CC154" s="2" t="s">
        <v>248</v>
      </c>
      <c r="CD154" s="2" t="s">
        <v>248</v>
      </c>
      <c r="CE154" s="2" t="s">
        <v>235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>
        <v>800</v>
      </c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>
        <v>800</v>
      </c>
      <c r="GK154" s="4">
        <v>800</v>
      </c>
      <c r="GL154" s="4">
        <v>800</v>
      </c>
      <c r="GM154" s="4">
        <v>800</v>
      </c>
      <c r="GN154" s="4">
        <v>800</v>
      </c>
      <c r="GO154" s="4">
        <v>800</v>
      </c>
      <c r="GP154" s="4">
        <v>800</v>
      </c>
      <c r="GQ154" s="4">
        <v>800</v>
      </c>
      <c r="GR154" s="4">
        <v>800</v>
      </c>
      <c r="GS154" s="4">
        <v>800</v>
      </c>
      <c r="GT154" s="4">
        <v>800</v>
      </c>
      <c r="GU154" s="4">
        <v>800</v>
      </c>
      <c r="GV154" s="4">
        <v>800</v>
      </c>
      <c r="GW154" s="4">
        <v>800</v>
      </c>
      <c r="GX154" s="4">
        <v>800</v>
      </c>
      <c r="GY154" s="4">
        <v>800</v>
      </c>
      <c r="GZ154" s="4">
        <v>800</v>
      </c>
      <c r="HA154" s="4">
        <v>800</v>
      </c>
      <c r="HB154" s="4">
        <v>800</v>
      </c>
      <c r="HC154" s="4">
        <v>800</v>
      </c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</row>
    <row r="155">
      <c r="A155" s="2" t="s">
        <v>711</v>
      </c>
      <c r="B155" s="2" t="s">
        <v>323</v>
      </c>
      <c r="C155" s="2" t="s">
        <v>324</v>
      </c>
      <c r="D155" s="2" t="s">
        <v>257</v>
      </c>
      <c r="E155" s="2" t="s">
        <v>258</v>
      </c>
      <c r="F155" s="2" t="s">
        <v>679</v>
      </c>
      <c r="G155" s="2" t="s">
        <v>679</v>
      </c>
      <c r="H155" s="2" t="s">
        <v>679</v>
      </c>
      <c r="I155" s="2" t="s">
        <v>680</v>
      </c>
      <c r="J155" s="2" t="s">
        <v>272</v>
      </c>
      <c r="K155" s="2" t="s">
        <v>295</v>
      </c>
      <c r="L155" s="3">
        <v>33.08</v>
      </c>
      <c r="M155" s="3">
        <v>34.73</v>
      </c>
      <c r="N155" s="3">
        <v>69.99</v>
      </c>
      <c r="O155" s="2" t="s">
        <v>327</v>
      </c>
      <c r="P155" s="2" t="s">
        <v>233</v>
      </c>
      <c r="Q155" s="2" t="s">
        <v>234</v>
      </c>
      <c r="R155" s="2" t="s">
        <v>235</v>
      </c>
      <c r="S155" s="2" t="s">
        <v>235</v>
      </c>
      <c r="T155" s="2" t="s">
        <v>328</v>
      </c>
      <c r="U155" s="2" t="s">
        <v>264</v>
      </c>
      <c r="V155" s="2" t="s">
        <v>238</v>
      </c>
      <c r="W155" s="2" t="s">
        <v>329</v>
      </c>
      <c r="X155" s="2" t="s">
        <v>235</v>
      </c>
      <c r="Y155" s="2" t="s">
        <v>235</v>
      </c>
      <c r="Z155" s="4"/>
      <c r="AA155" s="4">
        <f>=ROUNDDOWN({0},0)</f>
      </c>
      <c r="AB155" s="5"/>
      <c r="AC155" s="2" t="s">
        <v>162</v>
      </c>
      <c r="AD155" s="4">
        <v>300</v>
      </c>
      <c r="AE155" s="4">
        <v>300</v>
      </c>
      <c r="AF155" s="6">
        <v>73</v>
      </c>
      <c r="AG155" s="6"/>
      <c r="AH155" s="7"/>
      <c r="AI155" s="4"/>
      <c r="AJ155" s="4">
        <f>=ROUNDDOWN({0},0)</f>
      </c>
      <c r="AK155" s="5"/>
      <c r="AL155" s="2" t="s">
        <v>235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235</v>
      </c>
      <c r="AW155" s="8" t="s">
        <v>235</v>
      </c>
      <c r="AX155" s="4" t="s">
        <v>235</v>
      </c>
      <c r="AY155" s="8" t="s">
        <v>235</v>
      </c>
      <c r="AZ155" s="7" t="s">
        <v>235</v>
      </c>
      <c r="BA155" s="7" t="s">
        <v>235</v>
      </c>
      <c r="BB155" s="7"/>
      <c r="BC155" s="4" t="s">
        <v>235</v>
      </c>
      <c r="BD155" s="8" t="s">
        <v>235</v>
      </c>
      <c r="BE155" s="4" t="s">
        <v>235</v>
      </c>
      <c r="BF155" s="8" t="s">
        <v>235</v>
      </c>
      <c r="BG155" s="7" t="s">
        <v>235</v>
      </c>
      <c r="BH155" s="7" t="s">
        <v>235</v>
      </c>
      <c r="BI155" s="7"/>
      <c r="BJ155" s="4"/>
      <c r="BK155" s="8"/>
      <c r="BL155" s="2" t="s">
        <v>235</v>
      </c>
      <c r="BM155" s="7"/>
      <c r="BN155" s="7"/>
      <c r="BO155" s="4"/>
      <c r="BP155" s="8"/>
      <c r="BQ155" s="4"/>
      <c r="BR155" s="8"/>
      <c r="BS155" s="7"/>
      <c r="BT155" s="7"/>
      <c r="BU155" s="2" t="s">
        <v>330</v>
      </c>
      <c r="BV155" s="2" t="s">
        <v>235</v>
      </c>
      <c r="BW155" s="2" t="s">
        <v>235</v>
      </c>
      <c r="BX155" s="2" t="s">
        <v>330</v>
      </c>
      <c r="BY155" s="2" t="s">
        <v>331</v>
      </c>
      <c r="BZ155" s="2" t="s">
        <v>232</v>
      </c>
      <c r="CA155" s="2" t="s">
        <v>235</v>
      </c>
      <c r="CB155" s="2" t="s">
        <v>235</v>
      </c>
      <c r="CC155" s="2" t="s">
        <v>248</v>
      </c>
      <c r="CD155" s="2" t="s">
        <v>248</v>
      </c>
      <c r="CE155" s="2" t="s">
        <v>235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>
        <v>300</v>
      </c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>
        <v>300</v>
      </c>
      <c r="GK155" s="4">
        <v>300</v>
      </c>
      <c r="GL155" s="4">
        <v>300</v>
      </c>
      <c r="GM155" s="4">
        <v>300</v>
      </c>
      <c r="GN155" s="4">
        <v>300</v>
      </c>
      <c r="GO155" s="4">
        <v>300</v>
      </c>
      <c r="GP155" s="4">
        <v>300</v>
      </c>
      <c r="GQ155" s="4">
        <v>300</v>
      </c>
      <c r="GR155" s="4">
        <v>300</v>
      </c>
      <c r="GS155" s="4">
        <v>300</v>
      </c>
      <c r="GT155" s="4">
        <v>300</v>
      </c>
      <c r="GU155" s="4">
        <v>300</v>
      </c>
      <c r="GV155" s="4">
        <v>300</v>
      </c>
      <c r="GW155" s="4">
        <v>300</v>
      </c>
      <c r="GX155" s="4">
        <v>300</v>
      </c>
      <c r="GY155" s="4">
        <v>300</v>
      </c>
      <c r="GZ155" s="4">
        <v>300</v>
      </c>
      <c r="HA155" s="4">
        <v>300</v>
      </c>
      <c r="HB155" s="4">
        <v>300</v>
      </c>
      <c r="HC155" s="4">
        <v>300</v>
      </c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</row>
    <row r="156">
      <c r="A156" s="2" t="s">
        <v>712</v>
      </c>
      <c r="B156" s="2" t="s">
        <v>323</v>
      </c>
      <c r="C156" s="2" t="s">
        <v>324</v>
      </c>
      <c r="D156" s="2" t="s">
        <v>257</v>
      </c>
      <c r="E156" s="2" t="s">
        <v>258</v>
      </c>
      <c r="F156" s="2" t="s">
        <v>679</v>
      </c>
      <c r="G156" s="2" t="s">
        <v>679</v>
      </c>
      <c r="H156" s="2" t="s">
        <v>679</v>
      </c>
      <c r="I156" s="2" t="s">
        <v>680</v>
      </c>
      <c r="J156" s="2" t="s">
        <v>250</v>
      </c>
      <c r="K156" s="2" t="s">
        <v>542</v>
      </c>
      <c r="L156" s="3">
        <v>27.72</v>
      </c>
      <c r="M156" s="3">
        <v>29.11</v>
      </c>
      <c r="N156" s="3">
        <v>59.99</v>
      </c>
      <c r="O156" s="2" t="s">
        <v>327</v>
      </c>
      <c r="P156" s="2" t="s">
        <v>233</v>
      </c>
      <c r="Q156" s="2" t="s">
        <v>234</v>
      </c>
      <c r="R156" s="2" t="s">
        <v>235</v>
      </c>
      <c r="S156" s="2" t="s">
        <v>235</v>
      </c>
      <c r="T156" s="2" t="s">
        <v>328</v>
      </c>
      <c r="U156" s="2" t="s">
        <v>264</v>
      </c>
      <c r="V156" s="2" t="s">
        <v>238</v>
      </c>
      <c r="W156" s="2" t="s">
        <v>329</v>
      </c>
      <c r="X156" s="2" t="s">
        <v>235</v>
      </c>
      <c r="Y156" s="2" t="s">
        <v>235</v>
      </c>
      <c r="Z156" s="4"/>
      <c r="AA156" s="4">
        <f>=ROUNDDOWN({0},0)</f>
      </c>
      <c r="AB156" s="5"/>
      <c r="AC156" s="2" t="s">
        <v>166</v>
      </c>
      <c r="AD156" s="4">
        <v>130</v>
      </c>
      <c r="AE156" s="4">
        <v>130</v>
      </c>
      <c r="AF156" s="6">
        <v>73</v>
      </c>
      <c r="AG156" s="6"/>
      <c r="AH156" s="7"/>
      <c r="AI156" s="4"/>
      <c r="AJ156" s="4">
        <f>=ROUNDDOWN({0},0)</f>
      </c>
      <c r="AK156" s="5"/>
      <c r="AL156" s="2" t="s">
        <v>235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235</v>
      </c>
      <c r="AW156" s="8" t="s">
        <v>235</v>
      </c>
      <c r="AX156" s="4" t="s">
        <v>235</v>
      </c>
      <c r="AY156" s="8" t="s">
        <v>235</v>
      </c>
      <c r="AZ156" s="7" t="s">
        <v>235</v>
      </c>
      <c r="BA156" s="7" t="s">
        <v>235</v>
      </c>
      <c r="BB156" s="7"/>
      <c r="BC156" s="4" t="s">
        <v>235</v>
      </c>
      <c r="BD156" s="8" t="s">
        <v>235</v>
      </c>
      <c r="BE156" s="4" t="s">
        <v>235</v>
      </c>
      <c r="BF156" s="8" t="s">
        <v>235</v>
      </c>
      <c r="BG156" s="7" t="s">
        <v>235</v>
      </c>
      <c r="BH156" s="7" t="s">
        <v>235</v>
      </c>
      <c r="BI156" s="7"/>
      <c r="BJ156" s="4"/>
      <c r="BK156" s="8"/>
      <c r="BL156" s="2" t="s">
        <v>235</v>
      </c>
      <c r="BM156" s="7"/>
      <c r="BN156" s="7"/>
      <c r="BO156" s="4"/>
      <c r="BP156" s="8"/>
      <c r="BQ156" s="4"/>
      <c r="BR156" s="8"/>
      <c r="BS156" s="7"/>
      <c r="BT156" s="7"/>
      <c r="BU156" s="2" t="s">
        <v>330</v>
      </c>
      <c r="BV156" s="2" t="s">
        <v>235</v>
      </c>
      <c r="BW156" s="2" t="s">
        <v>235</v>
      </c>
      <c r="BX156" s="2" t="s">
        <v>330</v>
      </c>
      <c r="BY156" s="2" t="s">
        <v>331</v>
      </c>
      <c r="BZ156" s="2" t="s">
        <v>232</v>
      </c>
      <c r="CA156" s="2" t="s">
        <v>235</v>
      </c>
      <c r="CB156" s="2" t="s">
        <v>235</v>
      </c>
      <c r="CC156" s="2" t="s">
        <v>248</v>
      </c>
      <c r="CD156" s="2" t="s">
        <v>248</v>
      </c>
      <c r="CE156" s="2" t="s">
        <v>235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>
        <v>130</v>
      </c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>
        <v>130</v>
      </c>
      <c r="GL156" s="4">
        <v>130</v>
      </c>
      <c r="GM156" s="4">
        <v>130</v>
      </c>
      <c r="GN156" s="4">
        <v>130</v>
      </c>
      <c r="GO156" s="4">
        <v>130</v>
      </c>
      <c r="GP156" s="4">
        <v>130</v>
      </c>
      <c r="GQ156" s="4">
        <v>130</v>
      </c>
      <c r="GR156" s="4">
        <v>130</v>
      </c>
      <c r="GS156" s="4">
        <v>130</v>
      </c>
      <c r="GT156" s="4">
        <v>130</v>
      </c>
      <c r="GU156" s="4">
        <v>130</v>
      </c>
      <c r="GV156" s="4">
        <v>130</v>
      </c>
      <c r="GW156" s="4">
        <v>130</v>
      </c>
      <c r="GX156" s="4">
        <v>130</v>
      </c>
      <c r="GY156" s="4">
        <v>130</v>
      </c>
      <c r="GZ156" s="4">
        <v>130</v>
      </c>
      <c r="HA156" s="4">
        <v>130</v>
      </c>
      <c r="HB156" s="4">
        <v>130</v>
      </c>
      <c r="HC156" s="4">
        <v>130</v>
      </c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</row>
    <row r="157">
      <c r="A157" s="2" t="s">
        <v>713</v>
      </c>
      <c r="B157" s="2" t="s">
        <v>323</v>
      </c>
      <c r="C157" s="2" t="s">
        <v>324</v>
      </c>
      <c r="D157" s="2" t="s">
        <v>257</v>
      </c>
      <c r="E157" s="2" t="s">
        <v>258</v>
      </c>
      <c r="F157" s="2" t="s">
        <v>679</v>
      </c>
      <c r="G157" s="2" t="s">
        <v>679</v>
      </c>
      <c r="H157" s="2" t="s">
        <v>679</v>
      </c>
      <c r="I157" s="2" t="s">
        <v>680</v>
      </c>
      <c r="J157" s="2" t="s">
        <v>261</v>
      </c>
      <c r="K157" s="2" t="s">
        <v>542</v>
      </c>
      <c r="L157" s="3">
        <v>30.71</v>
      </c>
      <c r="M157" s="3">
        <v>32.25</v>
      </c>
      <c r="N157" s="3">
        <v>64.99</v>
      </c>
      <c r="O157" s="2" t="s">
        <v>327</v>
      </c>
      <c r="P157" s="2" t="s">
        <v>333</v>
      </c>
      <c r="Q157" s="2" t="s">
        <v>234</v>
      </c>
      <c r="R157" s="2" t="s">
        <v>235</v>
      </c>
      <c r="S157" s="2" t="s">
        <v>235</v>
      </c>
      <c r="T157" s="2" t="s">
        <v>328</v>
      </c>
      <c r="U157" s="2" t="s">
        <v>264</v>
      </c>
      <c r="V157" s="2" t="s">
        <v>238</v>
      </c>
      <c r="W157" s="2" t="s">
        <v>329</v>
      </c>
      <c r="X157" s="2" t="s">
        <v>235</v>
      </c>
      <c r="Y157" s="2" t="s">
        <v>235</v>
      </c>
      <c r="Z157" s="4"/>
      <c r="AA157" s="4">
        <f>=ROUNDDOWN({0},0)</f>
      </c>
      <c r="AB157" s="5">
        <v>18</v>
      </c>
      <c r="AC157" s="2" t="s">
        <v>166</v>
      </c>
      <c r="AD157" s="4">
        <v>900</v>
      </c>
      <c r="AE157" s="4">
        <v>900</v>
      </c>
      <c r="AF157" s="6">
        <v>73</v>
      </c>
      <c r="AG157" s="6"/>
      <c r="AH157" s="7"/>
      <c r="AI157" s="4"/>
      <c r="AJ157" s="4">
        <f>=ROUNDDOWN({0},0)</f>
      </c>
      <c r="AK157" s="5"/>
      <c r="AL157" s="2" t="s">
        <v>235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235</v>
      </c>
      <c r="AW157" s="8" t="s">
        <v>235</v>
      </c>
      <c r="AX157" s="4" t="s">
        <v>235</v>
      </c>
      <c r="AY157" s="8" t="s">
        <v>235</v>
      </c>
      <c r="AZ157" s="7" t="s">
        <v>235</v>
      </c>
      <c r="BA157" s="7" t="s">
        <v>235</v>
      </c>
      <c r="BB157" s="7"/>
      <c r="BC157" s="4" t="s">
        <v>235</v>
      </c>
      <c r="BD157" s="8" t="s">
        <v>235</v>
      </c>
      <c r="BE157" s="4" t="s">
        <v>235</v>
      </c>
      <c r="BF157" s="8" t="s">
        <v>235</v>
      </c>
      <c r="BG157" s="7" t="s">
        <v>235</v>
      </c>
      <c r="BH157" s="7" t="s">
        <v>235</v>
      </c>
      <c r="BI157" s="7"/>
      <c r="BJ157" s="4"/>
      <c r="BK157" s="8"/>
      <c r="BL157" s="2" t="s">
        <v>235</v>
      </c>
      <c r="BM157" s="7"/>
      <c r="BN157" s="7"/>
      <c r="BO157" s="4"/>
      <c r="BP157" s="8"/>
      <c r="BQ157" s="4"/>
      <c r="BR157" s="8"/>
      <c r="BS157" s="7"/>
      <c r="BT157" s="7"/>
      <c r="BU157" s="2" t="s">
        <v>330</v>
      </c>
      <c r="BV157" s="2" t="s">
        <v>235</v>
      </c>
      <c r="BW157" s="2" t="s">
        <v>235</v>
      </c>
      <c r="BX157" s="2" t="s">
        <v>330</v>
      </c>
      <c r="BY157" s="2" t="s">
        <v>331</v>
      </c>
      <c r="BZ157" s="2" t="s">
        <v>232</v>
      </c>
      <c r="CA157" s="2" t="s">
        <v>235</v>
      </c>
      <c r="CB157" s="2" t="s">
        <v>235</v>
      </c>
      <c r="CC157" s="2" t="s">
        <v>248</v>
      </c>
      <c r="CD157" s="2" t="s">
        <v>248</v>
      </c>
      <c r="CE157" s="2" t="s">
        <v>235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>
        <v>900</v>
      </c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>
        <v>900</v>
      </c>
      <c r="GL157" s="4">
        <v>900</v>
      </c>
      <c r="GM157" s="4">
        <v>900</v>
      </c>
      <c r="GN157" s="4">
        <v>900</v>
      </c>
      <c r="GO157" s="4">
        <v>900</v>
      </c>
      <c r="GP157" s="4">
        <v>900</v>
      </c>
      <c r="GQ157" s="4">
        <v>900</v>
      </c>
      <c r="GR157" s="4">
        <v>900</v>
      </c>
      <c r="GS157" s="4">
        <v>900</v>
      </c>
      <c r="GT157" s="4">
        <v>900</v>
      </c>
      <c r="GU157" s="4">
        <v>900</v>
      </c>
      <c r="GV157" s="4">
        <v>900</v>
      </c>
      <c r="GW157" s="4">
        <v>900</v>
      </c>
      <c r="GX157" s="4">
        <v>900</v>
      </c>
      <c r="GY157" s="4">
        <v>900</v>
      </c>
      <c r="GZ157" s="4">
        <v>900</v>
      </c>
      <c r="HA157" s="4">
        <v>900</v>
      </c>
      <c r="HB157" s="4">
        <v>900</v>
      </c>
      <c r="HC157" s="4">
        <v>900</v>
      </c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</row>
    <row r="158">
      <c r="A158" s="2" t="s">
        <v>714</v>
      </c>
      <c r="B158" s="2" t="s">
        <v>323</v>
      </c>
      <c r="C158" s="2" t="s">
        <v>324</v>
      </c>
      <c r="D158" s="2" t="s">
        <v>257</v>
      </c>
      <c r="E158" s="2" t="s">
        <v>258</v>
      </c>
      <c r="F158" s="2" t="s">
        <v>679</v>
      </c>
      <c r="G158" s="2" t="s">
        <v>679</v>
      </c>
      <c r="H158" s="2" t="s">
        <v>679</v>
      </c>
      <c r="I158" s="2" t="s">
        <v>680</v>
      </c>
      <c r="J158" s="2" t="s">
        <v>270</v>
      </c>
      <c r="K158" s="2" t="s">
        <v>542</v>
      </c>
      <c r="L158" s="3">
        <v>33.08</v>
      </c>
      <c r="M158" s="3">
        <v>34.73</v>
      </c>
      <c r="N158" s="3">
        <v>69.99</v>
      </c>
      <c r="O158" s="2" t="s">
        <v>327</v>
      </c>
      <c r="P158" s="2" t="s">
        <v>698</v>
      </c>
      <c r="Q158" s="2" t="s">
        <v>234</v>
      </c>
      <c r="R158" s="2" t="s">
        <v>235</v>
      </c>
      <c r="S158" s="2" t="s">
        <v>235</v>
      </c>
      <c r="T158" s="2" t="s">
        <v>328</v>
      </c>
      <c r="U158" s="2" t="s">
        <v>264</v>
      </c>
      <c r="V158" s="2" t="s">
        <v>238</v>
      </c>
      <c r="W158" s="2" t="s">
        <v>329</v>
      </c>
      <c r="X158" s="2" t="s">
        <v>235</v>
      </c>
      <c r="Y158" s="2" t="s">
        <v>235</v>
      </c>
      <c r="Z158" s="4"/>
      <c r="AA158" s="4">
        <f>=ROUNDDOWN({0},0)</f>
      </c>
      <c r="AB158" s="5"/>
      <c r="AC158" s="2" t="s">
        <v>166</v>
      </c>
      <c r="AD158" s="4">
        <v>660</v>
      </c>
      <c r="AE158" s="4">
        <v>660</v>
      </c>
      <c r="AF158" s="6">
        <v>73</v>
      </c>
      <c r="AG158" s="6"/>
      <c r="AH158" s="7"/>
      <c r="AI158" s="4"/>
      <c r="AJ158" s="4">
        <f>=ROUNDDOWN({0},0)</f>
      </c>
      <c r="AK158" s="5"/>
      <c r="AL158" s="2" t="s">
        <v>235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235</v>
      </c>
      <c r="AW158" s="8" t="s">
        <v>235</v>
      </c>
      <c r="AX158" s="4" t="s">
        <v>235</v>
      </c>
      <c r="AY158" s="8" t="s">
        <v>235</v>
      </c>
      <c r="AZ158" s="7" t="s">
        <v>235</v>
      </c>
      <c r="BA158" s="7" t="s">
        <v>235</v>
      </c>
      <c r="BB158" s="7"/>
      <c r="BC158" s="4" t="s">
        <v>235</v>
      </c>
      <c r="BD158" s="8" t="s">
        <v>235</v>
      </c>
      <c r="BE158" s="4" t="s">
        <v>235</v>
      </c>
      <c r="BF158" s="8" t="s">
        <v>235</v>
      </c>
      <c r="BG158" s="7" t="s">
        <v>235</v>
      </c>
      <c r="BH158" s="7" t="s">
        <v>235</v>
      </c>
      <c r="BI158" s="7"/>
      <c r="BJ158" s="4"/>
      <c r="BK158" s="8"/>
      <c r="BL158" s="2" t="s">
        <v>235</v>
      </c>
      <c r="BM158" s="7"/>
      <c r="BN158" s="7"/>
      <c r="BO158" s="4"/>
      <c r="BP158" s="8"/>
      <c r="BQ158" s="4"/>
      <c r="BR158" s="8"/>
      <c r="BS158" s="7"/>
      <c r="BT158" s="7"/>
      <c r="BU158" s="2" t="s">
        <v>330</v>
      </c>
      <c r="BV158" s="2" t="s">
        <v>235</v>
      </c>
      <c r="BW158" s="2" t="s">
        <v>235</v>
      </c>
      <c r="BX158" s="2" t="s">
        <v>330</v>
      </c>
      <c r="BY158" s="2" t="s">
        <v>331</v>
      </c>
      <c r="BZ158" s="2" t="s">
        <v>232</v>
      </c>
      <c r="CA158" s="2" t="s">
        <v>235</v>
      </c>
      <c r="CB158" s="2" t="s">
        <v>235</v>
      </c>
      <c r="CC158" s="2" t="s">
        <v>248</v>
      </c>
      <c r="CD158" s="2" t="s">
        <v>248</v>
      </c>
      <c r="CE158" s="2" t="s">
        <v>235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>
        <v>660</v>
      </c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>
        <v>660</v>
      </c>
      <c r="GL158" s="4">
        <v>660</v>
      </c>
      <c r="GM158" s="4">
        <v>660</v>
      </c>
      <c r="GN158" s="4">
        <v>660</v>
      </c>
      <c r="GO158" s="4">
        <v>660</v>
      </c>
      <c r="GP158" s="4">
        <v>660</v>
      </c>
      <c r="GQ158" s="4">
        <v>660</v>
      </c>
      <c r="GR158" s="4">
        <v>660</v>
      </c>
      <c r="GS158" s="4">
        <v>660</v>
      </c>
      <c r="GT158" s="4">
        <v>660</v>
      </c>
      <c r="GU158" s="4">
        <v>660</v>
      </c>
      <c r="GV158" s="4">
        <v>660</v>
      </c>
      <c r="GW158" s="4">
        <v>660</v>
      </c>
      <c r="GX158" s="4">
        <v>660</v>
      </c>
      <c r="GY158" s="4">
        <v>660</v>
      </c>
      <c r="GZ158" s="4">
        <v>660</v>
      </c>
      <c r="HA158" s="4">
        <v>660</v>
      </c>
      <c r="HB158" s="4">
        <v>660</v>
      </c>
      <c r="HC158" s="4">
        <v>660</v>
      </c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</row>
    <row r="159">
      <c r="A159" s="2" t="s">
        <v>715</v>
      </c>
      <c r="B159" s="2" t="s">
        <v>323</v>
      </c>
      <c r="C159" s="2" t="s">
        <v>324</v>
      </c>
      <c r="D159" s="2" t="s">
        <v>257</v>
      </c>
      <c r="E159" s="2" t="s">
        <v>258</v>
      </c>
      <c r="F159" s="2" t="s">
        <v>679</v>
      </c>
      <c r="G159" s="2" t="s">
        <v>679</v>
      </c>
      <c r="H159" s="2" t="s">
        <v>679</v>
      </c>
      <c r="I159" s="2" t="s">
        <v>680</v>
      </c>
      <c r="J159" s="2" t="s">
        <v>272</v>
      </c>
      <c r="K159" s="2" t="s">
        <v>542</v>
      </c>
      <c r="L159" s="3">
        <v>33.08</v>
      </c>
      <c r="M159" s="3">
        <v>34.73</v>
      </c>
      <c r="N159" s="3">
        <v>69.99</v>
      </c>
      <c r="O159" s="2" t="s">
        <v>327</v>
      </c>
      <c r="P159" s="2" t="s">
        <v>233</v>
      </c>
      <c r="Q159" s="2" t="s">
        <v>234</v>
      </c>
      <c r="R159" s="2" t="s">
        <v>235</v>
      </c>
      <c r="S159" s="2" t="s">
        <v>235</v>
      </c>
      <c r="T159" s="2" t="s">
        <v>328</v>
      </c>
      <c r="U159" s="2" t="s">
        <v>264</v>
      </c>
      <c r="V159" s="2" t="s">
        <v>238</v>
      </c>
      <c r="W159" s="2" t="s">
        <v>329</v>
      </c>
      <c r="X159" s="2" t="s">
        <v>235</v>
      </c>
      <c r="Y159" s="2" t="s">
        <v>235</v>
      </c>
      <c r="Z159" s="4"/>
      <c r="AA159" s="4">
        <f>=ROUNDDOWN({0},0)</f>
      </c>
      <c r="AB159" s="5"/>
      <c r="AC159" s="2" t="s">
        <v>166</v>
      </c>
      <c r="AD159" s="4">
        <v>200</v>
      </c>
      <c r="AE159" s="4">
        <v>200</v>
      </c>
      <c r="AF159" s="6">
        <v>73</v>
      </c>
      <c r="AG159" s="6"/>
      <c r="AH159" s="7"/>
      <c r="AI159" s="4"/>
      <c r="AJ159" s="4">
        <f>=ROUNDDOWN({0},0)</f>
      </c>
      <c r="AK159" s="5"/>
      <c r="AL159" s="2" t="s">
        <v>235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235</v>
      </c>
      <c r="AW159" s="8" t="s">
        <v>235</v>
      </c>
      <c r="AX159" s="4" t="s">
        <v>235</v>
      </c>
      <c r="AY159" s="8" t="s">
        <v>235</v>
      </c>
      <c r="AZ159" s="7" t="s">
        <v>235</v>
      </c>
      <c r="BA159" s="7" t="s">
        <v>235</v>
      </c>
      <c r="BB159" s="7"/>
      <c r="BC159" s="4" t="s">
        <v>235</v>
      </c>
      <c r="BD159" s="8" t="s">
        <v>235</v>
      </c>
      <c r="BE159" s="4" t="s">
        <v>235</v>
      </c>
      <c r="BF159" s="8" t="s">
        <v>235</v>
      </c>
      <c r="BG159" s="7" t="s">
        <v>235</v>
      </c>
      <c r="BH159" s="7" t="s">
        <v>235</v>
      </c>
      <c r="BI159" s="7"/>
      <c r="BJ159" s="4"/>
      <c r="BK159" s="8"/>
      <c r="BL159" s="2" t="s">
        <v>235</v>
      </c>
      <c r="BM159" s="7"/>
      <c r="BN159" s="7"/>
      <c r="BO159" s="4"/>
      <c r="BP159" s="8"/>
      <c r="BQ159" s="4"/>
      <c r="BR159" s="8"/>
      <c r="BS159" s="7"/>
      <c r="BT159" s="7"/>
      <c r="BU159" s="2" t="s">
        <v>330</v>
      </c>
      <c r="BV159" s="2" t="s">
        <v>235</v>
      </c>
      <c r="BW159" s="2" t="s">
        <v>235</v>
      </c>
      <c r="BX159" s="2" t="s">
        <v>330</v>
      </c>
      <c r="BY159" s="2" t="s">
        <v>331</v>
      </c>
      <c r="BZ159" s="2" t="s">
        <v>232</v>
      </c>
      <c r="CA159" s="2" t="s">
        <v>235</v>
      </c>
      <c r="CB159" s="2" t="s">
        <v>235</v>
      </c>
      <c r="CC159" s="2" t="s">
        <v>248</v>
      </c>
      <c r="CD159" s="2" t="s">
        <v>248</v>
      </c>
      <c r="CE159" s="2" t="s">
        <v>235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>
        <v>200</v>
      </c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>
        <v>200</v>
      </c>
      <c r="GL159" s="4">
        <v>200</v>
      </c>
      <c r="GM159" s="4">
        <v>200</v>
      </c>
      <c r="GN159" s="4">
        <v>200</v>
      </c>
      <c r="GO159" s="4">
        <v>200</v>
      </c>
      <c r="GP159" s="4">
        <v>200</v>
      </c>
      <c r="GQ159" s="4">
        <v>200</v>
      </c>
      <c r="GR159" s="4">
        <v>200</v>
      </c>
      <c r="GS159" s="4">
        <v>200</v>
      </c>
      <c r="GT159" s="4">
        <v>200</v>
      </c>
      <c r="GU159" s="4">
        <v>200</v>
      </c>
      <c r="GV159" s="4">
        <v>200</v>
      </c>
      <c r="GW159" s="4">
        <v>200</v>
      </c>
      <c r="GX159" s="4">
        <v>200</v>
      </c>
      <c r="GY159" s="4">
        <v>200</v>
      </c>
      <c r="GZ159" s="4">
        <v>200</v>
      </c>
      <c r="HA159" s="4">
        <v>200</v>
      </c>
      <c r="HB159" s="4">
        <v>200</v>
      </c>
      <c r="HC159" s="4">
        <v>200</v>
      </c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</row>
    <row r="160">
      <c r="A160" s="2" t="s">
        <v>716</v>
      </c>
      <c r="B160" s="2" t="s">
        <v>323</v>
      </c>
      <c r="C160" s="2" t="s">
        <v>324</v>
      </c>
      <c r="D160" s="2" t="s">
        <v>257</v>
      </c>
      <c r="E160" s="2" t="s">
        <v>258</v>
      </c>
      <c r="F160" s="2" t="s">
        <v>679</v>
      </c>
      <c r="G160" s="2" t="s">
        <v>679</v>
      </c>
      <c r="H160" s="2" t="s">
        <v>679</v>
      </c>
      <c r="I160" s="2" t="s">
        <v>680</v>
      </c>
      <c r="J160" s="2" t="s">
        <v>250</v>
      </c>
      <c r="K160" s="2" t="s">
        <v>550</v>
      </c>
      <c r="L160" s="3">
        <v>27.72</v>
      </c>
      <c r="M160" s="3">
        <v>29.11</v>
      </c>
      <c r="N160" s="3">
        <v>59.99</v>
      </c>
      <c r="O160" s="2" t="s">
        <v>327</v>
      </c>
      <c r="P160" s="2" t="s">
        <v>233</v>
      </c>
      <c r="Q160" s="2" t="s">
        <v>234</v>
      </c>
      <c r="R160" s="2" t="s">
        <v>235</v>
      </c>
      <c r="S160" s="2" t="s">
        <v>235</v>
      </c>
      <c r="T160" s="2" t="s">
        <v>328</v>
      </c>
      <c r="U160" s="2" t="s">
        <v>264</v>
      </c>
      <c r="V160" s="2" t="s">
        <v>238</v>
      </c>
      <c r="W160" s="2" t="s">
        <v>329</v>
      </c>
      <c r="X160" s="2" t="s">
        <v>235</v>
      </c>
      <c r="Y160" s="2" t="s">
        <v>235</v>
      </c>
      <c r="Z160" s="4"/>
      <c r="AA160" s="4">
        <f>=ROUNDDOWN({0},0)</f>
      </c>
      <c r="AB160" s="5"/>
      <c r="AC160" s="2" t="s">
        <v>166</v>
      </c>
      <c r="AD160" s="4">
        <v>300</v>
      </c>
      <c r="AE160" s="4">
        <v>300</v>
      </c>
      <c r="AF160" s="6">
        <v>73</v>
      </c>
      <c r="AG160" s="6"/>
      <c r="AH160" s="7"/>
      <c r="AI160" s="4"/>
      <c r="AJ160" s="4">
        <f>=ROUNDDOWN({0},0)</f>
      </c>
      <c r="AK160" s="5"/>
      <c r="AL160" s="2" t="s">
        <v>235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235</v>
      </c>
      <c r="AW160" s="8" t="s">
        <v>235</v>
      </c>
      <c r="AX160" s="4" t="s">
        <v>235</v>
      </c>
      <c r="AY160" s="8" t="s">
        <v>235</v>
      </c>
      <c r="AZ160" s="7" t="s">
        <v>235</v>
      </c>
      <c r="BA160" s="7" t="s">
        <v>235</v>
      </c>
      <c r="BB160" s="7"/>
      <c r="BC160" s="4" t="s">
        <v>235</v>
      </c>
      <c r="BD160" s="8" t="s">
        <v>235</v>
      </c>
      <c r="BE160" s="4" t="s">
        <v>235</v>
      </c>
      <c r="BF160" s="8" t="s">
        <v>235</v>
      </c>
      <c r="BG160" s="7" t="s">
        <v>235</v>
      </c>
      <c r="BH160" s="7" t="s">
        <v>235</v>
      </c>
      <c r="BI160" s="7"/>
      <c r="BJ160" s="4"/>
      <c r="BK160" s="8"/>
      <c r="BL160" s="2" t="s">
        <v>235</v>
      </c>
      <c r="BM160" s="7"/>
      <c r="BN160" s="7"/>
      <c r="BO160" s="4"/>
      <c r="BP160" s="8"/>
      <c r="BQ160" s="4"/>
      <c r="BR160" s="8"/>
      <c r="BS160" s="7"/>
      <c r="BT160" s="7"/>
      <c r="BU160" s="2" t="s">
        <v>330</v>
      </c>
      <c r="BV160" s="2" t="s">
        <v>235</v>
      </c>
      <c r="BW160" s="2" t="s">
        <v>235</v>
      </c>
      <c r="BX160" s="2" t="s">
        <v>330</v>
      </c>
      <c r="BY160" s="2" t="s">
        <v>331</v>
      </c>
      <c r="BZ160" s="2" t="s">
        <v>232</v>
      </c>
      <c r="CA160" s="2" t="s">
        <v>235</v>
      </c>
      <c r="CB160" s="2" t="s">
        <v>235</v>
      </c>
      <c r="CC160" s="2" t="s">
        <v>248</v>
      </c>
      <c r="CD160" s="2" t="s">
        <v>248</v>
      </c>
      <c r="CE160" s="2" t="s">
        <v>235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>
        <v>300</v>
      </c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>
        <v>300</v>
      </c>
      <c r="GL160" s="4">
        <v>300</v>
      </c>
      <c r="GM160" s="4">
        <v>300</v>
      </c>
      <c r="GN160" s="4">
        <v>300</v>
      </c>
      <c r="GO160" s="4">
        <v>300</v>
      </c>
      <c r="GP160" s="4">
        <v>300</v>
      </c>
      <c r="GQ160" s="4">
        <v>300</v>
      </c>
      <c r="GR160" s="4">
        <v>300</v>
      </c>
      <c r="GS160" s="4">
        <v>300</v>
      </c>
      <c r="GT160" s="4">
        <v>300</v>
      </c>
      <c r="GU160" s="4">
        <v>300</v>
      </c>
      <c r="GV160" s="4">
        <v>300</v>
      </c>
      <c r="GW160" s="4">
        <v>300</v>
      </c>
      <c r="GX160" s="4">
        <v>300</v>
      </c>
      <c r="GY160" s="4">
        <v>300</v>
      </c>
      <c r="GZ160" s="4">
        <v>300</v>
      </c>
      <c r="HA160" s="4">
        <v>300</v>
      </c>
      <c r="HB160" s="4">
        <v>300</v>
      </c>
      <c r="HC160" s="4">
        <v>300</v>
      </c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</row>
    <row r="161">
      <c r="A161" s="2" t="s">
        <v>717</v>
      </c>
      <c r="B161" s="2" t="s">
        <v>323</v>
      </c>
      <c r="C161" s="2" t="s">
        <v>324</v>
      </c>
      <c r="D161" s="2" t="s">
        <v>257</v>
      </c>
      <c r="E161" s="2" t="s">
        <v>258</v>
      </c>
      <c r="F161" s="2" t="s">
        <v>679</v>
      </c>
      <c r="G161" s="2" t="s">
        <v>679</v>
      </c>
      <c r="H161" s="2" t="s">
        <v>679</v>
      </c>
      <c r="I161" s="2" t="s">
        <v>680</v>
      </c>
      <c r="J161" s="2" t="s">
        <v>261</v>
      </c>
      <c r="K161" s="2" t="s">
        <v>550</v>
      </c>
      <c r="L161" s="3">
        <v>30.71</v>
      </c>
      <c r="M161" s="3">
        <v>32.25</v>
      </c>
      <c r="N161" s="3">
        <v>64.99</v>
      </c>
      <c r="O161" s="2" t="s">
        <v>327</v>
      </c>
      <c r="P161" s="2" t="s">
        <v>333</v>
      </c>
      <c r="Q161" s="2" t="s">
        <v>234</v>
      </c>
      <c r="R161" s="2" t="s">
        <v>235</v>
      </c>
      <c r="S161" s="2" t="s">
        <v>235</v>
      </c>
      <c r="T161" s="2" t="s">
        <v>328</v>
      </c>
      <c r="U161" s="2" t="s">
        <v>264</v>
      </c>
      <c r="V161" s="2" t="s">
        <v>238</v>
      </c>
      <c r="W161" s="2" t="s">
        <v>329</v>
      </c>
      <c r="X161" s="2" t="s">
        <v>235</v>
      </c>
      <c r="Y161" s="2" t="s">
        <v>235</v>
      </c>
      <c r="Z161" s="4"/>
      <c r="AA161" s="4">
        <f>=ROUNDDOWN({0},0)</f>
      </c>
      <c r="AB161" s="5"/>
      <c r="AC161" s="2" t="s">
        <v>166</v>
      </c>
      <c r="AD161" s="4">
        <v>800</v>
      </c>
      <c r="AE161" s="4">
        <v>800</v>
      </c>
      <c r="AF161" s="6">
        <v>73</v>
      </c>
      <c r="AG161" s="6"/>
      <c r="AH161" s="7"/>
      <c r="AI161" s="4"/>
      <c r="AJ161" s="4">
        <f>=ROUNDDOWN({0},0)</f>
      </c>
      <c r="AK161" s="5"/>
      <c r="AL161" s="2" t="s">
        <v>235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235</v>
      </c>
      <c r="AW161" s="8" t="s">
        <v>235</v>
      </c>
      <c r="AX161" s="4" t="s">
        <v>235</v>
      </c>
      <c r="AY161" s="8" t="s">
        <v>235</v>
      </c>
      <c r="AZ161" s="7" t="s">
        <v>235</v>
      </c>
      <c r="BA161" s="7" t="s">
        <v>235</v>
      </c>
      <c r="BB161" s="7"/>
      <c r="BC161" s="4" t="s">
        <v>235</v>
      </c>
      <c r="BD161" s="8" t="s">
        <v>235</v>
      </c>
      <c r="BE161" s="4" t="s">
        <v>235</v>
      </c>
      <c r="BF161" s="8" t="s">
        <v>235</v>
      </c>
      <c r="BG161" s="7" t="s">
        <v>235</v>
      </c>
      <c r="BH161" s="7" t="s">
        <v>235</v>
      </c>
      <c r="BI161" s="7"/>
      <c r="BJ161" s="4"/>
      <c r="BK161" s="8"/>
      <c r="BL161" s="2" t="s">
        <v>235</v>
      </c>
      <c r="BM161" s="7"/>
      <c r="BN161" s="7"/>
      <c r="BO161" s="4"/>
      <c r="BP161" s="8"/>
      <c r="BQ161" s="4"/>
      <c r="BR161" s="8"/>
      <c r="BS161" s="7"/>
      <c r="BT161" s="7"/>
      <c r="BU161" s="2" t="s">
        <v>330</v>
      </c>
      <c r="BV161" s="2" t="s">
        <v>235</v>
      </c>
      <c r="BW161" s="2" t="s">
        <v>235</v>
      </c>
      <c r="BX161" s="2" t="s">
        <v>330</v>
      </c>
      <c r="BY161" s="2" t="s">
        <v>331</v>
      </c>
      <c r="BZ161" s="2" t="s">
        <v>232</v>
      </c>
      <c r="CA161" s="2" t="s">
        <v>235</v>
      </c>
      <c r="CB161" s="2" t="s">
        <v>235</v>
      </c>
      <c r="CC161" s="2" t="s">
        <v>248</v>
      </c>
      <c r="CD161" s="2" t="s">
        <v>248</v>
      </c>
      <c r="CE161" s="2" t="s">
        <v>235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>
        <v>800</v>
      </c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>
        <v>800</v>
      </c>
      <c r="GL161" s="4">
        <v>800</v>
      </c>
      <c r="GM161" s="4">
        <v>800</v>
      </c>
      <c r="GN161" s="4">
        <v>800</v>
      </c>
      <c r="GO161" s="4">
        <v>800</v>
      </c>
      <c r="GP161" s="4">
        <v>800</v>
      </c>
      <c r="GQ161" s="4">
        <v>800</v>
      </c>
      <c r="GR161" s="4">
        <v>800</v>
      </c>
      <c r="GS161" s="4">
        <v>800</v>
      </c>
      <c r="GT161" s="4">
        <v>800</v>
      </c>
      <c r="GU161" s="4">
        <v>800</v>
      </c>
      <c r="GV161" s="4">
        <v>800</v>
      </c>
      <c r="GW161" s="4">
        <v>800</v>
      </c>
      <c r="GX161" s="4">
        <v>800</v>
      </c>
      <c r="GY161" s="4">
        <v>800</v>
      </c>
      <c r="GZ161" s="4">
        <v>800</v>
      </c>
      <c r="HA161" s="4">
        <v>800</v>
      </c>
      <c r="HB161" s="4">
        <v>800</v>
      </c>
      <c r="HC161" s="4">
        <v>800</v>
      </c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19">
        <v>160</v>
      </c>
      <c r="IC161" s="19">
        <v>80</v>
      </c>
    </row>
    <row r="162">
      <c r="A162" s="2" t="s">
        <v>718</v>
      </c>
      <c r="B162" s="2" t="s">
        <v>323</v>
      </c>
      <c r="C162" s="2" t="s">
        <v>324</v>
      </c>
      <c r="D162" s="2" t="s">
        <v>257</v>
      </c>
      <c r="E162" s="2" t="s">
        <v>258</v>
      </c>
      <c r="F162" s="2" t="s">
        <v>679</v>
      </c>
      <c r="G162" s="2" t="s">
        <v>679</v>
      </c>
      <c r="H162" s="2" t="s">
        <v>679</v>
      </c>
      <c r="I162" s="2" t="s">
        <v>680</v>
      </c>
      <c r="J162" s="2" t="s">
        <v>270</v>
      </c>
      <c r="K162" s="2" t="s">
        <v>550</v>
      </c>
      <c r="L162" s="3">
        <v>33.08</v>
      </c>
      <c r="M162" s="3">
        <v>34.73</v>
      </c>
      <c r="N162" s="3">
        <v>69.99</v>
      </c>
      <c r="O162" s="2" t="s">
        <v>327</v>
      </c>
      <c r="P162" s="2" t="s">
        <v>336</v>
      </c>
      <c r="Q162" s="2" t="s">
        <v>234</v>
      </c>
      <c r="R162" s="2" t="s">
        <v>235</v>
      </c>
      <c r="S162" s="2" t="s">
        <v>235</v>
      </c>
      <c r="T162" s="2" t="s">
        <v>328</v>
      </c>
      <c r="U162" s="2" t="s">
        <v>264</v>
      </c>
      <c r="V162" s="2" t="s">
        <v>238</v>
      </c>
      <c r="W162" s="2" t="s">
        <v>329</v>
      </c>
      <c r="X162" s="2" t="s">
        <v>235</v>
      </c>
      <c r="Y162" s="2" t="s">
        <v>235</v>
      </c>
      <c r="Z162" s="4"/>
      <c r="AA162" s="4">
        <f>=ROUNDDOWN({0},0)</f>
      </c>
      <c r="AB162" s="5"/>
      <c r="AC162" s="2" t="s">
        <v>166</v>
      </c>
      <c r="AD162" s="4">
        <v>520</v>
      </c>
      <c r="AE162" s="4">
        <v>520</v>
      </c>
      <c r="AF162" s="6">
        <v>73</v>
      </c>
      <c r="AG162" s="6"/>
      <c r="AH162" s="7"/>
      <c r="AI162" s="4"/>
      <c r="AJ162" s="4">
        <f>=ROUNDDOWN({0},0)</f>
      </c>
      <c r="AK162" s="5"/>
      <c r="AL162" s="2" t="s">
        <v>235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235</v>
      </c>
      <c r="AW162" s="8" t="s">
        <v>235</v>
      </c>
      <c r="AX162" s="4" t="s">
        <v>235</v>
      </c>
      <c r="AY162" s="8" t="s">
        <v>235</v>
      </c>
      <c r="AZ162" s="7" t="s">
        <v>235</v>
      </c>
      <c r="BA162" s="7" t="s">
        <v>235</v>
      </c>
      <c r="BB162" s="7"/>
      <c r="BC162" s="4" t="s">
        <v>235</v>
      </c>
      <c r="BD162" s="8" t="s">
        <v>235</v>
      </c>
      <c r="BE162" s="4" t="s">
        <v>235</v>
      </c>
      <c r="BF162" s="8" t="s">
        <v>235</v>
      </c>
      <c r="BG162" s="7" t="s">
        <v>235</v>
      </c>
      <c r="BH162" s="7" t="s">
        <v>235</v>
      </c>
      <c r="BI162" s="7"/>
      <c r="BJ162" s="4"/>
      <c r="BK162" s="8"/>
      <c r="BL162" s="2" t="s">
        <v>235</v>
      </c>
      <c r="BM162" s="7"/>
      <c r="BN162" s="7"/>
      <c r="BO162" s="4"/>
      <c r="BP162" s="8"/>
      <c r="BQ162" s="4"/>
      <c r="BR162" s="8"/>
      <c r="BS162" s="7"/>
      <c r="BT162" s="7"/>
      <c r="BU162" s="2" t="s">
        <v>330</v>
      </c>
      <c r="BV162" s="2" t="s">
        <v>235</v>
      </c>
      <c r="BW162" s="2" t="s">
        <v>235</v>
      </c>
      <c r="BX162" s="2" t="s">
        <v>330</v>
      </c>
      <c r="BY162" s="2" t="s">
        <v>331</v>
      </c>
      <c r="BZ162" s="2" t="s">
        <v>232</v>
      </c>
      <c r="CA162" s="2" t="s">
        <v>235</v>
      </c>
      <c r="CB162" s="2" t="s">
        <v>235</v>
      </c>
      <c r="CC162" s="2" t="s">
        <v>248</v>
      </c>
      <c r="CD162" s="2" t="s">
        <v>248</v>
      </c>
      <c r="CE162" s="2" t="s">
        <v>235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>
        <v>520</v>
      </c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>
        <v>520</v>
      </c>
      <c r="GL162" s="4">
        <v>520</v>
      </c>
      <c r="GM162" s="4">
        <v>520</v>
      </c>
      <c r="GN162" s="4">
        <v>520</v>
      </c>
      <c r="GO162" s="4">
        <v>520</v>
      </c>
      <c r="GP162" s="4">
        <v>520</v>
      </c>
      <c r="GQ162" s="4">
        <v>520</v>
      </c>
      <c r="GR162" s="4">
        <v>520</v>
      </c>
      <c r="GS162" s="4">
        <v>520</v>
      </c>
      <c r="GT162" s="4">
        <v>520</v>
      </c>
      <c r="GU162" s="4">
        <v>520</v>
      </c>
      <c r="GV162" s="4">
        <v>520</v>
      </c>
      <c r="GW162" s="4">
        <v>520</v>
      </c>
      <c r="GX162" s="4">
        <v>520</v>
      </c>
      <c r="GY162" s="4">
        <v>520</v>
      </c>
      <c r="GZ162" s="4">
        <v>520</v>
      </c>
      <c r="HA162" s="4">
        <v>520</v>
      </c>
      <c r="HB162" s="4">
        <v>520</v>
      </c>
      <c r="HC162" s="4">
        <v>520</v>
      </c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</row>
    <row r="163">
      <c r="A163" s="2" t="s">
        <v>719</v>
      </c>
      <c r="B163" s="2" t="s">
        <v>323</v>
      </c>
      <c r="C163" s="2" t="s">
        <v>324</v>
      </c>
      <c r="D163" s="2" t="s">
        <v>257</v>
      </c>
      <c r="E163" s="2" t="s">
        <v>258</v>
      </c>
      <c r="F163" s="2" t="s">
        <v>679</v>
      </c>
      <c r="G163" s="2" t="s">
        <v>679</v>
      </c>
      <c r="H163" s="2" t="s">
        <v>679</v>
      </c>
      <c r="I163" s="2" t="s">
        <v>680</v>
      </c>
      <c r="J163" s="2" t="s">
        <v>272</v>
      </c>
      <c r="K163" s="2" t="s">
        <v>550</v>
      </c>
      <c r="L163" s="3">
        <v>33.08</v>
      </c>
      <c r="M163" s="3">
        <v>34.73</v>
      </c>
      <c r="N163" s="3">
        <v>69.99</v>
      </c>
      <c r="O163" s="2" t="s">
        <v>327</v>
      </c>
      <c r="P163" s="2" t="s">
        <v>233</v>
      </c>
      <c r="Q163" s="2" t="s">
        <v>234</v>
      </c>
      <c r="R163" s="2" t="s">
        <v>235</v>
      </c>
      <c r="S163" s="2" t="s">
        <v>235</v>
      </c>
      <c r="T163" s="2" t="s">
        <v>328</v>
      </c>
      <c r="U163" s="2" t="s">
        <v>264</v>
      </c>
      <c r="V163" s="2" t="s">
        <v>238</v>
      </c>
      <c r="W163" s="2" t="s">
        <v>329</v>
      </c>
      <c r="X163" s="2" t="s">
        <v>235</v>
      </c>
      <c r="Y163" s="2" t="s">
        <v>235</v>
      </c>
      <c r="Z163" s="4"/>
      <c r="AA163" s="4">
        <f>=ROUNDDOWN({0},0)</f>
      </c>
      <c r="AB163" s="5"/>
      <c r="AC163" s="2" t="s">
        <v>166</v>
      </c>
      <c r="AD163" s="4">
        <v>100</v>
      </c>
      <c r="AE163" s="4">
        <v>100</v>
      </c>
      <c r="AF163" s="6">
        <v>73</v>
      </c>
      <c r="AG163" s="6"/>
      <c r="AH163" s="7"/>
      <c r="AI163" s="4"/>
      <c r="AJ163" s="4">
        <f>=ROUNDDOWN({0},0)</f>
      </c>
      <c r="AK163" s="5"/>
      <c r="AL163" s="2" t="s">
        <v>235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235</v>
      </c>
      <c r="AW163" s="8" t="s">
        <v>235</v>
      </c>
      <c r="AX163" s="4" t="s">
        <v>235</v>
      </c>
      <c r="AY163" s="8" t="s">
        <v>235</v>
      </c>
      <c r="AZ163" s="7" t="s">
        <v>235</v>
      </c>
      <c r="BA163" s="7" t="s">
        <v>235</v>
      </c>
      <c r="BB163" s="7"/>
      <c r="BC163" s="4" t="s">
        <v>235</v>
      </c>
      <c r="BD163" s="8" t="s">
        <v>235</v>
      </c>
      <c r="BE163" s="4" t="s">
        <v>235</v>
      </c>
      <c r="BF163" s="8" t="s">
        <v>235</v>
      </c>
      <c r="BG163" s="7" t="s">
        <v>235</v>
      </c>
      <c r="BH163" s="7" t="s">
        <v>235</v>
      </c>
      <c r="BI163" s="7"/>
      <c r="BJ163" s="4"/>
      <c r="BK163" s="8"/>
      <c r="BL163" s="2" t="s">
        <v>235</v>
      </c>
      <c r="BM163" s="7"/>
      <c r="BN163" s="7"/>
      <c r="BO163" s="4"/>
      <c r="BP163" s="8"/>
      <c r="BQ163" s="4"/>
      <c r="BR163" s="8"/>
      <c r="BS163" s="7"/>
      <c r="BT163" s="7"/>
      <c r="BU163" s="2" t="s">
        <v>330</v>
      </c>
      <c r="BV163" s="2" t="s">
        <v>235</v>
      </c>
      <c r="BW163" s="2" t="s">
        <v>235</v>
      </c>
      <c r="BX163" s="2" t="s">
        <v>330</v>
      </c>
      <c r="BY163" s="2" t="s">
        <v>331</v>
      </c>
      <c r="BZ163" s="2" t="s">
        <v>232</v>
      </c>
      <c r="CA163" s="2" t="s">
        <v>235</v>
      </c>
      <c r="CB163" s="2" t="s">
        <v>235</v>
      </c>
      <c r="CC163" s="2" t="s">
        <v>248</v>
      </c>
      <c r="CD163" s="2" t="s">
        <v>248</v>
      </c>
      <c r="CE163" s="2" t="s">
        <v>235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>
        <v>100</v>
      </c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>
        <v>100</v>
      </c>
      <c r="GL163" s="4">
        <v>100</v>
      </c>
      <c r="GM163" s="4">
        <v>100</v>
      </c>
      <c r="GN163" s="4">
        <v>100</v>
      </c>
      <c r="GO163" s="4">
        <v>100</v>
      </c>
      <c r="GP163" s="4">
        <v>100</v>
      </c>
      <c r="GQ163" s="4">
        <v>100</v>
      </c>
      <c r="GR163" s="4">
        <v>100</v>
      </c>
      <c r="GS163" s="4">
        <v>100</v>
      </c>
      <c r="GT163" s="4">
        <v>100</v>
      </c>
      <c r="GU163" s="4">
        <v>100</v>
      </c>
      <c r="GV163" s="4">
        <v>100</v>
      </c>
      <c r="GW163" s="4">
        <v>100</v>
      </c>
      <c r="GX163" s="4">
        <v>100</v>
      </c>
      <c r="GY163" s="4">
        <v>100</v>
      </c>
      <c r="GZ163" s="4">
        <v>100</v>
      </c>
      <c r="HA163" s="4">
        <v>100</v>
      </c>
      <c r="HB163" s="4">
        <v>100</v>
      </c>
      <c r="HC163" s="4">
        <v>100</v>
      </c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</row>
    <row r="164">
      <c r="A164" s="2" t="s">
        <v>720</v>
      </c>
      <c r="B164" s="2" t="s">
        <v>323</v>
      </c>
      <c r="C164" s="2" t="s">
        <v>324</v>
      </c>
      <c r="D164" s="2" t="s">
        <v>257</v>
      </c>
      <c r="E164" s="2" t="s">
        <v>258</v>
      </c>
      <c r="F164" s="2" t="s">
        <v>679</v>
      </c>
      <c r="G164" s="2" t="s">
        <v>679</v>
      </c>
      <c r="H164" s="2" t="s">
        <v>679</v>
      </c>
      <c r="I164" s="2" t="s">
        <v>680</v>
      </c>
      <c r="J164" s="2" t="s">
        <v>250</v>
      </c>
      <c r="K164" s="2" t="s">
        <v>351</v>
      </c>
      <c r="L164" s="3">
        <v>27.72</v>
      </c>
      <c r="M164" s="3">
        <v>29.11</v>
      </c>
      <c r="N164" s="3">
        <v>59.99</v>
      </c>
      <c r="O164" s="2" t="s">
        <v>327</v>
      </c>
      <c r="P164" s="2" t="s">
        <v>233</v>
      </c>
      <c r="Q164" s="2" t="s">
        <v>234</v>
      </c>
      <c r="R164" s="2" t="s">
        <v>235</v>
      </c>
      <c r="S164" s="2" t="s">
        <v>235</v>
      </c>
      <c r="T164" s="2" t="s">
        <v>328</v>
      </c>
      <c r="U164" s="2" t="s">
        <v>264</v>
      </c>
      <c r="V164" s="2" t="s">
        <v>238</v>
      </c>
      <c r="W164" s="2" t="s">
        <v>329</v>
      </c>
      <c r="X164" s="2" t="s">
        <v>235</v>
      </c>
      <c r="Y164" s="2" t="s">
        <v>235</v>
      </c>
      <c r="Z164" s="4"/>
      <c r="AA164" s="4">
        <f>=ROUNDDOWN({0},0)</f>
      </c>
      <c r="AB164" s="5"/>
      <c r="AC164" s="2" t="s">
        <v>166</v>
      </c>
      <c r="AD164" s="4">
        <v>240</v>
      </c>
      <c r="AE164" s="4">
        <v>240</v>
      </c>
      <c r="AF164" s="6">
        <v>73</v>
      </c>
      <c r="AG164" s="6"/>
      <c r="AH164" s="7"/>
      <c r="AI164" s="4"/>
      <c r="AJ164" s="4">
        <f>=ROUNDDOWN({0},0)</f>
      </c>
      <c r="AK164" s="5"/>
      <c r="AL164" s="2" t="s">
        <v>235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235</v>
      </c>
      <c r="AW164" s="8" t="s">
        <v>235</v>
      </c>
      <c r="AX164" s="4" t="s">
        <v>235</v>
      </c>
      <c r="AY164" s="8" t="s">
        <v>235</v>
      </c>
      <c r="AZ164" s="7" t="s">
        <v>235</v>
      </c>
      <c r="BA164" s="7" t="s">
        <v>235</v>
      </c>
      <c r="BB164" s="7"/>
      <c r="BC164" s="4" t="s">
        <v>235</v>
      </c>
      <c r="BD164" s="8" t="s">
        <v>235</v>
      </c>
      <c r="BE164" s="4" t="s">
        <v>235</v>
      </c>
      <c r="BF164" s="8" t="s">
        <v>235</v>
      </c>
      <c r="BG164" s="7" t="s">
        <v>235</v>
      </c>
      <c r="BH164" s="7" t="s">
        <v>235</v>
      </c>
      <c r="BI164" s="7"/>
      <c r="BJ164" s="4"/>
      <c r="BK164" s="8"/>
      <c r="BL164" s="2" t="s">
        <v>235</v>
      </c>
      <c r="BM164" s="7"/>
      <c r="BN164" s="7"/>
      <c r="BO164" s="4"/>
      <c r="BP164" s="8"/>
      <c r="BQ164" s="4"/>
      <c r="BR164" s="8"/>
      <c r="BS164" s="7"/>
      <c r="BT164" s="7"/>
      <c r="BU164" s="2" t="s">
        <v>330</v>
      </c>
      <c r="BV164" s="2" t="s">
        <v>235</v>
      </c>
      <c r="BW164" s="2" t="s">
        <v>235</v>
      </c>
      <c r="BX164" s="2" t="s">
        <v>330</v>
      </c>
      <c r="BY164" s="2" t="s">
        <v>331</v>
      </c>
      <c r="BZ164" s="2" t="s">
        <v>232</v>
      </c>
      <c r="CA164" s="2" t="s">
        <v>235</v>
      </c>
      <c r="CB164" s="2" t="s">
        <v>235</v>
      </c>
      <c r="CC164" s="2" t="s">
        <v>248</v>
      </c>
      <c r="CD164" s="2" t="s">
        <v>248</v>
      </c>
      <c r="CE164" s="2" t="s">
        <v>235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>
        <v>240</v>
      </c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>
        <v>240</v>
      </c>
      <c r="GL164" s="4">
        <v>240</v>
      </c>
      <c r="GM164" s="4">
        <v>240</v>
      </c>
      <c r="GN164" s="4">
        <v>240</v>
      </c>
      <c r="GO164" s="4">
        <v>240</v>
      </c>
      <c r="GP164" s="4">
        <v>240</v>
      </c>
      <c r="GQ164" s="4">
        <v>240</v>
      </c>
      <c r="GR164" s="4">
        <v>240</v>
      </c>
      <c r="GS164" s="4">
        <v>240</v>
      </c>
      <c r="GT164" s="4">
        <v>240</v>
      </c>
      <c r="GU164" s="4">
        <v>240</v>
      </c>
      <c r="GV164" s="4">
        <v>240</v>
      </c>
      <c r="GW164" s="4">
        <v>240</v>
      </c>
      <c r="GX164" s="4">
        <v>240</v>
      </c>
      <c r="GY164" s="4">
        <v>240</v>
      </c>
      <c r="GZ164" s="4">
        <v>240</v>
      </c>
      <c r="HA164" s="4">
        <v>240</v>
      </c>
      <c r="HB164" s="4">
        <v>240</v>
      </c>
      <c r="HC164" s="4">
        <v>240</v>
      </c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</row>
    <row r="165">
      <c r="A165" s="2" t="s">
        <v>721</v>
      </c>
      <c r="B165" s="2" t="s">
        <v>323</v>
      </c>
      <c r="C165" s="2" t="s">
        <v>324</v>
      </c>
      <c r="D165" s="2" t="s">
        <v>257</v>
      </c>
      <c r="E165" s="2" t="s">
        <v>258</v>
      </c>
      <c r="F165" s="2" t="s">
        <v>679</v>
      </c>
      <c r="G165" s="2" t="s">
        <v>679</v>
      </c>
      <c r="H165" s="2" t="s">
        <v>679</v>
      </c>
      <c r="I165" s="2" t="s">
        <v>680</v>
      </c>
      <c r="J165" s="2" t="s">
        <v>261</v>
      </c>
      <c r="K165" s="2" t="s">
        <v>351</v>
      </c>
      <c r="L165" s="3">
        <v>30.71</v>
      </c>
      <c r="M165" s="3">
        <v>32.25</v>
      </c>
      <c r="N165" s="3">
        <v>64.99</v>
      </c>
      <c r="O165" s="2" t="s">
        <v>327</v>
      </c>
      <c r="P165" s="2" t="s">
        <v>333</v>
      </c>
      <c r="Q165" s="2" t="s">
        <v>234</v>
      </c>
      <c r="R165" s="2" t="s">
        <v>235</v>
      </c>
      <c r="S165" s="2" t="s">
        <v>235</v>
      </c>
      <c r="T165" s="2" t="s">
        <v>328</v>
      </c>
      <c r="U165" s="2" t="s">
        <v>264</v>
      </c>
      <c r="V165" s="2" t="s">
        <v>238</v>
      </c>
      <c r="W165" s="2" t="s">
        <v>329</v>
      </c>
      <c r="X165" s="2" t="s">
        <v>235</v>
      </c>
      <c r="Y165" s="2" t="s">
        <v>235</v>
      </c>
      <c r="Z165" s="4"/>
      <c r="AA165" s="4">
        <f>=ROUNDDOWN({0},0)</f>
      </c>
      <c r="AB165" s="5"/>
      <c r="AC165" s="2" t="s">
        <v>166</v>
      </c>
      <c r="AD165" s="4">
        <v>580</v>
      </c>
      <c r="AE165" s="4">
        <v>580</v>
      </c>
      <c r="AF165" s="6">
        <v>73</v>
      </c>
      <c r="AG165" s="6"/>
      <c r="AH165" s="7"/>
      <c r="AI165" s="4"/>
      <c r="AJ165" s="4">
        <f>=ROUNDDOWN({0},0)</f>
      </c>
      <c r="AK165" s="5"/>
      <c r="AL165" s="2" t="s">
        <v>235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235</v>
      </c>
      <c r="AW165" s="8" t="s">
        <v>235</v>
      </c>
      <c r="AX165" s="4" t="s">
        <v>235</v>
      </c>
      <c r="AY165" s="8" t="s">
        <v>235</v>
      </c>
      <c r="AZ165" s="7" t="s">
        <v>235</v>
      </c>
      <c r="BA165" s="7" t="s">
        <v>235</v>
      </c>
      <c r="BB165" s="7"/>
      <c r="BC165" s="4" t="s">
        <v>235</v>
      </c>
      <c r="BD165" s="8" t="s">
        <v>235</v>
      </c>
      <c r="BE165" s="4" t="s">
        <v>235</v>
      </c>
      <c r="BF165" s="8" t="s">
        <v>235</v>
      </c>
      <c r="BG165" s="7" t="s">
        <v>235</v>
      </c>
      <c r="BH165" s="7" t="s">
        <v>235</v>
      </c>
      <c r="BI165" s="7"/>
      <c r="BJ165" s="4"/>
      <c r="BK165" s="8"/>
      <c r="BL165" s="2" t="s">
        <v>235</v>
      </c>
      <c r="BM165" s="7"/>
      <c r="BN165" s="7"/>
      <c r="BO165" s="4"/>
      <c r="BP165" s="8"/>
      <c r="BQ165" s="4"/>
      <c r="BR165" s="8"/>
      <c r="BS165" s="7"/>
      <c r="BT165" s="7"/>
      <c r="BU165" s="2" t="s">
        <v>330</v>
      </c>
      <c r="BV165" s="2" t="s">
        <v>235</v>
      </c>
      <c r="BW165" s="2" t="s">
        <v>235</v>
      </c>
      <c r="BX165" s="2" t="s">
        <v>330</v>
      </c>
      <c r="BY165" s="2" t="s">
        <v>331</v>
      </c>
      <c r="BZ165" s="2" t="s">
        <v>232</v>
      </c>
      <c r="CA165" s="2" t="s">
        <v>235</v>
      </c>
      <c r="CB165" s="2" t="s">
        <v>235</v>
      </c>
      <c r="CC165" s="2" t="s">
        <v>248</v>
      </c>
      <c r="CD165" s="2" t="s">
        <v>248</v>
      </c>
      <c r="CE165" s="2" t="s">
        <v>235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>
        <v>580</v>
      </c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>
        <v>580</v>
      </c>
      <c r="GL165" s="4">
        <v>580</v>
      </c>
      <c r="GM165" s="4">
        <v>580</v>
      </c>
      <c r="GN165" s="4">
        <v>580</v>
      </c>
      <c r="GO165" s="4">
        <v>580</v>
      </c>
      <c r="GP165" s="4">
        <v>580</v>
      </c>
      <c r="GQ165" s="4">
        <v>580</v>
      </c>
      <c r="GR165" s="4">
        <v>580</v>
      </c>
      <c r="GS165" s="4">
        <v>580</v>
      </c>
      <c r="GT165" s="4">
        <v>580</v>
      </c>
      <c r="GU165" s="4">
        <v>580</v>
      </c>
      <c r="GV165" s="4">
        <v>580</v>
      </c>
      <c r="GW165" s="4">
        <v>580</v>
      </c>
      <c r="GX165" s="4">
        <v>580</v>
      </c>
      <c r="GY165" s="4">
        <v>580</v>
      </c>
      <c r="GZ165" s="4">
        <v>580</v>
      </c>
      <c r="HA165" s="4">
        <v>580</v>
      </c>
      <c r="HB165" s="4">
        <v>580</v>
      </c>
      <c r="HC165" s="4">
        <v>580</v>
      </c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</row>
    <row r="166">
      <c r="A166" s="2" t="s">
        <v>722</v>
      </c>
      <c r="B166" s="2" t="s">
        <v>323</v>
      </c>
      <c r="C166" s="2" t="s">
        <v>324</v>
      </c>
      <c r="D166" s="2" t="s">
        <v>257</v>
      </c>
      <c r="E166" s="2" t="s">
        <v>258</v>
      </c>
      <c r="F166" s="2" t="s">
        <v>679</v>
      </c>
      <c r="G166" s="2" t="s">
        <v>679</v>
      </c>
      <c r="H166" s="2" t="s">
        <v>679</v>
      </c>
      <c r="I166" s="2" t="s">
        <v>680</v>
      </c>
      <c r="J166" s="2" t="s">
        <v>270</v>
      </c>
      <c r="K166" s="2" t="s">
        <v>351</v>
      </c>
      <c r="L166" s="3">
        <v>33.08</v>
      </c>
      <c r="M166" s="3">
        <v>34.73</v>
      </c>
      <c r="N166" s="3">
        <v>69.99</v>
      </c>
      <c r="O166" s="2" t="s">
        <v>327</v>
      </c>
      <c r="P166" s="2" t="s">
        <v>698</v>
      </c>
      <c r="Q166" s="2" t="s">
        <v>234</v>
      </c>
      <c r="R166" s="2" t="s">
        <v>235</v>
      </c>
      <c r="S166" s="2" t="s">
        <v>235</v>
      </c>
      <c r="T166" s="2" t="s">
        <v>328</v>
      </c>
      <c r="U166" s="2" t="s">
        <v>264</v>
      </c>
      <c r="V166" s="2" t="s">
        <v>238</v>
      </c>
      <c r="W166" s="2" t="s">
        <v>329</v>
      </c>
      <c r="X166" s="2" t="s">
        <v>235</v>
      </c>
      <c r="Y166" s="2" t="s">
        <v>235</v>
      </c>
      <c r="Z166" s="4"/>
      <c r="AA166" s="4">
        <f>=ROUNDDOWN({0},0)</f>
      </c>
      <c r="AB166" s="5"/>
      <c r="AC166" s="2" t="s">
        <v>166</v>
      </c>
      <c r="AD166" s="4">
        <v>600</v>
      </c>
      <c r="AE166" s="4">
        <v>600</v>
      </c>
      <c r="AF166" s="6">
        <v>73</v>
      </c>
      <c r="AG166" s="6"/>
      <c r="AH166" s="7"/>
      <c r="AI166" s="4"/>
      <c r="AJ166" s="4">
        <f>=ROUNDDOWN({0},0)</f>
      </c>
      <c r="AK166" s="5"/>
      <c r="AL166" s="2" t="s">
        <v>235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235</v>
      </c>
      <c r="AW166" s="8" t="s">
        <v>235</v>
      </c>
      <c r="AX166" s="4" t="s">
        <v>235</v>
      </c>
      <c r="AY166" s="8" t="s">
        <v>235</v>
      </c>
      <c r="AZ166" s="7" t="s">
        <v>235</v>
      </c>
      <c r="BA166" s="7" t="s">
        <v>235</v>
      </c>
      <c r="BB166" s="7"/>
      <c r="BC166" s="4" t="s">
        <v>235</v>
      </c>
      <c r="BD166" s="8" t="s">
        <v>235</v>
      </c>
      <c r="BE166" s="4" t="s">
        <v>235</v>
      </c>
      <c r="BF166" s="8" t="s">
        <v>235</v>
      </c>
      <c r="BG166" s="7" t="s">
        <v>235</v>
      </c>
      <c r="BH166" s="7" t="s">
        <v>235</v>
      </c>
      <c r="BI166" s="7"/>
      <c r="BJ166" s="4"/>
      <c r="BK166" s="8"/>
      <c r="BL166" s="2" t="s">
        <v>235</v>
      </c>
      <c r="BM166" s="7"/>
      <c r="BN166" s="7"/>
      <c r="BO166" s="4"/>
      <c r="BP166" s="8"/>
      <c r="BQ166" s="4"/>
      <c r="BR166" s="8"/>
      <c r="BS166" s="7"/>
      <c r="BT166" s="7"/>
      <c r="BU166" s="2" t="s">
        <v>330</v>
      </c>
      <c r="BV166" s="2" t="s">
        <v>235</v>
      </c>
      <c r="BW166" s="2" t="s">
        <v>235</v>
      </c>
      <c r="BX166" s="2" t="s">
        <v>330</v>
      </c>
      <c r="BY166" s="2" t="s">
        <v>331</v>
      </c>
      <c r="BZ166" s="2" t="s">
        <v>232</v>
      </c>
      <c r="CA166" s="2" t="s">
        <v>235</v>
      </c>
      <c r="CB166" s="2" t="s">
        <v>235</v>
      </c>
      <c r="CC166" s="2" t="s">
        <v>248</v>
      </c>
      <c r="CD166" s="2" t="s">
        <v>248</v>
      </c>
      <c r="CE166" s="2" t="s">
        <v>235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>
        <v>600</v>
      </c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>
        <v>600</v>
      </c>
      <c r="GL166" s="4">
        <v>600</v>
      </c>
      <c r="GM166" s="4">
        <v>600</v>
      </c>
      <c r="GN166" s="4">
        <v>600</v>
      </c>
      <c r="GO166" s="4">
        <v>600</v>
      </c>
      <c r="GP166" s="4">
        <v>600</v>
      </c>
      <c r="GQ166" s="4">
        <v>600</v>
      </c>
      <c r="GR166" s="4">
        <v>600</v>
      </c>
      <c r="GS166" s="4">
        <v>600</v>
      </c>
      <c r="GT166" s="4">
        <v>600</v>
      </c>
      <c r="GU166" s="4">
        <v>600</v>
      </c>
      <c r="GV166" s="4">
        <v>600</v>
      </c>
      <c r="GW166" s="4">
        <v>600</v>
      </c>
      <c r="GX166" s="4">
        <v>600</v>
      </c>
      <c r="GY166" s="4">
        <v>600</v>
      </c>
      <c r="GZ166" s="4">
        <v>600</v>
      </c>
      <c r="HA166" s="4">
        <v>600</v>
      </c>
      <c r="HB166" s="4">
        <v>600</v>
      </c>
      <c r="HC166" s="4">
        <v>600</v>
      </c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</row>
    <row r="167">
      <c r="A167" s="2" t="s">
        <v>723</v>
      </c>
      <c r="B167" s="2" t="s">
        <v>323</v>
      </c>
      <c r="C167" s="2" t="s">
        <v>324</v>
      </c>
      <c r="D167" s="2" t="s">
        <v>257</v>
      </c>
      <c r="E167" s="2" t="s">
        <v>258</v>
      </c>
      <c r="F167" s="2" t="s">
        <v>679</v>
      </c>
      <c r="G167" s="2" t="s">
        <v>679</v>
      </c>
      <c r="H167" s="2" t="s">
        <v>679</v>
      </c>
      <c r="I167" s="2" t="s">
        <v>680</v>
      </c>
      <c r="J167" s="2" t="s">
        <v>272</v>
      </c>
      <c r="K167" s="2" t="s">
        <v>351</v>
      </c>
      <c r="L167" s="3">
        <v>33.08</v>
      </c>
      <c r="M167" s="3">
        <v>34.73</v>
      </c>
      <c r="N167" s="3">
        <v>69.99</v>
      </c>
      <c r="O167" s="2" t="s">
        <v>327</v>
      </c>
      <c r="P167" s="2" t="s">
        <v>233</v>
      </c>
      <c r="Q167" s="2" t="s">
        <v>234</v>
      </c>
      <c r="R167" s="2" t="s">
        <v>235</v>
      </c>
      <c r="S167" s="2" t="s">
        <v>235</v>
      </c>
      <c r="T167" s="2" t="s">
        <v>328</v>
      </c>
      <c r="U167" s="2" t="s">
        <v>264</v>
      </c>
      <c r="V167" s="2" t="s">
        <v>238</v>
      </c>
      <c r="W167" s="2" t="s">
        <v>329</v>
      </c>
      <c r="X167" s="2" t="s">
        <v>235</v>
      </c>
      <c r="Y167" s="2" t="s">
        <v>235</v>
      </c>
      <c r="Z167" s="4"/>
      <c r="AA167" s="4">
        <f>=ROUNDDOWN({0},0)</f>
      </c>
      <c r="AB167" s="5"/>
      <c r="AC167" s="2" t="s">
        <v>166</v>
      </c>
      <c r="AD167" s="4">
        <v>220</v>
      </c>
      <c r="AE167" s="4">
        <v>220</v>
      </c>
      <c r="AF167" s="6">
        <v>73</v>
      </c>
      <c r="AG167" s="6"/>
      <c r="AH167" s="7"/>
      <c r="AI167" s="4"/>
      <c r="AJ167" s="4">
        <f>=ROUNDDOWN({0},0)</f>
      </c>
      <c r="AK167" s="5"/>
      <c r="AL167" s="2" t="s">
        <v>235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235</v>
      </c>
      <c r="AW167" s="8" t="s">
        <v>235</v>
      </c>
      <c r="AX167" s="4" t="s">
        <v>235</v>
      </c>
      <c r="AY167" s="8" t="s">
        <v>235</v>
      </c>
      <c r="AZ167" s="7" t="s">
        <v>235</v>
      </c>
      <c r="BA167" s="7" t="s">
        <v>235</v>
      </c>
      <c r="BB167" s="7"/>
      <c r="BC167" s="4" t="s">
        <v>235</v>
      </c>
      <c r="BD167" s="8" t="s">
        <v>235</v>
      </c>
      <c r="BE167" s="4" t="s">
        <v>235</v>
      </c>
      <c r="BF167" s="8" t="s">
        <v>235</v>
      </c>
      <c r="BG167" s="7" t="s">
        <v>235</v>
      </c>
      <c r="BH167" s="7" t="s">
        <v>235</v>
      </c>
      <c r="BI167" s="7"/>
      <c r="BJ167" s="4"/>
      <c r="BK167" s="8"/>
      <c r="BL167" s="2" t="s">
        <v>235</v>
      </c>
      <c r="BM167" s="7"/>
      <c r="BN167" s="7"/>
      <c r="BO167" s="4"/>
      <c r="BP167" s="8"/>
      <c r="BQ167" s="4"/>
      <c r="BR167" s="8"/>
      <c r="BS167" s="7"/>
      <c r="BT167" s="7"/>
      <c r="BU167" s="2" t="s">
        <v>330</v>
      </c>
      <c r="BV167" s="2" t="s">
        <v>235</v>
      </c>
      <c r="BW167" s="2" t="s">
        <v>235</v>
      </c>
      <c r="BX167" s="2" t="s">
        <v>330</v>
      </c>
      <c r="BY167" s="2" t="s">
        <v>331</v>
      </c>
      <c r="BZ167" s="2" t="s">
        <v>232</v>
      </c>
      <c r="CA167" s="2" t="s">
        <v>235</v>
      </c>
      <c r="CB167" s="2" t="s">
        <v>235</v>
      </c>
      <c r="CC167" s="2" t="s">
        <v>248</v>
      </c>
      <c r="CD167" s="2" t="s">
        <v>248</v>
      </c>
      <c r="CE167" s="2" t="s">
        <v>235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>
        <v>220</v>
      </c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>
        <v>220</v>
      </c>
      <c r="GL167" s="4">
        <v>220</v>
      </c>
      <c r="GM167" s="4">
        <v>220</v>
      </c>
      <c r="GN167" s="4">
        <v>220</v>
      </c>
      <c r="GO167" s="4">
        <v>220</v>
      </c>
      <c r="GP167" s="4">
        <v>220</v>
      </c>
      <c r="GQ167" s="4">
        <v>220</v>
      </c>
      <c r="GR167" s="4">
        <v>220</v>
      </c>
      <c r="GS167" s="4">
        <v>220</v>
      </c>
      <c r="GT167" s="4">
        <v>220</v>
      </c>
      <c r="GU167" s="4">
        <v>220</v>
      </c>
      <c r="GV167" s="4">
        <v>220</v>
      </c>
      <c r="GW167" s="4">
        <v>220</v>
      </c>
      <c r="GX167" s="4">
        <v>220</v>
      </c>
      <c r="GY167" s="4">
        <v>220</v>
      </c>
      <c r="GZ167" s="4">
        <v>220</v>
      </c>
      <c r="HA167" s="4">
        <v>220</v>
      </c>
      <c r="HB167" s="4">
        <v>220</v>
      </c>
      <c r="HC167" s="4">
        <v>220</v>
      </c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</row>
    <row r="168">
      <c r="A168" s="2" t="s">
        <v>724</v>
      </c>
      <c r="B168" s="2" t="s">
        <v>323</v>
      </c>
      <c r="C168" s="2" t="s">
        <v>324</v>
      </c>
      <c r="D168" s="2" t="s">
        <v>257</v>
      </c>
      <c r="E168" s="2" t="s">
        <v>258</v>
      </c>
      <c r="F168" s="2" t="s">
        <v>679</v>
      </c>
      <c r="G168" s="2" t="s">
        <v>679</v>
      </c>
      <c r="H168" s="2" t="s">
        <v>679</v>
      </c>
      <c r="I168" s="2" t="s">
        <v>680</v>
      </c>
      <c r="J168" s="2" t="s">
        <v>250</v>
      </c>
      <c r="K168" s="2" t="s">
        <v>567</v>
      </c>
      <c r="L168" s="3">
        <v>27.72</v>
      </c>
      <c r="M168" s="3">
        <v>29.11</v>
      </c>
      <c r="N168" s="3">
        <v>59.99</v>
      </c>
      <c r="O168" s="2" t="s">
        <v>327</v>
      </c>
      <c r="P168" s="2" t="s">
        <v>233</v>
      </c>
      <c r="Q168" s="2" t="s">
        <v>234</v>
      </c>
      <c r="R168" s="2" t="s">
        <v>235</v>
      </c>
      <c r="S168" s="2" t="s">
        <v>235</v>
      </c>
      <c r="T168" s="2" t="s">
        <v>328</v>
      </c>
      <c r="U168" s="2" t="s">
        <v>264</v>
      </c>
      <c r="V168" s="2" t="s">
        <v>238</v>
      </c>
      <c r="W168" s="2" t="s">
        <v>329</v>
      </c>
      <c r="X168" s="2" t="s">
        <v>235</v>
      </c>
      <c r="Y168" s="2" t="s">
        <v>235</v>
      </c>
      <c r="Z168" s="4"/>
      <c r="AA168" s="4">
        <f>=ROUNDDOWN({0},0)</f>
      </c>
      <c r="AB168" s="5"/>
      <c r="AC168" s="2" t="s">
        <v>166</v>
      </c>
      <c r="AD168" s="4">
        <v>230</v>
      </c>
      <c r="AE168" s="4">
        <v>230</v>
      </c>
      <c r="AF168" s="6">
        <v>73</v>
      </c>
      <c r="AG168" s="6"/>
      <c r="AH168" s="7"/>
      <c r="AI168" s="4"/>
      <c r="AJ168" s="4">
        <f>=ROUNDDOWN({0},0)</f>
      </c>
      <c r="AK168" s="5"/>
      <c r="AL168" s="2" t="s">
        <v>235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235</v>
      </c>
      <c r="AW168" s="8" t="s">
        <v>235</v>
      </c>
      <c r="AX168" s="4" t="s">
        <v>235</v>
      </c>
      <c r="AY168" s="8" t="s">
        <v>235</v>
      </c>
      <c r="AZ168" s="7" t="s">
        <v>235</v>
      </c>
      <c r="BA168" s="7" t="s">
        <v>235</v>
      </c>
      <c r="BB168" s="7"/>
      <c r="BC168" s="4" t="s">
        <v>235</v>
      </c>
      <c r="BD168" s="8" t="s">
        <v>235</v>
      </c>
      <c r="BE168" s="4" t="s">
        <v>235</v>
      </c>
      <c r="BF168" s="8" t="s">
        <v>235</v>
      </c>
      <c r="BG168" s="7" t="s">
        <v>235</v>
      </c>
      <c r="BH168" s="7" t="s">
        <v>235</v>
      </c>
      <c r="BI168" s="7"/>
      <c r="BJ168" s="4"/>
      <c r="BK168" s="8"/>
      <c r="BL168" s="2" t="s">
        <v>235</v>
      </c>
      <c r="BM168" s="7"/>
      <c r="BN168" s="7"/>
      <c r="BO168" s="4"/>
      <c r="BP168" s="8"/>
      <c r="BQ168" s="4"/>
      <c r="BR168" s="8"/>
      <c r="BS168" s="7"/>
      <c r="BT168" s="7"/>
      <c r="BU168" s="2" t="s">
        <v>330</v>
      </c>
      <c r="BV168" s="2" t="s">
        <v>235</v>
      </c>
      <c r="BW168" s="2" t="s">
        <v>235</v>
      </c>
      <c r="BX168" s="2" t="s">
        <v>330</v>
      </c>
      <c r="BY168" s="2" t="s">
        <v>331</v>
      </c>
      <c r="BZ168" s="2" t="s">
        <v>232</v>
      </c>
      <c r="CA168" s="2" t="s">
        <v>235</v>
      </c>
      <c r="CB168" s="2" t="s">
        <v>235</v>
      </c>
      <c r="CC168" s="2" t="s">
        <v>248</v>
      </c>
      <c r="CD168" s="2" t="s">
        <v>248</v>
      </c>
      <c r="CE168" s="2" t="s">
        <v>235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>
        <v>230</v>
      </c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>
        <v>230</v>
      </c>
      <c r="GL168" s="4">
        <v>230</v>
      </c>
      <c r="GM168" s="4">
        <v>230</v>
      </c>
      <c r="GN168" s="4">
        <v>230</v>
      </c>
      <c r="GO168" s="4">
        <v>230</v>
      </c>
      <c r="GP168" s="4">
        <v>230</v>
      </c>
      <c r="GQ168" s="4">
        <v>230</v>
      </c>
      <c r="GR168" s="4">
        <v>230</v>
      </c>
      <c r="GS168" s="4">
        <v>230</v>
      </c>
      <c r="GT168" s="4">
        <v>230</v>
      </c>
      <c r="GU168" s="4">
        <v>230</v>
      </c>
      <c r="GV168" s="4">
        <v>230</v>
      </c>
      <c r="GW168" s="4">
        <v>230</v>
      </c>
      <c r="GX168" s="4">
        <v>230</v>
      </c>
      <c r="GY168" s="4">
        <v>230</v>
      </c>
      <c r="GZ168" s="4">
        <v>230</v>
      </c>
      <c r="HA168" s="4">
        <v>230</v>
      </c>
      <c r="HB168" s="4">
        <v>230</v>
      </c>
      <c r="HC168" s="4">
        <v>230</v>
      </c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</row>
    <row r="169">
      <c r="A169" s="2" t="s">
        <v>725</v>
      </c>
      <c r="B169" s="2" t="s">
        <v>323</v>
      </c>
      <c r="C169" s="2" t="s">
        <v>324</v>
      </c>
      <c r="D169" s="2" t="s">
        <v>257</v>
      </c>
      <c r="E169" s="2" t="s">
        <v>258</v>
      </c>
      <c r="F169" s="2" t="s">
        <v>679</v>
      </c>
      <c r="G169" s="2" t="s">
        <v>679</v>
      </c>
      <c r="H169" s="2" t="s">
        <v>679</v>
      </c>
      <c r="I169" s="2" t="s">
        <v>680</v>
      </c>
      <c r="J169" s="2" t="s">
        <v>261</v>
      </c>
      <c r="K169" s="2" t="s">
        <v>567</v>
      </c>
      <c r="L169" s="3">
        <v>30.71</v>
      </c>
      <c r="M169" s="3">
        <v>32.25</v>
      </c>
      <c r="N169" s="3">
        <v>64.99</v>
      </c>
      <c r="O169" s="2" t="s">
        <v>327</v>
      </c>
      <c r="P169" s="2" t="s">
        <v>698</v>
      </c>
      <c r="Q169" s="2" t="s">
        <v>234</v>
      </c>
      <c r="R169" s="2" t="s">
        <v>235</v>
      </c>
      <c r="S169" s="2" t="s">
        <v>235</v>
      </c>
      <c r="T169" s="2" t="s">
        <v>328</v>
      </c>
      <c r="U169" s="2" t="s">
        <v>264</v>
      </c>
      <c r="V169" s="2" t="s">
        <v>238</v>
      </c>
      <c r="W169" s="2" t="s">
        <v>329</v>
      </c>
      <c r="X169" s="2" t="s">
        <v>235</v>
      </c>
      <c r="Y169" s="2" t="s">
        <v>235</v>
      </c>
      <c r="Z169" s="4"/>
      <c r="AA169" s="4">
        <f>=ROUNDDOWN({0},0)</f>
      </c>
      <c r="AB169" s="5"/>
      <c r="AC169" s="2" t="s">
        <v>166</v>
      </c>
      <c r="AD169" s="4">
        <v>800</v>
      </c>
      <c r="AE169" s="4">
        <v>800</v>
      </c>
      <c r="AF169" s="6">
        <v>73</v>
      </c>
      <c r="AG169" s="6"/>
      <c r="AH169" s="7"/>
      <c r="AI169" s="4"/>
      <c r="AJ169" s="4">
        <f>=ROUNDDOWN({0},0)</f>
      </c>
      <c r="AK169" s="5"/>
      <c r="AL169" s="2" t="s">
        <v>235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235</v>
      </c>
      <c r="AW169" s="8" t="s">
        <v>235</v>
      </c>
      <c r="AX169" s="4" t="s">
        <v>235</v>
      </c>
      <c r="AY169" s="8" t="s">
        <v>235</v>
      </c>
      <c r="AZ169" s="7" t="s">
        <v>235</v>
      </c>
      <c r="BA169" s="7" t="s">
        <v>235</v>
      </c>
      <c r="BB169" s="7"/>
      <c r="BC169" s="4" t="s">
        <v>235</v>
      </c>
      <c r="BD169" s="8" t="s">
        <v>235</v>
      </c>
      <c r="BE169" s="4" t="s">
        <v>235</v>
      </c>
      <c r="BF169" s="8" t="s">
        <v>235</v>
      </c>
      <c r="BG169" s="7" t="s">
        <v>235</v>
      </c>
      <c r="BH169" s="7" t="s">
        <v>235</v>
      </c>
      <c r="BI169" s="7"/>
      <c r="BJ169" s="4"/>
      <c r="BK169" s="8"/>
      <c r="BL169" s="2" t="s">
        <v>235</v>
      </c>
      <c r="BM169" s="7"/>
      <c r="BN169" s="7"/>
      <c r="BO169" s="4"/>
      <c r="BP169" s="8"/>
      <c r="BQ169" s="4"/>
      <c r="BR169" s="8"/>
      <c r="BS169" s="7"/>
      <c r="BT169" s="7"/>
      <c r="BU169" s="2" t="s">
        <v>330</v>
      </c>
      <c r="BV169" s="2" t="s">
        <v>235</v>
      </c>
      <c r="BW169" s="2" t="s">
        <v>235</v>
      </c>
      <c r="BX169" s="2" t="s">
        <v>330</v>
      </c>
      <c r="BY169" s="2" t="s">
        <v>331</v>
      </c>
      <c r="BZ169" s="2" t="s">
        <v>232</v>
      </c>
      <c r="CA169" s="2" t="s">
        <v>235</v>
      </c>
      <c r="CB169" s="2" t="s">
        <v>235</v>
      </c>
      <c r="CC169" s="2" t="s">
        <v>248</v>
      </c>
      <c r="CD169" s="2" t="s">
        <v>248</v>
      </c>
      <c r="CE169" s="2" t="s">
        <v>235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>
        <v>800</v>
      </c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>
        <v>800</v>
      </c>
      <c r="GL169" s="4">
        <v>800</v>
      </c>
      <c r="GM169" s="4">
        <v>800</v>
      </c>
      <c r="GN169" s="4">
        <v>800</v>
      </c>
      <c r="GO169" s="4">
        <v>800</v>
      </c>
      <c r="GP169" s="4">
        <v>800</v>
      </c>
      <c r="GQ169" s="4">
        <v>800</v>
      </c>
      <c r="GR169" s="4">
        <v>800</v>
      </c>
      <c r="GS169" s="4">
        <v>800</v>
      </c>
      <c r="GT169" s="4">
        <v>800</v>
      </c>
      <c r="GU169" s="4">
        <v>800</v>
      </c>
      <c r="GV169" s="4">
        <v>800</v>
      </c>
      <c r="GW169" s="4">
        <v>800</v>
      </c>
      <c r="GX169" s="4">
        <v>800</v>
      </c>
      <c r="GY169" s="4">
        <v>800</v>
      </c>
      <c r="GZ169" s="4">
        <v>800</v>
      </c>
      <c r="HA169" s="4">
        <v>800</v>
      </c>
      <c r="HB169" s="4">
        <v>800</v>
      </c>
      <c r="HC169" s="4">
        <v>800</v>
      </c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</row>
    <row r="170">
      <c r="A170" s="2" t="s">
        <v>726</v>
      </c>
      <c r="B170" s="2" t="s">
        <v>323</v>
      </c>
      <c r="C170" s="2" t="s">
        <v>324</v>
      </c>
      <c r="D170" s="2" t="s">
        <v>257</v>
      </c>
      <c r="E170" s="2" t="s">
        <v>258</v>
      </c>
      <c r="F170" s="2" t="s">
        <v>679</v>
      </c>
      <c r="G170" s="2" t="s">
        <v>679</v>
      </c>
      <c r="H170" s="2" t="s">
        <v>679</v>
      </c>
      <c r="I170" s="2" t="s">
        <v>680</v>
      </c>
      <c r="J170" s="2" t="s">
        <v>270</v>
      </c>
      <c r="K170" s="2" t="s">
        <v>567</v>
      </c>
      <c r="L170" s="3">
        <v>33.08</v>
      </c>
      <c r="M170" s="3">
        <v>34.73</v>
      </c>
      <c r="N170" s="3">
        <v>69.99</v>
      </c>
      <c r="O170" s="2" t="s">
        <v>327</v>
      </c>
      <c r="P170" s="2" t="s">
        <v>336</v>
      </c>
      <c r="Q170" s="2" t="s">
        <v>234</v>
      </c>
      <c r="R170" s="2" t="s">
        <v>235</v>
      </c>
      <c r="S170" s="2" t="s">
        <v>235</v>
      </c>
      <c r="T170" s="2" t="s">
        <v>328</v>
      </c>
      <c r="U170" s="2" t="s">
        <v>264</v>
      </c>
      <c r="V170" s="2" t="s">
        <v>238</v>
      </c>
      <c r="W170" s="2" t="s">
        <v>329</v>
      </c>
      <c r="X170" s="2" t="s">
        <v>235</v>
      </c>
      <c r="Y170" s="2" t="s">
        <v>235</v>
      </c>
      <c r="Z170" s="4"/>
      <c r="AA170" s="4">
        <f>=ROUNDDOWN({0},0)</f>
      </c>
      <c r="AB170" s="5"/>
      <c r="AC170" s="2" t="s">
        <v>166</v>
      </c>
      <c r="AD170" s="4">
        <v>520</v>
      </c>
      <c r="AE170" s="4">
        <v>520</v>
      </c>
      <c r="AF170" s="6">
        <v>73</v>
      </c>
      <c r="AG170" s="6"/>
      <c r="AH170" s="7"/>
      <c r="AI170" s="4"/>
      <c r="AJ170" s="4">
        <f>=ROUNDDOWN({0},0)</f>
      </c>
      <c r="AK170" s="5"/>
      <c r="AL170" s="2" t="s">
        <v>235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235</v>
      </c>
      <c r="AW170" s="8" t="s">
        <v>235</v>
      </c>
      <c r="AX170" s="4" t="s">
        <v>235</v>
      </c>
      <c r="AY170" s="8" t="s">
        <v>235</v>
      </c>
      <c r="AZ170" s="7" t="s">
        <v>235</v>
      </c>
      <c r="BA170" s="7" t="s">
        <v>235</v>
      </c>
      <c r="BB170" s="7"/>
      <c r="BC170" s="4" t="s">
        <v>235</v>
      </c>
      <c r="BD170" s="8" t="s">
        <v>235</v>
      </c>
      <c r="BE170" s="4" t="s">
        <v>235</v>
      </c>
      <c r="BF170" s="8" t="s">
        <v>235</v>
      </c>
      <c r="BG170" s="7" t="s">
        <v>235</v>
      </c>
      <c r="BH170" s="7" t="s">
        <v>235</v>
      </c>
      <c r="BI170" s="7"/>
      <c r="BJ170" s="4"/>
      <c r="BK170" s="8"/>
      <c r="BL170" s="2" t="s">
        <v>235</v>
      </c>
      <c r="BM170" s="7"/>
      <c r="BN170" s="7"/>
      <c r="BO170" s="4"/>
      <c r="BP170" s="8"/>
      <c r="BQ170" s="4"/>
      <c r="BR170" s="8"/>
      <c r="BS170" s="7"/>
      <c r="BT170" s="7"/>
      <c r="BU170" s="2" t="s">
        <v>330</v>
      </c>
      <c r="BV170" s="2" t="s">
        <v>235</v>
      </c>
      <c r="BW170" s="2" t="s">
        <v>235</v>
      </c>
      <c r="BX170" s="2" t="s">
        <v>330</v>
      </c>
      <c r="BY170" s="2" t="s">
        <v>331</v>
      </c>
      <c r="BZ170" s="2" t="s">
        <v>232</v>
      </c>
      <c r="CA170" s="2" t="s">
        <v>235</v>
      </c>
      <c r="CB170" s="2" t="s">
        <v>235</v>
      </c>
      <c r="CC170" s="2" t="s">
        <v>248</v>
      </c>
      <c r="CD170" s="2" t="s">
        <v>248</v>
      </c>
      <c r="CE170" s="2" t="s">
        <v>235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>
        <v>520</v>
      </c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>
        <v>520</v>
      </c>
      <c r="GL170" s="4">
        <v>520</v>
      </c>
      <c r="GM170" s="4">
        <v>520</v>
      </c>
      <c r="GN170" s="4">
        <v>520</v>
      </c>
      <c r="GO170" s="4">
        <v>520</v>
      </c>
      <c r="GP170" s="4">
        <v>520</v>
      </c>
      <c r="GQ170" s="4">
        <v>520</v>
      </c>
      <c r="GR170" s="4">
        <v>520</v>
      </c>
      <c r="GS170" s="4">
        <v>520</v>
      </c>
      <c r="GT170" s="4">
        <v>520</v>
      </c>
      <c r="GU170" s="4">
        <v>520</v>
      </c>
      <c r="GV170" s="4">
        <v>520</v>
      </c>
      <c r="GW170" s="4">
        <v>520</v>
      </c>
      <c r="GX170" s="4">
        <v>520</v>
      </c>
      <c r="GY170" s="4">
        <v>520</v>
      </c>
      <c r="GZ170" s="4">
        <v>520</v>
      </c>
      <c r="HA170" s="4">
        <v>520</v>
      </c>
      <c r="HB170" s="4">
        <v>520</v>
      </c>
      <c r="HC170" s="4">
        <v>520</v>
      </c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</row>
    <row r="171">
      <c r="A171" s="2" t="s">
        <v>727</v>
      </c>
      <c r="B171" s="2" t="s">
        <v>323</v>
      </c>
      <c r="C171" s="2" t="s">
        <v>324</v>
      </c>
      <c r="D171" s="2" t="s">
        <v>257</v>
      </c>
      <c r="E171" s="2" t="s">
        <v>258</v>
      </c>
      <c r="F171" s="2" t="s">
        <v>679</v>
      </c>
      <c r="G171" s="2" t="s">
        <v>679</v>
      </c>
      <c r="H171" s="2" t="s">
        <v>679</v>
      </c>
      <c r="I171" s="2" t="s">
        <v>680</v>
      </c>
      <c r="J171" s="2" t="s">
        <v>272</v>
      </c>
      <c r="K171" s="2" t="s">
        <v>567</v>
      </c>
      <c r="L171" s="3">
        <v>33.08</v>
      </c>
      <c r="M171" s="3">
        <v>34.73</v>
      </c>
      <c r="N171" s="3">
        <v>69.99</v>
      </c>
      <c r="O171" s="2" t="s">
        <v>327</v>
      </c>
      <c r="P171" s="2" t="s">
        <v>233</v>
      </c>
      <c r="Q171" s="2" t="s">
        <v>234</v>
      </c>
      <c r="R171" s="2" t="s">
        <v>235</v>
      </c>
      <c r="S171" s="2" t="s">
        <v>235</v>
      </c>
      <c r="T171" s="2" t="s">
        <v>328</v>
      </c>
      <c r="U171" s="2" t="s">
        <v>264</v>
      </c>
      <c r="V171" s="2" t="s">
        <v>238</v>
      </c>
      <c r="W171" s="2" t="s">
        <v>329</v>
      </c>
      <c r="X171" s="2" t="s">
        <v>235</v>
      </c>
      <c r="Y171" s="2" t="s">
        <v>235</v>
      </c>
      <c r="Z171" s="4"/>
      <c r="AA171" s="4">
        <f>=ROUNDDOWN({0},0)</f>
      </c>
      <c r="AB171" s="5"/>
      <c r="AC171" s="2" t="s">
        <v>166</v>
      </c>
      <c r="AD171" s="4">
        <v>80</v>
      </c>
      <c r="AE171" s="4">
        <v>80</v>
      </c>
      <c r="AF171" s="6">
        <v>73</v>
      </c>
      <c r="AG171" s="6"/>
      <c r="AH171" s="7"/>
      <c r="AI171" s="4"/>
      <c r="AJ171" s="4">
        <f>=ROUNDDOWN({0},0)</f>
      </c>
      <c r="AK171" s="5"/>
      <c r="AL171" s="2" t="s">
        <v>235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235</v>
      </c>
      <c r="AW171" s="8" t="s">
        <v>235</v>
      </c>
      <c r="AX171" s="4" t="s">
        <v>235</v>
      </c>
      <c r="AY171" s="8" t="s">
        <v>235</v>
      </c>
      <c r="AZ171" s="7" t="s">
        <v>235</v>
      </c>
      <c r="BA171" s="7" t="s">
        <v>235</v>
      </c>
      <c r="BB171" s="7"/>
      <c r="BC171" s="4" t="s">
        <v>235</v>
      </c>
      <c r="BD171" s="8" t="s">
        <v>235</v>
      </c>
      <c r="BE171" s="4" t="s">
        <v>235</v>
      </c>
      <c r="BF171" s="8" t="s">
        <v>235</v>
      </c>
      <c r="BG171" s="7" t="s">
        <v>235</v>
      </c>
      <c r="BH171" s="7" t="s">
        <v>235</v>
      </c>
      <c r="BI171" s="7"/>
      <c r="BJ171" s="4"/>
      <c r="BK171" s="8"/>
      <c r="BL171" s="2" t="s">
        <v>235</v>
      </c>
      <c r="BM171" s="7"/>
      <c r="BN171" s="7"/>
      <c r="BO171" s="4"/>
      <c r="BP171" s="8"/>
      <c r="BQ171" s="4"/>
      <c r="BR171" s="8"/>
      <c r="BS171" s="7"/>
      <c r="BT171" s="7"/>
      <c r="BU171" s="2" t="s">
        <v>330</v>
      </c>
      <c r="BV171" s="2" t="s">
        <v>235</v>
      </c>
      <c r="BW171" s="2" t="s">
        <v>235</v>
      </c>
      <c r="BX171" s="2" t="s">
        <v>330</v>
      </c>
      <c r="BY171" s="2" t="s">
        <v>331</v>
      </c>
      <c r="BZ171" s="2" t="s">
        <v>232</v>
      </c>
      <c r="CA171" s="2" t="s">
        <v>235</v>
      </c>
      <c r="CB171" s="2" t="s">
        <v>235</v>
      </c>
      <c r="CC171" s="2" t="s">
        <v>248</v>
      </c>
      <c r="CD171" s="2" t="s">
        <v>248</v>
      </c>
      <c r="CE171" s="2" t="s">
        <v>235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>
        <v>80</v>
      </c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>
        <v>80</v>
      </c>
      <c r="GL171" s="4">
        <v>80</v>
      </c>
      <c r="GM171" s="4">
        <v>80</v>
      </c>
      <c r="GN171" s="4">
        <v>80</v>
      </c>
      <c r="GO171" s="4">
        <v>80</v>
      </c>
      <c r="GP171" s="4">
        <v>80</v>
      </c>
      <c r="GQ171" s="4">
        <v>80</v>
      </c>
      <c r="GR171" s="4">
        <v>80</v>
      </c>
      <c r="GS171" s="4">
        <v>80</v>
      </c>
      <c r="GT171" s="4">
        <v>80</v>
      </c>
      <c r="GU171" s="4">
        <v>80</v>
      </c>
      <c r="GV171" s="4">
        <v>80</v>
      </c>
      <c r="GW171" s="4">
        <v>80</v>
      </c>
      <c r="GX171" s="4">
        <v>80</v>
      </c>
      <c r="GY171" s="4">
        <v>80</v>
      </c>
      <c r="GZ171" s="4">
        <v>80</v>
      </c>
      <c r="HA171" s="4">
        <v>80</v>
      </c>
      <c r="HB171" s="4">
        <v>80</v>
      </c>
      <c r="HC171" s="4">
        <v>80</v>
      </c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</row>
    <row r="172">
      <c r="A172" s="2" t="s">
        <v>728</v>
      </c>
      <c r="B172" s="2" t="s">
        <v>323</v>
      </c>
      <c r="C172" s="2" t="s">
        <v>324</v>
      </c>
      <c r="D172" s="2" t="s">
        <v>257</v>
      </c>
      <c r="E172" s="2" t="s">
        <v>258</v>
      </c>
      <c r="F172" s="2" t="s">
        <v>679</v>
      </c>
      <c r="G172" s="2" t="s">
        <v>679</v>
      </c>
      <c r="H172" s="2" t="s">
        <v>679</v>
      </c>
      <c r="I172" s="2" t="s">
        <v>680</v>
      </c>
      <c r="J172" s="2" t="s">
        <v>250</v>
      </c>
      <c r="K172" s="2" t="s">
        <v>316</v>
      </c>
      <c r="L172" s="3">
        <v>27.72</v>
      </c>
      <c r="M172" s="3">
        <v>29.11</v>
      </c>
      <c r="N172" s="3">
        <v>59.99</v>
      </c>
      <c r="O172" s="2" t="s">
        <v>327</v>
      </c>
      <c r="P172" s="2" t="s">
        <v>336</v>
      </c>
      <c r="Q172" s="2" t="s">
        <v>234</v>
      </c>
      <c r="R172" s="2" t="s">
        <v>235</v>
      </c>
      <c r="S172" s="2" t="s">
        <v>235</v>
      </c>
      <c r="T172" s="2" t="s">
        <v>328</v>
      </c>
      <c r="U172" s="2" t="s">
        <v>264</v>
      </c>
      <c r="V172" s="2" t="s">
        <v>238</v>
      </c>
      <c r="W172" s="2" t="s">
        <v>329</v>
      </c>
      <c r="X172" s="2" t="s">
        <v>235</v>
      </c>
      <c r="Y172" s="2" t="s">
        <v>235</v>
      </c>
      <c r="Z172" s="4"/>
      <c r="AA172" s="4">
        <f>=ROUNDDOWN({0},0)</f>
      </c>
      <c r="AB172" s="5">
        <v>13</v>
      </c>
      <c r="AC172" s="2" t="s">
        <v>166</v>
      </c>
      <c r="AD172" s="4">
        <v>270</v>
      </c>
      <c r="AE172" s="4">
        <v>270</v>
      </c>
      <c r="AF172" s="6">
        <v>73</v>
      </c>
      <c r="AG172" s="6"/>
      <c r="AH172" s="7"/>
      <c r="AI172" s="4"/>
      <c r="AJ172" s="4">
        <f>=ROUNDDOWN({0},0)</f>
      </c>
      <c r="AK172" s="5"/>
      <c r="AL172" s="2" t="s">
        <v>235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235</v>
      </c>
      <c r="AW172" s="8" t="s">
        <v>235</v>
      </c>
      <c r="AX172" s="4" t="s">
        <v>235</v>
      </c>
      <c r="AY172" s="8" t="s">
        <v>235</v>
      </c>
      <c r="AZ172" s="7" t="s">
        <v>235</v>
      </c>
      <c r="BA172" s="7" t="s">
        <v>235</v>
      </c>
      <c r="BB172" s="7"/>
      <c r="BC172" s="4" t="s">
        <v>235</v>
      </c>
      <c r="BD172" s="8" t="s">
        <v>235</v>
      </c>
      <c r="BE172" s="4" t="s">
        <v>235</v>
      </c>
      <c r="BF172" s="8" t="s">
        <v>235</v>
      </c>
      <c r="BG172" s="7" t="s">
        <v>235</v>
      </c>
      <c r="BH172" s="7" t="s">
        <v>235</v>
      </c>
      <c r="BI172" s="7"/>
      <c r="BJ172" s="4"/>
      <c r="BK172" s="8"/>
      <c r="BL172" s="2" t="s">
        <v>235</v>
      </c>
      <c r="BM172" s="7"/>
      <c r="BN172" s="7"/>
      <c r="BO172" s="4"/>
      <c r="BP172" s="8"/>
      <c r="BQ172" s="4"/>
      <c r="BR172" s="8"/>
      <c r="BS172" s="7"/>
      <c r="BT172" s="7"/>
      <c r="BU172" s="2" t="s">
        <v>330</v>
      </c>
      <c r="BV172" s="2" t="s">
        <v>235</v>
      </c>
      <c r="BW172" s="2" t="s">
        <v>235</v>
      </c>
      <c r="BX172" s="2" t="s">
        <v>330</v>
      </c>
      <c r="BY172" s="2" t="s">
        <v>331</v>
      </c>
      <c r="BZ172" s="2" t="s">
        <v>232</v>
      </c>
      <c r="CA172" s="2" t="s">
        <v>235</v>
      </c>
      <c r="CB172" s="2" t="s">
        <v>235</v>
      </c>
      <c r="CC172" s="2" t="s">
        <v>248</v>
      </c>
      <c r="CD172" s="2" t="s">
        <v>248</v>
      </c>
      <c r="CE172" s="2" t="s">
        <v>235</v>
      </c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>
        <v>270</v>
      </c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>
        <v>270</v>
      </c>
      <c r="GL172" s="4">
        <v>270</v>
      </c>
      <c r="GM172" s="4">
        <v>270</v>
      </c>
      <c r="GN172" s="4">
        <v>270</v>
      </c>
      <c r="GO172" s="4">
        <v>270</v>
      </c>
      <c r="GP172" s="4">
        <v>270</v>
      </c>
      <c r="GQ172" s="4">
        <v>270</v>
      </c>
      <c r="GR172" s="4">
        <v>270</v>
      </c>
      <c r="GS172" s="4">
        <v>270</v>
      </c>
      <c r="GT172" s="4">
        <v>270</v>
      </c>
      <c r="GU172" s="4">
        <v>270</v>
      </c>
      <c r="GV172" s="4">
        <v>270</v>
      </c>
      <c r="GW172" s="4">
        <v>270</v>
      </c>
      <c r="GX172" s="4">
        <v>270</v>
      </c>
      <c r="GY172" s="4">
        <v>270</v>
      </c>
      <c r="GZ172" s="4">
        <v>270</v>
      </c>
      <c r="HA172" s="4">
        <v>270</v>
      </c>
      <c r="HB172" s="4">
        <v>270</v>
      </c>
      <c r="HC172" s="4">
        <v>270</v>
      </c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</row>
    <row r="173">
      <c r="A173" s="2" t="s">
        <v>729</v>
      </c>
      <c r="B173" s="2" t="s">
        <v>323</v>
      </c>
      <c r="C173" s="2" t="s">
        <v>324</v>
      </c>
      <c r="D173" s="2" t="s">
        <v>257</v>
      </c>
      <c r="E173" s="2" t="s">
        <v>258</v>
      </c>
      <c r="F173" s="2" t="s">
        <v>679</v>
      </c>
      <c r="G173" s="2" t="s">
        <v>679</v>
      </c>
      <c r="H173" s="2" t="s">
        <v>679</v>
      </c>
      <c r="I173" s="2" t="s">
        <v>680</v>
      </c>
      <c r="J173" s="2" t="s">
        <v>261</v>
      </c>
      <c r="K173" s="2" t="s">
        <v>316</v>
      </c>
      <c r="L173" s="3">
        <v>30.71</v>
      </c>
      <c r="M173" s="3">
        <v>32.25</v>
      </c>
      <c r="N173" s="3">
        <v>64.99</v>
      </c>
      <c r="O173" s="2" t="s">
        <v>327</v>
      </c>
      <c r="P173" s="2" t="s">
        <v>333</v>
      </c>
      <c r="Q173" s="2" t="s">
        <v>234</v>
      </c>
      <c r="R173" s="2" t="s">
        <v>235</v>
      </c>
      <c r="S173" s="2" t="s">
        <v>235</v>
      </c>
      <c r="T173" s="2" t="s">
        <v>328</v>
      </c>
      <c r="U173" s="2" t="s">
        <v>264</v>
      </c>
      <c r="V173" s="2" t="s">
        <v>238</v>
      </c>
      <c r="W173" s="2" t="s">
        <v>329</v>
      </c>
      <c r="X173" s="2" t="s">
        <v>235</v>
      </c>
      <c r="Y173" s="2" t="s">
        <v>235</v>
      </c>
      <c r="Z173" s="4"/>
      <c r="AA173" s="4">
        <f>=ROUNDDOWN({0},0)</f>
      </c>
      <c r="AB173" s="5"/>
      <c r="AC173" s="2" t="s">
        <v>166</v>
      </c>
      <c r="AD173" s="4">
        <v>600</v>
      </c>
      <c r="AE173" s="4">
        <v>600</v>
      </c>
      <c r="AF173" s="6">
        <v>73</v>
      </c>
      <c r="AG173" s="6"/>
      <c r="AH173" s="7"/>
      <c r="AI173" s="4"/>
      <c r="AJ173" s="4">
        <f>=ROUNDDOWN({0},0)</f>
      </c>
      <c r="AK173" s="5"/>
      <c r="AL173" s="2" t="s">
        <v>235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235</v>
      </c>
      <c r="AW173" s="8" t="s">
        <v>235</v>
      </c>
      <c r="AX173" s="4" t="s">
        <v>235</v>
      </c>
      <c r="AY173" s="8" t="s">
        <v>235</v>
      </c>
      <c r="AZ173" s="7" t="s">
        <v>235</v>
      </c>
      <c r="BA173" s="7" t="s">
        <v>235</v>
      </c>
      <c r="BB173" s="7"/>
      <c r="BC173" s="4" t="s">
        <v>235</v>
      </c>
      <c r="BD173" s="8" t="s">
        <v>235</v>
      </c>
      <c r="BE173" s="4" t="s">
        <v>235</v>
      </c>
      <c r="BF173" s="8" t="s">
        <v>235</v>
      </c>
      <c r="BG173" s="7" t="s">
        <v>235</v>
      </c>
      <c r="BH173" s="7" t="s">
        <v>235</v>
      </c>
      <c r="BI173" s="7"/>
      <c r="BJ173" s="4"/>
      <c r="BK173" s="8"/>
      <c r="BL173" s="2" t="s">
        <v>235</v>
      </c>
      <c r="BM173" s="7"/>
      <c r="BN173" s="7"/>
      <c r="BO173" s="4"/>
      <c r="BP173" s="8"/>
      <c r="BQ173" s="4"/>
      <c r="BR173" s="8"/>
      <c r="BS173" s="7"/>
      <c r="BT173" s="7"/>
      <c r="BU173" s="2" t="s">
        <v>330</v>
      </c>
      <c r="BV173" s="2" t="s">
        <v>235</v>
      </c>
      <c r="BW173" s="2" t="s">
        <v>235</v>
      </c>
      <c r="BX173" s="2" t="s">
        <v>330</v>
      </c>
      <c r="BY173" s="2" t="s">
        <v>331</v>
      </c>
      <c r="BZ173" s="2" t="s">
        <v>232</v>
      </c>
      <c r="CA173" s="2" t="s">
        <v>235</v>
      </c>
      <c r="CB173" s="2" t="s">
        <v>235</v>
      </c>
      <c r="CC173" s="2" t="s">
        <v>248</v>
      </c>
      <c r="CD173" s="2" t="s">
        <v>248</v>
      </c>
      <c r="CE173" s="2" t="s">
        <v>235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>
        <v>600</v>
      </c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>
        <v>600</v>
      </c>
      <c r="GL173" s="4">
        <v>600</v>
      </c>
      <c r="GM173" s="4">
        <v>600</v>
      </c>
      <c r="GN173" s="4">
        <v>600</v>
      </c>
      <c r="GO173" s="4">
        <v>600</v>
      </c>
      <c r="GP173" s="4">
        <v>600</v>
      </c>
      <c r="GQ173" s="4">
        <v>600</v>
      </c>
      <c r="GR173" s="4">
        <v>600</v>
      </c>
      <c r="GS173" s="4">
        <v>600</v>
      </c>
      <c r="GT173" s="4">
        <v>600</v>
      </c>
      <c r="GU173" s="4">
        <v>600</v>
      </c>
      <c r="GV173" s="4">
        <v>600</v>
      </c>
      <c r="GW173" s="4">
        <v>600</v>
      </c>
      <c r="GX173" s="4">
        <v>600</v>
      </c>
      <c r="GY173" s="4">
        <v>600</v>
      </c>
      <c r="GZ173" s="4">
        <v>600</v>
      </c>
      <c r="HA173" s="4">
        <v>600</v>
      </c>
      <c r="HB173" s="4">
        <v>600</v>
      </c>
      <c r="HC173" s="4">
        <v>600</v>
      </c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</row>
    <row r="174">
      <c r="A174" s="2" t="s">
        <v>730</v>
      </c>
      <c r="B174" s="2" t="s">
        <v>323</v>
      </c>
      <c r="C174" s="2" t="s">
        <v>324</v>
      </c>
      <c r="D174" s="2" t="s">
        <v>257</v>
      </c>
      <c r="E174" s="2" t="s">
        <v>258</v>
      </c>
      <c r="F174" s="2" t="s">
        <v>679</v>
      </c>
      <c r="G174" s="2" t="s">
        <v>679</v>
      </c>
      <c r="H174" s="2" t="s">
        <v>679</v>
      </c>
      <c r="I174" s="2" t="s">
        <v>680</v>
      </c>
      <c r="J174" s="2" t="s">
        <v>270</v>
      </c>
      <c r="K174" s="2" t="s">
        <v>316</v>
      </c>
      <c r="L174" s="3">
        <v>33.08</v>
      </c>
      <c r="M174" s="3">
        <v>34.73</v>
      </c>
      <c r="N174" s="3">
        <v>69.99</v>
      </c>
      <c r="O174" s="2" t="s">
        <v>327</v>
      </c>
      <c r="P174" s="2" t="s">
        <v>333</v>
      </c>
      <c r="Q174" s="2" t="s">
        <v>234</v>
      </c>
      <c r="R174" s="2" t="s">
        <v>235</v>
      </c>
      <c r="S174" s="2" t="s">
        <v>235</v>
      </c>
      <c r="T174" s="2" t="s">
        <v>328</v>
      </c>
      <c r="U174" s="2" t="s">
        <v>264</v>
      </c>
      <c r="V174" s="2" t="s">
        <v>238</v>
      </c>
      <c r="W174" s="2" t="s">
        <v>329</v>
      </c>
      <c r="X174" s="2" t="s">
        <v>235</v>
      </c>
      <c r="Y174" s="2" t="s">
        <v>235</v>
      </c>
      <c r="Z174" s="4"/>
      <c r="AA174" s="4">
        <f>=ROUNDDOWN({0},0)</f>
      </c>
      <c r="AB174" s="5"/>
      <c r="AC174" s="2" t="s">
        <v>166</v>
      </c>
      <c r="AD174" s="4">
        <v>800</v>
      </c>
      <c r="AE174" s="4">
        <v>800</v>
      </c>
      <c r="AF174" s="6">
        <v>73</v>
      </c>
      <c r="AG174" s="6"/>
      <c r="AH174" s="7"/>
      <c r="AI174" s="4"/>
      <c r="AJ174" s="4">
        <f>=ROUNDDOWN({0},0)</f>
      </c>
      <c r="AK174" s="5"/>
      <c r="AL174" s="2" t="s">
        <v>235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235</v>
      </c>
      <c r="AW174" s="8" t="s">
        <v>235</v>
      </c>
      <c r="AX174" s="4" t="s">
        <v>235</v>
      </c>
      <c r="AY174" s="8" t="s">
        <v>235</v>
      </c>
      <c r="AZ174" s="7" t="s">
        <v>235</v>
      </c>
      <c r="BA174" s="7" t="s">
        <v>235</v>
      </c>
      <c r="BB174" s="7"/>
      <c r="BC174" s="4" t="s">
        <v>235</v>
      </c>
      <c r="BD174" s="8" t="s">
        <v>235</v>
      </c>
      <c r="BE174" s="4" t="s">
        <v>235</v>
      </c>
      <c r="BF174" s="8" t="s">
        <v>235</v>
      </c>
      <c r="BG174" s="7" t="s">
        <v>235</v>
      </c>
      <c r="BH174" s="7" t="s">
        <v>235</v>
      </c>
      <c r="BI174" s="7"/>
      <c r="BJ174" s="4"/>
      <c r="BK174" s="8"/>
      <c r="BL174" s="2" t="s">
        <v>235</v>
      </c>
      <c r="BM174" s="7"/>
      <c r="BN174" s="7"/>
      <c r="BO174" s="4"/>
      <c r="BP174" s="8"/>
      <c r="BQ174" s="4"/>
      <c r="BR174" s="8"/>
      <c r="BS174" s="7"/>
      <c r="BT174" s="7"/>
      <c r="BU174" s="2" t="s">
        <v>330</v>
      </c>
      <c r="BV174" s="2" t="s">
        <v>235</v>
      </c>
      <c r="BW174" s="2" t="s">
        <v>235</v>
      </c>
      <c r="BX174" s="2" t="s">
        <v>330</v>
      </c>
      <c r="BY174" s="2" t="s">
        <v>331</v>
      </c>
      <c r="BZ174" s="2" t="s">
        <v>232</v>
      </c>
      <c r="CA174" s="2" t="s">
        <v>235</v>
      </c>
      <c r="CB174" s="2" t="s">
        <v>235</v>
      </c>
      <c r="CC174" s="2" t="s">
        <v>248</v>
      </c>
      <c r="CD174" s="2" t="s">
        <v>248</v>
      </c>
      <c r="CE174" s="2" t="s">
        <v>235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>
        <v>800</v>
      </c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>
        <v>800</v>
      </c>
      <c r="GL174" s="4">
        <v>800</v>
      </c>
      <c r="GM174" s="4">
        <v>800</v>
      </c>
      <c r="GN174" s="4">
        <v>800</v>
      </c>
      <c r="GO174" s="4">
        <v>800</v>
      </c>
      <c r="GP174" s="4">
        <v>800</v>
      </c>
      <c r="GQ174" s="4">
        <v>800</v>
      </c>
      <c r="GR174" s="4">
        <v>800</v>
      </c>
      <c r="GS174" s="4">
        <v>800</v>
      </c>
      <c r="GT174" s="4">
        <v>800</v>
      </c>
      <c r="GU174" s="4">
        <v>800</v>
      </c>
      <c r="GV174" s="4">
        <v>800</v>
      </c>
      <c r="GW174" s="4">
        <v>800</v>
      </c>
      <c r="GX174" s="4">
        <v>800</v>
      </c>
      <c r="GY174" s="4">
        <v>800</v>
      </c>
      <c r="GZ174" s="4">
        <v>800</v>
      </c>
      <c r="HA174" s="4">
        <v>800</v>
      </c>
      <c r="HB174" s="4">
        <v>800</v>
      </c>
      <c r="HC174" s="4">
        <v>800</v>
      </c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</row>
    <row r="175">
      <c r="A175" s="2" t="s">
        <v>731</v>
      </c>
      <c r="B175" s="2" t="s">
        <v>323</v>
      </c>
      <c r="C175" s="2" t="s">
        <v>324</v>
      </c>
      <c r="D175" s="2" t="s">
        <v>257</v>
      </c>
      <c r="E175" s="2" t="s">
        <v>258</v>
      </c>
      <c r="F175" s="2" t="s">
        <v>679</v>
      </c>
      <c r="G175" s="2" t="s">
        <v>679</v>
      </c>
      <c r="H175" s="2" t="s">
        <v>679</v>
      </c>
      <c r="I175" s="2" t="s">
        <v>680</v>
      </c>
      <c r="J175" s="2" t="s">
        <v>272</v>
      </c>
      <c r="K175" s="2" t="s">
        <v>316</v>
      </c>
      <c r="L175" s="3">
        <v>33.08</v>
      </c>
      <c r="M175" s="3">
        <v>34.73</v>
      </c>
      <c r="N175" s="3">
        <v>69.99</v>
      </c>
      <c r="O175" s="2" t="s">
        <v>327</v>
      </c>
      <c r="P175" s="2" t="s">
        <v>233</v>
      </c>
      <c r="Q175" s="2" t="s">
        <v>234</v>
      </c>
      <c r="R175" s="2" t="s">
        <v>235</v>
      </c>
      <c r="S175" s="2" t="s">
        <v>235</v>
      </c>
      <c r="T175" s="2" t="s">
        <v>328</v>
      </c>
      <c r="U175" s="2" t="s">
        <v>264</v>
      </c>
      <c r="V175" s="2" t="s">
        <v>238</v>
      </c>
      <c r="W175" s="2" t="s">
        <v>329</v>
      </c>
      <c r="X175" s="2" t="s">
        <v>235</v>
      </c>
      <c r="Y175" s="2" t="s">
        <v>235</v>
      </c>
      <c r="Z175" s="4"/>
      <c r="AA175" s="4">
        <f>=ROUNDDOWN({0},0)</f>
      </c>
      <c r="AB175" s="5">
        <v>9</v>
      </c>
      <c r="AC175" s="2" t="s">
        <v>166</v>
      </c>
      <c r="AD175" s="4">
        <v>400</v>
      </c>
      <c r="AE175" s="4">
        <v>400</v>
      </c>
      <c r="AF175" s="6">
        <v>73</v>
      </c>
      <c r="AG175" s="6"/>
      <c r="AH175" s="7"/>
      <c r="AI175" s="4"/>
      <c r="AJ175" s="4">
        <f>=ROUNDDOWN({0},0)</f>
      </c>
      <c r="AK175" s="5"/>
      <c r="AL175" s="2" t="s">
        <v>235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235</v>
      </c>
      <c r="AW175" s="8" t="s">
        <v>235</v>
      </c>
      <c r="AX175" s="4" t="s">
        <v>235</v>
      </c>
      <c r="AY175" s="8" t="s">
        <v>235</v>
      </c>
      <c r="AZ175" s="7" t="s">
        <v>235</v>
      </c>
      <c r="BA175" s="7" t="s">
        <v>235</v>
      </c>
      <c r="BB175" s="7"/>
      <c r="BC175" s="4" t="s">
        <v>235</v>
      </c>
      <c r="BD175" s="8" t="s">
        <v>235</v>
      </c>
      <c r="BE175" s="4" t="s">
        <v>235</v>
      </c>
      <c r="BF175" s="8" t="s">
        <v>235</v>
      </c>
      <c r="BG175" s="7" t="s">
        <v>235</v>
      </c>
      <c r="BH175" s="7" t="s">
        <v>235</v>
      </c>
      <c r="BI175" s="7"/>
      <c r="BJ175" s="4"/>
      <c r="BK175" s="8"/>
      <c r="BL175" s="2" t="s">
        <v>235</v>
      </c>
      <c r="BM175" s="7"/>
      <c r="BN175" s="7"/>
      <c r="BO175" s="4"/>
      <c r="BP175" s="8"/>
      <c r="BQ175" s="4"/>
      <c r="BR175" s="8"/>
      <c r="BS175" s="7"/>
      <c r="BT175" s="7"/>
      <c r="BU175" s="2" t="s">
        <v>330</v>
      </c>
      <c r="BV175" s="2" t="s">
        <v>235</v>
      </c>
      <c r="BW175" s="2" t="s">
        <v>235</v>
      </c>
      <c r="BX175" s="2" t="s">
        <v>330</v>
      </c>
      <c r="BY175" s="2" t="s">
        <v>331</v>
      </c>
      <c r="BZ175" s="2" t="s">
        <v>232</v>
      </c>
      <c r="CA175" s="2" t="s">
        <v>235</v>
      </c>
      <c r="CB175" s="2" t="s">
        <v>235</v>
      </c>
      <c r="CC175" s="2" t="s">
        <v>248</v>
      </c>
      <c r="CD175" s="2" t="s">
        <v>248</v>
      </c>
      <c r="CE175" s="2" t="s">
        <v>235</v>
      </c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>
        <v>400</v>
      </c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>
        <v>400</v>
      </c>
      <c r="GL175" s="4">
        <v>400</v>
      </c>
      <c r="GM175" s="4">
        <v>400</v>
      </c>
      <c r="GN175" s="4">
        <v>400</v>
      </c>
      <c r="GO175" s="4">
        <v>400</v>
      </c>
      <c r="GP175" s="4">
        <v>400</v>
      </c>
      <c r="GQ175" s="4">
        <v>400</v>
      </c>
      <c r="GR175" s="4">
        <v>400</v>
      </c>
      <c r="GS175" s="4">
        <v>400</v>
      </c>
      <c r="GT175" s="4">
        <v>400</v>
      </c>
      <c r="GU175" s="4">
        <v>400</v>
      </c>
      <c r="GV175" s="4">
        <v>400</v>
      </c>
      <c r="GW175" s="4">
        <v>400</v>
      </c>
      <c r="GX175" s="4">
        <v>400</v>
      </c>
      <c r="GY175" s="4">
        <v>400</v>
      </c>
      <c r="GZ175" s="4">
        <v>400</v>
      </c>
      <c r="HA175" s="4">
        <v>400</v>
      </c>
      <c r="HB175" s="4">
        <v>400</v>
      </c>
      <c r="HC175" s="4">
        <v>400</v>
      </c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</row>
    <row r="176">
      <c r="A176" s="2" t="s">
        <v>732</v>
      </c>
      <c r="B176" s="2" t="s">
        <v>323</v>
      </c>
      <c r="C176" s="2" t="s">
        <v>324</v>
      </c>
      <c r="D176" s="2" t="s">
        <v>257</v>
      </c>
      <c r="E176" s="2" t="s">
        <v>258</v>
      </c>
      <c r="F176" s="2" t="s">
        <v>733</v>
      </c>
      <c r="G176" s="2" t="s">
        <v>733</v>
      </c>
      <c r="H176" s="2" t="s">
        <v>733</v>
      </c>
      <c r="I176" s="2" t="s">
        <v>734</v>
      </c>
      <c r="J176" s="2" t="s">
        <v>270</v>
      </c>
      <c r="K176" s="2" t="s">
        <v>735</v>
      </c>
      <c r="L176" s="3">
        <v>63</v>
      </c>
      <c r="M176" s="3">
        <v>66.15</v>
      </c>
      <c r="N176" s="3">
        <v>124.99</v>
      </c>
      <c r="O176" s="2" t="s">
        <v>232</v>
      </c>
      <c r="P176" s="2" t="s">
        <v>336</v>
      </c>
      <c r="Q176" s="2" t="s">
        <v>234</v>
      </c>
      <c r="R176" s="2" t="s">
        <v>235</v>
      </c>
      <c r="S176" s="2" t="s">
        <v>736</v>
      </c>
      <c r="T176" s="2" t="s">
        <v>263</v>
      </c>
      <c r="U176" s="2" t="s">
        <v>235</v>
      </c>
      <c r="V176" s="2" t="s">
        <v>238</v>
      </c>
      <c r="W176" s="2" t="s">
        <v>239</v>
      </c>
      <c r="X176" s="2" t="s">
        <v>235</v>
      </c>
      <c r="Y176" s="2" t="s">
        <v>240</v>
      </c>
      <c r="Z176" s="4">
        <v>271</v>
      </c>
      <c r="AA176" s="4">
        <f>=ROUNDDOWN(57.6595744680851,0)</f>
      </c>
      <c r="AB176" s="5">
        <v>4.7</v>
      </c>
      <c r="AC176" s="2" t="s">
        <v>737</v>
      </c>
      <c r="AD176" s="4">
        <v>49</v>
      </c>
      <c r="AE176" s="4">
        <v>49</v>
      </c>
      <c r="AF176" s="6">
        <v>73</v>
      </c>
      <c r="AG176" s="6"/>
      <c r="AH176" s="7">
        <v>1</v>
      </c>
      <c r="AI176" s="4"/>
      <c r="AJ176" s="4">
        <f>=ROUNDDOWN({0},0)</f>
      </c>
      <c r="AK176" s="5"/>
      <c r="AL176" s="2" t="s">
        <v>235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235</v>
      </c>
      <c r="AW176" s="8" t="s">
        <v>235</v>
      </c>
      <c r="AX176" s="4" t="s">
        <v>235</v>
      </c>
      <c r="AY176" s="8" t="s">
        <v>235</v>
      </c>
      <c r="AZ176" s="7" t="s">
        <v>235</v>
      </c>
      <c r="BA176" s="7" t="s">
        <v>235</v>
      </c>
      <c r="BB176" s="7"/>
      <c r="BC176" s="4" t="s">
        <v>235</v>
      </c>
      <c r="BD176" s="8" t="s">
        <v>235</v>
      </c>
      <c r="BE176" s="4" t="s">
        <v>235</v>
      </c>
      <c r="BF176" s="8" t="s">
        <v>235</v>
      </c>
      <c r="BG176" s="7" t="s">
        <v>235</v>
      </c>
      <c r="BH176" s="7" t="s">
        <v>235</v>
      </c>
      <c r="BI176" s="7"/>
      <c r="BJ176" s="4">
        <v>16</v>
      </c>
      <c r="BK176" s="8">
        <v>1111.36</v>
      </c>
      <c r="BL176" s="2" t="s">
        <v>738</v>
      </c>
      <c r="BM176" s="7"/>
      <c r="BN176" s="7"/>
      <c r="BO176" s="4"/>
      <c r="BP176" s="8"/>
      <c r="BQ176" s="4"/>
      <c r="BR176" s="8"/>
      <c r="BS176" s="7"/>
      <c r="BT176" s="7"/>
      <c r="BU176" s="2" t="s">
        <v>739</v>
      </c>
      <c r="BV176" s="2" t="s">
        <v>243</v>
      </c>
      <c r="BW176" s="2" t="s">
        <v>235</v>
      </c>
      <c r="BX176" s="2" t="s">
        <v>244</v>
      </c>
      <c r="BY176" s="2" t="s">
        <v>245</v>
      </c>
      <c r="BZ176" s="2" t="s">
        <v>232</v>
      </c>
      <c r="CA176" s="2" t="s">
        <v>252</v>
      </c>
      <c r="CB176" s="2" t="s">
        <v>740</v>
      </c>
      <c r="CC176" s="2" t="s">
        <v>248</v>
      </c>
      <c r="CD176" s="2" t="s">
        <v>248</v>
      </c>
      <c r="CE176" s="2" t="s">
        <v>235</v>
      </c>
      <c r="CF176" s="4">
        <v>217</v>
      </c>
      <c r="CG176" s="4">
        <v>54</v>
      </c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>
        <v>49</v>
      </c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>
        <v>278</v>
      </c>
      <c r="GE176" s="4">
        <v>316</v>
      </c>
      <c r="GF176" s="4">
        <v>311</v>
      </c>
      <c r="GG176" s="4">
        <v>306</v>
      </c>
      <c r="GH176" s="4">
        <v>301</v>
      </c>
      <c r="GI176" s="4">
        <v>296</v>
      </c>
      <c r="GJ176" s="4">
        <v>291</v>
      </c>
      <c r="GK176" s="4">
        <v>286</v>
      </c>
      <c r="GL176" s="4">
        <v>281</v>
      </c>
      <c r="GM176" s="4">
        <v>276</v>
      </c>
      <c r="GN176" s="4">
        <v>269</v>
      </c>
      <c r="GO176" s="4">
        <v>262</v>
      </c>
      <c r="GP176" s="4">
        <v>249</v>
      </c>
      <c r="GQ176" s="4">
        <v>229</v>
      </c>
      <c r="GR176" s="4">
        <v>219</v>
      </c>
      <c r="GS176" s="4">
        <v>209</v>
      </c>
      <c r="GT176" s="4">
        <v>203</v>
      </c>
      <c r="GU176" s="4">
        <v>197</v>
      </c>
      <c r="GV176" s="4">
        <v>192</v>
      </c>
      <c r="GW176" s="4">
        <v>187</v>
      </c>
      <c r="GX176" s="4">
        <v>182</v>
      </c>
      <c r="GY176" s="4">
        <v>177</v>
      </c>
      <c r="GZ176" s="4">
        <v>172</v>
      </c>
      <c r="HA176" s="4">
        <v>167</v>
      </c>
      <c r="HB176" s="4">
        <v>162</v>
      </c>
      <c r="HC176" s="4">
        <v>156</v>
      </c>
      <c r="HD176" s="19">
        <v>46.3</v>
      </c>
      <c r="HE176" s="19">
        <v>63.2</v>
      </c>
      <c r="HF176" s="19">
        <v>62.2</v>
      </c>
      <c r="HG176" s="19">
        <v>61.2</v>
      </c>
      <c r="HH176" s="19">
        <v>60.2</v>
      </c>
      <c r="HI176" s="19">
        <v>59.2</v>
      </c>
      <c r="HJ176" s="19">
        <v>48.5</v>
      </c>
      <c r="HK176" s="19">
        <v>47.7</v>
      </c>
      <c r="HL176" s="19">
        <v>35.1</v>
      </c>
      <c r="HM176" s="19">
        <v>23</v>
      </c>
      <c r="HN176" s="19">
        <v>22.4</v>
      </c>
      <c r="HO176" s="19">
        <v>20.2</v>
      </c>
      <c r="HP176" s="19">
        <v>20.8</v>
      </c>
      <c r="HQ176" s="19">
        <v>28.6</v>
      </c>
      <c r="HR176" s="19">
        <v>31.3</v>
      </c>
      <c r="HS176" s="19">
        <v>34.8</v>
      </c>
      <c r="HT176" s="19">
        <v>40.6</v>
      </c>
      <c r="HU176" s="19">
        <v>39.4</v>
      </c>
      <c r="HV176" s="19">
        <v>38.4</v>
      </c>
      <c r="HW176" s="19">
        <v>37.4</v>
      </c>
      <c r="HX176" s="19">
        <v>36.4</v>
      </c>
      <c r="HY176" s="19">
        <v>35.4</v>
      </c>
      <c r="HZ176" s="19">
        <v>34.4</v>
      </c>
      <c r="IA176" s="19">
        <v>33.4</v>
      </c>
      <c r="IB176" s="19">
        <v>32.4</v>
      </c>
      <c r="IC176" s="19">
        <v>31.2</v>
      </c>
    </row>
    <row r="177">
      <c r="A177" s="2" t="s">
        <v>741</v>
      </c>
      <c r="B177" s="2" t="s">
        <v>323</v>
      </c>
      <c r="C177" s="2" t="s">
        <v>324</v>
      </c>
      <c r="D177" s="2" t="s">
        <v>257</v>
      </c>
      <c r="E177" s="2" t="s">
        <v>258</v>
      </c>
      <c r="F177" s="2" t="s">
        <v>733</v>
      </c>
      <c r="G177" s="2" t="s">
        <v>733</v>
      </c>
      <c r="H177" s="2" t="s">
        <v>733</v>
      </c>
      <c r="I177" s="2" t="s">
        <v>734</v>
      </c>
      <c r="J177" s="2" t="s">
        <v>281</v>
      </c>
      <c r="K177" s="2" t="s">
        <v>735</v>
      </c>
      <c r="L177" s="3">
        <v>72.03</v>
      </c>
      <c r="M177" s="3">
        <v>75.63</v>
      </c>
      <c r="N177" s="3">
        <v>139.99</v>
      </c>
      <c r="O177" s="2" t="s">
        <v>232</v>
      </c>
      <c r="P177" s="2" t="s">
        <v>233</v>
      </c>
      <c r="Q177" s="2" t="s">
        <v>234</v>
      </c>
      <c r="R177" s="2" t="s">
        <v>235</v>
      </c>
      <c r="S177" s="2" t="s">
        <v>736</v>
      </c>
      <c r="T177" s="2" t="s">
        <v>263</v>
      </c>
      <c r="U177" s="2" t="s">
        <v>742</v>
      </c>
      <c r="V177" s="2" t="s">
        <v>238</v>
      </c>
      <c r="W177" s="2" t="s">
        <v>239</v>
      </c>
      <c r="X177" s="2" t="s">
        <v>682</v>
      </c>
      <c r="Y177" s="2" t="s">
        <v>743</v>
      </c>
      <c r="Z177" s="4">
        <v>180</v>
      </c>
      <c r="AA177" s="4">
        <f>=ROUNDDOWN(200,0)</f>
      </c>
      <c r="AB177" s="5">
        <v>0.9</v>
      </c>
      <c r="AC177" s="2" t="s">
        <v>235</v>
      </c>
      <c r="AD177" s="4"/>
      <c r="AE177" s="4"/>
      <c r="AF177" s="6">
        <v>73</v>
      </c>
      <c r="AG177" s="6"/>
      <c r="AH177" s="7">
        <v>1</v>
      </c>
      <c r="AI177" s="4"/>
      <c r="AJ177" s="4">
        <f>=ROUNDDOWN({0},0)</f>
      </c>
      <c r="AK177" s="5"/>
      <c r="AL177" s="2" t="s">
        <v>235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235</v>
      </c>
      <c r="AW177" s="8" t="s">
        <v>235</v>
      </c>
      <c r="AX177" s="4" t="s">
        <v>235</v>
      </c>
      <c r="AY177" s="8" t="s">
        <v>235</v>
      </c>
      <c r="AZ177" s="7" t="s">
        <v>235</v>
      </c>
      <c r="BA177" s="7" t="s">
        <v>235</v>
      </c>
      <c r="BB177" s="7"/>
      <c r="BC177" s="4" t="s">
        <v>235</v>
      </c>
      <c r="BD177" s="8" t="s">
        <v>235</v>
      </c>
      <c r="BE177" s="4" t="s">
        <v>235</v>
      </c>
      <c r="BF177" s="8" t="s">
        <v>235</v>
      </c>
      <c r="BG177" s="7" t="s">
        <v>235</v>
      </c>
      <c r="BH177" s="7" t="s">
        <v>235</v>
      </c>
      <c r="BI177" s="7"/>
      <c r="BJ177" s="4">
        <v>3</v>
      </c>
      <c r="BK177" s="8">
        <v>238.23</v>
      </c>
      <c r="BL177" s="2" t="s">
        <v>517</v>
      </c>
      <c r="BM177" s="7"/>
      <c r="BN177" s="7"/>
      <c r="BO177" s="4"/>
      <c r="BP177" s="8"/>
      <c r="BQ177" s="4"/>
      <c r="BR177" s="8"/>
      <c r="BS177" s="7"/>
      <c r="BT177" s="7"/>
      <c r="BU177" s="2" t="s">
        <v>739</v>
      </c>
      <c r="BV177" s="2" t="s">
        <v>243</v>
      </c>
      <c r="BW177" s="2" t="s">
        <v>235</v>
      </c>
      <c r="BX177" s="2" t="s">
        <v>244</v>
      </c>
      <c r="BY177" s="2" t="s">
        <v>245</v>
      </c>
      <c r="BZ177" s="2" t="s">
        <v>232</v>
      </c>
      <c r="CA177" s="2" t="s">
        <v>744</v>
      </c>
      <c r="CB177" s="2" t="s">
        <v>745</v>
      </c>
      <c r="CC177" s="2" t="s">
        <v>248</v>
      </c>
      <c r="CD177" s="2" t="s">
        <v>248</v>
      </c>
      <c r="CE177" s="2" t="s">
        <v>235</v>
      </c>
      <c r="CF177" s="4">
        <v>85</v>
      </c>
      <c r="CG177" s="4">
        <v>37</v>
      </c>
      <c r="CH177" s="4"/>
      <c r="CI177" s="4"/>
      <c r="CJ177" s="4"/>
      <c r="CK177" s="4"/>
      <c r="CL177" s="4"/>
      <c r="CM177" s="4">
        <v>58</v>
      </c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>
        <v>182</v>
      </c>
      <c r="GE177" s="4">
        <v>180</v>
      </c>
      <c r="GF177" s="4">
        <v>179</v>
      </c>
      <c r="GG177" s="4">
        <v>178</v>
      </c>
      <c r="GH177" s="4">
        <v>177</v>
      </c>
      <c r="GI177" s="4">
        <v>176</v>
      </c>
      <c r="GJ177" s="4">
        <v>175</v>
      </c>
      <c r="GK177" s="4">
        <v>174</v>
      </c>
      <c r="GL177" s="4">
        <v>173</v>
      </c>
      <c r="GM177" s="4">
        <v>172</v>
      </c>
      <c r="GN177" s="4">
        <v>171</v>
      </c>
      <c r="GO177" s="4">
        <v>170</v>
      </c>
      <c r="GP177" s="4">
        <v>167</v>
      </c>
      <c r="GQ177" s="4">
        <v>163</v>
      </c>
      <c r="GR177" s="4">
        <v>161</v>
      </c>
      <c r="GS177" s="4">
        <v>159</v>
      </c>
      <c r="GT177" s="4">
        <v>158</v>
      </c>
      <c r="GU177" s="4">
        <v>157</v>
      </c>
      <c r="GV177" s="4">
        <v>156</v>
      </c>
      <c r="GW177" s="4">
        <v>155</v>
      </c>
      <c r="GX177" s="4">
        <v>154</v>
      </c>
      <c r="GY177" s="4">
        <v>153</v>
      </c>
      <c r="GZ177" s="4">
        <v>152</v>
      </c>
      <c r="HA177" s="4">
        <v>151</v>
      </c>
      <c r="HB177" s="4">
        <v>150</v>
      </c>
      <c r="HC177" s="4">
        <v>149</v>
      </c>
      <c r="HD177" s="19">
        <v>182</v>
      </c>
      <c r="HE177" s="19">
        <v>180</v>
      </c>
      <c r="HF177" s="19">
        <v>179</v>
      </c>
      <c r="HG177" s="19">
        <v>178</v>
      </c>
      <c r="HH177" s="19">
        <v>177</v>
      </c>
      <c r="HI177" s="19">
        <v>176</v>
      </c>
      <c r="HJ177" s="19">
        <v>175</v>
      </c>
      <c r="HK177" s="19">
        <v>174</v>
      </c>
      <c r="HL177" s="19">
        <v>86.5</v>
      </c>
      <c r="HM177" s="19">
        <v>86</v>
      </c>
      <c r="HN177" s="19">
        <v>85.5</v>
      </c>
      <c r="HO177" s="19">
        <v>56.7</v>
      </c>
      <c r="HP177" s="19">
        <v>83.5</v>
      </c>
      <c r="HQ177" s="19">
        <v>81.5</v>
      </c>
      <c r="HR177" s="19">
        <v>161</v>
      </c>
      <c r="HS177" s="19">
        <v>159</v>
      </c>
      <c r="HT177" s="19">
        <v>158</v>
      </c>
      <c r="HU177" s="19">
        <v>157</v>
      </c>
      <c r="HV177" s="19">
        <v>156</v>
      </c>
      <c r="HW177" s="19">
        <v>155</v>
      </c>
      <c r="HX177" s="19">
        <v>154</v>
      </c>
      <c r="HY177" s="19">
        <v>153</v>
      </c>
      <c r="HZ177" s="19">
        <v>152</v>
      </c>
      <c r="IA177" s="19">
        <v>151</v>
      </c>
      <c r="IB177" s="19">
        <v>150</v>
      </c>
      <c r="IC177" s="19">
        <v>149</v>
      </c>
    </row>
    <row r="178">
      <c r="A178" s="2" t="s">
        <v>746</v>
      </c>
      <c r="B178" s="2" t="s">
        <v>323</v>
      </c>
      <c r="C178" s="2" t="s">
        <v>324</v>
      </c>
      <c r="D178" s="2" t="s">
        <v>257</v>
      </c>
      <c r="E178" s="2" t="s">
        <v>258</v>
      </c>
      <c r="F178" s="2" t="s">
        <v>733</v>
      </c>
      <c r="G178" s="2" t="s">
        <v>733</v>
      </c>
      <c r="H178" s="2" t="s">
        <v>733</v>
      </c>
      <c r="I178" s="2" t="s">
        <v>734</v>
      </c>
      <c r="J178" s="2" t="s">
        <v>272</v>
      </c>
      <c r="K178" s="2" t="s">
        <v>600</v>
      </c>
      <c r="L178" s="3">
        <v>63</v>
      </c>
      <c r="M178" s="3">
        <v>66.15</v>
      </c>
      <c r="N178" s="3">
        <v>124.99</v>
      </c>
      <c r="O178" s="2" t="s">
        <v>232</v>
      </c>
      <c r="P178" s="2" t="s">
        <v>233</v>
      </c>
      <c r="Q178" s="2" t="s">
        <v>234</v>
      </c>
      <c r="R178" s="2" t="s">
        <v>235</v>
      </c>
      <c r="S178" s="2" t="s">
        <v>747</v>
      </c>
      <c r="T178" s="2" t="s">
        <v>263</v>
      </c>
      <c r="U178" s="2" t="s">
        <v>264</v>
      </c>
      <c r="V178" s="2" t="s">
        <v>238</v>
      </c>
      <c r="W178" s="2" t="s">
        <v>239</v>
      </c>
      <c r="X178" s="2" t="s">
        <v>671</v>
      </c>
      <c r="Y178" s="2" t="s">
        <v>748</v>
      </c>
      <c r="Z178" s="4">
        <v>47</v>
      </c>
      <c r="AA178" s="4">
        <f>=ROUNDDOWN(39.1666666666667,0)</f>
      </c>
      <c r="AB178" s="5">
        <v>1.2</v>
      </c>
      <c r="AC178" s="2" t="s">
        <v>737</v>
      </c>
      <c r="AD178" s="4">
        <v>40</v>
      </c>
      <c r="AE178" s="4">
        <v>40</v>
      </c>
      <c r="AF178" s="6">
        <v>73</v>
      </c>
      <c r="AG178" s="6"/>
      <c r="AH178" s="7">
        <v>1</v>
      </c>
      <c r="AI178" s="4"/>
      <c r="AJ178" s="4">
        <f>=ROUNDDOWN({0},0)</f>
      </c>
      <c r="AK178" s="5"/>
      <c r="AL178" s="2" t="s">
        <v>235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235</v>
      </c>
      <c r="BD178" s="8" t="s">
        <v>235</v>
      </c>
      <c r="BE178" s="4" t="s">
        <v>235</v>
      </c>
      <c r="BF178" s="8" t="s">
        <v>235</v>
      </c>
      <c r="BG178" s="7" t="s">
        <v>235</v>
      </c>
      <c r="BH178" s="7" t="s">
        <v>235</v>
      </c>
      <c r="BI178" s="7"/>
      <c r="BJ178" s="4">
        <v>2</v>
      </c>
      <c r="BK178" s="8">
        <v>170.66</v>
      </c>
      <c r="BL178" s="2" t="s">
        <v>749</v>
      </c>
      <c r="BM178" s="7"/>
      <c r="BN178" s="7"/>
      <c r="BO178" s="4"/>
      <c r="BP178" s="8"/>
      <c r="BQ178" s="4"/>
      <c r="BR178" s="8"/>
      <c r="BS178" s="7"/>
      <c r="BT178" s="7"/>
      <c r="BU178" s="2" t="s">
        <v>739</v>
      </c>
      <c r="BV178" s="2" t="s">
        <v>243</v>
      </c>
      <c r="BW178" s="2" t="s">
        <v>235</v>
      </c>
      <c r="BX178" s="2" t="s">
        <v>244</v>
      </c>
      <c r="BY178" s="2" t="s">
        <v>245</v>
      </c>
      <c r="BZ178" s="2" t="s">
        <v>232</v>
      </c>
      <c r="CA178" s="2" t="s">
        <v>750</v>
      </c>
      <c r="CB178" s="2" t="s">
        <v>751</v>
      </c>
      <c r="CC178" s="2" t="s">
        <v>248</v>
      </c>
      <c r="CD178" s="2" t="s">
        <v>248</v>
      </c>
      <c r="CE178" s="2" t="s">
        <v>235</v>
      </c>
      <c r="CF178" s="4">
        <v>30</v>
      </c>
      <c r="CG178" s="4">
        <v>17</v>
      </c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>
        <v>40</v>
      </c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>
        <v>49</v>
      </c>
      <c r="GE178" s="4">
        <v>86</v>
      </c>
      <c r="GF178" s="4">
        <v>85</v>
      </c>
      <c r="GG178" s="4">
        <v>84</v>
      </c>
      <c r="GH178" s="4">
        <v>83</v>
      </c>
      <c r="GI178" s="4">
        <v>82</v>
      </c>
      <c r="GJ178" s="4">
        <v>81</v>
      </c>
      <c r="GK178" s="4">
        <v>80</v>
      </c>
      <c r="GL178" s="4">
        <v>79</v>
      </c>
      <c r="GM178" s="4">
        <v>78</v>
      </c>
      <c r="GN178" s="4">
        <v>77</v>
      </c>
      <c r="GO178" s="4">
        <v>76</v>
      </c>
      <c r="GP178" s="4">
        <v>73</v>
      </c>
      <c r="GQ178" s="4">
        <v>69</v>
      </c>
      <c r="GR178" s="4">
        <v>67</v>
      </c>
      <c r="GS178" s="4">
        <v>65</v>
      </c>
      <c r="GT178" s="4">
        <v>64</v>
      </c>
      <c r="GU178" s="4">
        <v>63</v>
      </c>
      <c r="GV178" s="4">
        <v>62</v>
      </c>
      <c r="GW178" s="4">
        <v>61</v>
      </c>
      <c r="GX178" s="4">
        <v>60</v>
      </c>
      <c r="GY178" s="4">
        <v>59</v>
      </c>
      <c r="GZ178" s="4">
        <v>58</v>
      </c>
      <c r="HA178" s="4">
        <v>57</v>
      </c>
      <c r="HB178" s="4">
        <v>56</v>
      </c>
      <c r="HC178" s="4">
        <v>55</v>
      </c>
      <c r="HD178" s="19">
        <v>24.5</v>
      </c>
      <c r="HE178" s="19">
        <v>86</v>
      </c>
      <c r="HF178" s="19">
        <v>85</v>
      </c>
      <c r="HG178" s="19">
        <v>84</v>
      </c>
      <c r="HH178" s="19">
        <v>83</v>
      </c>
      <c r="HI178" s="19">
        <v>82</v>
      </c>
      <c r="HJ178" s="19">
        <v>81</v>
      </c>
      <c r="HK178" s="19">
        <v>80</v>
      </c>
      <c r="HL178" s="19">
        <v>39.5</v>
      </c>
      <c r="HM178" s="19">
        <v>39</v>
      </c>
      <c r="HN178" s="19">
        <v>38.5</v>
      </c>
      <c r="HO178" s="19">
        <v>25.3</v>
      </c>
      <c r="HP178" s="19">
        <v>36.5</v>
      </c>
      <c r="HQ178" s="19">
        <v>34.5</v>
      </c>
      <c r="HR178" s="19">
        <v>67</v>
      </c>
      <c r="HS178" s="19">
        <v>65</v>
      </c>
      <c r="HT178" s="19">
        <v>64</v>
      </c>
      <c r="HU178" s="19">
        <v>63</v>
      </c>
      <c r="HV178" s="19">
        <v>62</v>
      </c>
      <c r="HW178" s="19">
        <v>61</v>
      </c>
      <c r="HX178" s="19">
        <v>60</v>
      </c>
      <c r="HY178" s="19">
        <v>59</v>
      </c>
      <c r="HZ178" s="19">
        <v>58</v>
      </c>
      <c r="IA178" s="19">
        <v>57</v>
      </c>
      <c r="IB178" s="19">
        <v>56</v>
      </c>
      <c r="IC178" s="19">
        <v>55</v>
      </c>
    </row>
    <row r="179">
      <c r="A179" s="2" t="s">
        <v>752</v>
      </c>
      <c r="B179" s="2" t="s">
        <v>323</v>
      </c>
      <c r="C179" s="2" t="s">
        <v>324</v>
      </c>
      <c r="D179" s="2" t="s">
        <v>257</v>
      </c>
      <c r="E179" s="2" t="s">
        <v>258</v>
      </c>
      <c r="F179" s="2" t="s">
        <v>753</v>
      </c>
      <c r="G179" s="2" t="s">
        <v>753</v>
      </c>
      <c r="H179" s="2" t="s">
        <v>753</v>
      </c>
      <c r="I179" s="2" t="s">
        <v>754</v>
      </c>
      <c r="J179" s="2" t="s">
        <v>272</v>
      </c>
      <c r="K179" s="2" t="s">
        <v>338</v>
      </c>
      <c r="L179" s="3">
        <v>39.84</v>
      </c>
      <c r="M179" s="3">
        <v>41.83</v>
      </c>
      <c r="N179" s="3">
        <v>82.99</v>
      </c>
      <c r="O179" s="2" t="s">
        <v>232</v>
      </c>
      <c r="P179" s="2" t="s">
        <v>233</v>
      </c>
      <c r="Q179" s="2" t="s">
        <v>234</v>
      </c>
      <c r="R179" s="2" t="s">
        <v>235</v>
      </c>
      <c r="S179" s="2" t="s">
        <v>755</v>
      </c>
      <c r="T179" s="2" t="s">
        <v>328</v>
      </c>
      <c r="U179" s="2" t="s">
        <v>614</v>
      </c>
      <c r="V179" s="2" t="s">
        <v>238</v>
      </c>
      <c r="W179" s="2" t="s">
        <v>239</v>
      </c>
      <c r="X179" s="2" t="s">
        <v>329</v>
      </c>
      <c r="Y179" s="2" t="s">
        <v>756</v>
      </c>
      <c r="Z179" s="4">
        <v>130</v>
      </c>
      <c r="AA179" s="4">
        <f>=ROUNDDOWN(65,0)</f>
      </c>
      <c r="AB179" s="5">
        <v>2</v>
      </c>
      <c r="AC179" s="2" t="s">
        <v>235</v>
      </c>
      <c r="AD179" s="4"/>
      <c r="AE179" s="4"/>
      <c r="AF179" s="6">
        <v>73</v>
      </c>
      <c r="AG179" s="6"/>
      <c r="AH179" s="7">
        <v>1</v>
      </c>
      <c r="AI179" s="4"/>
      <c r="AJ179" s="4">
        <f>=ROUNDDOWN({0},0)</f>
      </c>
      <c r="AK179" s="5"/>
      <c r="AL179" s="2" t="s">
        <v>235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235</v>
      </c>
      <c r="AW179" s="8" t="s">
        <v>235</v>
      </c>
      <c r="AX179" s="4" t="s">
        <v>235</v>
      </c>
      <c r="AY179" s="8" t="s">
        <v>235</v>
      </c>
      <c r="AZ179" s="7" t="s">
        <v>235</v>
      </c>
      <c r="BA179" s="7" t="s">
        <v>235</v>
      </c>
      <c r="BB179" s="7"/>
      <c r="BC179" s="4" t="s">
        <v>235</v>
      </c>
      <c r="BD179" s="8" t="s">
        <v>235</v>
      </c>
      <c r="BE179" s="4" t="s">
        <v>235</v>
      </c>
      <c r="BF179" s="8" t="s">
        <v>235</v>
      </c>
      <c r="BG179" s="7" t="s">
        <v>235</v>
      </c>
      <c r="BH179" s="7" t="s">
        <v>235</v>
      </c>
      <c r="BI179" s="7"/>
      <c r="BJ179" s="4">
        <v>10</v>
      </c>
      <c r="BK179" s="8">
        <v>440.58</v>
      </c>
      <c r="BL179" s="2" t="s">
        <v>757</v>
      </c>
      <c r="BM179" s="7"/>
      <c r="BN179" s="7"/>
      <c r="BO179" s="4"/>
      <c r="BP179" s="8"/>
      <c r="BQ179" s="4"/>
      <c r="BR179" s="8"/>
      <c r="BS179" s="7"/>
      <c r="BT179" s="7"/>
      <c r="BU179" s="2" t="s">
        <v>758</v>
      </c>
      <c r="BV179" s="2" t="s">
        <v>243</v>
      </c>
      <c r="BW179" s="2" t="s">
        <v>235</v>
      </c>
      <c r="BX179" s="2" t="s">
        <v>244</v>
      </c>
      <c r="BY179" s="2" t="s">
        <v>245</v>
      </c>
      <c r="BZ179" s="2" t="s">
        <v>232</v>
      </c>
      <c r="CA179" s="2" t="s">
        <v>756</v>
      </c>
      <c r="CB179" s="2" t="s">
        <v>759</v>
      </c>
      <c r="CC179" s="2" t="s">
        <v>248</v>
      </c>
      <c r="CD179" s="2" t="s">
        <v>248</v>
      </c>
      <c r="CE179" s="2" t="s">
        <v>235</v>
      </c>
      <c r="CF179" s="4">
        <v>115</v>
      </c>
      <c r="CG179" s="4">
        <v>15</v>
      </c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>
        <v>132</v>
      </c>
      <c r="GE179" s="4">
        <v>128</v>
      </c>
      <c r="GF179" s="4">
        <v>126</v>
      </c>
      <c r="GG179" s="4">
        <v>124</v>
      </c>
      <c r="GH179" s="4">
        <v>122</v>
      </c>
      <c r="GI179" s="4">
        <v>120</v>
      </c>
      <c r="GJ179" s="4">
        <v>118</v>
      </c>
      <c r="GK179" s="4">
        <v>116</v>
      </c>
      <c r="GL179" s="4">
        <v>114</v>
      </c>
      <c r="GM179" s="4">
        <v>112</v>
      </c>
      <c r="GN179" s="4">
        <v>110</v>
      </c>
      <c r="GO179" s="4">
        <v>107</v>
      </c>
      <c r="GP179" s="4">
        <v>104</v>
      </c>
      <c r="GQ179" s="4">
        <v>99</v>
      </c>
      <c r="GR179" s="4">
        <v>95</v>
      </c>
      <c r="GS179" s="4">
        <v>92</v>
      </c>
      <c r="GT179" s="4">
        <v>90</v>
      </c>
      <c r="GU179" s="4">
        <v>88</v>
      </c>
      <c r="GV179" s="4">
        <v>86</v>
      </c>
      <c r="GW179" s="4">
        <v>84</v>
      </c>
      <c r="GX179" s="4">
        <v>82</v>
      </c>
      <c r="GY179" s="4">
        <v>80</v>
      </c>
      <c r="GZ179" s="4">
        <v>78</v>
      </c>
      <c r="HA179" s="4">
        <v>76</v>
      </c>
      <c r="HB179" s="4">
        <v>74</v>
      </c>
      <c r="HC179" s="4">
        <v>72</v>
      </c>
      <c r="HD179" s="19">
        <v>66</v>
      </c>
      <c r="HE179" s="19">
        <v>64</v>
      </c>
      <c r="HF179" s="19">
        <v>63</v>
      </c>
      <c r="HG179" s="19">
        <v>62</v>
      </c>
      <c r="HH179" s="19">
        <v>61</v>
      </c>
      <c r="HI179" s="19">
        <v>60</v>
      </c>
      <c r="HJ179" s="19">
        <v>59</v>
      </c>
      <c r="HK179" s="19">
        <v>58</v>
      </c>
      <c r="HL179" s="19">
        <v>57</v>
      </c>
      <c r="HM179" s="19">
        <v>37.3</v>
      </c>
      <c r="HN179" s="19">
        <v>27.5</v>
      </c>
      <c r="HO179" s="19">
        <v>26.8</v>
      </c>
      <c r="HP179" s="19">
        <v>26</v>
      </c>
      <c r="HQ179" s="19">
        <v>33</v>
      </c>
      <c r="HR179" s="19">
        <v>47.5</v>
      </c>
      <c r="HS179" s="19">
        <v>46</v>
      </c>
      <c r="HT179" s="19">
        <v>45</v>
      </c>
      <c r="HU179" s="19">
        <v>44</v>
      </c>
      <c r="HV179" s="19">
        <v>43</v>
      </c>
      <c r="HW179" s="19">
        <v>42</v>
      </c>
      <c r="HX179" s="19">
        <v>41</v>
      </c>
      <c r="HY179" s="19">
        <v>40</v>
      </c>
      <c r="HZ179" s="19">
        <v>39</v>
      </c>
      <c r="IA179" s="19">
        <v>38</v>
      </c>
      <c r="IB179" s="19">
        <v>37</v>
      </c>
      <c r="IC179" s="19">
        <v>36</v>
      </c>
    </row>
    <row r="180">
      <c r="A180" s="2" t="s">
        <v>760</v>
      </c>
      <c r="B180" s="2" t="s">
        <v>323</v>
      </c>
      <c r="C180" s="2" t="s">
        <v>324</v>
      </c>
      <c r="D180" s="2" t="s">
        <v>257</v>
      </c>
      <c r="E180" s="2" t="s">
        <v>258</v>
      </c>
      <c r="F180" s="2" t="s">
        <v>753</v>
      </c>
      <c r="G180" s="2" t="s">
        <v>753</v>
      </c>
      <c r="H180" s="2" t="s">
        <v>753</v>
      </c>
      <c r="I180" s="2" t="s">
        <v>754</v>
      </c>
      <c r="J180" s="2" t="s">
        <v>281</v>
      </c>
      <c r="K180" s="2" t="s">
        <v>338</v>
      </c>
      <c r="L180" s="3">
        <v>43.2</v>
      </c>
      <c r="M180" s="3">
        <v>45.36</v>
      </c>
      <c r="N180" s="3">
        <v>89.99</v>
      </c>
      <c r="O180" s="2" t="s">
        <v>232</v>
      </c>
      <c r="P180" s="2" t="s">
        <v>233</v>
      </c>
      <c r="Q180" s="2" t="s">
        <v>234</v>
      </c>
      <c r="R180" s="2" t="s">
        <v>235</v>
      </c>
      <c r="S180" s="2" t="s">
        <v>755</v>
      </c>
      <c r="T180" s="2" t="s">
        <v>328</v>
      </c>
      <c r="U180" s="2" t="s">
        <v>742</v>
      </c>
      <c r="V180" s="2" t="s">
        <v>238</v>
      </c>
      <c r="W180" s="2" t="s">
        <v>239</v>
      </c>
      <c r="X180" s="2" t="s">
        <v>239</v>
      </c>
      <c r="Y180" s="2" t="s">
        <v>761</v>
      </c>
      <c r="Z180" s="4">
        <v>177</v>
      </c>
      <c r="AA180" s="4">
        <f>=ROUNDDOWN(59,0)</f>
      </c>
      <c r="AB180" s="5">
        <v>3</v>
      </c>
      <c r="AC180" s="2" t="s">
        <v>235</v>
      </c>
      <c r="AD180" s="4"/>
      <c r="AE180" s="4"/>
      <c r="AF180" s="6">
        <v>73</v>
      </c>
      <c r="AG180" s="6"/>
      <c r="AH180" s="7">
        <v>1</v>
      </c>
      <c r="AI180" s="4"/>
      <c r="AJ180" s="4">
        <f>=ROUNDDOWN({0},0)</f>
      </c>
      <c r="AK180" s="5"/>
      <c r="AL180" s="2" t="s">
        <v>235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235</v>
      </c>
      <c r="AW180" s="8" t="s">
        <v>235</v>
      </c>
      <c r="AX180" s="4" t="s">
        <v>235</v>
      </c>
      <c r="AY180" s="8" t="s">
        <v>235</v>
      </c>
      <c r="AZ180" s="7" t="s">
        <v>235</v>
      </c>
      <c r="BA180" s="7" t="s">
        <v>235</v>
      </c>
      <c r="BB180" s="7"/>
      <c r="BC180" s="4" t="s">
        <v>235</v>
      </c>
      <c r="BD180" s="8" t="s">
        <v>235</v>
      </c>
      <c r="BE180" s="4" t="s">
        <v>235</v>
      </c>
      <c r="BF180" s="8" t="s">
        <v>235</v>
      </c>
      <c r="BG180" s="7" t="s">
        <v>235</v>
      </c>
      <c r="BH180" s="7" t="s">
        <v>235</v>
      </c>
      <c r="BI180" s="7"/>
      <c r="BJ180" s="4">
        <v>14</v>
      </c>
      <c r="BK180" s="8">
        <v>658.35</v>
      </c>
      <c r="BL180" s="2" t="s">
        <v>762</v>
      </c>
      <c r="BM180" s="7"/>
      <c r="BN180" s="7"/>
      <c r="BO180" s="4"/>
      <c r="BP180" s="8"/>
      <c r="BQ180" s="4"/>
      <c r="BR180" s="8"/>
      <c r="BS180" s="7"/>
      <c r="BT180" s="7"/>
      <c r="BU180" s="2" t="s">
        <v>758</v>
      </c>
      <c r="BV180" s="2" t="s">
        <v>243</v>
      </c>
      <c r="BW180" s="2" t="s">
        <v>235</v>
      </c>
      <c r="BX180" s="2" t="s">
        <v>244</v>
      </c>
      <c r="BY180" s="2" t="s">
        <v>245</v>
      </c>
      <c r="BZ180" s="2" t="s">
        <v>232</v>
      </c>
      <c r="CA180" s="2" t="s">
        <v>763</v>
      </c>
      <c r="CB180" s="2" t="s">
        <v>764</v>
      </c>
      <c r="CC180" s="2" t="s">
        <v>248</v>
      </c>
      <c r="CD180" s="2" t="s">
        <v>248</v>
      </c>
      <c r="CE180" s="2" t="s">
        <v>235</v>
      </c>
      <c r="CF180" s="4">
        <v>139</v>
      </c>
      <c r="CG180" s="4">
        <v>38</v>
      </c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>
        <v>178</v>
      </c>
      <c r="GE180" s="4">
        <v>174</v>
      </c>
      <c r="GF180" s="4">
        <v>171</v>
      </c>
      <c r="GG180" s="4">
        <v>168</v>
      </c>
      <c r="GH180" s="4">
        <v>165</v>
      </c>
      <c r="GI180" s="4">
        <v>162</v>
      </c>
      <c r="GJ180" s="4">
        <v>159</v>
      </c>
      <c r="GK180" s="4">
        <v>156</v>
      </c>
      <c r="GL180" s="4">
        <v>153</v>
      </c>
      <c r="GM180" s="4">
        <v>150</v>
      </c>
      <c r="GN180" s="4">
        <v>146</v>
      </c>
      <c r="GO180" s="4">
        <v>141</v>
      </c>
      <c r="GP180" s="4">
        <v>135</v>
      </c>
      <c r="GQ180" s="4">
        <v>125</v>
      </c>
      <c r="GR180" s="4">
        <v>117</v>
      </c>
      <c r="GS180" s="4">
        <v>112</v>
      </c>
      <c r="GT180" s="4">
        <v>108</v>
      </c>
      <c r="GU180" s="4">
        <v>105</v>
      </c>
      <c r="GV180" s="4">
        <v>102</v>
      </c>
      <c r="GW180" s="4">
        <v>99</v>
      </c>
      <c r="GX180" s="4">
        <v>96</v>
      </c>
      <c r="GY180" s="4">
        <v>93</v>
      </c>
      <c r="GZ180" s="4">
        <v>90</v>
      </c>
      <c r="HA180" s="4">
        <v>87</v>
      </c>
      <c r="HB180" s="4">
        <v>84</v>
      </c>
      <c r="HC180" s="4">
        <v>80</v>
      </c>
      <c r="HD180" s="19">
        <v>59.3</v>
      </c>
      <c r="HE180" s="19">
        <v>58</v>
      </c>
      <c r="HF180" s="19">
        <v>57</v>
      </c>
      <c r="HG180" s="19">
        <v>56</v>
      </c>
      <c r="HH180" s="19">
        <v>55</v>
      </c>
      <c r="HI180" s="19">
        <v>54</v>
      </c>
      <c r="HJ180" s="19">
        <v>53</v>
      </c>
      <c r="HK180" s="19">
        <v>39</v>
      </c>
      <c r="HL180" s="19">
        <v>38.3</v>
      </c>
      <c r="HM180" s="19">
        <v>25</v>
      </c>
      <c r="HN180" s="19">
        <v>20.9</v>
      </c>
      <c r="HO180" s="19">
        <v>20.1</v>
      </c>
      <c r="HP180" s="19">
        <v>19.3</v>
      </c>
      <c r="HQ180" s="19">
        <v>25</v>
      </c>
      <c r="HR180" s="19">
        <v>29.3</v>
      </c>
      <c r="HS180" s="19">
        <v>37.3</v>
      </c>
      <c r="HT180" s="19">
        <v>36</v>
      </c>
      <c r="HU180" s="19">
        <v>35</v>
      </c>
      <c r="HV180" s="19">
        <v>34</v>
      </c>
      <c r="HW180" s="19">
        <v>33</v>
      </c>
      <c r="HX180" s="19">
        <v>32</v>
      </c>
      <c r="HY180" s="19">
        <v>31</v>
      </c>
      <c r="HZ180" s="19">
        <v>30</v>
      </c>
      <c r="IA180" s="19">
        <v>29</v>
      </c>
      <c r="IB180" s="19">
        <v>28</v>
      </c>
      <c r="IC180" s="19">
        <v>26.7</v>
      </c>
    </row>
    <row r="181">
      <c r="A181" s="2" t="s">
        <v>765</v>
      </c>
      <c r="B181" s="2" t="s">
        <v>323</v>
      </c>
      <c r="C181" s="2" t="s">
        <v>324</v>
      </c>
      <c r="D181" s="2" t="s">
        <v>257</v>
      </c>
      <c r="E181" s="2" t="s">
        <v>258</v>
      </c>
      <c r="F181" s="2" t="s">
        <v>753</v>
      </c>
      <c r="G181" s="2" t="s">
        <v>753</v>
      </c>
      <c r="H181" s="2" t="s">
        <v>753</v>
      </c>
      <c r="I181" s="2" t="s">
        <v>754</v>
      </c>
      <c r="J181" s="2" t="s">
        <v>272</v>
      </c>
      <c r="K181" s="2" t="s">
        <v>550</v>
      </c>
      <c r="L181" s="3">
        <v>39.84</v>
      </c>
      <c r="M181" s="3">
        <v>41.83</v>
      </c>
      <c r="N181" s="3">
        <v>82.99</v>
      </c>
      <c r="O181" s="2" t="s">
        <v>232</v>
      </c>
      <c r="P181" s="2" t="s">
        <v>233</v>
      </c>
      <c r="Q181" s="2" t="s">
        <v>234</v>
      </c>
      <c r="R181" s="2" t="s">
        <v>235</v>
      </c>
      <c r="S181" s="2" t="s">
        <v>766</v>
      </c>
      <c r="T181" s="2" t="s">
        <v>328</v>
      </c>
      <c r="U181" s="2" t="s">
        <v>614</v>
      </c>
      <c r="V181" s="2" t="s">
        <v>238</v>
      </c>
      <c r="W181" s="2" t="s">
        <v>239</v>
      </c>
      <c r="X181" s="2" t="s">
        <v>235</v>
      </c>
      <c r="Y181" s="2" t="s">
        <v>767</v>
      </c>
      <c r="Z181" s="4">
        <v>218</v>
      </c>
      <c r="AA181" s="4">
        <f>=ROUNDDOWN(72.6666666666667,0)</f>
      </c>
      <c r="AB181" s="5">
        <v>3</v>
      </c>
      <c r="AC181" s="2" t="s">
        <v>235</v>
      </c>
      <c r="AD181" s="4"/>
      <c r="AE181" s="4"/>
      <c r="AF181" s="6">
        <v>73</v>
      </c>
      <c r="AG181" s="6"/>
      <c r="AH181" s="7">
        <v>1</v>
      </c>
      <c r="AI181" s="4"/>
      <c r="AJ181" s="4">
        <f>=ROUNDDOWN({0},0)</f>
      </c>
      <c r="AK181" s="5"/>
      <c r="AL181" s="2" t="s">
        <v>235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235</v>
      </c>
      <c r="AW181" s="8" t="s">
        <v>235</v>
      </c>
      <c r="AX181" s="4" t="s">
        <v>235</v>
      </c>
      <c r="AY181" s="8" t="s">
        <v>235</v>
      </c>
      <c r="AZ181" s="7" t="s">
        <v>235</v>
      </c>
      <c r="BA181" s="7" t="s">
        <v>235</v>
      </c>
      <c r="BB181" s="7"/>
      <c r="BC181" s="4" t="s">
        <v>235</v>
      </c>
      <c r="BD181" s="8" t="s">
        <v>235</v>
      </c>
      <c r="BE181" s="4" t="s">
        <v>235</v>
      </c>
      <c r="BF181" s="8" t="s">
        <v>235</v>
      </c>
      <c r="BG181" s="7" t="s">
        <v>235</v>
      </c>
      <c r="BH181" s="7" t="s">
        <v>235</v>
      </c>
      <c r="BI181" s="7"/>
      <c r="BJ181" s="4">
        <v>9</v>
      </c>
      <c r="BK181" s="8">
        <v>473.17</v>
      </c>
      <c r="BL181" s="2" t="s">
        <v>768</v>
      </c>
      <c r="BM181" s="7"/>
      <c r="BN181" s="7"/>
      <c r="BO181" s="4"/>
      <c r="BP181" s="8"/>
      <c r="BQ181" s="4"/>
      <c r="BR181" s="8"/>
      <c r="BS181" s="7"/>
      <c r="BT181" s="7"/>
      <c r="BU181" s="2" t="s">
        <v>758</v>
      </c>
      <c r="BV181" s="2" t="s">
        <v>243</v>
      </c>
      <c r="BW181" s="2" t="s">
        <v>235</v>
      </c>
      <c r="BX181" s="2" t="s">
        <v>244</v>
      </c>
      <c r="BY181" s="2" t="s">
        <v>245</v>
      </c>
      <c r="BZ181" s="2" t="s">
        <v>232</v>
      </c>
      <c r="CA181" s="2" t="s">
        <v>769</v>
      </c>
      <c r="CB181" s="2" t="s">
        <v>770</v>
      </c>
      <c r="CC181" s="2" t="s">
        <v>248</v>
      </c>
      <c r="CD181" s="2" t="s">
        <v>248</v>
      </c>
      <c r="CE181" s="2" t="s">
        <v>235</v>
      </c>
      <c r="CF181" s="4">
        <v>218</v>
      </c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>
        <v>219</v>
      </c>
      <c r="GE181" s="4">
        <v>215</v>
      </c>
      <c r="GF181" s="4">
        <v>212</v>
      </c>
      <c r="GG181" s="4">
        <v>209</v>
      </c>
      <c r="GH181" s="4">
        <v>206</v>
      </c>
      <c r="GI181" s="4">
        <v>203</v>
      </c>
      <c r="GJ181" s="4">
        <v>200</v>
      </c>
      <c r="GK181" s="4">
        <v>197</v>
      </c>
      <c r="GL181" s="4">
        <v>194</v>
      </c>
      <c r="GM181" s="4">
        <v>191</v>
      </c>
      <c r="GN181" s="4">
        <v>187</v>
      </c>
      <c r="GO181" s="4">
        <v>182</v>
      </c>
      <c r="GP181" s="4">
        <v>177</v>
      </c>
      <c r="GQ181" s="4">
        <v>170</v>
      </c>
      <c r="GR181" s="4">
        <v>164</v>
      </c>
      <c r="GS181" s="4">
        <v>159</v>
      </c>
      <c r="GT181" s="4">
        <v>156</v>
      </c>
      <c r="GU181" s="4">
        <v>153</v>
      </c>
      <c r="GV181" s="4">
        <v>150</v>
      </c>
      <c r="GW181" s="4">
        <v>147</v>
      </c>
      <c r="GX181" s="4">
        <v>144</v>
      </c>
      <c r="GY181" s="4">
        <v>141</v>
      </c>
      <c r="GZ181" s="4">
        <v>138</v>
      </c>
      <c r="HA181" s="4">
        <v>135</v>
      </c>
      <c r="HB181" s="4">
        <v>132</v>
      </c>
      <c r="HC181" s="4">
        <v>128</v>
      </c>
      <c r="HD181" s="19">
        <v>73</v>
      </c>
      <c r="HE181" s="19">
        <v>71.7</v>
      </c>
      <c r="HF181" s="19">
        <v>70.7</v>
      </c>
      <c r="HG181" s="19">
        <v>69.7</v>
      </c>
      <c r="HH181" s="19">
        <v>68.7</v>
      </c>
      <c r="HI181" s="19">
        <v>67.7</v>
      </c>
      <c r="HJ181" s="19">
        <v>66.7</v>
      </c>
      <c r="HK181" s="19">
        <v>49.3</v>
      </c>
      <c r="HL181" s="19">
        <v>48.5</v>
      </c>
      <c r="HM181" s="19">
        <v>38.2</v>
      </c>
      <c r="HN181" s="19">
        <v>31.2</v>
      </c>
      <c r="HO181" s="19">
        <v>30.3</v>
      </c>
      <c r="HP181" s="19">
        <v>35.4</v>
      </c>
      <c r="HQ181" s="19">
        <v>42.5</v>
      </c>
      <c r="HR181" s="19">
        <v>41</v>
      </c>
      <c r="HS181" s="19">
        <v>53</v>
      </c>
      <c r="HT181" s="19">
        <v>52</v>
      </c>
      <c r="HU181" s="19">
        <v>51</v>
      </c>
      <c r="HV181" s="19">
        <v>50</v>
      </c>
      <c r="HW181" s="19">
        <v>49</v>
      </c>
      <c r="HX181" s="19">
        <v>48</v>
      </c>
      <c r="HY181" s="19">
        <v>47</v>
      </c>
      <c r="HZ181" s="19">
        <v>46</v>
      </c>
      <c r="IA181" s="19">
        <v>45</v>
      </c>
      <c r="IB181" s="19">
        <v>44</v>
      </c>
      <c r="IC181" s="19">
        <v>42.7</v>
      </c>
    </row>
    <row r="182">
      <c r="A182" s="2" t="s">
        <v>771</v>
      </c>
      <c r="B182" s="2" t="s">
        <v>323</v>
      </c>
      <c r="C182" s="2" t="s">
        <v>324</v>
      </c>
      <c r="D182" s="2" t="s">
        <v>257</v>
      </c>
      <c r="E182" s="2" t="s">
        <v>258</v>
      </c>
      <c r="F182" s="2" t="s">
        <v>753</v>
      </c>
      <c r="G182" s="2" t="s">
        <v>753</v>
      </c>
      <c r="H182" s="2" t="s">
        <v>753</v>
      </c>
      <c r="I182" s="2" t="s">
        <v>754</v>
      </c>
      <c r="J182" s="2" t="s">
        <v>281</v>
      </c>
      <c r="K182" s="2" t="s">
        <v>550</v>
      </c>
      <c r="L182" s="3">
        <v>43.2</v>
      </c>
      <c r="M182" s="3">
        <v>45.36</v>
      </c>
      <c r="N182" s="3">
        <v>89.99</v>
      </c>
      <c r="O182" s="2" t="s">
        <v>232</v>
      </c>
      <c r="P182" s="2" t="s">
        <v>233</v>
      </c>
      <c r="Q182" s="2" t="s">
        <v>234</v>
      </c>
      <c r="R182" s="2" t="s">
        <v>235</v>
      </c>
      <c r="S182" s="2" t="s">
        <v>772</v>
      </c>
      <c r="T182" s="2" t="s">
        <v>328</v>
      </c>
      <c r="U182" s="2" t="s">
        <v>742</v>
      </c>
      <c r="V182" s="2" t="s">
        <v>238</v>
      </c>
      <c r="W182" s="2" t="s">
        <v>239</v>
      </c>
      <c r="X182" s="2" t="s">
        <v>239</v>
      </c>
      <c r="Y182" s="2" t="s">
        <v>761</v>
      </c>
      <c r="Z182" s="4">
        <v>304</v>
      </c>
      <c r="AA182" s="4">
        <f>=ROUNDDOWN(72.3809523809524,0)</f>
      </c>
      <c r="AB182" s="5">
        <v>4.2</v>
      </c>
      <c r="AC182" s="2" t="s">
        <v>235</v>
      </c>
      <c r="AD182" s="4"/>
      <c r="AE182" s="4"/>
      <c r="AF182" s="6">
        <v>73</v>
      </c>
      <c r="AG182" s="6"/>
      <c r="AH182" s="7">
        <v>1</v>
      </c>
      <c r="AI182" s="4"/>
      <c r="AJ182" s="4">
        <f>=ROUNDDOWN({0},0)</f>
      </c>
      <c r="AK182" s="5"/>
      <c r="AL182" s="2" t="s">
        <v>235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235</v>
      </c>
      <c r="AW182" s="8" t="s">
        <v>235</v>
      </c>
      <c r="AX182" s="4" t="s">
        <v>235</v>
      </c>
      <c r="AY182" s="8" t="s">
        <v>235</v>
      </c>
      <c r="AZ182" s="7" t="s">
        <v>235</v>
      </c>
      <c r="BA182" s="7" t="s">
        <v>235</v>
      </c>
      <c r="BB182" s="7"/>
      <c r="BC182" s="4" t="s">
        <v>235</v>
      </c>
      <c r="BD182" s="8" t="s">
        <v>235</v>
      </c>
      <c r="BE182" s="4" t="s">
        <v>235</v>
      </c>
      <c r="BF182" s="8" t="s">
        <v>235</v>
      </c>
      <c r="BG182" s="7" t="s">
        <v>235</v>
      </c>
      <c r="BH182" s="7" t="s">
        <v>235</v>
      </c>
      <c r="BI182" s="7"/>
      <c r="BJ182" s="4">
        <v>15</v>
      </c>
      <c r="BK182" s="8">
        <v>714.56</v>
      </c>
      <c r="BL182" s="2" t="s">
        <v>773</v>
      </c>
      <c r="BM182" s="7"/>
      <c r="BN182" s="7"/>
      <c r="BO182" s="4"/>
      <c r="BP182" s="8"/>
      <c r="BQ182" s="4"/>
      <c r="BR182" s="8"/>
      <c r="BS182" s="7"/>
      <c r="BT182" s="7"/>
      <c r="BU182" s="2" t="s">
        <v>758</v>
      </c>
      <c r="BV182" s="2" t="s">
        <v>243</v>
      </c>
      <c r="BW182" s="2" t="s">
        <v>235</v>
      </c>
      <c r="BX182" s="2" t="s">
        <v>244</v>
      </c>
      <c r="BY182" s="2" t="s">
        <v>245</v>
      </c>
      <c r="BZ182" s="2" t="s">
        <v>232</v>
      </c>
      <c r="CA182" s="2" t="s">
        <v>763</v>
      </c>
      <c r="CB182" s="2" t="s">
        <v>774</v>
      </c>
      <c r="CC182" s="2" t="s">
        <v>248</v>
      </c>
      <c r="CD182" s="2" t="s">
        <v>248</v>
      </c>
      <c r="CE182" s="2" t="s">
        <v>235</v>
      </c>
      <c r="CF182" s="4">
        <v>304</v>
      </c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>
        <v>306</v>
      </c>
      <c r="GE182" s="4">
        <v>300</v>
      </c>
      <c r="GF182" s="4">
        <v>296</v>
      </c>
      <c r="GG182" s="4">
        <v>292</v>
      </c>
      <c r="GH182" s="4">
        <v>288</v>
      </c>
      <c r="GI182" s="4">
        <v>284</v>
      </c>
      <c r="GJ182" s="4">
        <v>280</v>
      </c>
      <c r="GK182" s="4">
        <v>276</v>
      </c>
      <c r="GL182" s="4">
        <v>272</v>
      </c>
      <c r="GM182" s="4">
        <v>268</v>
      </c>
      <c r="GN182" s="4">
        <v>263</v>
      </c>
      <c r="GO182" s="4">
        <v>256</v>
      </c>
      <c r="GP182" s="4">
        <v>248</v>
      </c>
      <c r="GQ182" s="4">
        <v>235</v>
      </c>
      <c r="GR182" s="4">
        <v>224</v>
      </c>
      <c r="GS182" s="4">
        <v>217</v>
      </c>
      <c r="GT182" s="4">
        <v>212</v>
      </c>
      <c r="GU182" s="4">
        <v>208</v>
      </c>
      <c r="GV182" s="4">
        <v>204</v>
      </c>
      <c r="GW182" s="4">
        <v>200</v>
      </c>
      <c r="GX182" s="4">
        <v>196</v>
      </c>
      <c r="GY182" s="4">
        <v>192</v>
      </c>
      <c r="GZ182" s="4">
        <v>188</v>
      </c>
      <c r="HA182" s="4">
        <v>184</v>
      </c>
      <c r="HB182" s="4">
        <v>180</v>
      </c>
      <c r="HC182" s="4">
        <v>175</v>
      </c>
      <c r="HD182" s="19">
        <v>76.5</v>
      </c>
      <c r="HE182" s="19">
        <v>75</v>
      </c>
      <c r="HF182" s="19">
        <v>74</v>
      </c>
      <c r="HG182" s="19">
        <v>73</v>
      </c>
      <c r="HH182" s="19">
        <v>72</v>
      </c>
      <c r="HI182" s="19">
        <v>71</v>
      </c>
      <c r="HJ182" s="19">
        <v>70</v>
      </c>
      <c r="HK182" s="19">
        <v>55.2</v>
      </c>
      <c r="HL182" s="19">
        <v>45.3</v>
      </c>
      <c r="HM182" s="19">
        <v>33.5</v>
      </c>
      <c r="HN182" s="19">
        <v>26.3</v>
      </c>
      <c r="HO182" s="19">
        <v>25.6</v>
      </c>
      <c r="HP182" s="19">
        <v>27.6</v>
      </c>
      <c r="HQ182" s="19">
        <v>33.6</v>
      </c>
      <c r="HR182" s="19">
        <v>44.8</v>
      </c>
      <c r="HS182" s="19">
        <v>54.3</v>
      </c>
      <c r="HT182" s="19">
        <v>53</v>
      </c>
      <c r="HU182" s="19">
        <v>52</v>
      </c>
      <c r="HV182" s="19">
        <v>51</v>
      </c>
      <c r="HW182" s="19">
        <v>50</v>
      </c>
      <c r="HX182" s="19">
        <v>49</v>
      </c>
      <c r="HY182" s="19">
        <v>48</v>
      </c>
      <c r="HZ182" s="19">
        <v>47</v>
      </c>
      <c r="IA182" s="19">
        <v>46</v>
      </c>
      <c r="IB182" s="19">
        <v>45</v>
      </c>
      <c r="IC182" s="19">
        <v>43.8</v>
      </c>
    </row>
    <row r="183">
      <c r="A183" s="2" t="s">
        <v>775</v>
      </c>
      <c r="B183" s="2" t="s">
        <v>323</v>
      </c>
      <c r="C183" s="2" t="s">
        <v>324</v>
      </c>
      <c r="D183" s="2" t="s">
        <v>257</v>
      </c>
      <c r="E183" s="2" t="s">
        <v>258</v>
      </c>
      <c r="F183" s="2" t="s">
        <v>753</v>
      </c>
      <c r="G183" s="2" t="s">
        <v>753</v>
      </c>
      <c r="H183" s="2" t="s">
        <v>753</v>
      </c>
      <c r="I183" s="2" t="s">
        <v>754</v>
      </c>
      <c r="J183" s="2" t="s">
        <v>272</v>
      </c>
      <c r="K183" s="2" t="s">
        <v>316</v>
      </c>
      <c r="L183" s="3">
        <v>39.84</v>
      </c>
      <c r="M183" s="3">
        <v>41.83</v>
      </c>
      <c r="N183" s="3">
        <v>82.99</v>
      </c>
      <c r="O183" s="2" t="s">
        <v>232</v>
      </c>
      <c r="P183" s="2" t="s">
        <v>233</v>
      </c>
      <c r="Q183" s="2" t="s">
        <v>234</v>
      </c>
      <c r="R183" s="2" t="s">
        <v>235</v>
      </c>
      <c r="S183" s="2" t="s">
        <v>776</v>
      </c>
      <c r="T183" s="2" t="s">
        <v>328</v>
      </c>
      <c r="U183" s="2" t="s">
        <v>614</v>
      </c>
      <c r="V183" s="2" t="s">
        <v>238</v>
      </c>
      <c r="W183" s="2" t="s">
        <v>239</v>
      </c>
      <c r="X183" s="2" t="s">
        <v>329</v>
      </c>
      <c r="Y183" s="2" t="s">
        <v>756</v>
      </c>
      <c r="Z183" s="4">
        <v>143</v>
      </c>
      <c r="AA183" s="4">
        <f>=ROUNDDOWN(52.962962962963,0)</f>
      </c>
      <c r="AB183" s="5">
        <v>2.7</v>
      </c>
      <c r="AC183" s="2" t="s">
        <v>189</v>
      </c>
      <c r="AD183" s="4">
        <v>50</v>
      </c>
      <c r="AE183" s="4">
        <v>50</v>
      </c>
      <c r="AF183" s="6">
        <v>73</v>
      </c>
      <c r="AG183" s="6"/>
      <c r="AH183" s="7">
        <v>1</v>
      </c>
      <c r="AI183" s="4"/>
      <c r="AJ183" s="4">
        <f>=ROUNDDOWN({0},0)</f>
      </c>
      <c r="AK183" s="5"/>
      <c r="AL183" s="2" t="s">
        <v>235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235</v>
      </c>
      <c r="BD183" s="8" t="s">
        <v>235</v>
      </c>
      <c r="BE183" s="4" t="s">
        <v>235</v>
      </c>
      <c r="BF183" s="8" t="s">
        <v>235</v>
      </c>
      <c r="BG183" s="7" t="s">
        <v>235</v>
      </c>
      <c r="BH183" s="7" t="s">
        <v>235</v>
      </c>
      <c r="BI183" s="7"/>
      <c r="BJ183" s="4">
        <v>15</v>
      </c>
      <c r="BK183" s="8">
        <v>682.96</v>
      </c>
      <c r="BL183" s="2" t="s">
        <v>777</v>
      </c>
      <c r="BM183" s="7"/>
      <c r="BN183" s="7"/>
      <c r="BO183" s="4"/>
      <c r="BP183" s="8"/>
      <c r="BQ183" s="4"/>
      <c r="BR183" s="8"/>
      <c r="BS183" s="7"/>
      <c r="BT183" s="7"/>
      <c r="BU183" s="2" t="s">
        <v>758</v>
      </c>
      <c r="BV183" s="2" t="s">
        <v>243</v>
      </c>
      <c r="BW183" s="2" t="s">
        <v>235</v>
      </c>
      <c r="BX183" s="2" t="s">
        <v>244</v>
      </c>
      <c r="BY183" s="2" t="s">
        <v>245</v>
      </c>
      <c r="BZ183" s="2" t="s">
        <v>232</v>
      </c>
      <c r="CA183" s="2" t="s">
        <v>756</v>
      </c>
      <c r="CB183" s="2" t="s">
        <v>778</v>
      </c>
      <c r="CC183" s="2" t="s">
        <v>248</v>
      </c>
      <c r="CD183" s="2" t="s">
        <v>248</v>
      </c>
      <c r="CE183" s="2" t="s">
        <v>235</v>
      </c>
      <c r="CF183" s="4">
        <v>143</v>
      </c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>
        <v>50</v>
      </c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>
        <v>144</v>
      </c>
      <c r="GE183" s="4">
        <v>141</v>
      </c>
      <c r="GF183" s="4">
        <v>138</v>
      </c>
      <c r="GG183" s="4">
        <v>135</v>
      </c>
      <c r="GH183" s="4">
        <v>132</v>
      </c>
      <c r="GI183" s="4">
        <v>129</v>
      </c>
      <c r="GJ183" s="4">
        <v>126</v>
      </c>
      <c r="GK183" s="4">
        <v>123</v>
      </c>
      <c r="GL183" s="4">
        <v>120</v>
      </c>
      <c r="GM183" s="4">
        <v>117</v>
      </c>
      <c r="GN183" s="4">
        <v>113</v>
      </c>
      <c r="GO183" s="4">
        <v>108</v>
      </c>
      <c r="GP183" s="4">
        <v>153</v>
      </c>
      <c r="GQ183" s="4">
        <v>146</v>
      </c>
      <c r="GR183" s="4">
        <v>140</v>
      </c>
      <c r="GS183" s="4">
        <v>135</v>
      </c>
      <c r="GT183" s="4">
        <v>132</v>
      </c>
      <c r="GU183" s="4">
        <v>129</v>
      </c>
      <c r="GV183" s="4">
        <v>126</v>
      </c>
      <c r="GW183" s="4">
        <v>123</v>
      </c>
      <c r="GX183" s="4">
        <v>120</v>
      </c>
      <c r="GY183" s="4">
        <v>117</v>
      </c>
      <c r="GZ183" s="4">
        <v>114</v>
      </c>
      <c r="HA183" s="4">
        <v>111</v>
      </c>
      <c r="HB183" s="4">
        <v>108</v>
      </c>
      <c r="HC183" s="4">
        <v>104</v>
      </c>
      <c r="HD183" s="19">
        <v>48</v>
      </c>
      <c r="HE183" s="19">
        <v>47</v>
      </c>
      <c r="HF183" s="19">
        <v>46</v>
      </c>
      <c r="HG183" s="19">
        <v>45</v>
      </c>
      <c r="HH183" s="19">
        <v>44</v>
      </c>
      <c r="HI183" s="19">
        <v>43</v>
      </c>
      <c r="HJ183" s="19">
        <v>42</v>
      </c>
      <c r="HK183" s="19">
        <v>30.8</v>
      </c>
      <c r="HL183" s="19">
        <v>30</v>
      </c>
      <c r="HM183" s="19">
        <v>23.4</v>
      </c>
      <c r="HN183" s="19">
        <v>18.8</v>
      </c>
      <c r="HO183" s="19">
        <v>18</v>
      </c>
      <c r="HP183" s="19">
        <v>30.6</v>
      </c>
      <c r="HQ183" s="19">
        <v>36.5</v>
      </c>
      <c r="HR183" s="19">
        <v>35</v>
      </c>
      <c r="HS183" s="19">
        <v>45</v>
      </c>
      <c r="HT183" s="19">
        <v>44</v>
      </c>
      <c r="HU183" s="19">
        <v>43</v>
      </c>
      <c r="HV183" s="19">
        <v>42</v>
      </c>
      <c r="HW183" s="19">
        <v>41</v>
      </c>
      <c r="HX183" s="19">
        <v>40</v>
      </c>
      <c r="HY183" s="19">
        <v>39</v>
      </c>
      <c r="HZ183" s="19">
        <v>38</v>
      </c>
      <c r="IA183" s="19">
        <v>37</v>
      </c>
      <c r="IB183" s="19">
        <v>36</v>
      </c>
      <c r="IC183" s="19">
        <v>34.7</v>
      </c>
    </row>
    <row r="184">
      <c r="A184" s="2" t="s">
        <v>779</v>
      </c>
      <c r="B184" s="2" t="s">
        <v>605</v>
      </c>
      <c r="C184" s="2" t="s">
        <v>360</v>
      </c>
      <c r="D184" s="2" t="s">
        <v>607</v>
      </c>
      <c r="E184" s="2" t="s">
        <v>608</v>
      </c>
      <c r="F184" s="2" t="s">
        <v>780</v>
      </c>
      <c r="G184" s="2" t="s">
        <v>780</v>
      </c>
      <c r="H184" s="2" t="s">
        <v>780</v>
      </c>
      <c r="I184" s="2" t="s">
        <v>781</v>
      </c>
      <c r="J184" s="2" t="s">
        <v>782</v>
      </c>
      <c r="K184" s="2" t="s">
        <v>783</v>
      </c>
      <c r="L184" s="3">
        <v>32.9</v>
      </c>
      <c r="M184" s="3">
        <v>34.55</v>
      </c>
      <c r="N184" s="3">
        <v>69.99</v>
      </c>
      <c r="O184" s="2" t="s">
        <v>232</v>
      </c>
      <c r="P184" s="2" t="s">
        <v>233</v>
      </c>
      <c r="Q184" s="2" t="s">
        <v>234</v>
      </c>
      <c r="R184" s="2" t="s">
        <v>235</v>
      </c>
      <c r="S184" s="2" t="s">
        <v>784</v>
      </c>
      <c r="T184" s="2" t="s">
        <v>235</v>
      </c>
      <c r="U184" s="2" t="s">
        <v>785</v>
      </c>
      <c r="V184" s="2" t="s">
        <v>238</v>
      </c>
      <c r="W184" s="2" t="s">
        <v>235</v>
      </c>
      <c r="X184" s="2" t="s">
        <v>235</v>
      </c>
      <c r="Y184" s="2" t="s">
        <v>786</v>
      </c>
      <c r="Z184" s="4">
        <v>615</v>
      </c>
      <c r="AA184" s="4">
        <f>=ROUNDDOWN(71.5116279069767,0)</f>
      </c>
      <c r="AB184" s="5">
        <v>8.6</v>
      </c>
      <c r="AC184" s="2" t="s">
        <v>787</v>
      </c>
      <c r="AD184" s="4">
        <v>130</v>
      </c>
      <c r="AE184" s="4">
        <v>130</v>
      </c>
      <c r="AF184" s="6">
        <v>77</v>
      </c>
      <c r="AG184" s="6"/>
      <c r="AH184" s="7">
        <v>1</v>
      </c>
      <c r="AI184" s="4"/>
      <c r="AJ184" s="4">
        <f>=ROUNDDOWN({0},0)</f>
      </c>
      <c r="AK184" s="5"/>
      <c r="AL184" s="2" t="s">
        <v>235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235</v>
      </c>
      <c r="BD184" s="8" t="s">
        <v>235</v>
      </c>
      <c r="BE184" s="4" t="s">
        <v>235</v>
      </c>
      <c r="BF184" s="8" t="s">
        <v>235</v>
      </c>
      <c r="BG184" s="7" t="s">
        <v>235</v>
      </c>
      <c r="BH184" s="7" t="s">
        <v>235</v>
      </c>
      <c r="BI184" s="7"/>
      <c r="BJ184" s="4">
        <v>35</v>
      </c>
      <c r="BK184" s="8">
        <v>1191.19</v>
      </c>
      <c r="BL184" s="2" t="s">
        <v>788</v>
      </c>
      <c r="BM184" s="7"/>
      <c r="BN184" s="7"/>
      <c r="BO184" s="4"/>
      <c r="BP184" s="8"/>
      <c r="BQ184" s="4"/>
      <c r="BR184" s="8"/>
      <c r="BS184" s="7"/>
      <c r="BT184" s="7"/>
      <c r="BU184" s="2" t="s">
        <v>789</v>
      </c>
      <c r="BV184" s="2" t="s">
        <v>618</v>
      </c>
      <c r="BW184" s="2" t="s">
        <v>235</v>
      </c>
      <c r="BX184" s="2" t="s">
        <v>383</v>
      </c>
      <c r="BY184" s="2" t="s">
        <v>245</v>
      </c>
      <c r="BZ184" s="2" t="s">
        <v>232</v>
      </c>
      <c r="CA184" s="2" t="s">
        <v>790</v>
      </c>
      <c r="CB184" s="2" t="s">
        <v>791</v>
      </c>
      <c r="CC184" s="2" t="s">
        <v>248</v>
      </c>
      <c r="CD184" s="2" t="s">
        <v>248</v>
      </c>
      <c r="CE184" s="2" t="s">
        <v>235</v>
      </c>
      <c r="CF184" s="4">
        <v>615</v>
      </c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>
        <v>130</v>
      </c>
      <c r="FV184" s="4"/>
      <c r="FW184" s="4"/>
      <c r="FX184" s="4"/>
      <c r="FY184" s="4"/>
      <c r="FZ184" s="4"/>
      <c r="GA184" s="4"/>
      <c r="GB184" s="4"/>
      <c r="GC184" s="4"/>
      <c r="GD184" s="4">
        <v>615</v>
      </c>
      <c r="GE184" s="4">
        <v>597</v>
      </c>
      <c r="GF184" s="4">
        <v>590</v>
      </c>
      <c r="GG184" s="4">
        <v>583</v>
      </c>
      <c r="GH184" s="4">
        <v>576</v>
      </c>
      <c r="GI184" s="4">
        <v>566</v>
      </c>
      <c r="GJ184" s="4">
        <v>557</v>
      </c>
      <c r="GK184" s="4">
        <v>548</v>
      </c>
      <c r="GL184" s="4">
        <v>540</v>
      </c>
      <c r="GM184" s="4">
        <v>532</v>
      </c>
      <c r="GN184" s="4">
        <v>524</v>
      </c>
      <c r="GO184" s="4">
        <v>514</v>
      </c>
      <c r="GP184" s="4">
        <v>499</v>
      </c>
      <c r="GQ184" s="4">
        <v>480</v>
      </c>
      <c r="GR184" s="4">
        <v>459</v>
      </c>
      <c r="GS184" s="4">
        <v>444</v>
      </c>
      <c r="GT184" s="4">
        <v>432</v>
      </c>
      <c r="GU184" s="4">
        <v>555</v>
      </c>
      <c r="GV184" s="4">
        <v>548</v>
      </c>
      <c r="GW184" s="4">
        <v>541</v>
      </c>
      <c r="GX184" s="4">
        <v>534</v>
      </c>
      <c r="GY184" s="4">
        <v>527</v>
      </c>
      <c r="GZ184" s="4">
        <v>517</v>
      </c>
      <c r="HA184" s="4">
        <v>508</v>
      </c>
      <c r="HB184" s="4">
        <v>499</v>
      </c>
      <c r="HC184" s="4">
        <v>490</v>
      </c>
      <c r="HD184" s="19">
        <v>61.5</v>
      </c>
      <c r="HE184" s="19">
        <v>74.6</v>
      </c>
      <c r="HF184" s="19">
        <v>73.8</v>
      </c>
      <c r="HG184" s="19">
        <v>64.8</v>
      </c>
      <c r="HH184" s="19">
        <v>64</v>
      </c>
      <c r="HI184" s="19">
        <v>70.8</v>
      </c>
      <c r="HJ184" s="19">
        <v>69.6</v>
      </c>
      <c r="HK184" s="19">
        <v>68.5</v>
      </c>
      <c r="HL184" s="19">
        <v>54</v>
      </c>
      <c r="HM184" s="19">
        <v>40.9</v>
      </c>
      <c r="HN184" s="19">
        <v>32.8</v>
      </c>
      <c r="HO184" s="19">
        <v>28.6</v>
      </c>
      <c r="HP184" s="19">
        <v>29.4</v>
      </c>
      <c r="HQ184" s="19">
        <v>34.3</v>
      </c>
      <c r="HR184" s="19">
        <v>45.9</v>
      </c>
      <c r="HS184" s="19">
        <v>55.5</v>
      </c>
      <c r="HT184" s="19">
        <v>61.7</v>
      </c>
      <c r="HU184" s="19">
        <v>79.3</v>
      </c>
      <c r="HV184" s="19">
        <v>68.5</v>
      </c>
      <c r="HW184" s="19">
        <v>67.6</v>
      </c>
      <c r="HX184" s="19">
        <v>59.3</v>
      </c>
      <c r="HY184" s="19">
        <v>58.6</v>
      </c>
      <c r="HZ184" s="19">
        <v>57.4</v>
      </c>
      <c r="IA184" s="19">
        <v>56.4</v>
      </c>
      <c r="IB184" s="19">
        <v>55.4</v>
      </c>
      <c r="IC184" s="19">
        <v>54.4</v>
      </c>
    </row>
    <row r="185">
      <c r="A185" s="2" t="s">
        <v>792</v>
      </c>
      <c r="B185" s="2" t="s">
        <v>605</v>
      </c>
      <c r="C185" s="2" t="s">
        <v>360</v>
      </c>
      <c r="D185" s="2" t="s">
        <v>607</v>
      </c>
      <c r="E185" s="2" t="s">
        <v>608</v>
      </c>
      <c r="F185" s="2" t="s">
        <v>780</v>
      </c>
      <c r="G185" s="2" t="s">
        <v>780</v>
      </c>
      <c r="H185" s="2" t="s">
        <v>780</v>
      </c>
      <c r="I185" s="2" t="s">
        <v>781</v>
      </c>
      <c r="J185" s="2" t="s">
        <v>782</v>
      </c>
      <c r="K185" s="2" t="s">
        <v>793</v>
      </c>
      <c r="L185" s="3">
        <v>32.9</v>
      </c>
      <c r="M185" s="3">
        <v>34.55</v>
      </c>
      <c r="N185" s="3">
        <v>69.99</v>
      </c>
      <c r="O185" s="2" t="s">
        <v>232</v>
      </c>
      <c r="P185" s="2" t="s">
        <v>336</v>
      </c>
      <c r="Q185" s="2" t="s">
        <v>234</v>
      </c>
      <c r="R185" s="2" t="s">
        <v>235</v>
      </c>
      <c r="S185" s="2" t="s">
        <v>794</v>
      </c>
      <c r="T185" s="2" t="s">
        <v>235</v>
      </c>
      <c r="U185" s="2" t="s">
        <v>785</v>
      </c>
      <c r="V185" s="2" t="s">
        <v>238</v>
      </c>
      <c r="W185" s="2" t="s">
        <v>235</v>
      </c>
      <c r="X185" s="2" t="s">
        <v>235</v>
      </c>
      <c r="Y185" s="2" t="s">
        <v>795</v>
      </c>
      <c r="Z185" s="4">
        <v>755</v>
      </c>
      <c r="AA185" s="4">
        <f>=ROUNDDOWN(19.8684210526316,0)</f>
      </c>
      <c r="AB185" s="5">
        <v>38</v>
      </c>
      <c r="AC185" s="2" t="s">
        <v>787</v>
      </c>
      <c r="AD185" s="4">
        <v>270</v>
      </c>
      <c r="AE185" s="4">
        <v>270</v>
      </c>
      <c r="AF185" s="6">
        <v>77</v>
      </c>
      <c r="AG185" s="6"/>
      <c r="AH185" s="7">
        <v>1</v>
      </c>
      <c r="AI185" s="4"/>
      <c r="AJ185" s="4">
        <f>=ROUNDDOWN({0},0)</f>
      </c>
      <c r="AK185" s="5"/>
      <c r="AL185" s="2" t="s">
        <v>235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235</v>
      </c>
      <c r="BD185" s="8" t="s">
        <v>235</v>
      </c>
      <c r="BE185" s="4" t="s">
        <v>235</v>
      </c>
      <c r="BF185" s="8" t="s">
        <v>235</v>
      </c>
      <c r="BG185" s="7" t="s">
        <v>235</v>
      </c>
      <c r="BH185" s="7" t="s">
        <v>235</v>
      </c>
      <c r="BI185" s="7"/>
      <c r="BJ185" s="4">
        <v>214</v>
      </c>
      <c r="BK185" s="8">
        <v>7843.96</v>
      </c>
      <c r="BL185" s="2" t="s">
        <v>796</v>
      </c>
      <c r="BM185" s="7"/>
      <c r="BN185" s="7"/>
      <c r="BO185" s="4"/>
      <c r="BP185" s="8"/>
      <c r="BQ185" s="4"/>
      <c r="BR185" s="8"/>
      <c r="BS185" s="7"/>
      <c r="BT185" s="7"/>
      <c r="BU185" s="2" t="s">
        <v>789</v>
      </c>
      <c r="BV185" s="2" t="s">
        <v>618</v>
      </c>
      <c r="BW185" s="2" t="s">
        <v>235</v>
      </c>
      <c r="BX185" s="2" t="s">
        <v>383</v>
      </c>
      <c r="BY185" s="2" t="s">
        <v>245</v>
      </c>
      <c r="BZ185" s="2" t="s">
        <v>232</v>
      </c>
      <c r="CA185" s="2" t="s">
        <v>797</v>
      </c>
      <c r="CB185" s="2" t="s">
        <v>798</v>
      </c>
      <c r="CC185" s="2" t="s">
        <v>248</v>
      </c>
      <c r="CD185" s="2" t="s">
        <v>248</v>
      </c>
      <c r="CE185" s="2" t="s">
        <v>235</v>
      </c>
      <c r="CF185" s="4">
        <v>589</v>
      </c>
      <c r="CG185" s="4">
        <v>166</v>
      </c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>
        <v>270</v>
      </c>
      <c r="FV185" s="4"/>
      <c r="FW185" s="4"/>
      <c r="FX185" s="4"/>
      <c r="FY185" s="4"/>
      <c r="FZ185" s="4"/>
      <c r="GA185" s="4"/>
      <c r="GB185" s="4"/>
      <c r="GC185" s="4"/>
      <c r="GD185" s="4">
        <v>834</v>
      </c>
      <c r="GE185" s="4">
        <v>775</v>
      </c>
      <c r="GF185" s="4">
        <v>752</v>
      </c>
      <c r="GG185" s="4">
        <v>720</v>
      </c>
      <c r="GH185" s="4">
        <v>686</v>
      </c>
      <c r="GI185" s="4">
        <v>647</v>
      </c>
      <c r="GJ185" s="4">
        <v>591</v>
      </c>
      <c r="GK185" s="4">
        <v>554</v>
      </c>
      <c r="GL185" s="4">
        <v>527</v>
      </c>
      <c r="GM185" s="4">
        <v>500</v>
      </c>
      <c r="GN185" s="4">
        <v>463</v>
      </c>
      <c r="GO185" s="4">
        <v>431</v>
      </c>
      <c r="GP185" s="4">
        <v>390</v>
      </c>
      <c r="GQ185" s="4">
        <v>342</v>
      </c>
      <c r="GR185" s="4">
        <v>293</v>
      </c>
      <c r="GS185" s="4">
        <v>246</v>
      </c>
      <c r="GT185" s="4">
        <v>212</v>
      </c>
      <c r="GU185" s="4">
        <v>457</v>
      </c>
      <c r="GV185" s="4">
        <v>433</v>
      </c>
      <c r="GW185" s="4">
        <v>400</v>
      </c>
      <c r="GX185" s="4">
        <v>374</v>
      </c>
      <c r="GY185" s="4">
        <v>348</v>
      </c>
      <c r="GZ185" s="4">
        <v>322</v>
      </c>
      <c r="HA185" s="4">
        <v>286</v>
      </c>
      <c r="HB185" s="4">
        <v>695</v>
      </c>
      <c r="HC185" s="4">
        <v>659</v>
      </c>
      <c r="HD185" s="19">
        <v>22.5</v>
      </c>
      <c r="HE185" s="19">
        <v>24.2</v>
      </c>
      <c r="HF185" s="19">
        <v>18.8</v>
      </c>
      <c r="HG185" s="19">
        <v>17.1</v>
      </c>
      <c r="HH185" s="19">
        <v>17.2</v>
      </c>
      <c r="HI185" s="19">
        <v>17.5</v>
      </c>
      <c r="HJ185" s="19">
        <v>18.5</v>
      </c>
      <c r="HK185" s="19">
        <v>17.9</v>
      </c>
      <c r="HL185" s="19">
        <v>15.5</v>
      </c>
      <c r="HM185" s="19">
        <v>12.5</v>
      </c>
      <c r="HN185" s="19">
        <v>11</v>
      </c>
      <c r="HO185" s="19">
        <v>9.4</v>
      </c>
      <c r="HP185" s="19">
        <v>8.9</v>
      </c>
      <c r="HQ185" s="19">
        <v>8.8</v>
      </c>
      <c r="HR185" s="19">
        <v>9.2</v>
      </c>
      <c r="HS185" s="19">
        <v>8.5</v>
      </c>
      <c r="HT185" s="19">
        <v>7.9</v>
      </c>
      <c r="HU185" s="19">
        <v>16.9</v>
      </c>
      <c r="HV185" s="19">
        <v>15.5</v>
      </c>
      <c r="HW185" s="19">
        <v>14.3</v>
      </c>
      <c r="HX185" s="19">
        <v>12.1</v>
      </c>
      <c r="HY185" s="19">
        <v>10.2</v>
      </c>
      <c r="HZ185" s="19">
        <v>8.9</v>
      </c>
      <c r="IA185" s="19">
        <v>7.9</v>
      </c>
      <c r="IB185" s="19">
        <v>18.3</v>
      </c>
      <c r="IC185" s="19">
        <v>16.9</v>
      </c>
    </row>
    <row r="186">
      <c r="A186" s="2" t="s">
        <v>799</v>
      </c>
      <c r="B186" s="2" t="s">
        <v>800</v>
      </c>
      <c r="C186" s="2" t="s">
        <v>801</v>
      </c>
      <c r="D186" s="2" t="s">
        <v>802</v>
      </c>
      <c r="E186" s="2" t="s">
        <v>803</v>
      </c>
      <c r="F186" s="2" t="s">
        <v>804</v>
      </c>
      <c r="G186" s="2" t="s">
        <v>804</v>
      </c>
      <c r="H186" s="2" t="s">
        <v>804</v>
      </c>
      <c r="I186" s="2" t="s">
        <v>805</v>
      </c>
      <c r="J186" s="2" t="s">
        <v>806</v>
      </c>
      <c r="K186" s="2" t="s">
        <v>316</v>
      </c>
      <c r="L186" s="3">
        <v>54.68</v>
      </c>
      <c r="M186" s="3">
        <v>57.41</v>
      </c>
      <c r="N186" s="3">
        <v>127.99</v>
      </c>
      <c r="O186" s="2" t="s">
        <v>485</v>
      </c>
      <c r="P186" s="2" t="s">
        <v>408</v>
      </c>
      <c r="Q186" s="2" t="s">
        <v>234</v>
      </c>
      <c r="R186" s="2" t="s">
        <v>235</v>
      </c>
      <c r="S186" s="2" t="s">
        <v>235</v>
      </c>
      <c r="T186" s="2" t="s">
        <v>235</v>
      </c>
      <c r="U186" s="2" t="s">
        <v>807</v>
      </c>
      <c r="V186" s="2" t="s">
        <v>808</v>
      </c>
      <c r="W186" s="2" t="s">
        <v>809</v>
      </c>
      <c r="X186" s="2" t="s">
        <v>235</v>
      </c>
      <c r="Y186" s="2" t="s">
        <v>810</v>
      </c>
      <c r="Z186" s="4">
        <v>40</v>
      </c>
      <c r="AA186" s="4">
        <f>=ROUNDDOWN(33.3333333333333,0)</f>
      </c>
      <c r="AB186" s="5">
        <v>1.2</v>
      </c>
      <c r="AC186" s="2" t="s">
        <v>235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235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>
        <v>2</v>
      </c>
      <c r="BK186" s="8">
        <v>146.15</v>
      </c>
      <c r="BL186" s="2" t="s">
        <v>811</v>
      </c>
      <c r="BM186" s="7"/>
      <c r="BN186" s="7"/>
      <c r="BO186" s="4"/>
      <c r="BP186" s="8"/>
      <c r="BQ186" s="4"/>
      <c r="BR186" s="8"/>
      <c r="BS186" s="7"/>
      <c r="BT186" s="7"/>
      <c r="BU186" s="2" t="s">
        <v>812</v>
      </c>
      <c r="BV186" s="2" t="s">
        <v>813</v>
      </c>
      <c r="BW186" s="2" t="s">
        <v>235</v>
      </c>
      <c r="BX186" s="2" t="s">
        <v>414</v>
      </c>
      <c r="BY186" s="2" t="s">
        <v>245</v>
      </c>
      <c r="BZ186" s="2" t="s">
        <v>232</v>
      </c>
      <c r="CA186" s="2" t="s">
        <v>814</v>
      </c>
      <c r="CB186" s="2" t="s">
        <v>815</v>
      </c>
      <c r="CC186" s="2" t="s">
        <v>248</v>
      </c>
      <c r="CD186" s="2" t="s">
        <v>248</v>
      </c>
      <c r="CE186" s="2" t="s">
        <v>235</v>
      </c>
      <c r="CF186" s="4"/>
      <c r="CG186" s="4">
        <v>40</v>
      </c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>
        <v>40</v>
      </c>
      <c r="GE186" s="4">
        <v>31</v>
      </c>
      <c r="GF186" s="4">
        <v>29</v>
      </c>
      <c r="GG186" s="4">
        <v>27</v>
      </c>
      <c r="GH186" s="4">
        <v>25</v>
      </c>
      <c r="GI186" s="4">
        <v>23</v>
      </c>
      <c r="GJ186" s="4">
        <v>21</v>
      </c>
      <c r="GK186" s="4">
        <v>19</v>
      </c>
      <c r="GL186" s="4">
        <v>17</v>
      </c>
      <c r="GM186" s="4">
        <v>15</v>
      </c>
      <c r="GN186" s="4">
        <v>13</v>
      </c>
      <c r="GO186" s="4">
        <v>11</v>
      </c>
      <c r="GP186" s="4">
        <v>9</v>
      </c>
      <c r="GQ186" s="4">
        <v>7</v>
      </c>
      <c r="GR186" s="4">
        <v>5</v>
      </c>
      <c r="GS186" s="4">
        <v>3</v>
      </c>
      <c r="GT186" s="4">
        <v>1</v>
      </c>
      <c r="GU186" s="4"/>
      <c r="GV186" s="4"/>
      <c r="GW186" s="4"/>
      <c r="GX186" s="4"/>
      <c r="GY186" s="4"/>
      <c r="GZ186" s="4"/>
      <c r="HA186" s="4"/>
      <c r="HB186" s="4"/>
      <c r="HC186" s="4"/>
      <c r="HD186" s="19">
        <v>10</v>
      </c>
      <c r="HE186" s="19">
        <v>15.5</v>
      </c>
      <c r="HF186" s="19">
        <v>14.5</v>
      </c>
      <c r="HG186" s="19">
        <v>13.5</v>
      </c>
      <c r="HH186" s="19">
        <v>12.5</v>
      </c>
      <c r="HI186" s="19">
        <v>11.5</v>
      </c>
      <c r="HJ186" s="19">
        <v>10.5</v>
      </c>
      <c r="HK186" s="19">
        <v>9.5</v>
      </c>
      <c r="HL186" s="19">
        <v>8.5</v>
      </c>
      <c r="HM186" s="19">
        <v>7.5</v>
      </c>
      <c r="HN186" s="19">
        <v>6.5</v>
      </c>
      <c r="HO186" s="19">
        <v>5.5</v>
      </c>
      <c r="HP186" s="19">
        <v>4.5</v>
      </c>
      <c r="HQ186" s="19">
        <v>3.5</v>
      </c>
      <c r="HR186" s="19">
        <v>2.5</v>
      </c>
      <c r="HS186" s="19">
        <v>3</v>
      </c>
      <c r="HT186" s="19">
        <v>0.5</v>
      </c>
      <c r="HU186" s="20">
        <v>0</v>
      </c>
      <c r="HV186" s="20">
        <v>0</v>
      </c>
      <c r="HW186" s="20">
        <v>0</v>
      </c>
      <c r="HX186" s="20">
        <v>0</v>
      </c>
      <c r="HY186" s="20">
        <v>0</v>
      </c>
      <c r="HZ186" s="20">
        <v>0</v>
      </c>
      <c r="IA186" s="20">
        <v>0</v>
      </c>
      <c r="IB186" s="20">
        <v>0</v>
      </c>
      <c r="IC186" s="20">
        <v>0</v>
      </c>
    </row>
    <row r="187">
      <c r="A187" s="2" t="s">
        <v>816</v>
      </c>
      <c r="B187" s="2" t="s">
        <v>817</v>
      </c>
      <c r="C187" s="2" t="s">
        <v>324</v>
      </c>
      <c r="D187" s="2" t="s">
        <v>818</v>
      </c>
      <c r="E187" s="2" t="s">
        <v>819</v>
      </c>
      <c r="F187" s="2" t="s">
        <v>820</v>
      </c>
      <c r="G187" s="2" t="s">
        <v>820</v>
      </c>
      <c r="H187" s="2" t="s">
        <v>820</v>
      </c>
      <c r="I187" s="2" t="s">
        <v>821</v>
      </c>
      <c r="J187" s="2" t="s">
        <v>806</v>
      </c>
      <c r="K187" s="2" t="s">
        <v>822</v>
      </c>
      <c r="L187" s="3">
        <v>42.43</v>
      </c>
      <c r="M187" s="3">
        <v>44.55</v>
      </c>
      <c r="N187" s="3">
        <v>89.99</v>
      </c>
      <c r="O187" s="2" t="s">
        <v>407</v>
      </c>
      <c r="P187" s="2" t="s">
        <v>408</v>
      </c>
      <c r="Q187" s="2" t="s">
        <v>234</v>
      </c>
      <c r="R187" s="2" t="s">
        <v>235</v>
      </c>
      <c r="S187" s="2" t="s">
        <v>823</v>
      </c>
      <c r="T187" s="2" t="s">
        <v>235</v>
      </c>
      <c r="U187" s="2" t="s">
        <v>807</v>
      </c>
      <c r="V187" s="2" t="s">
        <v>824</v>
      </c>
      <c r="W187" s="2" t="s">
        <v>682</v>
      </c>
      <c r="X187" s="2" t="s">
        <v>235</v>
      </c>
      <c r="Y187" s="2" t="s">
        <v>825</v>
      </c>
      <c r="Z187" s="4">
        <v>80</v>
      </c>
      <c r="AA187" s="4">
        <f>=ROUNDDOWN(22.2222222222222,0)</f>
      </c>
      <c r="AB187" s="5">
        <v>3.6</v>
      </c>
      <c r="AC187" s="2" t="s">
        <v>235</v>
      </c>
      <c r="AD187" s="4"/>
      <c r="AE187" s="4"/>
      <c r="AF187" s="6">
        <v>61</v>
      </c>
      <c r="AG187" s="6"/>
      <c r="AH187" s="7">
        <v>1</v>
      </c>
      <c r="AI187" s="4"/>
      <c r="AJ187" s="4">
        <f>=ROUNDDOWN({0},0)</f>
      </c>
      <c r="AK187" s="5"/>
      <c r="AL187" s="2" t="s">
        <v>235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>
        <v>16</v>
      </c>
      <c r="BK187" s="8">
        <v>758.32</v>
      </c>
      <c r="BL187" s="2" t="s">
        <v>826</v>
      </c>
      <c r="BM187" s="7"/>
      <c r="BN187" s="7"/>
      <c r="BO187" s="4"/>
      <c r="BP187" s="8"/>
      <c r="BQ187" s="4"/>
      <c r="BR187" s="8"/>
      <c r="BS187" s="7"/>
      <c r="BT187" s="7"/>
      <c r="BU187" s="2" t="s">
        <v>827</v>
      </c>
      <c r="BV187" s="2" t="s">
        <v>828</v>
      </c>
      <c r="BW187" s="2" t="s">
        <v>235</v>
      </c>
      <c r="BX187" s="2" t="s">
        <v>414</v>
      </c>
      <c r="BY187" s="2" t="s">
        <v>245</v>
      </c>
      <c r="BZ187" s="2" t="s">
        <v>232</v>
      </c>
      <c r="CA187" s="2" t="s">
        <v>829</v>
      </c>
      <c r="CB187" s="2" t="s">
        <v>830</v>
      </c>
      <c r="CC187" s="2" t="s">
        <v>248</v>
      </c>
      <c r="CD187" s="2" t="s">
        <v>248</v>
      </c>
      <c r="CE187" s="2" t="s">
        <v>235</v>
      </c>
      <c r="CF187" s="4"/>
      <c r="CG187" s="4">
        <v>80</v>
      </c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>
        <v>80</v>
      </c>
      <c r="GE187" s="4">
        <v>76</v>
      </c>
      <c r="GF187" s="4">
        <v>72</v>
      </c>
      <c r="GG187" s="4">
        <v>68</v>
      </c>
      <c r="GH187" s="4">
        <v>64</v>
      </c>
      <c r="GI187" s="4">
        <v>60</v>
      </c>
      <c r="GJ187" s="4">
        <v>56</v>
      </c>
      <c r="GK187" s="4">
        <v>52</v>
      </c>
      <c r="GL187" s="4">
        <v>48</v>
      </c>
      <c r="GM187" s="4">
        <v>44</v>
      </c>
      <c r="GN187" s="4">
        <v>40</v>
      </c>
      <c r="GO187" s="4">
        <v>36</v>
      </c>
      <c r="GP187" s="4">
        <v>32</v>
      </c>
      <c r="GQ187" s="4">
        <v>28</v>
      </c>
      <c r="GR187" s="4">
        <v>24</v>
      </c>
      <c r="GS187" s="4">
        <v>20</v>
      </c>
      <c r="GT187" s="4">
        <v>16</v>
      </c>
      <c r="GU187" s="4">
        <v>12</v>
      </c>
      <c r="GV187" s="4">
        <v>9</v>
      </c>
      <c r="GW187" s="4">
        <v>6</v>
      </c>
      <c r="GX187" s="4">
        <v>3</v>
      </c>
      <c r="GY187" s="4"/>
      <c r="GZ187" s="4"/>
      <c r="HA187" s="4"/>
      <c r="HB187" s="4"/>
      <c r="HC187" s="4"/>
      <c r="HD187" s="19">
        <v>20</v>
      </c>
      <c r="HE187" s="19">
        <v>19</v>
      </c>
      <c r="HF187" s="19">
        <v>18</v>
      </c>
      <c r="HG187" s="19">
        <v>17</v>
      </c>
      <c r="HH187" s="19">
        <v>16</v>
      </c>
      <c r="HI187" s="19">
        <v>15</v>
      </c>
      <c r="HJ187" s="19">
        <v>14</v>
      </c>
      <c r="HK187" s="19">
        <v>13</v>
      </c>
      <c r="HL187" s="19">
        <v>12</v>
      </c>
      <c r="HM187" s="19">
        <v>11</v>
      </c>
      <c r="HN187" s="19">
        <v>10</v>
      </c>
      <c r="HO187" s="19">
        <v>9</v>
      </c>
      <c r="HP187" s="19">
        <v>8</v>
      </c>
      <c r="HQ187" s="19">
        <v>7</v>
      </c>
      <c r="HR187" s="19">
        <v>6</v>
      </c>
      <c r="HS187" s="19">
        <v>5</v>
      </c>
      <c r="HT187" s="19">
        <v>5.3</v>
      </c>
      <c r="HU187" s="19">
        <v>4</v>
      </c>
      <c r="HV187" s="19">
        <v>3</v>
      </c>
      <c r="HW187" s="19">
        <v>1.5</v>
      </c>
      <c r="HX187" s="19">
        <v>0.8</v>
      </c>
      <c r="HY187" s="20">
        <v>0</v>
      </c>
      <c r="HZ187" s="20">
        <v>0</v>
      </c>
      <c r="IA187" s="20">
        <v>0</v>
      </c>
      <c r="IB187" s="20">
        <v>0</v>
      </c>
      <c r="IC187" s="20">
        <v>0</v>
      </c>
    </row>
    <row r="188">
      <c r="A188" s="2" t="s">
        <v>831</v>
      </c>
      <c r="B188" s="2" t="s">
        <v>605</v>
      </c>
      <c r="C188" s="2" t="s">
        <v>832</v>
      </c>
      <c r="D188" s="2" t="s">
        <v>607</v>
      </c>
      <c r="E188" s="2" t="s">
        <v>608</v>
      </c>
      <c r="F188" s="2" t="s">
        <v>833</v>
      </c>
      <c r="G188" s="2" t="s">
        <v>833</v>
      </c>
      <c r="H188" s="2" t="s">
        <v>833</v>
      </c>
      <c r="I188" s="2" t="s">
        <v>834</v>
      </c>
      <c r="J188" s="2" t="s">
        <v>618</v>
      </c>
      <c r="K188" s="2" t="s">
        <v>292</v>
      </c>
      <c r="L188" s="3">
        <v>14.85</v>
      </c>
      <c r="M188" s="3">
        <v>15.59</v>
      </c>
      <c r="N188" s="3">
        <v>39.99</v>
      </c>
      <c r="O188" s="2" t="s">
        <v>485</v>
      </c>
      <c r="P188" s="2" t="s">
        <v>624</v>
      </c>
      <c r="Q188" s="2" t="s">
        <v>234</v>
      </c>
      <c r="R188" s="2" t="s">
        <v>235</v>
      </c>
      <c r="S188" s="2" t="s">
        <v>235</v>
      </c>
      <c r="T188" s="2" t="s">
        <v>263</v>
      </c>
      <c r="U188" s="2" t="s">
        <v>807</v>
      </c>
      <c r="V188" s="2" t="s">
        <v>238</v>
      </c>
      <c r="W188" s="2" t="s">
        <v>329</v>
      </c>
      <c r="X188" s="2" t="s">
        <v>235</v>
      </c>
      <c r="Y188" s="2" t="s">
        <v>835</v>
      </c>
      <c r="Z188" s="4"/>
      <c r="AA188" s="4">
        <f>=ROUNDDOWN({0},0)</f>
      </c>
      <c r="AB188" s="5">
        <v>8.4</v>
      </c>
      <c r="AC188" s="2" t="s">
        <v>235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235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235</v>
      </c>
      <c r="BD188" s="8" t="s">
        <v>235</v>
      </c>
      <c r="BE188" s="4" t="s">
        <v>235</v>
      </c>
      <c r="BF188" s="8" t="s">
        <v>235</v>
      </c>
      <c r="BG188" s="7" t="s">
        <v>235</v>
      </c>
      <c r="BH188" s="7" t="s">
        <v>235</v>
      </c>
      <c r="BI188" s="7"/>
      <c r="BJ188" s="4">
        <v>37</v>
      </c>
      <c r="BK188" s="8">
        <v>686.77</v>
      </c>
      <c r="BL188" s="2" t="s">
        <v>836</v>
      </c>
      <c r="BM188" s="7"/>
      <c r="BN188" s="7"/>
      <c r="BO188" s="4"/>
      <c r="BP188" s="8"/>
      <c r="BQ188" s="4"/>
      <c r="BR188" s="8"/>
      <c r="BS188" s="7"/>
      <c r="BT188" s="7"/>
      <c r="BU188" s="2" t="s">
        <v>837</v>
      </c>
      <c r="BV188" s="2" t="s">
        <v>618</v>
      </c>
      <c r="BW188" s="2" t="s">
        <v>235</v>
      </c>
      <c r="BX188" s="2" t="s">
        <v>414</v>
      </c>
      <c r="BY188" s="2" t="s">
        <v>245</v>
      </c>
      <c r="BZ188" s="2" t="s">
        <v>232</v>
      </c>
      <c r="CA188" s="2" t="s">
        <v>838</v>
      </c>
      <c r="CB188" s="2" t="s">
        <v>839</v>
      </c>
      <c r="CC188" s="2" t="s">
        <v>248</v>
      </c>
      <c r="CD188" s="2" t="s">
        <v>248</v>
      </c>
      <c r="CE188" s="2" t="s">
        <v>235</v>
      </c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>
        <v>36</v>
      </c>
      <c r="GE188" s="4">
        <v>28</v>
      </c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19">
        <v>2.3</v>
      </c>
      <c r="HE188" s="19">
        <v>1.9</v>
      </c>
      <c r="HF188" s="20">
        <v>0</v>
      </c>
      <c r="HG188" s="20">
        <v>0</v>
      </c>
      <c r="HH188" s="20">
        <v>0</v>
      </c>
      <c r="HI188" s="20">
        <v>0</v>
      </c>
      <c r="HJ188" s="20">
        <v>0</v>
      </c>
      <c r="HK188" s="20">
        <v>0</v>
      </c>
      <c r="HL188" s="20">
        <v>0</v>
      </c>
      <c r="HM188" s="20">
        <v>0</v>
      </c>
      <c r="HN188" s="20">
        <v>0</v>
      </c>
      <c r="HO188" s="20">
        <v>0</v>
      </c>
      <c r="HP188" s="20">
        <v>0</v>
      </c>
      <c r="HQ188" s="20">
        <v>0</v>
      </c>
      <c r="HR188" s="20">
        <v>0</v>
      </c>
      <c r="HS188" s="20">
        <v>0</v>
      </c>
      <c r="HT188" s="20">
        <v>0</v>
      </c>
      <c r="HU188" s="20">
        <v>0</v>
      </c>
      <c r="HV188" s="20">
        <v>0</v>
      </c>
      <c r="HW188" s="20">
        <v>0</v>
      </c>
      <c r="HX188" s="20">
        <v>0</v>
      </c>
      <c r="HY188" s="20">
        <v>0</v>
      </c>
      <c r="HZ188" s="20">
        <v>0</v>
      </c>
      <c r="IA188" s="20">
        <v>0</v>
      </c>
      <c r="IB188" s="20">
        <v>0</v>
      </c>
      <c r="IC188" s="20">
        <v>0</v>
      </c>
    </row>
    <row r="189">
      <c r="A189" s="2" t="s">
        <v>840</v>
      </c>
      <c r="B189" s="2" t="s">
        <v>605</v>
      </c>
      <c r="C189" s="2" t="s">
        <v>832</v>
      </c>
      <c r="D189" s="2" t="s">
        <v>607</v>
      </c>
      <c r="E189" s="2" t="s">
        <v>608</v>
      </c>
      <c r="F189" s="2" t="s">
        <v>833</v>
      </c>
      <c r="G189" s="2" t="s">
        <v>833</v>
      </c>
      <c r="H189" s="2" t="s">
        <v>833</v>
      </c>
      <c r="I189" s="2" t="s">
        <v>834</v>
      </c>
      <c r="J189" s="2" t="s">
        <v>618</v>
      </c>
      <c r="K189" s="2" t="s">
        <v>295</v>
      </c>
      <c r="L189" s="3">
        <v>14.85</v>
      </c>
      <c r="M189" s="3">
        <v>15.59</v>
      </c>
      <c r="N189" s="3">
        <v>39.99</v>
      </c>
      <c r="O189" s="2" t="s">
        <v>485</v>
      </c>
      <c r="P189" s="2" t="s">
        <v>624</v>
      </c>
      <c r="Q189" s="2" t="s">
        <v>234</v>
      </c>
      <c r="R189" s="2" t="s">
        <v>235</v>
      </c>
      <c r="S189" s="2" t="s">
        <v>235</v>
      </c>
      <c r="T189" s="2" t="s">
        <v>263</v>
      </c>
      <c r="U189" s="2" t="s">
        <v>807</v>
      </c>
      <c r="V189" s="2" t="s">
        <v>238</v>
      </c>
      <c r="W189" s="2" t="s">
        <v>329</v>
      </c>
      <c r="X189" s="2" t="s">
        <v>235</v>
      </c>
      <c r="Y189" s="2" t="s">
        <v>835</v>
      </c>
      <c r="Z189" s="4">
        <v>574</v>
      </c>
      <c r="AA189" s="4">
        <f>=ROUNDDOWN(82,0)</f>
      </c>
      <c r="AB189" s="5">
        <v>7</v>
      </c>
      <c r="AC189" s="2" t="s">
        <v>235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235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235</v>
      </c>
      <c r="BD189" s="8" t="s">
        <v>235</v>
      </c>
      <c r="BE189" s="4" t="s">
        <v>235</v>
      </c>
      <c r="BF189" s="8" t="s">
        <v>235</v>
      </c>
      <c r="BG189" s="7" t="s">
        <v>235</v>
      </c>
      <c r="BH189" s="7" t="s">
        <v>235</v>
      </c>
      <c r="BI189" s="7"/>
      <c r="BJ189" s="4">
        <v>19</v>
      </c>
      <c r="BK189" s="8">
        <v>301.93</v>
      </c>
      <c r="BL189" s="2" t="s">
        <v>841</v>
      </c>
      <c r="BM189" s="7"/>
      <c r="BN189" s="7"/>
      <c r="BO189" s="4"/>
      <c r="BP189" s="8"/>
      <c r="BQ189" s="4"/>
      <c r="BR189" s="8"/>
      <c r="BS189" s="7"/>
      <c r="BT189" s="7"/>
      <c r="BU189" s="2" t="s">
        <v>837</v>
      </c>
      <c r="BV189" s="2" t="s">
        <v>618</v>
      </c>
      <c r="BW189" s="2" t="s">
        <v>235</v>
      </c>
      <c r="BX189" s="2" t="s">
        <v>414</v>
      </c>
      <c r="BY189" s="2" t="s">
        <v>245</v>
      </c>
      <c r="BZ189" s="2" t="s">
        <v>232</v>
      </c>
      <c r="CA189" s="2" t="s">
        <v>838</v>
      </c>
      <c r="CB189" s="2" t="s">
        <v>235</v>
      </c>
      <c r="CC189" s="2" t="s">
        <v>248</v>
      </c>
      <c r="CD189" s="2" t="s">
        <v>248</v>
      </c>
      <c r="CE189" s="2" t="s">
        <v>235</v>
      </c>
      <c r="CF189" s="4">
        <v>574</v>
      </c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>
        <v>581</v>
      </c>
      <c r="GE189" s="4">
        <v>567</v>
      </c>
      <c r="GF189" s="4">
        <v>561</v>
      </c>
      <c r="GG189" s="4">
        <v>555</v>
      </c>
      <c r="GH189" s="4">
        <v>549</v>
      </c>
      <c r="GI189" s="4">
        <v>543</v>
      </c>
      <c r="GJ189" s="4">
        <v>537</v>
      </c>
      <c r="GK189" s="4">
        <v>531</v>
      </c>
      <c r="GL189" s="4">
        <v>525</v>
      </c>
      <c r="GM189" s="4">
        <v>519</v>
      </c>
      <c r="GN189" s="4">
        <v>513</v>
      </c>
      <c r="GO189" s="4">
        <v>505</v>
      </c>
      <c r="GP189" s="4">
        <v>493</v>
      </c>
      <c r="GQ189" s="4">
        <v>478</v>
      </c>
      <c r="GR189" s="4">
        <v>460</v>
      </c>
      <c r="GS189" s="4">
        <v>447</v>
      </c>
      <c r="GT189" s="4">
        <v>437</v>
      </c>
      <c r="GU189" s="4">
        <v>431</v>
      </c>
      <c r="GV189" s="4">
        <v>425</v>
      </c>
      <c r="GW189" s="4">
        <v>419</v>
      </c>
      <c r="GX189" s="4">
        <v>413</v>
      </c>
      <c r="GY189" s="4">
        <v>407</v>
      </c>
      <c r="GZ189" s="4">
        <v>400</v>
      </c>
      <c r="HA189" s="4">
        <v>393</v>
      </c>
      <c r="HB189" s="4">
        <v>386</v>
      </c>
      <c r="HC189" s="4">
        <v>379</v>
      </c>
      <c r="HD189" s="19">
        <v>72.6</v>
      </c>
      <c r="HE189" s="19">
        <v>94.5</v>
      </c>
      <c r="HF189" s="19">
        <v>93.5</v>
      </c>
      <c r="HG189" s="19">
        <v>92.5</v>
      </c>
      <c r="HH189" s="19">
        <v>91.5</v>
      </c>
      <c r="HI189" s="19">
        <v>90.5</v>
      </c>
      <c r="HJ189" s="19">
        <v>89.5</v>
      </c>
      <c r="HK189" s="19">
        <v>88.5</v>
      </c>
      <c r="HL189" s="19">
        <v>65.6</v>
      </c>
      <c r="HM189" s="19">
        <v>51.9</v>
      </c>
      <c r="HN189" s="19">
        <v>39.5</v>
      </c>
      <c r="HO189" s="19">
        <v>36.1</v>
      </c>
      <c r="HP189" s="19">
        <v>35.2</v>
      </c>
      <c r="HQ189" s="19">
        <v>39.8</v>
      </c>
      <c r="HR189" s="19">
        <v>51.1</v>
      </c>
      <c r="HS189" s="19">
        <v>63.9</v>
      </c>
      <c r="HT189" s="19">
        <v>72.8</v>
      </c>
      <c r="HU189" s="19">
        <v>71.8</v>
      </c>
      <c r="HV189" s="19">
        <v>70.8</v>
      </c>
      <c r="HW189" s="19">
        <v>69.8</v>
      </c>
      <c r="HX189" s="19">
        <v>59</v>
      </c>
      <c r="HY189" s="19">
        <v>58.1</v>
      </c>
      <c r="HZ189" s="19">
        <v>57.1</v>
      </c>
      <c r="IA189" s="19">
        <v>56.1</v>
      </c>
      <c r="IB189" s="19">
        <v>55.1</v>
      </c>
      <c r="IC189" s="19">
        <v>54.1</v>
      </c>
    </row>
    <row r="190">
      <c r="A190" s="2" t="s">
        <v>842</v>
      </c>
      <c r="B190" s="2" t="s">
        <v>605</v>
      </c>
      <c r="C190" s="2" t="s">
        <v>832</v>
      </c>
      <c r="D190" s="2" t="s">
        <v>607</v>
      </c>
      <c r="E190" s="2" t="s">
        <v>608</v>
      </c>
      <c r="F190" s="2" t="s">
        <v>833</v>
      </c>
      <c r="G190" s="2" t="s">
        <v>833</v>
      </c>
      <c r="H190" s="2" t="s">
        <v>833</v>
      </c>
      <c r="I190" s="2" t="s">
        <v>834</v>
      </c>
      <c r="J190" s="2" t="s">
        <v>618</v>
      </c>
      <c r="K190" s="2" t="s">
        <v>843</v>
      </c>
      <c r="L190" s="3">
        <v>14.85</v>
      </c>
      <c r="M190" s="3">
        <v>15.59</v>
      </c>
      <c r="N190" s="3">
        <v>39.99</v>
      </c>
      <c r="O190" s="2" t="s">
        <v>485</v>
      </c>
      <c r="P190" s="2" t="s">
        <v>624</v>
      </c>
      <c r="Q190" s="2" t="s">
        <v>234</v>
      </c>
      <c r="R190" s="2" t="s">
        <v>235</v>
      </c>
      <c r="S190" s="2" t="s">
        <v>235</v>
      </c>
      <c r="T190" s="2" t="s">
        <v>263</v>
      </c>
      <c r="U190" s="2" t="s">
        <v>807</v>
      </c>
      <c r="V190" s="2" t="s">
        <v>238</v>
      </c>
      <c r="W190" s="2" t="s">
        <v>329</v>
      </c>
      <c r="X190" s="2" t="s">
        <v>235</v>
      </c>
      <c r="Y190" s="2" t="s">
        <v>835</v>
      </c>
      <c r="Z190" s="4">
        <v>479</v>
      </c>
      <c r="AA190" s="4">
        <f>=ROUNDDOWN(119.75,0)</f>
      </c>
      <c r="AB190" s="5">
        <v>4</v>
      </c>
      <c r="AC190" s="2" t="s">
        <v>235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235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235</v>
      </c>
      <c r="AW190" s="8" t="s">
        <v>235</v>
      </c>
      <c r="AX190" s="4" t="s">
        <v>235</v>
      </c>
      <c r="AY190" s="8" t="s">
        <v>235</v>
      </c>
      <c r="AZ190" s="7" t="s">
        <v>235</v>
      </c>
      <c r="BA190" s="7" t="s">
        <v>235</v>
      </c>
      <c r="BB190" s="7"/>
      <c r="BC190" s="4" t="s">
        <v>235</v>
      </c>
      <c r="BD190" s="8" t="s">
        <v>235</v>
      </c>
      <c r="BE190" s="4" t="s">
        <v>235</v>
      </c>
      <c r="BF190" s="8" t="s">
        <v>235</v>
      </c>
      <c r="BG190" s="7" t="s">
        <v>235</v>
      </c>
      <c r="BH190" s="7" t="s">
        <v>235</v>
      </c>
      <c r="BI190" s="7"/>
      <c r="BJ190" s="4">
        <v>31</v>
      </c>
      <c r="BK190" s="8">
        <v>495.52</v>
      </c>
      <c r="BL190" s="2" t="s">
        <v>836</v>
      </c>
      <c r="BM190" s="7"/>
      <c r="BN190" s="7"/>
      <c r="BO190" s="4"/>
      <c r="BP190" s="8"/>
      <c r="BQ190" s="4"/>
      <c r="BR190" s="8"/>
      <c r="BS190" s="7"/>
      <c r="BT190" s="7"/>
      <c r="BU190" s="2" t="s">
        <v>837</v>
      </c>
      <c r="BV190" s="2" t="s">
        <v>618</v>
      </c>
      <c r="BW190" s="2" t="s">
        <v>235</v>
      </c>
      <c r="BX190" s="2" t="s">
        <v>414</v>
      </c>
      <c r="BY190" s="2" t="s">
        <v>245</v>
      </c>
      <c r="BZ190" s="2" t="s">
        <v>232</v>
      </c>
      <c r="CA190" s="2" t="s">
        <v>838</v>
      </c>
      <c r="CB190" s="2" t="s">
        <v>844</v>
      </c>
      <c r="CC190" s="2" t="s">
        <v>248</v>
      </c>
      <c r="CD190" s="2" t="s">
        <v>248</v>
      </c>
      <c r="CE190" s="2" t="s">
        <v>235</v>
      </c>
      <c r="CF190" s="4">
        <v>479</v>
      </c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>
        <v>483</v>
      </c>
      <c r="GE190" s="4">
        <v>475</v>
      </c>
      <c r="GF190" s="4">
        <v>472</v>
      </c>
      <c r="GG190" s="4">
        <v>469</v>
      </c>
      <c r="GH190" s="4">
        <v>466</v>
      </c>
      <c r="GI190" s="4">
        <v>463</v>
      </c>
      <c r="GJ190" s="4">
        <v>459</v>
      </c>
      <c r="GK190" s="4">
        <v>455</v>
      </c>
      <c r="GL190" s="4">
        <v>451</v>
      </c>
      <c r="GM190" s="4">
        <v>447</v>
      </c>
      <c r="GN190" s="4">
        <v>443</v>
      </c>
      <c r="GO190" s="4">
        <v>439</v>
      </c>
      <c r="GP190" s="4">
        <v>432</v>
      </c>
      <c r="GQ190" s="4">
        <v>423</v>
      </c>
      <c r="GR190" s="4">
        <v>413</v>
      </c>
      <c r="GS190" s="4">
        <v>406</v>
      </c>
      <c r="GT190" s="4">
        <v>400</v>
      </c>
      <c r="GU190" s="4">
        <v>397</v>
      </c>
      <c r="GV190" s="4">
        <v>394</v>
      </c>
      <c r="GW190" s="4">
        <v>391</v>
      </c>
      <c r="GX190" s="4">
        <v>388</v>
      </c>
      <c r="GY190" s="4">
        <v>385</v>
      </c>
      <c r="GZ190" s="4">
        <v>381</v>
      </c>
      <c r="HA190" s="4">
        <v>377</v>
      </c>
      <c r="HB190" s="4">
        <v>373</v>
      </c>
      <c r="HC190" s="4">
        <v>369</v>
      </c>
      <c r="HD190" s="19">
        <v>120.8</v>
      </c>
      <c r="HE190" s="19">
        <v>158.3</v>
      </c>
      <c r="HF190" s="19">
        <v>157.3</v>
      </c>
      <c r="HG190" s="19">
        <v>117.3</v>
      </c>
      <c r="HH190" s="19">
        <v>116.5</v>
      </c>
      <c r="HI190" s="19">
        <v>115.8</v>
      </c>
      <c r="HJ190" s="19">
        <v>114.8</v>
      </c>
      <c r="HK190" s="19">
        <v>113.8</v>
      </c>
      <c r="HL190" s="19">
        <v>90.2</v>
      </c>
      <c r="HM190" s="19">
        <v>74.5</v>
      </c>
      <c r="HN190" s="19">
        <v>55.4</v>
      </c>
      <c r="HO190" s="19">
        <v>54.9</v>
      </c>
      <c r="HP190" s="19">
        <v>54</v>
      </c>
      <c r="HQ190" s="19">
        <v>70.5</v>
      </c>
      <c r="HR190" s="19">
        <v>82.6</v>
      </c>
      <c r="HS190" s="19">
        <v>101.5</v>
      </c>
      <c r="HT190" s="19">
        <v>133.3</v>
      </c>
      <c r="HU190" s="19">
        <v>132.3</v>
      </c>
      <c r="HV190" s="19">
        <v>131.3</v>
      </c>
      <c r="HW190" s="19">
        <v>97.8</v>
      </c>
      <c r="HX190" s="19">
        <v>97</v>
      </c>
      <c r="HY190" s="19">
        <v>96.3</v>
      </c>
      <c r="HZ190" s="19">
        <v>95.3</v>
      </c>
      <c r="IA190" s="19">
        <v>94.3</v>
      </c>
      <c r="IB190" s="19">
        <v>93.3</v>
      </c>
      <c r="IC190" s="19">
        <v>92.3</v>
      </c>
    </row>
    <row r="191">
      <c r="A191" s="2" t="s">
        <v>845</v>
      </c>
      <c r="B191" s="2" t="s">
        <v>605</v>
      </c>
      <c r="C191" s="2" t="s">
        <v>832</v>
      </c>
      <c r="D191" s="2" t="s">
        <v>607</v>
      </c>
      <c r="E191" s="2" t="s">
        <v>608</v>
      </c>
      <c r="F191" s="2" t="s">
        <v>833</v>
      </c>
      <c r="G191" s="2" t="s">
        <v>833</v>
      </c>
      <c r="H191" s="2" t="s">
        <v>833</v>
      </c>
      <c r="I191" s="2" t="s">
        <v>834</v>
      </c>
      <c r="J191" s="2" t="s">
        <v>846</v>
      </c>
      <c r="K191" s="2" t="s">
        <v>843</v>
      </c>
      <c r="L191" s="3">
        <v>9.28</v>
      </c>
      <c r="M191" s="3">
        <v>9.74</v>
      </c>
      <c r="N191" s="3">
        <v>24.99</v>
      </c>
      <c r="O191" s="2" t="s">
        <v>485</v>
      </c>
      <c r="P191" s="2" t="s">
        <v>624</v>
      </c>
      <c r="Q191" s="2" t="s">
        <v>234</v>
      </c>
      <c r="R191" s="2" t="s">
        <v>235</v>
      </c>
      <c r="S191" s="2" t="s">
        <v>235</v>
      </c>
      <c r="T191" s="2" t="s">
        <v>263</v>
      </c>
      <c r="U191" s="2" t="s">
        <v>807</v>
      </c>
      <c r="V191" s="2" t="s">
        <v>238</v>
      </c>
      <c r="W191" s="2" t="s">
        <v>329</v>
      </c>
      <c r="X191" s="2" t="s">
        <v>235</v>
      </c>
      <c r="Y191" s="2" t="s">
        <v>835</v>
      </c>
      <c r="Z191" s="4">
        <v>144</v>
      </c>
      <c r="AA191" s="4">
        <f>=ROUNDDOWN(36,0)</f>
      </c>
      <c r="AB191" s="5">
        <v>4</v>
      </c>
      <c r="AC191" s="2" t="s">
        <v>235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235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235</v>
      </c>
      <c r="AW191" s="8" t="s">
        <v>235</v>
      </c>
      <c r="AX191" s="4" t="s">
        <v>235</v>
      </c>
      <c r="AY191" s="8" t="s">
        <v>235</v>
      </c>
      <c r="AZ191" s="7" t="s">
        <v>235</v>
      </c>
      <c r="BA191" s="7" t="s">
        <v>235</v>
      </c>
      <c r="BB191" s="7"/>
      <c r="BC191" s="4" t="s">
        <v>235</v>
      </c>
      <c r="BD191" s="8" t="s">
        <v>235</v>
      </c>
      <c r="BE191" s="4" t="s">
        <v>235</v>
      </c>
      <c r="BF191" s="8" t="s">
        <v>235</v>
      </c>
      <c r="BG191" s="7" t="s">
        <v>235</v>
      </c>
      <c r="BH191" s="7" t="s">
        <v>235</v>
      </c>
      <c r="BI191" s="7"/>
      <c r="BJ191" s="4">
        <v>22</v>
      </c>
      <c r="BK191" s="8">
        <v>249.13</v>
      </c>
      <c r="BL191" s="2" t="s">
        <v>836</v>
      </c>
      <c r="BM191" s="7"/>
      <c r="BN191" s="7"/>
      <c r="BO191" s="4"/>
      <c r="BP191" s="8"/>
      <c r="BQ191" s="4"/>
      <c r="BR191" s="8"/>
      <c r="BS191" s="7"/>
      <c r="BT191" s="7"/>
      <c r="BU191" s="2" t="s">
        <v>847</v>
      </c>
      <c r="BV191" s="2" t="s">
        <v>618</v>
      </c>
      <c r="BW191" s="2" t="s">
        <v>235</v>
      </c>
      <c r="BX191" s="2" t="s">
        <v>414</v>
      </c>
      <c r="BY191" s="2" t="s">
        <v>245</v>
      </c>
      <c r="BZ191" s="2" t="s">
        <v>232</v>
      </c>
      <c r="CA191" s="2" t="s">
        <v>838</v>
      </c>
      <c r="CB191" s="2" t="s">
        <v>844</v>
      </c>
      <c r="CC191" s="2" t="s">
        <v>248</v>
      </c>
      <c r="CD191" s="2" t="s">
        <v>248</v>
      </c>
      <c r="CE191" s="2" t="s">
        <v>235</v>
      </c>
      <c r="CF191" s="4">
        <v>144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>
        <v>147</v>
      </c>
      <c r="GE191" s="4">
        <v>141</v>
      </c>
      <c r="GF191" s="4">
        <v>138</v>
      </c>
      <c r="GG191" s="4">
        <v>135</v>
      </c>
      <c r="GH191" s="4">
        <v>132</v>
      </c>
      <c r="GI191" s="4">
        <v>129</v>
      </c>
      <c r="GJ191" s="4">
        <v>125</v>
      </c>
      <c r="GK191" s="4">
        <v>121</v>
      </c>
      <c r="GL191" s="4">
        <v>117</v>
      </c>
      <c r="GM191" s="4">
        <v>113</v>
      </c>
      <c r="GN191" s="4">
        <v>109</v>
      </c>
      <c r="GO191" s="4">
        <v>105</v>
      </c>
      <c r="GP191" s="4">
        <v>98</v>
      </c>
      <c r="GQ191" s="4">
        <v>89</v>
      </c>
      <c r="GR191" s="4">
        <v>79</v>
      </c>
      <c r="GS191" s="4">
        <v>72</v>
      </c>
      <c r="GT191" s="4">
        <v>66</v>
      </c>
      <c r="GU191" s="4">
        <v>63</v>
      </c>
      <c r="GV191" s="4">
        <v>60</v>
      </c>
      <c r="GW191" s="4">
        <v>57</v>
      </c>
      <c r="GX191" s="4">
        <v>54</v>
      </c>
      <c r="GY191" s="4">
        <v>51</v>
      </c>
      <c r="GZ191" s="4">
        <v>47</v>
      </c>
      <c r="HA191" s="4">
        <v>43</v>
      </c>
      <c r="HB191" s="4">
        <v>39</v>
      </c>
      <c r="HC191" s="4">
        <v>35</v>
      </c>
      <c r="HD191" s="19">
        <v>36.8</v>
      </c>
      <c r="HE191" s="19">
        <v>47</v>
      </c>
      <c r="HF191" s="19">
        <v>46</v>
      </c>
      <c r="HG191" s="19">
        <v>33.8</v>
      </c>
      <c r="HH191" s="19">
        <v>33</v>
      </c>
      <c r="HI191" s="19">
        <v>32.3</v>
      </c>
      <c r="HJ191" s="19">
        <v>31.3</v>
      </c>
      <c r="HK191" s="19">
        <v>30.3</v>
      </c>
      <c r="HL191" s="19">
        <v>23.4</v>
      </c>
      <c r="HM191" s="19">
        <v>18.8</v>
      </c>
      <c r="HN191" s="19">
        <v>13.6</v>
      </c>
      <c r="HO191" s="19">
        <v>13.1</v>
      </c>
      <c r="HP191" s="19">
        <v>12.3</v>
      </c>
      <c r="HQ191" s="19">
        <v>14.8</v>
      </c>
      <c r="HR191" s="19">
        <v>15.8</v>
      </c>
      <c r="HS191" s="19">
        <v>18</v>
      </c>
      <c r="HT191" s="19">
        <v>22</v>
      </c>
      <c r="HU191" s="19">
        <v>21</v>
      </c>
      <c r="HV191" s="19">
        <v>20</v>
      </c>
      <c r="HW191" s="19">
        <v>14.3</v>
      </c>
      <c r="HX191" s="19">
        <v>13.5</v>
      </c>
      <c r="HY191" s="19">
        <v>12.8</v>
      </c>
      <c r="HZ191" s="19">
        <v>11.8</v>
      </c>
      <c r="IA191" s="19">
        <v>10.8</v>
      </c>
      <c r="IB191" s="19">
        <v>9.8</v>
      </c>
      <c r="IC191" s="19">
        <v>8.8</v>
      </c>
    </row>
    <row r="192">
      <c r="A192" s="2" t="s">
        <v>848</v>
      </c>
      <c r="B192" s="2" t="s">
        <v>605</v>
      </c>
      <c r="C192" s="2" t="s">
        <v>832</v>
      </c>
      <c r="D192" s="2" t="s">
        <v>607</v>
      </c>
      <c r="E192" s="2" t="s">
        <v>608</v>
      </c>
      <c r="F192" s="2" t="s">
        <v>833</v>
      </c>
      <c r="G192" s="2" t="s">
        <v>833</v>
      </c>
      <c r="H192" s="2" t="s">
        <v>833</v>
      </c>
      <c r="I192" s="2" t="s">
        <v>834</v>
      </c>
      <c r="J192" s="2" t="s">
        <v>846</v>
      </c>
      <c r="K192" s="2" t="s">
        <v>316</v>
      </c>
      <c r="L192" s="3">
        <v>9.28</v>
      </c>
      <c r="M192" s="3">
        <v>9.74</v>
      </c>
      <c r="N192" s="3">
        <v>24.99</v>
      </c>
      <c r="O192" s="2" t="s">
        <v>485</v>
      </c>
      <c r="P192" s="2" t="s">
        <v>624</v>
      </c>
      <c r="Q192" s="2" t="s">
        <v>234</v>
      </c>
      <c r="R192" s="2" t="s">
        <v>235</v>
      </c>
      <c r="S192" s="2" t="s">
        <v>235</v>
      </c>
      <c r="T192" s="2" t="s">
        <v>263</v>
      </c>
      <c r="U192" s="2" t="s">
        <v>807</v>
      </c>
      <c r="V192" s="2" t="s">
        <v>238</v>
      </c>
      <c r="W192" s="2" t="s">
        <v>329</v>
      </c>
      <c r="X192" s="2" t="s">
        <v>235</v>
      </c>
      <c r="Y192" s="2" t="s">
        <v>835</v>
      </c>
      <c r="Z192" s="4">
        <v>181</v>
      </c>
      <c r="AA192" s="4">
        <f>=ROUNDDOWN(25.8571428571429,0)</f>
      </c>
      <c r="AB192" s="5">
        <v>7</v>
      </c>
      <c r="AC192" s="2" t="s">
        <v>235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235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235</v>
      </c>
      <c r="BD192" s="8" t="s">
        <v>235</v>
      </c>
      <c r="BE192" s="4" t="s">
        <v>235</v>
      </c>
      <c r="BF192" s="8" t="s">
        <v>235</v>
      </c>
      <c r="BG192" s="7" t="s">
        <v>235</v>
      </c>
      <c r="BH192" s="7" t="s">
        <v>235</v>
      </c>
      <c r="BI192" s="7"/>
      <c r="BJ192" s="4">
        <v>36</v>
      </c>
      <c r="BK192" s="8">
        <v>353.58</v>
      </c>
      <c r="BL192" s="2" t="s">
        <v>849</v>
      </c>
      <c r="BM192" s="7"/>
      <c r="BN192" s="7"/>
      <c r="BO192" s="4"/>
      <c r="BP192" s="8"/>
      <c r="BQ192" s="4"/>
      <c r="BR192" s="8"/>
      <c r="BS192" s="7"/>
      <c r="BT192" s="7"/>
      <c r="BU192" s="2" t="s">
        <v>847</v>
      </c>
      <c r="BV192" s="2" t="s">
        <v>618</v>
      </c>
      <c r="BW192" s="2" t="s">
        <v>235</v>
      </c>
      <c r="BX192" s="2" t="s">
        <v>414</v>
      </c>
      <c r="BY192" s="2" t="s">
        <v>245</v>
      </c>
      <c r="BZ192" s="2" t="s">
        <v>232</v>
      </c>
      <c r="CA192" s="2" t="s">
        <v>838</v>
      </c>
      <c r="CB192" s="2" t="s">
        <v>850</v>
      </c>
      <c r="CC192" s="2" t="s">
        <v>248</v>
      </c>
      <c r="CD192" s="2" t="s">
        <v>248</v>
      </c>
      <c r="CE192" s="2" t="s">
        <v>235</v>
      </c>
      <c r="CF192" s="4">
        <v>181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>
        <v>181</v>
      </c>
      <c r="GE192" s="4">
        <v>174</v>
      </c>
      <c r="GF192" s="4">
        <v>168</v>
      </c>
      <c r="GG192" s="4">
        <v>162</v>
      </c>
      <c r="GH192" s="4">
        <v>156</v>
      </c>
      <c r="GI192" s="4">
        <v>150</v>
      </c>
      <c r="GJ192" s="4">
        <v>144</v>
      </c>
      <c r="GK192" s="4">
        <v>138</v>
      </c>
      <c r="GL192" s="4">
        <v>132</v>
      </c>
      <c r="GM192" s="4">
        <v>126</v>
      </c>
      <c r="GN192" s="4">
        <v>120</v>
      </c>
      <c r="GO192" s="4">
        <v>112</v>
      </c>
      <c r="GP192" s="4">
        <v>100</v>
      </c>
      <c r="GQ192" s="4">
        <v>85</v>
      </c>
      <c r="GR192" s="4">
        <v>67</v>
      </c>
      <c r="GS192" s="4">
        <v>54</v>
      </c>
      <c r="GT192" s="4">
        <v>44</v>
      </c>
      <c r="GU192" s="4">
        <v>38</v>
      </c>
      <c r="GV192" s="4">
        <v>32</v>
      </c>
      <c r="GW192" s="4">
        <v>26</v>
      </c>
      <c r="GX192" s="4">
        <v>20</v>
      </c>
      <c r="GY192" s="4">
        <v>14</v>
      </c>
      <c r="GZ192" s="4">
        <v>7</v>
      </c>
      <c r="HA192" s="4"/>
      <c r="HB192" s="4"/>
      <c r="HC192" s="4"/>
      <c r="HD192" s="19">
        <v>30.2</v>
      </c>
      <c r="HE192" s="19">
        <v>29</v>
      </c>
      <c r="HF192" s="19">
        <v>28</v>
      </c>
      <c r="HG192" s="19">
        <v>27</v>
      </c>
      <c r="HH192" s="19">
        <v>26</v>
      </c>
      <c r="HI192" s="19">
        <v>25</v>
      </c>
      <c r="HJ192" s="19">
        <v>24</v>
      </c>
      <c r="HK192" s="19">
        <v>23</v>
      </c>
      <c r="HL192" s="19">
        <v>16.5</v>
      </c>
      <c r="HM192" s="19">
        <v>12.6</v>
      </c>
      <c r="HN192" s="19">
        <v>9.2</v>
      </c>
      <c r="HO192" s="19">
        <v>8</v>
      </c>
      <c r="HP192" s="19">
        <v>7.1</v>
      </c>
      <c r="HQ192" s="19">
        <v>7.1</v>
      </c>
      <c r="HR192" s="19">
        <v>7.4</v>
      </c>
      <c r="HS192" s="19">
        <v>7.7</v>
      </c>
      <c r="HT192" s="19">
        <v>7.3</v>
      </c>
      <c r="HU192" s="19">
        <v>6.3</v>
      </c>
      <c r="HV192" s="19">
        <v>5.3</v>
      </c>
      <c r="HW192" s="19">
        <v>4.3</v>
      </c>
      <c r="HX192" s="19">
        <v>2.9</v>
      </c>
      <c r="HY192" s="19">
        <v>2</v>
      </c>
      <c r="HZ192" s="19">
        <v>1</v>
      </c>
      <c r="IA192" s="20">
        <v>0</v>
      </c>
      <c r="IB192" s="20">
        <v>0</v>
      </c>
      <c r="IC192" s="20">
        <v>0</v>
      </c>
    </row>
    <row r="193">
      <c r="A193" s="2" t="s">
        <v>851</v>
      </c>
      <c r="B193" s="2" t="s">
        <v>852</v>
      </c>
      <c r="C193" s="2" t="s">
        <v>853</v>
      </c>
      <c r="D193" s="2" t="s">
        <v>854</v>
      </c>
      <c r="E193" s="2" t="s">
        <v>855</v>
      </c>
      <c r="F193" s="2" t="s">
        <v>856</v>
      </c>
      <c r="G193" s="2" t="s">
        <v>857</v>
      </c>
      <c r="H193" s="2" t="s">
        <v>858</v>
      </c>
      <c r="I193" s="2" t="s">
        <v>859</v>
      </c>
      <c r="J193" s="2" t="s">
        <v>860</v>
      </c>
      <c r="K193" s="2" t="s">
        <v>861</v>
      </c>
      <c r="L193" s="3">
        <v>18</v>
      </c>
      <c r="M193" s="3">
        <v>18.9</v>
      </c>
      <c r="N193" s="3">
        <v>39.99</v>
      </c>
      <c r="O193" s="2" t="s">
        <v>485</v>
      </c>
      <c r="P193" s="2" t="s">
        <v>408</v>
      </c>
      <c r="Q193" s="2" t="s">
        <v>234</v>
      </c>
      <c r="R193" s="2" t="s">
        <v>235</v>
      </c>
      <c r="S193" s="2" t="s">
        <v>862</v>
      </c>
      <c r="T193" s="2" t="s">
        <v>235</v>
      </c>
      <c r="U193" s="2" t="s">
        <v>235</v>
      </c>
      <c r="V193" s="2" t="s">
        <v>863</v>
      </c>
      <c r="W193" s="2" t="s">
        <v>239</v>
      </c>
      <c r="X193" s="2" t="s">
        <v>864</v>
      </c>
      <c r="Y193" s="2" t="s">
        <v>240</v>
      </c>
      <c r="Z193" s="4">
        <v>7142</v>
      </c>
      <c r="AA193" s="4">
        <f>=ROUNDDOWN(595.166666666667,0)</f>
      </c>
      <c r="AB193" s="5">
        <v>12</v>
      </c>
      <c r="AC193" s="2" t="s">
        <v>235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235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>
        <v>98</v>
      </c>
      <c r="BK193" s="8">
        <v>1175.17</v>
      </c>
      <c r="BL193" s="2" t="s">
        <v>865</v>
      </c>
      <c r="BM193" s="7"/>
      <c r="BN193" s="7"/>
      <c r="BO193" s="4"/>
      <c r="BP193" s="8"/>
      <c r="BQ193" s="4"/>
      <c r="BR193" s="8"/>
      <c r="BS193" s="7"/>
      <c r="BT193" s="7"/>
      <c r="BU193" s="2" t="s">
        <v>866</v>
      </c>
      <c r="BV193" s="2" t="s">
        <v>867</v>
      </c>
      <c r="BW193" s="2" t="s">
        <v>235</v>
      </c>
      <c r="BX193" s="2" t="s">
        <v>414</v>
      </c>
      <c r="BY193" s="2" t="s">
        <v>245</v>
      </c>
      <c r="BZ193" s="2" t="s">
        <v>232</v>
      </c>
      <c r="CA193" s="2" t="s">
        <v>868</v>
      </c>
      <c r="CB193" s="2" t="s">
        <v>869</v>
      </c>
      <c r="CC193" s="2" t="s">
        <v>248</v>
      </c>
      <c r="CD193" s="2" t="s">
        <v>248</v>
      </c>
      <c r="CE193" s="2" t="s">
        <v>235</v>
      </c>
      <c r="CF193" s="4">
        <v>7142</v>
      </c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>
        <v>7142</v>
      </c>
      <c r="GE193" s="4">
        <v>7134</v>
      </c>
      <c r="GF193" s="4">
        <v>7127</v>
      </c>
      <c r="GG193" s="4">
        <v>7120</v>
      </c>
      <c r="GH193" s="4">
        <v>7113</v>
      </c>
      <c r="GI193" s="4">
        <v>7103</v>
      </c>
      <c r="GJ193" s="4">
        <v>7087</v>
      </c>
      <c r="GK193" s="4">
        <v>7073</v>
      </c>
      <c r="GL193" s="4">
        <v>7057</v>
      </c>
      <c r="GM193" s="4">
        <v>7045</v>
      </c>
      <c r="GN193" s="4">
        <v>7030</v>
      </c>
      <c r="GO193" s="4">
        <v>7014</v>
      </c>
      <c r="GP193" s="4">
        <v>7000</v>
      </c>
      <c r="GQ193" s="4">
        <v>6983</v>
      </c>
      <c r="GR193" s="4">
        <v>6969</v>
      </c>
      <c r="GS193" s="4">
        <v>6952</v>
      </c>
      <c r="GT193" s="4">
        <v>6940</v>
      </c>
      <c r="GU193" s="4">
        <v>6927</v>
      </c>
      <c r="GV193" s="4">
        <v>6914</v>
      </c>
      <c r="GW193" s="4">
        <v>6902</v>
      </c>
      <c r="GX193" s="4">
        <v>6890</v>
      </c>
      <c r="GY193" s="4">
        <v>6878</v>
      </c>
      <c r="GZ193" s="4">
        <v>6866</v>
      </c>
      <c r="HA193" s="4">
        <v>6854</v>
      </c>
      <c r="HB193" s="4">
        <v>6842</v>
      </c>
      <c r="HC193" s="4">
        <v>6829</v>
      </c>
      <c r="HD193" s="19">
        <v>1020.3</v>
      </c>
      <c r="HE193" s="19">
        <v>891.8</v>
      </c>
      <c r="HF193" s="19">
        <v>712.7</v>
      </c>
      <c r="HG193" s="19">
        <v>593.3</v>
      </c>
      <c r="HH193" s="19">
        <v>508.1</v>
      </c>
      <c r="HI193" s="19">
        <v>507.4</v>
      </c>
      <c r="HJ193" s="19">
        <v>506.2</v>
      </c>
      <c r="HK193" s="19">
        <v>471.5</v>
      </c>
      <c r="HL193" s="19">
        <v>504.1</v>
      </c>
      <c r="HM193" s="19">
        <v>440.3</v>
      </c>
      <c r="HN193" s="19">
        <v>468.7</v>
      </c>
      <c r="HO193" s="19">
        <v>438.4</v>
      </c>
      <c r="HP193" s="19">
        <v>466.7</v>
      </c>
      <c r="HQ193" s="19">
        <v>498.8</v>
      </c>
      <c r="HR193" s="19">
        <v>497.8</v>
      </c>
      <c r="HS193" s="19">
        <v>579.3</v>
      </c>
      <c r="HT193" s="19">
        <v>578.3</v>
      </c>
      <c r="HU193" s="19">
        <v>577.3</v>
      </c>
      <c r="HV193" s="19">
        <v>576.2</v>
      </c>
      <c r="HW193" s="19">
        <v>575.2</v>
      </c>
      <c r="HX193" s="19">
        <v>574.2</v>
      </c>
      <c r="HY193" s="19">
        <v>573.2</v>
      </c>
      <c r="HZ193" s="19">
        <v>572.2</v>
      </c>
      <c r="IA193" s="19">
        <v>571.2</v>
      </c>
      <c r="IB193" s="19">
        <v>570.2</v>
      </c>
      <c r="IC193" s="19">
        <v>569.1</v>
      </c>
    </row>
    <row r="194">
      <c r="A194" s="2" t="s">
        <v>870</v>
      </c>
      <c r="B194" s="2" t="s">
        <v>871</v>
      </c>
      <c r="C194" s="2" t="s">
        <v>403</v>
      </c>
      <c r="D194" s="2" t="s">
        <v>361</v>
      </c>
      <c r="E194" s="2" t="s">
        <v>872</v>
      </c>
      <c r="F194" s="2" t="s">
        <v>873</v>
      </c>
      <c r="G194" s="2" t="s">
        <v>874</v>
      </c>
      <c r="H194" s="2" t="s">
        <v>875</v>
      </c>
      <c r="I194" s="2" t="s">
        <v>876</v>
      </c>
      <c r="J194" s="2" t="s">
        <v>877</v>
      </c>
      <c r="K194" s="2" t="s">
        <v>231</v>
      </c>
      <c r="L194" s="3">
        <v>28.57</v>
      </c>
      <c r="M194" s="3">
        <v>30</v>
      </c>
      <c r="N194" s="3">
        <v>59.99</v>
      </c>
      <c r="O194" s="2" t="s">
        <v>232</v>
      </c>
      <c r="P194" s="2" t="s">
        <v>878</v>
      </c>
      <c r="Q194" s="2" t="s">
        <v>234</v>
      </c>
      <c r="R194" s="2" t="s">
        <v>235</v>
      </c>
      <c r="S194" s="2" t="s">
        <v>235</v>
      </c>
      <c r="T194" s="2" t="s">
        <v>879</v>
      </c>
      <c r="U194" s="2" t="s">
        <v>264</v>
      </c>
      <c r="V194" s="2" t="s">
        <v>880</v>
      </c>
      <c r="W194" s="2" t="s">
        <v>881</v>
      </c>
      <c r="X194" s="2" t="s">
        <v>882</v>
      </c>
      <c r="Y194" s="2" t="s">
        <v>883</v>
      </c>
      <c r="Z194" s="4">
        <v>202</v>
      </c>
      <c r="AA194" s="4">
        <f>=ROUNDDOWN({0},0)</f>
      </c>
      <c r="AB194" s="5"/>
      <c r="AC194" s="2" t="s">
        <v>235</v>
      </c>
      <c r="AD194" s="4"/>
      <c r="AE194" s="4"/>
      <c r="AF194" s="6">
        <v>66</v>
      </c>
      <c r="AG194" s="6"/>
      <c r="AH194" s="7"/>
      <c r="AI194" s="4"/>
      <c r="AJ194" s="4">
        <f>=ROUNDDOWN({0},0)</f>
      </c>
      <c r="AK194" s="5"/>
      <c r="AL194" s="2" t="s">
        <v>235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235</v>
      </c>
      <c r="AW194" s="8" t="s">
        <v>235</v>
      </c>
      <c r="AX194" s="4" t="s">
        <v>235</v>
      </c>
      <c r="AY194" s="8" t="s">
        <v>235</v>
      </c>
      <c r="AZ194" s="7" t="s">
        <v>235</v>
      </c>
      <c r="BA194" s="7" t="s">
        <v>235</v>
      </c>
      <c r="BB194" s="7"/>
      <c r="BC194" s="4" t="s">
        <v>235</v>
      </c>
      <c r="BD194" s="8" t="s">
        <v>235</v>
      </c>
      <c r="BE194" s="4" t="s">
        <v>235</v>
      </c>
      <c r="BF194" s="8" t="s">
        <v>235</v>
      </c>
      <c r="BG194" s="7" t="s">
        <v>235</v>
      </c>
      <c r="BH194" s="7" t="s">
        <v>235</v>
      </c>
      <c r="BI194" s="7"/>
      <c r="BJ194" s="4"/>
      <c r="BK194" s="8"/>
      <c r="BL194" s="2" t="s">
        <v>235</v>
      </c>
      <c r="BM194" s="7"/>
      <c r="BN194" s="7"/>
      <c r="BO194" s="4"/>
      <c r="BP194" s="8"/>
      <c r="BQ194" s="4"/>
      <c r="BR194" s="8"/>
      <c r="BS194" s="7"/>
      <c r="BT194" s="7"/>
      <c r="BU194" s="2" t="s">
        <v>884</v>
      </c>
      <c r="BV194" s="2" t="s">
        <v>235</v>
      </c>
      <c r="BW194" s="2" t="s">
        <v>235</v>
      </c>
      <c r="BX194" s="2" t="s">
        <v>244</v>
      </c>
      <c r="BY194" s="2" t="s">
        <v>245</v>
      </c>
      <c r="BZ194" s="2" t="s">
        <v>232</v>
      </c>
      <c r="CA194" s="2" t="s">
        <v>235</v>
      </c>
      <c r="CB194" s="2" t="s">
        <v>235</v>
      </c>
      <c r="CC194" s="2" t="s">
        <v>248</v>
      </c>
      <c r="CD194" s="2" t="s">
        <v>248</v>
      </c>
      <c r="CE194" s="2" t="s">
        <v>235</v>
      </c>
      <c r="CF194" s="4"/>
      <c r="CG194" s="4"/>
      <c r="CH194" s="4"/>
      <c r="CI194" s="4">
        <v>192</v>
      </c>
      <c r="CJ194" s="4"/>
      <c r="CK194" s="4"/>
      <c r="CL194" s="4"/>
      <c r="CM194" s="4"/>
      <c r="CN194" s="4"/>
      <c r="CO194" s="4"/>
      <c r="CP194" s="4"/>
      <c r="CQ194" s="4">
        <v>10</v>
      </c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>
        <v>202</v>
      </c>
      <c r="GE194" s="4">
        <v>196</v>
      </c>
      <c r="GF194" s="4">
        <v>192</v>
      </c>
      <c r="GG194" s="4">
        <v>187</v>
      </c>
      <c r="GH194" s="4">
        <v>182</v>
      </c>
      <c r="GI194" s="4">
        <v>180</v>
      </c>
      <c r="GJ194" s="4">
        <v>170</v>
      </c>
      <c r="GK194" s="4">
        <v>164</v>
      </c>
      <c r="GL194" s="4">
        <v>154</v>
      </c>
      <c r="GM194" s="4">
        <v>150</v>
      </c>
      <c r="GN194" s="4">
        <v>142</v>
      </c>
      <c r="GO194" s="4">
        <v>130</v>
      </c>
      <c r="GP194" s="4">
        <v>114</v>
      </c>
      <c r="GQ194" s="4">
        <v>95</v>
      </c>
      <c r="GR194" s="4">
        <v>61</v>
      </c>
      <c r="GS194" s="4">
        <v>40</v>
      </c>
      <c r="GT194" s="4">
        <v>16</v>
      </c>
      <c r="GU194" s="4">
        <v>12</v>
      </c>
      <c r="GV194" s="4">
        <v>5</v>
      </c>
      <c r="GW194" s="4">
        <v>1</v>
      </c>
      <c r="GX194" s="4">
        <v>155</v>
      </c>
      <c r="GY194" s="4">
        <v>152</v>
      </c>
      <c r="GZ194" s="4">
        <v>148</v>
      </c>
      <c r="HA194" s="4">
        <v>145</v>
      </c>
      <c r="HB194" s="4">
        <v>137</v>
      </c>
      <c r="HC194" s="4">
        <v>123</v>
      </c>
      <c r="HD194" s="19">
        <v>40.4</v>
      </c>
      <c r="HE194" s="19">
        <v>49</v>
      </c>
      <c r="HF194" s="19">
        <v>32</v>
      </c>
      <c r="HG194" s="19">
        <v>31.2</v>
      </c>
      <c r="HH194" s="19">
        <v>26</v>
      </c>
      <c r="HI194" s="19">
        <v>22.5</v>
      </c>
      <c r="HJ194" s="19">
        <v>24.3</v>
      </c>
      <c r="HK194" s="19">
        <v>20.5</v>
      </c>
      <c r="HL194" s="19">
        <v>15.4</v>
      </c>
      <c r="HM194" s="19">
        <v>10.7</v>
      </c>
      <c r="HN194" s="19">
        <v>7.1</v>
      </c>
      <c r="HO194" s="19">
        <v>5.9</v>
      </c>
      <c r="HP194" s="19">
        <v>4.8</v>
      </c>
      <c r="HQ194" s="19">
        <v>4.5</v>
      </c>
      <c r="HR194" s="19">
        <v>4.4</v>
      </c>
      <c r="HS194" s="19">
        <v>4</v>
      </c>
      <c r="HT194" s="19">
        <v>3.2</v>
      </c>
      <c r="HU194" s="19">
        <v>2.4</v>
      </c>
      <c r="HV194" s="19">
        <v>1.3</v>
      </c>
      <c r="HW194" s="19">
        <v>0.3</v>
      </c>
      <c r="HX194" s="19">
        <v>38.8</v>
      </c>
      <c r="HY194" s="19">
        <v>21.7</v>
      </c>
      <c r="HZ194" s="19">
        <v>21.1</v>
      </c>
      <c r="IA194" s="19">
        <v>18.1</v>
      </c>
      <c r="IB194" s="19">
        <v>22.8</v>
      </c>
      <c r="IC194" s="19">
        <v>30.8</v>
      </c>
    </row>
    <row r="195">
      <c r="A195" s="2" t="s">
        <v>885</v>
      </c>
      <c r="B195" s="2" t="s">
        <v>871</v>
      </c>
      <c r="C195" s="2" t="s">
        <v>403</v>
      </c>
      <c r="D195" s="2" t="s">
        <v>361</v>
      </c>
      <c r="E195" s="2" t="s">
        <v>872</v>
      </c>
      <c r="F195" s="2" t="s">
        <v>873</v>
      </c>
      <c r="G195" s="2" t="s">
        <v>874</v>
      </c>
      <c r="H195" s="2" t="s">
        <v>875</v>
      </c>
      <c r="I195" s="2" t="s">
        <v>886</v>
      </c>
      <c r="J195" s="2" t="s">
        <v>365</v>
      </c>
      <c r="K195" s="2" t="s">
        <v>231</v>
      </c>
      <c r="L195" s="3">
        <v>33.33</v>
      </c>
      <c r="M195" s="3">
        <v>35</v>
      </c>
      <c r="N195" s="3">
        <v>69.99</v>
      </c>
      <c r="O195" s="2" t="s">
        <v>232</v>
      </c>
      <c r="P195" s="2" t="s">
        <v>878</v>
      </c>
      <c r="Q195" s="2" t="s">
        <v>234</v>
      </c>
      <c r="R195" s="2" t="s">
        <v>235</v>
      </c>
      <c r="S195" s="2" t="s">
        <v>235</v>
      </c>
      <c r="T195" s="2" t="s">
        <v>879</v>
      </c>
      <c r="U195" s="2" t="s">
        <v>282</v>
      </c>
      <c r="V195" s="2" t="s">
        <v>880</v>
      </c>
      <c r="W195" s="2" t="s">
        <v>881</v>
      </c>
      <c r="X195" s="2" t="s">
        <v>882</v>
      </c>
      <c r="Y195" s="2" t="s">
        <v>883</v>
      </c>
      <c r="Z195" s="4">
        <v>450</v>
      </c>
      <c r="AA195" s="4">
        <f>=ROUNDDOWN({0},0)</f>
      </c>
      <c r="AB195" s="5"/>
      <c r="AC195" s="2" t="s">
        <v>235</v>
      </c>
      <c r="AD195" s="4"/>
      <c r="AE195" s="4"/>
      <c r="AF195" s="6">
        <v>66</v>
      </c>
      <c r="AG195" s="6"/>
      <c r="AH195" s="7"/>
      <c r="AI195" s="4"/>
      <c r="AJ195" s="4">
        <f>=ROUNDDOWN({0},0)</f>
      </c>
      <c r="AK195" s="5"/>
      <c r="AL195" s="2" t="s">
        <v>235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235</v>
      </c>
      <c r="AW195" s="8" t="s">
        <v>235</v>
      </c>
      <c r="AX195" s="4" t="s">
        <v>235</v>
      </c>
      <c r="AY195" s="8" t="s">
        <v>235</v>
      </c>
      <c r="AZ195" s="7" t="s">
        <v>235</v>
      </c>
      <c r="BA195" s="7" t="s">
        <v>235</v>
      </c>
      <c r="BB195" s="7"/>
      <c r="BC195" s="4" t="s">
        <v>235</v>
      </c>
      <c r="BD195" s="8" t="s">
        <v>235</v>
      </c>
      <c r="BE195" s="4" t="s">
        <v>235</v>
      </c>
      <c r="BF195" s="8" t="s">
        <v>235</v>
      </c>
      <c r="BG195" s="7" t="s">
        <v>235</v>
      </c>
      <c r="BH195" s="7" t="s">
        <v>235</v>
      </c>
      <c r="BI195" s="7"/>
      <c r="BJ195" s="4"/>
      <c r="BK195" s="8"/>
      <c r="BL195" s="2" t="s">
        <v>235</v>
      </c>
      <c r="BM195" s="7"/>
      <c r="BN195" s="7"/>
      <c r="BO195" s="4"/>
      <c r="BP195" s="8"/>
      <c r="BQ195" s="4"/>
      <c r="BR195" s="8"/>
      <c r="BS195" s="7"/>
      <c r="BT195" s="7"/>
      <c r="BU195" s="2" t="s">
        <v>884</v>
      </c>
      <c r="BV195" s="2" t="s">
        <v>235</v>
      </c>
      <c r="BW195" s="2" t="s">
        <v>235</v>
      </c>
      <c r="BX195" s="2" t="s">
        <v>244</v>
      </c>
      <c r="BY195" s="2" t="s">
        <v>245</v>
      </c>
      <c r="BZ195" s="2" t="s">
        <v>232</v>
      </c>
      <c r="CA195" s="2" t="s">
        <v>235</v>
      </c>
      <c r="CB195" s="2" t="s">
        <v>235</v>
      </c>
      <c r="CC195" s="2" t="s">
        <v>248</v>
      </c>
      <c r="CD195" s="2" t="s">
        <v>248</v>
      </c>
      <c r="CE195" s="2" t="s">
        <v>235</v>
      </c>
      <c r="CF195" s="4"/>
      <c r="CG195" s="4"/>
      <c r="CH195" s="4"/>
      <c r="CI195" s="4">
        <v>450</v>
      </c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>
        <v>453</v>
      </c>
      <c r="GE195" s="4">
        <v>433</v>
      </c>
      <c r="GF195" s="4">
        <v>422</v>
      </c>
      <c r="GG195" s="4">
        <v>406</v>
      </c>
      <c r="GH195" s="4">
        <v>384</v>
      </c>
      <c r="GI195" s="4">
        <v>380</v>
      </c>
      <c r="GJ195" s="4">
        <v>344</v>
      </c>
      <c r="GK195" s="4">
        <v>321</v>
      </c>
      <c r="GL195" s="4">
        <v>290</v>
      </c>
      <c r="GM195" s="4">
        <v>281</v>
      </c>
      <c r="GN195" s="4">
        <v>268</v>
      </c>
      <c r="GO195" s="4">
        <v>241</v>
      </c>
      <c r="GP195" s="4">
        <v>194</v>
      </c>
      <c r="GQ195" s="4">
        <v>147</v>
      </c>
      <c r="GR195" s="4">
        <v>70</v>
      </c>
      <c r="GS195" s="4">
        <v>16</v>
      </c>
      <c r="GT195" s="4"/>
      <c r="GU195" s="4"/>
      <c r="GV195" s="4"/>
      <c r="GW195" s="4"/>
      <c r="GX195" s="4">
        <v>317</v>
      </c>
      <c r="GY195" s="4">
        <v>310</v>
      </c>
      <c r="GZ195" s="4">
        <v>303</v>
      </c>
      <c r="HA195" s="4">
        <v>298</v>
      </c>
      <c r="HB195" s="4">
        <v>280</v>
      </c>
      <c r="HC195" s="4">
        <v>237</v>
      </c>
      <c r="HD195" s="19">
        <v>26.6</v>
      </c>
      <c r="HE195" s="19">
        <v>33.3</v>
      </c>
      <c r="HF195" s="19">
        <v>21.1</v>
      </c>
      <c r="HG195" s="19">
        <v>19.3</v>
      </c>
      <c r="HH195" s="19">
        <v>16</v>
      </c>
      <c r="HI195" s="19">
        <v>15.2</v>
      </c>
      <c r="HJ195" s="19">
        <v>18.1</v>
      </c>
      <c r="HK195" s="19">
        <v>16.1</v>
      </c>
      <c r="HL195" s="19">
        <v>12.1</v>
      </c>
      <c r="HM195" s="19">
        <v>8.3</v>
      </c>
      <c r="HN195" s="19">
        <v>5.4</v>
      </c>
      <c r="HO195" s="19">
        <v>4.3</v>
      </c>
      <c r="HP195" s="19">
        <v>3.6</v>
      </c>
      <c r="HQ195" s="19">
        <v>3.3</v>
      </c>
      <c r="HR195" s="19">
        <v>2.6</v>
      </c>
      <c r="HS195" s="19">
        <v>1.1</v>
      </c>
      <c r="HT195" s="20">
        <v>0</v>
      </c>
      <c r="HU195" s="20">
        <v>0</v>
      </c>
      <c r="HV195" s="20">
        <v>0</v>
      </c>
      <c r="HW195" s="20">
        <v>0</v>
      </c>
      <c r="HX195" s="19">
        <v>35.2</v>
      </c>
      <c r="HY195" s="19">
        <v>17.2</v>
      </c>
      <c r="HZ195" s="19">
        <v>15.9</v>
      </c>
      <c r="IA195" s="19">
        <v>14.9</v>
      </c>
      <c r="IB195" s="19">
        <v>15.6</v>
      </c>
      <c r="IC195" s="19">
        <v>26.3</v>
      </c>
    </row>
    <row r="196">
      <c r="A196" s="2" t="s">
        <v>887</v>
      </c>
      <c r="B196" s="2" t="s">
        <v>871</v>
      </c>
      <c r="C196" s="2" t="s">
        <v>403</v>
      </c>
      <c r="D196" s="2" t="s">
        <v>361</v>
      </c>
      <c r="E196" s="2" t="s">
        <v>872</v>
      </c>
      <c r="F196" s="2" t="s">
        <v>873</v>
      </c>
      <c r="G196" s="2" t="s">
        <v>874</v>
      </c>
      <c r="H196" s="2" t="s">
        <v>875</v>
      </c>
      <c r="I196" s="2" t="s">
        <v>886</v>
      </c>
      <c r="J196" s="2" t="s">
        <v>270</v>
      </c>
      <c r="K196" s="2" t="s">
        <v>231</v>
      </c>
      <c r="L196" s="3">
        <v>38.09</v>
      </c>
      <c r="M196" s="3">
        <v>39.99</v>
      </c>
      <c r="N196" s="3">
        <v>79.99</v>
      </c>
      <c r="O196" s="2" t="s">
        <v>232</v>
      </c>
      <c r="P196" s="2" t="s">
        <v>878</v>
      </c>
      <c r="Q196" s="2" t="s">
        <v>234</v>
      </c>
      <c r="R196" s="2" t="s">
        <v>235</v>
      </c>
      <c r="S196" s="2" t="s">
        <v>235</v>
      </c>
      <c r="T196" s="2" t="s">
        <v>879</v>
      </c>
      <c r="U196" s="2" t="s">
        <v>282</v>
      </c>
      <c r="V196" s="2" t="s">
        <v>880</v>
      </c>
      <c r="W196" s="2" t="s">
        <v>881</v>
      </c>
      <c r="X196" s="2" t="s">
        <v>882</v>
      </c>
      <c r="Y196" s="2" t="s">
        <v>883</v>
      </c>
      <c r="Z196" s="4">
        <v>350</v>
      </c>
      <c r="AA196" s="4">
        <f>=ROUNDDOWN({0},0)</f>
      </c>
      <c r="AB196" s="5"/>
      <c r="AC196" s="2" t="s">
        <v>235</v>
      </c>
      <c r="AD196" s="4"/>
      <c r="AE196" s="4"/>
      <c r="AF196" s="6">
        <v>66</v>
      </c>
      <c r="AG196" s="6"/>
      <c r="AH196" s="7"/>
      <c r="AI196" s="4"/>
      <c r="AJ196" s="4">
        <f>=ROUNDDOWN({0},0)</f>
      </c>
      <c r="AK196" s="5"/>
      <c r="AL196" s="2" t="s">
        <v>235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235</v>
      </c>
      <c r="AW196" s="8" t="s">
        <v>235</v>
      </c>
      <c r="AX196" s="4" t="s">
        <v>235</v>
      </c>
      <c r="AY196" s="8" t="s">
        <v>235</v>
      </c>
      <c r="AZ196" s="7" t="s">
        <v>235</v>
      </c>
      <c r="BA196" s="7" t="s">
        <v>235</v>
      </c>
      <c r="BB196" s="7"/>
      <c r="BC196" s="4" t="s">
        <v>235</v>
      </c>
      <c r="BD196" s="8" t="s">
        <v>235</v>
      </c>
      <c r="BE196" s="4" t="s">
        <v>235</v>
      </c>
      <c r="BF196" s="8" t="s">
        <v>235</v>
      </c>
      <c r="BG196" s="7" t="s">
        <v>235</v>
      </c>
      <c r="BH196" s="7" t="s">
        <v>235</v>
      </c>
      <c r="BI196" s="7"/>
      <c r="BJ196" s="4"/>
      <c r="BK196" s="8"/>
      <c r="BL196" s="2" t="s">
        <v>235</v>
      </c>
      <c r="BM196" s="7"/>
      <c r="BN196" s="7"/>
      <c r="BO196" s="4"/>
      <c r="BP196" s="8"/>
      <c r="BQ196" s="4"/>
      <c r="BR196" s="8"/>
      <c r="BS196" s="7"/>
      <c r="BT196" s="7"/>
      <c r="BU196" s="2" t="s">
        <v>884</v>
      </c>
      <c r="BV196" s="2" t="s">
        <v>235</v>
      </c>
      <c r="BW196" s="2" t="s">
        <v>235</v>
      </c>
      <c r="BX196" s="2" t="s">
        <v>244</v>
      </c>
      <c r="BY196" s="2" t="s">
        <v>245</v>
      </c>
      <c r="BZ196" s="2" t="s">
        <v>232</v>
      </c>
      <c r="CA196" s="2" t="s">
        <v>235</v>
      </c>
      <c r="CB196" s="2" t="s">
        <v>235</v>
      </c>
      <c r="CC196" s="2" t="s">
        <v>248</v>
      </c>
      <c r="CD196" s="2" t="s">
        <v>248</v>
      </c>
      <c r="CE196" s="2" t="s">
        <v>235</v>
      </c>
      <c r="CF196" s="4"/>
      <c r="CG196" s="4"/>
      <c r="CH196" s="4"/>
      <c r="CI196" s="4">
        <v>350</v>
      </c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>
        <v>351</v>
      </c>
      <c r="GE196" s="4">
        <v>336</v>
      </c>
      <c r="GF196" s="4">
        <v>332</v>
      </c>
      <c r="GG196" s="4">
        <v>321</v>
      </c>
      <c r="GH196" s="4">
        <v>300</v>
      </c>
      <c r="GI196" s="4">
        <v>299</v>
      </c>
      <c r="GJ196" s="4">
        <v>267</v>
      </c>
      <c r="GK196" s="4">
        <v>249</v>
      </c>
      <c r="GL196" s="4">
        <v>222</v>
      </c>
      <c r="GM196" s="4">
        <v>215</v>
      </c>
      <c r="GN196" s="4">
        <v>208</v>
      </c>
      <c r="GO196" s="4">
        <v>187</v>
      </c>
      <c r="GP196" s="4">
        <v>152</v>
      </c>
      <c r="GQ196" s="4">
        <v>118</v>
      </c>
      <c r="GR196" s="4">
        <v>45</v>
      </c>
      <c r="GS196" s="4">
        <v>9</v>
      </c>
      <c r="GT196" s="4"/>
      <c r="GU196" s="4"/>
      <c r="GV196" s="4"/>
      <c r="GW196" s="4"/>
      <c r="GX196" s="4">
        <v>240</v>
      </c>
      <c r="GY196" s="4">
        <v>234</v>
      </c>
      <c r="GZ196" s="4">
        <v>230</v>
      </c>
      <c r="HA196" s="4">
        <v>224</v>
      </c>
      <c r="HB196" s="4">
        <v>213</v>
      </c>
      <c r="HC196" s="4">
        <v>178</v>
      </c>
      <c r="HD196" s="19">
        <v>27</v>
      </c>
      <c r="HE196" s="19">
        <v>37.3</v>
      </c>
      <c r="HF196" s="19">
        <v>20.8</v>
      </c>
      <c r="HG196" s="19">
        <v>17.8</v>
      </c>
      <c r="HH196" s="19">
        <v>15</v>
      </c>
      <c r="HI196" s="19">
        <v>14.2</v>
      </c>
      <c r="HJ196" s="19">
        <v>17.8</v>
      </c>
      <c r="HK196" s="19">
        <v>15.6</v>
      </c>
      <c r="HL196" s="19">
        <v>12.3</v>
      </c>
      <c r="HM196" s="19">
        <v>9</v>
      </c>
      <c r="HN196" s="19">
        <v>5.1</v>
      </c>
      <c r="HO196" s="19">
        <v>4.3</v>
      </c>
      <c r="HP196" s="19">
        <v>3.5</v>
      </c>
      <c r="HQ196" s="19">
        <v>3.1</v>
      </c>
      <c r="HR196" s="19">
        <v>2.1</v>
      </c>
      <c r="HS196" s="19">
        <v>0.6</v>
      </c>
      <c r="HT196" s="20">
        <v>0</v>
      </c>
      <c r="HU196" s="20">
        <v>0</v>
      </c>
      <c r="HV196" s="20">
        <v>0</v>
      </c>
      <c r="HW196" s="20">
        <v>0</v>
      </c>
      <c r="HX196" s="19">
        <v>34.3</v>
      </c>
      <c r="HY196" s="19">
        <v>16.7</v>
      </c>
      <c r="HZ196" s="19">
        <v>15.3</v>
      </c>
      <c r="IA196" s="19">
        <v>14</v>
      </c>
      <c r="IB196" s="19">
        <v>15.2</v>
      </c>
      <c r="IC196" s="19">
        <v>22.3</v>
      </c>
    </row>
    <row r="197">
      <c r="A197" s="2" t="s">
        <v>888</v>
      </c>
      <c r="B197" s="2" t="s">
        <v>871</v>
      </c>
      <c r="C197" s="2" t="s">
        <v>403</v>
      </c>
      <c r="D197" s="2" t="s">
        <v>361</v>
      </c>
      <c r="E197" s="2" t="s">
        <v>872</v>
      </c>
      <c r="F197" s="2" t="s">
        <v>873</v>
      </c>
      <c r="G197" s="2" t="s">
        <v>874</v>
      </c>
      <c r="H197" s="2" t="s">
        <v>875</v>
      </c>
      <c r="I197" s="2" t="s">
        <v>876</v>
      </c>
      <c r="J197" s="2" t="s">
        <v>877</v>
      </c>
      <c r="K197" s="2" t="s">
        <v>889</v>
      </c>
      <c r="L197" s="3">
        <v>28.57</v>
      </c>
      <c r="M197" s="3">
        <v>30</v>
      </c>
      <c r="N197" s="3">
        <v>59.99</v>
      </c>
      <c r="O197" s="2" t="s">
        <v>232</v>
      </c>
      <c r="P197" s="2" t="s">
        <v>878</v>
      </c>
      <c r="Q197" s="2" t="s">
        <v>234</v>
      </c>
      <c r="R197" s="2" t="s">
        <v>235</v>
      </c>
      <c r="S197" s="2" t="s">
        <v>235</v>
      </c>
      <c r="T197" s="2" t="s">
        <v>879</v>
      </c>
      <c r="U197" s="2" t="s">
        <v>264</v>
      </c>
      <c r="V197" s="2" t="s">
        <v>880</v>
      </c>
      <c r="W197" s="2" t="s">
        <v>881</v>
      </c>
      <c r="X197" s="2" t="s">
        <v>882</v>
      </c>
      <c r="Y197" s="2" t="s">
        <v>883</v>
      </c>
      <c r="Z197" s="4">
        <v>200</v>
      </c>
      <c r="AA197" s="4">
        <f>=ROUNDDOWN({0},0)</f>
      </c>
      <c r="AB197" s="5"/>
      <c r="AC197" s="2" t="s">
        <v>235</v>
      </c>
      <c r="AD197" s="4"/>
      <c r="AE197" s="4"/>
      <c r="AF197" s="6">
        <v>66</v>
      </c>
      <c r="AG197" s="6"/>
      <c r="AH197" s="7"/>
      <c r="AI197" s="4"/>
      <c r="AJ197" s="4">
        <f>=ROUNDDOWN({0},0)</f>
      </c>
      <c r="AK197" s="5"/>
      <c r="AL197" s="2" t="s">
        <v>235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235</v>
      </c>
      <c r="AW197" s="8" t="s">
        <v>235</v>
      </c>
      <c r="AX197" s="4" t="s">
        <v>235</v>
      </c>
      <c r="AY197" s="8" t="s">
        <v>235</v>
      </c>
      <c r="AZ197" s="7" t="s">
        <v>235</v>
      </c>
      <c r="BA197" s="7" t="s">
        <v>235</v>
      </c>
      <c r="BB197" s="7"/>
      <c r="BC197" s="4" t="s">
        <v>235</v>
      </c>
      <c r="BD197" s="8" t="s">
        <v>235</v>
      </c>
      <c r="BE197" s="4" t="s">
        <v>235</v>
      </c>
      <c r="BF197" s="8" t="s">
        <v>235</v>
      </c>
      <c r="BG197" s="7" t="s">
        <v>235</v>
      </c>
      <c r="BH197" s="7" t="s">
        <v>235</v>
      </c>
      <c r="BI197" s="7"/>
      <c r="BJ197" s="4"/>
      <c r="BK197" s="8"/>
      <c r="BL197" s="2" t="s">
        <v>235</v>
      </c>
      <c r="BM197" s="7"/>
      <c r="BN197" s="7"/>
      <c r="BO197" s="4"/>
      <c r="BP197" s="8"/>
      <c r="BQ197" s="4"/>
      <c r="BR197" s="8"/>
      <c r="BS197" s="7"/>
      <c r="BT197" s="7"/>
      <c r="BU197" s="2" t="s">
        <v>884</v>
      </c>
      <c r="BV197" s="2" t="s">
        <v>235</v>
      </c>
      <c r="BW197" s="2" t="s">
        <v>235</v>
      </c>
      <c r="BX197" s="2" t="s">
        <v>244</v>
      </c>
      <c r="BY197" s="2" t="s">
        <v>245</v>
      </c>
      <c r="BZ197" s="2" t="s">
        <v>232</v>
      </c>
      <c r="CA197" s="2" t="s">
        <v>235</v>
      </c>
      <c r="CB197" s="2" t="s">
        <v>235</v>
      </c>
      <c r="CC197" s="2" t="s">
        <v>248</v>
      </c>
      <c r="CD197" s="2" t="s">
        <v>248</v>
      </c>
      <c r="CE197" s="2" t="s">
        <v>235</v>
      </c>
      <c r="CF197" s="4"/>
      <c r="CG197" s="4"/>
      <c r="CH197" s="4"/>
      <c r="CI197" s="4">
        <v>200</v>
      </c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>
        <v>200</v>
      </c>
      <c r="GE197" s="4">
        <v>194</v>
      </c>
      <c r="GF197" s="4">
        <v>190</v>
      </c>
      <c r="GG197" s="4">
        <v>185</v>
      </c>
      <c r="GH197" s="4">
        <v>180</v>
      </c>
      <c r="GI197" s="4">
        <v>178</v>
      </c>
      <c r="GJ197" s="4">
        <v>168</v>
      </c>
      <c r="GK197" s="4">
        <v>162</v>
      </c>
      <c r="GL197" s="4">
        <v>152</v>
      </c>
      <c r="GM197" s="4">
        <v>148</v>
      </c>
      <c r="GN197" s="4">
        <v>140</v>
      </c>
      <c r="GO197" s="4">
        <v>128</v>
      </c>
      <c r="GP197" s="4">
        <v>112</v>
      </c>
      <c r="GQ197" s="4">
        <v>93</v>
      </c>
      <c r="GR197" s="4">
        <v>59</v>
      </c>
      <c r="GS197" s="4">
        <v>38</v>
      </c>
      <c r="GT197" s="4">
        <v>14</v>
      </c>
      <c r="GU197" s="4">
        <v>10</v>
      </c>
      <c r="GV197" s="4">
        <v>3</v>
      </c>
      <c r="GW197" s="4"/>
      <c r="GX197" s="4">
        <v>170</v>
      </c>
      <c r="GY197" s="4">
        <v>167</v>
      </c>
      <c r="GZ197" s="4">
        <v>163</v>
      </c>
      <c r="HA197" s="4">
        <v>160</v>
      </c>
      <c r="HB197" s="4">
        <v>152</v>
      </c>
      <c r="HC197" s="4">
        <v>138</v>
      </c>
      <c r="HD197" s="19">
        <v>40</v>
      </c>
      <c r="HE197" s="19">
        <v>48.5</v>
      </c>
      <c r="HF197" s="19">
        <v>31.7</v>
      </c>
      <c r="HG197" s="19">
        <v>30.8</v>
      </c>
      <c r="HH197" s="19">
        <v>25.7</v>
      </c>
      <c r="HI197" s="19">
        <v>22.3</v>
      </c>
      <c r="HJ197" s="19">
        <v>24</v>
      </c>
      <c r="HK197" s="19">
        <v>20.3</v>
      </c>
      <c r="HL197" s="19">
        <v>15.2</v>
      </c>
      <c r="HM197" s="19">
        <v>10.6</v>
      </c>
      <c r="HN197" s="19">
        <v>7</v>
      </c>
      <c r="HO197" s="19">
        <v>5.8</v>
      </c>
      <c r="HP197" s="19">
        <v>4.7</v>
      </c>
      <c r="HQ197" s="19">
        <v>4.4</v>
      </c>
      <c r="HR197" s="19">
        <v>4.2</v>
      </c>
      <c r="HS197" s="19">
        <v>3.8</v>
      </c>
      <c r="HT197" s="19">
        <v>2.8</v>
      </c>
      <c r="HU197" s="19">
        <v>2</v>
      </c>
      <c r="HV197" s="19">
        <v>0.8</v>
      </c>
      <c r="HW197" s="20">
        <v>0</v>
      </c>
      <c r="HX197" s="19">
        <v>42.5</v>
      </c>
      <c r="HY197" s="19">
        <v>23.9</v>
      </c>
      <c r="HZ197" s="19">
        <v>23.3</v>
      </c>
      <c r="IA197" s="19">
        <v>20</v>
      </c>
      <c r="IB197" s="19">
        <v>25.3</v>
      </c>
      <c r="IC197" s="19">
        <v>34.5</v>
      </c>
    </row>
    <row r="198">
      <c r="A198" s="2" t="s">
        <v>890</v>
      </c>
      <c r="B198" s="2" t="s">
        <v>871</v>
      </c>
      <c r="C198" s="2" t="s">
        <v>403</v>
      </c>
      <c r="D198" s="2" t="s">
        <v>361</v>
      </c>
      <c r="E198" s="2" t="s">
        <v>872</v>
      </c>
      <c r="F198" s="2" t="s">
        <v>873</v>
      </c>
      <c r="G198" s="2" t="s">
        <v>874</v>
      </c>
      <c r="H198" s="2" t="s">
        <v>875</v>
      </c>
      <c r="I198" s="2" t="s">
        <v>886</v>
      </c>
      <c r="J198" s="2" t="s">
        <v>365</v>
      </c>
      <c r="K198" s="2" t="s">
        <v>889</v>
      </c>
      <c r="L198" s="3">
        <v>33.33</v>
      </c>
      <c r="M198" s="3">
        <v>35</v>
      </c>
      <c r="N198" s="3">
        <v>69.99</v>
      </c>
      <c r="O198" s="2" t="s">
        <v>232</v>
      </c>
      <c r="P198" s="2" t="s">
        <v>878</v>
      </c>
      <c r="Q198" s="2" t="s">
        <v>234</v>
      </c>
      <c r="R198" s="2" t="s">
        <v>235</v>
      </c>
      <c r="S198" s="2" t="s">
        <v>235</v>
      </c>
      <c r="T198" s="2" t="s">
        <v>879</v>
      </c>
      <c r="U198" s="2" t="s">
        <v>282</v>
      </c>
      <c r="V198" s="2" t="s">
        <v>880</v>
      </c>
      <c r="W198" s="2" t="s">
        <v>881</v>
      </c>
      <c r="X198" s="2" t="s">
        <v>882</v>
      </c>
      <c r="Y198" s="2" t="s">
        <v>883</v>
      </c>
      <c r="Z198" s="4">
        <v>449</v>
      </c>
      <c r="AA198" s="4">
        <f>=ROUNDDOWN({0},0)</f>
      </c>
      <c r="AB198" s="5"/>
      <c r="AC198" s="2" t="s">
        <v>235</v>
      </c>
      <c r="AD198" s="4"/>
      <c r="AE198" s="4"/>
      <c r="AF198" s="6">
        <v>66</v>
      </c>
      <c r="AG198" s="6"/>
      <c r="AH198" s="7"/>
      <c r="AI198" s="4"/>
      <c r="AJ198" s="4">
        <f>=ROUNDDOWN({0},0)</f>
      </c>
      <c r="AK198" s="5"/>
      <c r="AL198" s="2" t="s">
        <v>235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235</v>
      </c>
      <c r="AW198" s="8" t="s">
        <v>235</v>
      </c>
      <c r="AX198" s="4" t="s">
        <v>235</v>
      </c>
      <c r="AY198" s="8" t="s">
        <v>235</v>
      </c>
      <c r="AZ198" s="7" t="s">
        <v>235</v>
      </c>
      <c r="BA198" s="7" t="s">
        <v>235</v>
      </c>
      <c r="BB198" s="7"/>
      <c r="BC198" s="4" t="s">
        <v>235</v>
      </c>
      <c r="BD198" s="8" t="s">
        <v>235</v>
      </c>
      <c r="BE198" s="4" t="s">
        <v>235</v>
      </c>
      <c r="BF198" s="8" t="s">
        <v>235</v>
      </c>
      <c r="BG198" s="7" t="s">
        <v>235</v>
      </c>
      <c r="BH198" s="7" t="s">
        <v>235</v>
      </c>
      <c r="BI198" s="7"/>
      <c r="BJ198" s="4"/>
      <c r="BK198" s="8"/>
      <c r="BL198" s="2" t="s">
        <v>235</v>
      </c>
      <c r="BM198" s="7"/>
      <c r="BN198" s="7"/>
      <c r="BO198" s="4"/>
      <c r="BP198" s="8"/>
      <c r="BQ198" s="4"/>
      <c r="BR198" s="8"/>
      <c r="BS198" s="7"/>
      <c r="BT198" s="7"/>
      <c r="BU198" s="2" t="s">
        <v>884</v>
      </c>
      <c r="BV198" s="2" t="s">
        <v>235</v>
      </c>
      <c r="BW198" s="2" t="s">
        <v>235</v>
      </c>
      <c r="BX198" s="2" t="s">
        <v>244</v>
      </c>
      <c r="BY198" s="2" t="s">
        <v>245</v>
      </c>
      <c r="BZ198" s="2" t="s">
        <v>232</v>
      </c>
      <c r="CA198" s="2" t="s">
        <v>235</v>
      </c>
      <c r="CB198" s="2" t="s">
        <v>235</v>
      </c>
      <c r="CC198" s="2" t="s">
        <v>248</v>
      </c>
      <c r="CD198" s="2" t="s">
        <v>248</v>
      </c>
      <c r="CE198" s="2" t="s">
        <v>235</v>
      </c>
      <c r="CF198" s="4"/>
      <c r="CG198" s="4"/>
      <c r="CH198" s="4"/>
      <c r="CI198" s="4">
        <v>449</v>
      </c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>
        <v>453</v>
      </c>
      <c r="GE198" s="4">
        <v>432</v>
      </c>
      <c r="GF198" s="4">
        <v>421</v>
      </c>
      <c r="GG198" s="4">
        <v>405</v>
      </c>
      <c r="GH198" s="4">
        <v>383</v>
      </c>
      <c r="GI198" s="4">
        <v>379</v>
      </c>
      <c r="GJ198" s="4">
        <v>343</v>
      </c>
      <c r="GK198" s="4">
        <v>320</v>
      </c>
      <c r="GL198" s="4">
        <v>289</v>
      </c>
      <c r="GM198" s="4">
        <v>280</v>
      </c>
      <c r="GN198" s="4">
        <v>267</v>
      </c>
      <c r="GO198" s="4">
        <v>240</v>
      </c>
      <c r="GP198" s="4">
        <v>193</v>
      </c>
      <c r="GQ198" s="4">
        <v>146</v>
      </c>
      <c r="GR198" s="4">
        <v>69</v>
      </c>
      <c r="GS198" s="4">
        <v>15</v>
      </c>
      <c r="GT198" s="4"/>
      <c r="GU198" s="4"/>
      <c r="GV198" s="4"/>
      <c r="GW198" s="4"/>
      <c r="GX198" s="4">
        <v>351</v>
      </c>
      <c r="GY198" s="4">
        <v>344</v>
      </c>
      <c r="GZ198" s="4">
        <v>337</v>
      </c>
      <c r="HA198" s="4">
        <v>332</v>
      </c>
      <c r="HB198" s="4">
        <v>314</v>
      </c>
      <c r="HC198" s="4">
        <v>271</v>
      </c>
      <c r="HD198" s="19">
        <v>25.2</v>
      </c>
      <c r="HE198" s="19">
        <v>33.2</v>
      </c>
      <c r="HF198" s="19">
        <v>21.1</v>
      </c>
      <c r="HG198" s="19">
        <v>19.3</v>
      </c>
      <c r="HH198" s="19">
        <v>16</v>
      </c>
      <c r="HI198" s="19">
        <v>15.2</v>
      </c>
      <c r="HJ198" s="19">
        <v>18.1</v>
      </c>
      <c r="HK198" s="19">
        <v>16</v>
      </c>
      <c r="HL198" s="19">
        <v>12</v>
      </c>
      <c r="HM198" s="19">
        <v>8.2</v>
      </c>
      <c r="HN198" s="19">
        <v>5.3</v>
      </c>
      <c r="HO198" s="19">
        <v>4.3</v>
      </c>
      <c r="HP198" s="19">
        <v>3.6</v>
      </c>
      <c r="HQ198" s="19">
        <v>3.3</v>
      </c>
      <c r="HR198" s="19">
        <v>2.6</v>
      </c>
      <c r="HS198" s="19">
        <v>1</v>
      </c>
      <c r="HT198" s="20">
        <v>0</v>
      </c>
      <c r="HU198" s="20">
        <v>0</v>
      </c>
      <c r="HV198" s="20">
        <v>0</v>
      </c>
      <c r="HW198" s="20">
        <v>0</v>
      </c>
      <c r="HX198" s="19">
        <v>39</v>
      </c>
      <c r="HY198" s="19">
        <v>19.1</v>
      </c>
      <c r="HZ198" s="19">
        <v>17.7</v>
      </c>
      <c r="IA198" s="19">
        <v>16.6</v>
      </c>
      <c r="IB198" s="19">
        <v>17.4</v>
      </c>
      <c r="IC198" s="19">
        <v>30.1</v>
      </c>
    </row>
    <row r="199">
      <c r="A199" s="2" t="s">
        <v>891</v>
      </c>
      <c r="B199" s="2" t="s">
        <v>871</v>
      </c>
      <c r="C199" s="2" t="s">
        <v>403</v>
      </c>
      <c r="D199" s="2" t="s">
        <v>361</v>
      </c>
      <c r="E199" s="2" t="s">
        <v>872</v>
      </c>
      <c r="F199" s="2" t="s">
        <v>873</v>
      </c>
      <c r="G199" s="2" t="s">
        <v>874</v>
      </c>
      <c r="H199" s="2" t="s">
        <v>875</v>
      </c>
      <c r="I199" s="2" t="s">
        <v>886</v>
      </c>
      <c r="J199" s="2" t="s">
        <v>270</v>
      </c>
      <c r="K199" s="2" t="s">
        <v>889</v>
      </c>
      <c r="L199" s="3">
        <v>38.09</v>
      </c>
      <c r="M199" s="3">
        <v>39.99</v>
      </c>
      <c r="N199" s="3">
        <v>79.99</v>
      </c>
      <c r="O199" s="2" t="s">
        <v>232</v>
      </c>
      <c r="P199" s="2" t="s">
        <v>878</v>
      </c>
      <c r="Q199" s="2" t="s">
        <v>234</v>
      </c>
      <c r="R199" s="2" t="s">
        <v>235</v>
      </c>
      <c r="S199" s="2" t="s">
        <v>235</v>
      </c>
      <c r="T199" s="2" t="s">
        <v>879</v>
      </c>
      <c r="U199" s="2" t="s">
        <v>282</v>
      </c>
      <c r="V199" s="2" t="s">
        <v>880</v>
      </c>
      <c r="W199" s="2" t="s">
        <v>881</v>
      </c>
      <c r="X199" s="2" t="s">
        <v>882</v>
      </c>
      <c r="Y199" s="2" t="s">
        <v>883</v>
      </c>
      <c r="Z199" s="4">
        <v>350</v>
      </c>
      <c r="AA199" s="4">
        <f>=ROUNDDOWN({0},0)</f>
      </c>
      <c r="AB199" s="5"/>
      <c r="AC199" s="2" t="s">
        <v>235</v>
      </c>
      <c r="AD199" s="4"/>
      <c r="AE199" s="4"/>
      <c r="AF199" s="6">
        <v>66</v>
      </c>
      <c r="AG199" s="6"/>
      <c r="AH199" s="7"/>
      <c r="AI199" s="4"/>
      <c r="AJ199" s="4">
        <f>=ROUNDDOWN({0},0)</f>
      </c>
      <c r="AK199" s="5"/>
      <c r="AL199" s="2" t="s">
        <v>235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235</v>
      </c>
      <c r="AW199" s="8" t="s">
        <v>235</v>
      </c>
      <c r="AX199" s="4" t="s">
        <v>235</v>
      </c>
      <c r="AY199" s="8" t="s">
        <v>235</v>
      </c>
      <c r="AZ199" s="7" t="s">
        <v>235</v>
      </c>
      <c r="BA199" s="7" t="s">
        <v>235</v>
      </c>
      <c r="BB199" s="7"/>
      <c r="BC199" s="4" t="s">
        <v>235</v>
      </c>
      <c r="BD199" s="8" t="s">
        <v>235</v>
      </c>
      <c r="BE199" s="4" t="s">
        <v>235</v>
      </c>
      <c r="BF199" s="8" t="s">
        <v>235</v>
      </c>
      <c r="BG199" s="7" t="s">
        <v>235</v>
      </c>
      <c r="BH199" s="7" t="s">
        <v>235</v>
      </c>
      <c r="BI199" s="7"/>
      <c r="BJ199" s="4"/>
      <c r="BK199" s="8"/>
      <c r="BL199" s="2" t="s">
        <v>235</v>
      </c>
      <c r="BM199" s="7"/>
      <c r="BN199" s="7"/>
      <c r="BO199" s="4"/>
      <c r="BP199" s="8"/>
      <c r="BQ199" s="4"/>
      <c r="BR199" s="8"/>
      <c r="BS199" s="7"/>
      <c r="BT199" s="7"/>
      <c r="BU199" s="2" t="s">
        <v>884</v>
      </c>
      <c r="BV199" s="2" t="s">
        <v>235</v>
      </c>
      <c r="BW199" s="2" t="s">
        <v>235</v>
      </c>
      <c r="BX199" s="2" t="s">
        <v>244</v>
      </c>
      <c r="BY199" s="2" t="s">
        <v>245</v>
      </c>
      <c r="BZ199" s="2" t="s">
        <v>232</v>
      </c>
      <c r="CA199" s="2" t="s">
        <v>235</v>
      </c>
      <c r="CB199" s="2" t="s">
        <v>235</v>
      </c>
      <c r="CC199" s="2" t="s">
        <v>248</v>
      </c>
      <c r="CD199" s="2" t="s">
        <v>248</v>
      </c>
      <c r="CE199" s="2" t="s">
        <v>235</v>
      </c>
      <c r="CF199" s="4"/>
      <c r="CG199" s="4"/>
      <c r="CH199" s="4"/>
      <c r="CI199" s="4">
        <v>350</v>
      </c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>
        <v>351</v>
      </c>
      <c r="GE199" s="4">
        <v>336</v>
      </c>
      <c r="GF199" s="4">
        <v>332</v>
      </c>
      <c r="GG199" s="4">
        <v>321</v>
      </c>
      <c r="GH199" s="4">
        <v>300</v>
      </c>
      <c r="GI199" s="4">
        <v>299</v>
      </c>
      <c r="GJ199" s="4">
        <v>267</v>
      </c>
      <c r="GK199" s="4">
        <v>249</v>
      </c>
      <c r="GL199" s="4">
        <v>222</v>
      </c>
      <c r="GM199" s="4">
        <v>215</v>
      </c>
      <c r="GN199" s="4">
        <v>208</v>
      </c>
      <c r="GO199" s="4">
        <v>187</v>
      </c>
      <c r="GP199" s="4">
        <v>152</v>
      </c>
      <c r="GQ199" s="4">
        <v>118</v>
      </c>
      <c r="GR199" s="4">
        <v>45</v>
      </c>
      <c r="GS199" s="4">
        <v>9</v>
      </c>
      <c r="GT199" s="4"/>
      <c r="GU199" s="4"/>
      <c r="GV199" s="4"/>
      <c r="GW199" s="4"/>
      <c r="GX199" s="4">
        <v>272</v>
      </c>
      <c r="GY199" s="4">
        <v>266</v>
      </c>
      <c r="GZ199" s="4">
        <v>262</v>
      </c>
      <c r="HA199" s="4">
        <v>256</v>
      </c>
      <c r="HB199" s="4">
        <v>245</v>
      </c>
      <c r="HC199" s="4">
        <v>210</v>
      </c>
      <c r="HD199" s="19">
        <v>27</v>
      </c>
      <c r="HE199" s="19">
        <v>37.3</v>
      </c>
      <c r="HF199" s="19">
        <v>20.8</v>
      </c>
      <c r="HG199" s="19">
        <v>17.8</v>
      </c>
      <c r="HH199" s="19">
        <v>15</v>
      </c>
      <c r="HI199" s="19">
        <v>14.2</v>
      </c>
      <c r="HJ199" s="19">
        <v>17.8</v>
      </c>
      <c r="HK199" s="19">
        <v>15.6</v>
      </c>
      <c r="HL199" s="19">
        <v>12.3</v>
      </c>
      <c r="HM199" s="19">
        <v>9</v>
      </c>
      <c r="HN199" s="19">
        <v>5.1</v>
      </c>
      <c r="HO199" s="19">
        <v>4.3</v>
      </c>
      <c r="HP199" s="19">
        <v>3.5</v>
      </c>
      <c r="HQ199" s="19">
        <v>3.1</v>
      </c>
      <c r="HR199" s="19">
        <v>2.1</v>
      </c>
      <c r="HS199" s="19">
        <v>0.6</v>
      </c>
      <c r="HT199" s="20">
        <v>0</v>
      </c>
      <c r="HU199" s="20">
        <v>0</v>
      </c>
      <c r="HV199" s="20">
        <v>0</v>
      </c>
      <c r="HW199" s="20">
        <v>0</v>
      </c>
      <c r="HX199" s="19">
        <v>38.9</v>
      </c>
      <c r="HY199" s="19">
        <v>19</v>
      </c>
      <c r="HZ199" s="19">
        <v>17.5</v>
      </c>
      <c r="IA199" s="19">
        <v>16</v>
      </c>
      <c r="IB199" s="19">
        <v>17.5</v>
      </c>
      <c r="IC199" s="19">
        <v>26.3</v>
      </c>
    </row>
    <row r="200">
      <c r="A200" s="2" t="s">
        <v>892</v>
      </c>
      <c r="B200" s="2" t="s">
        <v>800</v>
      </c>
      <c r="C200" s="2" t="s">
        <v>893</v>
      </c>
      <c r="D200" s="2" t="s">
        <v>894</v>
      </c>
      <c r="E200" s="2" t="s">
        <v>895</v>
      </c>
      <c r="F200" s="2" t="s">
        <v>873</v>
      </c>
      <c r="G200" s="2" t="s">
        <v>873</v>
      </c>
      <c r="H200" s="2" t="s">
        <v>873</v>
      </c>
      <c r="I200" s="2" t="s">
        <v>896</v>
      </c>
      <c r="J200" s="2" t="s">
        <v>897</v>
      </c>
      <c r="K200" s="2" t="s">
        <v>898</v>
      </c>
      <c r="L200" s="3">
        <v>22.42</v>
      </c>
      <c r="M200" s="3">
        <v>23.54</v>
      </c>
      <c r="N200" s="3">
        <v>47.99</v>
      </c>
      <c r="O200" s="2" t="s">
        <v>485</v>
      </c>
      <c r="P200" s="2" t="s">
        <v>408</v>
      </c>
      <c r="Q200" s="2" t="s">
        <v>234</v>
      </c>
      <c r="R200" s="2" t="s">
        <v>235</v>
      </c>
      <c r="S200" s="2" t="s">
        <v>235</v>
      </c>
      <c r="T200" s="2" t="s">
        <v>235</v>
      </c>
      <c r="U200" s="2" t="s">
        <v>807</v>
      </c>
      <c r="V200" s="2" t="s">
        <v>808</v>
      </c>
      <c r="W200" s="2" t="s">
        <v>682</v>
      </c>
      <c r="X200" s="2" t="s">
        <v>235</v>
      </c>
      <c r="Y200" s="2" t="s">
        <v>899</v>
      </c>
      <c r="Z200" s="4">
        <v>94</v>
      </c>
      <c r="AA200" s="4">
        <f>=ROUNDDOWN({0},0)</f>
      </c>
      <c r="AB200" s="5"/>
      <c r="AC200" s="2" t="s">
        <v>235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235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235</v>
      </c>
      <c r="BD200" s="8" t="s">
        <v>235</v>
      </c>
      <c r="BE200" s="4" t="s">
        <v>235</v>
      </c>
      <c r="BF200" s="8" t="s">
        <v>235</v>
      </c>
      <c r="BG200" s="7" t="s">
        <v>235</v>
      </c>
      <c r="BH200" s="7" t="s">
        <v>235</v>
      </c>
      <c r="BI200" s="7"/>
      <c r="BJ200" s="4"/>
      <c r="BK200" s="8"/>
      <c r="BL200" s="2" t="s">
        <v>900</v>
      </c>
      <c r="BM200" s="7"/>
      <c r="BN200" s="7"/>
      <c r="BO200" s="4"/>
      <c r="BP200" s="8"/>
      <c r="BQ200" s="4"/>
      <c r="BR200" s="8"/>
      <c r="BS200" s="7"/>
      <c r="BT200" s="7"/>
      <c r="BU200" s="2" t="s">
        <v>901</v>
      </c>
      <c r="BV200" s="2" t="s">
        <v>813</v>
      </c>
      <c r="BW200" s="2" t="s">
        <v>235</v>
      </c>
      <c r="BX200" s="2" t="s">
        <v>414</v>
      </c>
      <c r="BY200" s="2" t="s">
        <v>245</v>
      </c>
      <c r="BZ200" s="2" t="s">
        <v>232</v>
      </c>
      <c r="CA200" s="2" t="s">
        <v>902</v>
      </c>
      <c r="CB200" s="2" t="s">
        <v>903</v>
      </c>
      <c r="CC200" s="2" t="s">
        <v>248</v>
      </c>
      <c r="CD200" s="2" t="s">
        <v>248</v>
      </c>
      <c r="CE200" s="2" t="s">
        <v>235</v>
      </c>
      <c r="CF200" s="4"/>
      <c r="CG200" s="4">
        <v>94</v>
      </c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>
        <v>94</v>
      </c>
      <c r="GE200" s="4">
        <v>94</v>
      </c>
      <c r="GF200" s="4">
        <v>94</v>
      </c>
      <c r="GG200" s="4">
        <v>94</v>
      </c>
      <c r="GH200" s="4">
        <v>94</v>
      </c>
      <c r="GI200" s="4">
        <v>94</v>
      </c>
      <c r="GJ200" s="4">
        <v>94</v>
      </c>
      <c r="GK200" s="4">
        <v>94</v>
      </c>
      <c r="GL200" s="4">
        <v>94</v>
      </c>
      <c r="GM200" s="4">
        <v>94</v>
      </c>
      <c r="GN200" s="4">
        <v>94</v>
      </c>
      <c r="GO200" s="4">
        <v>94</v>
      </c>
      <c r="GP200" s="4">
        <v>94</v>
      </c>
      <c r="GQ200" s="4">
        <v>94</v>
      </c>
      <c r="GR200" s="4">
        <v>94</v>
      </c>
      <c r="GS200" s="4">
        <v>94</v>
      </c>
      <c r="GT200" s="4">
        <v>94</v>
      </c>
      <c r="GU200" s="4">
        <v>94</v>
      </c>
      <c r="GV200" s="4">
        <v>94</v>
      </c>
      <c r="GW200" s="4">
        <v>94</v>
      </c>
      <c r="GX200" s="4">
        <v>94</v>
      </c>
      <c r="GY200" s="4">
        <v>94</v>
      </c>
      <c r="GZ200" s="4">
        <v>94</v>
      </c>
      <c r="HA200" s="4">
        <v>94</v>
      </c>
      <c r="HB200" s="4">
        <v>94</v>
      </c>
      <c r="HC200" s="4">
        <v>94</v>
      </c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</row>
    <row r="201">
      <c r="A201" s="2" t="s">
        <v>904</v>
      </c>
      <c r="B201" s="2" t="s">
        <v>905</v>
      </c>
      <c r="C201" s="2" t="s">
        <v>324</v>
      </c>
      <c r="D201" s="2" t="s">
        <v>906</v>
      </c>
      <c r="E201" s="2" t="s">
        <v>907</v>
      </c>
      <c r="F201" s="2" t="s">
        <v>908</v>
      </c>
      <c r="G201" s="2" t="s">
        <v>909</v>
      </c>
      <c r="H201" s="2" t="s">
        <v>909</v>
      </c>
      <c r="I201" s="2" t="s">
        <v>910</v>
      </c>
      <c r="J201" s="2" t="s">
        <v>365</v>
      </c>
      <c r="K201" s="2" t="s">
        <v>295</v>
      </c>
      <c r="L201" s="3">
        <v>32.5</v>
      </c>
      <c r="M201" s="3">
        <v>34.13</v>
      </c>
      <c r="N201" s="3">
        <v>64.99</v>
      </c>
      <c r="O201" s="2" t="s">
        <v>407</v>
      </c>
      <c r="P201" s="2" t="s">
        <v>408</v>
      </c>
      <c r="Q201" s="2" t="s">
        <v>234</v>
      </c>
      <c r="R201" s="2" t="s">
        <v>235</v>
      </c>
      <c r="S201" s="2" t="s">
        <v>911</v>
      </c>
      <c r="T201" s="2" t="s">
        <v>912</v>
      </c>
      <c r="U201" s="2" t="s">
        <v>552</v>
      </c>
      <c r="V201" s="2" t="s">
        <v>863</v>
      </c>
      <c r="W201" s="2" t="s">
        <v>329</v>
      </c>
      <c r="X201" s="2" t="s">
        <v>682</v>
      </c>
      <c r="Y201" s="2" t="s">
        <v>913</v>
      </c>
      <c r="Z201" s="4">
        <v>191</v>
      </c>
      <c r="AA201" s="4">
        <f>=ROUNDDOWN(63.6666666666667,0)</f>
      </c>
      <c r="AB201" s="5">
        <v>3</v>
      </c>
      <c r="AC201" s="2" t="s">
        <v>235</v>
      </c>
      <c r="AD201" s="4"/>
      <c r="AE201" s="4"/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235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235</v>
      </c>
      <c r="AW201" s="8" t="s">
        <v>235</v>
      </c>
      <c r="AX201" s="4" t="s">
        <v>235</v>
      </c>
      <c r="AY201" s="8" t="s">
        <v>235</v>
      </c>
      <c r="AZ201" s="7" t="s">
        <v>235</v>
      </c>
      <c r="BA201" s="7" t="s">
        <v>235</v>
      </c>
      <c r="BB201" s="7"/>
      <c r="BC201" s="4" t="s">
        <v>235</v>
      </c>
      <c r="BD201" s="8" t="s">
        <v>235</v>
      </c>
      <c r="BE201" s="4" t="s">
        <v>235</v>
      </c>
      <c r="BF201" s="8" t="s">
        <v>235</v>
      </c>
      <c r="BG201" s="7" t="s">
        <v>235</v>
      </c>
      <c r="BH201" s="7" t="s">
        <v>235</v>
      </c>
      <c r="BI201" s="7"/>
      <c r="BJ201" s="4">
        <v>4</v>
      </c>
      <c r="BK201" s="8">
        <v>126.61</v>
      </c>
      <c r="BL201" s="2" t="s">
        <v>914</v>
      </c>
      <c r="BM201" s="7"/>
      <c r="BN201" s="7"/>
      <c r="BO201" s="4"/>
      <c r="BP201" s="8"/>
      <c r="BQ201" s="4"/>
      <c r="BR201" s="8"/>
      <c r="BS201" s="7"/>
      <c r="BT201" s="7"/>
      <c r="BU201" s="2" t="s">
        <v>915</v>
      </c>
      <c r="BV201" s="2" t="s">
        <v>243</v>
      </c>
      <c r="BW201" s="2" t="s">
        <v>235</v>
      </c>
      <c r="BX201" s="2" t="s">
        <v>414</v>
      </c>
      <c r="BY201" s="2" t="s">
        <v>245</v>
      </c>
      <c r="BZ201" s="2" t="s">
        <v>232</v>
      </c>
      <c r="CA201" s="2" t="s">
        <v>916</v>
      </c>
      <c r="CB201" s="2" t="s">
        <v>917</v>
      </c>
      <c r="CC201" s="2" t="s">
        <v>248</v>
      </c>
      <c r="CD201" s="2" t="s">
        <v>248</v>
      </c>
      <c r="CE201" s="2" t="s">
        <v>235</v>
      </c>
      <c r="CF201" s="4">
        <v>114</v>
      </c>
      <c r="CG201" s="4"/>
      <c r="CH201" s="4"/>
      <c r="CI201" s="4">
        <v>77</v>
      </c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>
        <v>191</v>
      </c>
      <c r="GE201" s="4">
        <v>188</v>
      </c>
      <c r="GF201" s="4">
        <v>185</v>
      </c>
      <c r="GG201" s="4">
        <v>180</v>
      </c>
      <c r="GH201" s="4">
        <v>173</v>
      </c>
      <c r="GI201" s="4">
        <v>167</v>
      </c>
      <c r="GJ201" s="4">
        <v>161</v>
      </c>
      <c r="GK201" s="4">
        <v>147</v>
      </c>
      <c r="GL201" s="4">
        <v>133</v>
      </c>
      <c r="GM201" s="4">
        <v>127</v>
      </c>
      <c r="GN201" s="4">
        <v>112</v>
      </c>
      <c r="GO201" s="4">
        <v>96</v>
      </c>
      <c r="GP201" s="4">
        <v>71</v>
      </c>
      <c r="GQ201" s="4">
        <v>19</v>
      </c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19">
        <v>38.3</v>
      </c>
      <c r="HE201" s="19">
        <v>33</v>
      </c>
      <c r="HF201" s="19">
        <v>32.5</v>
      </c>
      <c r="HG201" s="19">
        <v>21.1</v>
      </c>
      <c r="HH201" s="19">
        <v>17.4</v>
      </c>
      <c r="HI201" s="19">
        <v>16.8</v>
      </c>
      <c r="HJ201" s="19">
        <v>14.3</v>
      </c>
      <c r="HK201" s="19">
        <v>13.1</v>
      </c>
      <c r="HL201" s="19">
        <v>9.5</v>
      </c>
      <c r="HM201" s="19">
        <v>5.1</v>
      </c>
      <c r="HN201" s="19">
        <v>3.9</v>
      </c>
      <c r="HO201" s="19">
        <v>3.2</v>
      </c>
      <c r="HP201" s="19">
        <v>2.4</v>
      </c>
      <c r="HQ201" s="19">
        <v>1</v>
      </c>
      <c r="HR201" s="20">
        <v>0</v>
      </c>
      <c r="HS201" s="20">
        <v>0</v>
      </c>
      <c r="HT201" s="20">
        <v>0</v>
      </c>
      <c r="HU201" s="20">
        <v>0</v>
      </c>
      <c r="HV201" s="20">
        <v>0</v>
      </c>
      <c r="HW201" s="20">
        <v>0</v>
      </c>
      <c r="HX201" s="20">
        <v>0</v>
      </c>
      <c r="HY201" s="20">
        <v>0</v>
      </c>
      <c r="HZ201" s="20">
        <v>0</v>
      </c>
      <c r="IA201" s="20">
        <v>0</v>
      </c>
      <c r="IB201" s="20">
        <v>0</v>
      </c>
      <c r="IC201" s="20">
        <v>0</v>
      </c>
    </row>
    <row r="202">
      <c r="A202" s="2" t="s">
        <v>918</v>
      </c>
      <c r="B202" s="2" t="s">
        <v>905</v>
      </c>
      <c r="C202" s="2" t="s">
        <v>324</v>
      </c>
      <c r="D202" s="2" t="s">
        <v>906</v>
      </c>
      <c r="E202" s="2" t="s">
        <v>907</v>
      </c>
      <c r="F202" s="2" t="s">
        <v>908</v>
      </c>
      <c r="G202" s="2" t="s">
        <v>909</v>
      </c>
      <c r="H202" s="2" t="s">
        <v>909</v>
      </c>
      <c r="I202" s="2" t="s">
        <v>910</v>
      </c>
      <c r="J202" s="2" t="s">
        <v>372</v>
      </c>
      <c r="K202" s="2" t="s">
        <v>295</v>
      </c>
      <c r="L202" s="3">
        <v>37.5</v>
      </c>
      <c r="M202" s="3">
        <v>39.38</v>
      </c>
      <c r="N202" s="3">
        <v>74.99</v>
      </c>
      <c r="O202" s="2" t="s">
        <v>407</v>
      </c>
      <c r="P202" s="2" t="s">
        <v>408</v>
      </c>
      <c r="Q202" s="2" t="s">
        <v>234</v>
      </c>
      <c r="R202" s="2" t="s">
        <v>235</v>
      </c>
      <c r="S202" s="2" t="s">
        <v>911</v>
      </c>
      <c r="T202" s="2" t="s">
        <v>912</v>
      </c>
      <c r="U202" s="2" t="s">
        <v>552</v>
      </c>
      <c r="V202" s="2" t="s">
        <v>863</v>
      </c>
      <c r="W202" s="2" t="s">
        <v>329</v>
      </c>
      <c r="X202" s="2" t="s">
        <v>682</v>
      </c>
      <c r="Y202" s="2" t="s">
        <v>919</v>
      </c>
      <c r="Z202" s="4">
        <v>363</v>
      </c>
      <c r="AA202" s="4">
        <f>=ROUNDDOWN(121,0)</f>
      </c>
      <c r="AB202" s="5">
        <v>3</v>
      </c>
      <c r="AC202" s="2" t="s">
        <v>235</v>
      </c>
      <c r="AD202" s="4"/>
      <c r="AE202" s="4"/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235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235</v>
      </c>
      <c r="AW202" s="8" t="s">
        <v>235</v>
      </c>
      <c r="AX202" s="4" t="s">
        <v>235</v>
      </c>
      <c r="AY202" s="8" t="s">
        <v>235</v>
      </c>
      <c r="AZ202" s="7" t="s">
        <v>235</v>
      </c>
      <c r="BA202" s="7" t="s">
        <v>235</v>
      </c>
      <c r="BB202" s="7"/>
      <c r="BC202" s="4" t="s">
        <v>235</v>
      </c>
      <c r="BD202" s="8" t="s">
        <v>235</v>
      </c>
      <c r="BE202" s="4" t="s">
        <v>235</v>
      </c>
      <c r="BF202" s="8" t="s">
        <v>235</v>
      </c>
      <c r="BG202" s="7" t="s">
        <v>235</v>
      </c>
      <c r="BH202" s="7" t="s">
        <v>235</v>
      </c>
      <c r="BI202" s="7"/>
      <c r="BJ202" s="4">
        <v>8</v>
      </c>
      <c r="BK202" s="8">
        <v>371.97</v>
      </c>
      <c r="BL202" s="2" t="s">
        <v>920</v>
      </c>
      <c r="BM202" s="7"/>
      <c r="BN202" s="7"/>
      <c r="BO202" s="4"/>
      <c r="BP202" s="8"/>
      <c r="BQ202" s="4"/>
      <c r="BR202" s="8"/>
      <c r="BS202" s="7"/>
      <c r="BT202" s="7"/>
      <c r="BU202" s="2" t="s">
        <v>915</v>
      </c>
      <c r="BV202" s="2" t="s">
        <v>243</v>
      </c>
      <c r="BW202" s="2" t="s">
        <v>235</v>
      </c>
      <c r="BX202" s="2" t="s">
        <v>414</v>
      </c>
      <c r="BY202" s="2" t="s">
        <v>245</v>
      </c>
      <c r="BZ202" s="2" t="s">
        <v>232</v>
      </c>
      <c r="CA202" s="2" t="s">
        <v>916</v>
      </c>
      <c r="CB202" s="2" t="s">
        <v>921</v>
      </c>
      <c r="CC202" s="2" t="s">
        <v>248</v>
      </c>
      <c r="CD202" s="2" t="s">
        <v>248</v>
      </c>
      <c r="CE202" s="2" t="s">
        <v>235</v>
      </c>
      <c r="CF202" s="4">
        <v>240</v>
      </c>
      <c r="CG202" s="4"/>
      <c r="CH202" s="4"/>
      <c r="CI202" s="4">
        <v>123</v>
      </c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>
        <v>366</v>
      </c>
      <c r="GE202" s="4">
        <v>358</v>
      </c>
      <c r="GF202" s="4">
        <v>355</v>
      </c>
      <c r="GG202" s="4">
        <v>350</v>
      </c>
      <c r="GH202" s="4">
        <v>340</v>
      </c>
      <c r="GI202" s="4">
        <v>328</v>
      </c>
      <c r="GJ202" s="4">
        <v>315</v>
      </c>
      <c r="GK202" s="4">
        <v>296</v>
      </c>
      <c r="GL202" s="4">
        <v>268</v>
      </c>
      <c r="GM202" s="4">
        <v>244</v>
      </c>
      <c r="GN202" s="4">
        <v>208</v>
      </c>
      <c r="GO202" s="4">
        <v>178</v>
      </c>
      <c r="GP202" s="4">
        <v>118</v>
      </c>
      <c r="GQ202" s="4">
        <v>13</v>
      </c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19">
        <v>61.3</v>
      </c>
      <c r="HE202" s="19">
        <v>43.9</v>
      </c>
      <c r="HF202" s="19">
        <v>34.6</v>
      </c>
      <c r="HG202" s="19">
        <v>26.3</v>
      </c>
      <c r="HH202" s="19">
        <v>18.5</v>
      </c>
      <c r="HI202" s="19">
        <v>16</v>
      </c>
      <c r="HJ202" s="19">
        <v>11.3</v>
      </c>
      <c r="HK202" s="19">
        <v>9.6</v>
      </c>
      <c r="HL202" s="19">
        <v>7</v>
      </c>
      <c r="HM202" s="19">
        <v>4.1</v>
      </c>
      <c r="HN202" s="19">
        <v>3</v>
      </c>
      <c r="HO202" s="19">
        <v>2.3</v>
      </c>
      <c r="HP202" s="19">
        <v>1.5</v>
      </c>
      <c r="HQ202" s="19">
        <v>0.3</v>
      </c>
      <c r="HR202" s="20">
        <v>0</v>
      </c>
      <c r="HS202" s="20">
        <v>0</v>
      </c>
      <c r="HT202" s="20">
        <v>0</v>
      </c>
      <c r="HU202" s="20">
        <v>0</v>
      </c>
      <c r="HV202" s="20">
        <v>0</v>
      </c>
      <c r="HW202" s="20">
        <v>0</v>
      </c>
      <c r="HX202" s="20">
        <v>0</v>
      </c>
      <c r="HY202" s="20">
        <v>0</v>
      </c>
      <c r="HZ202" s="20">
        <v>0</v>
      </c>
      <c r="IA202" s="20">
        <v>0</v>
      </c>
      <c r="IB202" s="20">
        <v>0</v>
      </c>
      <c r="IC202" s="20">
        <v>0</v>
      </c>
    </row>
    <row r="203">
      <c r="A203" s="2" t="s">
        <v>922</v>
      </c>
      <c r="B203" s="2" t="s">
        <v>871</v>
      </c>
      <c r="C203" s="2" t="s">
        <v>923</v>
      </c>
      <c r="D203" s="2" t="s">
        <v>361</v>
      </c>
      <c r="E203" s="2" t="s">
        <v>924</v>
      </c>
      <c r="F203" s="2" t="s">
        <v>925</v>
      </c>
      <c r="G203" s="2" t="s">
        <v>926</v>
      </c>
      <c r="H203" s="2" t="s">
        <v>927</v>
      </c>
      <c r="I203" s="2" t="s">
        <v>928</v>
      </c>
      <c r="J203" s="2" t="s">
        <v>365</v>
      </c>
      <c r="K203" s="2" t="s">
        <v>287</v>
      </c>
      <c r="L203" s="3">
        <v>40.47</v>
      </c>
      <c r="M203" s="3">
        <v>42.49</v>
      </c>
      <c r="N203" s="3">
        <v>84.99</v>
      </c>
      <c r="O203" s="2" t="s">
        <v>407</v>
      </c>
      <c r="P203" s="2" t="s">
        <v>408</v>
      </c>
      <c r="Q203" s="2" t="s">
        <v>234</v>
      </c>
      <c r="R203" s="2" t="s">
        <v>235</v>
      </c>
      <c r="S203" s="2" t="s">
        <v>929</v>
      </c>
      <c r="T203" s="2" t="s">
        <v>263</v>
      </c>
      <c r="U203" s="2" t="s">
        <v>552</v>
      </c>
      <c r="V203" s="2" t="s">
        <v>930</v>
      </c>
      <c r="W203" s="2" t="s">
        <v>682</v>
      </c>
      <c r="X203" s="2" t="s">
        <v>235</v>
      </c>
      <c r="Y203" s="2" t="s">
        <v>931</v>
      </c>
      <c r="Z203" s="4">
        <v>133</v>
      </c>
      <c r="AA203" s="4">
        <f>=ROUNDDOWN(73.8888888888889,0)</f>
      </c>
      <c r="AB203" s="5">
        <v>1.8</v>
      </c>
      <c r="AC203" s="2" t="s">
        <v>235</v>
      </c>
      <c r="AD203" s="4"/>
      <c r="AE203" s="4"/>
      <c r="AF203" s="6">
        <v>78</v>
      </c>
      <c r="AG203" s="6"/>
      <c r="AH203" s="7">
        <v>1</v>
      </c>
      <c r="AI203" s="4"/>
      <c r="AJ203" s="4">
        <f>=ROUNDDOWN({0},0)</f>
      </c>
      <c r="AK203" s="5"/>
      <c r="AL203" s="2" t="s">
        <v>235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235</v>
      </c>
      <c r="AW203" s="8" t="s">
        <v>235</v>
      </c>
      <c r="AX203" s="4" t="s">
        <v>235</v>
      </c>
      <c r="AY203" s="8" t="s">
        <v>235</v>
      </c>
      <c r="AZ203" s="7" t="s">
        <v>235</v>
      </c>
      <c r="BA203" s="7" t="s">
        <v>235</v>
      </c>
      <c r="BB203" s="7" t="s">
        <v>235</v>
      </c>
      <c r="BC203" s="4" t="s">
        <v>235</v>
      </c>
      <c r="BD203" s="8" t="s">
        <v>235</v>
      </c>
      <c r="BE203" s="4" t="s">
        <v>235</v>
      </c>
      <c r="BF203" s="8" t="s">
        <v>235</v>
      </c>
      <c r="BG203" s="7" t="s">
        <v>235</v>
      </c>
      <c r="BH203" s="7" t="s">
        <v>235</v>
      </c>
      <c r="BI203" s="7"/>
      <c r="BJ203" s="4">
        <v>7</v>
      </c>
      <c r="BK203" s="8">
        <v>325.05</v>
      </c>
      <c r="BL203" s="2" t="s">
        <v>932</v>
      </c>
      <c r="BM203" s="7"/>
      <c r="BN203" s="7"/>
      <c r="BO203" s="4"/>
      <c r="BP203" s="8"/>
      <c r="BQ203" s="4"/>
      <c r="BR203" s="8"/>
      <c r="BS203" s="7"/>
      <c r="BT203" s="7"/>
      <c r="BU203" s="2" t="s">
        <v>933</v>
      </c>
      <c r="BV203" s="2" t="s">
        <v>243</v>
      </c>
      <c r="BW203" s="2" t="s">
        <v>235</v>
      </c>
      <c r="BX203" s="2" t="s">
        <v>414</v>
      </c>
      <c r="BY203" s="2" t="s">
        <v>245</v>
      </c>
      <c r="BZ203" s="2" t="s">
        <v>232</v>
      </c>
      <c r="CA203" s="2" t="s">
        <v>931</v>
      </c>
      <c r="CB203" s="2" t="s">
        <v>934</v>
      </c>
      <c r="CC203" s="2" t="s">
        <v>248</v>
      </c>
      <c r="CD203" s="2" t="s">
        <v>248</v>
      </c>
      <c r="CE203" s="2" t="s">
        <v>235</v>
      </c>
      <c r="CF203" s="4">
        <v>133</v>
      </c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>
        <v>134</v>
      </c>
      <c r="GE203" s="4">
        <v>131</v>
      </c>
      <c r="GF203" s="4">
        <v>129</v>
      </c>
      <c r="GG203" s="4">
        <v>127</v>
      </c>
      <c r="GH203" s="4">
        <v>125</v>
      </c>
      <c r="GI203" s="4">
        <v>123</v>
      </c>
      <c r="GJ203" s="4">
        <v>121</v>
      </c>
      <c r="GK203" s="4">
        <v>119</v>
      </c>
      <c r="GL203" s="4">
        <v>117</v>
      </c>
      <c r="GM203" s="4">
        <v>115</v>
      </c>
      <c r="GN203" s="4">
        <v>112</v>
      </c>
      <c r="GO203" s="4">
        <v>109</v>
      </c>
      <c r="GP203" s="4">
        <v>105</v>
      </c>
      <c r="GQ203" s="4">
        <v>99</v>
      </c>
      <c r="GR203" s="4">
        <v>95</v>
      </c>
      <c r="GS203" s="4">
        <v>92</v>
      </c>
      <c r="GT203" s="4">
        <v>90</v>
      </c>
      <c r="GU203" s="4">
        <v>88</v>
      </c>
      <c r="GV203" s="4">
        <v>86</v>
      </c>
      <c r="GW203" s="4">
        <v>84</v>
      </c>
      <c r="GX203" s="4">
        <v>82</v>
      </c>
      <c r="GY203" s="4">
        <v>80</v>
      </c>
      <c r="GZ203" s="4">
        <v>78</v>
      </c>
      <c r="HA203" s="4">
        <v>76</v>
      </c>
      <c r="HB203" s="4">
        <v>74</v>
      </c>
      <c r="HC203" s="4">
        <v>72</v>
      </c>
      <c r="HD203" s="19">
        <v>67</v>
      </c>
      <c r="HE203" s="19">
        <v>65.5</v>
      </c>
      <c r="HF203" s="19">
        <v>64.5</v>
      </c>
      <c r="HG203" s="19">
        <v>63.5</v>
      </c>
      <c r="HH203" s="19">
        <v>62.5</v>
      </c>
      <c r="HI203" s="19">
        <v>61.5</v>
      </c>
      <c r="HJ203" s="19">
        <v>60.5</v>
      </c>
      <c r="HK203" s="19">
        <v>59.5</v>
      </c>
      <c r="HL203" s="19">
        <v>39</v>
      </c>
      <c r="HM203" s="19">
        <v>28.8</v>
      </c>
      <c r="HN203" s="19">
        <v>28</v>
      </c>
      <c r="HO203" s="19">
        <v>27.3</v>
      </c>
      <c r="HP203" s="19">
        <v>26.3</v>
      </c>
      <c r="HQ203" s="19">
        <v>33</v>
      </c>
      <c r="HR203" s="19">
        <v>47.5</v>
      </c>
      <c r="HS203" s="19">
        <v>46</v>
      </c>
      <c r="HT203" s="19">
        <v>45</v>
      </c>
      <c r="HU203" s="19">
        <v>44</v>
      </c>
      <c r="HV203" s="19">
        <v>43</v>
      </c>
      <c r="HW203" s="19">
        <v>42</v>
      </c>
      <c r="HX203" s="19">
        <v>41</v>
      </c>
      <c r="HY203" s="19">
        <v>40</v>
      </c>
      <c r="HZ203" s="19">
        <v>39</v>
      </c>
      <c r="IA203" s="19">
        <v>38</v>
      </c>
      <c r="IB203" s="19">
        <v>37</v>
      </c>
      <c r="IC203" s="19">
        <v>36</v>
      </c>
    </row>
    <row r="204">
      <c r="A204" s="2" t="s">
        <v>935</v>
      </c>
      <c r="B204" s="2" t="s">
        <v>871</v>
      </c>
      <c r="C204" s="2" t="s">
        <v>923</v>
      </c>
      <c r="D204" s="2" t="s">
        <v>906</v>
      </c>
      <c r="E204" s="2" t="s">
        <v>907</v>
      </c>
      <c r="F204" s="2" t="s">
        <v>925</v>
      </c>
      <c r="G204" s="2" t="s">
        <v>926</v>
      </c>
      <c r="H204" s="2" t="s">
        <v>927</v>
      </c>
      <c r="I204" s="2" t="s">
        <v>936</v>
      </c>
      <c r="J204" s="2" t="s">
        <v>365</v>
      </c>
      <c r="K204" s="2" t="s">
        <v>287</v>
      </c>
      <c r="L204" s="3">
        <v>30.95</v>
      </c>
      <c r="M204" s="3">
        <v>32.5</v>
      </c>
      <c r="N204" s="3">
        <v>64.99</v>
      </c>
      <c r="O204" s="2" t="s">
        <v>407</v>
      </c>
      <c r="P204" s="2" t="s">
        <v>408</v>
      </c>
      <c r="Q204" s="2" t="s">
        <v>234</v>
      </c>
      <c r="R204" s="2" t="s">
        <v>235</v>
      </c>
      <c r="S204" s="2" t="s">
        <v>929</v>
      </c>
      <c r="T204" s="2" t="s">
        <v>263</v>
      </c>
      <c r="U204" s="2" t="s">
        <v>552</v>
      </c>
      <c r="V204" s="2" t="s">
        <v>930</v>
      </c>
      <c r="W204" s="2" t="s">
        <v>682</v>
      </c>
      <c r="X204" s="2" t="s">
        <v>235</v>
      </c>
      <c r="Y204" s="2" t="s">
        <v>411</v>
      </c>
      <c r="Z204" s="4">
        <v>43</v>
      </c>
      <c r="AA204" s="4">
        <f>=ROUNDDOWN(47.7777777777778,0)</f>
      </c>
      <c r="AB204" s="5">
        <v>0.9</v>
      </c>
      <c r="AC204" s="2" t="s">
        <v>235</v>
      </c>
      <c r="AD204" s="4"/>
      <c r="AE204" s="4"/>
      <c r="AF204" s="6">
        <v>78</v>
      </c>
      <c r="AG204" s="6"/>
      <c r="AH204" s="7">
        <v>1</v>
      </c>
      <c r="AI204" s="4"/>
      <c r="AJ204" s="4">
        <f>=ROUNDDOWN({0},0)</f>
      </c>
      <c r="AK204" s="5"/>
      <c r="AL204" s="2" t="s">
        <v>235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235</v>
      </c>
      <c r="AW204" s="8" t="s">
        <v>235</v>
      </c>
      <c r="AX204" s="4" t="s">
        <v>235</v>
      </c>
      <c r="AY204" s="8" t="s">
        <v>235</v>
      </c>
      <c r="AZ204" s="7" t="s">
        <v>235</v>
      </c>
      <c r="BA204" s="7" t="s">
        <v>235</v>
      </c>
      <c r="BB204" s="7" t="s">
        <v>235</v>
      </c>
      <c r="BC204" s="4" t="s">
        <v>235</v>
      </c>
      <c r="BD204" s="8" t="s">
        <v>235</v>
      </c>
      <c r="BE204" s="4" t="s">
        <v>235</v>
      </c>
      <c r="BF204" s="8" t="s">
        <v>235</v>
      </c>
      <c r="BG204" s="7" t="s">
        <v>235</v>
      </c>
      <c r="BH204" s="7" t="s">
        <v>235</v>
      </c>
      <c r="BI204" s="7"/>
      <c r="BJ204" s="4">
        <v>4</v>
      </c>
      <c r="BK204" s="8">
        <v>139.42</v>
      </c>
      <c r="BL204" s="2" t="s">
        <v>937</v>
      </c>
      <c r="BM204" s="7"/>
      <c r="BN204" s="7"/>
      <c r="BO204" s="4"/>
      <c r="BP204" s="8"/>
      <c r="BQ204" s="4"/>
      <c r="BR204" s="8"/>
      <c r="BS204" s="7"/>
      <c r="BT204" s="7"/>
      <c r="BU204" s="2" t="s">
        <v>938</v>
      </c>
      <c r="BV204" s="2" t="s">
        <v>243</v>
      </c>
      <c r="BW204" s="2" t="s">
        <v>235</v>
      </c>
      <c r="BX204" s="2" t="s">
        <v>414</v>
      </c>
      <c r="BY204" s="2" t="s">
        <v>245</v>
      </c>
      <c r="BZ204" s="2" t="s">
        <v>232</v>
      </c>
      <c r="CA204" s="2" t="s">
        <v>931</v>
      </c>
      <c r="CB204" s="2" t="s">
        <v>798</v>
      </c>
      <c r="CC204" s="2" t="s">
        <v>248</v>
      </c>
      <c r="CD204" s="2" t="s">
        <v>248</v>
      </c>
      <c r="CE204" s="2" t="s">
        <v>235</v>
      </c>
      <c r="CF204" s="4">
        <v>43</v>
      </c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>
        <v>43</v>
      </c>
      <c r="GE204" s="4">
        <v>42</v>
      </c>
      <c r="GF204" s="4">
        <v>41</v>
      </c>
      <c r="GG204" s="4">
        <v>40</v>
      </c>
      <c r="GH204" s="4">
        <v>39</v>
      </c>
      <c r="GI204" s="4">
        <v>38</v>
      </c>
      <c r="GJ204" s="4">
        <v>37</v>
      </c>
      <c r="GK204" s="4">
        <v>36</v>
      </c>
      <c r="GL204" s="4">
        <v>35</v>
      </c>
      <c r="GM204" s="4">
        <v>34</v>
      </c>
      <c r="GN204" s="4">
        <v>33</v>
      </c>
      <c r="GO204" s="4">
        <v>31</v>
      </c>
      <c r="GP204" s="4">
        <v>29</v>
      </c>
      <c r="GQ204" s="4">
        <v>26</v>
      </c>
      <c r="GR204" s="4">
        <v>24</v>
      </c>
      <c r="GS204" s="4">
        <v>23</v>
      </c>
      <c r="GT204" s="4">
        <v>22</v>
      </c>
      <c r="GU204" s="4">
        <v>21</v>
      </c>
      <c r="GV204" s="4">
        <v>20</v>
      </c>
      <c r="GW204" s="4">
        <v>19</v>
      </c>
      <c r="GX204" s="4">
        <v>18</v>
      </c>
      <c r="GY204" s="4">
        <v>17</v>
      </c>
      <c r="GZ204" s="4">
        <v>16</v>
      </c>
      <c r="HA204" s="4">
        <v>15</v>
      </c>
      <c r="HB204" s="4">
        <v>14</v>
      </c>
      <c r="HC204" s="4">
        <v>13</v>
      </c>
      <c r="HD204" s="19">
        <v>43</v>
      </c>
      <c r="HE204" s="19">
        <v>42</v>
      </c>
      <c r="HF204" s="19">
        <v>41</v>
      </c>
      <c r="HG204" s="19">
        <v>40</v>
      </c>
      <c r="HH204" s="19">
        <v>39</v>
      </c>
      <c r="HI204" s="19">
        <v>38</v>
      </c>
      <c r="HJ204" s="19">
        <v>37</v>
      </c>
      <c r="HK204" s="19">
        <v>36</v>
      </c>
      <c r="HL204" s="19">
        <v>17.5</v>
      </c>
      <c r="HM204" s="19">
        <v>17</v>
      </c>
      <c r="HN204" s="19">
        <v>16.5</v>
      </c>
      <c r="HO204" s="19">
        <v>15.5</v>
      </c>
      <c r="HP204" s="19">
        <v>14.5</v>
      </c>
      <c r="HQ204" s="19">
        <v>26</v>
      </c>
      <c r="HR204" s="19">
        <v>24</v>
      </c>
      <c r="HS204" s="19">
        <v>23</v>
      </c>
      <c r="HT204" s="19">
        <v>22</v>
      </c>
      <c r="HU204" s="19">
        <v>21</v>
      </c>
      <c r="HV204" s="19">
        <v>20</v>
      </c>
      <c r="HW204" s="19">
        <v>19</v>
      </c>
      <c r="HX204" s="19">
        <v>18</v>
      </c>
      <c r="HY204" s="19">
        <v>17</v>
      </c>
      <c r="HZ204" s="19">
        <v>16</v>
      </c>
      <c r="IA204" s="19">
        <v>15</v>
      </c>
      <c r="IB204" s="19">
        <v>14</v>
      </c>
      <c r="IC204" s="19">
        <v>13</v>
      </c>
    </row>
    <row r="205">
      <c r="A205" s="2" t="s">
        <v>939</v>
      </c>
      <c r="B205" s="2" t="s">
        <v>871</v>
      </c>
      <c r="C205" s="2" t="s">
        <v>923</v>
      </c>
      <c r="D205" s="2" t="s">
        <v>361</v>
      </c>
      <c r="E205" s="2" t="s">
        <v>924</v>
      </c>
      <c r="F205" s="2" t="s">
        <v>925</v>
      </c>
      <c r="G205" s="2" t="s">
        <v>926</v>
      </c>
      <c r="H205" s="2" t="s">
        <v>927</v>
      </c>
      <c r="I205" s="2" t="s">
        <v>928</v>
      </c>
      <c r="J205" s="2" t="s">
        <v>372</v>
      </c>
      <c r="K205" s="2" t="s">
        <v>287</v>
      </c>
      <c r="L205" s="3">
        <v>45.23</v>
      </c>
      <c r="M205" s="3">
        <v>47.49</v>
      </c>
      <c r="N205" s="3">
        <v>94.99</v>
      </c>
      <c r="O205" s="2" t="s">
        <v>407</v>
      </c>
      <c r="P205" s="2" t="s">
        <v>408</v>
      </c>
      <c r="Q205" s="2" t="s">
        <v>234</v>
      </c>
      <c r="R205" s="2" t="s">
        <v>235</v>
      </c>
      <c r="S205" s="2" t="s">
        <v>929</v>
      </c>
      <c r="T205" s="2" t="s">
        <v>263</v>
      </c>
      <c r="U205" s="2" t="s">
        <v>552</v>
      </c>
      <c r="V205" s="2" t="s">
        <v>930</v>
      </c>
      <c r="W205" s="2" t="s">
        <v>682</v>
      </c>
      <c r="X205" s="2" t="s">
        <v>235</v>
      </c>
      <c r="Y205" s="2" t="s">
        <v>931</v>
      </c>
      <c r="Z205" s="4">
        <v>10</v>
      </c>
      <c r="AA205" s="4">
        <f>=ROUNDDOWN(4.54545454545455,0)</f>
      </c>
      <c r="AB205" s="5">
        <v>2.2</v>
      </c>
      <c r="AC205" s="2" t="s">
        <v>235</v>
      </c>
      <c r="AD205" s="4"/>
      <c r="AE205" s="4"/>
      <c r="AF205" s="6">
        <v>78</v>
      </c>
      <c r="AG205" s="6"/>
      <c r="AH205" s="7">
        <v>1</v>
      </c>
      <c r="AI205" s="4"/>
      <c r="AJ205" s="4">
        <f>=ROUNDDOWN({0},0)</f>
      </c>
      <c r="AK205" s="5"/>
      <c r="AL205" s="2" t="s">
        <v>235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235</v>
      </c>
      <c r="AW205" s="8" t="s">
        <v>235</v>
      </c>
      <c r="AX205" s="4" t="s">
        <v>235</v>
      </c>
      <c r="AY205" s="8" t="s">
        <v>235</v>
      </c>
      <c r="AZ205" s="7" t="s">
        <v>235</v>
      </c>
      <c r="BA205" s="7" t="s">
        <v>235</v>
      </c>
      <c r="BB205" s="7"/>
      <c r="BC205" s="4" t="s">
        <v>235</v>
      </c>
      <c r="BD205" s="8" t="s">
        <v>235</v>
      </c>
      <c r="BE205" s="4" t="s">
        <v>235</v>
      </c>
      <c r="BF205" s="8" t="s">
        <v>235</v>
      </c>
      <c r="BG205" s="7" t="s">
        <v>235</v>
      </c>
      <c r="BH205" s="7" t="s">
        <v>235</v>
      </c>
      <c r="BI205" s="7"/>
      <c r="BJ205" s="4">
        <v>14</v>
      </c>
      <c r="BK205" s="8">
        <v>713.33</v>
      </c>
      <c r="BL205" s="2" t="s">
        <v>940</v>
      </c>
      <c r="BM205" s="7"/>
      <c r="BN205" s="7"/>
      <c r="BO205" s="4"/>
      <c r="BP205" s="8"/>
      <c r="BQ205" s="4"/>
      <c r="BR205" s="8"/>
      <c r="BS205" s="7"/>
      <c r="BT205" s="7"/>
      <c r="BU205" s="2" t="s">
        <v>933</v>
      </c>
      <c r="BV205" s="2" t="s">
        <v>243</v>
      </c>
      <c r="BW205" s="2" t="s">
        <v>235</v>
      </c>
      <c r="BX205" s="2" t="s">
        <v>414</v>
      </c>
      <c r="BY205" s="2" t="s">
        <v>245</v>
      </c>
      <c r="BZ205" s="2" t="s">
        <v>232</v>
      </c>
      <c r="CA205" s="2" t="s">
        <v>931</v>
      </c>
      <c r="CB205" s="2" t="s">
        <v>941</v>
      </c>
      <c r="CC205" s="2" t="s">
        <v>248</v>
      </c>
      <c r="CD205" s="2" t="s">
        <v>248</v>
      </c>
      <c r="CE205" s="2" t="s">
        <v>235</v>
      </c>
      <c r="CF205" s="4">
        <v>10</v>
      </c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>
        <v>11</v>
      </c>
      <c r="GE205" s="4">
        <v>9</v>
      </c>
      <c r="GF205" s="4">
        <v>7</v>
      </c>
      <c r="GG205" s="4">
        <v>5</v>
      </c>
      <c r="GH205" s="4">
        <v>3</v>
      </c>
      <c r="GI205" s="4">
        <v>1</v>
      </c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19">
        <v>5.5</v>
      </c>
      <c r="HE205" s="19">
        <v>4.5</v>
      </c>
      <c r="HF205" s="19">
        <v>3.5</v>
      </c>
      <c r="HG205" s="19">
        <v>2.5</v>
      </c>
      <c r="HH205" s="19">
        <v>1.5</v>
      </c>
      <c r="HI205" s="19">
        <v>0.5</v>
      </c>
      <c r="HJ205" s="20">
        <v>0</v>
      </c>
      <c r="HK205" s="20">
        <v>0</v>
      </c>
      <c r="HL205" s="20">
        <v>0</v>
      </c>
      <c r="HM205" s="20">
        <v>0</v>
      </c>
      <c r="HN205" s="20">
        <v>0</v>
      </c>
      <c r="HO205" s="20">
        <v>0</v>
      </c>
      <c r="HP205" s="20">
        <v>0</v>
      </c>
      <c r="HQ205" s="20">
        <v>0</v>
      </c>
      <c r="HR205" s="20">
        <v>0</v>
      </c>
      <c r="HS205" s="20">
        <v>0</v>
      </c>
      <c r="HT205" s="20">
        <v>0</v>
      </c>
      <c r="HU205" s="20">
        <v>0</v>
      </c>
      <c r="HV205" s="20">
        <v>0</v>
      </c>
      <c r="HW205" s="20">
        <v>0</v>
      </c>
      <c r="HX205" s="20">
        <v>0</v>
      </c>
      <c r="HY205" s="20">
        <v>0</v>
      </c>
      <c r="HZ205" s="20">
        <v>0</v>
      </c>
      <c r="IA205" s="20">
        <v>0</v>
      </c>
      <c r="IB205" s="20">
        <v>0</v>
      </c>
      <c r="IC205" s="20">
        <v>0</v>
      </c>
    </row>
    <row r="206">
      <c r="A206" s="2" t="s">
        <v>942</v>
      </c>
      <c r="B206" s="2" t="s">
        <v>605</v>
      </c>
      <c r="C206" s="2" t="s">
        <v>943</v>
      </c>
      <c r="D206" s="2" t="s">
        <v>607</v>
      </c>
      <c r="E206" s="2" t="s">
        <v>608</v>
      </c>
      <c r="F206" s="2" t="s">
        <v>944</v>
      </c>
      <c r="G206" s="2" t="s">
        <v>944</v>
      </c>
      <c r="H206" s="2" t="s">
        <v>944</v>
      </c>
      <c r="I206" s="2" t="s">
        <v>945</v>
      </c>
      <c r="J206" s="2" t="s">
        <v>611</v>
      </c>
      <c r="K206" s="2" t="s">
        <v>861</v>
      </c>
      <c r="L206" s="3">
        <v>22</v>
      </c>
      <c r="M206" s="3">
        <v>23.1</v>
      </c>
      <c r="N206" s="3">
        <v>49.99</v>
      </c>
      <c r="O206" s="2" t="s">
        <v>232</v>
      </c>
      <c r="P206" s="2" t="s">
        <v>233</v>
      </c>
      <c r="Q206" s="2" t="s">
        <v>234</v>
      </c>
      <c r="R206" s="2" t="s">
        <v>235</v>
      </c>
      <c r="S206" s="2" t="s">
        <v>946</v>
      </c>
      <c r="T206" s="2" t="s">
        <v>263</v>
      </c>
      <c r="U206" s="2" t="s">
        <v>614</v>
      </c>
      <c r="V206" s="2" t="s">
        <v>238</v>
      </c>
      <c r="W206" s="2" t="s">
        <v>239</v>
      </c>
      <c r="X206" s="2" t="s">
        <v>235</v>
      </c>
      <c r="Y206" s="2" t="s">
        <v>947</v>
      </c>
      <c r="Z206" s="4">
        <v>326</v>
      </c>
      <c r="AA206" s="4">
        <f>=ROUNDDOWN(25.6692913385827,0)</f>
      </c>
      <c r="AB206" s="5">
        <v>12.7</v>
      </c>
      <c r="AC206" s="2" t="s">
        <v>235</v>
      </c>
      <c r="AD206" s="4"/>
      <c r="AE206" s="4"/>
      <c r="AF206" s="6">
        <v>69</v>
      </c>
      <c r="AG206" s="6"/>
      <c r="AH206" s="7">
        <v>1</v>
      </c>
      <c r="AI206" s="4"/>
      <c r="AJ206" s="4">
        <f>=ROUNDDOWN({0},0)</f>
      </c>
      <c r="AK206" s="5"/>
      <c r="AL206" s="2" t="s">
        <v>235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235</v>
      </c>
      <c r="BD206" s="8" t="s">
        <v>235</v>
      </c>
      <c r="BE206" s="4" t="s">
        <v>235</v>
      </c>
      <c r="BF206" s="8" t="s">
        <v>235</v>
      </c>
      <c r="BG206" s="7" t="s">
        <v>235</v>
      </c>
      <c r="BH206" s="7" t="s">
        <v>235</v>
      </c>
      <c r="BI206" s="7"/>
      <c r="BJ206" s="4">
        <v>34</v>
      </c>
      <c r="BK206" s="8">
        <v>803.52</v>
      </c>
      <c r="BL206" s="2" t="s">
        <v>948</v>
      </c>
      <c r="BM206" s="7"/>
      <c r="BN206" s="7"/>
      <c r="BO206" s="4"/>
      <c r="BP206" s="8"/>
      <c r="BQ206" s="4"/>
      <c r="BR206" s="8"/>
      <c r="BS206" s="7"/>
      <c r="BT206" s="7"/>
      <c r="BU206" s="2" t="s">
        <v>949</v>
      </c>
      <c r="BV206" s="2" t="s">
        <v>618</v>
      </c>
      <c r="BW206" s="2" t="s">
        <v>235</v>
      </c>
      <c r="BX206" s="2" t="s">
        <v>244</v>
      </c>
      <c r="BY206" s="2" t="s">
        <v>245</v>
      </c>
      <c r="BZ206" s="2" t="s">
        <v>232</v>
      </c>
      <c r="CA206" s="2" t="s">
        <v>950</v>
      </c>
      <c r="CB206" s="2" t="s">
        <v>951</v>
      </c>
      <c r="CC206" s="2" t="s">
        <v>248</v>
      </c>
      <c r="CD206" s="2" t="s">
        <v>248</v>
      </c>
      <c r="CE206" s="2" t="s">
        <v>235</v>
      </c>
      <c r="CF206" s="4">
        <v>326</v>
      </c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>
        <v>331</v>
      </c>
      <c r="GE206" s="4">
        <v>314</v>
      </c>
      <c r="GF206" s="4">
        <v>304</v>
      </c>
      <c r="GG206" s="4">
        <v>294</v>
      </c>
      <c r="GH206" s="4">
        <v>284</v>
      </c>
      <c r="GI206" s="4">
        <v>274</v>
      </c>
      <c r="GJ206" s="4">
        <v>262</v>
      </c>
      <c r="GK206" s="4">
        <v>250</v>
      </c>
      <c r="GL206" s="4">
        <v>238</v>
      </c>
      <c r="GM206" s="4">
        <v>226</v>
      </c>
      <c r="GN206" s="4">
        <v>214</v>
      </c>
      <c r="GO206" s="4">
        <v>200</v>
      </c>
      <c r="GP206" s="4">
        <v>178</v>
      </c>
      <c r="GQ206" s="4">
        <v>149</v>
      </c>
      <c r="GR206" s="4">
        <v>116</v>
      </c>
      <c r="GS206" s="4">
        <v>93</v>
      </c>
      <c r="GT206" s="4">
        <v>75</v>
      </c>
      <c r="GU206" s="4">
        <v>65</v>
      </c>
      <c r="GV206" s="4">
        <v>55</v>
      </c>
      <c r="GW206" s="4">
        <v>45</v>
      </c>
      <c r="GX206" s="4">
        <v>35</v>
      </c>
      <c r="GY206" s="4">
        <v>25</v>
      </c>
      <c r="GZ206" s="4">
        <v>12</v>
      </c>
      <c r="HA206" s="4">
        <v>359</v>
      </c>
      <c r="HB206" s="4">
        <v>346</v>
      </c>
      <c r="HC206" s="4">
        <v>333</v>
      </c>
      <c r="HD206" s="19">
        <v>27.6</v>
      </c>
      <c r="HE206" s="19">
        <v>31.4</v>
      </c>
      <c r="HF206" s="19">
        <v>30.4</v>
      </c>
      <c r="HG206" s="19">
        <v>26.7</v>
      </c>
      <c r="HH206" s="19">
        <v>23.7</v>
      </c>
      <c r="HI206" s="19">
        <v>22.8</v>
      </c>
      <c r="HJ206" s="19">
        <v>21.8</v>
      </c>
      <c r="HK206" s="19">
        <v>20.8</v>
      </c>
      <c r="HL206" s="19">
        <v>15.9</v>
      </c>
      <c r="HM206" s="19">
        <v>11.9</v>
      </c>
      <c r="HN206" s="19">
        <v>8.9</v>
      </c>
      <c r="HO206" s="19">
        <v>7.4</v>
      </c>
      <c r="HP206" s="19">
        <v>6.8</v>
      </c>
      <c r="HQ206" s="19">
        <v>7.1</v>
      </c>
      <c r="HR206" s="19">
        <v>7.7</v>
      </c>
      <c r="HS206" s="19">
        <v>7.8</v>
      </c>
      <c r="HT206" s="19">
        <v>7.5</v>
      </c>
      <c r="HU206" s="19">
        <v>6.5</v>
      </c>
      <c r="HV206" s="19">
        <v>5</v>
      </c>
      <c r="HW206" s="19">
        <v>3.8</v>
      </c>
      <c r="HX206" s="19">
        <v>2.9</v>
      </c>
      <c r="HY206" s="19">
        <v>1.9</v>
      </c>
      <c r="HZ206" s="19">
        <v>0.9</v>
      </c>
      <c r="IA206" s="19">
        <v>27.6</v>
      </c>
      <c r="IB206" s="19">
        <v>26.6</v>
      </c>
      <c r="IC206" s="19">
        <v>25.6</v>
      </c>
    </row>
    <row r="207">
      <c r="A207" s="2" t="s">
        <v>952</v>
      </c>
      <c r="B207" s="2" t="s">
        <v>605</v>
      </c>
      <c r="C207" s="2" t="s">
        <v>943</v>
      </c>
      <c r="D207" s="2" t="s">
        <v>607</v>
      </c>
      <c r="E207" s="2" t="s">
        <v>608</v>
      </c>
      <c r="F207" s="2" t="s">
        <v>944</v>
      </c>
      <c r="G207" s="2" t="s">
        <v>944</v>
      </c>
      <c r="H207" s="2" t="s">
        <v>944</v>
      </c>
      <c r="I207" s="2" t="s">
        <v>945</v>
      </c>
      <c r="J207" s="2" t="s">
        <v>611</v>
      </c>
      <c r="K207" s="2" t="s">
        <v>292</v>
      </c>
      <c r="L207" s="3">
        <v>22</v>
      </c>
      <c r="M207" s="3">
        <v>23.1</v>
      </c>
      <c r="N207" s="3">
        <v>49.99</v>
      </c>
      <c r="O207" s="2" t="s">
        <v>232</v>
      </c>
      <c r="P207" s="2" t="s">
        <v>233</v>
      </c>
      <c r="Q207" s="2" t="s">
        <v>234</v>
      </c>
      <c r="R207" s="2" t="s">
        <v>235</v>
      </c>
      <c r="S207" s="2" t="s">
        <v>953</v>
      </c>
      <c r="T207" s="2" t="s">
        <v>263</v>
      </c>
      <c r="U207" s="2" t="s">
        <v>614</v>
      </c>
      <c r="V207" s="2" t="s">
        <v>238</v>
      </c>
      <c r="W207" s="2" t="s">
        <v>239</v>
      </c>
      <c r="X207" s="2" t="s">
        <v>235</v>
      </c>
      <c r="Y207" s="2" t="s">
        <v>947</v>
      </c>
      <c r="Z207" s="4">
        <v>314</v>
      </c>
      <c r="AA207" s="4">
        <f>=ROUNDDOWN(125.6,0)</f>
      </c>
      <c r="AB207" s="5">
        <v>2.5</v>
      </c>
      <c r="AC207" s="2" t="s">
        <v>235</v>
      </c>
      <c r="AD207" s="4"/>
      <c r="AE207" s="4"/>
      <c r="AF207" s="6">
        <v>69</v>
      </c>
      <c r="AG207" s="6"/>
      <c r="AH207" s="7">
        <v>1</v>
      </c>
      <c r="AI207" s="4"/>
      <c r="AJ207" s="4">
        <f>=ROUNDDOWN({0},0)</f>
      </c>
      <c r="AK207" s="5"/>
      <c r="AL207" s="2" t="s">
        <v>235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235</v>
      </c>
      <c r="BD207" s="8" t="s">
        <v>235</v>
      </c>
      <c r="BE207" s="4" t="s">
        <v>235</v>
      </c>
      <c r="BF207" s="8" t="s">
        <v>235</v>
      </c>
      <c r="BG207" s="7" t="s">
        <v>235</v>
      </c>
      <c r="BH207" s="7" t="s">
        <v>235</v>
      </c>
      <c r="BI207" s="7"/>
      <c r="BJ207" s="4">
        <v>14</v>
      </c>
      <c r="BK207" s="8">
        <v>326.71</v>
      </c>
      <c r="BL207" s="2" t="s">
        <v>954</v>
      </c>
      <c r="BM207" s="7"/>
      <c r="BN207" s="7"/>
      <c r="BO207" s="4"/>
      <c r="BP207" s="8"/>
      <c r="BQ207" s="4"/>
      <c r="BR207" s="8"/>
      <c r="BS207" s="7"/>
      <c r="BT207" s="7"/>
      <c r="BU207" s="2" t="s">
        <v>949</v>
      </c>
      <c r="BV207" s="2" t="s">
        <v>618</v>
      </c>
      <c r="BW207" s="2" t="s">
        <v>235</v>
      </c>
      <c r="BX207" s="2" t="s">
        <v>244</v>
      </c>
      <c r="BY207" s="2" t="s">
        <v>245</v>
      </c>
      <c r="BZ207" s="2" t="s">
        <v>232</v>
      </c>
      <c r="CA207" s="2" t="s">
        <v>950</v>
      </c>
      <c r="CB207" s="2" t="s">
        <v>955</v>
      </c>
      <c r="CC207" s="2" t="s">
        <v>248</v>
      </c>
      <c r="CD207" s="2" t="s">
        <v>248</v>
      </c>
      <c r="CE207" s="2" t="s">
        <v>235</v>
      </c>
      <c r="CF207" s="4">
        <v>313</v>
      </c>
      <c r="CG207" s="4"/>
      <c r="CH207" s="4"/>
      <c r="CI207" s="4"/>
      <c r="CJ207" s="4"/>
      <c r="CK207" s="4"/>
      <c r="CL207" s="4"/>
      <c r="CM207" s="4">
        <v>1</v>
      </c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>
        <v>314</v>
      </c>
      <c r="GE207" s="4">
        <v>311</v>
      </c>
      <c r="GF207" s="4">
        <v>309</v>
      </c>
      <c r="GG207" s="4">
        <v>307</v>
      </c>
      <c r="GH207" s="4">
        <v>305</v>
      </c>
      <c r="GI207" s="4">
        <v>303</v>
      </c>
      <c r="GJ207" s="4">
        <v>300</v>
      </c>
      <c r="GK207" s="4">
        <v>297</v>
      </c>
      <c r="GL207" s="4">
        <v>294</v>
      </c>
      <c r="GM207" s="4">
        <v>291</v>
      </c>
      <c r="GN207" s="4">
        <v>288</v>
      </c>
      <c r="GO207" s="4">
        <v>285</v>
      </c>
      <c r="GP207" s="4">
        <v>280</v>
      </c>
      <c r="GQ207" s="4">
        <v>273</v>
      </c>
      <c r="GR207" s="4">
        <v>265</v>
      </c>
      <c r="GS207" s="4">
        <v>260</v>
      </c>
      <c r="GT207" s="4">
        <v>256</v>
      </c>
      <c r="GU207" s="4">
        <v>254</v>
      </c>
      <c r="GV207" s="4">
        <v>252</v>
      </c>
      <c r="GW207" s="4">
        <v>250</v>
      </c>
      <c r="GX207" s="4">
        <v>248</v>
      </c>
      <c r="GY207" s="4">
        <v>246</v>
      </c>
      <c r="GZ207" s="4">
        <v>243</v>
      </c>
      <c r="HA207" s="4">
        <v>240</v>
      </c>
      <c r="HB207" s="4">
        <v>237</v>
      </c>
      <c r="HC207" s="4">
        <v>234</v>
      </c>
      <c r="HD207" s="19">
        <v>157</v>
      </c>
      <c r="HE207" s="19">
        <v>155.5</v>
      </c>
      <c r="HF207" s="19">
        <v>154.5</v>
      </c>
      <c r="HG207" s="19">
        <v>153.5</v>
      </c>
      <c r="HH207" s="19">
        <v>101.7</v>
      </c>
      <c r="HI207" s="19">
        <v>101</v>
      </c>
      <c r="HJ207" s="19">
        <v>100</v>
      </c>
      <c r="HK207" s="19">
        <v>99</v>
      </c>
      <c r="HL207" s="19">
        <v>73.5</v>
      </c>
      <c r="HM207" s="19">
        <v>72.8</v>
      </c>
      <c r="HN207" s="19">
        <v>48</v>
      </c>
      <c r="HO207" s="19">
        <v>47.5</v>
      </c>
      <c r="HP207" s="19">
        <v>46.7</v>
      </c>
      <c r="HQ207" s="19">
        <v>54.6</v>
      </c>
      <c r="HR207" s="19">
        <v>88.3</v>
      </c>
      <c r="HS207" s="19">
        <v>130</v>
      </c>
      <c r="HT207" s="19">
        <v>128</v>
      </c>
      <c r="HU207" s="19">
        <v>127</v>
      </c>
      <c r="HV207" s="19">
        <v>126</v>
      </c>
      <c r="HW207" s="19">
        <v>125</v>
      </c>
      <c r="HX207" s="19">
        <v>82.7</v>
      </c>
      <c r="HY207" s="19">
        <v>82</v>
      </c>
      <c r="HZ207" s="19">
        <v>81</v>
      </c>
      <c r="IA207" s="19">
        <v>80</v>
      </c>
      <c r="IB207" s="19">
        <v>79</v>
      </c>
      <c r="IC207" s="19">
        <v>78</v>
      </c>
    </row>
    <row r="208">
      <c r="A208" s="2" t="s">
        <v>956</v>
      </c>
      <c r="B208" s="2" t="s">
        <v>605</v>
      </c>
      <c r="C208" s="2" t="s">
        <v>943</v>
      </c>
      <c r="D208" s="2" t="s">
        <v>607</v>
      </c>
      <c r="E208" s="2" t="s">
        <v>608</v>
      </c>
      <c r="F208" s="2" t="s">
        <v>944</v>
      </c>
      <c r="G208" s="2" t="s">
        <v>944</v>
      </c>
      <c r="H208" s="2" t="s">
        <v>944</v>
      </c>
      <c r="I208" s="2" t="s">
        <v>945</v>
      </c>
      <c r="J208" s="2" t="s">
        <v>611</v>
      </c>
      <c r="K208" s="2" t="s">
        <v>316</v>
      </c>
      <c r="L208" s="3">
        <v>22</v>
      </c>
      <c r="M208" s="3">
        <v>23.1</v>
      </c>
      <c r="N208" s="3">
        <v>49.99</v>
      </c>
      <c r="O208" s="2" t="s">
        <v>232</v>
      </c>
      <c r="P208" s="2" t="s">
        <v>233</v>
      </c>
      <c r="Q208" s="2" t="s">
        <v>234</v>
      </c>
      <c r="R208" s="2" t="s">
        <v>235</v>
      </c>
      <c r="S208" s="2" t="s">
        <v>957</v>
      </c>
      <c r="T208" s="2" t="s">
        <v>263</v>
      </c>
      <c r="U208" s="2" t="s">
        <v>614</v>
      </c>
      <c r="V208" s="2" t="s">
        <v>238</v>
      </c>
      <c r="W208" s="2" t="s">
        <v>239</v>
      </c>
      <c r="X208" s="2" t="s">
        <v>235</v>
      </c>
      <c r="Y208" s="2" t="s">
        <v>947</v>
      </c>
      <c r="Z208" s="4">
        <v>701</v>
      </c>
      <c r="AA208" s="4">
        <f>=ROUNDDOWN(333.809523809524,0)</f>
      </c>
      <c r="AB208" s="5">
        <v>2.1</v>
      </c>
      <c r="AC208" s="2" t="s">
        <v>235</v>
      </c>
      <c r="AD208" s="4"/>
      <c r="AE208" s="4"/>
      <c r="AF208" s="6">
        <v>69</v>
      </c>
      <c r="AG208" s="6"/>
      <c r="AH208" s="7">
        <v>1</v>
      </c>
      <c r="AI208" s="4"/>
      <c r="AJ208" s="4">
        <f>=ROUNDDOWN({0},0)</f>
      </c>
      <c r="AK208" s="5"/>
      <c r="AL208" s="2" t="s">
        <v>235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235</v>
      </c>
      <c r="BD208" s="8" t="s">
        <v>235</v>
      </c>
      <c r="BE208" s="4" t="s">
        <v>235</v>
      </c>
      <c r="BF208" s="8" t="s">
        <v>235</v>
      </c>
      <c r="BG208" s="7" t="s">
        <v>235</v>
      </c>
      <c r="BH208" s="7" t="s">
        <v>235</v>
      </c>
      <c r="BI208" s="7"/>
      <c r="BJ208" s="4">
        <v>16</v>
      </c>
      <c r="BK208" s="8">
        <v>371.47</v>
      </c>
      <c r="BL208" s="2" t="s">
        <v>388</v>
      </c>
      <c r="BM208" s="7"/>
      <c r="BN208" s="7"/>
      <c r="BO208" s="4"/>
      <c r="BP208" s="8"/>
      <c r="BQ208" s="4"/>
      <c r="BR208" s="8"/>
      <c r="BS208" s="7"/>
      <c r="BT208" s="7"/>
      <c r="BU208" s="2" t="s">
        <v>949</v>
      </c>
      <c r="BV208" s="2" t="s">
        <v>618</v>
      </c>
      <c r="BW208" s="2" t="s">
        <v>235</v>
      </c>
      <c r="BX208" s="2" t="s">
        <v>244</v>
      </c>
      <c r="BY208" s="2" t="s">
        <v>245</v>
      </c>
      <c r="BZ208" s="2" t="s">
        <v>232</v>
      </c>
      <c r="CA208" s="2" t="s">
        <v>950</v>
      </c>
      <c r="CB208" s="2" t="s">
        <v>958</v>
      </c>
      <c r="CC208" s="2" t="s">
        <v>248</v>
      </c>
      <c r="CD208" s="2" t="s">
        <v>248</v>
      </c>
      <c r="CE208" s="2" t="s">
        <v>235</v>
      </c>
      <c r="CF208" s="4">
        <v>701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>
        <v>701</v>
      </c>
      <c r="GE208" s="4">
        <v>699</v>
      </c>
      <c r="GF208" s="4">
        <v>697</v>
      </c>
      <c r="GG208" s="4">
        <v>695</v>
      </c>
      <c r="GH208" s="4">
        <v>693</v>
      </c>
      <c r="GI208" s="4">
        <v>691</v>
      </c>
      <c r="GJ208" s="4">
        <v>689</v>
      </c>
      <c r="GK208" s="4">
        <v>687</v>
      </c>
      <c r="GL208" s="4">
        <v>685</v>
      </c>
      <c r="GM208" s="4">
        <v>683</v>
      </c>
      <c r="GN208" s="4">
        <v>681</v>
      </c>
      <c r="GO208" s="4">
        <v>679</v>
      </c>
      <c r="GP208" s="4">
        <v>676</v>
      </c>
      <c r="GQ208" s="4">
        <v>672</v>
      </c>
      <c r="GR208" s="4">
        <v>667</v>
      </c>
      <c r="GS208" s="4">
        <v>663</v>
      </c>
      <c r="GT208" s="4">
        <v>660</v>
      </c>
      <c r="GU208" s="4">
        <v>658</v>
      </c>
      <c r="GV208" s="4">
        <v>656</v>
      </c>
      <c r="GW208" s="4">
        <v>654</v>
      </c>
      <c r="GX208" s="4">
        <v>652</v>
      </c>
      <c r="GY208" s="4">
        <v>650</v>
      </c>
      <c r="GZ208" s="4">
        <v>648</v>
      </c>
      <c r="HA208" s="4">
        <v>646</v>
      </c>
      <c r="HB208" s="4">
        <v>644</v>
      </c>
      <c r="HC208" s="4">
        <v>642</v>
      </c>
      <c r="HD208" s="19">
        <v>350.5</v>
      </c>
      <c r="HE208" s="19">
        <v>349.5</v>
      </c>
      <c r="HF208" s="19">
        <v>348.5</v>
      </c>
      <c r="HG208" s="19">
        <v>347.5</v>
      </c>
      <c r="HH208" s="19">
        <v>346.5</v>
      </c>
      <c r="HI208" s="19">
        <v>345.5</v>
      </c>
      <c r="HJ208" s="19">
        <v>344.5</v>
      </c>
      <c r="HK208" s="19">
        <v>343.5</v>
      </c>
      <c r="HL208" s="19">
        <v>342.5</v>
      </c>
      <c r="HM208" s="19">
        <v>227.7</v>
      </c>
      <c r="HN208" s="19">
        <v>170.3</v>
      </c>
      <c r="HO208" s="19">
        <v>169.8</v>
      </c>
      <c r="HP208" s="19">
        <v>169</v>
      </c>
      <c r="HQ208" s="19">
        <v>168</v>
      </c>
      <c r="HR208" s="19">
        <v>222.3</v>
      </c>
      <c r="HS208" s="19">
        <v>331.5</v>
      </c>
      <c r="HT208" s="19">
        <v>330</v>
      </c>
      <c r="HU208" s="19">
        <v>329</v>
      </c>
      <c r="HV208" s="19">
        <v>328</v>
      </c>
      <c r="HW208" s="19">
        <v>327</v>
      </c>
      <c r="HX208" s="19">
        <v>326</v>
      </c>
      <c r="HY208" s="19">
        <v>325</v>
      </c>
      <c r="HZ208" s="19">
        <v>324</v>
      </c>
      <c r="IA208" s="19">
        <v>323</v>
      </c>
      <c r="IB208" s="19">
        <v>322</v>
      </c>
      <c r="IC208" s="19">
        <v>321</v>
      </c>
    </row>
    <row r="209">
      <c r="A209" s="2" t="s">
        <v>959</v>
      </c>
      <c r="B209" s="2" t="s">
        <v>800</v>
      </c>
      <c r="C209" s="2" t="s">
        <v>801</v>
      </c>
      <c r="D209" s="2" t="s">
        <v>960</v>
      </c>
      <c r="E209" s="2" t="s">
        <v>961</v>
      </c>
      <c r="F209" s="2" t="s">
        <v>962</v>
      </c>
      <c r="G209" s="2" t="s">
        <v>962</v>
      </c>
      <c r="H209" s="2" t="s">
        <v>962</v>
      </c>
      <c r="I209" s="2" t="s">
        <v>963</v>
      </c>
      <c r="J209" s="2" t="s">
        <v>897</v>
      </c>
      <c r="K209" s="2" t="s">
        <v>964</v>
      </c>
      <c r="L209" s="3">
        <v>39.85</v>
      </c>
      <c r="M209" s="3">
        <v>41.84</v>
      </c>
      <c r="N209" s="3">
        <v>79.99</v>
      </c>
      <c r="O209" s="2" t="s">
        <v>232</v>
      </c>
      <c r="P209" s="2" t="s">
        <v>965</v>
      </c>
      <c r="Q209" s="2" t="s">
        <v>234</v>
      </c>
      <c r="R209" s="2" t="s">
        <v>235</v>
      </c>
      <c r="S209" s="2" t="s">
        <v>235</v>
      </c>
      <c r="T209" s="2" t="s">
        <v>235</v>
      </c>
      <c r="U209" s="2" t="s">
        <v>807</v>
      </c>
      <c r="V209" s="2" t="s">
        <v>808</v>
      </c>
      <c r="W209" s="2" t="s">
        <v>671</v>
      </c>
      <c r="X209" s="2" t="s">
        <v>966</v>
      </c>
      <c r="Y209" s="2" t="s">
        <v>967</v>
      </c>
      <c r="Z209" s="4">
        <v>1</v>
      </c>
      <c r="AA209" s="4">
        <f>=ROUNDDOWN(0.333333333333333,0)</f>
      </c>
      <c r="AB209" s="5">
        <v>3</v>
      </c>
      <c r="AC209" s="2" t="s">
        <v>185</v>
      </c>
      <c r="AD209" s="4">
        <v>100</v>
      </c>
      <c r="AE209" s="4">
        <v>100</v>
      </c>
      <c r="AF209" s="6">
        <v>64</v>
      </c>
      <c r="AG209" s="6"/>
      <c r="AH209" s="7">
        <v>0</v>
      </c>
      <c r="AI209" s="4"/>
      <c r="AJ209" s="4">
        <f>=ROUNDDOWN({0},0)</f>
      </c>
      <c r="AK209" s="5"/>
      <c r="AL209" s="2" t="s">
        <v>235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968</v>
      </c>
      <c r="BM209" s="7"/>
      <c r="BN209" s="7"/>
      <c r="BO209" s="4"/>
      <c r="BP209" s="8"/>
      <c r="BQ209" s="4"/>
      <c r="BR209" s="8"/>
      <c r="BS209" s="7"/>
      <c r="BT209" s="7"/>
      <c r="BU209" s="2" t="s">
        <v>969</v>
      </c>
      <c r="BV209" s="2" t="s">
        <v>813</v>
      </c>
      <c r="BW209" s="2" t="s">
        <v>235</v>
      </c>
      <c r="BX209" s="2" t="s">
        <v>244</v>
      </c>
      <c r="BY209" s="2" t="s">
        <v>245</v>
      </c>
      <c r="BZ209" s="2" t="s">
        <v>232</v>
      </c>
      <c r="CA209" s="2" t="s">
        <v>970</v>
      </c>
      <c r="CB209" s="2" t="s">
        <v>971</v>
      </c>
      <c r="CC209" s="2" t="s">
        <v>248</v>
      </c>
      <c r="CD209" s="2" t="s">
        <v>248</v>
      </c>
      <c r="CE209" s="2" t="s">
        <v>235</v>
      </c>
      <c r="CF209" s="4"/>
      <c r="CG209" s="4">
        <v>1</v>
      </c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>
        <v>100</v>
      </c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>
        <v>1</v>
      </c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>
        <v>100</v>
      </c>
      <c r="GP209" s="4">
        <v>89</v>
      </c>
      <c r="GQ209" s="4">
        <v>86</v>
      </c>
      <c r="GR209" s="4">
        <v>83</v>
      </c>
      <c r="GS209" s="4">
        <v>79</v>
      </c>
      <c r="GT209" s="4">
        <v>76</v>
      </c>
      <c r="GU209" s="4">
        <v>73</v>
      </c>
      <c r="GV209" s="4">
        <v>70</v>
      </c>
      <c r="GW209" s="4">
        <v>67</v>
      </c>
      <c r="GX209" s="4">
        <v>64</v>
      </c>
      <c r="GY209" s="4">
        <v>61</v>
      </c>
      <c r="GZ209" s="4">
        <v>58</v>
      </c>
      <c r="HA209" s="4">
        <v>55</v>
      </c>
      <c r="HB209" s="4">
        <v>52</v>
      </c>
      <c r="HC209" s="4">
        <v>49</v>
      </c>
      <c r="HD209" s="19">
        <v>0.5</v>
      </c>
      <c r="HE209" s="20">
        <v>0</v>
      </c>
      <c r="HF209" s="20">
        <v>0</v>
      </c>
      <c r="HG209" s="20">
        <v>0</v>
      </c>
      <c r="HH209" s="20">
        <v>0</v>
      </c>
      <c r="HI209" s="20">
        <v>0</v>
      </c>
      <c r="HJ209" s="20">
        <v>0</v>
      </c>
      <c r="HK209" s="20">
        <v>0</v>
      </c>
      <c r="HL209" s="20">
        <v>0</v>
      </c>
      <c r="HM209" s="20">
        <v>0</v>
      </c>
      <c r="HN209" s="20">
        <v>0</v>
      </c>
      <c r="HO209" s="19">
        <v>20</v>
      </c>
      <c r="HP209" s="19">
        <v>29.7</v>
      </c>
      <c r="HQ209" s="19">
        <v>28.7</v>
      </c>
      <c r="HR209" s="19">
        <v>27.7</v>
      </c>
      <c r="HS209" s="19">
        <v>26.3</v>
      </c>
      <c r="HT209" s="19">
        <v>25.3</v>
      </c>
      <c r="HU209" s="19">
        <v>24.3</v>
      </c>
      <c r="HV209" s="19">
        <v>23.3</v>
      </c>
      <c r="HW209" s="19">
        <v>22.3</v>
      </c>
      <c r="HX209" s="19">
        <v>21.3</v>
      </c>
      <c r="HY209" s="19">
        <v>20.3</v>
      </c>
      <c r="HZ209" s="19">
        <v>19.3</v>
      </c>
      <c r="IA209" s="19">
        <v>18.3</v>
      </c>
      <c r="IB209" s="19">
        <v>17.3</v>
      </c>
      <c r="IC209" s="19">
        <v>16.3</v>
      </c>
    </row>
    <row r="210">
      <c r="A210" s="2" t="s">
        <v>972</v>
      </c>
      <c r="B210" s="2" t="s">
        <v>800</v>
      </c>
      <c r="C210" s="2" t="s">
        <v>893</v>
      </c>
      <c r="D210" s="2" t="s">
        <v>960</v>
      </c>
      <c r="E210" s="2" t="s">
        <v>961</v>
      </c>
      <c r="F210" s="2" t="s">
        <v>973</v>
      </c>
      <c r="G210" s="2" t="s">
        <v>973</v>
      </c>
      <c r="H210" s="2" t="s">
        <v>973</v>
      </c>
      <c r="I210" s="2" t="s">
        <v>974</v>
      </c>
      <c r="J210" s="2" t="s">
        <v>897</v>
      </c>
      <c r="K210" s="2" t="s">
        <v>975</v>
      </c>
      <c r="L210" s="3">
        <v>24.5</v>
      </c>
      <c r="M210" s="3">
        <v>25.73</v>
      </c>
      <c r="N210" s="3">
        <v>49.99</v>
      </c>
      <c r="O210" s="2" t="s">
        <v>485</v>
      </c>
      <c r="P210" s="2" t="s">
        <v>408</v>
      </c>
      <c r="Q210" s="2" t="s">
        <v>234</v>
      </c>
      <c r="R210" s="2" t="s">
        <v>235</v>
      </c>
      <c r="S210" s="2" t="s">
        <v>235</v>
      </c>
      <c r="T210" s="2" t="s">
        <v>235</v>
      </c>
      <c r="U210" s="2" t="s">
        <v>807</v>
      </c>
      <c r="V210" s="2" t="s">
        <v>808</v>
      </c>
      <c r="W210" s="2" t="s">
        <v>239</v>
      </c>
      <c r="X210" s="2" t="s">
        <v>682</v>
      </c>
      <c r="Y210" s="2" t="s">
        <v>976</v>
      </c>
      <c r="Z210" s="4"/>
      <c r="AA210" s="4">
        <f>=ROUNDDOWN({0},0)</f>
      </c>
      <c r="AB210" s="5">
        <v>3.9</v>
      </c>
      <c r="AC210" s="2" t="s">
        <v>235</v>
      </c>
      <c r="AD210" s="4"/>
      <c r="AE210" s="4"/>
      <c r="AF210" s="6">
        <v>81</v>
      </c>
      <c r="AG210" s="6"/>
      <c r="AH210" s="7">
        <v>0</v>
      </c>
      <c r="AI210" s="4"/>
      <c r="AJ210" s="4">
        <f>=ROUNDDOWN({0},0)</f>
      </c>
      <c r="AK210" s="5"/>
      <c r="AL210" s="2" t="s">
        <v>235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977</v>
      </c>
      <c r="BM210" s="7"/>
      <c r="BN210" s="7"/>
      <c r="BO210" s="4"/>
      <c r="BP210" s="8"/>
      <c r="BQ210" s="4"/>
      <c r="BR210" s="8"/>
      <c r="BS210" s="7"/>
      <c r="BT210" s="7"/>
      <c r="BU210" s="2" t="s">
        <v>978</v>
      </c>
      <c r="BV210" s="2" t="s">
        <v>813</v>
      </c>
      <c r="BW210" s="2" t="s">
        <v>235</v>
      </c>
      <c r="BX210" s="2" t="s">
        <v>414</v>
      </c>
      <c r="BY210" s="2" t="s">
        <v>245</v>
      </c>
      <c r="BZ210" s="2" t="s">
        <v>232</v>
      </c>
      <c r="CA210" s="2" t="s">
        <v>970</v>
      </c>
      <c r="CB210" s="2" t="s">
        <v>642</v>
      </c>
      <c r="CC210" s="2" t="s">
        <v>248</v>
      </c>
      <c r="CD210" s="2" t="s">
        <v>248</v>
      </c>
      <c r="CE210" s="2" t="s">
        <v>235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20">
        <v>0</v>
      </c>
      <c r="HE210" s="20">
        <v>0</v>
      </c>
      <c r="HF210" s="20">
        <v>0</v>
      </c>
      <c r="HG210" s="20">
        <v>0</v>
      </c>
      <c r="HH210" s="20">
        <v>0</v>
      </c>
      <c r="HI210" s="20">
        <v>0</v>
      </c>
      <c r="HJ210" s="20">
        <v>0</v>
      </c>
      <c r="HK210" s="20">
        <v>0</v>
      </c>
      <c r="HL210" s="20">
        <v>0</v>
      </c>
      <c r="HM210" s="20">
        <v>0</v>
      </c>
      <c r="HN210" s="20">
        <v>0</v>
      </c>
      <c r="HO210" s="20">
        <v>0</v>
      </c>
      <c r="HP210" s="20">
        <v>0</v>
      </c>
      <c r="HQ210" s="20">
        <v>0</v>
      </c>
      <c r="HR210" s="20">
        <v>0</v>
      </c>
      <c r="HS210" s="20">
        <v>0</v>
      </c>
      <c r="HT210" s="20">
        <v>0</v>
      </c>
      <c r="HU210" s="20">
        <v>0</v>
      </c>
      <c r="HV210" s="20">
        <v>0</v>
      </c>
      <c r="HW210" s="20">
        <v>0</v>
      </c>
      <c r="HX210" s="20">
        <v>0</v>
      </c>
      <c r="HY210" s="20">
        <v>0</v>
      </c>
      <c r="HZ210" s="20">
        <v>0</v>
      </c>
      <c r="IA210" s="20">
        <v>0</v>
      </c>
      <c r="IB210" s="20">
        <v>0</v>
      </c>
      <c r="IC210" s="20">
        <v>0</v>
      </c>
    </row>
    <row r="211">
      <c r="A211" s="2" t="s">
        <v>979</v>
      </c>
      <c r="B211" s="2" t="s">
        <v>905</v>
      </c>
      <c r="C211" s="2" t="s">
        <v>980</v>
      </c>
      <c r="D211" s="2" t="s">
        <v>981</v>
      </c>
      <c r="E211" s="2" t="s">
        <v>982</v>
      </c>
      <c r="F211" s="2" t="s">
        <v>983</v>
      </c>
      <c r="G211" s="2" t="s">
        <v>983</v>
      </c>
      <c r="H211" s="2" t="s">
        <v>983</v>
      </c>
      <c r="I211" s="2" t="s">
        <v>984</v>
      </c>
      <c r="J211" s="2" t="s">
        <v>394</v>
      </c>
      <c r="K211" s="2" t="s">
        <v>985</v>
      </c>
      <c r="L211" s="3">
        <v>21.42</v>
      </c>
      <c r="M211" s="3">
        <v>22.5</v>
      </c>
      <c r="N211" s="3">
        <v>44.99</v>
      </c>
      <c r="O211" s="2" t="s">
        <v>232</v>
      </c>
      <c r="P211" s="2" t="s">
        <v>262</v>
      </c>
      <c r="Q211" s="2" t="s">
        <v>234</v>
      </c>
      <c r="R211" s="2" t="s">
        <v>235</v>
      </c>
      <c r="S211" s="2" t="s">
        <v>235</v>
      </c>
      <c r="T211" s="2" t="s">
        <v>263</v>
      </c>
      <c r="U211" s="2" t="s">
        <v>807</v>
      </c>
      <c r="V211" s="2" t="s">
        <v>986</v>
      </c>
      <c r="W211" s="2" t="s">
        <v>682</v>
      </c>
      <c r="X211" s="2" t="s">
        <v>235</v>
      </c>
      <c r="Y211" s="2" t="s">
        <v>235</v>
      </c>
      <c r="Z211" s="4"/>
      <c r="AA211" s="4">
        <f>=ROUNDDOWN({0},0)</f>
      </c>
      <c r="AB211" s="5"/>
      <c r="AC211" s="2" t="s">
        <v>183</v>
      </c>
      <c r="AD211" s="4">
        <v>130</v>
      </c>
      <c r="AE211" s="4">
        <v>130</v>
      </c>
      <c r="AF211" s="6">
        <v>65</v>
      </c>
      <c r="AG211" s="6"/>
      <c r="AH211" s="7"/>
      <c r="AI211" s="4"/>
      <c r="AJ211" s="4">
        <f>=ROUNDDOWN({0},0)</f>
      </c>
      <c r="AK211" s="5"/>
      <c r="AL211" s="2" t="s">
        <v>235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235</v>
      </c>
      <c r="AW211" s="8" t="s">
        <v>235</v>
      </c>
      <c r="AX211" s="4" t="s">
        <v>235</v>
      </c>
      <c r="AY211" s="8" t="s">
        <v>235</v>
      </c>
      <c r="AZ211" s="7" t="s">
        <v>235</v>
      </c>
      <c r="BA211" s="7" t="s">
        <v>235</v>
      </c>
      <c r="BB211" s="7"/>
      <c r="BC211" s="4" t="s">
        <v>235</v>
      </c>
      <c r="BD211" s="8" t="s">
        <v>235</v>
      </c>
      <c r="BE211" s="4" t="s">
        <v>235</v>
      </c>
      <c r="BF211" s="8" t="s">
        <v>235</v>
      </c>
      <c r="BG211" s="7" t="s">
        <v>235</v>
      </c>
      <c r="BH211" s="7" t="s">
        <v>235</v>
      </c>
      <c r="BI211" s="7"/>
      <c r="BJ211" s="4"/>
      <c r="BK211" s="8"/>
      <c r="BL211" s="2" t="s">
        <v>235</v>
      </c>
      <c r="BM211" s="7"/>
      <c r="BN211" s="7"/>
      <c r="BO211" s="4"/>
      <c r="BP211" s="8"/>
      <c r="BQ211" s="4"/>
      <c r="BR211" s="8"/>
      <c r="BS211" s="7"/>
      <c r="BT211" s="7"/>
      <c r="BU211" s="2" t="s">
        <v>330</v>
      </c>
      <c r="BV211" s="2" t="s">
        <v>235</v>
      </c>
      <c r="BW211" s="2" t="s">
        <v>235</v>
      </c>
      <c r="BX211" s="2" t="s">
        <v>330</v>
      </c>
      <c r="BY211" s="2" t="s">
        <v>331</v>
      </c>
      <c r="BZ211" s="2" t="s">
        <v>232</v>
      </c>
      <c r="CA211" s="2" t="s">
        <v>235</v>
      </c>
      <c r="CB211" s="2" t="s">
        <v>235</v>
      </c>
      <c r="CC211" s="2" t="s">
        <v>248</v>
      </c>
      <c r="CD211" s="2" t="s">
        <v>248</v>
      </c>
      <c r="CE211" s="2" t="s">
        <v>235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>
        <v>130</v>
      </c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>
        <v>130</v>
      </c>
      <c r="GP211" s="4">
        <v>129</v>
      </c>
      <c r="GQ211" s="4">
        <v>125</v>
      </c>
      <c r="GR211" s="4">
        <v>123</v>
      </c>
      <c r="GS211" s="4">
        <v>120</v>
      </c>
      <c r="GT211" s="4">
        <v>119</v>
      </c>
      <c r="GU211" s="4">
        <v>118</v>
      </c>
      <c r="GV211" s="4">
        <v>117</v>
      </c>
      <c r="GW211" s="4">
        <v>114</v>
      </c>
      <c r="GX211" s="4">
        <v>111</v>
      </c>
      <c r="GY211" s="4">
        <v>108</v>
      </c>
      <c r="GZ211" s="4">
        <v>105</v>
      </c>
      <c r="HA211" s="4">
        <v>100</v>
      </c>
      <c r="HB211" s="4">
        <v>95</v>
      </c>
      <c r="HC211" s="4">
        <v>88</v>
      </c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19">
        <v>65</v>
      </c>
      <c r="HP211" s="19">
        <v>64.5</v>
      </c>
      <c r="HQ211" s="19">
        <v>62.5</v>
      </c>
      <c r="HR211" s="19">
        <v>61.5</v>
      </c>
      <c r="HS211" s="19">
        <v>60</v>
      </c>
      <c r="HT211" s="19">
        <v>59.5</v>
      </c>
      <c r="HU211" s="19">
        <v>59</v>
      </c>
      <c r="HV211" s="19">
        <v>39</v>
      </c>
      <c r="HW211" s="19">
        <v>28.5</v>
      </c>
      <c r="HX211" s="19">
        <v>27.8</v>
      </c>
      <c r="HY211" s="19">
        <v>21.6</v>
      </c>
      <c r="HZ211" s="19">
        <v>17.5</v>
      </c>
      <c r="IA211" s="19">
        <v>16.7</v>
      </c>
      <c r="IB211" s="19">
        <v>15.8</v>
      </c>
      <c r="IC211" s="19">
        <v>14.7</v>
      </c>
    </row>
    <row r="212">
      <c r="A212" s="2" t="s">
        <v>987</v>
      </c>
      <c r="B212" s="2" t="s">
        <v>905</v>
      </c>
      <c r="C212" s="2" t="s">
        <v>980</v>
      </c>
      <c r="D212" s="2" t="s">
        <v>981</v>
      </c>
      <c r="E212" s="2" t="s">
        <v>982</v>
      </c>
      <c r="F212" s="2" t="s">
        <v>983</v>
      </c>
      <c r="G212" s="2" t="s">
        <v>983</v>
      </c>
      <c r="H212" s="2" t="s">
        <v>983</v>
      </c>
      <c r="I212" s="2" t="s">
        <v>984</v>
      </c>
      <c r="J212" s="2" t="s">
        <v>365</v>
      </c>
      <c r="K212" s="2" t="s">
        <v>985</v>
      </c>
      <c r="L212" s="3">
        <v>26.19</v>
      </c>
      <c r="M212" s="3">
        <v>27.5</v>
      </c>
      <c r="N212" s="3">
        <v>54.99</v>
      </c>
      <c r="O212" s="2" t="s">
        <v>232</v>
      </c>
      <c r="P212" s="2" t="s">
        <v>262</v>
      </c>
      <c r="Q212" s="2" t="s">
        <v>234</v>
      </c>
      <c r="R212" s="2" t="s">
        <v>235</v>
      </c>
      <c r="S212" s="2" t="s">
        <v>235</v>
      </c>
      <c r="T212" s="2" t="s">
        <v>263</v>
      </c>
      <c r="U212" s="2" t="s">
        <v>807</v>
      </c>
      <c r="V212" s="2" t="s">
        <v>986</v>
      </c>
      <c r="W212" s="2" t="s">
        <v>682</v>
      </c>
      <c r="X212" s="2" t="s">
        <v>235</v>
      </c>
      <c r="Y212" s="2" t="s">
        <v>235</v>
      </c>
      <c r="Z212" s="4"/>
      <c r="AA212" s="4">
        <f>=ROUNDDOWN({0},0)</f>
      </c>
      <c r="AB212" s="5"/>
      <c r="AC212" s="2" t="s">
        <v>183</v>
      </c>
      <c r="AD212" s="4">
        <v>230</v>
      </c>
      <c r="AE212" s="4">
        <v>230</v>
      </c>
      <c r="AF212" s="6">
        <v>65</v>
      </c>
      <c r="AG212" s="6"/>
      <c r="AH212" s="7"/>
      <c r="AI212" s="4"/>
      <c r="AJ212" s="4">
        <f>=ROUNDDOWN({0},0)</f>
      </c>
      <c r="AK212" s="5"/>
      <c r="AL212" s="2" t="s">
        <v>235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235</v>
      </c>
      <c r="AW212" s="8" t="s">
        <v>235</v>
      </c>
      <c r="AX212" s="4" t="s">
        <v>235</v>
      </c>
      <c r="AY212" s="8" t="s">
        <v>235</v>
      </c>
      <c r="AZ212" s="7" t="s">
        <v>235</v>
      </c>
      <c r="BA212" s="7" t="s">
        <v>235</v>
      </c>
      <c r="BB212" s="7"/>
      <c r="BC212" s="4" t="s">
        <v>235</v>
      </c>
      <c r="BD212" s="8" t="s">
        <v>235</v>
      </c>
      <c r="BE212" s="4" t="s">
        <v>235</v>
      </c>
      <c r="BF212" s="8" t="s">
        <v>235</v>
      </c>
      <c r="BG212" s="7" t="s">
        <v>235</v>
      </c>
      <c r="BH212" s="7" t="s">
        <v>235</v>
      </c>
      <c r="BI212" s="7"/>
      <c r="BJ212" s="4"/>
      <c r="BK212" s="8"/>
      <c r="BL212" s="2" t="s">
        <v>235</v>
      </c>
      <c r="BM212" s="7"/>
      <c r="BN212" s="7"/>
      <c r="BO212" s="4"/>
      <c r="BP212" s="8"/>
      <c r="BQ212" s="4"/>
      <c r="BR212" s="8"/>
      <c r="BS212" s="7"/>
      <c r="BT212" s="7"/>
      <c r="BU212" s="2" t="s">
        <v>330</v>
      </c>
      <c r="BV212" s="2" t="s">
        <v>235</v>
      </c>
      <c r="BW212" s="2" t="s">
        <v>235</v>
      </c>
      <c r="BX212" s="2" t="s">
        <v>330</v>
      </c>
      <c r="BY212" s="2" t="s">
        <v>331</v>
      </c>
      <c r="BZ212" s="2" t="s">
        <v>232</v>
      </c>
      <c r="CA212" s="2" t="s">
        <v>235</v>
      </c>
      <c r="CB212" s="2" t="s">
        <v>235</v>
      </c>
      <c r="CC212" s="2" t="s">
        <v>248</v>
      </c>
      <c r="CD212" s="2" t="s">
        <v>248</v>
      </c>
      <c r="CE212" s="2" t="s">
        <v>235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>
        <v>230</v>
      </c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>
        <v>230</v>
      </c>
      <c r="GP212" s="4">
        <v>226</v>
      </c>
      <c r="GQ212" s="4">
        <v>211</v>
      </c>
      <c r="GR212" s="4">
        <v>201</v>
      </c>
      <c r="GS212" s="4">
        <v>191</v>
      </c>
      <c r="GT212" s="4">
        <v>185</v>
      </c>
      <c r="GU212" s="4">
        <v>183</v>
      </c>
      <c r="GV212" s="4">
        <v>179</v>
      </c>
      <c r="GW212" s="4">
        <v>171</v>
      </c>
      <c r="GX212" s="4">
        <v>163</v>
      </c>
      <c r="GY212" s="4">
        <v>155</v>
      </c>
      <c r="GZ212" s="4">
        <v>147</v>
      </c>
      <c r="HA212" s="4">
        <v>137</v>
      </c>
      <c r="HB212" s="4">
        <v>127</v>
      </c>
      <c r="HC212" s="4">
        <v>114</v>
      </c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19">
        <v>23</v>
      </c>
      <c r="HP212" s="19">
        <v>22.6</v>
      </c>
      <c r="HQ212" s="19">
        <v>30.1</v>
      </c>
      <c r="HR212" s="19">
        <v>33.5</v>
      </c>
      <c r="HS212" s="19">
        <v>38.2</v>
      </c>
      <c r="HT212" s="19">
        <v>30.8</v>
      </c>
      <c r="HU212" s="19">
        <v>26.1</v>
      </c>
      <c r="HV212" s="19">
        <v>22.4</v>
      </c>
      <c r="HW212" s="19">
        <v>21.4</v>
      </c>
      <c r="HX212" s="19">
        <v>18.1</v>
      </c>
      <c r="HY212" s="19">
        <v>15.5</v>
      </c>
      <c r="HZ212" s="19">
        <v>13.4</v>
      </c>
      <c r="IA212" s="19">
        <v>11.4</v>
      </c>
      <c r="IB212" s="19">
        <v>10.6</v>
      </c>
      <c r="IC212" s="19">
        <v>9.5</v>
      </c>
    </row>
    <row r="213">
      <c r="A213" s="2" t="s">
        <v>988</v>
      </c>
      <c r="B213" s="2" t="s">
        <v>905</v>
      </c>
      <c r="C213" s="2" t="s">
        <v>980</v>
      </c>
      <c r="D213" s="2" t="s">
        <v>981</v>
      </c>
      <c r="E213" s="2" t="s">
        <v>982</v>
      </c>
      <c r="F213" s="2" t="s">
        <v>983</v>
      </c>
      <c r="G213" s="2" t="s">
        <v>983</v>
      </c>
      <c r="H213" s="2" t="s">
        <v>983</v>
      </c>
      <c r="I213" s="2" t="s">
        <v>984</v>
      </c>
      <c r="J213" s="2" t="s">
        <v>270</v>
      </c>
      <c r="K213" s="2" t="s">
        <v>985</v>
      </c>
      <c r="L213" s="3">
        <v>30.95</v>
      </c>
      <c r="M213" s="3">
        <v>32.5</v>
      </c>
      <c r="N213" s="3">
        <v>64.99</v>
      </c>
      <c r="O213" s="2" t="s">
        <v>232</v>
      </c>
      <c r="P213" s="2" t="s">
        <v>262</v>
      </c>
      <c r="Q213" s="2" t="s">
        <v>234</v>
      </c>
      <c r="R213" s="2" t="s">
        <v>235</v>
      </c>
      <c r="S213" s="2" t="s">
        <v>235</v>
      </c>
      <c r="T213" s="2" t="s">
        <v>263</v>
      </c>
      <c r="U213" s="2" t="s">
        <v>807</v>
      </c>
      <c r="V213" s="2" t="s">
        <v>986</v>
      </c>
      <c r="W213" s="2" t="s">
        <v>682</v>
      </c>
      <c r="X213" s="2" t="s">
        <v>235</v>
      </c>
      <c r="Y213" s="2" t="s">
        <v>235</v>
      </c>
      <c r="Z213" s="4"/>
      <c r="AA213" s="4">
        <f>=ROUNDDOWN({0},0)</f>
      </c>
      <c r="AB213" s="5"/>
      <c r="AC213" s="2" t="s">
        <v>183</v>
      </c>
      <c r="AD213" s="4">
        <v>220</v>
      </c>
      <c r="AE213" s="4">
        <v>220</v>
      </c>
      <c r="AF213" s="6">
        <v>65</v>
      </c>
      <c r="AG213" s="6"/>
      <c r="AH213" s="7"/>
      <c r="AI213" s="4"/>
      <c r="AJ213" s="4">
        <f>=ROUNDDOWN({0},0)</f>
      </c>
      <c r="AK213" s="5"/>
      <c r="AL213" s="2" t="s">
        <v>235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235</v>
      </c>
      <c r="AW213" s="8" t="s">
        <v>235</v>
      </c>
      <c r="AX213" s="4" t="s">
        <v>235</v>
      </c>
      <c r="AY213" s="8" t="s">
        <v>235</v>
      </c>
      <c r="AZ213" s="7" t="s">
        <v>235</v>
      </c>
      <c r="BA213" s="7" t="s">
        <v>235</v>
      </c>
      <c r="BB213" s="7"/>
      <c r="BC213" s="4" t="s">
        <v>235</v>
      </c>
      <c r="BD213" s="8" t="s">
        <v>235</v>
      </c>
      <c r="BE213" s="4" t="s">
        <v>235</v>
      </c>
      <c r="BF213" s="8" t="s">
        <v>235</v>
      </c>
      <c r="BG213" s="7" t="s">
        <v>235</v>
      </c>
      <c r="BH213" s="7" t="s">
        <v>235</v>
      </c>
      <c r="BI213" s="7"/>
      <c r="BJ213" s="4"/>
      <c r="BK213" s="8"/>
      <c r="BL213" s="2" t="s">
        <v>235</v>
      </c>
      <c r="BM213" s="7"/>
      <c r="BN213" s="7"/>
      <c r="BO213" s="4"/>
      <c r="BP213" s="8"/>
      <c r="BQ213" s="4"/>
      <c r="BR213" s="8"/>
      <c r="BS213" s="7"/>
      <c r="BT213" s="7"/>
      <c r="BU213" s="2" t="s">
        <v>330</v>
      </c>
      <c r="BV213" s="2" t="s">
        <v>235</v>
      </c>
      <c r="BW213" s="2" t="s">
        <v>235</v>
      </c>
      <c r="BX213" s="2" t="s">
        <v>330</v>
      </c>
      <c r="BY213" s="2" t="s">
        <v>331</v>
      </c>
      <c r="BZ213" s="2" t="s">
        <v>232</v>
      </c>
      <c r="CA213" s="2" t="s">
        <v>235</v>
      </c>
      <c r="CB213" s="2" t="s">
        <v>235</v>
      </c>
      <c r="CC213" s="2" t="s">
        <v>248</v>
      </c>
      <c r="CD213" s="2" t="s">
        <v>248</v>
      </c>
      <c r="CE213" s="2" t="s">
        <v>235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>
        <v>220</v>
      </c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>
        <v>220</v>
      </c>
      <c r="GP213" s="4">
        <v>216</v>
      </c>
      <c r="GQ213" s="4">
        <v>207</v>
      </c>
      <c r="GR213" s="4">
        <v>200</v>
      </c>
      <c r="GS213" s="4">
        <v>192</v>
      </c>
      <c r="GT213" s="4">
        <v>189</v>
      </c>
      <c r="GU213" s="4">
        <v>186</v>
      </c>
      <c r="GV213" s="4">
        <v>183</v>
      </c>
      <c r="GW213" s="4">
        <v>177</v>
      </c>
      <c r="GX213" s="4">
        <v>171</v>
      </c>
      <c r="GY213" s="4">
        <v>165</v>
      </c>
      <c r="GZ213" s="4">
        <v>159</v>
      </c>
      <c r="HA213" s="4">
        <v>153</v>
      </c>
      <c r="HB213" s="4">
        <v>147</v>
      </c>
      <c r="HC213" s="4">
        <v>138</v>
      </c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19">
        <v>31.4</v>
      </c>
      <c r="HP213" s="19">
        <v>30.9</v>
      </c>
      <c r="HQ213" s="19">
        <v>41.4</v>
      </c>
      <c r="HR213" s="19">
        <v>50</v>
      </c>
      <c r="HS213" s="19">
        <v>48</v>
      </c>
      <c r="HT213" s="19">
        <v>47.3</v>
      </c>
      <c r="HU213" s="19">
        <v>37.2</v>
      </c>
      <c r="HV213" s="19">
        <v>30.5</v>
      </c>
      <c r="HW213" s="19">
        <v>29.5</v>
      </c>
      <c r="HX213" s="19">
        <v>28.5</v>
      </c>
      <c r="HY213" s="19">
        <v>23.6</v>
      </c>
      <c r="HZ213" s="19">
        <v>19.9</v>
      </c>
      <c r="IA213" s="19">
        <v>19.1</v>
      </c>
      <c r="IB213" s="19">
        <v>16.3</v>
      </c>
      <c r="IC213" s="19">
        <v>13.8</v>
      </c>
    </row>
    <row r="214">
      <c r="A214" s="2" t="s">
        <v>989</v>
      </c>
      <c r="B214" s="2" t="s">
        <v>905</v>
      </c>
      <c r="C214" s="2" t="s">
        <v>980</v>
      </c>
      <c r="D214" s="2" t="s">
        <v>990</v>
      </c>
      <c r="E214" s="2" t="s">
        <v>991</v>
      </c>
      <c r="F214" s="2" t="s">
        <v>983</v>
      </c>
      <c r="G214" s="2" t="s">
        <v>983</v>
      </c>
      <c r="H214" s="2" t="s">
        <v>983</v>
      </c>
      <c r="I214" s="2" t="s">
        <v>992</v>
      </c>
      <c r="J214" s="2" t="s">
        <v>993</v>
      </c>
      <c r="K214" s="2" t="s">
        <v>985</v>
      </c>
      <c r="L214" s="3">
        <v>19.04</v>
      </c>
      <c r="M214" s="3">
        <v>20</v>
      </c>
      <c r="N214" s="3">
        <v>39.99</v>
      </c>
      <c r="O214" s="2" t="s">
        <v>232</v>
      </c>
      <c r="P214" s="2" t="s">
        <v>262</v>
      </c>
      <c r="Q214" s="2" t="s">
        <v>234</v>
      </c>
      <c r="R214" s="2" t="s">
        <v>235</v>
      </c>
      <c r="S214" s="2" t="s">
        <v>235</v>
      </c>
      <c r="T214" s="2" t="s">
        <v>263</v>
      </c>
      <c r="U214" s="2" t="s">
        <v>807</v>
      </c>
      <c r="V214" s="2" t="s">
        <v>986</v>
      </c>
      <c r="W214" s="2" t="s">
        <v>682</v>
      </c>
      <c r="X214" s="2" t="s">
        <v>235</v>
      </c>
      <c r="Y214" s="2" t="s">
        <v>235</v>
      </c>
      <c r="Z214" s="4"/>
      <c r="AA214" s="4">
        <f>=ROUNDDOWN({0},0)</f>
      </c>
      <c r="AB214" s="5"/>
      <c r="AC214" s="2" t="s">
        <v>183</v>
      </c>
      <c r="AD214" s="4">
        <v>410</v>
      </c>
      <c r="AE214" s="4">
        <v>410</v>
      </c>
      <c r="AF214" s="6">
        <v>65</v>
      </c>
      <c r="AG214" s="6"/>
      <c r="AH214" s="7"/>
      <c r="AI214" s="4"/>
      <c r="AJ214" s="4">
        <f>=ROUNDDOWN({0},0)</f>
      </c>
      <c r="AK214" s="5"/>
      <c r="AL214" s="2" t="s">
        <v>235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235</v>
      </c>
      <c r="AW214" s="8" t="s">
        <v>235</v>
      </c>
      <c r="AX214" s="4" t="s">
        <v>235</v>
      </c>
      <c r="AY214" s="8" t="s">
        <v>235</v>
      </c>
      <c r="AZ214" s="7" t="s">
        <v>235</v>
      </c>
      <c r="BA214" s="7" t="s">
        <v>235</v>
      </c>
      <c r="BB214" s="7"/>
      <c r="BC214" s="4" t="s">
        <v>235</v>
      </c>
      <c r="BD214" s="8" t="s">
        <v>235</v>
      </c>
      <c r="BE214" s="4" t="s">
        <v>235</v>
      </c>
      <c r="BF214" s="8" t="s">
        <v>235</v>
      </c>
      <c r="BG214" s="7" t="s">
        <v>235</v>
      </c>
      <c r="BH214" s="7" t="s">
        <v>235</v>
      </c>
      <c r="BI214" s="7"/>
      <c r="BJ214" s="4"/>
      <c r="BK214" s="8"/>
      <c r="BL214" s="2" t="s">
        <v>235</v>
      </c>
      <c r="BM214" s="7"/>
      <c r="BN214" s="7"/>
      <c r="BO214" s="4"/>
      <c r="BP214" s="8"/>
      <c r="BQ214" s="4"/>
      <c r="BR214" s="8"/>
      <c r="BS214" s="7"/>
      <c r="BT214" s="7"/>
      <c r="BU214" s="2" t="s">
        <v>330</v>
      </c>
      <c r="BV214" s="2" t="s">
        <v>235</v>
      </c>
      <c r="BW214" s="2" t="s">
        <v>235</v>
      </c>
      <c r="BX214" s="2" t="s">
        <v>330</v>
      </c>
      <c r="BY214" s="2" t="s">
        <v>331</v>
      </c>
      <c r="BZ214" s="2" t="s">
        <v>232</v>
      </c>
      <c r="CA214" s="2" t="s">
        <v>235</v>
      </c>
      <c r="CB214" s="2" t="s">
        <v>235</v>
      </c>
      <c r="CC214" s="2" t="s">
        <v>248</v>
      </c>
      <c r="CD214" s="2" t="s">
        <v>248</v>
      </c>
      <c r="CE214" s="2" t="s">
        <v>235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>
        <v>410</v>
      </c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>
        <v>410</v>
      </c>
      <c r="GP214" s="4">
        <v>405</v>
      </c>
      <c r="GQ214" s="4">
        <v>394</v>
      </c>
      <c r="GR214" s="4">
        <v>386</v>
      </c>
      <c r="GS214" s="4">
        <v>373</v>
      </c>
      <c r="GT214" s="4">
        <v>366</v>
      </c>
      <c r="GU214" s="4">
        <v>358</v>
      </c>
      <c r="GV214" s="4">
        <v>350</v>
      </c>
      <c r="GW214" s="4">
        <v>345</v>
      </c>
      <c r="GX214" s="4">
        <v>340</v>
      </c>
      <c r="GY214" s="4">
        <v>335</v>
      </c>
      <c r="GZ214" s="4">
        <v>330</v>
      </c>
      <c r="HA214" s="4">
        <v>322</v>
      </c>
      <c r="HB214" s="4">
        <v>314</v>
      </c>
      <c r="HC214" s="4">
        <v>301</v>
      </c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19">
        <v>45.6</v>
      </c>
      <c r="HP214" s="19">
        <v>40.5</v>
      </c>
      <c r="HQ214" s="19">
        <v>43.8</v>
      </c>
      <c r="HR214" s="19">
        <v>42.9</v>
      </c>
      <c r="HS214" s="19">
        <v>53.3</v>
      </c>
      <c r="HT214" s="19">
        <v>61</v>
      </c>
      <c r="HU214" s="19">
        <v>59.7</v>
      </c>
      <c r="HV214" s="19">
        <v>70</v>
      </c>
      <c r="HW214" s="19">
        <v>57.5</v>
      </c>
      <c r="HX214" s="19">
        <v>56.7</v>
      </c>
      <c r="HY214" s="19">
        <v>41.9</v>
      </c>
      <c r="HZ214" s="19">
        <v>33</v>
      </c>
      <c r="IA214" s="19">
        <v>29.3</v>
      </c>
      <c r="IB214" s="19">
        <v>26.2</v>
      </c>
      <c r="IC214" s="19">
        <v>25.1</v>
      </c>
    </row>
    <row r="215">
      <c r="A215" s="2" t="s">
        <v>994</v>
      </c>
      <c r="B215" s="2" t="s">
        <v>905</v>
      </c>
      <c r="C215" s="2" t="s">
        <v>980</v>
      </c>
      <c r="D215" s="2" t="s">
        <v>981</v>
      </c>
      <c r="E215" s="2" t="s">
        <v>982</v>
      </c>
      <c r="F215" s="2" t="s">
        <v>983</v>
      </c>
      <c r="G215" s="2" t="s">
        <v>983</v>
      </c>
      <c r="H215" s="2" t="s">
        <v>983</v>
      </c>
      <c r="I215" s="2" t="s">
        <v>984</v>
      </c>
      <c r="J215" s="2" t="s">
        <v>394</v>
      </c>
      <c r="K215" s="2" t="s">
        <v>995</v>
      </c>
      <c r="L215" s="3">
        <v>21.42</v>
      </c>
      <c r="M215" s="3">
        <v>22.5</v>
      </c>
      <c r="N215" s="3">
        <v>44.99</v>
      </c>
      <c r="O215" s="2" t="s">
        <v>232</v>
      </c>
      <c r="P215" s="2" t="s">
        <v>262</v>
      </c>
      <c r="Q215" s="2" t="s">
        <v>234</v>
      </c>
      <c r="R215" s="2" t="s">
        <v>235</v>
      </c>
      <c r="S215" s="2" t="s">
        <v>235</v>
      </c>
      <c r="T215" s="2" t="s">
        <v>263</v>
      </c>
      <c r="U215" s="2" t="s">
        <v>807</v>
      </c>
      <c r="V215" s="2" t="s">
        <v>420</v>
      </c>
      <c r="W215" s="2" t="s">
        <v>682</v>
      </c>
      <c r="X215" s="2" t="s">
        <v>235</v>
      </c>
      <c r="Y215" s="2" t="s">
        <v>235</v>
      </c>
      <c r="Z215" s="4"/>
      <c r="AA215" s="4">
        <f>=ROUNDDOWN({0},0)</f>
      </c>
      <c r="AB215" s="5"/>
      <c r="AC215" s="2" t="s">
        <v>183</v>
      </c>
      <c r="AD215" s="4">
        <v>130</v>
      </c>
      <c r="AE215" s="4">
        <v>130</v>
      </c>
      <c r="AF215" s="6">
        <v>65</v>
      </c>
      <c r="AG215" s="6"/>
      <c r="AH215" s="7"/>
      <c r="AI215" s="4"/>
      <c r="AJ215" s="4">
        <f>=ROUNDDOWN({0},0)</f>
      </c>
      <c r="AK215" s="5"/>
      <c r="AL215" s="2" t="s">
        <v>235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235</v>
      </c>
      <c r="AW215" s="8" t="s">
        <v>235</v>
      </c>
      <c r="AX215" s="4" t="s">
        <v>235</v>
      </c>
      <c r="AY215" s="8" t="s">
        <v>235</v>
      </c>
      <c r="AZ215" s="7" t="s">
        <v>235</v>
      </c>
      <c r="BA215" s="7" t="s">
        <v>235</v>
      </c>
      <c r="BB215" s="7"/>
      <c r="BC215" s="4" t="s">
        <v>235</v>
      </c>
      <c r="BD215" s="8" t="s">
        <v>235</v>
      </c>
      <c r="BE215" s="4" t="s">
        <v>235</v>
      </c>
      <c r="BF215" s="8" t="s">
        <v>235</v>
      </c>
      <c r="BG215" s="7" t="s">
        <v>235</v>
      </c>
      <c r="BH215" s="7" t="s">
        <v>235</v>
      </c>
      <c r="BI215" s="7"/>
      <c r="BJ215" s="4"/>
      <c r="BK215" s="8"/>
      <c r="BL215" s="2" t="s">
        <v>235</v>
      </c>
      <c r="BM215" s="7"/>
      <c r="BN215" s="7"/>
      <c r="BO215" s="4"/>
      <c r="BP215" s="8"/>
      <c r="BQ215" s="4"/>
      <c r="BR215" s="8"/>
      <c r="BS215" s="7"/>
      <c r="BT215" s="7"/>
      <c r="BU215" s="2" t="s">
        <v>330</v>
      </c>
      <c r="BV215" s="2" t="s">
        <v>235</v>
      </c>
      <c r="BW215" s="2" t="s">
        <v>235</v>
      </c>
      <c r="BX215" s="2" t="s">
        <v>330</v>
      </c>
      <c r="BY215" s="2" t="s">
        <v>331</v>
      </c>
      <c r="BZ215" s="2" t="s">
        <v>232</v>
      </c>
      <c r="CA215" s="2" t="s">
        <v>235</v>
      </c>
      <c r="CB215" s="2" t="s">
        <v>235</v>
      </c>
      <c r="CC215" s="2" t="s">
        <v>248</v>
      </c>
      <c r="CD215" s="2" t="s">
        <v>248</v>
      </c>
      <c r="CE215" s="2" t="s">
        <v>235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>
        <v>130</v>
      </c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>
        <v>130</v>
      </c>
      <c r="GP215" s="4">
        <v>129</v>
      </c>
      <c r="GQ215" s="4">
        <v>125</v>
      </c>
      <c r="GR215" s="4">
        <v>123</v>
      </c>
      <c r="GS215" s="4">
        <v>120</v>
      </c>
      <c r="GT215" s="4">
        <v>119</v>
      </c>
      <c r="GU215" s="4">
        <v>118</v>
      </c>
      <c r="GV215" s="4">
        <v>117</v>
      </c>
      <c r="GW215" s="4">
        <v>114</v>
      </c>
      <c r="GX215" s="4">
        <v>111</v>
      </c>
      <c r="GY215" s="4">
        <v>108</v>
      </c>
      <c r="GZ215" s="4">
        <v>105</v>
      </c>
      <c r="HA215" s="4">
        <v>100</v>
      </c>
      <c r="HB215" s="4">
        <v>95</v>
      </c>
      <c r="HC215" s="4">
        <v>88</v>
      </c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19">
        <v>65</v>
      </c>
      <c r="HP215" s="19">
        <v>64.5</v>
      </c>
      <c r="HQ215" s="19">
        <v>62.5</v>
      </c>
      <c r="HR215" s="19">
        <v>61.5</v>
      </c>
      <c r="HS215" s="19">
        <v>60</v>
      </c>
      <c r="HT215" s="19">
        <v>59.5</v>
      </c>
      <c r="HU215" s="19">
        <v>59</v>
      </c>
      <c r="HV215" s="19">
        <v>39</v>
      </c>
      <c r="HW215" s="19">
        <v>28.5</v>
      </c>
      <c r="HX215" s="19">
        <v>27.8</v>
      </c>
      <c r="HY215" s="19">
        <v>21.6</v>
      </c>
      <c r="HZ215" s="19">
        <v>17.5</v>
      </c>
      <c r="IA215" s="19">
        <v>16.7</v>
      </c>
      <c r="IB215" s="19">
        <v>15.8</v>
      </c>
      <c r="IC215" s="19">
        <v>14.7</v>
      </c>
    </row>
    <row r="216">
      <c r="A216" s="2" t="s">
        <v>996</v>
      </c>
      <c r="B216" s="2" t="s">
        <v>905</v>
      </c>
      <c r="C216" s="2" t="s">
        <v>980</v>
      </c>
      <c r="D216" s="2" t="s">
        <v>981</v>
      </c>
      <c r="E216" s="2" t="s">
        <v>982</v>
      </c>
      <c r="F216" s="2" t="s">
        <v>983</v>
      </c>
      <c r="G216" s="2" t="s">
        <v>983</v>
      </c>
      <c r="H216" s="2" t="s">
        <v>983</v>
      </c>
      <c r="I216" s="2" t="s">
        <v>984</v>
      </c>
      <c r="J216" s="2" t="s">
        <v>365</v>
      </c>
      <c r="K216" s="2" t="s">
        <v>995</v>
      </c>
      <c r="L216" s="3">
        <v>26.19</v>
      </c>
      <c r="M216" s="3">
        <v>27.5</v>
      </c>
      <c r="N216" s="3">
        <v>54.99</v>
      </c>
      <c r="O216" s="2" t="s">
        <v>232</v>
      </c>
      <c r="P216" s="2" t="s">
        <v>262</v>
      </c>
      <c r="Q216" s="2" t="s">
        <v>234</v>
      </c>
      <c r="R216" s="2" t="s">
        <v>235</v>
      </c>
      <c r="S216" s="2" t="s">
        <v>235</v>
      </c>
      <c r="T216" s="2" t="s">
        <v>263</v>
      </c>
      <c r="U216" s="2" t="s">
        <v>807</v>
      </c>
      <c r="V216" s="2" t="s">
        <v>420</v>
      </c>
      <c r="W216" s="2" t="s">
        <v>682</v>
      </c>
      <c r="X216" s="2" t="s">
        <v>235</v>
      </c>
      <c r="Y216" s="2" t="s">
        <v>235</v>
      </c>
      <c r="Z216" s="4"/>
      <c r="AA216" s="4">
        <f>=ROUNDDOWN({0},0)</f>
      </c>
      <c r="AB216" s="5"/>
      <c r="AC216" s="2" t="s">
        <v>183</v>
      </c>
      <c r="AD216" s="4">
        <v>210</v>
      </c>
      <c r="AE216" s="4">
        <v>210</v>
      </c>
      <c r="AF216" s="6">
        <v>65</v>
      </c>
      <c r="AG216" s="6"/>
      <c r="AH216" s="7"/>
      <c r="AI216" s="4"/>
      <c r="AJ216" s="4">
        <f>=ROUNDDOWN({0},0)</f>
      </c>
      <c r="AK216" s="5"/>
      <c r="AL216" s="2" t="s">
        <v>235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235</v>
      </c>
      <c r="AW216" s="8" t="s">
        <v>235</v>
      </c>
      <c r="AX216" s="4" t="s">
        <v>235</v>
      </c>
      <c r="AY216" s="8" t="s">
        <v>235</v>
      </c>
      <c r="AZ216" s="7" t="s">
        <v>235</v>
      </c>
      <c r="BA216" s="7" t="s">
        <v>235</v>
      </c>
      <c r="BB216" s="7"/>
      <c r="BC216" s="4" t="s">
        <v>235</v>
      </c>
      <c r="BD216" s="8" t="s">
        <v>235</v>
      </c>
      <c r="BE216" s="4" t="s">
        <v>235</v>
      </c>
      <c r="BF216" s="8" t="s">
        <v>235</v>
      </c>
      <c r="BG216" s="7" t="s">
        <v>235</v>
      </c>
      <c r="BH216" s="7" t="s">
        <v>235</v>
      </c>
      <c r="BI216" s="7"/>
      <c r="BJ216" s="4"/>
      <c r="BK216" s="8"/>
      <c r="BL216" s="2" t="s">
        <v>235</v>
      </c>
      <c r="BM216" s="7"/>
      <c r="BN216" s="7"/>
      <c r="BO216" s="4"/>
      <c r="BP216" s="8"/>
      <c r="BQ216" s="4"/>
      <c r="BR216" s="8"/>
      <c r="BS216" s="7"/>
      <c r="BT216" s="7"/>
      <c r="BU216" s="2" t="s">
        <v>330</v>
      </c>
      <c r="BV216" s="2" t="s">
        <v>235</v>
      </c>
      <c r="BW216" s="2" t="s">
        <v>235</v>
      </c>
      <c r="BX216" s="2" t="s">
        <v>330</v>
      </c>
      <c r="BY216" s="2" t="s">
        <v>331</v>
      </c>
      <c r="BZ216" s="2" t="s">
        <v>232</v>
      </c>
      <c r="CA216" s="2" t="s">
        <v>235</v>
      </c>
      <c r="CB216" s="2" t="s">
        <v>235</v>
      </c>
      <c r="CC216" s="2" t="s">
        <v>248</v>
      </c>
      <c r="CD216" s="2" t="s">
        <v>248</v>
      </c>
      <c r="CE216" s="2" t="s">
        <v>235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>
        <v>210</v>
      </c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>
        <v>210</v>
      </c>
      <c r="GP216" s="4">
        <v>206</v>
      </c>
      <c r="GQ216" s="4">
        <v>191</v>
      </c>
      <c r="GR216" s="4">
        <v>181</v>
      </c>
      <c r="GS216" s="4">
        <v>171</v>
      </c>
      <c r="GT216" s="4">
        <v>165</v>
      </c>
      <c r="GU216" s="4">
        <v>163</v>
      </c>
      <c r="GV216" s="4">
        <v>159</v>
      </c>
      <c r="GW216" s="4">
        <v>151</v>
      </c>
      <c r="GX216" s="4">
        <v>143</v>
      </c>
      <c r="GY216" s="4">
        <v>135</v>
      </c>
      <c r="GZ216" s="4">
        <v>127</v>
      </c>
      <c r="HA216" s="4">
        <v>117</v>
      </c>
      <c r="HB216" s="4">
        <v>107</v>
      </c>
      <c r="HC216" s="4">
        <v>95</v>
      </c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19">
        <v>21</v>
      </c>
      <c r="HP216" s="19">
        <v>20.6</v>
      </c>
      <c r="HQ216" s="19">
        <v>27.3</v>
      </c>
      <c r="HR216" s="19">
        <v>30.2</v>
      </c>
      <c r="HS216" s="19">
        <v>34.2</v>
      </c>
      <c r="HT216" s="19">
        <v>27.5</v>
      </c>
      <c r="HU216" s="19">
        <v>23.3</v>
      </c>
      <c r="HV216" s="19">
        <v>19.9</v>
      </c>
      <c r="HW216" s="19">
        <v>18.9</v>
      </c>
      <c r="HX216" s="19">
        <v>15.9</v>
      </c>
      <c r="HY216" s="19">
        <v>13.5</v>
      </c>
      <c r="HZ216" s="19">
        <v>11.5</v>
      </c>
      <c r="IA216" s="19">
        <v>10.6</v>
      </c>
      <c r="IB216" s="19">
        <v>9.7</v>
      </c>
      <c r="IC216" s="19">
        <v>8.6</v>
      </c>
    </row>
    <row r="217">
      <c r="A217" s="2" t="s">
        <v>997</v>
      </c>
      <c r="B217" s="2" t="s">
        <v>905</v>
      </c>
      <c r="C217" s="2" t="s">
        <v>980</v>
      </c>
      <c r="D217" s="2" t="s">
        <v>981</v>
      </c>
      <c r="E217" s="2" t="s">
        <v>982</v>
      </c>
      <c r="F217" s="2" t="s">
        <v>983</v>
      </c>
      <c r="G217" s="2" t="s">
        <v>983</v>
      </c>
      <c r="H217" s="2" t="s">
        <v>983</v>
      </c>
      <c r="I217" s="2" t="s">
        <v>984</v>
      </c>
      <c r="J217" s="2" t="s">
        <v>270</v>
      </c>
      <c r="K217" s="2" t="s">
        <v>995</v>
      </c>
      <c r="L217" s="3">
        <v>30.95</v>
      </c>
      <c r="M217" s="3">
        <v>32.5</v>
      </c>
      <c r="N217" s="3">
        <v>64.99</v>
      </c>
      <c r="O217" s="2" t="s">
        <v>232</v>
      </c>
      <c r="P217" s="2" t="s">
        <v>262</v>
      </c>
      <c r="Q217" s="2" t="s">
        <v>234</v>
      </c>
      <c r="R217" s="2" t="s">
        <v>235</v>
      </c>
      <c r="S217" s="2" t="s">
        <v>235</v>
      </c>
      <c r="T217" s="2" t="s">
        <v>263</v>
      </c>
      <c r="U217" s="2" t="s">
        <v>807</v>
      </c>
      <c r="V217" s="2" t="s">
        <v>420</v>
      </c>
      <c r="W217" s="2" t="s">
        <v>682</v>
      </c>
      <c r="X217" s="2" t="s">
        <v>235</v>
      </c>
      <c r="Y217" s="2" t="s">
        <v>235</v>
      </c>
      <c r="Z217" s="4"/>
      <c r="AA217" s="4">
        <f>=ROUNDDOWN({0},0)</f>
      </c>
      <c r="AB217" s="5"/>
      <c r="AC217" s="2" t="s">
        <v>183</v>
      </c>
      <c r="AD217" s="4">
        <v>200</v>
      </c>
      <c r="AE217" s="4">
        <v>200</v>
      </c>
      <c r="AF217" s="6">
        <v>65</v>
      </c>
      <c r="AG217" s="6"/>
      <c r="AH217" s="7"/>
      <c r="AI217" s="4"/>
      <c r="AJ217" s="4">
        <f>=ROUNDDOWN({0},0)</f>
      </c>
      <c r="AK217" s="5"/>
      <c r="AL217" s="2" t="s">
        <v>235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235</v>
      </c>
      <c r="AW217" s="8" t="s">
        <v>235</v>
      </c>
      <c r="AX217" s="4" t="s">
        <v>235</v>
      </c>
      <c r="AY217" s="8" t="s">
        <v>235</v>
      </c>
      <c r="AZ217" s="7" t="s">
        <v>235</v>
      </c>
      <c r="BA217" s="7" t="s">
        <v>235</v>
      </c>
      <c r="BB217" s="7"/>
      <c r="BC217" s="4" t="s">
        <v>235</v>
      </c>
      <c r="BD217" s="8" t="s">
        <v>235</v>
      </c>
      <c r="BE217" s="4" t="s">
        <v>235</v>
      </c>
      <c r="BF217" s="8" t="s">
        <v>235</v>
      </c>
      <c r="BG217" s="7" t="s">
        <v>235</v>
      </c>
      <c r="BH217" s="7" t="s">
        <v>235</v>
      </c>
      <c r="BI217" s="7"/>
      <c r="BJ217" s="4"/>
      <c r="BK217" s="8"/>
      <c r="BL217" s="2" t="s">
        <v>235</v>
      </c>
      <c r="BM217" s="7"/>
      <c r="BN217" s="7"/>
      <c r="BO217" s="4"/>
      <c r="BP217" s="8"/>
      <c r="BQ217" s="4"/>
      <c r="BR217" s="8"/>
      <c r="BS217" s="7"/>
      <c r="BT217" s="7"/>
      <c r="BU217" s="2" t="s">
        <v>330</v>
      </c>
      <c r="BV217" s="2" t="s">
        <v>235</v>
      </c>
      <c r="BW217" s="2" t="s">
        <v>235</v>
      </c>
      <c r="BX217" s="2" t="s">
        <v>330</v>
      </c>
      <c r="BY217" s="2" t="s">
        <v>331</v>
      </c>
      <c r="BZ217" s="2" t="s">
        <v>232</v>
      </c>
      <c r="CA217" s="2" t="s">
        <v>235</v>
      </c>
      <c r="CB217" s="2" t="s">
        <v>235</v>
      </c>
      <c r="CC217" s="2" t="s">
        <v>248</v>
      </c>
      <c r="CD217" s="2" t="s">
        <v>248</v>
      </c>
      <c r="CE217" s="2" t="s">
        <v>235</v>
      </c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>
        <v>200</v>
      </c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>
        <v>200</v>
      </c>
      <c r="GP217" s="4">
        <v>197</v>
      </c>
      <c r="GQ217" s="4">
        <v>190</v>
      </c>
      <c r="GR217" s="4">
        <v>184</v>
      </c>
      <c r="GS217" s="4">
        <v>178</v>
      </c>
      <c r="GT217" s="4">
        <v>175</v>
      </c>
      <c r="GU217" s="4">
        <v>173</v>
      </c>
      <c r="GV217" s="4">
        <v>171</v>
      </c>
      <c r="GW217" s="4">
        <v>166</v>
      </c>
      <c r="GX217" s="4">
        <v>161</v>
      </c>
      <c r="GY217" s="4">
        <v>156</v>
      </c>
      <c r="GZ217" s="4">
        <v>151</v>
      </c>
      <c r="HA217" s="4">
        <v>147</v>
      </c>
      <c r="HB217" s="4">
        <v>143</v>
      </c>
      <c r="HC217" s="4">
        <v>136</v>
      </c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19">
        <v>33.3</v>
      </c>
      <c r="HP217" s="19">
        <v>32.8</v>
      </c>
      <c r="HQ217" s="19">
        <v>47.5</v>
      </c>
      <c r="HR217" s="19">
        <v>61.3</v>
      </c>
      <c r="HS217" s="19">
        <v>59.3</v>
      </c>
      <c r="HT217" s="19">
        <v>43.8</v>
      </c>
      <c r="HU217" s="19">
        <v>43.3</v>
      </c>
      <c r="HV217" s="19">
        <v>34.2</v>
      </c>
      <c r="HW217" s="19">
        <v>33.2</v>
      </c>
      <c r="HX217" s="19">
        <v>40.3</v>
      </c>
      <c r="HY217" s="19">
        <v>31.2</v>
      </c>
      <c r="HZ217" s="19">
        <v>30.2</v>
      </c>
      <c r="IA217" s="19">
        <v>24.5</v>
      </c>
      <c r="IB217" s="19">
        <v>20.4</v>
      </c>
      <c r="IC217" s="19">
        <v>19.4</v>
      </c>
    </row>
    <row r="218">
      <c r="A218" s="2" t="s">
        <v>998</v>
      </c>
      <c r="B218" s="2" t="s">
        <v>905</v>
      </c>
      <c r="C218" s="2" t="s">
        <v>980</v>
      </c>
      <c r="D218" s="2" t="s">
        <v>990</v>
      </c>
      <c r="E218" s="2" t="s">
        <v>991</v>
      </c>
      <c r="F218" s="2" t="s">
        <v>983</v>
      </c>
      <c r="G218" s="2" t="s">
        <v>983</v>
      </c>
      <c r="H218" s="2" t="s">
        <v>983</v>
      </c>
      <c r="I218" s="2" t="s">
        <v>992</v>
      </c>
      <c r="J218" s="2" t="s">
        <v>993</v>
      </c>
      <c r="K218" s="2" t="s">
        <v>995</v>
      </c>
      <c r="L218" s="3">
        <v>19.04</v>
      </c>
      <c r="M218" s="3">
        <v>20</v>
      </c>
      <c r="N218" s="3">
        <v>39.99</v>
      </c>
      <c r="O218" s="2" t="s">
        <v>232</v>
      </c>
      <c r="P218" s="2" t="s">
        <v>262</v>
      </c>
      <c r="Q218" s="2" t="s">
        <v>234</v>
      </c>
      <c r="R218" s="2" t="s">
        <v>235</v>
      </c>
      <c r="S218" s="2" t="s">
        <v>235</v>
      </c>
      <c r="T218" s="2" t="s">
        <v>263</v>
      </c>
      <c r="U218" s="2" t="s">
        <v>807</v>
      </c>
      <c r="V218" s="2" t="s">
        <v>420</v>
      </c>
      <c r="W218" s="2" t="s">
        <v>682</v>
      </c>
      <c r="X218" s="2" t="s">
        <v>235</v>
      </c>
      <c r="Y218" s="2" t="s">
        <v>235</v>
      </c>
      <c r="Z218" s="4"/>
      <c r="AA218" s="4">
        <f>=ROUNDDOWN({0},0)</f>
      </c>
      <c r="AB218" s="5"/>
      <c r="AC218" s="2" t="s">
        <v>183</v>
      </c>
      <c r="AD218" s="4">
        <v>430</v>
      </c>
      <c r="AE218" s="4">
        <v>430</v>
      </c>
      <c r="AF218" s="6">
        <v>65</v>
      </c>
      <c r="AG218" s="6"/>
      <c r="AH218" s="7"/>
      <c r="AI218" s="4"/>
      <c r="AJ218" s="4">
        <f>=ROUNDDOWN({0},0)</f>
      </c>
      <c r="AK218" s="5"/>
      <c r="AL218" s="2" t="s">
        <v>235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235</v>
      </c>
      <c r="AW218" s="8" t="s">
        <v>235</v>
      </c>
      <c r="AX218" s="4" t="s">
        <v>235</v>
      </c>
      <c r="AY218" s="8" t="s">
        <v>235</v>
      </c>
      <c r="AZ218" s="7" t="s">
        <v>235</v>
      </c>
      <c r="BA218" s="7" t="s">
        <v>235</v>
      </c>
      <c r="BB218" s="7"/>
      <c r="BC218" s="4" t="s">
        <v>235</v>
      </c>
      <c r="BD218" s="8" t="s">
        <v>235</v>
      </c>
      <c r="BE218" s="4" t="s">
        <v>235</v>
      </c>
      <c r="BF218" s="8" t="s">
        <v>235</v>
      </c>
      <c r="BG218" s="7" t="s">
        <v>235</v>
      </c>
      <c r="BH218" s="7" t="s">
        <v>235</v>
      </c>
      <c r="BI218" s="7"/>
      <c r="BJ218" s="4"/>
      <c r="BK218" s="8"/>
      <c r="BL218" s="2" t="s">
        <v>235</v>
      </c>
      <c r="BM218" s="7"/>
      <c r="BN218" s="7"/>
      <c r="BO218" s="4"/>
      <c r="BP218" s="8"/>
      <c r="BQ218" s="4"/>
      <c r="BR218" s="8"/>
      <c r="BS218" s="7"/>
      <c r="BT218" s="7"/>
      <c r="BU218" s="2" t="s">
        <v>330</v>
      </c>
      <c r="BV218" s="2" t="s">
        <v>235</v>
      </c>
      <c r="BW218" s="2" t="s">
        <v>235</v>
      </c>
      <c r="BX218" s="2" t="s">
        <v>330</v>
      </c>
      <c r="BY218" s="2" t="s">
        <v>331</v>
      </c>
      <c r="BZ218" s="2" t="s">
        <v>232</v>
      </c>
      <c r="CA218" s="2" t="s">
        <v>235</v>
      </c>
      <c r="CB218" s="2" t="s">
        <v>235</v>
      </c>
      <c r="CC218" s="2" t="s">
        <v>248</v>
      </c>
      <c r="CD218" s="2" t="s">
        <v>248</v>
      </c>
      <c r="CE218" s="2" t="s">
        <v>235</v>
      </c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>
        <v>430</v>
      </c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>
        <v>430</v>
      </c>
      <c r="GP218" s="4">
        <v>424</v>
      </c>
      <c r="GQ218" s="4">
        <v>410</v>
      </c>
      <c r="GR218" s="4">
        <v>400</v>
      </c>
      <c r="GS218" s="4">
        <v>384</v>
      </c>
      <c r="GT218" s="4">
        <v>376</v>
      </c>
      <c r="GU218" s="4">
        <v>366</v>
      </c>
      <c r="GV218" s="4">
        <v>356</v>
      </c>
      <c r="GW218" s="4">
        <v>350</v>
      </c>
      <c r="GX218" s="4">
        <v>344</v>
      </c>
      <c r="GY218" s="4">
        <v>338</v>
      </c>
      <c r="GZ218" s="4">
        <v>332</v>
      </c>
      <c r="HA218" s="4">
        <v>322</v>
      </c>
      <c r="HB218" s="4">
        <v>312</v>
      </c>
      <c r="HC218" s="4">
        <v>297</v>
      </c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19">
        <v>35.8</v>
      </c>
      <c r="HP218" s="19">
        <v>35.3</v>
      </c>
      <c r="HQ218" s="19">
        <v>37.3</v>
      </c>
      <c r="HR218" s="19">
        <v>36.4</v>
      </c>
      <c r="HS218" s="19">
        <v>48</v>
      </c>
      <c r="HT218" s="19">
        <v>47</v>
      </c>
      <c r="HU218" s="19">
        <v>52.3</v>
      </c>
      <c r="HV218" s="19">
        <v>59.3</v>
      </c>
      <c r="HW218" s="19">
        <v>50</v>
      </c>
      <c r="HX218" s="19">
        <v>43</v>
      </c>
      <c r="HY218" s="19">
        <v>33.8</v>
      </c>
      <c r="HZ218" s="19">
        <v>27.7</v>
      </c>
      <c r="IA218" s="19">
        <v>24.8</v>
      </c>
      <c r="IB218" s="19">
        <v>22.3</v>
      </c>
      <c r="IC218" s="19">
        <v>21.2</v>
      </c>
    </row>
    <row r="219">
      <c r="A219" s="2" t="s">
        <v>999</v>
      </c>
      <c r="B219" s="2" t="s">
        <v>905</v>
      </c>
      <c r="C219" s="2" t="s">
        <v>980</v>
      </c>
      <c r="D219" s="2" t="s">
        <v>981</v>
      </c>
      <c r="E219" s="2" t="s">
        <v>982</v>
      </c>
      <c r="F219" s="2" t="s">
        <v>983</v>
      </c>
      <c r="G219" s="2" t="s">
        <v>983</v>
      </c>
      <c r="H219" s="2" t="s">
        <v>983</v>
      </c>
      <c r="I219" s="2" t="s">
        <v>984</v>
      </c>
      <c r="J219" s="2" t="s">
        <v>394</v>
      </c>
      <c r="K219" s="2" t="s">
        <v>1000</v>
      </c>
      <c r="L219" s="3">
        <v>21.42</v>
      </c>
      <c r="M219" s="3">
        <v>22.5</v>
      </c>
      <c r="N219" s="3">
        <v>44.99</v>
      </c>
      <c r="O219" s="2" t="s">
        <v>232</v>
      </c>
      <c r="P219" s="2" t="s">
        <v>262</v>
      </c>
      <c r="Q219" s="2" t="s">
        <v>234</v>
      </c>
      <c r="R219" s="2" t="s">
        <v>235</v>
      </c>
      <c r="S219" s="2" t="s">
        <v>235</v>
      </c>
      <c r="T219" s="2" t="s">
        <v>263</v>
      </c>
      <c r="U219" s="2" t="s">
        <v>807</v>
      </c>
      <c r="V219" s="2" t="s">
        <v>986</v>
      </c>
      <c r="W219" s="2" t="s">
        <v>682</v>
      </c>
      <c r="X219" s="2" t="s">
        <v>235</v>
      </c>
      <c r="Y219" s="2" t="s">
        <v>235</v>
      </c>
      <c r="Z219" s="4"/>
      <c r="AA219" s="4">
        <f>=ROUNDDOWN({0},0)</f>
      </c>
      <c r="AB219" s="5"/>
      <c r="AC219" s="2" t="s">
        <v>183</v>
      </c>
      <c r="AD219" s="4">
        <v>160</v>
      </c>
      <c r="AE219" s="4">
        <v>160</v>
      </c>
      <c r="AF219" s="6">
        <v>65</v>
      </c>
      <c r="AG219" s="6"/>
      <c r="AH219" s="7"/>
      <c r="AI219" s="4"/>
      <c r="AJ219" s="4">
        <f>=ROUNDDOWN({0},0)</f>
      </c>
      <c r="AK219" s="5"/>
      <c r="AL219" s="2" t="s">
        <v>235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235</v>
      </c>
      <c r="AW219" s="8" t="s">
        <v>235</v>
      </c>
      <c r="AX219" s="4" t="s">
        <v>235</v>
      </c>
      <c r="AY219" s="8" t="s">
        <v>235</v>
      </c>
      <c r="AZ219" s="7" t="s">
        <v>235</v>
      </c>
      <c r="BA219" s="7" t="s">
        <v>235</v>
      </c>
      <c r="BB219" s="7"/>
      <c r="BC219" s="4" t="s">
        <v>235</v>
      </c>
      <c r="BD219" s="8" t="s">
        <v>235</v>
      </c>
      <c r="BE219" s="4" t="s">
        <v>235</v>
      </c>
      <c r="BF219" s="8" t="s">
        <v>235</v>
      </c>
      <c r="BG219" s="7" t="s">
        <v>235</v>
      </c>
      <c r="BH219" s="7" t="s">
        <v>235</v>
      </c>
      <c r="BI219" s="7"/>
      <c r="BJ219" s="4"/>
      <c r="BK219" s="8"/>
      <c r="BL219" s="2" t="s">
        <v>235</v>
      </c>
      <c r="BM219" s="7"/>
      <c r="BN219" s="7"/>
      <c r="BO219" s="4"/>
      <c r="BP219" s="8"/>
      <c r="BQ219" s="4"/>
      <c r="BR219" s="8"/>
      <c r="BS219" s="7"/>
      <c r="BT219" s="7"/>
      <c r="BU219" s="2" t="s">
        <v>330</v>
      </c>
      <c r="BV219" s="2" t="s">
        <v>235</v>
      </c>
      <c r="BW219" s="2" t="s">
        <v>235</v>
      </c>
      <c r="BX219" s="2" t="s">
        <v>330</v>
      </c>
      <c r="BY219" s="2" t="s">
        <v>331</v>
      </c>
      <c r="BZ219" s="2" t="s">
        <v>232</v>
      </c>
      <c r="CA219" s="2" t="s">
        <v>235</v>
      </c>
      <c r="CB219" s="2" t="s">
        <v>235</v>
      </c>
      <c r="CC219" s="2" t="s">
        <v>248</v>
      </c>
      <c r="CD219" s="2" t="s">
        <v>248</v>
      </c>
      <c r="CE219" s="2" t="s">
        <v>235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>
        <v>160</v>
      </c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>
        <v>160</v>
      </c>
      <c r="GP219" s="4">
        <v>159</v>
      </c>
      <c r="GQ219" s="4">
        <v>155</v>
      </c>
      <c r="GR219" s="4">
        <v>153</v>
      </c>
      <c r="GS219" s="4">
        <v>150</v>
      </c>
      <c r="GT219" s="4">
        <v>149</v>
      </c>
      <c r="GU219" s="4">
        <v>148</v>
      </c>
      <c r="GV219" s="4">
        <v>147</v>
      </c>
      <c r="GW219" s="4">
        <v>144</v>
      </c>
      <c r="GX219" s="4">
        <v>141</v>
      </c>
      <c r="GY219" s="4">
        <v>138</v>
      </c>
      <c r="GZ219" s="4">
        <v>135</v>
      </c>
      <c r="HA219" s="4">
        <v>130</v>
      </c>
      <c r="HB219" s="4">
        <v>125</v>
      </c>
      <c r="HC219" s="4">
        <v>118</v>
      </c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19">
        <v>80</v>
      </c>
      <c r="HP219" s="19">
        <v>79.5</v>
      </c>
      <c r="HQ219" s="19">
        <v>77.5</v>
      </c>
      <c r="HR219" s="19">
        <v>76.5</v>
      </c>
      <c r="HS219" s="19">
        <v>75</v>
      </c>
      <c r="HT219" s="19">
        <v>74.5</v>
      </c>
      <c r="HU219" s="19">
        <v>74</v>
      </c>
      <c r="HV219" s="19">
        <v>49</v>
      </c>
      <c r="HW219" s="19">
        <v>36</v>
      </c>
      <c r="HX219" s="19">
        <v>35.3</v>
      </c>
      <c r="HY219" s="19">
        <v>27.6</v>
      </c>
      <c r="HZ219" s="19">
        <v>22.5</v>
      </c>
      <c r="IA219" s="19">
        <v>21.7</v>
      </c>
      <c r="IB219" s="19">
        <v>20.8</v>
      </c>
      <c r="IC219" s="19">
        <v>19.7</v>
      </c>
    </row>
    <row r="220">
      <c r="A220" s="2" t="s">
        <v>1001</v>
      </c>
      <c r="B220" s="2" t="s">
        <v>905</v>
      </c>
      <c r="C220" s="2" t="s">
        <v>980</v>
      </c>
      <c r="D220" s="2" t="s">
        <v>981</v>
      </c>
      <c r="E220" s="2" t="s">
        <v>982</v>
      </c>
      <c r="F220" s="2" t="s">
        <v>983</v>
      </c>
      <c r="G220" s="2" t="s">
        <v>983</v>
      </c>
      <c r="H220" s="2" t="s">
        <v>983</v>
      </c>
      <c r="I220" s="2" t="s">
        <v>984</v>
      </c>
      <c r="J220" s="2" t="s">
        <v>365</v>
      </c>
      <c r="K220" s="2" t="s">
        <v>1000</v>
      </c>
      <c r="L220" s="3">
        <v>26.19</v>
      </c>
      <c r="M220" s="3">
        <v>27.5</v>
      </c>
      <c r="N220" s="3">
        <v>54.99</v>
      </c>
      <c r="O220" s="2" t="s">
        <v>232</v>
      </c>
      <c r="P220" s="2" t="s">
        <v>262</v>
      </c>
      <c r="Q220" s="2" t="s">
        <v>234</v>
      </c>
      <c r="R220" s="2" t="s">
        <v>235</v>
      </c>
      <c r="S220" s="2" t="s">
        <v>235</v>
      </c>
      <c r="T220" s="2" t="s">
        <v>263</v>
      </c>
      <c r="U220" s="2" t="s">
        <v>807</v>
      </c>
      <c r="V220" s="2" t="s">
        <v>986</v>
      </c>
      <c r="W220" s="2" t="s">
        <v>682</v>
      </c>
      <c r="X220" s="2" t="s">
        <v>235</v>
      </c>
      <c r="Y220" s="2" t="s">
        <v>235</v>
      </c>
      <c r="Z220" s="4"/>
      <c r="AA220" s="4">
        <f>=ROUNDDOWN({0},0)</f>
      </c>
      <c r="AB220" s="5"/>
      <c r="AC220" s="2" t="s">
        <v>183</v>
      </c>
      <c r="AD220" s="4">
        <v>250</v>
      </c>
      <c r="AE220" s="4">
        <v>250</v>
      </c>
      <c r="AF220" s="6">
        <v>65</v>
      </c>
      <c r="AG220" s="6"/>
      <c r="AH220" s="7"/>
      <c r="AI220" s="4"/>
      <c r="AJ220" s="4">
        <f>=ROUNDDOWN({0},0)</f>
      </c>
      <c r="AK220" s="5"/>
      <c r="AL220" s="2" t="s">
        <v>235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235</v>
      </c>
      <c r="AW220" s="8" t="s">
        <v>235</v>
      </c>
      <c r="AX220" s="4" t="s">
        <v>235</v>
      </c>
      <c r="AY220" s="8" t="s">
        <v>235</v>
      </c>
      <c r="AZ220" s="7" t="s">
        <v>235</v>
      </c>
      <c r="BA220" s="7" t="s">
        <v>235</v>
      </c>
      <c r="BB220" s="7"/>
      <c r="BC220" s="4" t="s">
        <v>235</v>
      </c>
      <c r="BD220" s="8" t="s">
        <v>235</v>
      </c>
      <c r="BE220" s="4" t="s">
        <v>235</v>
      </c>
      <c r="BF220" s="8" t="s">
        <v>235</v>
      </c>
      <c r="BG220" s="7" t="s">
        <v>235</v>
      </c>
      <c r="BH220" s="7" t="s">
        <v>235</v>
      </c>
      <c r="BI220" s="7"/>
      <c r="BJ220" s="4"/>
      <c r="BK220" s="8"/>
      <c r="BL220" s="2" t="s">
        <v>235</v>
      </c>
      <c r="BM220" s="7"/>
      <c r="BN220" s="7"/>
      <c r="BO220" s="4"/>
      <c r="BP220" s="8"/>
      <c r="BQ220" s="4"/>
      <c r="BR220" s="8"/>
      <c r="BS220" s="7"/>
      <c r="BT220" s="7"/>
      <c r="BU220" s="2" t="s">
        <v>330</v>
      </c>
      <c r="BV220" s="2" t="s">
        <v>235</v>
      </c>
      <c r="BW220" s="2" t="s">
        <v>235</v>
      </c>
      <c r="BX220" s="2" t="s">
        <v>330</v>
      </c>
      <c r="BY220" s="2" t="s">
        <v>331</v>
      </c>
      <c r="BZ220" s="2" t="s">
        <v>232</v>
      </c>
      <c r="CA220" s="2" t="s">
        <v>235</v>
      </c>
      <c r="CB220" s="2" t="s">
        <v>235</v>
      </c>
      <c r="CC220" s="2" t="s">
        <v>248</v>
      </c>
      <c r="CD220" s="2" t="s">
        <v>248</v>
      </c>
      <c r="CE220" s="2" t="s">
        <v>235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>
        <v>250</v>
      </c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>
        <v>250</v>
      </c>
      <c r="GP220" s="4">
        <v>246</v>
      </c>
      <c r="GQ220" s="4">
        <v>233</v>
      </c>
      <c r="GR220" s="4">
        <v>224</v>
      </c>
      <c r="GS220" s="4">
        <v>215</v>
      </c>
      <c r="GT220" s="4">
        <v>209</v>
      </c>
      <c r="GU220" s="4">
        <v>207</v>
      </c>
      <c r="GV220" s="4">
        <v>204</v>
      </c>
      <c r="GW220" s="4">
        <v>197</v>
      </c>
      <c r="GX220" s="4">
        <v>190</v>
      </c>
      <c r="GY220" s="4">
        <v>183</v>
      </c>
      <c r="GZ220" s="4">
        <v>176</v>
      </c>
      <c r="HA220" s="4">
        <v>168</v>
      </c>
      <c r="HB220" s="4">
        <v>160</v>
      </c>
      <c r="HC220" s="4">
        <v>149</v>
      </c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19">
        <v>27.8</v>
      </c>
      <c r="HP220" s="19">
        <v>27.3</v>
      </c>
      <c r="HQ220" s="19">
        <v>38.8</v>
      </c>
      <c r="HR220" s="19">
        <v>44.8</v>
      </c>
      <c r="HS220" s="19">
        <v>53.8</v>
      </c>
      <c r="HT220" s="19">
        <v>41.8</v>
      </c>
      <c r="HU220" s="19">
        <v>34.5</v>
      </c>
      <c r="HV220" s="19">
        <v>29.1</v>
      </c>
      <c r="HW220" s="19">
        <v>28.1</v>
      </c>
      <c r="HX220" s="19">
        <v>23.8</v>
      </c>
      <c r="HY220" s="19">
        <v>22.9</v>
      </c>
      <c r="HZ220" s="19">
        <v>19.6</v>
      </c>
      <c r="IA220" s="19">
        <v>16.8</v>
      </c>
      <c r="IB220" s="19">
        <v>16</v>
      </c>
      <c r="IC220" s="19">
        <v>14.9</v>
      </c>
    </row>
    <row r="221">
      <c r="A221" s="2" t="s">
        <v>1002</v>
      </c>
      <c r="B221" s="2" t="s">
        <v>905</v>
      </c>
      <c r="C221" s="2" t="s">
        <v>980</v>
      </c>
      <c r="D221" s="2" t="s">
        <v>981</v>
      </c>
      <c r="E221" s="2" t="s">
        <v>982</v>
      </c>
      <c r="F221" s="2" t="s">
        <v>983</v>
      </c>
      <c r="G221" s="2" t="s">
        <v>983</v>
      </c>
      <c r="H221" s="2" t="s">
        <v>983</v>
      </c>
      <c r="I221" s="2" t="s">
        <v>984</v>
      </c>
      <c r="J221" s="2" t="s">
        <v>270</v>
      </c>
      <c r="K221" s="2" t="s">
        <v>1000</v>
      </c>
      <c r="L221" s="3">
        <v>30.95</v>
      </c>
      <c r="M221" s="3">
        <v>32.5</v>
      </c>
      <c r="N221" s="3">
        <v>64.99</v>
      </c>
      <c r="O221" s="2" t="s">
        <v>232</v>
      </c>
      <c r="P221" s="2" t="s">
        <v>262</v>
      </c>
      <c r="Q221" s="2" t="s">
        <v>234</v>
      </c>
      <c r="R221" s="2" t="s">
        <v>235</v>
      </c>
      <c r="S221" s="2" t="s">
        <v>235</v>
      </c>
      <c r="T221" s="2" t="s">
        <v>263</v>
      </c>
      <c r="U221" s="2" t="s">
        <v>807</v>
      </c>
      <c r="V221" s="2" t="s">
        <v>986</v>
      </c>
      <c r="W221" s="2" t="s">
        <v>682</v>
      </c>
      <c r="X221" s="2" t="s">
        <v>235</v>
      </c>
      <c r="Y221" s="2" t="s">
        <v>235</v>
      </c>
      <c r="Z221" s="4"/>
      <c r="AA221" s="4">
        <f>=ROUNDDOWN({0},0)</f>
      </c>
      <c r="AB221" s="5"/>
      <c r="AC221" s="2" t="s">
        <v>183</v>
      </c>
      <c r="AD221" s="4">
        <v>260</v>
      </c>
      <c r="AE221" s="4">
        <v>260</v>
      </c>
      <c r="AF221" s="6">
        <v>65</v>
      </c>
      <c r="AG221" s="6"/>
      <c r="AH221" s="7"/>
      <c r="AI221" s="4"/>
      <c r="AJ221" s="4">
        <f>=ROUNDDOWN({0},0)</f>
      </c>
      <c r="AK221" s="5"/>
      <c r="AL221" s="2" t="s">
        <v>235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235</v>
      </c>
      <c r="AW221" s="8" t="s">
        <v>235</v>
      </c>
      <c r="AX221" s="4" t="s">
        <v>235</v>
      </c>
      <c r="AY221" s="8" t="s">
        <v>235</v>
      </c>
      <c r="AZ221" s="7" t="s">
        <v>235</v>
      </c>
      <c r="BA221" s="7" t="s">
        <v>235</v>
      </c>
      <c r="BB221" s="7"/>
      <c r="BC221" s="4" t="s">
        <v>235</v>
      </c>
      <c r="BD221" s="8" t="s">
        <v>235</v>
      </c>
      <c r="BE221" s="4" t="s">
        <v>235</v>
      </c>
      <c r="BF221" s="8" t="s">
        <v>235</v>
      </c>
      <c r="BG221" s="7" t="s">
        <v>235</v>
      </c>
      <c r="BH221" s="7" t="s">
        <v>235</v>
      </c>
      <c r="BI221" s="7"/>
      <c r="BJ221" s="4"/>
      <c r="BK221" s="8"/>
      <c r="BL221" s="2" t="s">
        <v>235</v>
      </c>
      <c r="BM221" s="7"/>
      <c r="BN221" s="7"/>
      <c r="BO221" s="4"/>
      <c r="BP221" s="8"/>
      <c r="BQ221" s="4"/>
      <c r="BR221" s="8"/>
      <c r="BS221" s="7"/>
      <c r="BT221" s="7"/>
      <c r="BU221" s="2" t="s">
        <v>330</v>
      </c>
      <c r="BV221" s="2" t="s">
        <v>235</v>
      </c>
      <c r="BW221" s="2" t="s">
        <v>235</v>
      </c>
      <c r="BX221" s="2" t="s">
        <v>330</v>
      </c>
      <c r="BY221" s="2" t="s">
        <v>331</v>
      </c>
      <c r="BZ221" s="2" t="s">
        <v>232</v>
      </c>
      <c r="CA221" s="2" t="s">
        <v>235</v>
      </c>
      <c r="CB221" s="2" t="s">
        <v>235</v>
      </c>
      <c r="CC221" s="2" t="s">
        <v>248</v>
      </c>
      <c r="CD221" s="2" t="s">
        <v>248</v>
      </c>
      <c r="CE221" s="2" t="s">
        <v>235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>
        <v>260</v>
      </c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>
        <v>260</v>
      </c>
      <c r="GP221" s="4">
        <v>257</v>
      </c>
      <c r="GQ221" s="4">
        <v>250</v>
      </c>
      <c r="GR221" s="4">
        <v>244</v>
      </c>
      <c r="GS221" s="4">
        <v>238</v>
      </c>
      <c r="GT221" s="4">
        <v>235</v>
      </c>
      <c r="GU221" s="4">
        <v>233</v>
      </c>
      <c r="GV221" s="4">
        <v>231</v>
      </c>
      <c r="GW221" s="4">
        <v>226</v>
      </c>
      <c r="GX221" s="4">
        <v>221</v>
      </c>
      <c r="GY221" s="4">
        <v>216</v>
      </c>
      <c r="GZ221" s="4">
        <v>211</v>
      </c>
      <c r="HA221" s="4">
        <v>207</v>
      </c>
      <c r="HB221" s="4">
        <v>203</v>
      </c>
      <c r="HC221" s="4">
        <v>194</v>
      </c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19">
        <v>43.3</v>
      </c>
      <c r="HP221" s="19">
        <v>42.8</v>
      </c>
      <c r="HQ221" s="19">
        <v>62.5</v>
      </c>
      <c r="HR221" s="19">
        <v>81.3</v>
      </c>
      <c r="HS221" s="19">
        <v>79.3</v>
      </c>
      <c r="HT221" s="19">
        <v>58.8</v>
      </c>
      <c r="HU221" s="19">
        <v>58.3</v>
      </c>
      <c r="HV221" s="19">
        <v>46.2</v>
      </c>
      <c r="HW221" s="19">
        <v>45.2</v>
      </c>
      <c r="HX221" s="19">
        <v>55.3</v>
      </c>
      <c r="HY221" s="19">
        <v>36</v>
      </c>
      <c r="HZ221" s="19">
        <v>35.2</v>
      </c>
      <c r="IA221" s="19">
        <v>25.9</v>
      </c>
      <c r="IB221" s="19">
        <v>25.4</v>
      </c>
      <c r="IC221" s="19">
        <v>24.3</v>
      </c>
    </row>
    <row r="222">
      <c r="A222" s="2" t="s">
        <v>1003</v>
      </c>
      <c r="B222" s="2" t="s">
        <v>905</v>
      </c>
      <c r="C222" s="2" t="s">
        <v>980</v>
      </c>
      <c r="D222" s="2" t="s">
        <v>990</v>
      </c>
      <c r="E222" s="2" t="s">
        <v>991</v>
      </c>
      <c r="F222" s="2" t="s">
        <v>983</v>
      </c>
      <c r="G222" s="2" t="s">
        <v>983</v>
      </c>
      <c r="H222" s="2" t="s">
        <v>983</v>
      </c>
      <c r="I222" s="2" t="s">
        <v>992</v>
      </c>
      <c r="J222" s="2" t="s">
        <v>993</v>
      </c>
      <c r="K222" s="2" t="s">
        <v>1000</v>
      </c>
      <c r="L222" s="3">
        <v>19.04</v>
      </c>
      <c r="M222" s="3">
        <v>20</v>
      </c>
      <c r="N222" s="3">
        <v>39.99</v>
      </c>
      <c r="O222" s="2" t="s">
        <v>232</v>
      </c>
      <c r="P222" s="2" t="s">
        <v>262</v>
      </c>
      <c r="Q222" s="2" t="s">
        <v>234</v>
      </c>
      <c r="R222" s="2" t="s">
        <v>235</v>
      </c>
      <c r="S222" s="2" t="s">
        <v>235</v>
      </c>
      <c r="T222" s="2" t="s">
        <v>263</v>
      </c>
      <c r="U222" s="2" t="s">
        <v>807</v>
      </c>
      <c r="V222" s="2" t="s">
        <v>986</v>
      </c>
      <c r="W222" s="2" t="s">
        <v>682</v>
      </c>
      <c r="X222" s="2" t="s">
        <v>235</v>
      </c>
      <c r="Y222" s="2" t="s">
        <v>235</v>
      </c>
      <c r="Z222" s="4"/>
      <c r="AA222" s="4">
        <f>=ROUNDDOWN({0},0)</f>
      </c>
      <c r="AB222" s="5"/>
      <c r="AC222" s="2" t="s">
        <v>183</v>
      </c>
      <c r="AD222" s="4">
        <v>340</v>
      </c>
      <c r="AE222" s="4">
        <v>340</v>
      </c>
      <c r="AF222" s="6">
        <v>65</v>
      </c>
      <c r="AG222" s="6"/>
      <c r="AH222" s="7"/>
      <c r="AI222" s="4"/>
      <c r="AJ222" s="4">
        <f>=ROUNDDOWN({0},0)</f>
      </c>
      <c r="AK222" s="5"/>
      <c r="AL222" s="2" t="s">
        <v>235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235</v>
      </c>
      <c r="AW222" s="8" t="s">
        <v>235</v>
      </c>
      <c r="AX222" s="4" t="s">
        <v>235</v>
      </c>
      <c r="AY222" s="8" t="s">
        <v>235</v>
      </c>
      <c r="AZ222" s="7" t="s">
        <v>235</v>
      </c>
      <c r="BA222" s="7" t="s">
        <v>235</v>
      </c>
      <c r="BB222" s="7"/>
      <c r="BC222" s="4" t="s">
        <v>235</v>
      </c>
      <c r="BD222" s="8" t="s">
        <v>235</v>
      </c>
      <c r="BE222" s="4" t="s">
        <v>235</v>
      </c>
      <c r="BF222" s="8" t="s">
        <v>235</v>
      </c>
      <c r="BG222" s="7" t="s">
        <v>235</v>
      </c>
      <c r="BH222" s="7" t="s">
        <v>235</v>
      </c>
      <c r="BI222" s="7"/>
      <c r="BJ222" s="4"/>
      <c r="BK222" s="8"/>
      <c r="BL222" s="2" t="s">
        <v>235</v>
      </c>
      <c r="BM222" s="7"/>
      <c r="BN222" s="7"/>
      <c r="BO222" s="4"/>
      <c r="BP222" s="8"/>
      <c r="BQ222" s="4"/>
      <c r="BR222" s="8"/>
      <c r="BS222" s="7"/>
      <c r="BT222" s="7"/>
      <c r="BU222" s="2" t="s">
        <v>330</v>
      </c>
      <c r="BV222" s="2" t="s">
        <v>235</v>
      </c>
      <c r="BW222" s="2" t="s">
        <v>235</v>
      </c>
      <c r="BX222" s="2" t="s">
        <v>330</v>
      </c>
      <c r="BY222" s="2" t="s">
        <v>331</v>
      </c>
      <c r="BZ222" s="2" t="s">
        <v>232</v>
      </c>
      <c r="CA222" s="2" t="s">
        <v>235</v>
      </c>
      <c r="CB222" s="2" t="s">
        <v>235</v>
      </c>
      <c r="CC222" s="2" t="s">
        <v>248</v>
      </c>
      <c r="CD222" s="2" t="s">
        <v>248</v>
      </c>
      <c r="CE222" s="2" t="s">
        <v>235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>
        <v>340</v>
      </c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>
        <v>340</v>
      </c>
      <c r="GP222" s="4">
        <v>335</v>
      </c>
      <c r="GQ222" s="4">
        <v>323</v>
      </c>
      <c r="GR222" s="4">
        <v>314</v>
      </c>
      <c r="GS222" s="4">
        <v>300</v>
      </c>
      <c r="GT222" s="4">
        <v>293</v>
      </c>
      <c r="GU222" s="4">
        <v>284</v>
      </c>
      <c r="GV222" s="4">
        <v>275</v>
      </c>
      <c r="GW222" s="4">
        <v>270</v>
      </c>
      <c r="GX222" s="4">
        <v>265</v>
      </c>
      <c r="GY222" s="4">
        <v>260</v>
      </c>
      <c r="GZ222" s="4">
        <v>255</v>
      </c>
      <c r="HA222" s="4">
        <v>246</v>
      </c>
      <c r="HB222" s="4">
        <v>237</v>
      </c>
      <c r="HC222" s="4">
        <v>223</v>
      </c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19">
        <v>34</v>
      </c>
      <c r="HP222" s="19">
        <v>33.5</v>
      </c>
      <c r="HQ222" s="19">
        <v>32.3</v>
      </c>
      <c r="HR222" s="19">
        <v>31.4</v>
      </c>
      <c r="HS222" s="19">
        <v>37.5</v>
      </c>
      <c r="HT222" s="19">
        <v>41.9</v>
      </c>
      <c r="HU222" s="19">
        <v>47.3</v>
      </c>
      <c r="HV222" s="19">
        <v>55</v>
      </c>
      <c r="HW222" s="19">
        <v>45</v>
      </c>
      <c r="HX222" s="19">
        <v>37.9</v>
      </c>
      <c r="HY222" s="19">
        <v>28.9</v>
      </c>
      <c r="HZ222" s="19">
        <v>23.2</v>
      </c>
      <c r="IA222" s="19">
        <v>20.5</v>
      </c>
      <c r="IB222" s="19">
        <v>18.2</v>
      </c>
      <c r="IC222" s="19">
        <v>15.9</v>
      </c>
    </row>
    <row r="223">
      <c r="A223" s="2" t="s">
        <v>1004</v>
      </c>
      <c r="B223" s="2" t="s">
        <v>852</v>
      </c>
      <c r="C223" s="2" t="s">
        <v>853</v>
      </c>
      <c r="D223" s="2" t="s">
        <v>854</v>
      </c>
      <c r="E223" s="2" t="s">
        <v>1005</v>
      </c>
      <c r="F223" s="2" t="s">
        <v>1006</v>
      </c>
      <c r="G223" s="2" t="s">
        <v>1007</v>
      </c>
      <c r="H223" s="2" t="s">
        <v>1008</v>
      </c>
      <c r="I223" s="2" t="s">
        <v>1009</v>
      </c>
      <c r="J223" s="2" t="s">
        <v>1010</v>
      </c>
      <c r="K223" s="2" t="s">
        <v>861</v>
      </c>
      <c r="L223" s="3">
        <v>18.8</v>
      </c>
      <c r="M223" s="3">
        <v>19.74</v>
      </c>
      <c r="N223" s="3">
        <v>39.99</v>
      </c>
      <c r="O223" s="2" t="s">
        <v>485</v>
      </c>
      <c r="P223" s="2" t="s">
        <v>408</v>
      </c>
      <c r="Q223" s="2" t="s">
        <v>234</v>
      </c>
      <c r="R223" s="2" t="s">
        <v>235</v>
      </c>
      <c r="S223" s="2" t="s">
        <v>1011</v>
      </c>
      <c r="T223" s="2" t="s">
        <v>235</v>
      </c>
      <c r="U223" s="2" t="s">
        <v>235</v>
      </c>
      <c r="V223" s="2" t="s">
        <v>863</v>
      </c>
      <c r="W223" s="2" t="s">
        <v>682</v>
      </c>
      <c r="X223" s="2" t="s">
        <v>235</v>
      </c>
      <c r="Y223" s="2" t="s">
        <v>240</v>
      </c>
      <c r="Z223" s="4">
        <v>238</v>
      </c>
      <c r="AA223" s="4">
        <f>=ROUNDDOWN(76.7741935483871,0)</f>
      </c>
      <c r="AB223" s="5">
        <v>3.1</v>
      </c>
      <c r="AC223" s="2" t="s">
        <v>235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235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>
        <v>14</v>
      </c>
      <c r="BK223" s="8">
        <v>269.84</v>
      </c>
      <c r="BL223" s="2" t="s">
        <v>1012</v>
      </c>
      <c r="BM223" s="7"/>
      <c r="BN223" s="7"/>
      <c r="BO223" s="4"/>
      <c r="BP223" s="8"/>
      <c r="BQ223" s="4"/>
      <c r="BR223" s="8"/>
      <c r="BS223" s="7"/>
      <c r="BT223" s="7"/>
      <c r="BU223" s="2" t="s">
        <v>1013</v>
      </c>
      <c r="BV223" s="2" t="s">
        <v>867</v>
      </c>
      <c r="BW223" s="2" t="s">
        <v>235</v>
      </c>
      <c r="BX223" s="2" t="s">
        <v>414</v>
      </c>
      <c r="BY223" s="2" t="s">
        <v>245</v>
      </c>
      <c r="BZ223" s="2" t="s">
        <v>232</v>
      </c>
      <c r="CA223" s="2" t="s">
        <v>560</v>
      </c>
      <c r="CB223" s="2" t="s">
        <v>1014</v>
      </c>
      <c r="CC223" s="2" t="s">
        <v>492</v>
      </c>
      <c r="CD223" s="2" t="s">
        <v>248</v>
      </c>
      <c r="CE223" s="2" t="s">
        <v>235</v>
      </c>
      <c r="CF223" s="4">
        <v>238</v>
      </c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>
        <v>238</v>
      </c>
      <c r="GE223" s="4">
        <v>220</v>
      </c>
      <c r="GF223" s="4">
        <v>216</v>
      </c>
      <c r="GG223" s="4">
        <v>212</v>
      </c>
      <c r="GH223" s="4">
        <v>207</v>
      </c>
      <c r="GI223" s="4">
        <v>203</v>
      </c>
      <c r="GJ223" s="4">
        <v>198</v>
      </c>
      <c r="GK223" s="4">
        <v>194</v>
      </c>
      <c r="GL223" s="4">
        <v>190</v>
      </c>
      <c r="GM223" s="4">
        <v>186</v>
      </c>
      <c r="GN223" s="4">
        <v>182</v>
      </c>
      <c r="GO223" s="4">
        <v>177</v>
      </c>
      <c r="GP223" s="4">
        <v>173</v>
      </c>
      <c r="GQ223" s="4">
        <v>168</v>
      </c>
      <c r="GR223" s="4">
        <v>164</v>
      </c>
      <c r="GS223" s="4">
        <v>160</v>
      </c>
      <c r="GT223" s="4">
        <v>156</v>
      </c>
      <c r="GU223" s="4">
        <v>152</v>
      </c>
      <c r="GV223" s="4">
        <v>148</v>
      </c>
      <c r="GW223" s="4">
        <v>144</v>
      </c>
      <c r="GX223" s="4">
        <v>140</v>
      </c>
      <c r="GY223" s="4">
        <v>136</v>
      </c>
      <c r="GZ223" s="4">
        <v>132</v>
      </c>
      <c r="HA223" s="4">
        <v>128</v>
      </c>
      <c r="HB223" s="4">
        <v>124</v>
      </c>
      <c r="HC223" s="4">
        <v>120</v>
      </c>
      <c r="HD223" s="19">
        <v>29.8</v>
      </c>
      <c r="HE223" s="19">
        <v>55</v>
      </c>
      <c r="HF223" s="19">
        <v>54</v>
      </c>
      <c r="HG223" s="19">
        <v>53</v>
      </c>
      <c r="HH223" s="19">
        <v>51.8</v>
      </c>
      <c r="HI223" s="19">
        <v>50.8</v>
      </c>
      <c r="HJ223" s="19">
        <v>49.5</v>
      </c>
      <c r="HK223" s="19">
        <v>48.5</v>
      </c>
      <c r="HL223" s="19">
        <v>47.5</v>
      </c>
      <c r="HM223" s="19">
        <v>46.5</v>
      </c>
      <c r="HN223" s="19">
        <v>45.5</v>
      </c>
      <c r="HO223" s="19">
        <v>44.3</v>
      </c>
      <c r="HP223" s="19">
        <v>43.3</v>
      </c>
      <c r="HQ223" s="19">
        <v>42</v>
      </c>
      <c r="HR223" s="19">
        <v>41</v>
      </c>
      <c r="HS223" s="19">
        <v>40</v>
      </c>
      <c r="HT223" s="19">
        <v>39</v>
      </c>
      <c r="HU223" s="19">
        <v>38</v>
      </c>
      <c r="HV223" s="19">
        <v>37</v>
      </c>
      <c r="HW223" s="19">
        <v>36</v>
      </c>
      <c r="HX223" s="19">
        <v>35</v>
      </c>
      <c r="HY223" s="19">
        <v>34</v>
      </c>
      <c r="HZ223" s="19">
        <v>33</v>
      </c>
      <c r="IA223" s="19">
        <v>32</v>
      </c>
      <c r="IB223" s="19">
        <v>31</v>
      </c>
      <c r="IC223" s="19">
        <v>30</v>
      </c>
    </row>
    <row r="224">
      <c r="A224" s="2" t="s">
        <v>1015</v>
      </c>
      <c r="B224" s="2" t="s">
        <v>800</v>
      </c>
      <c r="C224" s="2" t="s">
        <v>801</v>
      </c>
      <c r="D224" s="2" t="s">
        <v>802</v>
      </c>
      <c r="E224" s="2" t="s">
        <v>803</v>
      </c>
      <c r="F224" s="2" t="s">
        <v>1016</v>
      </c>
      <c r="G224" s="2" t="s">
        <v>1016</v>
      </c>
      <c r="H224" s="2" t="s">
        <v>1016</v>
      </c>
      <c r="I224" s="2" t="s">
        <v>1017</v>
      </c>
      <c r="J224" s="2" t="s">
        <v>806</v>
      </c>
      <c r="K224" s="2" t="s">
        <v>1018</v>
      </c>
      <c r="L224" s="3">
        <v>56.7</v>
      </c>
      <c r="M224" s="3">
        <v>59.54</v>
      </c>
      <c r="N224" s="3">
        <v>134.99</v>
      </c>
      <c r="O224" s="2" t="s">
        <v>485</v>
      </c>
      <c r="P224" s="2" t="s">
        <v>408</v>
      </c>
      <c r="Q224" s="2" t="s">
        <v>234</v>
      </c>
      <c r="R224" s="2" t="s">
        <v>235</v>
      </c>
      <c r="S224" s="2" t="s">
        <v>235</v>
      </c>
      <c r="T224" s="2" t="s">
        <v>235</v>
      </c>
      <c r="U224" s="2" t="s">
        <v>807</v>
      </c>
      <c r="V224" s="2" t="s">
        <v>808</v>
      </c>
      <c r="W224" s="2" t="s">
        <v>682</v>
      </c>
      <c r="X224" s="2" t="s">
        <v>235</v>
      </c>
      <c r="Y224" s="2" t="s">
        <v>1019</v>
      </c>
      <c r="Z224" s="4">
        <v>61</v>
      </c>
      <c r="AA224" s="4">
        <f>=ROUNDDOWN(55.4545454545455,0)</f>
      </c>
      <c r="AB224" s="5">
        <v>1.1</v>
      </c>
      <c r="AC224" s="2" t="s">
        <v>235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235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235</v>
      </c>
      <c r="BD224" s="8" t="s">
        <v>235</v>
      </c>
      <c r="BE224" s="4" t="s">
        <v>235</v>
      </c>
      <c r="BF224" s="8" t="s">
        <v>235</v>
      </c>
      <c r="BG224" s="7" t="s">
        <v>235</v>
      </c>
      <c r="BH224" s="7" t="s">
        <v>235</v>
      </c>
      <c r="BI224" s="7"/>
      <c r="BJ224" s="4">
        <v>4</v>
      </c>
      <c r="BK224" s="8">
        <v>86.08</v>
      </c>
      <c r="BL224" s="2" t="s">
        <v>597</v>
      </c>
      <c r="BM224" s="7"/>
      <c r="BN224" s="7"/>
      <c r="BO224" s="4"/>
      <c r="BP224" s="8"/>
      <c r="BQ224" s="4"/>
      <c r="BR224" s="8"/>
      <c r="BS224" s="7"/>
      <c r="BT224" s="7"/>
      <c r="BU224" s="2" t="s">
        <v>1020</v>
      </c>
      <c r="BV224" s="2" t="s">
        <v>813</v>
      </c>
      <c r="BW224" s="2" t="s">
        <v>235</v>
      </c>
      <c r="BX224" s="2" t="s">
        <v>414</v>
      </c>
      <c r="BY224" s="2" t="s">
        <v>245</v>
      </c>
      <c r="BZ224" s="2" t="s">
        <v>232</v>
      </c>
      <c r="CA224" s="2" t="s">
        <v>1021</v>
      </c>
      <c r="CB224" s="2" t="s">
        <v>1022</v>
      </c>
      <c r="CC224" s="2" t="s">
        <v>248</v>
      </c>
      <c r="CD224" s="2" t="s">
        <v>248</v>
      </c>
      <c r="CE224" s="2" t="s">
        <v>235</v>
      </c>
      <c r="CF224" s="4"/>
      <c r="CG224" s="4">
        <v>61</v>
      </c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>
        <v>61</v>
      </c>
      <c r="GE224" s="4">
        <v>60</v>
      </c>
      <c r="GF224" s="4">
        <v>59</v>
      </c>
      <c r="GG224" s="4">
        <v>58</v>
      </c>
      <c r="GH224" s="4">
        <v>57</v>
      </c>
      <c r="GI224" s="4">
        <v>56</v>
      </c>
      <c r="GJ224" s="4">
        <v>55</v>
      </c>
      <c r="GK224" s="4">
        <v>54</v>
      </c>
      <c r="GL224" s="4">
        <v>53</v>
      </c>
      <c r="GM224" s="4">
        <v>52</v>
      </c>
      <c r="GN224" s="4">
        <v>51</v>
      </c>
      <c r="GO224" s="4">
        <v>50</v>
      </c>
      <c r="GP224" s="4">
        <v>49</v>
      </c>
      <c r="GQ224" s="4">
        <v>48</v>
      </c>
      <c r="GR224" s="4">
        <v>47</v>
      </c>
      <c r="GS224" s="4">
        <v>46</v>
      </c>
      <c r="GT224" s="4">
        <v>45</v>
      </c>
      <c r="GU224" s="4">
        <v>44</v>
      </c>
      <c r="GV224" s="4">
        <v>43</v>
      </c>
      <c r="GW224" s="4">
        <v>42</v>
      </c>
      <c r="GX224" s="4">
        <v>41</v>
      </c>
      <c r="GY224" s="4">
        <v>40</v>
      </c>
      <c r="GZ224" s="4">
        <v>39</v>
      </c>
      <c r="HA224" s="4">
        <v>38</v>
      </c>
      <c r="HB224" s="4">
        <v>37</v>
      </c>
      <c r="HC224" s="4">
        <v>36</v>
      </c>
      <c r="HD224" s="19">
        <v>61</v>
      </c>
      <c r="HE224" s="19">
        <v>60</v>
      </c>
      <c r="HF224" s="19">
        <v>59</v>
      </c>
      <c r="HG224" s="19">
        <v>58</v>
      </c>
      <c r="HH224" s="19">
        <v>57</v>
      </c>
      <c r="HI224" s="19">
        <v>56</v>
      </c>
      <c r="HJ224" s="19">
        <v>55</v>
      </c>
      <c r="HK224" s="19">
        <v>54</v>
      </c>
      <c r="HL224" s="19">
        <v>53</v>
      </c>
      <c r="HM224" s="19">
        <v>52</v>
      </c>
      <c r="HN224" s="19">
        <v>51</v>
      </c>
      <c r="HO224" s="19">
        <v>50</v>
      </c>
      <c r="HP224" s="19">
        <v>49</v>
      </c>
      <c r="HQ224" s="19">
        <v>48</v>
      </c>
      <c r="HR224" s="19">
        <v>47</v>
      </c>
      <c r="HS224" s="19">
        <v>46</v>
      </c>
      <c r="HT224" s="19">
        <v>45</v>
      </c>
      <c r="HU224" s="19">
        <v>44</v>
      </c>
      <c r="HV224" s="19">
        <v>43</v>
      </c>
      <c r="HW224" s="19">
        <v>42</v>
      </c>
      <c r="HX224" s="19">
        <v>41</v>
      </c>
      <c r="HY224" s="19">
        <v>40</v>
      </c>
      <c r="HZ224" s="19">
        <v>39</v>
      </c>
      <c r="IA224" s="19">
        <v>38</v>
      </c>
      <c r="IB224" s="19">
        <v>37</v>
      </c>
      <c r="IC224" s="19">
        <v>36</v>
      </c>
    </row>
    <row r="225">
      <c r="A225" s="2" t="s">
        <v>1023</v>
      </c>
      <c r="B225" s="2" t="s">
        <v>871</v>
      </c>
      <c r="C225" s="2" t="s">
        <v>403</v>
      </c>
      <c r="D225" s="2" t="s">
        <v>361</v>
      </c>
      <c r="E225" s="2" t="s">
        <v>1024</v>
      </c>
      <c r="F225" s="2" t="s">
        <v>1016</v>
      </c>
      <c r="G225" s="2" t="s">
        <v>1025</v>
      </c>
      <c r="H225" s="2" t="s">
        <v>1026</v>
      </c>
      <c r="I225" s="2" t="s">
        <v>1027</v>
      </c>
      <c r="J225" s="2" t="s">
        <v>230</v>
      </c>
      <c r="K225" s="2" t="s">
        <v>231</v>
      </c>
      <c r="L225" s="3">
        <v>27.2</v>
      </c>
      <c r="M225" s="3">
        <v>28.56</v>
      </c>
      <c r="N225" s="3">
        <v>54.99</v>
      </c>
      <c r="O225" s="2" t="s">
        <v>232</v>
      </c>
      <c r="P225" s="2" t="s">
        <v>698</v>
      </c>
      <c r="Q225" s="2" t="s">
        <v>234</v>
      </c>
      <c r="R225" s="2" t="s">
        <v>235</v>
      </c>
      <c r="S225" s="2" t="s">
        <v>1028</v>
      </c>
      <c r="T225" s="2" t="s">
        <v>501</v>
      </c>
      <c r="U225" s="2" t="s">
        <v>614</v>
      </c>
      <c r="V225" s="2" t="s">
        <v>930</v>
      </c>
      <c r="W225" s="2" t="s">
        <v>1029</v>
      </c>
      <c r="X225" s="2" t="s">
        <v>235</v>
      </c>
      <c r="Y225" s="2" t="s">
        <v>1030</v>
      </c>
      <c r="Z225" s="4">
        <v>244</v>
      </c>
      <c r="AA225" s="4">
        <f>=ROUNDDOWN(24.4,0)</f>
      </c>
      <c r="AB225" s="5">
        <v>10</v>
      </c>
      <c r="AC225" s="2" t="s">
        <v>235</v>
      </c>
      <c r="AD225" s="4"/>
      <c r="AE225" s="4"/>
      <c r="AF225" s="6">
        <v>65</v>
      </c>
      <c r="AG225" s="6"/>
      <c r="AH225" s="7">
        <v>0.5161</v>
      </c>
      <c r="AI225" s="4"/>
      <c r="AJ225" s="4">
        <f>=ROUNDDOWN({0},0)</f>
      </c>
      <c r="AK225" s="5"/>
      <c r="AL225" s="2" t="s">
        <v>235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235</v>
      </c>
      <c r="BD225" s="8" t="s">
        <v>235</v>
      </c>
      <c r="BE225" s="4" t="s">
        <v>235</v>
      </c>
      <c r="BF225" s="8" t="s">
        <v>235</v>
      </c>
      <c r="BG225" s="7" t="s">
        <v>235</v>
      </c>
      <c r="BH225" s="7" t="s">
        <v>235</v>
      </c>
      <c r="BI225" s="7"/>
      <c r="BJ225" s="4">
        <v>61</v>
      </c>
      <c r="BK225" s="8">
        <v>1937.23</v>
      </c>
      <c r="BL225" s="2" t="s">
        <v>1031</v>
      </c>
      <c r="BM225" s="7"/>
      <c r="BN225" s="7"/>
      <c r="BO225" s="4"/>
      <c r="BP225" s="8"/>
      <c r="BQ225" s="4"/>
      <c r="BR225" s="8"/>
      <c r="BS225" s="7"/>
      <c r="BT225" s="7"/>
      <c r="BU225" s="2" t="s">
        <v>1032</v>
      </c>
      <c r="BV225" s="2" t="s">
        <v>243</v>
      </c>
      <c r="BW225" s="2" t="s">
        <v>235</v>
      </c>
      <c r="BX225" s="2" t="s">
        <v>244</v>
      </c>
      <c r="BY225" s="2" t="s">
        <v>245</v>
      </c>
      <c r="BZ225" s="2" t="s">
        <v>232</v>
      </c>
      <c r="CA225" s="2" t="s">
        <v>1033</v>
      </c>
      <c r="CB225" s="2" t="s">
        <v>1034</v>
      </c>
      <c r="CC225" s="2" t="s">
        <v>248</v>
      </c>
      <c r="CD225" s="2" t="s">
        <v>248</v>
      </c>
      <c r="CE225" s="2" t="s">
        <v>235</v>
      </c>
      <c r="CF225" s="4">
        <v>244</v>
      </c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>
        <v>247</v>
      </c>
      <c r="GE225" s="4">
        <v>239</v>
      </c>
      <c r="GF225" s="4">
        <v>237</v>
      </c>
      <c r="GG225" s="4">
        <v>235</v>
      </c>
      <c r="GH225" s="4">
        <v>230</v>
      </c>
      <c r="GI225" s="4">
        <v>226</v>
      </c>
      <c r="GJ225" s="4">
        <v>208</v>
      </c>
      <c r="GK225" s="4">
        <v>185</v>
      </c>
      <c r="GL225" s="4">
        <v>167</v>
      </c>
      <c r="GM225" s="4">
        <v>149</v>
      </c>
      <c r="GN225" s="4">
        <v>142</v>
      </c>
      <c r="GO225" s="4">
        <v>135</v>
      </c>
      <c r="GP225" s="4">
        <v>123</v>
      </c>
      <c r="GQ225" s="4">
        <v>103</v>
      </c>
      <c r="GR225" s="4">
        <v>84</v>
      </c>
      <c r="GS225" s="4">
        <v>68</v>
      </c>
      <c r="GT225" s="4">
        <v>53</v>
      </c>
      <c r="GU225" s="4">
        <v>46</v>
      </c>
      <c r="GV225" s="4">
        <v>38</v>
      </c>
      <c r="GW225" s="4">
        <v>136</v>
      </c>
      <c r="GX225" s="4">
        <v>126</v>
      </c>
      <c r="GY225" s="4">
        <v>122</v>
      </c>
      <c r="GZ225" s="4">
        <v>117</v>
      </c>
      <c r="HA225" s="4">
        <v>109</v>
      </c>
      <c r="HB225" s="4">
        <v>104</v>
      </c>
      <c r="HC225" s="4">
        <v>97</v>
      </c>
      <c r="HD225" s="19">
        <v>61.8</v>
      </c>
      <c r="HE225" s="19">
        <v>79.7</v>
      </c>
      <c r="HF225" s="19">
        <v>33.9</v>
      </c>
      <c r="HG225" s="19">
        <v>19.6</v>
      </c>
      <c r="HH225" s="19">
        <v>14.4</v>
      </c>
      <c r="HI225" s="19">
        <v>11.9</v>
      </c>
      <c r="HJ225" s="19">
        <v>13</v>
      </c>
      <c r="HK225" s="19">
        <v>15.4</v>
      </c>
      <c r="HL225" s="19">
        <v>15.2</v>
      </c>
      <c r="HM225" s="19">
        <v>12.4</v>
      </c>
      <c r="HN225" s="19">
        <v>10.1</v>
      </c>
      <c r="HO225" s="19">
        <v>7.9</v>
      </c>
      <c r="HP225" s="19">
        <v>6.8</v>
      </c>
      <c r="HQ225" s="19">
        <v>7.4</v>
      </c>
      <c r="HR225" s="19">
        <v>7</v>
      </c>
      <c r="HS225" s="19">
        <v>6.8</v>
      </c>
      <c r="HT225" s="19">
        <v>6.6</v>
      </c>
      <c r="HU225" s="19">
        <v>5.8</v>
      </c>
      <c r="HV225" s="19">
        <v>5.4</v>
      </c>
      <c r="HW225" s="19">
        <v>19.4</v>
      </c>
      <c r="HX225" s="19">
        <v>21</v>
      </c>
      <c r="HY225" s="19">
        <v>20.3</v>
      </c>
      <c r="HZ225" s="19">
        <v>19.5</v>
      </c>
      <c r="IA225" s="19">
        <v>18.2</v>
      </c>
      <c r="IB225" s="19">
        <v>13</v>
      </c>
      <c r="IC225" s="19">
        <v>13.9</v>
      </c>
    </row>
    <row r="226">
      <c r="A226" s="2" t="s">
        <v>1035</v>
      </c>
      <c r="B226" s="2" t="s">
        <v>224</v>
      </c>
      <c r="C226" s="2" t="s">
        <v>1036</v>
      </c>
      <c r="D226" s="2" t="s">
        <v>361</v>
      </c>
      <c r="E226" s="2" t="s">
        <v>1037</v>
      </c>
      <c r="F226" s="2" t="s">
        <v>1038</v>
      </c>
      <c r="G226" s="2" t="s">
        <v>1038</v>
      </c>
      <c r="H226" s="2" t="s">
        <v>1038</v>
      </c>
      <c r="I226" s="2" t="s">
        <v>1039</v>
      </c>
      <c r="J226" s="2" t="s">
        <v>394</v>
      </c>
      <c r="K226" s="2" t="s">
        <v>316</v>
      </c>
      <c r="L226" s="3">
        <v>55.36</v>
      </c>
      <c r="M226" s="3">
        <v>58.13</v>
      </c>
      <c r="N226" s="3">
        <v>117.99</v>
      </c>
      <c r="O226" s="2" t="s">
        <v>407</v>
      </c>
      <c r="P226" s="2" t="s">
        <v>408</v>
      </c>
      <c r="Q226" s="2" t="s">
        <v>234</v>
      </c>
      <c r="R226" s="2" t="s">
        <v>235</v>
      </c>
      <c r="S226" s="2" t="s">
        <v>1040</v>
      </c>
      <c r="T226" s="2" t="s">
        <v>235</v>
      </c>
      <c r="U226" s="2" t="s">
        <v>235</v>
      </c>
      <c r="V226" s="2" t="s">
        <v>238</v>
      </c>
      <c r="W226" s="2" t="s">
        <v>1041</v>
      </c>
      <c r="X226" s="2" t="s">
        <v>235</v>
      </c>
      <c r="Y226" s="2" t="s">
        <v>1042</v>
      </c>
      <c r="Z226" s="4">
        <v>17</v>
      </c>
      <c r="AA226" s="4">
        <f>=ROUNDDOWN(10.625,0)</f>
      </c>
      <c r="AB226" s="5">
        <v>1.6</v>
      </c>
      <c r="AC226" s="2" t="s">
        <v>235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235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>
        <v>12</v>
      </c>
      <c r="BK226" s="8">
        <v>867.4</v>
      </c>
      <c r="BL226" s="2" t="s">
        <v>1043</v>
      </c>
      <c r="BM226" s="7"/>
      <c r="BN226" s="7"/>
      <c r="BO226" s="4"/>
      <c r="BP226" s="8"/>
      <c r="BQ226" s="4"/>
      <c r="BR226" s="8"/>
      <c r="BS226" s="7"/>
      <c r="BT226" s="7"/>
      <c r="BU226" s="2" t="s">
        <v>1044</v>
      </c>
      <c r="BV226" s="2" t="s">
        <v>235</v>
      </c>
      <c r="BW226" s="2" t="s">
        <v>235</v>
      </c>
      <c r="BX226" s="2" t="s">
        <v>414</v>
      </c>
      <c r="BY226" s="2" t="s">
        <v>245</v>
      </c>
      <c r="BZ226" s="2" t="s">
        <v>232</v>
      </c>
      <c r="CA226" s="2" t="s">
        <v>1045</v>
      </c>
      <c r="CB226" s="2" t="s">
        <v>1046</v>
      </c>
      <c r="CC226" s="2" t="s">
        <v>248</v>
      </c>
      <c r="CD226" s="2" t="s">
        <v>248</v>
      </c>
      <c r="CE226" s="2" t="s">
        <v>235</v>
      </c>
      <c r="CF226" s="4">
        <v>17</v>
      </c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>
        <v>17</v>
      </c>
      <c r="GE226" s="4">
        <v>15</v>
      </c>
      <c r="GF226" s="4">
        <v>13</v>
      </c>
      <c r="GG226" s="4">
        <v>11</v>
      </c>
      <c r="GH226" s="4">
        <v>9</v>
      </c>
      <c r="GI226" s="4">
        <v>6</v>
      </c>
      <c r="GJ226" s="4">
        <v>3</v>
      </c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19">
        <v>8.5</v>
      </c>
      <c r="HE226" s="19">
        <v>7.5</v>
      </c>
      <c r="HF226" s="19">
        <v>6.5</v>
      </c>
      <c r="HG226" s="19">
        <v>3.7</v>
      </c>
      <c r="HH226" s="19">
        <v>3</v>
      </c>
      <c r="HI226" s="19">
        <v>2</v>
      </c>
      <c r="HJ226" s="19">
        <v>1</v>
      </c>
      <c r="HK226" s="20">
        <v>0</v>
      </c>
      <c r="HL226" s="20">
        <v>0</v>
      </c>
      <c r="HM226" s="20">
        <v>0</v>
      </c>
      <c r="HN226" s="20">
        <v>0</v>
      </c>
      <c r="HO226" s="20">
        <v>0</v>
      </c>
      <c r="HP226" s="20">
        <v>0</v>
      </c>
      <c r="HQ226" s="20">
        <v>0</v>
      </c>
      <c r="HR226" s="20">
        <v>0</v>
      </c>
      <c r="HS226" s="20">
        <v>0</v>
      </c>
      <c r="HT226" s="20">
        <v>0</v>
      </c>
      <c r="HU226" s="20">
        <v>0</v>
      </c>
      <c r="HV226" s="20">
        <v>0</v>
      </c>
      <c r="HW226" s="20">
        <v>0</v>
      </c>
      <c r="HX226" s="20">
        <v>0</v>
      </c>
      <c r="HY226" s="20">
        <v>0</v>
      </c>
      <c r="HZ226" s="20">
        <v>0</v>
      </c>
      <c r="IA226" s="20">
        <v>0</v>
      </c>
      <c r="IB226" s="20">
        <v>0</v>
      </c>
      <c r="IC226" s="20">
        <v>0</v>
      </c>
    </row>
    <row r="227">
      <c r="A227" s="2" t="s">
        <v>1047</v>
      </c>
      <c r="B227" s="2" t="s">
        <v>871</v>
      </c>
      <c r="C227" s="2" t="s">
        <v>893</v>
      </c>
      <c r="D227" s="2" t="s">
        <v>906</v>
      </c>
      <c r="E227" s="2" t="s">
        <v>907</v>
      </c>
      <c r="F227" s="2" t="s">
        <v>1048</v>
      </c>
      <c r="G227" s="2" t="s">
        <v>1048</v>
      </c>
      <c r="H227" s="2" t="s">
        <v>1048</v>
      </c>
      <c r="I227" s="2" t="s">
        <v>1049</v>
      </c>
      <c r="J227" s="2" t="s">
        <v>365</v>
      </c>
      <c r="K227" s="2" t="s">
        <v>600</v>
      </c>
      <c r="L227" s="3">
        <v>44.1</v>
      </c>
      <c r="M227" s="3">
        <v>46.3</v>
      </c>
      <c r="N227" s="3">
        <v>89.99</v>
      </c>
      <c r="O227" s="2" t="s">
        <v>232</v>
      </c>
      <c r="P227" s="2" t="s">
        <v>233</v>
      </c>
      <c r="Q227" s="2" t="s">
        <v>234</v>
      </c>
      <c r="R227" s="2" t="s">
        <v>235</v>
      </c>
      <c r="S227" s="2" t="s">
        <v>1050</v>
      </c>
      <c r="T227" s="2" t="s">
        <v>1051</v>
      </c>
      <c r="U227" s="2" t="s">
        <v>552</v>
      </c>
      <c r="V227" s="2" t="s">
        <v>863</v>
      </c>
      <c r="W227" s="2" t="s">
        <v>1052</v>
      </c>
      <c r="X227" s="2" t="s">
        <v>1053</v>
      </c>
      <c r="Y227" s="2" t="s">
        <v>240</v>
      </c>
      <c r="Z227" s="4">
        <v>318</v>
      </c>
      <c r="AA227" s="4">
        <f>=ROUNDDOWN(187.058823529412,0)</f>
      </c>
      <c r="AB227" s="5">
        <v>1.7</v>
      </c>
      <c r="AC227" s="2" t="s">
        <v>235</v>
      </c>
      <c r="AD227" s="4"/>
      <c r="AE227" s="4"/>
      <c r="AF227" s="6">
        <v>78</v>
      </c>
      <c r="AG227" s="6"/>
      <c r="AH227" s="7">
        <v>1</v>
      </c>
      <c r="AI227" s="4"/>
      <c r="AJ227" s="4">
        <f>=ROUNDDOWN({0},0)</f>
      </c>
      <c r="AK227" s="5"/>
      <c r="AL227" s="2" t="s">
        <v>235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235</v>
      </c>
      <c r="AW227" s="8" t="s">
        <v>235</v>
      </c>
      <c r="AX227" s="4" t="s">
        <v>235</v>
      </c>
      <c r="AY227" s="8" t="s">
        <v>235</v>
      </c>
      <c r="AZ227" s="7" t="s">
        <v>235</v>
      </c>
      <c r="BA227" s="7" t="s">
        <v>235</v>
      </c>
      <c r="BB227" s="7"/>
      <c r="BC227" s="4" t="s">
        <v>235</v>
      </c>
      <c r="BD227" s="8" t="s">
        <v>235</v>
      </c>
      <c r="BE227" s="4" t="s">
        <v>235</v>
      </c>
      <c r="BF227" s="8" t="s">
        <v>235</v>
      </c>
      <c r="BG227" s="7" t="s">
        <v>235</v>
      </c>
      <c r="BH227" s="7" t="s">
        <v>235</v>
      </c>
      <c r="BI227" s="7"/>
      <c r="BJ227" s="4">
        <v>2</v>
      </c>
      <c r="BK227" s="8">
        <v>100.12</v>
      </c>
      <c r="BL227" s="2" t="s">
        <v>1054</v>
      </c>
      <c r="BM227" s="7"/>
      <c r="BN227" s="7"/>
      <c r="BO227" s="4"/>
      <c r="BP227" s="8"/>
      <c r="BQ227" s="4"/>
      <c r="BR227" s="8"/>
      <c r="BS227" s="7"/>
      <c r="BT227" s="7"/>
      <c r="BU227" s="2" t="s">
        <v>1055</v>
      </c>
      <c r="BV227" s="2" t="s">
        <v>243</v>
      </c>
      <c r="BW227" s="2" t="s">
        <v>235</v>
      </c>
      <c r="BX227" s="2" t="s">
        <v>244</v>
      </c>
      <c r="BY227" s="2" t="s">
        <v>245</v>
      </c>
      <c r="BZ227" s="2" t="s">
        <v>232</v>
      </c>
      <c r="CA227" s="2" t="s">
        <v>252</v>
      </c>
      <c r="CB227" s="2" t="s">
        <v>1056</v>
      </c>
      <c r="CC227" s="2" t="s">
        <v>248</v>
      </c>
      <c r="CD227" s="2" t="s">
        <v>248</v>
      </c>
      <c r="CE227" s="2" t="s">
        <v>235</v>
      </c>
      <c r="CF227" s="4">
        <v>318</v>
      </c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>
        <v>321</v>
      </c>
      <c r="GE227" s="4">
        <v>317</v>
      </c>
      <c r="GF227" s="4">
        <v>315</v>
      </c>
      <c r="GG227" s="4">
        <v>313</v>
      </c>
      <c r="GH227" s="4">
        <v>310</v>
      </c>
      <c r="GI227" s="4">
        <v>307</v>
      </c>
      <c r="GJ227" s="4">
        <v>302</v>
      </c>
      <c r="GK227" s="4">
        <v>299</v>
      </c>
      <c r="GL227" s="4">
        <v>296</v>
      </c>
      <c r="GM227" s="4">
        <v>294</v>
      </c>
      <c r="GN227" s="4">
        <v>292</v>
      </c>
      <c r="GO227" s="4">
        <v>289</v>
      </c>
      <c r="GP227" s="4">
        <v>286</v>
      </c>
      <c r="GQ227" s="4">
        <v>281</v>
      </c>
      <c r="GR227" s="4">
        <v>278</v>
      </c>
      <c r="GS227" s="4">
        <v>275</v>
      </c>
      <c r="GT227" s="4">
        <v>273</v>
      </c>
      <c r="GU227" s="4">
        <v>271</v>
      </c>
      <c r="GV227" s="4">
        <v>269</v>
      </c>
      <c r="GW227" s="4">
        <v>267</v>
      </c>
      <c r="GX227" s="4">
        <v>265</v>
      </c>
      <c r="GY227" s="4">
        <v>263</v>
      </c>
      <c r="GZ227" s="4">
        <v>261</v>
      </c>
      <c r="HA227" s="4">
        <v>259</v>
      </c>
      <c r="HB227" s="4">
        <v>257</v>
      </c>
      <c r="HC227" s="4">
        <v>255</v>
      </c>
      <c r="HD227" s="19">
        <v>107</v>
      </c>
      <c r="HE227" s="19">
        <v>158.5</v>
      </c>
      <c r="HF227" s="19">
        <v>105</v>
      </c>
      <c r="HG227" s="19">
        <v>78.3</v>
      </c>
      <c r="HH227" s="19">
        <v>77.5</v>
      </c>
      <c r="HI227" s="19">
        <v>102.3</v>
      </c>
      <c r="HJ227" s="19">
        <v>151</v>
      </c>
      <c r="HK227" s="19">
        <v>149.5</v>
      </c>
      <c r="HL227" s="19">
        <v>148</v>
      </c>
      <c r="HM227" s="19">
        <v>98</v>
      </c>
      <c r="HN227" s="19">
        <v>73</v>
      </c>
      <c r="HO227" s="19">
        <v>72.3</v>
      </c>
      <c r="HP227" s="19">
        <v>95.3</v>
      </c>
      <c r="HQ227" s="19">
        <v>140.5</v>
      </c>
      <c r="HR227" s="19">
        <v>139</v>
      </c>
      <c r="HS227" s="19">
        <v>137.5</v>
      </c>
      <c r="HT227" s="19">
        <v>136.5</v>
      </c>
      <c r="HU227" s="19">
        <v>135.5</v>
      </c>
      <c r="HV227" s="19">
        <v>134.5</v>
      </c>
      <c r="HW227" s="19">
        <v>133.5</v>
      </c>
      <c r="HX227" s="19">
        <v>132.5</v>
      </c>
      <c r="HY227" s="19">
        <v>131.5</v>
      </c>
      <c r="HZ227" s="19">
        <v>130.5</v>
      </c>
      <c r="IA227" s="19">
        <v>129.5</v>
      </c>
      <c r="IB227" s="19">
        <v>128.5</v>
      </c>
      <c r="IC227" s="19">
        <v>127.5</v>
      </c>
    </row>
    <row r="228">
      <c r="A228" s="2" t="s">
        <v>1057</v>
      </c>
      <c r="B228" s="2" t="s">
        <v>871</v>
      </c>
      <c r="C228" s="2" t="s">
        <v>893</v>
      </c>
      <c r="D228" s="2" t="s">
        <v>906</v>
      </c>
      <c r="E228" s="2" t="s">
        <v>907</v>
      </c>
      <c r="F228" s="2" t="s">
        <v>1048</v>
      </c>
      <c r="G228" s="2" t="s">
        <v>1048</v>
      </c>
      <c r="H228" s="2" t="s">
        <v>1048</v>
      </c>
      <c r="I228" s="2" t="s">
        <v>1049</v>
      </c>
      <c r="J228" s="2" t="s">
        <v>372</v>
      </c>
      <c r="K228" s="2" t="s">
        <v>600</v>
      </c>
      <c r="L228" s="3">
        <v>58.5</v>
      </c>
      <c r="M228" s="3">
        <v>61.42</v>
      </c>
      <c r="N228" s="3">
        <v>119.99</v>
      </c>
      <c r="O228" s="2" t="s">
        <v>232</v>
      </c>
      <c r="P228" s="2" t="s">
        <v>233</v>
      </c>
      <c r="Q228" s="2" t="s">
        <v>234</v>
      </c>
      <c r="R228" s="2" t="s">
        <v>235</v>
      </c>
      <c r="S228" s="2" t="s">
        <v>1050</v>
      </c>
      <c r="T228" s="2" t="s">
        <v>1051</v>
      </c>
      <c r="U228" s="2" t="s">
        <v>552</v>
      </c>
      <c r="V228" s="2" t="s">
        <v>863</v>
      </c>
      <c r="W228" s="2" t="s">
        <v>1052</v>
      </c>
      <c r="X228" s="2" t="s">
        <v>1053</v>
      </c>
      <c r="Y228" s="2" t="s">
        <v>240</v>
      </c>
      <c r="Z228" s="4">
        <v>96</v>
      </c>
      <c r="AA228" s="4">
        <f>=ROUNDDOWN(73.8461538461539,0)</f>
      </c>
      <c r="AB228" s="5">
        <v>1.3</v>
      </c>
      <c r="AC228" s="2" t="s">
        <v>235</v>
      </c>
      <c r="AD228" s="4"/>
      <c r="AE228" s="4"/>
      <c r="AF228" s="6">
        <v>78</v>
      </c>
      <c r="AG228" s="6"/>
      <c r="AH228" s="7">
        <v>1</v>
      </c>
      <c r="AI228" s="4"/>
      <c r="AJ228" s="4">
        <f>=ROUNDDOWN({0},0)</f>
      </c>
      <c r="AK228" s="5"/>
      <c r="AL228" s="2" t="s">
        <v>235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235</v>
      </c>
      <c r="AW228" s="8" t="s">
        <v>235</v>
      </c>
      <c r="AX228" s="4" t="s">
        <v>235</v>
      </c>
      <c r="AY228" s="8" t="s">
        <v>235</v>
      </c>
      <c r="AZ228" s="7" t="s">
        <v>235</v>
      </c>
      <c r="BA228" s="7" t="s">
        <v>235</v>
      </c>
      <c r="BB228" s="7"/>
      <c r="BC228" s="4" t="s">
        <v>235</v>
      </c>
      <c r="BD228" s="8" t="s">
        <v>235</v>
      </c>
      <c r="BE228" s="4" t="s">
        <v>235</v>
      </c>
      <c r="BF228" s="8" t="s">
        <v>235</v>
      </c>
      <c r="BG228" s="7" t="s">
        <v>235</v>
      </c>
      <c r="BH228" s="7" t="s">
        <v>235</v>
      </c>
      <c r="BI228" s="7"/>
      <c r="BJ228" s="4">
        <v>2</v>
      </c>
      <c r="BK228" s="8">
        <v>131.32</v>
      </c>
      <c r="BL228" s="2" t="s">
        <v>1058</v>
      </c>
      <c r="BM228" s="7"/>
      <c r="BN228" s="7"/>
      <c r="BO228" s="4"/>
      <c r="BP228" s="8"/>
      <c r="BQ228" s="4"/>
      <c r="BR228" s="8"/>
      <c r="BS228" s="7"/>
      <c r="BT228" s="7"/>
      <c r="BU228" s="2" t="s">
        <v>1055</v>
      </c>
      <c r="BV228" s="2" t="s">
        <v>243</v>
      </c>
      <c r="BW228" s="2" t="s">
        <v>235</v>
      </c>
      <c r="BX228" s="2" t="s">
        <v>244</v>
      </c>
      <c r="BY228" s="2" t="s">
        <v>245</v>
      </c>
      <c r="BZ228" s="2" t="s">
        <v>232</v>
      </c>
      <c r="CA228" s="2" t="s">
        <v>252</v>
      </c>
      <c r="CB228" s="2" t="s">
        <v>1059</v>
      </c>
      <c r="CC228" s="2" t="s">
        <v>248</v>
      </c>
      <c r="CD228" s="2" t="s">
        <v>248</v>
      </c>
      <c r="CE228" s="2" t="s">
        <v>235</v>
      </c>
      <c r="CF228" s="4">
        <v>57</v>
      </c>
      <c r="CG228" s="4">
        <v>39</v>
      </c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>
        <v>98</v>
      </c>
      <c r="GE228" s="4">
        <v>95</v>
      </c>
      <c r="GF228" s="4">
        <v>94</v>
      </c>
      <c r="GG228" s="4">
        <v>93</v>
      </c>
      <c r="GH228" s="4">
        <v>92</v>
      </c>
      <c r="GI228" s="4">
        <v>91</v>
      </c>
      <c r="GJ228" s="4">
        <v>90</v>
      </c>
      <c r="GK228" s="4">
        <v>89</v>
      </c>
      <c r="GL228" s="4">
        <v>88</v>
      </c>
      <c r="GM228" s="4">
        <v>87</v>
      </c>
      <c r="GN228" s="4">
        <v>86</v>
      </c>
      <c r="GO228" s="4">
        <v>84</v>
      </c>
      <c r="GP228" s="4">
        <v>82</v>
      </c>
      <c r="GQ228" s="4">
        <v>78</v>
      </c>
      <c r="GR228" s="4">
        <v>76</v>
      </c>
      <c r="GS228" s="4">
        <v>74</v>
      </c>
      <c r="GT228" s="4">
        <v>73</v>
      </c>
      <c r="GU228" s="4">
        <v>72</v>
      </c>
      <c r="GV228" s="4">
        <v>71</v>
      </c>
      <c r="GW228" s="4">
        <v>70</v>
      </c>
      <c r="GX228" s="4">
        <v>69</v>
      </c>
      <c r="GY228" s="4">
        <v>68</v>
      </c>
      <c r="GZ228" s="4">
        <v>67</v>
      </c>
      <c r="HA228" s="4">
        <v>66</v>
      </c>
      <c r="HB228" s="4">
        <v>65</v>
      </c>
      <c r="HC228" s="4">
        <v>64</v>
      </c>
      <c r="HD228" s="19">
        <v>49</v>
      </c>
      <c r="HE228" s="19">
        <v>95</v>
      </c>
      <c r="HF228" s="19">
        <v>94</v>
      </c>
      <c r="HG228" s="19">
        <v>93</v>
      </c>
      <c r="HH228" s="19">
        <v>92</v>
      </c>
      <c r="HI228" s="19">
        <v>91</v>
      </c>
      <c r="HJ228" s="19">
        <v>90</v>
      </c>
      <c r="HK228" s="19">
        <v>89</v>
      </c>
      <c r="HL228" s="19">
        <v>44</v>
      </c>
      <c r="HM228" s="19">
        <v>43.5</v>
      </c>
      <c r="HN228" s="19">
        <v>43</v>
      </c>
      <c r="HO228" s="19">
        <v>42</v>
      </c>
      <c r="HP228" s="19">
        <v>41</v>
      </c>
      <c r="HQ228" s="19">
        <v>39</v>
      </c>
      <c r="HR228" s="19">
        <v>76</v>
      </c>
      <c r="HS228" s="19">
        <v>74</v>
      </c>
      <c r="HT228" s="19">
        <v>73</v>
      </c>
      <c r="HU228" s="19">
        <v>72</v>
      </c>
      <c r="HV228" s="19">
        <v>71</v>
      </c>
      <c r="HW228" s="19">
        <v>70</v>
      </c>
      <c r="HX228" s="19">
        <v>69</v>
      </c>
      <c r="HY228" s="19">
        <v>68</v>
      </c>
      <c r="HZ228" s="19">
        <v>67</v>
      </c>
      <c r="IA228" s="19">
        <v>66</v>
      </c>
      <c r="IB228" s="19">
        <v>65</v>
      </c>
      <c r="IC228" s="19">
        <v>64</v>
      </c>
    </row>
    <row r="229">
      <c r="A229" s="2" t="s">
        <v>1060</v>
      </c>
      <c r="B229" s="2" t="s">
        <v>871</v>
      </c>
      <c r="C229" s="2" t="s">
        <v>893</v>
      </c>
      <c r="D229" s="2" t="s">
        <v>361</v>
      </c>
      <c r="E229" s="2" t="s">
        <v>924</v>
      </c>
      <c r="F229" s="2" t="s">
        <v>1048</v>
      </c>
      <c r="G229" s="2" t="s">
        <v>1048</v>
      </c>
      <c r="H229" s="2" t="s">
        <v>1048</v>
      </c>
      <c r="I229" s="2" t="s">
        <v>1061</v>
      </c>
      <c r="J229" s="2" t="s">
        <v>365</v>
      </c>
      <c r="K229" s="2" t="s">
        <v>1062</v>
      </c>
      <c r="L229" s="3">
        <v>54</v>
      </c>
      <c r="M229" s="3">
        <v>56.7</v>
      </c>
      <c r="N229" s="3">
        <v>109.99</v>
      </c>
      <c r="O229" s="2" t="s">
        <v>485</v>
      </c>
      <c r="P229" s="2" t="s">
        <v>408</v>
      </c>
      <c r="Q229" s="2" t="s">
        <v>234</v>
      </c>
      <c r="R229" s="2" t="s">
        <v>235</v>
      </c>
      <c r="S229" s="2" t="s">
        <v>1063</v>
      </c>
      <c r="T229" s="2" t="s">
        <v>1051</v>
      </c>
      <c r="U229" s="2" t="s">
        <v>552</v>
      </c>
      <c r="V229" s="2" t="s">
        <v>863</v>
      </c>
      <c r="W229" s="2" t="s">
        <v>1052</v>
      </c>
      <c r="X229" s="2" t="s">
        <v>1053</v>
      </c>
      <c r="Y229" s="2" t="s">
        <v>240</v>
      </c>
      <c r="Z229" s="4">
        <v>320</v>
      </c>
      <c r="AA229" s="4">
        <f>=ROUNDDOWN(64,0)</f>
      </c>
      <c r="AB229" s="5">
        <v>5</v>
      </c>
      <c r="AC229" s="2" t="s">
        <v>235</v>
      </c>
      <c r="AD229" s="4"/>
      <c r="AE229" s="4"/>
      <c r="AF229" s="6">
        <v>78</v>
      </c>
      <c r="AG229" s="6">
        <v>78</v>
      </c>
      <c r="AH229" s="7">
        <v>1</v>
      </c>
      <c r="AI229" s="4"/>
      <c r="AJ229" s="4">
        <f>=ROUNDDOWN({0},0)</f>
      </c>
      <c r="AK229" s="5"/>
      <c r="AL229" s="2" t="s">
        <v>235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235</v>
      </c>
      <c r="AW229" s="8" t="s">
        <v>235</v>
      </c>
      <c r="AX229" s="4" t="s">
        <v>235</v>
      </c>
      <c r="AY229" s="8" t="s">
        <v>235</v>
      </c>
      <c r="AZ229" s="7" t="s">
        <v>235</v>
      </c>
      <c r="BA229" s="7" t="s">
        <v>235</v>
      </c>
      <c r="BB229" s="7"/>
      <c r="BC229" s="4" t="s">
        <v>235</v>
      </c>
      <c r="BD229" s="8" t="s">
        <v>235</v>
      </c>
      <c r="BE229" s="4" t="s">
        <v>235</v>
      </c>
      <c r="BF229" s="8" t="s">
        <v>235</v>
      </c>
      <c r="BG229" s="7" t="s">
        <v>235</v>
      </c>
      <c r="BH229" s="7" t="s">
        <v>235</v>
      </c>
      <c r="BI229" s="7"/>
      <c r="BJ229" s="4">
        <v>6</v>
      </c>
      <c r="BK229" s="8">
        <v>382.81</v>
      </c>
      <c r="BL229" s="2" t="s">
        <v>1064</v>
      </c>
      <c r="BM229" s="7"/>
      <c r="BN229" s="7"/>
      <c r="BO229" s="4"/>
      <c r="BP229" s="8"/>
      <c r="BQ229" s="4"/>
      <c r="BR229" s="8"/>
      <c r="BS229" s="7"/>
      <c r="BT229" s="7"/>
      <c r="BU229" s="2" t="s">
        <v>1065</v>
      </c>
      <c r="BV229" s="2" t="s">
        <v>243</v>
      </c>
      <c r="BW229" s="2" t="s">
        <v>235</v>
      </c>
      <c r="BX229" s="2" t="s">
        <v>414</v>
      </c>
      <c r="BY229" s="2" t="s">
        <v>245</v>
      </c>
      <c r="BZ229" s="2" t="s">
        <v>232</v>
      </c>
      <c r="CA229" s="2" t="s">
        <v>1066</v>
      </c>
      <c r="CB229" s="2" t="s">
        <v>1067</v>
      </c>
      <c r="CC229" s="2" t="s">
        <v>248</v>
      </c>
      <c r="CD229" s="2" t="s">
        <v>248</v>
      </c>
      <c r="CE229" s="2" t="s">
        <v>235</v>
      </c>
      <c r="CF229" s="4">
        <v>305</v>
      </c>
      <c r="CG229" s="4"/>
      <c r="CH229" s="4"/>
      <c r="CI229" s="4">
        <v>15</v>
      </c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>
        <v>321</v>
      </c>
      <c r="GE229" s="4">
        <v>302</v>
      </c>
      <c r="GF229" s="4">
        <v>297</v>
      </c>
      <c r="GG229" s="4">
        <v>291</v>
      </c>
      <c r="GH229" s="4">
        <v>283</v>
      </c>
      <c r="GI229" s="4">
        <v>275</v>
      </c>
      <c r="GJ229" s="4">
        <v>261</v>
      </c>
      <c r="GK229" s="4">
        <v>254</v>
      </c>
      <c r="GL229" s="4">
        <v>247</v>
      </c>
      <c r="GM229" s="4">
        <v>241</v>
      </c>
      <c r="GN229" s="4">
        <v>234</v>
      </c>
      <c r="GO229" s="4">
        <v>224</v>
      </c>
      <c r="GP229" s="4">
        <v>214</v>
      </c>
      <c r="GQ229" s="4">
        <v>196</v>
      </c>
      <c r="GR229" s="4">
        <v>188</v>
      </c>
      <c r="GS229" s="4">
        <v>180</v>
      </c>
      <c r="GT229" s="4">
        <v>174</v>
      </c>
      <c r="GU229" s="4">
        <v>169</v>
      </c>
      <c r="GV229" s="4">
        <v>164</v>
      </c>
      <c r="GW229" s="4">
        <v>159</v>
      </c>
      <c r="GX229" s="4">
        <v>154</v>
      </c>
      <c r="GY229" s="4">
        <v>149</v>
      </c>
      <c r="GZ229" s="4">
        <v>144</v>
      </c>
      <c r="HA229" s="4">
        <v>139</v>
      </c>
      <c r="HB229" s="4">
        <v>134</v>
      </c>
      <c r="HC229" s="4">
        <v>129</v>
      </c>
      <c r="HD229" s="19">
        <v>17</v>
      </c>
      <c r="HE229" s="19">
        <v>20.5</v>
      </c>
      <c r="HF229" s="19">
        <v>15.7</v>
      </c>
      <c r="HG229" s="19">
        <v>15.4</v>
      </c>
      <c r="HH229" s="19">
        <v>14.9</v>
      </c>
      <c r="HI229" s="19">
        <v>16.3</v>
      </c>
      <c r="HJ229" s="19">
        <v>17.7</v>
      </c>
      <c r="HK229" s="19">
        <v>15</v>
      </c>
      <c r="HL229" s="19">
        <v>14.6</v>
      </c>
      <c r="HM229" s="19">
        <v>10.3</v>
      </c>
      <c r="HN229" s="19">
        <v>9.2</v>
      </c>
      <c r="HO229" s="19">
        <v>9.6</v>
      </c>
      <c r="HP229" s="19">
        <v>10</v>
      </c>
      <c r="HQ229" s="19">
        <v>13</v>
      </c>
      <c r="HR229" s="19">
        <v>14.5</v>
      </c>
      <c r="HS229" s="19">
        <v>16.6</v>
      </c>
      <c r="HT229" s="19">
        <v>16</v>
      </c>
      <c r="HU229" s="19">
        <v>15.5</v>
      </c>
      <c r="HV229" s="19">
        <v>15</v>
      </c>
      <c r="HW229" s="19">
        <v>14.5</v>
      </c>
      <c r="HX229" s="19">
        <v>14</v>
      </c>
      <c r="HY229" s="19">
        <v>13.5</v>
      </c>
      <c r="HZ229" s="19">
        <v>13</v>
      </c>
      <c r="IA229" s="19">
        <v>12.5</v>
      </c>
      <c r="IB229" s="19">
        <v>12</v>
      </c>
      <c r="IC229" s="19">
        <v>11.5</v>
      </c>
    </row>
    <row r="230">
      <c r="A230" s="2" t="s">
        <v>1068</v>
      </c>
      <c r="B230" s="2" t="s">
        <v>871</v>
      </c>
      <c r="C230" s="2" t="s">
        <v>893</v>
      </c>
      <c r="D230" s="2" t="s">
        <v>906</v>
      </c>
      <c r="E230" s="2" t="s">
        <v>907</v>
      </c>
      <c r="F230" s="2" t="s">
        <v>1048</v>
      </c>
      <c r="G230" s="2" t="s">
        <v>1048</v>
      </c>
      <c r="H230" s="2" t="s">
        <v>1048</v>
      </c>
      <c r="I230" s="2" t="s">
        <v>1049</v>
      </c>
      <c r="J230" s="2" t="s">
        <v>372</v>
      </c>
      <c r="K230" s="2" t="s">
        <v>1062</v>
      </c>
      <c r="L230" s="3">
        <v>58.5</v>
      </c>
      <c r="M230" s="3">
        <v>61.42</v>
      </c>
      <c r="N230" s="3">
        <v>119.99</v>
      </c>
      <c r="O230" s="2" t="s">
        <v>407</v>
      </c>
      <c r="P230" s="2" t="s">
        <v>408</v>
      </c>
      <c r="Q230" s="2" t="s">
        <v>234</v>
      </c>
      <c r="R230" s="2" t="s">
        <v>235</v>
      </c>
      <c r="S230" s="2" t="s">
        <v>1063</v>
      </c>
      <c r="T230" s="2" t="s">
        <v>1051</v>
      </c>
      <c r="U230" s="2" t="s">
        <v>552</v>
      </c>
      <c r="V230" s="2" t="s">
        <v>863</v>
      </c>
      <c r="W230" s="2" t="s">
        <v>1052</v>
      </c>
      <c r="X230" s="2" t="s">
        <v>1053</v>
      </c>
      <c r="Y230" s="2" t="s">
        <v>240</v>
      </c>
      <c r="Z230" s="4">
        <v>32</v>
      </c>
      <c r="AA230" s="4">
        <f>=ROUNDDOWN(12.8,0)</f>
      </c>
      <c r="AB230" s="5">
        <v>2.5</v>
      </c>
      <c r="AC230" s="2" t="s">
        <v>235</v>
      </c>
      <c r="AD230" s="4"/>
      <c r="AE230" s="4"/>
      <c r="AF230" s="6">
        <v>78</v>
      </c>
      <c r="AG230" s="6"/>
      <c r="AH230" s="7">
        <v>1</v>
      </c>
      <c r="AI230" s="4"/>
      <c r="AJ230" s="4">
        <f>=ROUNDDOWN({0},0)</f>
      </c>
      <c r="AK230" s="5"/>
      <c r="AL230" s="2" t="s">
        <v>235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235</v>
      </c>
      <c r="AW230" s="8" t="s">
        <v>235</v>
      </c>
      <c r="AX230" s="4" t="s">
        <v>235</v>
      </c>
      <c r="AY230" s="8" t="s">
        <v>235</v>
      </c>
      <c r="AZ230" s="7" t="s">
        <v>235</v>
      </c>
      <c r="BA230" s="7" t="s">
        <v>235</v>
      </c>
      <c r="BB230" s="7"/>
      <c r="BC230" s="4" t="s">
        <v>235</v>
      </c>
      <c r="BD230" s="8" t="s">
        <v>235</v>
      </c>
      <c r="BE230" s="4" t="s">
        <v>235</v>
      </c>
      <c r="BF230" s="8" t="s">
        <v>235</v>
      </c>
      <c r="BG230" s="7" t="s">
        <v>235</v>
      </c>
      <c r="BH230" s="7" t="s">
        <v>235</v>
      </c>
      <c r="BI230" s="7"/>
      <c r="BJ230" s="4">
        <v>5</v>
      </c>
      <c r="BK230" s="8">
        <v>339.36</v>
      </c>
      <c r="BL230" s="2" t="s">
        <v>1069</v>
      </c>
      <c r="BM230" s="7"/>
      <c r="BN230" s="7"/>
      <c r="BO230" s="4"/>
      <c r="BP230" s="8"/>
      <c r="BQ230" s="4"/>
      <c r="BR230" s="8"/>
      <c r="BS230" s="7"/>
      <c r="BT230" s="7"/>
      <c r="BU230" s="2" t="s">
        <v>1055</v>
      </c>
      <c r="BV230" s="2" t="s">
        <v>243</v>
      </c>
      <c r="BW230" s="2" t="s">
        <v>235</v>
      </c>
      <c r="BX230" s="2" t="s">
        <v>414</v>
      </c>
      <c r="BY230" s="2" t="s">
        <v>245</v>
      </c>
      <c r="BZ230" s="2" t="s">
        <v>232</v>
      </c>
      <c r="CA230" s="2" t="s">
        <v>1066</v>
      </c>
      <c r="CB230" s="2" t="s">
        <v>869</v>
      </c>
      <c r="CC230" s="2" t="s">
        <v>248</v>
      </c>
      <c r="CD230" s="2" t="s">
        <v>248</v>
      </c>
      <c r="CE230" s="2" t="s">
        <v>235</v>
      </c>
      <c r="CF230" s="4">
        <v>32</v>
      </c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>
        <v>32</v>
      </c>
      <c r="GE230" s="4">
        <v>30</v>
      </c>
      <c r="GF230" s="4">
        <v>28</v>
      </c>
      <c r="GG230" s="4">
        <v>26</v>
      </c>
      <c r="GH230" s="4">
        <v>24</v>
      </c>
      <c r="GI230" s="4">
        <v>22</v>
      </c>
      <c r="GJ230" s="4">
        <v>20</v>
      </c>
      <c r="GK230" s="4">
        <v>18</v>
      </c>
      <c r="GL230" s="4">
        <v>16</v>
      </c>
      <c r="GM230" s="4">
        <v>14</v>
      </c>
      <c r="GN230" s="4">
        <v>11</v>
      </c>
      <c r="GO230" s="4">
        <v>7</v>
      </c>
      <c r="GP230" s="4">
        <v>3</v>
      </c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19">
        <v>16</v>
      </c>
      <c r="HE230" s="19">
        <v>15</v>
      </c>
      <c r="HF230" s="19">
        <v>14</v>
      </c>
      <c r="HG230" s="19">
        <v>13</v>
      </c>
      <c r="HH230" s="19">
        <v>12</v>
      </c>
      <c r="HI230" s="19">
        <v>11</v>
      </c>
      <c r="HJ230" s="19">
        <v>10</v>
      </c>
      <c r="HK230" s="19">
        <v>6</v>
      </c>
      <c r="HL230" s="19">
        <v>5.3</v>
      </c>
      <c r="HM230" s="19">
        <v>2.8</v>
      </c>
      <c r="HN230" s="19">
        <v>2.2</v>
      </c>
      <c r="HO230" s="19">
        <v>1.4</v>
      </c>
      <c r="HP230" s="19">
        <v>0.6</v>
      </c>
      <c r="HQ230" s="20">
        <v>0</v>
      </c>
      <c r="HR230" s="20">
        <v>0</v>
      </c>
      <c r="HS230" s="20">
        <v>0</v>
      </c>
      <c r="HT230" s="20">
        <v>0</v>
      </c>
      <c r="HU230" s="20">
        <v>0</v>
      </c>
      <c r="HV230" s="20">
        <v>0</v>
      </c>
      <c r="HW230" s="20">
        <v>0</v>
      </c>
      <c r="HX230" s="20">
        <v>0</v>
      </c>
      <c r="HY230" s="20">
        <v>0</v>
      </c>
      <c r="HZ230" s="20">
        <v>0</v>
      </c>
      <c r="IA230" s="20">
        <v>0</v>
      </c>
      <c r="IB230" s="20">
        <v>0</v>
      </c>
      <c r="IC230" s="20">
        <v>0</v>
      </c>
    </row>
    <row r="231">
      <c r="A231" s="2" t="s">
        <v>1070</v>
      </c>
      <c r="B231" s="2" t="s">
        <v>1071</v>
      </c>
      <c r="C231" s="2" t="s">
        <v>360</v>
      </c>
      <c r="D231" s="2" t="s">
        <v>1072</v>
      </c>
      <c r="E231" s="2" t="s">
        <v>330</v>
      </c>
      <c r="F231" s="2" t="s">
        <v>1073</v>
      </c>
      <c r="G231" s="2" t="s">
        <v>1073</v>
      </c>
      <c r="H231" s="2" t="s">
        <v>1073</v>
      </c>
      <c r="I231" s="2" t="s">
        <v>235</v>
      </c>
      <c r="J231" s="2" t="s">
        <v>1074</v>
      </c>
      <c r="K231" s="2" t="s">
        <v>378</v>
      </c>
      <c r="L231" s="3">
        <v>180.71</v>
      </c>
      <c r="M231" s="3"/>
      <c r="N231" s="3"/>
      <c r="O231" s="2" t="s">
        <v>327</v>
      </c>
      <c r="P231" s="2" t="s">
        <v>235</v>
      </c>
      <c r="Q231" s="2" t="s">
        <v>235</v>
      </c>
      <c r="R231" s="2" t="s">
        <v>235</v>
      </c>
      <c r="S231" s="2" t="s">
        <v>235</v>
      </c>
      <c r="T231" s="2" t="s">
        <v>235</v>
      </c>
      <c r="U231" s="2" t="s">
        <v>235</v>
      </c>
      <c r="V231" s="2" t="s">
        <v>235</v>
      </c>
      <c r="W231" s="2" t="s">
        <v>235</v>
      </c>
      <c r="X231" s="2" t="s">
        <v>235</v>
      </c>
      <c r="Y231" s="2" t="s">
        <v>235</v>
      </c>
      <c r="Z231" s="4"/>
      <c r="AA231" s="4">
        <f>=ROUNDDOWN({0},0)</f>
      </c>
      <c r="AB231" s="5"/>
      <c r="AC231" s="2" t="s">
        <v>235</v>
      </c>
      <c r="AD231" s="4"/>
      <c r="AE231" s="4"/>
      <c r="AF231" s="6"/>
      <c r="AG231" s="6"/>
      <c r="AH231" s="7"/>
      <c r="AI231" s="4"/>
      <c r="AJ231" s="4">
        <f>=ROUNDDOWN({0},0)</f>
      </c>
      <c r="AK231" s="5"/>
      <c r="AL231" s="2" t="s">
        <v>235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235</v>
      </c>
      <c r="AW231" s="8" t="s">
        <v>235</v>
      </c>
      <c r="AX231" s="4" t="s">
        <v>235</v>
      </c>
      <c r="AY231" s="8" t="s">
        <v>235</v>
      </c>
      <c r="AZ231" s="7" t="s">
        <v>235</v>
      </c>
      <c r="BA231" s="7" t="s">
        <v>235</v>
      </c>
      <c r="BB231" s="7"/>
      <c r="BC231" s="4" t="s">
        <v>235</v>
      </c>
      <c r="BD231" s="8" t="s">
        <v>235</v>
      </c>
      <c r="BE231" s="4" t="s">
        <v>235</v>
      </c>
      <c r="BF231" s="8" t="s">
        <v>235</v>
      </c>
      <c r="BG231" s="7" t="s">
        <v>235</v>
      </c>
      <c r="BH231" s="7" t="s">
        <v>235</v>
      </c>
      <c r="BI231" s="7"/>
      <c r="BJ231" s="4"/>
      <c r="BK231" s="8"/>
      <c r="BL231" s="2" t="s">
        <v>235</v>
      </c>
      <c r="BM231" s="7"/>
      <c r="BN231" s="7"/>
      <c r="BO231" s="4"/>
      <c r="BP231" s="8"/>
      <c r="BQ231" s="4"/>
      <c r="BR231" s="8"/>
      <c r="BS231" s="7"/>
      <c r="BT231" s="7"/>
      <c r="BU231" s="2" t="s">
        <v>235</v>
      </c>
      <c r="BV231" s="2" t="s">
        <v>235</v>
      </c>
      <c r="BW231" s="2" t="s">
        <v>235</v>
      </c>
      <c r="BX231" s="2" t="s">
        <v>235</v>
      </c>
      <c r="BY231" s="2" t="s">
        <v>235</v>
      </c>
      <c r="BZ231" s="2" t="s">
        <v>235</v>
      </c>
      <c r="CA231" s="2" t="s">
        <v>235</v>
      </c>
      <c r="CB231" s="2" t="s">
        <v>235</v>
      </c>
      <c r="CC231" s="2" t="s">
        <v>235</v>
      </c>
      <c r="CD231" s="2" t="s">
        <v>235</v>
      </c>
      <c r="CE231" s="2" t="s">
        <v>235</v>
      </c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</row>
    <row r="232">
      <c r="A232" s="2" t="s">
        <v>1075</v>
      </c>
      <c r="B232" s="2" t="s">
        <v>1071</v>
      </c>
      <c r="C232" s="2" t="s">
        <v>360</v>
      </c>
      <c r="D232" s="2" t="s">
        <v>1072</v>
      </c>
      <c r="E232" s="2" t="s">
        <v>330</v>
      </c>
      <c r="F232" s="2" t="s">
        <v>1073</v>
      </c>
      <c r="G232" s="2" t="s">
        <v>1073</v>
      </c>
      <c r="H232" s="2" t="s">
        <v>1073</v>
      </c>
      <c r="I232" s="2" t="s">
        <v>235</v>
      </c>
      <c r="J232" s="2" t="s">
        <v>1076</v>
      </c>
      <c r="K232" s="2" t="s">
        <v>378</v>
      </c>
      <c r="L232" s="3">
        <v>81.19</v>
      </c>
      <c r="M232" s="3"/>
      <c r="N232" s="3"/>
      <c r="O232" s="2" t="s">
        <v>327</v>
      </c>
      <c r="P232" s="2" t="s">
        <v>235</v>
      </c>
      <c r="Q232" s="2" t="s">
        <v>235</v>
      </c>
      <c r="R232" s="2" t="s">
        <v>235</v>
      </c>
      <c r="S232" s="2" t="s">
        <v>235</v>
      </c>
      <c r="T232" s="2" t="s">
        <v>235</v>
      </c>
      <c r="U232" s="2" t="s">
        <v>235</v>
      </c>
      <c r="V232" s="2" t="s">
        <v>235</v>
      </c>
      <c r="W232" s="2" t="s">
        <v>235</v>
      </c>
      <c r="X232" s="2" t="s">
        <v>235</v>
      </c>
      <c r="Y232" s="2" t="s">
        <v>235</v>
      </c>
      <c r="Z232" s="4"/>
      <c r="AA232" s="4">
        <f>=ROUNDDOWN({0},0)</f>
      </c>
      <c r="AB232" s="5"/>
      <c r="AC232" s="2" t="s">
        <v>235</v>
      </c>
      <c r="AD232" s="4"/>
      <c r="AE232" s="4"/>
      <c r="AF232" s="6"/>
      <c r="AG232" s="6"/>
      <c r="AH232" s="7"/>
      <c r="AI232" s="4"/>
      <c r="AJ232" s="4">
        <f>=ROUNDDOWN({0},0)</f>
      </c>
      <c r="AK232" s="5"/>
      <c r="AL232" s="2" t="s">
        <v>235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235</v>
      </c>
      <c r="AW232" s="8" t="s">
        <v>235</v>
      </c>
      <c r="AX232" s="4" t="s">
        <v>235</v>
      </c>
      <c r="AY232" s="8" t="s">
        <v>235</v>
      </c>
      <c r="AZ232" s="7" t="s">
        <v>235</v>
      </c>
      <c r="BA232" s="7" t="s">
        <v>235</v>
      </c>
      <c r="BB232" s="7"/>
      <c r="BC232" s="4" t="s">
        <v>235</v>
      </c>
      <c r="BD232" s="8" t="s">
        <v>235</v>
      </c>
      <c r="BE232" s="4" t="s">
        <v>235</v>
      </c>
      <c r="BF232" s="8" t="s">
        <v>235</v>
      </c>
      <c r="BG232" s="7" t="s">
        <v>235</v>
      </c>
      <c r="BH232" s="7" t="s">
        <v>235</v>
      </c>
      <c r="BI232" s="7"/>
      <c r="BJ232" s="4"/>
      <c r="BK232" s="8"/>
      <c r="BL232" s="2" t="s">
        <v>235</v>
      </c>
      <c r="BM232" s="7"/>
      <c r="BN232" s="7"/>
      <c r="BO232" s="4"/>
      <c r="BP232" s="8"/>
      <c r="BQ232" s="4"/>
      <c r="BR232" s="8"/>
      <c r="BS232" s="7"/>
      <c r="BT232" s="7"/>
      <c r="BU232" s="2" t="s">
        <v>235</v>
      </c>
      <c r="BV232" s="2" t="s">
        <v>235</v>
      </c>
      <c r="BW232" s="2" t="s">
        <v>235</v>
      </c>
      <c r="BX232" s="2" t="s">
        <v>235</v>
      </c>
      <c r="BY232" s="2" t="s">
        <v>235</v>
      </c>
      <c r="BZ232" s="2" t="s">
        <v>235</v>
      </c>
      <c r="CA232" s="2" t="s">
        <v>235</v>
      </c>
      <c r="CB232" s="2" t="s">
        <v>235</v>
      </c>
      <c r="CC232" s="2" t="s">
        <v>235</v>
      </c>
      <c r="CD232" s="2" t="s">
        <v>235</v>
      </c>
      <c r="CE232" s="2" t="s">
        <v>235</v>
      </c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</row>
    <row r="233">
      <c r="A233" s="2" t="s">
        <v>1077</v>
      </c>
      <c r="B233" s="2" t="s">
        <v>905</v>
      </c>
      <c r="C233" s="2" t="s">
        <v>980</v>
      </c>
      <c r="D233" s="2" t="s">
        <v>361</v>
      </c>
      <c r="E233" s="2" t="s">
        <v>872</v>
      </c>
      <c r="F233" s="2" t="s">
        <v>1078</v>
      </c>
      <c r="G233" s="2" t="s">
        <v>1078</v>
      </c>
      <c r="H233" s="2" t="s">
        <v>1078</v>
      </c>
      <c r="I233" s="2" t="s">
        <v>1079</v>
      </c>
      <c r="J233" s="2" t="s">
        <v>365</v>
      </c>
      <c r="K233" s="2" t="s">
        <v>1080</v>
      </c>
      <c r="L233" s="3">
        <v>54.43</v>
      </c>
      <c r="M233" s="3">
        <v>57.15</v>
      </c>
      <c r="N233" s="3">
        <v>89.99</v>
      </c>
      <c r="O233" s="2" t="s">
        <v>232</v>
      </c>
      <c r="P233" s="2" t="s">
        <v>878</v>
      </c>
      <c r="Q233" s="2" t="s">
        <v>234</v>
      </c>
      <c r="R233" s="2" t="s">
        <v>235</v>
      </c>
      <c r="S233" s="2" t="s">
        <v>235</v>
      </c>
      <c r="T233" s="2" t="s">
        <v>1081</v>
      </c>
      <c r="U233" s="2" t="s">
        <v>264</v>
      </c>
      <c r="V233" s="2" t="s">
        <v>238</v>
      </c>
      <c r="W233" s="2" t="s">
        <v>1082</v>
      </c>
      <c r="X233" s="2" t="s">
        <v>235</v>
      </c>
      <c r="Y233" s="2" t="s">
        <v>235</v>
      </c>
      <c r="Z233" s="4"/>
      <c r="AA233" s="4">
        <f>=ROUNDDOWN({0},0)</f>
      </c>
      <c r="AB233" s="5">
        <v>6</v>
      </c>
      <c r="AC233" s="2" t="s">
        <v>193</v>
      </c>
      <c r="AD233" s="4">
        <v>300</v>
      </c>
      <c r="AE233" s="4">
        <v>300</v>
      </c>
      <c r="AF233" s="6">
        <v>65</v>
      </c>
      <c r="AG233" s="6"/>
      <c r="AH233" s="7"/>
      <c r="AI233" s="4"/>
      <c r="AJ233" s="4">
        <f>=ROUNDDOWN({0},0)</f>
      </c>
      <c r="AK233" s="5"/>
      <c r="AL233" s="2" t="s">
        <v>235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235</v>
      </c>
      <c r="AW233" s="8" t="s">
        <v>235</v>
      </c>
      <c r="AX233" s="4" t="s">
        <v>235</v>
      </c>
      <c r="AY233" s="8" t="s">
        <v>235</v>
      </c>
      <c r="AZ233" s="7" t="s">
        <v>235</v>
      </c>
      <c r="BA233" s="7" t="s">
        <v>235</v>
      </c>
      <c r="BB233" s="7"/>
      <c r="BC233" s="4" t="s">
        <v>235</v>
      </c>
      <c r="BD233" s="8" t="s">
        <v>235</v>
      </c>
      <c r="BE233" s="4" t="s">
        <v>235</v>
      </c>
      <c r="BF233" s="8" t="s">
        <v>235</v>
      </c>
      <c r="BG233" s="7" t="s">
        <v>235</v>
      </c>
      <c r="BH233" s="7" t="s">
        <v>235</v>
      </c>
      <c r="BI233" s="7"/>
      <c r="BJ233" s="4"/>
      <c r="BK233" s="8"/>
      <c r="BL233" s="2" t="s">
        <v>235</v>
      </c>
      <c r="BM233" s="7"/>
      <c r="BN233" s="7"/>
      <c r="BO233" s="4"/>
      <c r="BP233" s="8"/>
      <c r="BQ233" s="4"/>
      <c r="BR233" s="8"/>
      <c r="BS233" s="7"/>
      <c r="BT233" s="7"/>
      <c r="BU233" s="2" t="s">
        <v>330</v>
      </c>
      <c r="BV233" s="2" t="s">
        <v>235</v>
      </c>
      <c r="BW233" s="2" t="s">
        <v>235</v>
      </c>
      <c r="BX233" s="2" t="s">
        <v>330</v>
      </c>
      <c r="BY233" s="2" t="s">
        <v>331</v>
      </c>
      <c r="BZ233" s="2" t="s">
        <v>232</v>
      </c>
      <c r="CA233" s="2" t="s">
        <v>235</v>
      </c>
      <c r="CB233" s="2" t="s">
        <v>235</v>
      </c>
      <c r="CC233" s="2" t="s">
        <v>248</v>
      </c>
      <c r="CD233" s="2" t="s">
        <v>248</v>
      </c>
      <c r="CE233" s="2" t="s">
        <v>235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>
        <v>300</v>
      </c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>
        <v>300</v>
      </c>
      <c r="GR233" s="4">
        <v>296</v>
      </c>
      <c r="GS233" s="4">
        <v>294</v>
      </c>
      <c r="GT233" s="4">
        <v>291</v>
      </c>
      <c r="GU233" s="4">
        <v>289</v>
      </c>
      <c r="GV233" s="4">
        <v>287</v>
      </c>
      <c r="GW233" s="4">
        <v>286</v>
      </c>
      <c r="GX233" s="4">
        <v>285</v>
      </c>
      <c r="GY233" s="4">
        <v>284</v>
      </c>
      <c r="GZ233" s="4">
        <v>283</v>
      </c>
      <c r="HA233" s="4">
        <v>281</v>
      </c>
      <c r="HB233" s="4">
        <v>279</v>
      </c>
      <c r="HC233" s="4">
        <v>277</v>
      </c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19">
        <v>100</v>
      </c>
      <c r="HR233" s="19">
        <v>148</v>
      </c>
      <c r="HS233" s="19">
        <v>147</v>
      </c>
      <c r="HT233" s="19">
        <v>145.5</v>
      </c>
      <c r="HU233" s="19">
        <v>289</v>
      </c>
      <c r="HV233" s="19">
        <v>287</v>
      </c>
      <c r="HW233" s="19">
        <v>286</v>
      </c>
      <c r="HX233" s="19">
        <v>142.5</v>
      </c>
      <c r="HY233" s="19">
        <v>142</v>
      </c>
      <c r="HZ233" s="19">
        <v>141.5</v>
      </c>
      <c r="IA233" s="19">
        <v>140.5</v>
      </c>
      <c r="IB233" s="19">
        <v>139.5</v>
      </c>
      <c r="IC233" s="19">
        <v>138.5</v>
      </c>
    </row>
    <row r="234">
      <c r="A234" s="2" t="s">
        <v>1083</v>
      </c>
      <c r="B234" s="2" t="s">
        <v>905</v>
      </c>
      <c r="C234" s="2" t="s">
        <v>980</v>
      </c>
      <c r="D234" s="2" t="s">
        <v>361</v>
      </c>
      <c r="E234" s="2" t="s">
        <v>872</v>
      </c>
      <c r="F234" s="2" t="s">
        <v>1078</v>
      </c>
      <c r="G234" s="2" t="s">
        <v>1078</v>
      </c>
      <c r="H234" s="2" t="s">
        <v>1078</v>
      </c>
      <c r="I234" s="2" t="s">
        <v>1079</v>
      </c>
      <c r="J234" s="2" t="s">
        <v>270</v>
      </c>
      <c r="K234" s="2" t="s">
        <v>1080</v>
      </c>
      <c r="L234" s="3">
        <v>60.86</v>
      </c>
      <c r="M234" s="3">
        <v>63.9</v>
      </c>
      <c r="N234" s="3">
        <v>99.99</v>
      </c>
      <c r="O234" s="2" t="s">
        <v>232</v>
      </c>
      <c r="P234" s="2" t="s">
        <v>878</v>
      </c>
      <c r="Q234" s="2" t="s">
        <v>234</v>
      </c>
      <c r="R234" s="2" t="s">
        <v>235</v>
      </c>
      <c r="S234" s="2" t="s">
        <v>235</v>
      </c>
      <c r="T234" s="2" t="s">
        <v>1081</v>
      </c>
      <c r="U234" s="2" t="s">
        <v>264</v>
      </c>
      <c r="V234" s="2" t="s">
        <v>238</v>
      </c>
      <c r="W234" s="2" t="s">
        <v>1082</v>
      </c>
      <c r="X234" s="2" t="s">
        <v>235</v>
      </c>
      <c r="Y234" s="2" t="s">
        <v>235</v>
      </c>
      <c r="Z234" s="4"/>
      <c r="AA234" s="4">
        <f>=ROUNDDOWN({0},0)</f>
      </c>
      <c r="AB234" s="5">
        <v>7</v>
      </c>
      <c r="AC234" s="2" t="s">
        <v>193</v>
      </c>
      <c r="AD234" s="4">
        <v>300</v>
      </c>
      <c r="AE234" s="4">
        <v>300</v>
      </c>
      <c r="AF234" s="6">
        <v>65</v>
      </c>
      <c r="AG234" s="6"/>
      <c r="AH234" s="7"/>
      <c r="AI234" s="4"/>
      <c r="AJ234" s="4">
        <f>=ROUNDDOWN({0},0)</f>
      </c>
      <c r="AK234" s="5"/>
      <c r="AL234" s="2" t="s">
        <v>235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235</v>
      </c>
      <c r="AW234" s="8" t="s">
        <v>235</v>
      </c>
      <c r="AX234" s="4" t="s">
        <v>235</v>
      </c>
      <c r="AY234" s="8" t="s">
        <v>235</v>
      </c>
      <c r="AZ234" s="7" t="s">
        <v>235</v>
      </c>
      <c r="BA234" s="7" t="s">
        <v>235</v>
      </c>
      <c r="BB234" s="7"/>
      <c r="BC234" s="4" t="s">
        <v>235</v>
      </c>
      <c r="BD234" s="8" t="s">
        <v>235</v>
      </c>
      <c r="BE234" s="4" t="s">
        <v>235</v>
      </c>
      <c r="BF234" s="8" t="s">
        <v>235</v>
      </c>
      <c r="BG234" s="7" t="s">
        <v>235</v>
      </c>
      <c r="BH234" s="7" t="s">
        <v>235</v>
      </c>
      <c r="BI234" s="7"/>
      <c r="BJ234" s="4"/>
      <c r="BK234" s="8"/>
      <c r="BL234" s="2" t="s">
        <v>235</v>
      </c>
      <c r="BM234" s="7"/>
      <c r="BN234" s="7"/>
      <c r="BO234" s="4"/>
      <c r="BP234" s="8"/>
      <c r="BQ234" s="4"/>
      <c r="BR234" s="8"/>
      <c r="BS234" s="7"/>
      <c r="BT234" s="7"/>
      <c r="BU234" s="2" t="s">
        <v>330</v>
      </c>
      <c r="BV234" s="2" t="s">
        <v>235</v>
      </c>
      <c r="BW234" s="2" t="s">
        <v>235</v>
      </c>
      <c r="BX234" s="2" t="s">
        <v>330</v>
      </c>
      <c r="BY234" s="2" t="s">
        <v>331</v>
      </c>
      <c r="BZ234" s="2" t="s">
        <v>232</v>
      </c>
      <c r="CA234" s="2" t="s">
        <v>235</v>
      </c>
      <c r="CB234" s="2" t="s">
        <v>235</v>
      </c>
      <c r="CC234" s="2" t="s">
        <v>248</v>
      </c>
      <c r="CD234" s="2" t="s">
        <v>248</v>
      </c>
      <c r="CE234" s="2" t="s">
        <v>235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>
        <v>300</v>
      </c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>
        <v>300</v>
      </c>
      <c r="GR234" s="4">
        <v>293</v>
      </c>
      <c r="GS234" s="4">
        <v>289</v>
      </c>
      <c r="GT234" s="4">
        <v>286</v>
      </c>
      <c r="GU234" s="4">
        <v>284</v>
      </c>
      <c r="GV234" s="4">
        <v>282</v>
      </c>
      <c r="GW234" s="4">
        <v>279</v>
      </c>
      <c r="GX234" s="4">
        <v>277</v>
      </c>
      <c r="GY234" s="4">
        <v>275</v>
      </c>
      <c r="GZ234" s="4">
        <v>272</v>
      </c>
      <c r="HA234" s="4">
        <v>269</v>
      </c>
      <c r="HB234" s="4">
        <v>266</v>
      </c>
      <c r="HC234" s="4">
        <v>263</v>
      </c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19">
        <v>75</v>
      </c>
      <c r="HR234" s="19">
        <v>97.7</v>
      </c>
      <c r="HS234" s="19">
        <v>144.5</v>
      </c>
      <c r="HT234" s="19">
        <v>143</v>
      </c>
      <c r="HU234" s="19">
        <v>142</v>
      </c>
      <c r="HV234" s="19">
        <v>141</v>
      </c>
      <c r="HW234" s="19">
        <v>139.5</v>
      </c>
      <c r="HX234" s="19">
        <v>92.3</v>
      </c>
      <c r="HY234" s="19">
        <v>91.7</v>
      </c>
      <c r="HZ234" s="19">
        <v>90.7</v>
      </c>
      <c r="IA234" s="19">
        <v>89.7</v>
      </c>
      <c r="IB234" s="19">
        <v>88.7</v>
      </c>
      <c r="IC234" s="19">
        <v>87.7</v>
      </c>
    </row>
    <row r="235">
      <c r="A235" s="2" t="s">
        <v>1084</v>
      </c>
      <c r="B235" s="2" t="s">
        <v>1071</v>
      </c>
      <c r="C235" s="2" t="s">
        <v>1085</v>
      </c>
      <c r="D235" s="2" t="s">
        <v>1086</v>
      </c>
      <c r="E235" s="2" t="s">
        <v>330</v>
      </c>
      <c r="F235" s="2" t="s">
        <v>858</v>
      </c>
      <c r="G235" s="2" t="s">
        <v>858</v>
      </c>
      <c r="H235" s="2" t="s">
        <v>858</v>
      </c>
      <c r="I235" s="2" t="s">
        <v>1087</v>
      </c>
      <c r="J235" s="2" t="s">
        <v>897</v>
      </c>
      <c r="K235" s="2" t="s">
        <v>1088</v>
      </c>
      <c r="L235" s="3">
        <v>190</v>
      </c>
      <c r="M235" s="3">
        <v>199.5</v>
      </c>
      <c r="N235" s="3">
        <v>399</v>
      </c>
      <c r="O235" s="2" t="s">
        <v>232</v>
      </c>
      <c r="P235" s="2" t="s">
        <v>878</v>
      </c>
      <c r="Q235" s="2" t="s">
        <v>234</v>
      </c>
      <c r="R235" s="2" t="s">
        <v>235</v>
      </c>
      <c r="S235" s="2" t="s">
        <v>235</v>
      </c>
      <c r="T235" s="2" t="s">
        <v>879</v>
      </c>
      <c r="U235" s="2" t="s">
        <v>235</v>
      </c>
      <c r="V235" s="2" t="s">
        <v>420</v>
      </c>
      <c r="W235" s="2" t="s">
        <v>966</v>
      </c>
      <c r="X235" s="2" t="s">
        <v>882</v>
      </c>
      <c r="Y235" s="2" t="s">
        <v>1089</v>
      </c>
      <c r="Z235" s="4"/>
      <c r="AA235" s="4">
        <f>=ROUNDDOWN({0},0)</f>
      </c>
      <c r="AB235" s="5"/>
      <c r="AC235" s="2" t="s">
        <v>180</v>
      </c>
      <c r="AD235" s="4">
        <v>100</v>
      </c>
      <c r="AE235" s="4">
        <v>100</v>
      </c>
      <c r="AF235" s="6">
        <v>74</v>
      </c>
      <c r="AG235" s="6"/>
      <c r="AH235" s="7">
        <v>0</v>
      </c>
      <c r="AI235" s="4"/>
      <c r="AJ235" s="4">
        <f>=ROUNDDOWN({0},0)</f>
      </c>
      <c r="AK235" s="5"/>
      <c r="AL235" s="2" t="s">
        <v>235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235</v>
      </c>
      <c r="BM235" s="7"/>
      <c r="BN235" s="7"/>
      <c r="BO235" s="4"/>
      <c r="BP235" s="8"/>
      <c r="BQ235" s="4"/>
      <c r="BR235" s="8"/>
      <c r="BS235" s="7"/>
      <c r="BT235" s="7"/>
      <c r="BU235" s="2" t="s">
        <v>1090</v>
      </c>
      <c r="BV235" s="2" t="s">
        <v>235</v>
      </c>
      <c r="BW235" s="2" t="s">
        <v>235</v>
      </c>
      <c r="BX235" s="2" t="s">
        <v>244</v>
      </c>
      <c r="BY235" s="2" t="s">
        <v>245</v>
      </c>
      <c r="BZ235" s="2" t="s">
        <v>232</v>
      </c>
      <c r="CA235" s="2" t="s">
        <v>235</v>
      </c>
      <c r="CB235" s="2" t="s">
        <v>235</v>
      </c>
      <c r="CC235" s="2" t="s">
        <v>248</v>
      </c>
      <c r="CD235" s="2" t="s">
        <v>248</v>
      </c>
      <c r="CE235" s="2" t="s">
        <v>235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>
        <v>100</v>
      </c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>
        <v>95</v>
      </c>
      <c r="GW235" s="4">
        <v>86</v>
      </c>
      <c r="GX235" s="4">
        <v>83</v>
      </c>
      <c r="GY235" s="4">
        <v>80</v>
      </c>
      <c r="GZ235" s="4">
        <v>76</v>
      </c>
      <c r="HA235" s="4">
        <v>72</v>
      </c>
      <c r="HB235" s="4">
        <v>68</v>
      </c>
      <c r="HC235" s="4">
        <v>64</v>
      </c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19">
        <v>19</v>
      </c>
      <c r="HW235" s="19">
        <v>21.5</v>
      </c>
      <c r="HX235" s="19">
        <v>20.8</v>
      </c>
      <c r="HY235" s="19">
        <v>20</v>
      </c>
      <c r="HZ235" s="19">
        <v>19</v>
      </c>
      <c r="IA235" s="19">
        <v>18</v>
      </c>
      <c r="IB235" s="19">
        <v>22.7</v>
      </c>
      <c r="IC235" s="19">
        <v>21.3</v>
      </c>
    </row>
    <row r="236">
      <c r="A236" s="2" t="s">
        <v>1091</v>
      </c>
      <c r="B236" s="2" t="s">
        <v>905</v>
      </c>
      <c r="C236" s="2" t="s">
        <v>324</v>
      </c>
      <c r="D236" s="2" t="s">
        <v>361</v>
      </c>
      <c r="E236" s="2" t="s">
        <v>924</v>
      </c>
      <c r="F236" s="2" t="s">
        <v>1092</v>
      </c>
      <c r="G236" s="2" t="s">
        <v>1093</v>
      </c>
      <c r="H236" s="2" t="s">
        <v>1093</v>
      </c>
      <c r="I236" s="2" t="s">
        <v>1094</v>
      </c>
      <c r="J236" s="2" t="s">
        <v>372</v>
      </c>
      <c r="K236" s="2" t="s">
        <v>292</v>
      </c>
      <c r="L236" s="3">
        <v>52</v>
      </c>
      <c r="M236" s="3">
        <v>54.6</v>
      </c>
      <c r="N236" s="3">
        <v>104.99</v>
      </c>
      <c r="O236" s="2" t="s">
        <v>485</v>
      </c>
      <c r="P236" s="2" t="s">
        <v>408</v>
      </c>
      <c r="Q236" s="2" t="s">
        <v>234</v>
      </c>
      <c r="R236" s="2" t="s">
        <v>235</v>
      </c>
      <c r="S236" s="2" t="s">
        <v>1095</v>
      </c>
      <c r="T236" s="2" t="s">
        <v>912</v>
      </c>
      <c r="U236" s="2" t="s">
        <v>552</v>
      </c>
      <c r="V236" s="2" t="s">
        <v>238</v>
      </c>
      <c r="W236" s="2" t="s">
        <v>329</v>
      </c>
      <c r="X236" s="2" t="s">
        <v>239</v>
      </c>
      <c r="Y236" s="2" t="s">
        <v>1096</v>
      </c>
      <c r="Z236" s="4"/>
      <c r="AA236" s="4">
        <f>=ROUNDDOWN({0},0)</f>
      </c>
      <c r="AB236" s="5">
        <v>2.1</v>
      </c>
      <c r="AC236" s="2" t="s">
        <v>235</v>
      </c>
      <c r="AD236" s="4"/>
      <c r="AE236" s="4"/>
      <c r="AF236" s="6">
        <v>65</v>
      </c>
      <c r="AG236" s="6"/>
      <c r="AH236" s="7">
        <v>0</v>
      </c>
      <c r="AI236" s="4"/>
      <c r="AJ236" s="4">
        <f>=ROUNDDOWN({0},0)</f>
      </c>
      <c r="AK236" s="5"/>
      <c r="AL236" s="2" t="s">
        <v>235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1097</v>
      </c>
      <c r="BM236" s="7"/>
      <c r="BN236" s="7"/>
      <c r="BO236" s="4"/>
      <c r="BP236" s="8"/>
      <c r="BQ236" s="4"/>
      <c r="BR236" s="8"/>
      <c r="BS236" s="7"/>
      <c r="BT236" s="7"/>
      <c r="BU236" s="2" t="s">
        <v>1098</v>
      </c>
      <c r="BV236" s="2" t="s">
        <v>243</v>
      </c>
      <c r="BW236" s="2" t="s">
        <v>235</v>
      </c>
      <c r="BX236" s="2" t="s">
        <v>414</v>
      </c>
      <c r="BY236" s="2" t="s">
        <v>245</v>
      </c>
      <c r="BZ236" s="2" t="s">
        <v>232</v>
      </c>
      <c r="CA236" s="2" t="s">
        <v>1099</v>
      </c>
      <c r="CB236" s="2" t="s">
        <v>1100</v>
      </c>
      <c r="CC236" s="2" t="s">
        <v>248</v>
      </c>
      <c r="CD236" s="2" t="s">
        <v>248</v>
      </c>
      <c r="CE236" s="2" t="s">
        <v>235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20">
        <v>0</v>
      </c>
      <c r="HE236" s="20">
        <v>0</v>
      </c>
      <c r="HF236" s="20">
        <v>0</v>
      </c>
      <c r="HG236" s="20">
        <v>0</v>
      </c>
      <c r="HH236" s="20">
        <v>0</v>
      </c>
      <c r="HI236" s="20">
        <v>0</v>
      </c>
      <c r="HJ236" s="20">
        <v>0</v>
      </c>
      <c r="HK236" s="20">
        <v>0</v>
      </c>
      <c r="HL236" s="20">
        <v>0</v>
      </c>
      <c r="HM236" s="20">
        <v>0</v>
      </c>
      <c r="HN236" s="20">
        <v>0</v>
      </c>
      <c r="HO236" s="20">
        <v>0</v>
      </c>
      <c r="HP236" s="20">
        <v>0</v>
      </c>
      <c r="HQ236" s="20">
        <v>0</v>
      </c>
      <c r="HR236" s="20">
        <v>0</v>
      </c>
      <c r="HS236" s="20">
        <v>0</v>
      </c>
      <c r="HT236" s="20">
        <v>0</v>
      </c>
      <c r="HU236" s="20">
        <v>0</v>
      </c>
      <c r="HV236" s="20">
        <v>0</v>
      </c>
      <c r="HW236" s="20">
        <v>0</v>
      </c>
      <c r="HX236" s="20">
        <v>0</v>
      </c>
      <c r="HY236" s="20">
        <v>0</v>
      </c>
      <c r="HZ236" s="20">
        <v>0</v>
      </c>
      <c r="IA236" s="20">
        <v>0</v>
      </c>
      <c r="IB236" s="20">
        <v>0</v>
      </c>
      <c r="IC236" s="20">
        <v>0</v>
      </c>
    </row>
    <row r="237">
      <c r="A237" s="2" t="s">
        <v>1101</v>
      </c>
      <c r="B237" s="2" t="s">
        <v>1071</v>
      </c>
      <c r="C237" s="2" t="s">
        <v>324</v>
      </c>
      <c r="D237" s="2" t="s">
        <v>1102</v>
      </c>
      <c r="E237" s="2" t="s">
        <v>1103</v>
      </c>
      <c r="F237" s="2" t="s">
        <v>1104</v>
      </c>
      <c r="G237" s="2" t="s">
        <v>235</v>
      </c>
      <c r="H237" s="2" t="s">
        <v>235</v>
      </c>
      <c r="I237" s="2" t="s">
        <v>1105</v>
      </c>
      <c r="J237" s="2" t="s">
        <v>270</v>
      </c>
      <c r="K237" s="2" t="s">
        <v>1106</v>
      </c>
      <c r="L237" s="3">
        <v>204.25</v>
      </c>
      <c r="M237" s="3">
        <v>214.46</v>
      </c>
      <c r="N237" s="3">
        <v>429</v>
      </c>
      <c r="O237" s="2" t="s">
        <v>232</v>
      </c>
      <c r="P237" s="2" t="s">
        <v>878</v>
      </c>
      <c r="Q237" s="2" t="s">
        <v>492</v>
      </c>
      <c r="R237" s="2" t="s">
        <v>235</v>
      </c>
      <c r="S237" s="2" t="s">
        <v>235</v>
      </c>
      <c r="T237" s="2" t="s">
        <v>235</v>
      </c>
      <c r="U237" s="2" t="s">
        <v>807</v>
      </c>
      <c r="V237" s="2" t="s">
        <v>238</v>
      </c>
      <c r="W237" s="2" t="s">
        <v>1029</v>
      </c>
      <c r="X237" s="2" t="s">
        <v>235</v>
      </c>
      <c r="Y237" s="2" t="s">
        <v>235</v>
      </c>
      <c r="Z237" s="4"/>
      <c r="AA237" s="4">
        <f>=ROUNDDOWN({0},0)</f>
      </c>
      <c r="AB237" s="5"/>
      <c r="AC237" s="2" t="s">
        <v>202</v>
      </c>
      <c r="AD237" s="4">
        <v>312</v>
      </c>
      <c r="AE237" s="4">
        <v>312</v>
      </c>
      <c r="AF237" s="6">
        <v>74</v>
      </c>
      <c r="AG237" s="6"/>
      <c r="AH237" s="7"/>
      <c r="AI237" s="4"/>
      <c r="AJ237" s="4">
        <f>=ROUNDDOWN({0},0)</f>
      </c>
      <c r="AK237" s="5"/>
      <c r="AL237" s="2" t="s">
        <v>235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235</v>
      </c>
      <c r="AW237" s="8" t="s">
        <v>235</v>
      </c>
      <c r="AX237" s="4" t="s">
        <v>235</v>
      </c>
      <c r="AY237" s="8" t="s">
        <v>235</v>
      </c>
      <c r="AZ237" s="7" t="s">
        <v>235</v>
      </c>
      <c r="BA237" s="7" t="s">
        <v>235</v>
      </c>
      <c r="BB237" s="7"/>
      <c r="BC237" s="4" t="s">
        <v>235</v>
      </c>
      <c r="BD237" s="8" t="s">
        <v>235</v>
      </c>
      <c r="BE237" s="4" t="s">
        <v>235</v>
      </c>
      <c r="BF237" s="8" t="s">
        <v>235</v>
      </c>
      <c r="BG237" s="7" t="s">
        <v>235</v>
      </c>
      <c r="BH237" s="7" t="s">
        <v>235</v>
      </c>
      <c r="BI237" s="7"/>
      <c r="BJ237" s="4"/>
      <c r="BK237" s="8"/>
      <c r="BL237" s="2" t="s">
        <v>235</v>
      </c>
      <c r="BM237" s="7"/>
      <c r="BN237" s="7"/>
      <c r="BO237" s="4"/>
      <c r="BP237" s="8"/>
      <c r="BQ237" s="4"/>
      <c r="BR237" s="8"/>
      <c r="BS237" s="7"/>
      <c r="BT237" s="7"/>
      <c r="BU237" s="2" t="s">
        <v>330</v>
      </c>
      <c r="BV237" s="2" t="s">
        <v>235</v>
      </c>
      <c r="BW237" s="2" t="s">
        <v>235</v>
      </c>
      <c r="BX237" s="2" t="s">
        <v>330</v>
      </c>
      <c r="BY237" s="2" t="s">
        <v>331</v>
      </c>
      <c r="BZ237" s="2" t="s">
        <v>232</v>
      </c>
      <c r="CA237" s="2" t="s">
        <v>235</v>
      </c>
      <c r="CB237" s="2" t="s">
        <v>235</v>
      </c>
      <c r="CC237" s="2" t="s">
        <v>248</v>
      </c>
      <c r="CD237" s="2" t="s">
        <v>248</v>
      </c>
      <c r="CE237" s="2" t="s">
        <v>235</v>
      </c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>
        <v>312</v>
      </c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>
        <v>312</v>
      </c>
      <c r="GS237" s="4">
        <v>308</v>
      </c>
      <c r="GT237" s="4">
        <v>304</v>
      </c>
      <c r="GU237" s="4">
        <v>293</v>
      </c>
      <c r="GV237" s="4">
        <v>282</v>
      </c>
      <c r="GW237" s="4">
        <v>273</v>
      </c>
      <c r="GX237" s="4">
        <v>262</v>
      </c>
      <c r="GY237" s="4">
        <v>253</v>
      </c>
      <c r="GZ237" s="4">
        <v>244</v>
      </c>
      <c r="HA237" s="4">
        <v>235</v>
      </c>
      <c r="HB237" s="4">
        <v>226</v>
      </c>
      <c r="HC237" s="4">
        <v>216</v>
      </c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19">
        <v>39</v>
      </c>
      <c r="HS237" s="19">
        <v>34.2</v>
      </c>
      <c r="HT237" s="19">
        <v>30.4</v>
      </c>
      <c r="HU237" s="19">
        <v>29.3</v>
      </c>
      <c r="HV237" s="19">
        <v>28.2</v>
      </c>
      <c r="HW237" s="19">
        <v>27.3</v>
      </c>
      <c r="HX237" s="19">
        <v>29.1</v>
      </c>
      <c r="HY237" s="19">
        <v>28.1</v>
      </c>
      <c r="HZ237" s="19">
        <v>24.4</v>
      </c>
      <c r="IA237" s="19">
        <v>19.6</v>
      </c>
      <c r="IB237" s="19">
        <v>17.4</v>
      </c>
      <c r="IC237" s="19">
        <v>15.4</v>
      </c>
    </row>
    <row r="238">
      <c r="A238" s="2" t="s">
        <v>1107</v>
      </c>
      <c r="B238" s="2" t="s">
        <v>1071</v>
      </c>
      <c r="C238" s="2" t="s">
        <v>324</v>
      </c>
      <c r="D238" s="2" t="s">
        <v>1102</v>
      </c>
      <c r="E238" s="2" t="s">
        <v>1103</v>
      </c>
      <c r="F238" s="2" t="s">
        <v>1104</v>
      </c>
      <c r="G238" s="2" t="s">
        <v>235</v>
      </c>
      <c r="H238" s="2" t="s">
        <v>235</v>
      </c>
      <c r="I238" s="2" t="s">
        <v>1105</v>
      </c>
      <c r="J238" s="2" t="s">
        <v>1108</v>
      </c>
      <c r="K238" s="2" t="s">
        <v>1106</v>
      </c>
      <c r="L238" s="3">
        <v>180.5</v>
      </c>
      <c r="M238" s="3">
        <v>189.52</v>
      </c>
      <c r="N238" s="3">
        <v>379</v>
      </c>
      <c r="O238" s="2" t="s">
        <v>232</v>
      </c>
      <c r="P238" s="2" t="s">
        <v>878</v>
      </c>
      <c r="Q238" s="2" t="s">
        <v>234</v>
      </c>
      <c r="R238" s="2" t="s">
        <v>235</v>
      </c>
      <c r="S238" s="2" t="s">
        <v>235</v>
      </c>
      <c r="T238" s="2" t="s">
        <v>235</v>
      </c>
      <c r="U238" s="2" t="s">
        <v>807</v>
      </c>
      <c r="V238" s="2" t="s">
        <v>238</v>
      </c>
      <c r="W238" s="2" t="s">
        <v>1029</v>
      </c>
      <c r="X238" s="2" t="s">
        <v>235</v>
      </c>
      <c r="Y238" s="2" t="s">
        <v>235</v>
      </c>
      <c r="Z238" s="4"/>
      <c r="AA238" s="4">
        <f>=ROUNDDOWN({0},0)</f>
      </c>
      <c r="AB238" s="5"/>
      <c r="AC238" s="2" t="s">
        <v>202</v>
      </c>
      <c r="AD238" s="4">
        <v>360</v>
      </c>
      <c r="AE238" s="4">
        <v>360</v>
      </c>
      <c r="AF238" s="6">
        <v>74</v>
      </c>
      <c r="AG238" s="6"/>
      <c r="AH238" s="7"/>
      <c r="AI238" s="4"/>
      <c r="AJ238" s="4">
        <f>=ROUNDDOWN({0},0)</f>
      </c>
      <c r="AK238" s="5"/>
      <c r="AL238" s="2" t="s">
        <v>235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235</v>
      </c>
      <c r="AW238" s="8" t="s">
        <v>235</v>
      </c>
      <c r="AX238" s="4" t="s">
        <v>235</v>
      </c>
      <c r="AY238" s="8" t="s">
        <v>235</v>
      </c>
      <c r="AZ238" s="7" t="s">
        <v>235</v>
      </c>
      <c r="BA238" s="7" t="s">
        <v>235</v>
      </c>
      <c r="BB238" s="7"/>
      <c r="BC238" s="4" t="s">
        <v>235</v>
      </c>
      <c r="BD238" s="8" t="s">
        <v>235</v>
      </c>
      <c r="BE238" s="4" t="s">
        <v>235</v>
      </c>
      <c r="BF238" s="8" t="s">
        <v>235</v>
      </c>
      <c r="BG238" s="7" t="s">
        <v>235</v>
      </c>
      <c r="BH238" s="7" t="s">
        <v>235</v>
      </c>
      <c r="BI238" s="7"/>
      <c r="BJ238" s="4"/>
      <c r="BK238" s="8"/>
      <c r="BL238" s="2" t="s">
        <v>235</v>
      </c>
      <c r="BM238" s="7"/>
      <c r="BN238" s="7"/>
      <c r="BO238" s="4"/>
      <c r="BP238" s="8"/>
      <c r="BQ238" s="4"/>
      <c r="BR238" s="8"/>
      <c r="BS238" s="7"/>
      <c r="BT238" s="7"/>
      <c r="BU238" s="2" t="s">
        <v>330</v>
      </c>
      <c r="BV238" s="2" t="s">
        <v>235</v>
      </c>
      <c r="BW238" s="2" t="s">
        <v>235</v>
      </c>
      <c r="BX238" s="2" t="s">
        <v>330</v>
      </c>
      <c r="BY238" s="2" t="s">
        <v>331</v>
      </c>
      <c r="BZ238" s="2" t="s">
        <v>232</v>
      </c>
      <c r="CA238" s="2" t="s">
        <v>235</v>
      </c>
      <c r="CB238" s="2" t="s">
        <v>235</v>
      </c>
      <c r="CC238" s="2" t="s">
        <v>248</v>
      </c>
      <c r="CD238" s="2" t="s">
        <v>248</v>
      </c>
      <c r="CE238" s="2" t="s">
        <v>235</v>
      </c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>
        <v>360</v>
      </c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>
        <v>360</v>
      </c>
      <c r="GS238" s="4">
        <v>355</v>
      </c>
      <c r="GT238" s="4">
        <v>350</v>
      </c>
      <c r="GU238" s="4">
        <v>337</v>
      </c>
      <c r="GV238" s="4">
        <v>324</v>
      </c>
      <c r="GW238" s="4">
        <v>313</v>
      </c>
      <c r="GX238" s="4">
        <v>300</v>
      </c>
      <c r="GY238" s="4">
        <v>289</v>
      </c>
      <c r="GZ238" s="4">
        <v>279</v>
      </c>
      <c r="HA238" s="4">
        <v>269</v>
      </c>
      <c r="HB238" s="4">
        <v>259</v>
      </c>
      <c r="HC238" s="4">
        <v>247</v>
      </c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19">
        <v>40</v>
      </c>
      <c r="HS238" s="19">
        <v>35.5</v>
      </c>
      <c r="HT238" s="19">
        <v>29.2</v>
      </c>
      <c r="HU238" s="19">
        <v>28.1</v>
      </c>
      <c r="HV238" s="19">
        <v>29.5</v>
      </c>
      <c r="HW238" s="19">
        <v>28.5</v>
      </c>
      <c r="HX238" s="19">
        <v>30</v>
      </c>
      <c r="HY238" s="19">
        <v>28.9</v>
      </c>
      <c r="HZ238" s="19">
        <v>23.3</v>
      </c>
      <c r="IA238" s="19">
        <v>19.2</v>
      </c>
      <c r="IB238" s="19">
        <v>17.3</v>
      </c>
      <c r="IC238" s="19">
        <v>15.4</v>
      </c>
    </row>
    <row r="239">
      <c r="A239" s="2" t="s">
        <v>1109</v>
      </c>
      <c r="B239" s="2" t="s">
        <v>1071</v>
      </c>
      <c r="C239" s="2" t="s">
        <v>324</v>
      </c>
      <c r="D239" s="2" t="s">
        <v>1102</v>
      </c>
      <c r="E239" s="2" t="s">
        <v>1103</v>
      </c>
      <c r="F239" s="2" t="s">
        <v>1104</v>
      </c>
      <c r="G239" s="2" t="s">
        <v>1110</v>
      </c>
      <c r="H239" s="2" t="s">
        <v>1111</v>
      </c>
      <c r="I239" s="2" t="s">
        <v>1105</v>
      </c>
      <c r="J239" s="2" t="s">
        <v>270</v>
      </c>
      <c r="K239" s="2" t="s">
        <v>1112</v>
      </c>
      <c r="L239" s="3">
        <v>204.25</v>
      </c>
      <c r="M239" s="3">
        <v>214.46</v>
      </c>
      <c r="N239" s="3">
        <v>429</v>
      </c>
      <c r="O239" s="2" t="s">
        <v>232</v>
      </c>
      <c r="P239" s="2" t="s">
        <v>878</v>
      </c>
      <c r="Q239" s="2" t="s">
        <v>492</v>
      </c>
      <c r="R239" s="2" t="s">
        <v>235</v>
      </c>
      <c r="S239" s="2" t="s">
        <v>235</v>
      </c>
      <c r="T239" s="2" t="s">
        <v>235</v>
      </c>
      <c r="U239" s="2" t="s">
        <v>807</v>
      </c>
      <c r="V239" s="2" t="s">
        <v>238</v>
      </c>
      <c r="W239" s="2" t="s">
        <v>1029</v>
      </c>
      <c r="X239" s="2" t="s">
        <v>235</v>
      </c>
      <c r="Y239" s="2" t="s">
        <v>235</v>
      </c>
      <c r="Z239" s="4"/>
      <c r="AA239" s="4">
        <f>=ROUNDDOWN({0},0)</f>
      </c>
      <c r="AB239" s="5"/>
      <c r="AC239" s="2" t="s">
        <v>1113</v>
      </c>
      <c r="AD239" s="4">
        <v>135</v>
      </c>
      <c r="AE239" s="4">
        <v>135</v>
      </c>
      <c r="AF239" s="6">
        <v>74</v>
      </c>
      <c r="AG239" s="6"/>
      <c r="AH239" s="7"/>
      <c r="AI239" s="4"/>
      <c r="AJ239" s="4">
        <f>=ROUNDDOWN({0},0)</f>
      </c>
      <c r="AK239" s="5"/>
      <c r="AL239" s="2" t="s">
        <v>235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235</v>
      </c>
      <c r="AW239" s="8" t="s">
        <v>235</v>
      </c>
      <c r="AX239" s="4" t="s">
        <v>235</v>
      </c>
      <c r="AY239" s="8" t="s">
        <v>235</v>
      </c>
      <c r="AZ239" s="7" t="s">
        <v>235</v>
      </c>
      <c r="BA239" s="7" t="s">
        <v>235</v>
      </c>
      <c r="BB239" s="7"/>
      <c r="BC239" s="4" t="s">
        <v>235</v>
      </c>
      <c r="BD239" s="8" t="s">
        <v>235</v>
      </c>
      <c r="BE239" s="4" t="s">
        <v>235</v>
      </c>
      <c r="BF239" s="8" t="s">
        <v>235</v>
      </c>
      <c r="BG239" s="7" t="s">
        <v>235</v>
      </c>
      <c r="BH239" s="7" t="s">
        <v>235</v>
      </c>
      <c r="BI239" s="7"/>
      <c r="BJ239" s="4"/>
      <c r="BK239" s="8"/>
      <c r="BL239" s="2" t="s">
        <v>235</v>
      </c>
      <c r="BM239" s="7"/>
      <c r="BN239" s="7"/>
      <c r="BO239" s="4"/>
      <c r="BP239" s="8"/>
      <c r="BQ239" s="4"/>
      <c r="BR239" s="8"/>
      <c r="BS239" s="7"/>
      <c r="BT239" s="7"/>
      <c r="BU239" s="2" t="s">
        <v>330</v>
      </c>
      <c r="BV239" s="2" t="s">
        <v>235</v>
      </c>
      <c r="BW239" s="2" t="s">
        <v>235</v>
      </c>
      <c r="BX239" s="2" t="s">
        <v>330</v>
      </c>
      <c r="BY239" s="2" t="s">
        <v>331</v>
      </c>
      <c r="BZ239" s="2" t="s">
        <v>232</v>
      </c>
      <c r="CA239" s="2" t="s">
        <v>235</v>
      </c>
      <c r="CB239" s="2" t="s">
        <v>235</v>
      </c>
      <c r="CC239" s="2" t="s">
        <v>248</v>
      </c>
      <c r="CD239" s="2" t="s">
        <v>248</v>
      </c>
      <c r="CE239" s="2" t="s">
        <v>235</v>
      </c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>
        <v>135</v>
      </c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>
        <v>135</v>
      </c>
      <c r="GR239" s="4">
        <v>134</v>
      </c>
      <c r="GS239" s="4">
        <v>130</v>
      </c>
      <c r="GT239" s="4">
        <v>128</v>
      </c>
      <c r="GU239" s="4">
        <v>123</v>
      </c>
      <c r="GV239" s="4">
        <v>118</v>
      </c>
      <c r="GW239" s="4">
        <v>114</v>
      </c>
      <c r="GX239" s="4">
        <v>109</v>
      </c>
      <c r="GY239" s="4">
        <v>105</v>
      </c>
      <c r="GZ239" s="4">
        <v>176</v>
      </c>
      <c r="HA239" s="4">
        <v>172</v>
      </c>
      <c r="HB239" s="4">
        <v>168</v>
      </c>
      <c r="HC239" s="4">
        <v>163</v>
      </c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19">
        <v>45</v>
      </c>
      <c r="HR239" s="19">
        <v>33.5</v>
      </c>
      <c r="HS239" s="19">
        <v>32.5</v>
      </c>
      <c r="HT239" s="19">
        <v>25.6</v>
      </c>
      <c r="HU239" s="19">
        <v>30.8</v>
      </c>
      <c r="HV239" s="19">
        <v>29.5</v>
      </c>
      <c r="HW239" s="19">
        <v>28.5</v>
      </c>
      <c r="HX239" s="19">
        <v>27.3</v>
      </c>
      <c r="HY239" s="19">
        <v>26.3</v>
      </c>
      <c r="HZ239" s="19">
        <v>35.2</v>
      </c>
      <c r="IA239" s="19">
        <v>34.4</v>
      </c>
      <c r="IB239" s="19">
        <v>28</v>
      </c>
      <c r="IC239" s="19">
        <v>27.2</v>
      </c>
    </row>
    <row r="240">
      <c r="A240" s="2" t="s">
        <v>1114</v>
      </c>
      <c r="B240" s="2" t="s">
        <v>1071</v>
      </c>
      <c r="C240" s="2" t="s">
        <v>324</v>
      </c>
      <c r="D240" s="2" t="s">
        <v>1102</v>
      </c>
      <c r="E240" s="2" t="s">
        <v>1103</v>
      </c>
      <c r="F240" s="2" t="s">
        <v>1104</v>
      </c>
      <c r="G240" s="2" t="s">
        <v>1110</v>
      </c>
      <c r="H240" s="2" t="s">
        <v>1111</v>
      </c>
      <c r="I240" s="2" t="s">
        <v>1105</v>
      </c>
      <c r="J240" s="2" t="s">
        <v>1108</v>
      </c>
      <c r="K240" s="2" t="s">
        <v>1112</v>
      </c>
      <c r="L240" s="3">
        <v>180.5</v>
      </c>
      <c r="M240" s="3">
        <v>189.52</v>
      </c>
      <c r="N240" s="3">
        <v>379</v>
      </c>
      <c r="O240" s="2" t="s">
        <v>232</v>
      </c>
      <c r="P240" s="2" t="s">
        <v>878</v>
      </c>
      <c r="Q240" s="2" t="s">
        <v>234</v>
      </c>
      <c r="R240" s="2" t="s">
        <v>235</v>
      </c>
      <c r="S240" s="2" t="s">
        <v>235</v>
      </c>
      <c r="T240" s="2" t="s">
        <v>235</v>
      </c>
      <c r="U240" s="2" t="s">
        <v>807</v>
      </c>
      <c r="V240" s="2" t="s">
        <v>238</v>
      </c>
      <c r="W240" s="2" t="s">
        <v>1029</v>
      </c>
      <c r="X240" s="2" t="s">
        <v>235</v>
      </c>
      <c r="Y240" s="2" t="s">
        <v>235</v>
      </c>
      <c r="Z240" s="4"/>
      <c r="AA240" s="4">
        <f>=ROUNDDOWN({0},0)</f>
      </c>
      <c r="AB240" s="5"/>
      <c r="AC240" s="2" t="s">
        <v>1113</v>
      </c>
      <c r="AD240" s="4">
        <v>165</v>
      </c>
      <c r="AE240" s="4">
        <v>165</v>
      </c>
      <c r="AF240" s="6">
        <v>74</v>
      </c>
      <c r="AG240" s="6"/>
      <c r="AH240" s="7"/>
      <c r="AI240" s="4"/>
      <c r="AJ240" s="4">
        <f>=ROUNDDOWN({0},0)</f>
      </c>
      <c r="AK240" s="5"/>
      <c r="AL240" s="2" t="s">
        <v>235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235</v>
      </c>
      <c r="AW240" s="8" t="s">
        <v>235</v>
      </c>
      <c r="AX240" s="4" t="s">
        <v>235</v>
      </c>
      <c r="AY240" s="8" t="s">
        <v>235</v>
      </c>
      <c r="AZ240" s="7" t="s">
        <v>235</v>
      </c>
      <c r="BA240" s="7" t="s">
        <v>235</v>
      </c>
      <c r="BB240" s="7"/>
      <c r="BC240" s="4" t="s">
        <v>235</v>
      </c>
      <c r="BD240" s="8" t="s">
        <v>235</v>
      </c>
      <c r="BE240" s="4" t="s">
        <v>235</v>
      </c>
      <c r="BF240" s="8" t="s">
        <v>235</v>
      </c>
      <c r="BG240" s="7" t="s">
        <v>235</v>
      </c>
      <c r="BH240" s="7" t="s">
        <v>235</v>
      </c>
      <c r="BI240" s="7"/>
      <c r="BJ240" s="4"/>
      <c r="BK240" s="8"/>
      <c r="BL240" s="2" t="s">
        <v>235</v>
      </c>
      <c r="BM240" s="7"/>
      <c r="BN240" s="7"/>
      <c r="BO240" s="4"/>
      <c r="BP240" s="8"/>
      <c r="BQ240" s="4"/>
      <c r="BR240" s="8"/>
      <c r="BS240" s="7"/>
      <c r="BT240" s="7"/>
      <c r="BU240" s="2" t="s">
        <v>330</v>
      </c>
      <c r="BV240" s="2" t="s">
        <v>235</v>
      </c>
      <c r="BW240" s="2" t="s">
        <v>235</v>
      </c>
      <c r="BX240" s="2" t="s">
        <v>330</v>
      </c>
      <c r="BY240" s="2" t="s">
        <v>331</v>
      </c>
      <c r="BZ240" s="2" t="s">
        <v>232</v>
      </c>
      <c r="CA240" s="2" t="s">
        <v>235</v>
      </c>
      <c r="CB240" s="2" t="s">
        <v>235</v>
      </c>
      <c r="CC240" s="2" t="s">
        <v>248</v>
      </c>
      <c r="CD240" s="2" t="s">
        <v>248</v>
      </c>
      <c r="CE240" s="2" t="s">
        <v>235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>
        <v>165</v>
      </c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>
        <v>165</v>
      </c>
      <c r="GR240" s="4">
        <v>164</v>
      </c>
      <c r="GS240" s="4">
        <v>159</v>
      </c>
      <c r="GT240" s="4">
        <v>157</v>
      </c>
      <c r="GU240" s="4">
        <v>151</v>
      </c>
      <c r="GV240" s="4">
        <v>145</v>
      </c>
      <c r="GW240" s="4">
        <v>140</v>
      </c>
      <c r="GX240" s="4">
        <v>134</v>
      </c>
      <c r="GY240" s="4">
        <v>129</v>
      </c>
      <c r="GZ240" s="4">
        <v>228</v>
      </c>
      <c r="HA240" s="4">
        <v>224</v>
      </c>
      <c r="HB240" s="4">
        <v>220</v>
      </c>
      <c r="HC240" s="4">
        <v>215</v>
      </c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19">
        <v>41.3</v>
      </c>
      <c r="HR240" s="19">
        <v>32.8</v>
      </c>
      <c r="HS240" s="19">
        <v>31.8</v>
      </c>
      <c r="HT240" s="19">
        <v>26.2</v>
      </c>
      <c r="HU240" s="19">
        <v>25.2</v>
      </c>
      <c r="HV240" s="19">
        <v>29</v>
      </c>
      <c r="HW240" s="19">
        <v>28</v>
      </c>
      <c r="HX240" s="19">
        <v>33.5</v>
      </c>
      <c r="HY240" s="19">
        <v>32.3</v>
      </c>
      <c r="HZ240" s="19">
        <v>45.6</v>
      </c>
      <c r="IA240" s="19">
        <v>37.3</v>
      </c>
      <c r="IB240" s="19">
        <v>36.7</v>
      </c>
      <c r="IC240" s="19">
        <v>30.7</v>
      </c>
    </row>
    <row r="241">
      <c r="A241" s="2" t="s">
        <v>1115</v>
      </c>
      <c r="B241" s="2" t="s">
        <v>1071</v>
      </c>
      <c r="C241" s="2" t="s">
        <v>324</v>
      </c>
      <c r="D241" s="2" t="s">
        <v>1102</v>
      </c>
      <c r="E241" s="2" t="s">
        <v>1103</v>
      </c>
      <c r="F241" s="2" t="s">
        <v>1104</v>
      </c>
      <c r="G241" s="2" t="s">
        <v>235</v>
      </c>
      <c r="H241" s="2" t="s">
        <v>235</v>
      </c>
      <c r="I241" s="2" t="s">
        <v>1105</v>
      </c>
      <c r="J241" s="2" t="s">
        <v>270</v>
      </c>
      <c r="K241" s="2" t="s">
        <v>1116</v>
      </c>
      <c r="L241" s="3">
        <v>204.25</v>
      </c>
      <c r="M241" s="3">
        <v>214.46</v>
      </c>
      <c r="N241" s="3">
        <v>429</v>
      </c>
      <c r="O241" s="2" t="s">
        <v>232</v>
      </c>
      <c r="P241" s="2" t="s">
        <v>878</v>
      </c>
      <c r="Q241" s="2" t="s">
        <v>492</v>
      </c>
      <c r="R241" s="2" t="s">
        <v>235</v>
      </c>
      <c r="S241" s="2" t="s">
        <v>235</v>
      </c>
      <c r="T241" s="2" t="s">
        <v>235</v>
      </c>
      <c r="U241" s="2" t="s">
        <v>807</v>
      </c>
      <c r="V241" s="2" t="s">
        <v>238</v>
      </c>
      <c r="W241" s="2" t="s">
        <v>1029</v>
      </c>
      <c r="X241" s="2" t="s">
        <v>235</v>
      </c>
      <c r="Y241" s="2" t="s">
        <v>235</v>
      </c>
      <c r="Z241" s="4"/>
      <c r="AA241" s="4">
        <f>=ROUNDDOWN({0},0)</f>
      </c>
      <c r="AB241" s="5"/>
      <c r="AC241" s="2" t="s">
        <v>202</v>
      </c>
      <c r="AD241" s="4">
        <v>144</v>
      </c>
      <c r="AE241" s="4">
        <v>144</v>
      </c>
      <c r="AF241" s="6">
        <v>74</v>
      </c>
      <c r="AG241" s="6"/>
      <c r="AH241" s="7"/>
      <c r="AI241" s="4"/>
      <c r="AJ241" s="4">
        <f>=ROUNDDOWN({0},0)</f>
      </c>
      <c r="AK241" s="5"/>
      <c r="AL241" s="2" t="s">
        <v>235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235</v>
      </c>
      <c r="AW241" s="8" t="s">
        <v>235</v>
      </c>
      <c r="AX241" s="4" t="s">
        <v>235</v>
      </c>
      <c r="AY241" s="8" t="s">
        <v>235</v>
      </c>
      <c r="AZ241" s="7" t="s">
        <v>235</v>
      </c>
      <c r="BA241" s="7" t="s">
        <v>235</v>
      </c>
      <c r="BB241" s="7"/>
      <c r="BC241" s="4" t="s">
        <v>235</v>
      </c>
      <c r="BD241" s="8" t="s">
        <v>235</v>
      </c>
      <c r="BE241" s="4" t="s">
        <v>235</v>
      </c>
      <c r="BF241" s="8" t="s">
        <v>235</v>
      </c>
      <c r="BG241" s="7" t="s">
        <v>235</v>
      </c>
      <c r="BH241" s="7" t="s">
        <v>235</v>
      </c>
      <c r="BI241" s="7"/>
      <c r="BJ241" s="4"/>
      <c r="BK241" s="8"/>
      <c r="BL241" s="2" t="s">
        <v>235</v>
      </c>
      <c r="BM241" s="7"/>
      <c r="BN241" s="7"/>
      <c r="BO241" s="4"/>
      <c r="BP241" s="8"/>
      <c r="BQ241" s="4"/>
      <c r="BR241" s="8"/>
      <c r="BS241" s="7"/>
      <c r="BT241" s="7"/>
      <c r="BU241" s="2" t="s">
        <v>330</v>
      </c>
      <c r="BV241" s="2" t="s">
        <v>235</v>
      </c>
      <c r="BW241" s="2" t="s">
        <v>235</v>
      </c>
      <c r="BX241" s="2" t="s">
        <v>330</v>
      </c>
      <c r="BY241" s="2" t="s">
        <v>331</v>
      </c>
      <c r="BZ241" s="2" t="s">
        <v>232</v>
      </c>
      <c r="CA241" s="2" t="s">
        <v>235</v>
      </c>
      <c r="CB241" s="2" t="s">
        <v>235</v>
      </c>
      <c r="CC241" s="2" t="s">
        <v>248</v>
      </c>
      <c r="CD241" s="2" t="s">
        <v>248</v>
      </c>
      <c r="CE241" s="2" t="s">
        <v>235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>
        <v>144</v>
      </c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>
        <v>144</v>
      </c>
      <c r="GS241" s="4">
        <v>142</v>
      </c>
      <c r="GT241" s="4">
        <v>140</v>
      </c>
      <c r="GU241" s="4">
        <v>135</v>
      </c>
      <c r="GV241" s="4">
        <v>129</v>
      </c>
      <c r="GW241" s="4">
        <v>124</v>
      </c>
      <c r="GX241" s="4">
        <v>118</v>
      </c>
      <c r="GY241" s="4">
        <v>113</v>
      </c>
      <c r="GZ241" s="4">
        <v>247</v>
      </c>
      <c r="HA241" s="4">
        <v>243</v>
      </c>
      <c r="HB241" s="4">
        <v>239</v>
      </c>
      <c r="HC241" s="4">
        <v>234</v>
      </c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19">
        <v>36</v>
      </c>
      <c r="HS241" s="19">
        <v>35.5</v>
      </c>
      <c r="HT241" s="19">
        <v>23.3</v>
      </c>
      <c r="HU241" s="19">
        <v>22.5</v>
      </c>
      <c r="HV241" s="19">
        <v>25.8</v>
      </c>
      <c r="HW241" s="19">
        <v>24.8</v>
      </c>
      <c r="HX241" s="19">
        <v>29.5</v>
      </c>
      <c r="HY241" s="19">
        <v>28.3</v>
      </c>
      <c r="HZ241" s="19">
        <v>49.4</v>
      </c>
      <c r="IA241" s="19">
        <v>40.5</v>
      </c>
      <c r="IB241" s="19">
        <v>39.8</v>
      </c>
      <c r="IC241" s="19">
        <v>33.4</v>
      </c>
    </row>
    <row r="242">
      <c r="A242" s="2" t="s">
        <v>1117</v>
      </c>
      <c r="B242" s="2" t="s">
        <v>1071</v>
      </c>
      <c r="C242" s="2" t="s">
        <v>324</v>
      </c>
      <c r="D242" s="2" t="s">
        <v>1102</v>
      </c>
      <c r="E242" s="2" t="s">
        <v>1103</v>
      </c>
      <c r="F242" s="2" t="s">
        <v>1104</v>
      </c>
      <c r="G242" s="2" t="s">
        <v>235</v>
      </c>
      <c r="H242" s="2" t="s">
        <v>235</v>
      </c>
      <c r="I242" s="2" t="s">
        <v>1105</v>
      </c>
      <c r="J242" s="2" t="s">
        <v>1108</v>
      </c>
      <c r="K242" s="2" t="s">
        <v>1116</v>
      </c>
      <c r="L242" s="3">
        <v>180.5</v>
      </c>
      <c r="M242" s="3">
        <v>189.52</v>
      </c>
      <c r="N242" s="3">
        <v>379</v>
      </c>
      <c r="O242" s="2" t="s">
        <v>232</v>
      </c>
      <c r="P242" s="2" t="s">
        <v>878</v>
      </c>
      <c r="Q242" s="2" t="s">
        <v>234</v>
      </c>
      <c r="R242" s="2" t="s">
        <v>235</v>
      </c>
      <c r="S242" s="2" t="s">
        <v>235</v>
      </c>
      <c r="T242" s="2" t="s">
        <v>235</v>
      </c>
      <c r="U242" s="2" t="s">
        <v>807</v>
      </c>
      <c r="V242" s="2" t="s">
        <v>238</v>
      </c>
      <c r="W242" s="2" t="s">
        <v>1029</v>
      </c>
      <c r="X242" s="2" t="s">
        <v>235</v>
      </c>
      <c r="Y242" s="2" t="s">
        <v>235</v>
      </c>
      <c r="Z242" s="4"/>
      <c r="AA242" s="4">
        <f>=ROUNDDOWN({0},0)</f>
      </c>
      <c r="AB242" s="5"/>
      <c r="AC242" s="2" t="s">
        <v>202</v>
      </c>
      <c r="AD242" s="4">
        <v>168</v>
      </c>
      <c r="AE242" s="4">
        <v>168</v>
      </c>
      <c r="AF242" s="6">
        <v>74</v>
      </c>
      <c r="AG242" s="6"/>
      <c r="AH242" s="7"/>
      <c r="AI242" s="4"/>
      <c r="AJ242" s="4">
        <f>=ROUNDDOWN({0},0)</f>
      </c>
      <c r="AK242" s="5"/>
      <c r="AL242" s="2" t="s">
        <v>235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235</v>
      </c>
      <c r="AW242" s="8" t="s">
        <v>235</v>
      </c>
      <c r="AX242" s="4" t="s">
        <v>235</v>
      </c>
      <c r="AY242" s="8" t="s">
        <v>235</v>
      </c>
      <c r="AZ242" s="7" t="s">
        <v>235</v>
      </c>
      <c r="BA242" s="7" t="s">
        <v>235</v>
      </c>
      <c r="BB242" s="7"/>
      <c r="BC242" s="4" t="s">
        <v>235</v>
      </c>
      <c r="BD242" s="8" t="s">
        <v>235</v>
      </c>
      <c r="BE242" s="4" t="s">
        <v>235</v>
      </c>
      <c r="BF242" s="8" t="s">
        <v>235</v>
      </c>
      <c r="BG242" s="7" t="s">
        <v>235</v>
      </c>
      <c r="BH242" s="7" t="s">
        <v>235</v>
      </c>
      <c r="BI242" s="7"/>
      <c r="BJ242" s="4"/>
      <c r="BK242" s="8"/>
      <c r="BL242" s="2" t="s">
        <v>235</v>
      </c>
      <c r="BM242" s="7"/>
      <c r="BN242" s="7"/>
      <c r="BO242" s="4"/>
      <c r="BP242" s="8"/>
      <c r="BQ242" s="4"/>
      <c r="BR242" s="8"/>
      <c r="BS242" s="7"/>
      <c r="BT242" s="7"/>
      <c r="BU242" s="2" t="s">
        <v>330</v>
      </c>
      <c r="BV242" s="2" t="s">
        <v>235</v>
      </c>
      <c r="BW242" s="2" t="s">
        <v>235</v>
      </c>
      <c r="BX242" s="2" t="s">
        <v>330</v>
      </c>
      <c r="BY242" s="2" t="s">
        <v>331</v>
      </c>
      <c r="BZ242" s="2" t="s">
        <v>232</v>
      </c>
      <c r="CA242" s="2" t="s">
        <v>235</v>
      </c>
      <c r="CB242" s="2" t="s">
        <v>235</v>
      </c>
      <c r="CC242" s="2" t="s">
        <v>248</v>
      </c>
      <c r="CD242" s="2" t="s">
        <v>248</v>
      </c>
      <c r="CE242" s="2" t="s">
        <v>235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>
        <v>168</v>
      </c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>
        <v>168</v>
      </c>
      <c r="GS242" s="4">
        <v>166</v>
      </c>
      <c r="GT242" s="4">
        <v>164</v>
      </c>
      <c r="GU242" s="4">
        <v>158</v>
      </c>
      <c r="GV242" s="4">
        <v>152</v>
      </c>
      <c r="GW242" s="4">
        <v>147</v>
      </c>
      <c r="GX242" s="4">
        <v>140</v>
      </c>
      <c r="GY242" s="4">
        <v>135</v>
      </c>
      <c r="GZ242" s="4">
        <v>282</v>
      </c>
      <c r="HA242" s="4">
        <v>277</v>
      </c>
      <c r="HB242" s="4">
        <v>272</v>
      </c>
      <c r="HC242" s="4">
        <v>266</v>
      </c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19">
        <v>42</v>
      </c>
      <c r="HS242" s="19">
        <v>33.2</v>
      </c>
      <c r="HT242" s="19">
        <v>27.3</v>
      </c>
      <c r="HU242" s="19">
        <v>26.3</v>
      </c>
      <c r="HV242" s="19">
        <v>25.3</v>
      </c>
      <c r="HW242" s="19">
        <v>24.5</v>
      </c>
      <c r="HX242" s="19">
        <v>28</v>
      </c>
      <c r="HY242" s="19">
        <v>27</v>
      </c>
      <c r="HZ242" s="19">
        <v>47</v>
      </c>
      <c r="IA242" s="19">
        <v>39.6</v>
      </c>
      <c r="IB242" s="19">
        <v>34</v>
      </c>
      <c r="IC242" s="19">
        <v>33.3</v>
      </c>
    </row>
    <row r="243">
      <c r="A243" s="2" t="s">
        <v>1118</v>
      </c>
      <c r="B243" s="2" t="s">
        <v>800</v>
      </c>
      <c r="C243" s="2" t="s">
        <v>1085</v>
      </c>
      <c r="D243" s="2" t="s">
        <v>802</v>
      </c>
      <c r="E243" s="2" t="s">
        <v>803</v>
      </c>
      <c r="F243" s="2" t="s">
        <v>1104</v>
      </c>
      <c r="G243" s="2" t="s">
        <v>1104</v>
      </c>
      <c r="H243" s="2" t="s">
        <v>1104</v>
      </c>
      <c r="I243" s="2" t="s">
        <v>1119</v>
      </c>
      <c r="J243" s="2" t="s">
        <v>806</v>
      </c>
      <c r="K243" s="2" t="s">
        <v>1120</v>
      </c>
      <c r="L243" s="3">
        <v>56.88</v>
      </c>
      <c r="M243" s="3">
        <v>59.72</v>
      </c>
      <c r="N243" s="3">
        <v>129.99</v>
      </c>
      <c r="O243" s="2" t="s">
        <v>485</v>
      </c>
      <c r="P243" s="2" t="s">
        <v>408</v>
      </c>
      <c r="Q243" s="2" t="s">
        <v>234</v>
      </c>
      <c r="R243" s="2" t="s">
        <v>235</v>
      </c>
      <c r="S243" s="2" t="s">
        <v>235</v>
      </c>
      <c r="T243" s="2" t="s">
        <v>235</v>
      </c>
      <c r="U243" s="2" t="s">
        <v>807</v>
      </c>
      <c r="V243" s="2" t="s">
        <v>808</v>
      </c>
      <c r="W243" s="2" t="s">
        <v>329</v>
      </c>
      <c r="X243" s="2" t="s">
        <v>966</v>
      </c>
      <c r="Y243" s="2" t="s">
        <v>1121</v>
      </c>
      <c r="Z243" s="4">
        <v>55</v>
      </c>
      <c r="AA243" s="4">
        <f>=ROUNDDOWN(550,0)</f>
      </c>
      <c r="AB243" s="5">
        <v>0.1</v>
      </c>
      <c r="AC243" s="2" t="s">
        <v>235</v>
      </c>
      <c r="AD243" s="4"/>
      <c r="AE243" s="4"/>
      <c r="AF243" s="6">
        <v>63</v>
      </c>
      <c r="AG243" s="6"/>
      <c r="AH243" s="7">
        <v>1</v>
      </c>
      <c r="AI243" s="4"/>
      <c r="AJ243" s="4">
        <f>=ROUNDDOWN({0},0)</f>
      </c>
      <c r="AK243" s="5"/>
      <c r="AL243" s="2" t="s">
        <v>235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235</v>
      </c>
      <c r="BD243" s="8" t="s">
        <v>235</v>
      </c>
      <c r="BE243" s="4" t="s">
        <v>235</v>
      </c>
      <c r="BF243" s="8" t="s">
        <v>235</v>
      </c>
      <c r="BG243" s="7" t="s">
        <v>235</v>
      </c>
      <c r="BH243" s="7" t="s">
        <v>235</v>
      </c>
      <c r="BI243" s="7"/>
      <c r="BJ243" s="4">
        <v>1</v>
      </c>
      <c r="BK243" s="8">
        <v>63.92</v>
      </c>
      <c r="BL243" s="2" t="s">
        <v>1122</v>
      </c>
      <c r="BM243" s="7"/>
      <c r="BN243" s="7"/>
      <c r="BO243" s="4"/>
      <c r="BP243" s="8"/>
      <c r="BQ243" s="4"/>
      <c r="BR243" s="8"/>
      <c r="BS243" s="7"/>
      <c r="BT243" s="7"/>
      <c r="BU243" s="2" t="s">
        <v>1123</v>
      </c>
      <c r="BV243" s="2" t="s">
        <v>813</v>
      </c>
      <c r="BW243" s="2" t="s">
        <v>235</v>
      </c>
      <c r="BX243" s="2" t="s">
        <v>414</v>
      </c>
      <c r="BY243" s="2" t="s">
        <v>245</v>
      </c>
      <c r="BZ243" s="2" t="s">
        <v>232</v>
      </c>
      <c r="CA243" s="2" t="s">
        <v>1124</v>
      </c>
      <c r="CB243" s="2" t="s">
        <v>235</v>
      </c>
      <c r="CC243" s="2" t="s">
        <v>248</v>
      </c>
      <c r="CD243" s="2" t="s">
        <v>248</v>
      </c>
      <c r="CE243" s="2" t="s">
        <v>235</v>
      </c>
      <c r="CF243" s="4"/>
      <c r="CG243" s="4">
        <v>55</v>
      </c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>
        <v>55</v>
      </c>
      <c r="GE243" s="4">
        <v>55</v>
      </c>
      <c r="GF243" s="4">
        <v>55</v>
      </c>
      <c r="GG243" s="4">
        <v>55</v>
      </c>
      <c r="GH243" s="4">
        <v>55</v>
      </c>
      <c r="GI243" s="4">
        <v>55</v>
      </c>
      <c r="GJ243" s="4">
        <v>55</v>
      </c>
      <c r="GK243" s="4">
        <v>55</v>
      </c>
      <c r="GL243" s="4">
        <v>55</v>
      </c>
      <c r="GM243" s="4">
        <v>55</v>
      </c>
      <c r="GN243" s="4">
        <v>55</v>
      </c>
      <c r="GO243" s="4">
        <v>55</v>
      </c>
      <c r="GP243" s="4">
        <v>55</v>
      </c>
      <c r="GQ243" s="4">
        <v>55</v>
      </c>
      <c r="GR243" s="4">
        <v>55</v>
      </c>
      <c r="GS243" s="4">
        <v>55</v>
      </c>
      <c r="GT243" s="4">
        <v>55</v>
      </c>
      <c r="GU243" s="4">
        <v>55</v>
      </c>
      <c r="GV243" s="4">
        <v>55</v>
      </c>
      <c r="GW243" s="4">
        <v>55</v>
      </c>
      <c r="GX243" s="4">
        <v>55</v>
      </c>
      <c r="GY243" s="4">
        <v>55</v>
      </c>
      <c r="GZ243" s="4">
        <v>55</v>
      </c>
      <c r="HA243" s="4">
        <v>55</v>
      </c>
      <c r="HB243" s="4">
        <v>55</v>
      </c>
      <c r="HC243" s="4">
        <v>55</v>
      </c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</row>
    <row r="244">
      <c r="A244" s="2" t="s">
        <v>1125</v>
      </c>
      <c r="B244" s="2" t="s">
        <v>852</v>
      </c>
      <c r="C244" s="2" t="s">
        <v>1126</v>
      </c>
      <c r="D244" s="2" t="s">
        <v>854</v>
      </c>
      <c r="E244" s="2" t="s">
        <v>855</v>
      </c>
      <c r="F244" s="2" t="s">
        <v>1104</v>
      </c>
      <c r="G244" s="2" t="s">
        <v>1127</v>
      </c>
      <c r="H244" s="2" t="s">
        <v>1128</v>
      </c>
      <c r="I244" s="2" t="s">
        <v>1129</v>
      </c>
      <c r="J244" s="2" t="s">
        <v>1130</v>
      </c>
      <c r="K244" s="2" t="s">
        <v>316</v>
      </c>
      <c r="L244" s="3">
        <v>18.5</v>
      </c>
      <c r="M244" s="3">
        <v>19.42</v>
      </c>
      <c r="N244" s="3">
        <v>44.99</v>
      </c>
      <c r="O244" s="2" t="s">
        <v>232</v>
      </c>
      <c r="P244" s="2" t="s">
        <v>408</v>
      </c>
      <c r="Q244" s="2" t="s">
        <v>234</v>
      </c>
      <c r="R244" s="2" t="s">
        <v>235</v>
      </c>
      <c r="S244" s="2" t="s">
        <v>1131</v>
      </c>
      <c r="T244" s="2" t="s">
        <v>235</v>
      </c>
      <c r="U244" s="2" t="s">
        <v>807</v>
      </c>
      <c r="V244" s="2" t="s">
        <v>1132</v>
      </c>
      <c r="W244" s="2" t="s">
        <v>235</v>
      </c>
      <c r="X244" s="2" t="s">
        <v>864</v>
      </c>
      <c r="Y244" s="2" t="s">
        <v>1133</v>
      </c>
      <c r="Z244" s="4"/>
      <c r="AA244" s="4">
        <f>=ROUNDDOWN({0},0)</f>
      </c>
      <c r="AB244" s="5">
        <v>10</v>
      </c>
      <c r="AC244" s="2" t="s">
        <v>235</v>
      </c>
      <c r="AD244" s="4"/>
      <c r="AE244" s="4"/>
      <c r="AF244" s="6">
        <v>68</v>
      </c>
      <c r="AG244" s="6"/>
      <c r="AH244" s="7">
        <v>0</v>
      </c>
      <c r="AI244" s="4"/>
      <c r="AJ244" s="4">
        <f>=ROUNDDOWN({0},0)</f>
      </c>
      <c r="AK244" s="5"/>
      <c r="AL244" s="2" t="s">
        <v>235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235</v>
      </c>
      <c r="BD244" s="8" t="s">
        <v>235</v>
      </c>
      <c r="BE244" s="4" t="s">
        <v>235</v>
      </c>
      <c r="BF244" s="8" t="s">
        <v>235</v>
      </c>
      <c r="BG244" s="7" t="s">
        <v>235</v>
      </c>
      <c r="BH244" s="7" t="s">
        <v>235</v>
      </c>
      <c r="BI244" s="7"/>
      <c r="BJ244" s="4"/>
      <c r="BK244" s="8"/>
      <c r="BL244" s="2" t="s">
        <v>1134</v>
      </c>
      <c r="BM244" s="7"/>
      <c r="BN244" s="7"/>
      <c r="BO244" s="4"/>
      <c r="BP244" s="8"/>
      <c r="BQ244" s="4"/>
      <c r="BR244" s="8"/>
      <c r="BS244" s="7"/>
      <c r="BT244" s="7"/>
      <c r="BU244" s="2" t="s">
        <v>1135</v>
      </c>
      <c r="BV244" s="2" t="s">
        <v>867</v>
      </c>
      <c r="BW244" s="2" t="s">
        <v>235</v>
      </c>
      <c r="BX244" s="2" t="s">
        <v>414</v>
      </c>
      <c r="BY244" s="2" t="s">
        <v>245</v>
      </c>
      <c r="BZ244" s="2" t="s">
        <v>232</v>
      </c>
      <c r="CA244" s="2" t="s">
        <v>1136</v>
      </c>
      <c r="CB244" s="2" t="s">
        <v>1137</v>
      </c>
      <c r="CC244" s="2" t="s">
        <v>248</v>
      </c>
      <c r="CD244" s="2" t="s">
        <v>248</v>
      </c>
      <c r="CE244" s="2" t="s">
        <v>235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20">
        <v>0</v>
      </c>
      <c r="HE244" s="20">
        <v>0</v>
      </c>
      <c r="HF244" s="20">
        <v>0</v>
      </c>
      <c r="HG244" s="20">
        <v>0</v>
      </c>
      <c r="HH244" s="20">
        <v>0</v>
      </c>
      <c r="HI244" s="20">
        <v>0</v>
      </c>
      <c r="HJ244" s="20">
        <v>0</v>
      </c>
      <c r="HK244" s="20">
        <v>0</v>
      </c>
      <c r="HL244" s="20">
        <v>0</v>
      </c>
      <c r="HM244" s="20">
        <v>0</v>
      </c>
      <c r="HN244" s="20">
        <v>0</v>
      </c>
      <c r="HO244" s="20">
        <v>0</v>
      </c>
      <c r="HP244" s="20">
        <v>0</v>
      </c>
      <c r="HQ244" s="20">
        <v>0</v>
      </c>
      <c r="HR244" s="20">
        <v>0</v>
      </c>
      <c r="HS244" s="20">
        <v>0</v>
      </c>
      <c r="HT244" s="20">
        <v>0</v>
      </c>
      <c r="HU244" s="20">
        <v>0</v>
      </c>
      <c r="HV244" s="20">
        <v>0</v>
      </c>
      <c r="HW244" s="20">
        <v>0</v>
      </c>
      <c r="HX244" s="20">
        <v>0</v>
      </c>
      <c r="HY244" s="20">
        <v>0</v>
      </c>
      <c r="HZ244" s="20">
        <v>0</v>
      </c>
      <c r="IA244" s="20">
        <v>0</v>
      </c>
      <c r="IB244" s="20">
        <v>0</v>
      </c>
      <c r="IC244" s="20">
        <v>0</v>
      </c>
    </row>
    <row r="245">
      <c r="A245" s="2" t="s">
        <v>1138</v>
      </c>
      <c r="B245" s="2" t="s">
        <v>1139</v>
      </c>
      <c r="C245" s="2" t="s">
        <v>324</v>
      </c>
      <c r="D245" s="2" t="s">
        <v>1140</v>
      </c>
      <c r="E245" s="2" t="s">
        <v>1141</v>
      </c>
      <c r="F245" s="2" t="s">
        <v>1142</v>
      </c>
      <c r="G245" s="2" t="s">
        <v>1143</v>
      </c>
      <c r="H245" s="2" t="s">
        <v>1144</v>
      </c>
      <c r="I245" s="2" t="s">
        <v>1145</v>
      </c>
      <c r="J245" s="2" t="s">
        <v>1146</v>
      </c>
      <c r="K245" s="2" t="s">
        <v>861</v>
      </c>
      <c r="L245" s="3">
        <v>15.6</v>
      </c>
      <c r="M245" s="3">
        <v>16.38</v>
      </c>
      <c r="N245" s="3">
        <v>34.99</v>
      </c>
      <c r="O245" s="2" t="s">
        <v>232</v>
      </c>
      <c r="P245" s="2" t="s">
        <v>878</v>
      </c>
      <c r="Q245" s="2" t="s">
        <v>234</v>
      </c>
      <c r="R245" s="2" t="s">
        <v>235</v>
      </c>
      <c r="S245" s="2" t="s">
        <v>235</v>
      </c>
      <c r="T245" s="2" t="s">
        <v>879</v>
      </c>
      <c r="U245" s="2" t="s">
        <v>807</v>
      </c>
      <c r="V245" s="2" t="s">
        <v>1147</v>
      </c>
      <c r="W245" s="2" t="s">
        <v>682</v>
      </c>
      <c r="X245" s="2" t="s">
        <v>235</v>
      </c>
      <c r="Y245" s="2" t="s">
        <v>235</v>
      </c>
      <c r="Z245" s="4"/>
      <c r="AA245" s="4">
        <f>=ROUNDDOWN({0},0)</f>
      </c>
      <c r="AB245" s="5"/>
      <c r="AC245" s="2" t="s">
        <v>1148</v>
      </c>
      <c r="AD245" s="4">
        <v>660</v>
      </c>
      <c r="AE245" s="4">
        <v>660</v>
      </c>
      <c r="AF245" s="6">
        <v>65</v>
      </c>
      <c r="AG245" s="6"/>
      <c r="AH245" s="7"/>
      <c r="AI245" s="4"/>
      <c r="AJ245" s="4">
        <f>=ROUNDDOWN({0},0)</f>
      </c>
      <c r="AK245" s="5"/>
      <c r="AL245" s="2" t="s">
        <v>235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235</v>
      </c>
      <c r="BD245" s="8" t="s">
        <v>235</v>
      </c>
      <c r="BE245" s="4" t="s">
        <v>235</v>
      </c>
      <c r="BF245" s="8" t="s">
        <v>235</v>
      </c>
      <c r="BG245" s="7" t="s">
        <v>235</v>
      </c>
      <c r="BH245" s="7" t="s">
        <v>235</v>
      </c>
      <c r="BI245" s="7"/>
      <c r="BJ245" s="4"/>
      <c r="BK245" s="8"/>
      <c r="BL245" s="2" t="s">
        <v>235</v>
      </c>
      <c r="BM245" s="7"/>
      <c r="BN245" s="7"/>
      <c r="BO245" s="4"/>
      <c r="BP245" s="8"/>
      <c r="BQ245" s="4"/>
      <c r="BR245" s="8"/>
      <c r="BS245" s="7"/>
      <c r="BT245" s="7"/>
      <c r="BU245" s="2" t="s">
        <v>330</v>
      </c>
      <c r="BV245" s="2" t="s">
        <v>235</v>
      </c>
      <c r="BW245" s="2" t="s">
        <v>235</v>
      </c>
      <c r="BX245" s="2" t="s">
        <v>330</v>
      </c>
      <c r="BY245" s="2" t="s">
        <v>331</v>
      </c>
      <c r="BZ245" s="2" t="s">
        <v>232</v>
      </c>
      <c r="CA245" s="2" t="s">
        <v>235</v>
      </c>
      <c r="CB245" s="2" t="s">
        <v>235</v>
      </c>
      <c r="CC245" s="2" t="s">
        <v>248</v>
      </c>
      <c r="CD245" s="2" t="s">
        <v>248</v>
      </c>
      <c r="CE245" s="2" t="s">
        <v>235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>
        <v>660</v>
      </c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>
        <v>660</v>
      </c>
      <c r="GI245" s="4">
        <v>660</v>
      </c>
      <c r="GJ245" s="4">
        <v>660</v>
      </c>
      <c r="GK245" s="4">
        <v>660</v>
      </c>
      <c r="GL245" s="4">
        <v>660</v>
      </c>
      <c r="GM245" s="4">
        <v>660</v>
      </c>
      <c r="GN245" s="4">
        <v>660</v>
      </c>
      <c r="GO245" s="4">
        <v>660</v>
      </c>
      <c r="GP245" s="4">
        <v>660</v>
      </c>
      <c r="GQ245" s="4">
        <v>660</v>
      </c>
      <c r="GR245" s="4">
        <v>660</v>
      </c>
      <c r="GS245" s="4">
        <v>660</v>
      </c>
      <c r="GT245" s="4">
        <v>660</v>
      </c>
      <c r="GU245" s="4">
        <v>660</v>
      </c>
      <c r="GV245" s="4">
        <v>660</v>
      </c>
      <c r="GW245" s="4">
        <v>660</v>
      </c>
      <c r="GX245" s="4">
        <v>660</v>
      </c>
      <c r="GY245" s="4">
        <v>660</v>
      </c>
      <c r="GZ245" s="4">
        <v>660</v>
      </c>
      <c r="HA245" s="4">
        <v>660</v>
      </c>
      <c r="HB245" s="4">
        <v>660</v>
      </c>
      <c r="HC245" s="4">
        <v>660</v>
      </c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</row>
    <row r="246">
      <c r="A246" s="2" t="s">
        <v>1149</v>
      </c>
      <c r="B246" s="2" t="s">
        <v>1139</v>
      </c>
      <c r="C246" s="2" t="s">
        <v>324</v>
      </c>
      <c r="D246" s="2" t="s">
        <v>1140</v>
      </c>
      <c r="E246" s="2" t="s">
        <v>1141</v>
      </c>
      <c r="F246" s="2" t="s">
        <v>1142</v>
      </c>
      <c r="G246" s="2" t="s">
        <v>1143</v>
      </c>
      <c r="H246" s="2" t="s">
        <v>1144</v>
      </c>
      <c r="I246" s="2" t="s">
        <v>1145</v>
      </c>
      <c r="J246" s="2" t="s">
        <v>1146</v>
      </c>
      <c r="K246" s="2" t="s">
        <v>378</v>
      </c>
      <c r="L246" s="3">
        <v>15.6</v>
      </c>
      <c r="M246" s="3">
        <v>16.38</v>
      </c>
      <c r="N246" s="3">
        <v>34.99</v>
      </c>
      <c r="O246" s="2" t="s">
        <v>232</v>
      </c>
      <c r="P246" s="2" t="s">
        <v>878</v>
      </c>
      <c r="Q246" s="2" t="s">
        <v>234</v>
      </c>
      <c r="R246" s="2" t="s">
        <v>235</v>
      </c>
      <c r="S246" s="2" t="s">
        <v>235</v>
      </c>
      <c r="T246" s="2" t="s">
        <v>879</v>
      </c>
      <c r="U246" s="2" t="s">
        <v>807</v>
      </c>
      <c r="V246" s="2" t="s">
        <v>1147</v>
      </c>
      <c r="W246" s="2" t="s">
        <v>682</v>
      </c>
      <c r="X246" s="2" t="s">
        <v>235</v>
      </c>
      <c r="Y246" s="2" t="s">
        <v>235</v>
      </c>
      <c r="Z246" s="4"/>
      <c r="AA246" s="4">
        <f>=ROUNDDOWN({0},0)</f>
      </c>
      <c r="AB246" s="5"/>
      <c r="AC246" s="2" t="s">
        <v>1148</v>
      </c>
      <c r="AD246" s="4">
        <v>960</v>
      </c>
      <c r="AE246" s="4">
        <v>960</v>
      </c>
      <c r="AF246" s="6">
        <v>65</v>
      </c>
      <c r="AG246" s="6"/>
      <c r="AH246" s="7"/>
      <c r="AI246" s="4"/>
      <c r="AJ246" s="4">
        <f>=ROUNDDOWN({0},0)</f>
      </c>
      <c r="AK246" s="5"/>
      <c r="AL246" s="2" t="s">
        <v>235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235</v>
      </c>
      <c r="BD246" s="8" t="s">
        <v>235</v>
      </c>
      <c r="BE246" s="4" t="s">
        <v>235</v>
      </c>
      <c r="BF246" s="8" t="s">
        <v>235</v>
      </c>
      <c r="BG246" s="7" t="s">
        <v>235</v>
      </c>
      <c r="BH246" s="7" t="s">
        <v>235</v>
      </c>
      <c r="BI246" s="7"/>
      <c r="BJ246" s="4"/>
      <c r="BK246" s="8"/>
      <c r="BL246" s="2" t="s">
        <v>235</v>
      </c>
      <c r="BM246" s="7"/>
      <c r="BN246" s="7"/>
      <c r="BO246" s="4"/>
      <c r="BP246" s="8"/>
      <c r="BQ246" s="4"/>
      <c r="BR246" s="8"/>
      <c r="BS246" s="7"/>
      <c r="BT246" s="7"/>
      <c r="BU246" s="2" t="s">
        <v>330</v>
      </c>
      <c r="BV246" s="2" t="s">
        <v>235</v>
      </c>
      <c r="BW246" s="2" t="s">
        <v>235</v>
      </c>
      <c r="BX246" s="2" t="s">
        <v>330</v>
      </c>
      <c r="BY246" s="2" t="s">
        <v>331</v>
      </c>
      <c r="BZ246" s="2" t="s">
        <v>232</v>
      </c>
      <c r="CA246" s="2" t="s">
        <v>235</v>
      </c>
      <c r="CB246" s="2" t="s">
        <v>235</v>
      </c>
      <c r="CC246" s="2" t="s">
        <v>248</v>
      </c>
      <c r="CD246" s="2" t="s">
        <v>248</v>
      </c>
      <c r="CE246" s="2" t="s">
        <v>235</v>
      </c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>
        <v>960</v>
      </c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>
        <v>960</v>
      </c>
      <c r="GI246" s="4">
        <v>960</v>
      </c>
      <c r="GJ246" s="4">
        <v>960</v>
      </c>
      <c r="GK246" s="4">
        <v>960</v>
      </c>
      <c r="GL246" s="4">
        <v>960</v>
      </c>
      <c r="GM246" s="4">
        <v>960</v>
      </c>
      <c r="GN246" s="4">
        <v>960</v>
      </c>
      <c r="GO246" s="4">
        <v>960</v>
      </c>
      <c r="GP246" s="4">
        <v>960</v>
      </c>
      <c r="GQ246" s="4">
        <v>960</v>
      </c>
      <c r="GR246" s="4">
        <v>960</v>
      </c>
      <c r="GS246" s="4">
        <v>960</v>
      </c>
      <c r="GT246" s="4">
        <v>960</v>
      </c>
      <c r="GU246" s="4">
        <v>960</v>
      </c>
      <c r="GV246" s="4">
        <v>960</v>
      </c>
      <c r="GW246" s="4">
        <v>960</v>
      </c>
      <c r="GX246" s="4">
        <v>960</v>
      </c>
      <c r="GY246" s="4">
        <v>960</v>
      </c>
      <c r="GZ246" s="4">
        <v>960</v>
      </c>
      <c r="HA246" s="4">
        <v>960</v>
      </c>
      <c r="HB246" s="4">
        <v>960</v>
      </c>
      <c r="HC246" s="4">
        <v>960</v>
      </c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</row>
    <row r="247">
      <c r="A247" s="2" t="s">
        <v>1150</v>
      </c>
      <c r="B247" s="2" t="s">
        <v>1139</v>
      </c>
      <c r="C247" s="2" t="s">
        <v>324</v>
      </c>
      <c r="D247" s="2" t="s">
        <v>1140</v>
      </c>
      <c r="E247" s="2" t="s">
        <v>1141</v>
      </c>
      <c r="F247" s="2" t="s">
        <v>1142</v>
      </c>
      <c r="G247" s="2" t="s">
        <v>1143</v>
      </c>
      <c r="H247" s="2" t="s">
        <v>1144</v>
      </c>
      <c r="I247" s="2" t="s">
        <v>1145</v>
      </c>
      <c r="J247" s="2" t="s">
        <v>1146</v>
      </c>
      <c r="K247" s="2" t="s">
        <v>231</v>
      </c>
      <c r="L247" s="3">
        <v>15.6</v>
      </c>
      <c r="M247" s="3">
        <v>16.38</v>
      </c>
      <c r="N247" s="3">
        <v>34.99</v>
      </c>
      <c r="O247" s="2" t="s">
        <v>232</v>
      </c>
      <c r="P247" s="2" t="s">
        <v>878</v>
      </c>
      <c r="Q247" s="2" t="s">
        <v>234</v>
      </c>
      <c r="R247" s="2" t="s">
        <v>235</v>
      </c>
      <c r="S247" s="2" t="s">
        <v>235</v>
      </c>
      <c r="T247" s="2" t="s">
        <v>879</v>
      </c>
      <c r="U247" s="2" t="s">
        <v>807</v>
      </c>
      <c r="V247" s="2" t="s">
        <v>1147</v>
      </c>
      <c r="W247" s="2" t="s">
        <v>682</v>
      </c>
      <c r="X247" s="2" t="s">
        <v>235</v>
      </c>
      <c r="Y247" s="2" t="s">
        <v>235</v>
      </c>
      <c r="Z247" s="4"/>
      <c r="AA247" s="4">
        <f>=ROUNDDOWN({0},0)</f>
      </c>
      <c r="AB247" s="5"/>
      <c r="AC247" s="2" t="s">
        <v>1148</v>
      </c>
      <c r="AD247" s="4">
        <v>300</v>
      </c>
      <c r="AE247" s="4">
        <v>300</v>
      </c>
      <c r="AF247" s="6">
        <v>65</v>
      </c>
      <c r="AG247" s="6"/>
      <c r="AH247" s="7"/>
      <c r="AI247" s="4"/>
      <c r="AJ247" s="4">
        <f>=ROUNDDOWN({0},0)</f>
      </c>
      <c r="AK247" s="5"/>
      <c r="AL247" s="2" t="s">
        <v>235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235</v>
      </c>
      <c r="AW247" s="8" t="s">
        <v>235</v>
      </c>
      <c r="AX247" s="4" t="s">
        <v>235</v>
      </c>
      <c r="AY247" s="8" t="s">
        <v>235</v>
      </c>
      <c r="AZ247" s="7" t="s">
        <v>235</v>
      </c>
      <c r="BA247" s="7" t="s">
        <v>235</v>
      </c>
      <c r="BB247" s="7"/>
      <c r="BC247" s="4" t="s">
        <v>235</v>
      </c>
      <c r="BD247" s="8" t="s">
        <v>235</v>
      </c>
      <c r="BE247" s="4" t="s">
        <v>235</v>
      </c>
      <c r="BF247" s="8" t="s">
        <v>235</v>
      </c>
      <c r="BG247" s="7" t="s">
        <v>235</v>
      </c>
      <c r="BH247" s="7" t="s">
        <v>235</v>
      </c>
      <c r="BI247" s="7"/>
      <c r="BJ247" s="4"/>
      <c r="BK247" s="8"/>
      <c r="BL247" s="2" t="s">
        <v>235</v>
      </c>
      <c r="BM247" s="7"/>
      <c r="BN247" s="7"/>
      <c r="BO247" s="4"/>
      <c r="BP247" s="8"/>
      <c r="BQ247" s="4"/>
      <c r="BR247" s="8"/>
      <c r="BS247" s="7"/>
      <c r="BT247" s="7"/>
      <c r="BU247" s="2" t="s">
        <v>330</v>
      </c>
      <c r="BV247" s="2" t="s">
        <v>235</v>
      </c>
      <c r="BW247" s="2" t="s">
        <v>235</v>
      </c>
      <c r="BX247" s="2" t="s">
        <v>330</v>
      </c>
      <c r="BY247" s="2" t="s">
        <v>331</v>
      </c>
      <c r="BZ247" s="2" t="s">
        <v>232</v>
      </c>
      <c r="CA247" s="2" t="s">
        <v>235</v>
      </c>
      <c r="CB247" s="2" t="s">
        <v>235</v>
      </c>
      <c r="CC247" s="2" t="s">
        <v>248</v>
      </c>
      <c r="CD247" s="2" t="s">
        <v>248</v>
      </c>
      <c r="CE247" s="2" t="s">
        <v>235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>
        <v>300</v>
      </c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>
        <v>300</v>
      </c>
      <c r="GI247" s="4">
        <v>300</v>
      </c>
      <c r="GJ247" s="4">
        <v>300</v>
      </c>
      <c r="GK247" s="4">
        <v>300</v>
      </c>
      <c r="GL247" s="4">
        <v>300</v>
      </c>
      <c r="GM247" s="4">
        <v>300</v>
      </c>
      <c r="GN247" s="4">
        <v>300</v>
      </c>
      <c r="GO247" s="4">
        <v>300</v>
      </c>
      <c r="GP247" s="4">
        <v>300</v>
      </c>
      <c r="GQ247" s="4">
        <v>300</v>
      </c>
      <c r="GR247" s="4">
        <v>300</v>
      </c>
      <c r="GS247" s="4">
        <v>300</v>
      </c>
      <c r="GT247" s="4">
        <v>300</v>
      </c>
      <c r="GU247" s="4">
        <v>300</v>
      </c>
      <c r="GV247" s="4">
        <v>300</v>
      </c>
      <c r="GW247" s="4">
        <v>300</v>
      </c>
      <c r="GX247" s="4">
        <v>300</v>
      </c>
      <c r="GY247" s="4">
        <v>300</v>
      </c>
      <c r="GZ247" s="4">
        <v>300</v>
      </c>
      <c r="HA247" s="4">
        <v>300</v>
      </c>
      <c r="HB247" s="4">
        <v>300</v>
      </c>
      <c r="HC247" s="4">
        <v>300</v>
      </c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</row>
    <row r="248">
      <c r="A248" s="2" t="s">
        <v>1151</v>
      </c>
      <c r="B248" s="2" t="s">
        <v>1139</v>
      </c>
      <c r="C248" s="2" t="s">
        <v>324</v>
      </c>
      <c r="D248" s="2" t="s">
        <v>1152</v>
      </c>
      <c r="E248" s="2" t="s">
        <v>1153</v>
      </c>
      <c r="F248" s="2" t="s">
        <v>1142</v>
      </c>
      <c r="G248" s="2" t="s">
        <v>1143</v>
      </c>
      <c r="H248" s="2" t="s">
        <v>1144</v>
      </c>
      <c r="I248" s="2" t="s">
        <v>1154</v>
      </c>
      <c r="J248" s="2" t="s">
        <v>1155</v>
      </c>
      <c r="K248" s="2" t="s">
        <v>231</v>
      </c>
      <c r="L248" s="3">
        <v>25.44</v>
      </c>
      <c r="M248" s="3">
        <v>26.71</v>
      </c>
      <c r="N248" s="3">
        <v>52.99</v>
      </c>
      <c r="O248" s="2" t="s">
        <v>232</v>
      </c>
      <c r="P248" s="2" t="s">
        <v>233</v>
      </c>
      <c r="Q248" s="2" t="s">
        <v>234</v>
      </c>
      <c r="R248" s="2" t="s">
        <v>235</v>
      </c>
      <c r="S248" s="2" t="s">
        <v>235</v>
      </c>
      <c r="T248" s="2" t="s">
        <v>235</v>
      </c>
      <c r="U248" s="2" t="s">
        <v>235</v>
      </c>
      <c r="V248" s="2" t="s">
        <v>1156</v>
      </c>
      <c r="W248" s="2" t="s">
        <v>1157</v>
      </c>
      <c r="X248" s="2" t="s">
        <v>235</v>
      </c>
      <c r="Y248" s="2" t="s">
        <v>1158</v>
      </c>
      <c r="Z248" s="4">
        <v>332</v>
      </c>
      <c r="AA248" s="4">
        <f>=ROUNDDOWN(50.3030303030303,0)</f>
      </c>
      <c r="AB248" s="5">
        <v>6.6</v>
      </c>
      <c r="AC248" s="2" t="s">
        <v>235</v>
      </c>
      <c r="AD248" s="4"/>
      <c r="AE248" s="4"/>
      <c r="AF248" s="6">
        <v>75</v>
      </c>
      <c r="AG248" s="6"/>
      <c r="AH248" s="7">
        <v>1</v>
      </c>
      <c r="AI248" s="4"/>
      <c r="AJ248" s="4">
        <f>=ROUNDDOWN({0},0)</f>
      </c>
      <c r="AK248" s="5"/>
      <c r="AL248" s="2" t="s">
        <v>235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235</v>
      </c>
      <c r="AW248" s="8" t="s">
        <v>235</v>
      </c>
      <c r="AX248" s="4" t="s">
        <v>235</v>
      </c>
      <c r="AY248" s="8" t="s">
        <v>235</v>
      </c>
      <c r="AZ248" s="7" t="s">
        <v>235</v>
      </c>
      <c r="BA248" s="7" t="s">
        <v>235</v>
      </c>
      <c r="BB248" s="7"/>
      <c r="BC248" s="4" t="s">
        <v>235</v>
      </c>
      <c r="BD248" s="8" t="s">
        <v>235</v>
      </c>
      <c r="BE248" s="4" t="s">
        <v>235</v>
      </c>
      <c r="BF248" s="8" t="s">
        <v>235</v>
      </c>
      <c r="BG248" s="7" t="s">
        <v>235</v>
      </c>
      <c r="BH248" s="7" t="s">
        <v>235</v>
      </c>
      <c r="BI248" s="7"/>
      <c r="BJ248" s="4">
        <v>30</v>
      </c>
      <c r="BK248" s="8">
        <v>844.1</v>
      </c>
      <c r="BL248" s="2" t="s">
        <v>1159</v>
      </c>
      <c r="BM248" s="7"/>
      <c r="BN248" s="7"/>
      <c r="BO248" s="4"/>
      <c r="BP248" s="8"/>
      <c r="BQ248" s="4"/>
      <c r="BR248" s="8"/>
      <c r="BS248" s="7"/>
      <c r="BT248" s="7"/>
      <c r="BU248" s="2" t="s">
        <v>1160</v>
      </c>
      <c r="BV248" s="2" t="s">
        <v>618</v>
      </c>
      <c r="BW248" s="2" t="s">
        <v>235</v>
      </c>
      <c r="BX248" s="2" t="s">
        <v>244</v>
      </c>
      <c r="BY248" s="2" t="s">
        <v>245</v>
      </c>
      <c r="BZ248" s="2" t="s">
        <v>232</v>
      </c>
      <c r="CA248" s="2" t="s">
        <v>1161</v>
      </c>
      <c r="CB248" s="2" t="s">
        <v>1162</v>
      </c>
      <c r="CC248" s="2" t="s">
        <v>248</v>
      </c>
      <c r="CD248" s="2" t="s">
        <v>248</v>
      </c>
      <c r="CE248" s="2" t="s">
        <v>235</v>
      </c>
      <c r="CF248" s="4">
        <v>332</v>
      </c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>
        <v>332</v>
      </c>
      <c r="GE248" s="4">
        <v>327</v>
      </c>
      <c r="GF248" s="4">
        <v>322</v>
      </c>
      <c r="GG248" s="4">
        <v>317</v>
      </c>
      <c r="GH248" s="4">
        <v>312</v>
      </c>
      <c r="GI248" s="4">
        <v>307</v>
      </c>
      <c r="GJ248" s="4">
        <v>302</v>
      </c>
      <c r="GK248" s="4">
        <v>297</v>
      </c>
      <c r="GL248" s="4">
        <v>292</v>
      </c>
      <c r="GM248" s="4">
        <v>287</v>
      </c>
      <c r="GN248" s="4">
        <v>282</v>
      </c>
      <c r="GO248" s="4">
        <v>275</v>
      </c>
      <c r="GP248" s="4">
        <v>267</v>
      </c>
      <c r="GQ248" s="4">
        <v>260</v>
      </c>
      <c r="GR248" s="4">
        <v>246</v>
      </c>
      <c r="GS248" s="4">
        <v>238</v>
      </c>
      <c r="GT248" s="4">
        <v>231</v>
      </c>
      <c r="GU248" s="4">
        <v>226</v>
      </c>
      <c r="GV248" s="4">
        <v>221</v>
      </c>
      <c r="GW248" s="4">
        <v>216</v>
      </c>
      <c r="GX248" s="4">
        <v>211</v>
      </c>
      <c r="GY248" s="4">
        <v>206</v>
      </c>
      <c r="GZ248" s="4">
        <v>200</v>
      </c>
      <c r="HA248" s="4">
        <v>194</v>
      </c>
      <c r="HB248" s="4">
        <v>187</v>
      </c>
      <c r="HC248" s="4">
        <v>180</v>
      </c>
      <c r="HD248" s="19">
        <v>66.4</v>
      </c>
      <c r="HE248" s="19">
        <v>65.4</v>
      </c>
      <c r="HF248" s="19">
        <v>64.4</v>
      </c>
      <c r="HG248" s="19">
        <v>63.4</v>
      </c>
      <c r="HH248" s="19">
        <v>62.4</v>
      </c>
      <c r="HI248" s="19">
        <v>61.4</v>
      </c>
      <c r="HJ248" s="19">
        <v>60.4</v>
      </c>
      <c r="HK248" s="19">
        <v>49.5</v>
      </c>
      <c r="HL248" s="19">
        <v>48.7</v>
      </c>
      <c r="HM248" s="19">
        <v>41</v>
      </c>
      <c r="HN248" s="19">
        <v>31.3</v>
      </c>
      <c r="HO248" s="19">
        <v>30.6</v>
      </c>
      <c r="HP248" s="19">
        <v>29.7</v>
      </c>
      <c r="HQ248" s="19">
        <v>32.5</v>
      </c>
      <c r="HR248" s="19">
        <v>41</v>
      </c>
      <c r="HS248" s="19">
        <v>39.7</v>
      </c>
      <c r="HT248" s="19">
        <v>46.2</v>
      </c>
      <c r="HU248" s="19">
        <v>45.2</v>
      </c>
      <c r="HV248" s="19">
        <v>44.2</v>
      </c>
      <c r="HW248" s="19">
        <v>36</v>
      </c>
      <c r="HX248" s="19">
        <v>35.2</v>
      </c>
      <c r="HY248" s="19">
        <v>34.3</v>
      </c>
      <c r="HZ248" s="19">
        <v>28.6</v>
      </c>
      <c r="IA248" s="19">
        <v>27.7</v>
      </c>
      <c r="IB248" s="19">
        <v>26.7</v>
      </c>
      <c r="IC248" s="19">
        <v>25.7</v>
      </c>
    </row>
    <row r="249">
      <c r="A249" s="2" t="s">
        <v>1163</v>
      </c>
      <c r="B249" s="2" t="s">
        <v>1139</v>
      </c>
      <c r="C249" s="2" t="s">
        <v>324</v>
      </c>
      <c r="D249" s="2" t="s">
        <v>1140</v>
      </c>
      <c r="E249" s="2" t="s">
        <v>1141</v>
      </c>
      <c r="F249" s="2" t="s">
        <v>1142</v>
      </c>
      <c r="G249" s="2" t="s">
        <v>1143</v>
      </c>
      <c r="H249" s="2" t="s">
        <v>1144</v>
      </c>
      <c r="I249" s="2" t="s">
        <v>1145</v>
      </c>
      <c r="J249" s="2" t="s">
        <v>1146</v>
      </c>
      <c r="K249" s="2" t="s">
        <v>338</v>
      </c>
      <c r="L249" s="3">
        <v>15.6</v>
      </c>
      <c r="M249" s="3">
        <v>16.38</v>
      </c>
      <c r="N249" s="3">
        <v>34.99</v>
      </c>
      <c r="O249" s="2" t="s">
        <v>232</v>
      </c>
      <c r="P249" s="2" t="s">
        <v>878</v>
      </c>
      <c r="Q249" s="2" t="s">
        <v>234</v>
      </c>
      <c r="R249" s="2" t="s">
        <v>235</v>
      </c>
      <c r="S249" s="2" t="s">
        <v>235</v>
      </c>
      <c r="T249" s="2" t="s">
        <v>879</v>
      </c>
      <c r="U249" s="2" t="s">
        <v>807</v>
      </c>
      <c r="V249" s="2" t="s">
        <v>1147</v>
      </c>
      <c r="W249" s="2" t="s">
        <v>682</v>
      </c>
      <c r="X249" s="2" t="s">
        <v>235</v>
      </c>
      <c r="Y249" s="2" t="s">
        <v>235</v>
      </c>
      <c r="Z249" s="4"/>
      <c r="AA249" s="4">
        <f>=ROUNDDOWN({0},0)</f>
      </c>
      <c r="AB249" s="5"/>
      <c r="AC249" s="2" t="s">
        <v>235</v>
      </c>
      <c r="AD249" s="4"/>
      <c r="AE249" s="4"/>
      <c r="AF249" s="6"/>
      <c r="AG249" s="6"/>
      <c r="AH249" s="7"/>
      <c r="AI249" s="4"/>
      <c r="AJ249" s="4">
        <f>=ROUNDDOWN({0},0)</f>
      </c>
      <c r="AK249" s="5"/>
      <c r="AL249" s="2" t="s">
        <v>235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235</v>
      </c>
      <c r="AW249" s="8" t="s">
        <v>235</v>
      </c>
      <c r="AX249" s="4" t="s">
        <v>235</v>
      </c>
      <c r="AY249" s="8" t="s">
        <v>235</v>
      </c>
      <c r="AZ249" s="7" t="s">
        <v>235</v>
      </c>
      <c r="BA249" s="7" t="s">
        <v>235</v>
      </c>
      <c r="BB249" s="7"/>
      <c r="BC249" s="4" t="s">
        <v>235</v>
      </c>
      <c r="BD249" s="8" t="s">
        <v>235</v>
      </c>
      <c r="BE249" s="4" t="s">
        <v>235</v>
      </c>
      <c r="BF249" s="8" t="s">
        <v>235</v>
      </c>
      <c r="BG249" s="7" t="s">
        <v>235</v>
      </c>
      <c r="BH249" s="7" t="s">
        <v>235</v>
      </c>
      <c r="BI249" s="7"/>
      <c r="BJ249" s="4"/>
      <c r="BK249" s="8"/>
      <c r="BL249" s="2" t="s">
        <v>235</v>
      </c>
      <c r="BM249" s="7"/>
      <c r="BN249" s="7"/>
      <c r="BO249" s="4"/>
      <c r="BP249" s="8"/>
      <c r="BQ249" s="4"/>
      <c r="BR249" s="8"/>
      <c r="BS249" s="7"/>
      <c r="BT249" s="7"/>
      <c r="BU249" s="2" t="s">
        <v>330</v>
      </c>
      <c r="BV249" s="2" t="s">
        <v>235</v>
      </c>
      <c r="BW249" s="2" t="s">
        <v>235</v>
      </c>
      <c r="BX249" s="2" t="s">
        <v>330</v>
      </c>
      <c r="BY249" s="2" t="s">
        <v>331</v>
      </c>
      <c r="BZ249" s="2" t="s">
        <v>232</v>
      </c>
      <c r="CA249" s="2" t="s">
        <v>235</v>
      </c>
      <c r="CB249" s="2" t="s">
        <v>235</v>
      </c>
      <c r="CC249" s="2" t="s">
        <v>248</v>
      </c>
      <c r="CD249" s="2" t="s">
        <v>248</v>
      </c>
      <c r="CE249" s="2" t="s">
        <v>235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</row>
    <row r="250">
      <c r="A250" s="2" t="s">
        <v>1164</v>
      </c>
      <c r="B250" s="2" t="s">
        <v>1139</v>
      </c>
      <c r="C250" s="2" t="s">
        <v>324</v>
      </c>
      <c r="D250" s="2" t="s">
        <v>1140</v>
      </c>
      <c r="E250" s="2" t="s">
        <v>1141</v>
      </c>
      <c r="F250" s="2" t="s">
        <v>1142</v>
      </c>
      <c r="G250" s="2" t="s">
        <v>1143</v>
      </c>
      <c r="H250" s="2" t="s">
        <v>1144</v>
      </c>
      <c r="I250" s="2" t="s">
        <v>1145</v>
      </c>
      <c r="J250" s="2" t="s">
        <v>1165</v>
      </c>
      <c r="K250" s="2" t="s">
        <v>338</v>
      </c>
      <c r="L250" s="3">
        <v>13.2</v>
      </c>
      <c r="M250" s="3">
        <v>13.86</v>
      </c>
      <c r="N250" s="3">
        <v>29.99</v>
      </c>
      <c r="O250" s="2" t="s">
        <v>232</v>
      </c>
      <c r="P250" s="2" t="s">
        <v>878</v>
      </c>
      <c r="Q250" s="2" t="s">
        <v>234</v>
      </c>
      <c r="R250" s="2" t="s">
        <v>235</v>
      </c>
      <c r="S250" s="2" t="s">
        <v>235</v>
      </c>
      <c r="T250" s="2" t="s">
        <v>879</v>
      </c>
      <c r="U250" s="2" t="s">
        <v>807</v>
      </c>
      <c r="V250" s="2" t="s">
        <v>1147</v>
      </c>
      <c r="W250" s="2" t="s">
        <v>682</v>
      </c>
      <c r="X250" s="2" t="s">
        <v>235</v>
      </c>
      <c r="Y250" s="2" t="s">
        <v>235</v>
      </c>
      <c r="Z250" s="4"/>
      <c r="AA250" s="4">
        <f>=ROUNDDOWN({0},0)</f>
      </c>
      <c r="AB250" s="5"/>
      <c r="AC250" s="2" t="s">
        <v>235</v>
      </c>
      <c r="AD250" s="4"/>
      <c r="AE250" s="4"/>
      <c r="AF250" s="6"/>
      <c r="AG250" s="6"/>
      <c r="AH250" s="7"/>
      <c r="AI250" s="4"/>
      <c r="AJ250" s="4">
        <f>=ROUNDDOWN({0},0)</f>
      </c>
      <c r="AK250" s="5"/>
      <c r="AL250" s="2" t="s">
        <v>235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235</v>
      </c>
      <c r="AW250" s="8" t="s">
        <v>235</v>
      </c>
      <c r="AX250" s="4" t="s">
        <v>235</v>
      </c>
      <c r="AY250" s="8" t="s">
        <v>235</v>
      </c>
      <c r="AZ250" s="7" t="s">
        <v>235</v>
      </c>
      <c r="BA250" s="7" t="s">
        <v>235</v>
      </c>
      <c r="BB250" s="7"/>
      <c r="BC250" s="4" t="s">
        <v>235</v>
      </c>
      <c r="BD250" s="8" t="s">
        <v>235</v>
      </c>
      <c r="BE250" s="4" t="s">
        <v>235</v>
      </c>
      <c r="BF250" s="8" t="s">
        <v>235</v>
      </c>
      <c r="BG250" s="7" t="s">
        <v>235</v>
      </c>
      <c r="BH250" s="7" t="s">
        <v>235</v>
      </c>
      <c r="BI250" s="7"/>
      <c r="BJ250" s="4"/>
      <c r="BK250" s="8"/>
      <c r="BL250" s="2" t="s">
        <v>235</v>
      </c>
      <c r="BM250" s="7"/>
      <c r="BN250" s="7"/>
      <c r="BO250" s="4"/>
      <c r="BP250" s="8"/>
      <c r="BQ250" s="4"/>
      <c r="BR250" s="8"/>
      <c r="BS250" s="7"/>
      <c r="BT250" s="7"/>
      <c r="BU250" s="2" t="s">
        <v>330</v>
      </c>
      <c r="BV250" s="2" t="s">
        <v>235</v>
      </c>
      <c r="BW250" s="2" t="s">
        <v>235</v>
      </c>
      <c r="BX250" s="2" t="s">
        <v>330</v>
      </c>
      <c r="BY250" s="2" t="s">
        <v>331</v>
      </c>
      <c r="BZ250" s="2" t="s">
        <v>232</v>
      </c>
      <c r="CA250" s="2" t="s">
        <v>235</v>
      </c>
      <c r="CB250" s="2" t="s">
        <v>235</v>
      </c>
      <c r="CC250" s="2" t="s">
        <v>248</v>
      </c>
      <c r="CD250" s="2" t="s">
        <v>248</v>
      </c>
      <c r="CE250" s="2" t="s">
        <v>235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</row>
    <row r="251">
      <c r="A251" s="2" t="s">
        <v>1166</v>
      </c>
      <c r="B251" s="2" t="s">
        <v>1139</v>
      </c>
      <c r="C251" s="2" t="s">
        <v>324</v>
      </c>
      <c r="D251" s="2" t="s">
        <v>1140</v>
      </c>
      <c r="E251" s="2" t="s">
        <v>1141</v>
      </c>
      <c r="F251" s="2" t="s">
        <v>1142</v>
      </c>
      <c r="G251" s="2" t="s">
        <v>1143</v>
      </c>
      <c r="H251" s="2" t="s">
        <v>1144</v>
      </c>
      <c r="I251" s="2" t="s">
        <v>1145</v>
      </c>
      <c r="J251" s="2" t="s">
        <v>1146</v>
      </c>
      <c r="K251" s="2" t="s">
        <v>1167</v>
      </c>
      <c r="L251" s="3">
        <v>15.6</v>
      </c>
      <c r="M251" s="3">
        <v>16.38</v>
      </c>
      <c r="N251" s="3">
        <v>34.99</v>
      </c>
      <c r="O251" s="2" t="s">
        <v>232</v>
      </c>
      <c r="P251" s="2" t="s">
        <v>878</v>
      </c>
      <c r="Q251" s="2" t="s">
        <v>234</v>
      </c>
      <c r="R251" s="2" t="s">
        <v>235</v>
      </c>
      <c r="S251" s="2" t="s">
        <v>235</v>
      </c>
      <c r="T251" s="2" t="s">
        <v>879</v>
      </c>
      <c r="U251" s="2" t="s">
        <v>807</v>
      </c>
      <c r="V251" s="2" t="s">
        <v>1147</v>
      </c>
      <c r="W251" s="2" t="s">
        <v>682</v>
      </c>
      <c r="X251" s="2" t="s">
        <v>235</v>
      </c>
      <c r="Y251" s="2" t="s">
        <v>235</v>
      </c>
      <c r="Z251" s="4"/>
      <c r="AA251" s="4">
        <f>=ROUNDDOWN({0},0)</f>
      </c>
      <c r="AB251" s="5"/>
      <c r="AC251" s="2" t="s">
        <v>1148</v>
      </c>
      <c r="AD251" s="4">
        <v>240</v>
      </c>
      <c r="AE251" s="4">
        <v>240</v>
      </c>
      <c r="AF251" s="6">
        <v>65</v>
      </c>
      <c r="AG251" s="6"/>
      <c r="AH251" s="7"/>
      <c r="AI251" s="4"/>
      <c r="AJ251" s="4">
        <f>=ROUNDDOWN({0},0)</f>
      </c>
      <c r="AK251" s="5"/>
      <c r="AL251" s="2" t="s">
        <v>235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235</v>
      </c>
      <c r="BD251" s="8" t="s">
        <v>235</v>
      </c>
      <c r="BE251" s="4" t="s">
        <v>235</v>
      </c>
      <c r="BF251" s="8" t="s">
        <v>235</v>
      </c>
      <c r="BG251" s="7" t="s">
        <v>235</v>
      </c>
      <c r="BH251" s="7" t="s">
        <v>235</v>
      </c>
      <c r="BI251" s="7"/>
      <c r="BJ251" s="4"/>
      <c r="BK251" s="8"/>
      <c r="BL251" s="2" t="s">
        <v>235</v>
      </c>
      <c r="BM251" s="7"/>
      <c r="BN251" s="7"/>
      <c r="BO251" s="4"/>
      <c r="BP251" s="8"/>
      <c r="BQ251" s="4"/>
      <c r="BR251" s="8"/>
      <c r="BS251" s="7"/>
      <c r="BT251" s="7"/>
      <c r="BU251" s="2" t="s">
        <v>330</v>
      </c>
      <c r="BV251" s="2" t="s">
        <v>235</v>
      </c>
      <c r="BW251" s="2" t="s">
        <v>235</v>
      </c>
      <c r="BX251" s="2" t="s">
        <v>330</v>
      </c>
      <c r="BY251" s="2" t="s">
        <v>331</v>
      </c>
      <c r="BZ251" s="2" t="s">
        <v>232</v>
      </c>
      <c r="CA251" s="2" t="s">
        <v>235</v>
      </c>
      <c r="CB251" s="2" t="s">
        <v>235</v>
      </c>
      <c r="CC251" s="2" t="s">
        <v>248</v>
      </c>
      <c r="CD251" s="2" t="s">
        <v>248</v>
      </c>
      <c r="CE251" s="2" t="s">
        <v>235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>
        <v>240</v>
      </c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>
        <v>240</v>
      </c>
      <c r="GI251" s="4">
        <v>240</v>
      </c>
      <c r="GJ251" s="4">
        <v>240</v>
      </c>
      <c r="GK251" s="4">
        <v>240</v>
      </c>
      <c r="GL251" s="4">
        <v>240</v>
      </c>
      <c r="GM251" s="4">
        <v>240</v>
      </c>
      <c r="GN251" s="4">
        <v>240</v>
      </c>
      <c r="GO251" s="4">
        <v>240</v>
      </c>
      <c r="GP251" s="4">
        <v>240</v>
      </c>
      <c r="GQ251" s="4">
        <v>240</v>
      </c>
      <c r="GR251" s="4">
        <v>240</v>
      </c>
      <c r="GS251" s="4">
        <v>240</v>
      </c>
      <c r="GT251" s="4">
        <v>240</v>
      </c>
      <c r="GU251" s="4">
        <v>240</v>
      </c>
      <c r="GV251" s="4">
        <v>240</v>
      </c>
      <c r="GW251" s="4">
        <v>240</v>
      </c>
      <c r="GX251" s="4">
        <v>240</v>
      </c>
      <c r="GY251" s="4">
        <v>240</v>
      </c>
      <c r="GZ251" s="4">
        <v>240</v>
      </c>
      <c r="HA251" s="4">
        <v>240</v>
      </c>
      <c r="HB251" s="4">
        <v>240</v>
      </c>
      <c r="HC251" s="4">
        <v>240</v>
      </c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</row>
    <row r="252">
      <c r="A252" s="2" t="s">
        <v>1168</v>
      </c>
      <c r="B252" s="2" t="s">
        <v>1139</v>
      </c>
      <c r="C252" s="2" t="s">
        <v>324</v>
      </c>
      <c r="D252" s="2" t="s">
        <v>1140</v>
      </c>
      <c r="E252" s="2" t="s">
        <v>1141</v>
      </c>
      <c r="F252" s="2" t="s">
        <v>1142</v>
      </c>
      <c r="G252" s="2" t="s">
        <v>1143</v>
      </c>
      <c r="H252" s="2" t="s">
        <v>1144</v>
      </c>
      <c r="I252" s="2" t="s">
        <v>1145</v>
      </c>
      <c r="J252" s="2" t="s">
        <v>1146</v>
      </c>
      <c r="K252" s="2" t="s">
        <v>1169</v>
      </c>
      <c r="L252" s="3">
        <v>15.6</v>
      </c>
      <c r="M252" s="3">
        <v>16.38</v>
      </c>
      <c r="N252" s="3">
        <v>34.99</v>
      </c>
      <c r="O252" s="2" t="s">
        <v>232</v>
      </c>
      <c r="P252" s="2" t="s">
        <v>878</v>
      </c>
      <c r="Q252" s="2" t="s">
        <v>234</v>
      </c>
      <c r="R252" s="2" t="s">
        <v>235</v>
      </c>
      <c r="S252" s="2" t="s">
        <v>235</v>
      </c>
      <c r="T252" s="2" t="s">
        <v>879</v>
      </c>
      <c r="U252" s="2" t="s">
        <v>807</v>
      </c>
      <c r="V252" s="2" t="s">
        <v>1147</v>
      </c>
      <c r="W252" s="2" t="s">
        <v>682</v>
      </c>
      <c r="X252" s="2" t="s">
        <v>235</v>
      </c>
      <c r="Y252" s="2" t="s">
        <v>235</v>
      </c>
      <c r="Z252" s="4"/>
      <c r="AA252" s="4">
        <f>=ROUNDDOWN({0},0)</f>
      </c>
      <c r="AB252" s="5"/>
      <c r="AC252" s="2" t="s">
        <v>1148</v>
      </c>
      <c r="AD252" s="4">
        <v>440</v>
      </c>
      <c r="AE252" s="4">
        <v>440</v>
      </c>
      <c r="AF252" s="6">
        <v>65</v>
      </c>
      <c r="AG252" s="6"/>
      <c r="AH252" s="7"/>
      <c r="AI252" s="4"/>
      <c r="AJ252" s="4">
        <f>=ROUNDDOWN({0},0)</f>
      </c>
      <c r="AK252" s="5"/>
      <c r="AL252" s="2" t="s">
        <v>235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235</v>
      </c>
      <c r="BD252" s="8" t="s">
        <v>235</v>
      </c>
      <c r="BE252" s="4" t="s">
        <v>235</v>
      </c>
      <c r="BF252" s="8" t="s">
        <v>235</v>
      </c>
      <c r="BG252" s="7" t="s">
        <v>235</v>
      </c>
      <c r="BH252" s="7" t="s">
        <v>235</v>
      </c>
      <c r="BI252" s="7"/>
      <c r="BJ252" s="4"/>
      <c r="BK252" s="8"/>
      <c r="BL252" s="2" t="s">
        <v>235</v>
      </c>
      <c r="BM252" s="7"/>
      <c r="BN252" s="7"/>
      <c r="BO252" s="4"/>
      <c r="BP252" s="8"/>
      <c r="BQ252" s="4"/>
      <c r="BR252" s="8"/>
      <c r="BS252" s="7"/>
      <c r="BT252" s="7"/>
      <c r="BU252" s="2" t="s">
        <v>330</v>
      </c>
      <c r="BV252" s="2" t="s">
        <v>235</v>
      </c>
      <c r="BW252" s="2" t="s">
        <v>235</v>
      </c>
      <c r="BX252" s="2" t="s">
        <v>330</v>
      </c>
      <c r="BY252" s="2" t="s">
        <v>331</v>
      </c>
      <c r="BZ252" s="2" t="s">
        <v>232</v>
      </c>
      <c r="CA252" s="2" t="s">
        <v>235</v>
      </c>
      <c r="CB252" s="2" t="s">
        <v>235</v>
      </c>
      <c r="CC252" s="2" t="s">
        <v>248</v>
      </c>
      <c r="CD252" s="2" t="s">
        <v>248</v>
      </c>
      <c r="CE252" s="2" t="s">
        <v>235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>
        <v>440</v>
      </c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>
        <v>440</v>
      </c>
      <c r="GI252" s="4">
        <v>440</v>
      </c>
      <c r="GJ252" s="4">
        <v>440</v>
      </c>
      <c r="GK252" s="4">
        <v>440</v>
      </c>
      <c r="GL252" s="4">
        <v>440</v>
      </c>
      <c r="GM252" s="4">
        <v>440</v>
      </c>
      <c r="GN252" s="4">
        <v>440</v>
      </c>
      <c r="GO252" s="4">
        <v>440</v>
      </c>
      <c r="GP252" s="4">
        <v>440</v>
      </c>
      <c r="GQ252" s="4">
        <v>440</v>
      </c>
      <c r="GR252" s="4">
        <v>440</v>
      </c>
      <c r="GS252" s="4">
        <v>440</v>
      </c>
      <c r="GT252" s="4">
        <v>440</v>
      </c>
      <c r="GU252" s="4">
        <v>440</v>
      </c>
      <c r="GV252" s="4">
        <v>440</v>
      </c>
      <c r="GW252" s="4">
        <v>440</v>
      </c>
      <c r="GX252" s="4">
        <v>440</v>
      </c>
      <c r="GY252" s="4">
        <v>440</v>
      </c>
      <c r="GZ252" s="4">
        <v>440</v>
      </c>
      <c r="HA252" s="4">
        <v>440</v>
      </c>
      <c r="HB252" s="4">
        <v>440</v>
      </c>
      <c r="HC252" s="4">
        <v>440</v>
      </c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</row>
    <row r="253">
      <c r="A253" s="2" t="s">
        <v>1170</v>
      </c>
      <c r="B253" s="2" t="s">
        <v>1139</v>
      </c>
      <c r="C253" s="2" t="s">
        <v>324</v>
      </c>
      <c r="D253" s="2" t="s">
        <v>1140</v>
      </c>
      <c r="E253" s="2" t="s">
        <v>1141</v>
      </c>
      <c r="F253" s="2" t="s">
        <v>1142</v>
      </c>
      <c r="G253" s="2" t="s">
        <v>1143</v>
      </c>
      <c r="H253" s="2" t="s">
        <v>1144</v>
      </c>
      <c r="I253" s="2" t="s">
        <v>1145</v>
      </c>
      <c r="J253" s="2" t="s">
        <v>1146</v>
      </c>
      <c r="K253" s="2" t="s">
        <v>600</v>
      </c>
      <c r="L253" s="3">
        <v>15.6</v>
      </c>
      <c r="M253" s="3">
        <v>16.38</v>
      </c>
      <c r="N253" s="3">
        <v>34.99</v>
      </c>
      <c r="O253" s="2" t="s">
        <v>232</v>
      </c>
      <c r="P253" s="2" t="s">
        <v>878</v>
      </c>
      <c r="Q253" s="2" t="s">
        <v>234</v>
      </c>
      <c r="R253" s="2" t="s">
        <v>235</v>
      </c>
      <c r="S253" s="2" t="s">
        <v>235</v>
      </c>
      <c r="T253" s="2" t="s">
        <v>879</v>
      </c>
      <c r="U253" s="2" t="s">
        <v>807</v>
      </c>
      <c r="V253" s="2" t="s">
        <v>1147</v>
      </c>
      <c r="W253" s="2" t="s">
        <v>682</v>
      </c>
      <c r="X253" s="2" t="s">
        <v>235</v>
      </c>
      <c r="Y253" s="2" t="s">
        <v>235</v>
      </c>
      <c r="Z253" s="4"/>
      <c r="AA253" s="4">
        <f>=ROUNDDOWN({0},0)</f>
      </c>
      <c r="AB253" s="5"/>
      <c r="AC253" s="2" t="s">
        <v>1148</v>
      </c>
      <c r="AD253" s="4">
        <v>820</v>
      </c>
      <c r="AE253" s="4">
        <v>820</v>
      </c>
      <c r="AF253" s="6">
        <v>65</v>
      </c>
      <c r="AG253" s="6"/>
      <c r="AH253" s="7"/>
      <c r="AI253" s="4"/>
      <c r="AJ253" s="4">
        <f>=ROUNDDOWN({0},0)</f>
      </c>
      <c r="AK253" s="5"/>
      <c r="AL253" s="2" t="s">
        <v>235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235</v>
      </c>
      <c r="BD253" s="8" t="s">
        <v>235</v>
      </c>
      <c r="BE253" s="4" t="s">
        <v>235</v>
      </c>
      <c r="BF253" s="8" t="s">
        <v>235</v>
      </c>
      <c r="BG253" s="7" t="s">
        <v>235</v>
      </c>
      <c r="BH253" s="7" t="s">
        <v>235</v>
      </c>
      <c r="BI253" s="7"/>
      <c r="BJ253" s="4"/>
      <c r="BK253" s="8"/>
      <c r="BL253" s="2" t="s">
        <v>235</v>
      </c>
      <c r="BM253" s="7"/>
      <c r="BN253" s="7"/>
      <c r="BO253" s="4"/>
      <c r="BP253" s="8"/>
      <c r="BQ253" s="4"/>
      <c r="BR253" s="8"/>
      <c r="BS253" s="7"/>
      <c r="BT253" s="7"/>
      <c r="BU253" s="2" t="s">
        <v>330</v>
      </c>
      <c r="BV253" s="2" t="s">
        <v>235</v>
      </c>
      <c r="BW253" s="2" t="s">
        <v>235</v>
      </c>
      <c r="BX253" s="2" t="s">
        <v>330</v>
      </c>
      <c r="BY253" s="2" t="s">
        <v>331</v>
      </c>
      <c r="BZ253" s="2" t="s">
        <v>232</v>
      </c>
      <c r="CA253" s="2" t="s">
        <v>235</v>
      </c>
      <c r="CB253" s="2" t="s">
        <v>235</v>
      </c>
      <c r="CC253" s="2" t="s">
        <v>248</v>
      </c>
      <c r="CD253" s="2" t="s">
        <v>248</v>
      </c>
      <c r="CE253" s="2" t="s">
        <v>235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>
        <v>820</v>
      </c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>
        <v>820</v>
      </c>
      <c r="GI253" s="4">
        <v>820</v>
      </c>
      <c r="GJ253" s="4">
        <v>820</v>
      </c>
      <c r="GK253" s="4">
        <v>820</v>
      </c>
      <c r="GL253" s="4">
        <v>820</v>
      </c>
      <c r="GM253" s="4">
        <v>820</v>
      </c>
      <c r="GN253" s="4">
        <v>820</v>
      </c>
      <c r="GO253" s="4">
        <v>820</v>
      </c>
      <c r="GP253" s="4">
        <v>820</v>
      </c>
      <c r="GQ253" s="4">
        <v>820</v>
      </c>
      <c r="GR253" s="4">
        <v>820</v>
      </c>
      <c r="GS253" s="4">
        <v>820</v>
      </c>
      <c r="GT253" s="4">
        <v>820</v>
      </c>
      <c r="GU253" s="4">
        <v>820</v>
      </c>
      <c r="GV253" s="4">
        <v>820</v>
      </c>
      <c r="GW253" s="4">
        <v>820</v>
      </c>
      <c r="GX253" s="4">
        <v>820</v>
      </c>
      <c r="GY253" s="4">
        <v>820</v>
      </c>
      <c r="GZ253" s="4">
        <v>820</v>
      </c>
      <c r="HA253" s="4">
        <v>820</v>
      </c>
      <c r="HB253" s="4">
        <v>820</v>
      </c>
      <c r="HC253" s="4">
        <v>820</v>
      </c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</row>
    <row r="254">
      <c r="A254" s="2" t="s">
        <v>1171</v>
      </c>
      <c r="B254" s="2" t="s">
        <v>1139</v>
      </c>
      <c r="C254" s="2" t="s">
        <v>324</v>
      </c>
      <c r="D254" s="2" t="s">
        <v>1140</v>
      </c>
      <c r="E254" s="2" t="s">
        <v>1141</v>
      </c>
      <c r="F254" s="2" t="s">
        <v>1142</v>
      </c>
      <c r="G254" s="2" t="s">
        <v>1143</v>
      </c>
      <c r="H254" s="2" t="s">
        <v>1144</v>
      </c>
      <c r="I254" s="2" t="s">
        <v>1145</v>
      </c>
      <c r="J254" s="2" t="s">
        <v>1146</v>
      </c>
      <c r="K254" s="2" t="s">
        <v>1172</v>
      </c>
      <c r="L254" s="3">
        <v>15.6</v>
      </c>
      <c r="M254" s="3">
        <v>16.38</v>
      </c>
      <c r="N254" s="3">
        <v>34.99</v>
      </c>
      <c r="O254" s="2" t="s">
        <v>232</v>
      </c>
      <c r="P254" s="2" t="s">
        <v>878</v>
      </c>
      <c r="Q254" s="2" t="s">
        <v>234</v>
      </c>
      <c r="R254" s="2" t="s">
        <v>235</v>
      </c>
      <c r="S254" s="2" t="s">
        <v>235</v>
      </c>
      <c r="T254" s="2" t="s">
        <v>879</v>
      </c>
      <c r="U254" s="2" t="s">
        <v>807</v>
      </c>
      <c r="V254" s="2" t="s">
        <v>1147</v>
      </c>
      <c r="W254" s="2" t="s">
        <v>682</v>
      </c>
      <c r="X254" s="2" t="s">
        <v>235</v>
      </c>
      <c r="Y254" s="2" t="s">
        <v>235</v>
      </c>
      <c r="Z254" s="4"/>
      <c r="AA254" s="4">
        <f>=ROUNDDOWN({0},0)</f>
      </c>
      <c r="AB254" s="5"/>
      <c r="AC254" s="2" t="s">
        <v>235</v>
      </c>
      <c r="AD254" s="4"/>
      <c r="AE254" s="4"/>
      <c r="AF254" s="6"/>
      <c r="AG254" s="6"/>
      <c r="AH254" s="7"/>
      <c r="AI254" s="4"/>
      <c r="AJ254" s="4">
        <f>=ROUNDDOWN({0},0)</f>
      </c>
      <c r="AK254" s="5"/>
      <c r="AL254" s="2" t="s">
        <v>235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235</v>
      </c>
      <c r="AW254" s="8" t="s">
        <v>235</v>
      </c>
      <c r="AX254" s="4" t="s">
        <v>235</v>
      </c>
      <c r="AY254" s="8" t="s">
        <v>235</v>
      </c>
      <c r="AZ254" s="7" t="s">
        <v>235</v>
      </c>
      <c r="BA254" s="7" t="s">
        <v>235</v>
      </c>
      <c r="BB254" s="7"/>
      <c r="BC254" s="4" t="s">
        <v>235</v>
      </c>
      <c r="BD254" s="8" t="s">
        <v>235</v>
      </c>
      <c r="BE254" s="4" t="s">
        <v>235</v>
      </c>
      <c r="BF254" s="8" t="s">
        <v>235</v>
      </c>
      <c r="BG254" s="7" t="s">
        <v>235</v>
      </c>
      <c r="BH254" s="7" t="s">
        <v>235</v>
      </c>
      <c r="BI254" s="7"/>
      <c r="BJ254" s="4"/>
      <c r="BK254" s="8"/>
      <c r="BL254" s="2" t="s">
        <v>235</v>
      </c>
      <c r="BM254" s="7"/>
      <c r="BN254" s="7"/>
      <c r="BO254" s="4"/>
      <c r="BP254" s="8"/>
      <c r="BQ254" s="4"/>
      <c r="BR254" s="8"/>
      <c r="BS254" s="7"/>
      <c r="BT254" s="7"/>
      <c r="BU254" s="2" t="s">
        <v>330</v>
      </c>
      <c r="BV254" s="2" t="s">
        <v>235</v>
      </c>
      <c r="BW254" s="2" t="s">
        <v>235</v>
      </c>
      <c r="BX254" s="2" t="s">
        <v>330</v>
      </c>
      <c r="BY254" s="2" t="s">
        <v>331</v>
      </c>
      <c r="BZ254" s="2" t="s">
        <v>232</v>
      </c>
      <c r="CA254" s="2" t="s">
        <v>235</v>
      </c>
      <c r="CB254" s="2" t="s">
        <v>235</v>
      </c>
      <c r="CC254" s="2" t="s">
        <v>248</v>
      </c>
      <c r="CD254" s="2" t="s">
        <v>248</v>
      </c>
      <c r="CE254" s="2" t="s">
        <v>235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</row>
    <row r="255">
      <c r="A255" s="2" t="s">
        <v>1173</v>
      </c>
      <c r="B255" s="2" t="s">
        <v>1139</v>
      </c>
      <c r="C255" s="2" t="s">
        <v>324</v>
      </c>
      <c r="D255" s="2" t="s">
        <v>1140</v>
      </c>
      <c r="E255" s="2" t="s">
        <v>1141</v>
      </c>
      <c r="F255" s="2" t="s">
        <v>1142</v>
      </c>
      <c r="G255" s="2" t="s">
        <v>1143</v>
      </c>
      <c r="H255" s="2" t="s">
        <v>1144</v>
      </c>
      <c r="I255" s="2" t="s">
        <v>1145</v>
      </c>
      <c r="J255" s="2" t="s">
        <v>1165</v>
      </c>
      <c r="K255" s="2" t="s">
        <v>1172</v>
      </c>
      <c r="L255" s="3">
        <v>13.2</v>
      </c>
      <c r="M255" s="3">
        <v>13.86</v>
      </c>
      <c r="N255" s="3">
        <v>29.99</v>
      </c>
      <c r="O255" s="2" t="s">
        <v>232</v>
      </c>
      <c r="P255" s="2" t="s">
        <v>878</v>
      </c>
      <c r="Q255" s="2" t="s">
        <v>234</v>
      </c>
      <c r="R255" s="2" t="s">
        <v>235</v>
      </c>
      <c r="S255" s="2" t="s">
        <v>235</v>
      </c>
      <c r="T255" s="2" t="s">
        <v>879</v>
      </c>
      <c r="U255" s="2" t="s">
        <v>807</v>
      </c>
      <c r="V255" s="2" t="s">
        <v>1147</v>
      </c>
      <c r="W255" s="2" t="s">
        <v>682</v>
      </c>
      <c r="X255" s="2" t="s">
        <v>235</v>
      </c>
      <c r="Y255" s="2" t="s">
        <v>235</v>
      </c>
      <c r="Z255" s="4"/>
      <c r="AA255" s="4">
        <f>=ROUNDDOWN({0},0)</f>
      </c>
      <c r="AB255" s="5"/>
      <c r="AC255" s="2" t="s">
        <v>235</v>
      </c>
      <c r="AD255" s="4"/>
      <c r="AE255" s="4"/>
      <c r="AF255" s="6"/>
      <c r="AG255" s="6"/>
      <c r="AH255" s="7"/>
      <c r="AI255" s="4"/>
      <c r="AJ255" s="4">
        <f>=ROUNDDOWN({0},0)</f>
      </c>
      <c r="AK255" s="5"/>
      <c r="AL255" s="2" t="s">
        <v>235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235</v>
      </c>
      <c r="AW255" s="8" t="s">
        <v>235</v>
      </c>
      <c r="AX255" s="4" t="s">
        <v>235</v>
      </c>
      <c r="AY255" s="8" t="s">
        <v>235</v>
      </c>
      <c r="AZ255" s="7" t="s">
        <v>235</v>
      </c>
      <c r="BA255" s="7" t="s">
        <v>235</v>
      </c>
      <c r="BB255" s="7"/>
      <c r="BC255" s="4" t="s">
        <v>235</v>
      </c>
      <c r="BD255" s="8" t="s">
        <v>235</v>
      </c>
      <c r="BE255" s="4" t="s">
        <v>235</v>
      </c>
      <c r="BF255" s="8" t="s">
        <v>235</v>
      </c>
      <c r="BG255" s="7" t="s">
        <v>235</v>
      </c>
      <c r="BH255" s="7" t="s">
        <v>235</v>
      </c>
      <c r="BI255" s="7"/>
      <c r="BJ255" s="4"/>
      <c r="BK255" s="8"/>
      <c r="BL255" s="2" t="s">
        <v>235</v>
      </c>
      <c r="BM255" s="7"/>
      <c r="BN255" s="7"/>
      <c r="BO255" s="4"/>
      <c r="BP255" s="8"/>
      <c r="BQ255" s="4"/>
      <c r="BR255" s="8"/>
      <c r="BS255" s="7"/>
      <c r="BT255" s="7"/>
      <c r="BU255" s="2" t="s">
        <v>330</v>
      </c>
      <c r="BV255" s="2" t="s">
        <v>235</v>
      </c>
      <c r="BW255" s="2" t="s">
        <v>235</v>
      </c>
      <c r="BX255" s="2" t="s">
        <v>330</v>
      </c>
      <c r="BY255" s="2" t="s">
        <v>331</v>
      </c>
      <c r="BZ255" s="2" t="s">
        <v>232</v>
      </c>
      <c r="CA255" s="2" t="s">
        <v>235</v>
      </c>
      <c r="CB255" s="2" t="s">
        <v>235</v>
      </c>
      <c r="CC255" s="2" t="s">
        <v>248</v>
      </c>
      <c r="CD255" s="2" t="s">
        <v>248</v>
      </c>
      <c r="CE255" s="2" t="s">
        <v>235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</row>
    <row r="256">
      <c r="A256" s="2" t="s">
        <v>1174</v>
      </c>
      <c r="B256" s="2" t="s">
        <v>1139</v>
      </c>
      <c r="C256" s="2" t="s">
        <v>324</v>
      </c>
      <c r="D256" s="2" t="s">
        <v>1140</v>
      </c>
      <c r="E256" s="2" t="s">
        <v>1141</v>
      </c>
      <c r="F256" s="2" t="s">
        <v>1142</v>
      </c>
      <c r="G256" s="2" t="s">
        <v>1143</v>
      </c>
      <c r="H256" s="2" t="s">
        <v>1144</v>
      </c>
      <c r="I256" s="2" t="s">
        <v>1145</v>
      </c>
      <c r="J256" s="2" t="s">
        <v>1146</v>
      </c>
      <c r="K256" s="2" t="s">
        <v>1062</v>
      </c>
      <c r="L256" s="3">
        <v>15.6</v>
      </c>
      <c r="M256" s="3">
        <v>16.38</v>
      </c>
      <c r="N256" s="3">
        <v>34.99</v>
      </c>
      <c r="O256" s="2" t="s">
        <v>232</v>
      </c>
      <c r="P256" s="2" t="s">
        <v>878</v>
      </c>
      <c r="Q256" s="2" t="s">
        <v>234</v>
      </c>
      <c r="R256" s="2" t="s">
        <v>235</v>
      </c>
      <c r="S256" s="2" t="s">
        <v>235</v>
      </c>
      <c r="T256" s="2" t="s">
        <v>879</v>
      </c>
      <c r="U256" s="2" t="s">
        <v>807</v>
      </c>
      <c r="V256" s="2" t="s">
        <v>1147</v>
      </c>
      <c r="W256" s="2" t="s">
        <v>682</v>
      </c>
      <c r="X256" s="2" t="s">
        <v>235</v>
      </c>
      <c r="Y256" s="2" t="s">
        <v>235</v>
      </c>
      <c r="Z256" s="4"/>
      <c r="AA256" s="4">
        <f>=ROUNDDOWN({0},0)</f>
      </c>
      <c r="AB256" s="5"/>
      <c r="AC256" s="2" t="s">
        <v>1148</v>
      </c>
      <c r="AD256" s="4">
        <v>380</v>
      </c>
      <c r="AE256" s="4">
        <v>380</v>
      </c>
      <c r="AF256" s="6">
        <v>65</v>
      </c>
      <c r="AG256" s="6"/>
      <c r="AH256" s="7"/>
      <c r="AI256" s="4"/>
      <c r="AJ256" s="4">
        <f>=ROUNDDOWN({0},0)</f>
      </c>
      <c r="AK256" s="5"/>
      <c r="AL256" s="2" t="s">
        <v>235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235</v>
      </c>
      <c r="BD256" s="8" t="s">
        <v>235</v>
      </c>
      <c r="BE256" s="4" t="s">
        <v>235</v>
      </c>
      <c r="BF256" s="8" t="s">
        <v>235</v>
      </c>
      <c r="BG256" s="7" t="s">
        <v>235</v>
      </c>
      <c r="BH256" s="7" t="s">
        <v>235</v>
      </c>
      <c r="BI256" s="7"/>
      <c r="BJ256" s="4"/>
      <c r="BK256" s="8"/>
      <c r="BL256" s="2" t="s">
        <v>235</v>
      </c>
      <c r="BM256" s="7"/>
      <c r="BN256" s="7"/>
      <c r="BO256" s="4"/>
      <c r="BP256" s="8"/>
      <c r="BQ256" s="4"/>
      <c r="BR256" s="8"/>
      <c r="BS256" s="7"/>
      <c r="BT256" s="7"/>
      <c r="BU256" s="2" t="s">
        <v>330</v>
      </c>
      <c r="BV256" s="2" t="s">
        <v>235</v>
      </c>
      <c r="BW256" s="2" t="s">
        <v>235</v>
      </c>
      <c r="BX256" s="2" t="s">
        <v>330</v>
      </c>
      <c r="BY256" s="2" t="s">
        <v>331</v>
      </c>
      <c r="BZ256" s="2" t="s">
        <v>232</v>
      </c>
      <c r="CA256" s="2" t="s">
        <v>235</v>
      </c>
      <c r="CB256" s="2" t="s">
        <v>235</v>
      </c>
      <c r="CC256" s="2" t="s">
        <v>248</v>
      </c>
      <c r="CD256" s="2" t="s">
        <v>248</v>
      </c>
      <c r="CE256" s="2" t="s">
        <v>235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>
        <v>380</v>
      </c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>
        <v>380</v>
      </c>
      <c r="GI256" s="4">
        <v>380</v>
      </c>
      <c r="GJ256" s="4">
        <v>380</v>
      </c>
      <c r="GK256" s="4">
        <v>380</v>
      </c>
      <c r="GL256" s="4">
        <v>380</v>
      </c>
      <c r="GM256" s="4">
        <v>380</v>
      </c>
      <c r="GN256" s="4">
        <v>380</v>
      </c>
      <c r="GO256" s="4">
        <v>380</v>
      </c>
      <c r="GP256" s="4">
        <v>380</v>
      </c>
      <c r="GQ256" s="4">
        <v>380</v>
      </c>
      <c r="GR256" s="4">
        <v>380</v>
      </c>
      <c r="GS256" s="4">
        <v>380</v>
      </c>
      <c r="GT256" s="4">
        <v>380</v>
      </c>
      <c r="GU256" s="4">
        <v>380</v>
      </c>
      <c r="GV256" s="4">
        <v>380</v>
      </c>
      <c r="GW256" s="4">
        <v>380</v>
      </c>
      <c r="GX256" s="4">
        <v>380</v>
      </c>
      <c r="GY256" s="4">
        <v>380</v>
      </c>
      <c r="GZ256" s="4">
        <v>380</v>
      </c>
      <c r="HA256" s="4">
        <v>380</v>
      </c>
      <c r="HB256" s="4">
        <v>380</v>
      </c>
      <c r="HC256" s="4">
        <v>380</v>
      </c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</row>
    <row r="257">
      <c r="A257" s="2" t="s">
        <v>1175</v>
      </c>
      <c r="B257" s="2" t="s">
        <v>905</v>
      </c>
      <c r="C257" s="2" t="s">
        <v>1176</v>
      </c>
      <c r="D257" s="2" t="s">
        <v>1177</v>
      </c>
      <c r="E257" s="2" t="s">
        <v>1178</v>
      </c>
      <c r="F257" s="2" t="s">
        <v>1179</v>
      </c>
      <c r="G257" s="2" t="s">
        <v>1180</v>
      </c>
      <c r="H257" s="2" t="s">
        <v>1180</v>
      </c>
      <c r="I257" s="2" t="s">
        <v>1181</v>
      </c>
      <c r="J257" s="2" t="s">
        <v>993</v>
      </c>
      <c r="K257" s="2" t="s">
        <v>231</v>
      </c>
      <c r="L257" s="3">
        <v>37.5</v>
      </c>
      <c r="M257" s="3">
        <v>39.38</v>
      </c>
      <c r="N257" s="3">
        <v>79.99</v>
      </c>
      <c r="O257" s="2" t="s">
        <v>232</v>
      </c>
      <c r="P257" s="2" t="s">
        <v>878</v>
      </c>
      <c r="Q257" s="2" t="s">
        <v>234</v>
      </c>
      <c r="R257" s="2" t="s">
        <v>235</v>
      </c>
      <c r="S257" s="2" t="s">
        <v>1182</v>
      </c>
      <c r="T257" s="2" t="s">
        <v>879</v>
      </c>
      <c r="U257" s="2" t="s">
        <v>807</v>
      </c>
      <c r="V257" s="2" t="s">
        <v>238</v>
      </c>
      <c r="W257" s="2" t="s">
        <v>239</v>
      </c>
      <c r="X257" s="2" t="s">
        <v>235</v>
      </c>
      <c r="Y257" s="2" t="s">
        <v>1183</v>
      </c>
      <c r="Z257" s="4">
        <v>221</v>
      </c>
      <c r="AA257" s="4">
        <f>=ROUNDDOWN(13.9873417721519,0)</f>
      </c>
      <c r="AB257" s="5">
        <v>15.8</v>
      </c>
      <c r="AC257" s="2" t="s">
        <v>235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235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 t="s">
        <v>235</v>
      </c>
      <c r="BD257" s="8" t="s">
        <v>235</v>
      </c>
      <c r="BE257" s="4" t="s">
        <v>235</v>
      </c>
      <c r="BF257" s="8" t="s">
        <v>235</v>
      </c>
      <c r="BG257" s="7" t="s">
        <v>235</v>
      </c>
      <c r="BH257" s="7" t="s">
        <v>235</v>
      </c>
      <c r="BI257" s="7"/>
      <c r="BJ257" s="4">
        <v>12</v>
      </c>
      <c r="BK257" s="8">
        <v>506.8</v>
      </c>
      <c r="BL257" s="2" t="s">
        <v>1184</v>
      </c>
      <c r="BM257" s="7"/>
      <c r="BN257" s="7"/>
      <c r="BO257" s="4"/>
      <c r="BP257" s="8"/>
      <c r="BQ257" s="4"/>
      <c r="BR257" s="8"/>
      <c r="BS257" s="7"/>
      <c r="BT257" s="7"/>
      <c r="BU257" s="2" t="s">
        <v>1185</v>
      </c>
      <c r="BV257" s="2" t="s">
        <v>243</v>
      </c>
      <c r="BW257" s="2" t="s">
        <v>235</v>
      </c>
      <c r="BX257" s="2" t="s">
        <v>244</v>
      </c>
      <c r="BY257" s="2" t="s">
        <v>245</v>
      </c>
      <c r="BZ257" s="2" t="s">
        <v>232</v>
      </c>
      <c r="CA257" s="2" t="s">
        <v>1186</v>
      </c>
      <c r="CB257" s="2" t="s">
        <v>1187</v>
      </c>
      <c r="CC257" s="2" t="s">
        <v>248</v>
      </c>
      <c r="CD257" s="2" t="s">
        <v>248</v>
      </c>
      <c r="CE257" s="2" t="s">
        <v>235</v>
      </c>
      <c r="CF257" s="4">
        <v>221</v>
      </c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>
        <v>221</v>
      </c>
      <c r="GE257" s="4">
        <v>218</v>
      </c>
      <c r="GF257" s="4">
        <v>215</v>
      </c>
      <c r="GG257" s="4">
        <v>212</v>
      </c>
      <c r="GH257" s="4">
        <v>209</v>
      </c>
      <c r="GI257" s="4">
        <v>204</v>
      </c>
      <c r="GJ257" s="4">
        <v>199</v>
      </c>
      <c r="GK257" s="4">
        <v>194</v>
      </c>
      <c r="GL257" s="4">
        <v>189</v>
      </c>
      <c r="GM257" s="4">
        <v>179</v>
      </c>
      <c r="GN257" s="4">
        <v>163</v>
      </c>
      <c r="GO257" s="4">
        <v>144</v>
      </c>
      <c r="GP257" s="4">
        <v>125</v>
      </c>
      <c r="GQ257" s="4">
        <v>108</v>
      </c>
      <c r="GR257" s="4">
        <v>73</v>
      </c>
      <c r="GS257" s="4">
        <v>28</v>
      </c>
      <c r="GT257" s="4"/>
      <c r="GU257" s="4"/>
      <c r="GV257" s="4"/>
      <c r="GW257" s="4"/>
      <c r="GX257" s="4">
        <v>365</v>
      </c>
      <c r="GY257" s="4">
        <v>335</v>
      </c>
      <c r="GZ257" s="4">
        <v>323</v>
      </c>
      <c r="HA257" s="4">
        <v>311</v>
      </c>
      <c r="HB257" s="4">
        <v>300</v>
      </c>
      <c r="HC257" s="4">
        <v>289</v>
      </c>
      <c r="HD257" s="19">
        <v>73.7</v>
      </c>
      <c r="HE257" s="19">
        <v>54.5</v>
      </c>
      <c r="HF257" s="19">
        <v>53.8</v>
      </c>
      <c r="HG257" s="19">
        <v>53</v>
      </c>
      <c r="HH257" s="19">
        <v>41.8</v>
      </c>
      <c r="HI257" s="19">
        <v>34</v>
      </c>
      <c r="HJ257" s="19">
        <v>22.1</v>
      </c>
      <c r="HK257" s="19">
        <v>16.2</v>
      </c>
      <c r="HL257" s="19">
        <v>11.8</v>
      </c>
      <c r="HM257" s="19">
        <v>9.9</v>
      </c>
      <c r="HN257" s="19">
        <v>7.4</v>
      </c>
      <c r="HO257" s="19">
        <v>5</v>
      </c>
      <c r="HP257" s="19">
        <v>3.6</v>
      </c>
      <c r="HQ257" s="19">
        <v>3.2</v>
      </c>
      <c r="HR257" s="19">
        <v>2.4</v>
      </c>
      <c r="HS257" s="19">
        <v>1.4</v>
      </c>
      <c r="HT257" s="20">
        <v>0</v>
      </c>
      <c r="HU257" s="20">
        <v>0</v>
      </c>
      <c r="HV257" s="20">
        <v>0</v>
      </c>
      <c r="HW257" s="20">
        <v>0</v>
      </c>
      <c r="HX257" s="19">
        <v>22.8</v>
      </c>
      <c r="HY257" s="19">
        <v>27.9</v>
      </c>
      <c r="HZ257" s="19">
        <v>32.3</v>
      </c>
      <c r="IA257" s="19">
        <v>34.6</v>
      </c>
      <c r="IB257" s="19">
        <v>37.5</v>
      </c>
      <c r="IC257" s="19">
        <v>41.3</v>
      </c>
    </row>
    <row r="258">
      <c r="A258" s="2" t="s">
        <v>1188</v>
      </c>
      <c r="B258" s="2" t="s">
        <v>905</v>
      </c>
      <c r="C258" s="2" t="s">
        <v>1176</v>
      </c>
      <c r="D258" s="2" t="s">
        <v>1177</v>
      </c>
      <c r="E258" s="2" t="s">
        <v>1178</v>
      </c>
      <c r="F258" s="2" t="s">
        <v>1179</v>
      </c>
      <c r="G258" s="2" t="s">
        <v>1180</v>
      </c>
      <c r="H258" s="2" t="s">
        <v>1180</v>
      </c>
      <c r="I258" s="2" t="s">
        <v>1181</v>
      </c>
      <c r="J258" s="2" t="s">
        <v>993</v>
      </c>
      <c r="K258" s="2" t="s">
        <v>1189</v>
      </c>
      <c r="L258" s="3">
        <v>37.5</v>
      </c>
      <c r="M258" s="3">
        <v>39.38</v>
      </c>
      <c r="N258" s="3">
        <v>79.99</v>
      </c>
      <c r="O258" s="2" t="s">
        <v>232</v>
      </c>
      <c r="P258" s="2" t="s">
        <v>878</v>
      </c>
      <c r="Q258" s="2" t="s">
        <v>234</v>
      </c>
      <c r="R258" s="2" t="s">
        <v>235</v>
      </c>
      <c r="S258" s="2" t="s">
        <v>1190</v>
      </c>
      <c r="T258" s="2" t="s">
        <v>879</v>
      </c>
      <c r="U258" s="2" t="s">
        <v>807</v>
      </c>
      <c r="V258" s="2" t="s">
        <v>863</v>
      </c>
      <c r="W258" s="2" t="s">
        <v>682</v>
      </c>
      <c r="X258" s="2" t="s">
        <v>235</v>
      </c>
      <c r="Y258" s="2" t="s">
        <v>1191</v>
      </c>
      <c r="Z258" s="4">
        <v>839</v>
      </c>
      <c r="AA258" s="4">
        <f>=ROUNDDOWN(95.3409090909091,0)</f>
      </c>
      <c r="AB258" s="5">
        <v>8.8</v>
      </c>
      <c r="AC258" s="2" t="s">
        <v>235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235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235</v>
      </c>
      <c r="BD258" s="8" t="s">
        <v>235</v>
      </c>
      <c r="BE258" s="4" t="s">
        <v>235</v>
      </c>
      <c r="BF258" s="8" t="s">
        <v>235</v>
      </c>
      <c r="BG258" s="7" t="s">
        <v>235</v>
      </c>
      <c r="BH258" s="7" t="s">
        <v>235</v>
      </c>
      <c r="BI258" s="7"/>
      <c r="BJ258" s="4">
        <v>11</v>
      </c>
      <c r="BK258" s="8">
        <v>463.33</v>
      </c>
      <c r="BL258" s="2" t="s">
        <v>1192</v>
      </c>
      <c r="BM258" s="7"/>
      <c r="BN258" s="7"/>
      <c r="BO258" s="4"/>
      <c r="BP258" s="8"/>
      <c r="BQ258" s="4"/>
      <c r="BR258" s="8"/>
      <c r="BS258" s="7"/>
      <c r="BT258" s="7"/>
      <c r="BU258" s="2" t="s">
        <v>1185</v>
      </c>
      <c r="BV258" s="2" t="s">
        <v>243</v>
      </c>
      <c r="BW258" s="2" t="s">
        <v>235</v>
      </c>
      <c r="BX258" s="2" t="s">
        <v>244</v>
      </c>
      <c r="BY258" s="2" t="s">
        <v>245</v>
      </c>
      <c r="BZ258" s="2" t="s">
        <v>232</v>
      </c>
      <c r="CA258" s="2" t="s">
        <v>1193</v>
      </c>
      <c r="CB258" s="2" t="s">
        <v>1194</v>
      </c>
      <c r="CC258" s="2" t="s">
        <v>248</v>
      </c>
      <c r="CD258" s="2" t="s">
        <v>248</v>
      </c>
      <c r="CE258" s="2" t="s">
        <v>235</v>
      </c>
      <c r="CF258" s="4">
        <v>839</v>
      </c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>
        <v>839</v>
      </c>
      <c r="GE258" s="4">
        <v>837</v>
      </c>
      <c r="GF258" s="4">
        <v>835</v>
      </c>
      <c r="GG258" s="4">
        <v>833</v>
      </c>
      <c r="GH258" s="4">
        <v>831</v>
      </c>
      <c r="GI258" s="4">
        <v>821</v>
      </c>
      <c r="GJ258" s="4">
        <v>792</v>
      </c>
      <c r="GK258" s="4">
        <v>731</v>
      </c>
      <c r="GL258" s="4">
        <v>654</v>
      </c>
      <c r="GM258" s="4">
        <v>574</v>
      </c>
      <c r="GN258" s="4">
        <v>544</v>
      </c>
      <c r="GO258" s="4">
        <v>510</v>
      </c>
      <c r="GP258" s="4">
        <v>483</v>
      </c>
      <c r="GQ258" s="4">
        <v>457</v>
      </c>
      <c r="GR258" s="4">
        <v>410</v>
      </c>
      <c r="GS258" s="4">
        <v>362</v>
      </c>
      <c r="GT258" s="4">
        <v>309</v>
      </c>
      <c r="GU258" s="4">
        <v>291</v>
      </c>
      <c r="GV258" s="4">
        <v>273</v>
      </c>
      <c r="GW258" s="4">
        <v>265</v>
      </c>
      <c r="GX258" s="4">
        <v>257</v>
      </c>
      <c r="GY258" s="4">
        <v>249</v>
      </c>
      <c r="GZ258" s="4">
        <v>241</v>
      </c>
      <c r="HA258" s="4">
        <v>233</v>
      </c>
      <c r="HB258" s="4">
        <v>226</v>
      </c>
      <c r="HC258" s="4">
        <v>219</v>
      </c>
      <c r="HD258" s="19">
        <v>419.5</v>
      </c>
      <c r="HE258" s="19">
        <v>209.3</v>
      </c>
      <c r="HF258" s="19">
        <v>75.9</v>
      </c>
      <c r="HG258" s="19">
        <v>32</v>
      </c>
      <c r="HH258" s="19">
        <v>18.9</v>
      </c>
      <c r="HI258" s="19">
        <v>13.2</v>
      </c>
      <c r="HJ258" s="19">
        <v>12.8</v>
      </c>
      <c r="HK258" s="19">
        <v>13.3</v>
      </c>
      <c r="HL258" s="19">
        <v>15.2</v>
      </c>
      <c r="HM258" s="19">
        <v>19.8</v>
      </c>
      <c r="HN258" s="19">
        <v>16</v>
      </c>
      <c r="HO258" s="19">
        <v>13.8</v>
      </c>
      <c r="HP258" s="19">
        <v>11</v>
      </c>
      <c r="HQ258" s="19">
        <v>10.9</v>
      </c>
      <c r="HR258" s="19">
        <v>12.1</v>
      </c>
      <c r="HS258" s="19">
        <v>15.1</v>
      </c>
      <c r="HT258" s="19">
        <v>23.8</v>
      </c>
      <c r="HU258" s="19">
        <v>29.1</v>
      </c>
      <c r="HV258" s="19">
        <v>34.1</v>
      </c>
      <c r="HW258" s="19">
        <v>33.1</v>
      </c>
      <c r="HX258" s="19">
        <v>32.1</v>
      </c>
      <c r="HY258" s="19">
        <v>31.1</v>
      </c>
      <c r="HZ258" s="19">
        <v>40.2</v>
      </c>
      <c r="IA258" s="19">
        <v>38.8</v>
      </c>
      <c r="IB258" s="19">
        <v>45.2</v>
      </c>
      <c r="IC258" s="19">
        <v>54.8</v>
      </c>
    </row>
    <row r="259">
      <c r="A259" s="2" t="s">
        <v>1195</v>
      </c>
      <c r="B259" s="2" t="s">
        <v>905</v>
      </c>
      <c r="C259" s="2" t="s">
        <v>1176</v>
      </c>
      <c r="D259" s="2" t="s">
        <v>1177</v>
      </c>
      <c r="E259" s="2" t="s">
        <v>1178</v>
      </c>
      <c r="F259" s="2" t="s">
        <v>1179</v>
      </c>
      <c r="G259" s="2" t="s">
        <v>1180</v>
      </c>
      <c r="H259" s="2" t="s">
        <v>1180</v>
      </c>
      <c r="I259" s="2" t="s">
        <v>1181</v>
      </c>
      <c r="J259" s="2" t="s">
        <v>993</v>
      </c>
      <c r="K259" s="2" t="s">
        <v>1196</v>
      </c>
      <c r="L259" s="3">
        <v>37.5</v>
      </c>
      <c r="M259" s="3">
        <v>39.38</v>
      </c>
      <c r="N259" s="3">
        <v>79.99</v>
      </c>
      <c r="O259" s="2" t="s">
        <v>232</v>
      </c>
      <c r="P259" s="2" t="s">
        <v>878</v>
      </c>
      <c r="Q259" s="2" t="s">
        <v>234</v>
      </c>
      <c r="R259" s="2" t="s">
        <v>235</v>
      </c>
      <c r="S259" s="2" t="s">
        <v>1197</v>
      </c>
      <c r="T259" s="2" t="s">
        <v>879</v>
      </c>
      <c r="U259" s="2" t="s">
        <v>807</v>
      </c>
      <c r="V259" s="2" t="s">
        <v>238</v>
      </c>
      <c r="W259" s="2" t="s">
        <v>239</v>
      </c>
      <c r="X259" s="2" t="s">
        <v>235</v>
      </c>
      <c r="Y259" s="2" t="s">
        <v>1198</v>
      </c>
      <c r="Z259" s="4">
        <v>348</v>
      </c>
      <c r="AA259" s="4">
        <f>=ROUNDDOWN(12.8888888888889,0)</f>
      </c>
      <c r="AB259" s="5">
        <v>27</v>
      </c>
      <c r="AC259" s="2" t="s">
        <v>235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235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235</v>
      </c>
      <c r="BD259" s="8" t="s">
        <v>235</v>
      </c>
      <c r="BE259" s="4" t="s">
        <v>235</v>
      </c>
      <c r="BF259" s="8" t="s">
        <v>235</v>
      </c>
      <c r="BG259" s="7" t="s">
        <v>235</v>
      </c>
      <c r="BH259" s="7" t="s">
        <v>235</v>
      </c>
      <c r="BI259" s="7"/>
      <c r="BJ259" s="4">
        <v>11</v>
      </c>
      <c r="BK259" s="8">
        <v>461.15</v>
      </c>
      <c r="BL259" s="2" t="s">
        <v>1199</v>
      </c>
      <c r="BM259" s="7"/>
      <c r="BN259" s="7"/>
      <c r="BO259" s="4"/>
      <c r="BP259" s="8"/>
      <c r="BQ259" s="4"/>
      <c r="BR259" s="8"/>
      <c r="BS259" s="7"/>
      <c r="BT259" s="7"/>
      <c r="BU259" s="2" t="s">
        <v>1185</v>
      </c>
      <c r="BV259" s="2" t="s">
        <v>243</v>
      </c>
      <c r="BW259" s="2" t="s">
        <v>235</v>
      </c>
      <c r="BX259" s="2" t="s">
        <v>244</v>
      </c>
      <c r="BY259" s="2" t="s">
        <v>245</v>
      </c>
      <c r="BZ259" s="2" t="s">
        <v>232</v>
      </c>
      <c r="CA259" s="2" t="s">
        <v>1193</v>
      </c>
      <c r="CB259" s="2" t="s">
        <v>687</v>
      </c>
      <c r="CC259" s="2" t="s">
        <v>248</v>
      </c>
      <c r="CD259" s="2" t="s">
        <v>248</v>
      </c>
      <c r="CE259" s="2" t="s">
        <v>235</v>
      </c>
      <c r="CF259" s="4">
        <v>348</v>
      </c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>
        <v>348</v>
      </c>
      <c r="GE259" s="4">
        <v>346</v>
      </c>
      <c r="GF259" s="4">
        <v>344</v>
      </c>
      <c r="GG259" s="4">
        <v>342</v>
      </c>
      <c r="GH259" s="4">
        <v>340</v>
      </c>
      <c r="GI259" s="4">
        <v>337</v>
      </c>
      <c r="GJ259" s="4">
        <v>334</v>
      </c>
      <c r="GK259" s="4">
        <v>311</v>
      </c>
      <c r="GL259" s="4">
        <v>268</v>
      </c>
      <c r="GM259" s="4">
        <v>223</v>
      </c>
      <c r="GN259" s="4">
        <v>206</v>
      </c>
      <c r="GO259" s="4">
        <v>187</v>
      </c>
      <c r="GP259" s="4">
        <v>172</v>
      </c>
      <c r="GQ259" s="4">
        <v>158</v>
      </c>
      <c r="GR259" s="4">
        <v>134</v>
      </c>
      <c r="GS259" s="4">
        <v>92</v>
      </c>
      <c r="GT259" s="4">
        <v>48</v>
      </c>
      <c r="GU259" s="4">
        <v>21</v>
      </c>
      <c r="GV259" s="4"/>
      <c r="GW259" s="4"/>
      <c r="GX259" s="4">
        <v>411</v>
      </c>
      <c r="GY259" s="4">
        <v>372</v>
      </c>
      <c r="GZ259" s="4">
        <v>356</v>
      </c>
      <c r="HA259" s="4">
        <v>340</v>
      </c>
      <c r="HB259" s="4">
        <v>326</v>
      </c>
      <c r="HC259" s="4">
        <v>312</v>
      </c>
      <c r="HD259" s="19">
        <v>174</v>
      </c>
      <c r="HE259" s="19">
        <v>173</v>
      </c>
      <c r="HF259" s="19">
        <v>172</v>
      </c>
      <c r="HG259" s="19">
        <v>42.8</v>
      </c>
      <c r="HH259" s="19">
        <v>18.9</v>
      </c>
      <c r="HI259" s="19">
        <v>12</v>
      </c>
      <c r="HJ259" s="19">
        <v>10.4</v>
      </c>
      <c r="HK259" s="19">
        <v>10</v>
      </c>
      <c r="HL259" s="19">
        <v>11.2</v>
      </c>
      <c r="HM259" s="19">
        <v>13.9</v>
      </c>
      <c r="HN259" s="19">
        <v>11.4</v>
      </c>
      <c r="HO259" s="19">
        <v>7.8</v>
      </c>
      <c r="HP259" s="19">
        <v>5.5</v>
      </c>
      <c r="HQ259" s="19">
        <v>4.6</v>
      </c>
      <c r="HR259" s="19">
        <v>3.9</v>
      </c>
      <c r="HS259" s="19">
        <v>3.8</v>
      </c>
      <c r="HT259" s="19">
        <v>3.4</v>
      </c>
      <c r="HU259" s="19">
        <v>1.3</v>
      </c>
      <c r="HV259" s="20">
        <v>0</v>
      </c>
      <c r="HW259" s="20">
        <v>0</v>
      </c>
      <c r="HX259" s="19">
        <v>19.6</v>
      </c>
      <c r="HY259" s="19">
        <v>24.8</v>
      </c>
      <c r="HZ259" s="19">
        <v>25.4</v>
      </c>
      <c r="IA259" s="19">
        <v>26.2</v>
      </c>
      <c r="IB259" s="19">
        <v>27.2</v>
      </c>
      <c r="IC259" s="19">
        <v>28.4</v>
      </c>
    </row>
    <row r="260">
      <c r="A260" s="2" t="s">
        <v>1200</v>
      </c>
      <c r="B260" s="2" t="s">
        <v>905</v>
      </c>
      <c r="C260" s="2" t="s">
        <v>1176</v>
      </c>
      <c r="D260" s="2" t="s">
        <v>1177</v>
      </c>
      <c r="E260" s="2" t="s">
        <v>1178</v>
      </c>
      <c r="F260" s="2" t="s">
        <v>1179</v>
      </c>
      <c r="G260" s="2" t="s">
        <v>1180</v>
      </c>
      <c r="H260" s="2" t="s">
        <v>1180</v>
      </c>
      <c r="I260" s="2" t="s">
        <v>1181</v>
      </c>
      <c r="J260" s="2" t="s">
        <v>993</v>
      </c>
      <c r="K260" s="2" t="s">
        <v>1201</v>
      </c>
      <c r="L260" s="3">
        <v>37.5</v>
      </c>
      <c r="M260" s="3">
        <v>39.38</v>
      </c>
      <c r="N260" s="3">
        <v>79.99</v>
      </c>
      <c r="O260" s="2" t="s">
        <v>232</v>
      </c>
      <c r="P260" s="2" t="s">
        <v>878</v>
      </c>
      <c r="Q260" s="2" t="s">
        <v>234</v>
      </c>
      <c r="R260" s="2" t="s">
        <v>235</v>
      </c>
      <c r="S260" s="2" t="s">
        <v>1202</v>
      </c>
      <c r="T260" s="2" t="s">
        <v>879</v>
      </c>
      <c r="U260" s="2" t="s">
        <v>807</v>
      </c>
      <c r="V260" s="2" t="s">
        <v>863</v>
      </c>
      <c r="W260" s="2" t="s">
        <v>682</v>
      </c>
      <c r="X260" s="2" t="s">
        <v>235</v>
      </c>
      <c r="Y260" s="2" t="s">
        <v>1183</v>
      </c>
      <c r="Z260" s="4">
        <v>611</v>
      </c>
      <c r="AA260" s="4">
        <f>=ROUNDDOWN(611,0)</f>
      </c>
      <c r="AB260" s="5">
        <v>1</v>
      </c>
      <c r="AC260" s="2" t="s">
        <v>235</v>
      </c>
      <c r="AD260" s="4"/>
      <c r="AE260" s="4"/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235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235</v>
      </c>
      <c r="BD260" s="8" t="s">
        <v>235</v>
      </c>
      <c r="BE260" s="4" t="s">
        <v>235</v>
      </c>
      <c r="BF260" s="8" t="s">
        <v>235</v>
      </c>
      <c r="BG260" s="7" t="s">
        <v>235</v>
      </c>
      <c r="BH260" s="7" t="s">
        <v>235</v>
      </c>
      <c r="BI260" s="7"/>
      <c r="BJ260" s="4">
        <v>1</v>
      </c>
      <c r="BK260" s="8">
        <v>41.92</v>
      </c>
      <c r="BL260" s="2" t="s">
        <v>1203</v>
      </c>
      <c r="BM260" s="7"/>
      <c r="BN260" s="7"/>
      <c r="BO260" s="4"/>
      <c r="BP260" s="8"/>
      <c r="BQ260" s="4"/>
      <c r="BR260" s="8"/>
      <c r="BS260" s="7"/>
      <c r="BT260" s="7"/>
      <c r="BU260" s="2" t="s">
        <v>1185</v>
      </c>
      <c r="BV260" s="2" t="s">
        <v>243</v>
      </c>
      <c r="BW260" s="2" t="s">
        <v>235</v>
      </c>
      <c r="BX260" s="2" t="s">
        <v>244</v>
      </c>
      <c r="BY260" s="2" t="s">
        <v>245</v>
      </c>
      <c r="BZ260" s="2" t="s">
        <v>232</v>
      </c>
      <c r="CA260" s="2" t="s">
        <v>1186</v>
      </c>
      <c r="CB260" s="2" t="s">
        <v>235</v>
      </c>
      <c r="CC260" s="2" t="s">
        <v>248</v>
      </c>
      <c r="CD260" s="2" t="s">
        <v>248</v>
      </c>
      <c r="CE260" s="2" t="s">
        <v>235</v>
      </c>
      <c r="CF260" s="4">
        <v>611</v>
      </c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>
        <v>611</v>
      </c>
      <c r="GE260" s="4">
        <v>611</v>
      </c>
      <c r="GF260" s="4">
        <v>611</v>
      </c>
      <c r="GG260" s="4">
        <v>611</v>
      </c>
      <c r="GH260" s="4">
        <v>611</v>
      </c>
      <c r="GI260" s="4">
        <v>608</v>
      </c>
      <c r="GJ260" s="4">
        <v>603</v>
      </c>
      <c r="GK260" s="4">
        <v>595</v>
      </c>
      <c r="GL260" s="4">
        <v>585</v>
      </c>
      <c r="GM260" s="4">
        <v>575</v>
      </c>
      <c r="GN260" s="4">
        <v>571</v>
      </c>
      <c r="GO260" s="4">
        <v>565</v>
      </c>
      <c r="GP260" s="4">
        <v>558</v>
      </c>
      <c r="GQ260" s="4">
        <v>552</v>
      </c>
      <c r="GR260" s="4">
        <v>539</v>
      </c>
      <c r="GS260" s="4">
        <v>522</v>
      </c>
      <c r="GT260" s="4">
        <v>504</v>
      </c>
      <c r="GU260" s="4">
        <v>497</v>
      </c>
      <c r="GV260" s="4">
        <v>490</v>
      </c>
      <c r="GW260" s="4">
        <v>487</v>
      </c>
      <c r="GX260" s="4">
        <v>484</v>
      </c>
      <c r="GY260" s="4">
        <v>481</v>
      </c>
      <c r="GZ260" s="4">
        <v>480</v>
      </c>
      <c r="HA260" s="4">
        <v>479</v>
      </c>
      <c r="HB260" s="4">
        <v>479</v>
      </c>
      <c r="HC260" s="4">
        <v>479</v>
      </c>
      <c r="HD260" s="9"/>
      <c r="HE260" s="19">
        <v>611</v>
      </c>
      <c r="HF260" s="19">
        <v>305.5</v>
      </c>
      <c r="HG260" s="19">
        <v>152.8</v>
      </c>
      <c r="HH260" s="19">
        <v>101.8</v>
      </c>
      <c r="HI260" s="19">
        <v>76</v>
      </c>
      <c r="HJ260" s="19">
        <v>75.4</v>
      </c>
      <c r="HK260" s="19">
        <v>74.4</v>
      </c>
      <c r="HL260" s="19">
        <v>83.6</v>
      </c>
      <c r="HM260" s="19">
        <v>95.8</v>
      </c>
      <c r="HN260" s="19">
        <v>71.4</v>
      </c>
      <c r="HO260" s="19">
        <v>51.4</v>
      </c>
      <c r="HP260" s="19">
        <v>39.9</v>
      </c>
      <c r="HQ260" s="19">
        <v>39.4</v>
      </c>
      <c r="HR260" s="19">
        <v>44.9</v>
      </c>
      <c r="HS260" s="19">
        <v>58</v>
      </c>
      <c r="HT260" s="19">
        <v>100.8</v>
      </c>
      <c r="HU260" s="19">
        <v>124.3</v>
      </c>
      <c r="HV260" s="19">
        <v>245</v>
      </c>
      <c r="HW260" s="19">
        <v>243.5</v>
      </c>
      <c r="HX260" s="19">
        <v>484</v>
      </c>
      <c r="HY260" s="20">
        <v>0</v>
      </c>
      <c r="HZ260" s="20">
        <v>0</v>
      </c>
      <c r="IA260" s="9"/>
      <c r="IB260" s="9"/>
      <c r="IC260" s="9"/>
    </row>
    <row r="261">
      <c r="A261" s="2" t="s">
        <v>1204</v>
      </c>
      <c r="B261" s="2" t="s">
        <v>905</v>
      </c>
      <c r="C261" s="2" t="s">
        <v>1176</v>
      </c>
      <c r="D261" s="2" t="s">
        <v>1177</v>
      </c>
      <c r="E261" s="2" t="s">
        <v>1178</v>
      </c>
      <c r="F261" s="2" t="s">
        <v>1179</v>
      </c>
      <c r="G261" s="2" t="s">
        <v>1180</v>
      </c>
      <c r="H261" s="2" t="s">
        <v>1180</v>
      </c>
      <c r="I261" s="2" t="s">
        <v>1181</v>
      </c>
      <c r="J261" s="2" t="s">
        <v>993</v>
      </c>
      <c r="K261" s="2" t="s">
        <v>292</v>
      </c>
      <c r="L261" s="3">
        <v>37.5</v>
      </c>
      <c r="M261" s="3">
        <v>39.38</v>
      </c>
      <c r="N261" s="3">
        <v>79.99</v>
      </c>
      <c r="O261" s="2" t="s">
        <v>232</v>
      </c>
      <c r="P261" s="2" t="s">
        <v>878</v>
      </c>
      <c r="Q261" s="2" t="s">
        <v>234</v>
      </c>
      <c r="R261" s="2" t="s">
        <v>235</v>
      </c>
      <c r="S261" s="2" t="s">
        <v>1205</v>
      </c>
      <c r="T261" s="2" t="s">
        <v>879</v>
      </c>
      <c r="U261" s="2" t="s">
        <v>807</v>
      </c>
      <c r="V261" s="2" t="s">
        <v>238</v>
      </c>
      <c r="W261" s="2" t="s">
        <v>239</v>
      </c>
      <c r="X261" s="2" t="s">
        <v>235</v>
      </c>
      <c r="Y261" s="2" t="s">
        <v>1198</v>
      </c>
      <c r="Z261" s="4">
        <v>630</v>
      </c>
      <c r="AA261" s="4">
        <f>=ROUNDDOWN(61.1650485436893,0)</f>
      </c>
      <c r="AB261" s="5">
        <v>10.3</v>
      </c>
      <c r="AC261" s="2" t="s">
        <v>235</v>
      </c>
      <c r="AD261" s="4"/>
      <c r="AE261" s="4"/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235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235</v>
      </c>
      <c r="BD261" s="8" t="s">
        <v>235</v>
      </c>
      <c r="BE261" s="4" t="s">
        <v>235</v>
      </c>
      <c r="BF261" s="8" t="s">
        <v>235</v>
      </c>
      <c r="BG261" s="7" t="s">
        <v>235</v>
      </c>
      <c r="BH261" s="7" t="s">
        <v>235</v>
      </c>
      <c r="BI261" s="7"/>
      <c r="BJ261" s="4">
        <v>14</v>
      </c>
      <c r="BK261" s="8">
        <v>587.89</v>
      </c>
      <c r="BL261" s="2" t="s">
        <v>1206</v>
      </c>
      <c r="BM261" s="7"/>
      <c r="BN261" s="7"/>
      <c r="BO261" s="4"/>
      <c r="BP261" s="8"/>
      <c r="BQ261" s="4"/>
      <c r="BR261" s="8"/>
      <c r="BS261" s="7"/>
      <c r="BT261" s="7"/>
      <c r="BU261" s="2" t="s">
        <v>1185</v>
      </c>
      <c r="BV261" s="2" t="s">
        <v>243</v>
      </c>
      <c r="BW261" s="2" t="s">
        <v>235</v>
      </c>
      <c r="BX261" s="2" t="s">
        <v>244</v>
      </c>
      <c r="BY261" s="2" t="s">
        <v>245</v>
      </c>
      <c r="BZ261" s="2" t="s">
        <v>232</v>
      </c>
      <c r="CA261" s="2" t="s">
        <v>1207</v>
      </c>
      <c r="CB261" s="2" t="s">
        <v>1208</v>
      </c>
      <c r="CC261" s="2" t="s">
        <v>248</v>
      </c>
      <c r="CD261" s="2" t="s">
        <v>248</v>
      </c>
      <c r="CE261" s="2" t="s">
        <v>235</v>
      </c>
      <c r="CF261" s="4">
        <v>630</v>
      </c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>
        <v>630</v>
      </c>
      <c r="GE261" s="4">
        <v>628</v>
      </c>
      <c r="GF261" s="4">
        <v>626</v>
      </c>
      <c r="GG261" s="4">
        <v>620</v>
      </c>
      <c r="GH261" s="4">
        <v>611</v>
      </c>
      <c r="GI261" s="4">
        <v>591</v>
      </c>
      <c r="GJ261" s="4">
        <v>573</v>
      </c>
      <c r="GK261" s="4">
        <v>537</v>
      </c>
      <c r="GL261" s="4">
        <v>492</v>
      </c>
      <c r="GM261" s="4">
        <v>446</v>
      </c>
      <c r="GN261" s="4">
        <v>427</v>
      </c>
      <c r="GO261" s="4">
        <v>405</v>
      </c>
      <c r="GP261" s="4">
        <v>384</v>
      </c>
      <c r="GQ261" s="4">
        <v>365</v>
      </c>
      <c r="GR261" s="4">
        <v>328</v>
      </c>
      <c r="GS261" s="4">
        <v>284</v>
      </c>
      <c r="GT261" s="4">
        <v>237</v>
      </c>
      <c r="GU261" s="4">
        <v>218</v>
      </c>
      <c r="GV261" s="4">
        <v>199</v>
      </c>
      <c r="GW261" s="4">
        <v>191</v>
      </c>
      <c r="GX261" s="4">
        <v>183</v>
      </c>
      <c r="GY261" s="4">
        <v>175</v>
      </c>
      <c r="GZ261" s="4">
        <v>167</v>
      </c>
      <c r="HA261" s="4">
        <v>159</v>
      </c>
      <c r="HB261" s="4">
        <v>151</v>
      </c>
      <c r="HC261" s="4">
        <v>143</v>
      </c>
      <c r="HD261" s="19">
        <v>126</v>
      </c>
      <c r="HE261" s="19">
        <v>69.8</v>
      </c>
      <c r="HF261" s="19">
        <v>48.2</v>
      </c>
      <c r="HG261" s="19">
        <v>29.5</v>
      </c>
      <c r="HH261" s="19">
        <v>20.4</v>
      </c>
      <c r="HI261" s="19">
        <v>16.4</v>
      </c>
      <c r="HJ261" s="19">
        <v>15.9</v>
      </c>
      <c r="HK261" s="19">
        <v>16.3</v>
      </c>
      <c r="HL261" s="19">
        <v>18.2</v>
      </c>
      <c r="HM261" s="19">
        <v>22.3</v>
      </c>
      <c r="HN261" s="19">
        <v>17.1</v>
      </c>
      <c r="HO261" s="19">
        <v>13.5</v>
      </c>
      <c r="HP261" s="19">
        <v>10.4</v>
      </c>
      <c r="HQ261" s="19">
        <v>9.9</v>
      </c>
      <c r="HR261" s="19">
        <v>10.3</v>
      </c>
      <c r="HS261" s="19">
        <v>12.3</v>
      </c>
      <c r="HT261" s="19">
        <v>16.9</v>
      </c>
      <c r="HU261" s="19">
        <v>19.8</v>
      </c>
      <c r="HV261" s="19">
        <v>24.9</v>
      </c>
      <c r="HW261" s="19">
        <v>23.9</v>
      </c>
      <c r="HX261" s="19">
        <v>22.9</v>
      </c>
      <c r="HY261" s="19">
        <v>21.9</v>
      </c>
      <c r="HZ261" s="19">
        <v>20.9</v>
      </c>
      <c r="IA261" s="19">
        <v>22.7</v>
      </c>
      <c r="IB261" s="19">
        <v>25.2</v>
      </c>
      <c r="IC261" s="19">
        <v>23.8</v>
      </c>
    </row>
    <row r="262">
      <c r="A262" s="2" t="s">
        <v>1209</v>
      </c>
      <c r="B262" s="2" t="s">
        <v>905</v>
      </c>
      <c r="C262" s="2" t="s">
        <v>1176</v>
      </c>
      <c r="D262" s="2" t="s">
        <v>1177</v>
      </c>
      <c r="E262" s="2" t="s">
        <v>1178</v>
      </c>
      <c r="F262" s="2" t="s">
        <v>1179</v>
      </c>
      <c r="G262" s="2" t="s">
        <v>1180</v>
      </c>
      <c r="H262" s="2" t="s">
        <v>1180</v>
      </c>
      <c r="I262" s="2" t="s">
        <v>1181</v>
      </c>
      <c r="J262" s="2" t="s">
        <v>993</v>
      </c>
      <c r="K262" s="2" t="s">
        <v>1210</v>
      </c>
      <c r="L262" s="3">
        <v>37.5</v>
      </c>
      <c r="M262" s="3">
        <v>39.38</v>
      </c>
      <c r="N262" s="3">
        <v>79.99</v>
      </c>
      <c r="O262" s="2" t="s">
        <v>232</v>
      </c>
      <c r="P262" s="2" t="s">
        <v>878</v>
      </c>
      <c r="Q262" s="2" t="s">
        <v>234</v>
      </c>
      <c r="R262" s="2" t="s">
        <v>235</v>
      </c>
      <c r="S262" s="2" t="s">
        <v>1211</v>
      </c>
      <c r="T262" s="2" t="s">
        <v>879</v>
      </c>
      <c r="U262" s="2" t="s">
        <v>807</v>
      </c>
      <c r="V262" s="2" t="s">
        <v>863</v>
      </c>
      <c r="W262" s="2" t="s">
        <v>682</v>
      </c>
      <c r="X262" s="2" t="s">
        <v>235</v>
      </c>
      <c r="Y262" s="2" t="s">
        <v>1191</v>
      </c>
      <c r="Z262" s="4">
        <v>579</v>
      </c>
      <c r="AA262" s="4">
        <f>=ROUNDDOWN(65.7954545454545,0)</f>
      </c>
      <c r="AB262" s="5">
        <v>8.8</v>
      </c>
      <c r="AC262" s="2" t="s">
        <v>235</v>
      </c>
      <c r="AD262" s="4"/>
      <c r="AE262" s="4"/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235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235</v>
      </c>
      <c r="BD262" s="8" t="s">
        <v>235</v>
      </c>
      <c r="BE262" s="4" t="s">
        <v>235</v>
      </c>
      <c r="BF262" s="8" t="s">
        <v>235</v>
      </c>
      <c r="BG262" s="7" t="s">
        <v>235</v>
      </c>
      <c r="BH262" s="7" t="s">
        <v>235</v>
      </c>
      <c r="BI262" s="7"/>
      <c r="BJ262" s="4">
        <v>14</v>
      </c>
      <c r="BK262" s="8">
        <v>590.77</v>
      </c>
      <c r="BL262" s="2" t="s">
        <v>1212</v>
      </c>
      <c r="BM262" s="7"/>
      <c r="BN262" s="7"/>
      <c r="BO262" s="4"/>
      <c r="BP262" s="8"/>
      <c r="BQ262" s="4"/>
      <c r="BR262" s="8"/>
      <c r="BS262" s="7"/>
      <c r="BT262" s="7"/>
      <c r="BU262" s="2" t="s">
        <v>1185</v>
      </c>
      <c r="BV262" s="2" t="s">
        <v>243</v>
      </c>
      <c r="BW262" s="2" t="s">
        <v>235</v>
      </c>
      <c r="BX262" s="2" t="s">
        <v>244</v>
      </c>
      <c r="BY262" s="2" t="s">
        <v>245</v>
      </c>
      <c r="BZ262" s="2" t="s">
        <v>232</v>
      </c>
      <c r="CA262" s="2" t="s">
        <v>1193</v>
      </c>
      <c r="CB262" s="2" t="s">
        <v>235</v>
      </c>
      <c r="CC262" s="2" t="s">
        <v>248</v>
      </c>
      <c r="CD262" s="2" t="s">
        <v>248</v>
      </c>
      <c r="CE262" s="2" t="s">
        <v>235</v>
      </c>
      <c r="CF262" s="4">
        <v>579</v>
      </c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>
        <v>579</v>
      </c>
      <c r="GE262" s="4">
        <v>577</v>
      </c>
      <c r="GF262" s="4">
        <v>575</v>
      </c>
      <c r="GG262" s="4">
        <v>573</v>
      </c>
      <c r="GH262" s="4">
        <v>571</v>
      </c>
      <c r="GI262" s="4">
        <v>567</v>
      </c>
      <c r="GJ262" s="4">
        <v>563</v>
      </c>
      <c r="GK262" s="4">
        <v>559</v>
      </c>
      <c r="GL262" s="4">
        <v>555</v>
      </c>
      <c r="GM262" s="4">
        <v>534</v>
      </c>
      <c r="GN262" s="4">
        <v>522</v>
      </c>
      <c r="GO262" s="4">
        <v>507</v>
      </c>
      <c r="GP262" s="4">
        <v>492</v>
      </c>
      <c r="GQ262" s="4">
        <v>479</v>
      </c>
      <c r="GR262" s="4">
        <v>452</v>
      </c>
      <c r="GS262" s="4">
        <v>419</v>
      </c>
      <c r="GT262" s="4">
        <v>384</v>
      </c>
      <c r="GU262" s="4">
        <v>371</v>
      </c>
      <c r="GV262" s="4">
        <v>358</v>
      </c>
      <c r="GW262" s="4">
        <v>353</v>
      </c>
      <c r="GX262" s="4">
        <v>348</v>
      </c>
      <c r="GY262" s="4">
        <v>343</v>
      </c>
      <c r="GZ262" s="4">
        <v>335</v>
      </c>
      <c r="HA262" s="4">
        <v>327</v>
      </c>
      <c r="HB262" s="4">
        <v>320</v>
      </c>
      <c r="HC262" s="4">
        <v>313</v>
      </c>
      <c r="HD262" s="19">
        <v>289.5</v>
      </c>
      <c r="HE262" s="19">
        <v>288.5</v>
      </c>
      <c r="HF262" s="19">
        <v>191.7</v>
      </c>
      <c r="HG262" s="19">
        <v>143.3</v>
      </c>
      <c r="HH262" s="19">
        <v>142.8</v>
      </c>
      <c r="HI262" s="19">
        <v>70.9</v>
      </c>
      <c r="HJ262" s="19">
        <v>56.3</v>
      </c>
      <c r="HK262" s="19">
        <v>43</v>
      </c>
      <c r="HL262" s="19">
        <v>34.7</v>
      </c>
      <c r="HM262" s="19">
        <v>38.1</v>
      </c>
      <c r="HN262" s="19">
        <v>29</v>
      </c>
      <c r="HO262" s="19">
        <v>23</v>
      </c>
      <c r="HP262" s="19">
        <v>18.2</v>
      </c>
      <c r="HQ262" s="19">
        <v>17.7</v>
      </c>
      <c r="HR262" s="19">
        <v>18.8</v>
      </c>
      <c r="HS262" s="19">
        <v>26.2</v>
      </c>
      <c r="HT262" s="19">
        <v>42.7</v>
      </c>
      <c r="HU262" s="19">
        <v>53</v>
      </c>
      <c r="HV262" s="19">
        <v>59.7</v>
      </c>
      <c r="HW262" s="19">
        <v>58.8</v>
      </c>
      <c r="HX262" s="19">
        <v>49.7</v>
      </c>
      <c r="HY262" s="19">
        <v>42.9</v>
      </c>
      <c r="HZ262" s="19">
        <v>55.8</v>
      </c>
      <c r="IA262" s="19">
        <v>54.5</v>
      </c>
      <c r="IB262" s="19">
        <v>64</v>
      </c>
      <c r="IC262" s="19">
        <v>78.3</v>
      </c>
    </row>
    <row r="263">
      <c r="A263" s="2" t="s">
        <v>1213</v>
      </c>
      <c r="B263" s="2" t="s">
        <v>905</v>
      </c>
      <c r="C263" s="2" t="s">
        <v>1176</v>
      </c>
      <c r="D263" s="2" t="s">
        <v>1177</v>
      </c>
      <c r="E263" s="2" t="s">
        <v>1178</v>
      </c>
      <c r="F263" s="2" t="s">
        <v>1179</v>
      </c>
      <c r="G263" s="2" t="s">
        <v>1180</v>
      </c>
      <c r="H263" s="2" t="s">
        <v>1180</v>
      </c>
      <c r="I263" s="2" t="s">
        <v>1181</v>
      </c>
      <c r="J263" s="2" t="s">
        <v>993</v>
      </c>
      <c r="K263" s="2" t="s">
        <v>295</v>
      </c>
      <c r="L263" s="3">
        <v>37.5</v>
      </c>
      <c r="M263" s="3">
        <v>39.38</v>
      </c>
      <c r="N263" s="3">
        <v>79.99</v>
      </c>
      <c r="O263" s="2" t="s">
        <v>232</v>
      </c>
      <c r="P263" s="2" t="s">
        <v>878</v>
      </c>
      <c r="Q263" s="2" t="s">
        <v>234</v>
      </c>
      <c r="R263" s="2" t="s">
        <v>235</v>
      </c>
      <c r="S263" s="2" t="s">
        <v>1214</v>
      </c>
      <c r="T263" s="2" t="s">
        <v>879</v>
      </c>
      <c r="U263" s="2" t="s">
        <v>807</v>
      </c>
      <c r="V263" s="2" t="s">
        <v>238</v>
      </c>
      <c r="W263" s="2" t="s">
        <v>239</v>
      </c>
      <c r="X263" s="2" t="s">
        <v>235</v>
      </c>
      <c r="Y263" s="2" t="s">
        <v>1198</v>
      </c>
      <c r="Z263" s="4">
        <v>31</v>
      </c>
      <c r="AA263" s="4">
        <f>=ROUNDDOWN(1.06896551724138,0)</f>
      </c>
      <c r="AB263" s="5">
        <v>29</v>
      </c>
      <c r="AC263" s="2" t="s">
        <v>235</v>
      </c>
      <c r="AD263" s="4"/>
      <c r="AE263" s="4"/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235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235</v>
      </c>
      <c r="BD263" s="8" t="s">
        <v>235</v>
      </c>
      <c r="BE263" s="4" t="s">
        <v>235</v>
      </c>
      <c r="BF263" s="8" t="s">
        <v>235</v>
      </c>
      <c r="BG263" s="7" t="s">
        <v>235</v>
      </c>
      <c r="BH263" s="7" t="s">
        <v>235</v>
      </c>
      <c r="BI263" s="7"/>
      <c r="BJ263" s="4">
        <v>15</v>
      </c>
      <c r="BK263" s="8">
        <v>634.2</v>
      </c>
      <c r="BL263" s="2" t="s">
        <v>1215</v>
      </c>
      <c r="BM263" s="7"/>
      <c r="BN263" s="7"/>
      <c r="BO263" s="4"/>
      <c r="BP263" s="8"/>
      <c r="BQ263" s="4"/>
      <c r="BR263" s="8"/>
      <c r="BS263" s="7"/>
      <c r="BT263" s="7"/>
      <c r="BU263" s="2" t="s">
        <v>1185</v>
      </c>
      <c r="BV263" s="2" t="s">
        <v>243</v>
      </c>
      <c r="BW263" s="2" t="s">
        <v>235</v>
      </c>
      <c r="BX263" s="2" t="s">
        <v>244</v>
      </c>
      <c r="BY263" s="2" t="s">
        <v>245</v>
      </c>
      <c r="BZ263" s="2" t="s">
        <v>232</v>
      </c>
      <c r="CA263" s="2" t="s">
        <v>1207</v>
      </c>
      <c r="CB263" s="2" t="s">
        <v>1216</v>
      </c>
      <c r="CC263" s="2" t="s">
        <v>248</v>
      </c>
      <c r="CD263" s="2" t="s">
        <v>248</v>
      </c>
      <c r="CE263" s="2" t="s">
        <v>235</v>
      </c>
      <c r="CF263" s="4">
        <v>31</v>
      </c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>
        <v>33</v>
      </c>
      <c r="GE263" s="4">
        <v>28</v>
      </c>
      <c r="GF263" s="4">
        <v>25</v>
      </c>
      <c r="GG263" s="4">
        <v>22</v>
      </c>
      <c r="GH263" s="4">
        <v>19</v>
      </c>
      <c r="GI263" s="4">
        <v>5</v>
      </c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>
        <v>556</v>
      </c>
      <c r="GY263" s="4">
        <v>443</v>
      </c>
      <c r="GZ263" s="4">
        <v>425</v>
      </c>
      <c r="HA263" s="4">
        <v>407</v>
      </c>
      <c r="HB263" s="4">
        <v>391</v>
      </c>
      <c r="HC263" s="4">
        <v>375</v>
      </c>
      <c r="HD263" s="19">
        <v>8.3</v>
      </c>
      <c r="HE263" s="19">
        <v>4.7</v>
      </c>
      <c r="HF263" s="19">
        <v>4.2</v>
      </c>
      <c r="HG263" s="19">
        <v>3.7</v>
      </c>
      <c r="HH263" s="19">
        <v>2.7</v>
      </c>
      <c r="HI263" s="19">
        <v>1.3</v>
      </c>
      <c r="HJ263" s="20">
        <v>0</v>
      </c>
      <c r="HK263" s="20">
        <v>0</v>
      </c>
      <c r="HL263" s="20">
        <v>0</v>
      </c>
      <c r="HM263" s="20">
        <v>0</v>
      </c>
      <c r="HN263" s="20">
        <v>0</v>
      </c>
      <c r="HO263" s="20">
        <v>0</v>
      </c>
      <c r="HP263" s="20">
        <v>0</v>
      </c>
      <c r="HQ263" s="20">
        <v>0</v>
      </c>
      <c r="HR263" s="20">
        <v>0</v>
      </c>
      <c r="HS263" s="20">
        <v>0</v>
      </c>
      <c r="HT263" s="20">
        <v>0</v>
      </c>
      <c r="HU263" s="20">
        <v>0</v>
      </c>
      <c r="HV263" s="20">
        <v>0</v>
      </c>
      <c r="HW263" s="20">
        <v>0</v>
      </c>
      <c r="HX263" s="19">
        <v>13.6</v>
      </c>
      <c r="HY263" s="19">
        <v>26.1</v>
      </c>
      <c r="HZ263" s="19">
        <v>26.6</v>
      </c>
      <c r="IA263" s="19">
        <v>29.1</v>
      </c>
      <c r="IB263" s="19">
        <v>30.1</v>
      </c>
      <c r="IC263" s="19">
        <v>31.3</v>
      </c>
    </row>
    <row r="264">
      <c r="A264" s="2" t="s">
        <v>1217</v>
      </c>
      <c r="B264" s="2" t="s">
        <v>852</v>
      </c>
      <c r="C264" s="2" t="s">
        <v>324</v>
      </c>
      <c r="D264" s="2" t="s">
        <v>854</v>
      </c>
      <c r="E264" s="2" t="s">
        <v>855</v>
      </c>
      <c r="F264" s="2" t="s">
        <v>1218</v>
      </c>
      <c r="G264" s="2" t="s">
        <v>1219</v>
      </c>
      <c r="H264" s="2" t="s">
        <v>1220</v>
      </c>
      <c r="I264" s="2" t="s">
        <v>1221</v>
      </c>
      <c r="J264" s="2" t="s">
        <v>1130</v>
      </c>
      <c r="K264" s="2" t="s">
        <v>1196</v>
      </c>
      <c r="L264" s="3">
        <v>19.75</v>
      </c>
      <c r="M264" s="3">
        <v>20.74</v>
      </c>
      <c r="N264" s="3">
        <v>44.99</v>
      </c>
      <c r="O264" s="2" t="s">
        <v>232</v>
      </c>
      <c r="P264" s="2" t="s">
        <v>878</v>
      </c>
      <c r="Q264" s="2" t="s">
        <v>234</v>
      </c>
      <c r="R264" s="2" t="s">
        <v>235</v>
      </c>
      <c r="S264" s="2" t="s">
        <v>235</v>
      </c>
      <c r="T264" s="2" t="s">
        <v>879</v>
      </c>
      <c r="U264" s="2" t="s">
        <v>807</v>
      </c>
      <c r="V264" s="2" t="s">
        <v>1222</v>
      </c>
      <c r="W264" s="2" t="s">
        <v>329</v>
      </c>
      <c r="X264" s="2" t="s">
        <v>235</v>
      </c>
      <c r="Y264" s="2" t="s">
        <v>235</v>
      </c>
      <c r="Z264" s="4"/>
      <c r="AA264" s="4">
        <f>=ROUNDDOWN({0},0)</f>
      </c>
      <c r="AB264" s="5"/>
      <c r="AC264" s="2" t="s">
        <v>235</v>
      </c>
      <c r="AD264" s="4"/>
      <c r="AE264" s="4"/>
      <c r="AF264" s="6"/>
      <c r="AG264" s="6"/>
      <c r="AH264" s="7"/>
      <c r="AI264" s="4"/>
      <c r="AJ264" s="4">
        <f>=ROUNDDOWN({0},0)</f>
      </c>
      <c r="AK264" s="5"/>
      <c r="AL264" s="2" t="s">
        <v>235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235</v>
      </c>
      <c r="AW264" s="8" t="s">
        <v>235</v>
      </c>
      <c r="AX264" s="4" t="s">
        <v>235</v>
      </c>
      <c r="AY264" s="8" t="s">
        <v>235</v>
      </c>
      <c r="AZ264" s="7" t="s">
        <v>235</v>
      </c>
      <c r="BA264" s="7" t="s">
        <v>235</v>
      </c>
      <c r="BB264" s="7"/>
      <c r="BC264" s="4" t="s">
        <v>235</v>
      </c>
      <c r="BD264" s="8" t="s">
        <v>235</v>
      </c>
      <c r="BE264" s="4" t="s">
        <v>235</v>
      </c>
      <c r="BF264" s="8" t="s">
        <v>235</v>
      </c>
      <c r="BG264" s="7" t="s">
        <v>235</v>
      </c>
      <c r="BH264" s="7" t="s">
        <v>235</v>
      </c>
      <c r="BI264" s="7"/>
      <c r="BJ264" s="4"/>
      <c r="BK264" s="8"/>
      <c r="BL264" s="2" t="s">
        <v>235</v>
      </c>
      <c r="BM264" s="7"/>
      <c r="BN264" s="7"/>
      <c r="BO264" s="4"/>
      <c r="BP264" s="8"/>
      <c r="BQ264" s="4"/>
      <c r="BR264" s="8"/>
      <c r="BS264" s="7"/>
      <c r="BT264" s="7"/>
      <c r="BU264" s="2" t="s">
        <v>330</v>
      </c>
      <c r="BV264" s="2" t="s">
        <v>235</v>
      </c>
      <c r="BW264" s="2" t="s">
        <v>235</v>
      </c>
      <c r="BX264" s="2" t="s">
        <v>330</v>
      </c>
      <c r="BY264" s="2" t="s">
        <v>331</v>
      </c>
      <c r="BZ264" s="2" t="s">
        <v>232</v>
      </c>
      <c r="CA264" s="2" t="s">
        <v>235</v>
      </c>
      <c r="CB264" s="2" t="s">
        <v>235</v>
      </c>
      <c r="CC264" s="2" t="s">
        <v>248</v>
      </c>
      <c r="CD264" s="2" t="s">
        <v>248</v>
      </c>
      <c r="CE264" s="2" t="s">
        <v>235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</row>
    <row r="265">
      <c r="A265" s="2" t="s">
        <v>1223</v>
      </c>
      <c r="B265" s="2" t="s">
        <v>852</v>
      </c>
      <c r="C265" s="2" t="s">
        <v>324</v>
      </c>
      <c r="D265" s="2" t="s">
        <v>854</v>
      </c>
      <c r="E265" s="2" t="s">
        <v>855</v>
      </c>
      <c r="F265" s="2" t="s">
        <v>1218</v>
      </c>
      <c r="G265" s="2" t="s">
        <v>1219</v>
      </c>
      <c r="H265" s="2" t="s">
        <v>1220</v>
      </c>
      <c r="I265" s="2" t="s">
        <v>1221</v>
      </c>
      <c r="J265" s="2" t="s">
        <v>1224</v>
      </c>
      <c r="K265" s="2" t="s">
        <v>1196</v>
      </c>
      <c r="L265" s="3">
        <v>21.75</v>
      </c>
      <c r="M265" s="3">
        <v>22.84</v>
      </c>
      <c r="N265" s="3">
        <v>49.99</v>
      </c>
      <c r="O265" s="2" t="s">
        <v>232</v>
      </c>
      <c r="P265" s="2" t="s">
        <v>233</v>
      </c>
      <c r="Q265" s="2" t="s">
        <v>234</v>
      </c>
      <c r="R265" s="2" t="s">
        <v>235</v>
      </c>
      <c r="S265" s="2" t="s">
        <v>235</v>
      </c>
      <c r="T265" s="2" t="s">
        <v>879</v>
      </c>
      <c r="U265" s="2" t="s">
        <v>807</v>
      </c>
      <c r="V265" s="2" t="s">
        <v>1222</v>
      </c>
      <c r="W265" s="2" t="s">
        <v>329</v>
      </c>
      <c r="X265" s="2" t="s">
        <v>235</v>
      </c>
      <c r="Y265" s="2" t="s">
        <v>1225</v>
      </c>
      <c r="Z265" s="4">
        <v>124</v>
      </c>
      <c r="AA265" s="4">
        <f>=ROUNDDOWN(24.8,0)</f>
      </c>
      <c r="AB265" s="5">
        <v>5</v>
      </c>
      <c r="AC265" s="2" t="s">
        <v>209</v>
      </c>
      <c r="AD265" s="4">
        <v>200</v>
      </c>
      <c r="AE265" s="4">
        <v>200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235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235</v>
      </c>
      <c r="AW265" s="8" t="s">
        <v>235</v>
      </c>
      <c r="AX265" s="4" t="s">
        <v>235</v>
      </c>
      <c r="AY265" s="8" t="s">
        <v>235</v>
      </c>
      <c r="AZ265" s="7" t="s">
        <v>235</v>
      </c>
      <c r="BA265" s="7" t="s">
        <v>235</v>
      </c>
      <c r="BB265" s="7" t="s">
        <v>235</v>
      </c>
      <c r="BC265" s="4" t="s">
        <v>235</v>
      </c>
      <c r="BD265" s="8" t="s">
        <v>235</v>
      </c>
      <c r="BE265" s="4" t="s">
        <v>235</v>
      </c>
      <c r="BF265" s="8" t="s">
        <v>235</v>
      </c>
      <c r="BG265" s="7" t="s">
        <v>235</v>
      </c>
      <c r="BH265" s="7" t="s">
        <v>235</v>
      </c>
      <c r="BI265" s="7"/>
      <c r="BJ265" s="4">
        <v>24</v>
      </c>
      <c r="BK265" s="8">
        <v>636.24</v>
      </c>
      <c r="BL265" s="2" t="s">
        <v>1226</v>
      </c>
      <c r="BM265" s="7"/>
      <c r="BN265" s="7"/>
      <c r="BO265" s="4"/>
      <c r="BP265" s="8"/>
      <c r="BQ265" s="4"/>
      <c r="BR265" s="8"/>
      <c r="BS265" s="7"/>
      <c r="BT265" s="7"/>
      <c r="BU265" s="2" t="s">
        <v>1227</v>
      </c>
      <c r="BV265" s="2" t="s">
        <v>235</v>
      </c>
      <c r="BW265" s="2" t="s">
        <v>235</v>
      </c>
      <c r="BX265" s="2" t="s">
        <v>685</v>
      </c>
      <c r="BY265" s="2" t="s">
        <v>245</v>
      </c>
      <c r="BZ265" s="2" t="s">
        <v>232</v>
      </c>
      <c r="CA265" s="2" t="s">
        <v>235</v>
      </c>
      <c r="CB265" s="2" t="s">
        <v>1228</v>
      </c>
      <c r="CC265" s="2" t="s">
        <v>248</v>
      </c>
      <c r="CD265" s="2" t="s">
        <v>248</v>
      </c>
      <c r="CE265" s="2" t="s">
        <v>235</v>
      </c>
      <c r="CF265" s="4">
        <v>124</v>
      </c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>
        <v>200</v>
      </c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>
        <v>124</v>
      </c>
      <c r="GE265" s="4">
        <v>120</v>
      </c>
      <c r="GF265" s="4">
        <v>120</v>
      </c>
      <c r="GG265" s="4">
        <v>120</v>
      </c>
      <c r="GH265" s="4">
        <v>120</v>
      </c>
      <c r="GI265" s="4">
        <v>120</v>
      </c>
      <c r="GJ265" s="4">
        <v>120</v>
      </c>
      <c r="GK265" s="4">
        <v>120</v>
      </c>
      <c r="GL265" s="4">
        <v>120</v>
      </c>
      <c r="GM265" s="4">
        <v>116</v>
      </c>
      <c r="GN265" s="4">
        <v>111</v>
      </c>
      <c r="GO265" s="4">
        <v>106</v>
      </c>
      <c r="GP265" s="4">
        <v>101</v>
      </c>
      <c r="GQ265" s="4">
        <v>96</v>
      </c>
      <c r="GR265" s="4">
        <v>91</v>
      </c>
      <c r="GS265" s="4">
        <v>86</v>
      </c>
      <c r="GT265" s="4">
        <v>281</v>
      </c>
      <c r="GU265" s="4">
        <v>276</v>
      </c>
      <c r="GV265" s="4">
        <v>270</v>
      </c>
      <c r="GW265" s="4">
        <v>265</v>
      </c>
      <c r="GX265" s="4">
        <v>260</v>
      </c>
      <c r="GY265" s="4">
        <v>255</v>
      </c>
      <c r="GZ265" s="4">
        <v>250</v>
      </c>
      <c r="HA265" s="4">
        <v>245</v>
      </c>
      <c r="HB265" s="4">
        <v>240</v>
      </c>
      <c r="HC265" s="4">
        <v>435</v>
      </c>
      <c r="HD265" s="19">
        <v>124</v>
      </c>
      <c r="HE265" s="9"/>
      <c r="HF265" s="9"/>
      <c r="HG265" s="9"/>
      <c r="HH265" s="9"/>
      <c r="HI265" s="19">
        <v>120</v>
      </c>
      <c r="HJ265" s="19">
        <v>60</v>
      </c>
      <c r="HK265" s="19">
        <v>30</v>
      </c>
      <c r="HL265" s="19">
        <v>24</v>
      </c>
      <c r="HM265" s="19">
        <v>23.2</v>
      </c>
      <c r="HN265" s="19">
        <v>22.2</v>
      </c>
      <c r="HO265" s="19">
        <v>21.2</v>
      </c>
      <c r="HP265" s="19">
        <v>20.2</v>
      </c>
      <c r="HQ265" s="19">
        <v>19.2</v>
      </c>
      <c r="HR265" s="19">
        <v>18.2</v>
      </c>
      <c r="HS265" s="19">
        <v>17.2</v>
      </c>
      <c r="HT265" s="19">
        <v>56.2</v>
      </c>
      <c r="HU265" s="19">
        <v>55.2</v>
      </c>
      <c r="HV265" s="19">
        <v>54</v>
      </c>
      <c r="HW265" s="19">
        <v>53</v>
      </c>
      <c r="HX265" s="19">
        <v>52</v>
      </c>
      <c r="HY265" s="19">
        <v>51</v>
      </c>
      <c r="HZ265" s="19">
        <v>50</v>
      </c>
      <c r="IA265" s="19">
        <v>49</v>
      </c>
      <c r="IB265" s="19">
        <v>48</v>
      </c>
      <c r="IC265" s="19">
        <v>87</v>
      </c>
    </row>
    <row r="266">
      <c r="A266" s="2" t="s">
        <v>1229</v>
      </c>
      <c r="B266" s="2" t="s">
        <v>852</v>
      </c>
      <c r="C266" s="2" t="s">
        <v>324</v>
      </c>
      <c r="D266" s="2" t="s">
        <v>854</v>
      </c>
      <c r="E266" s="2" t="s">
        <v>855</v>
      </c>
      <c r="F266" s="2" t="s">
        <v>1218</v>
      </c>
      <c r="G266" s="2" t="s">
        <v>1219</v>
      </c>
      <c r="H266" s="2" t="s">
        <v>1220</v>
      </c>
      <c r="I266" s="2" t="s">
        <v>1221</v>
      </c>
      <c r="J266" s="2" t="s">
        <v>1224</v>
      </c>
      <c r="K266" s="2" t="s">
        <v>1196</v>
      </c>
      <c r="L266" s="3">
        <v>21.75</v>
      </c>
      <c r="M266" s="3">
        <v>22.84</v>
      </c>
      <c r="N266" s="3">
        <v>49.99</v>
      </c>
      <c r="O266" s="2" t="s">
        <v>232</v>
      </c>
      <c r="P266" s="2" t="s">
        <v>878</v>
      </c>
      <c r="Q266" s="2" t="s">
        <v>234</v>
      </c>
      <c r="R266" s="2" t="s">
        <v>235</v>
      </c>
      <c r="S266" s="2" t="s">
        <v>235</v>
      </c>
      <c r="T266" s="2" t="s">
        <v>879</v>
      </c>
      <c r="U266" s="2" t="s">
        <v>807</v>
      </c>
      <c r="V266" s="2" t="s">
        <v>1222</v>
      </c>
      <c r="W266" s="2" t="s">
        <v>329</v>
      </c>
      <c r="X266" s="2" t="s">
        <v>235</v>
      </c>
      <c r="Y266" s="2" t="s">
        <v>235</v>
      </c>
      <c r="Z266" s="4"/>
      <c r="AA266" s="4">
        <f>=ROUNDDOWN({0},0)</f>
      </c>
      <c r="AB266" s="5"/>
      <c r="AC266" s="2" t="s">
        <v>235</v>
      </c>
      <c r="AD266" s="4"/>
      <c r="AE266" s="4"/>
      <c r="AF266" s="6"/>
      <c r="AG266" s="6"/>
      <c r="AH266" s="7"/>
      <c r="AI266" s="4"/>
      <c r="AJ266" s="4">
        <f>=ROUNDDOWN({0},0)</f>
      </c>
      <c r="AK266" s="5"/>
      <c r="AL266" s="2" t="s">
        <v>235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235</v>
      </c>
      <c r="AW266" s="8" t="s">
        <v>235</v>
      </c>
      <c r="AX266" s="4" t="s">
        <v>235</v>
      </c>
      <c r="AY266" s="8" t="s">
        <v>235</v>
      </c>
      <c r="AZ266" s="7" t="s">
        <v>235</v>
      </c>
      <c r="BA266" s="7" t="s">
        <v>235</v>
      </c>
      <c r="BB266" s="7" t="s">
        <v>235</v>
      </c>
      <c r="BC266" s="4" t="s">
        <v>235</v>
      </c>
      <c r="BD266" s="8" t="s">
        <v>235</v>
      </c>
      <c r="BE266" s="4" t="s">
        <v>235</v>
      </c>
      <c r="BF266" s="8" t="s">
        <v>235</v>
      </c>
      <c r="BG266" s="7" t="s">
        <v>235</v>
      </c>
      <c r="BH266" s="7" t="s">
        <v>235</v>
      </c>
      <c r="BI266" s="7"/>
      <c r="BJ266" s="4"/>
      <c r="BK266" s="8"/>
      <c r="BL266" s="2" t="s">
        <v>235</v>
      </c>
      <c r="BM266" s="7"/>
      <c r="BN266" s="7"/>
      <c r="BO266" s="4"/>
      <c r="BP266" s="8"/>
      <c r="BQ266" s="4"/>
      <c r="BR266" s="8"/>
      <c r="BS266" s="7"/>
      <c r="BT266" s="7"/>
      <c r="BU266" s="2" t="s">
        <v>330</v>
      </c>
      <c r="BV266" s="2" t="s">
        <v>235</v>
      </c>
      <c r="BW266" s="2" t="s">
        <v>235</v>
      </c>
      <c r="BX266" s="2" t="s">
        <v>330</v>
      </c>
      <c r="BY266" s="2" t="s">
        <v>331</v>
      </c>
      <c r="BZ266" s="2" t="s">
        <v>232</v>
      </c>
      <c r="CA266" s="2" t="s">
        <v>235</v>
      </c>
      <c r="CB266" s="2" t="s">
        <v>235</v>
      </c>
      <c r="CC266" s="2" t="s">
        <v>248</v>
      </c>
      <c r="CD266" s="2" t="s">
        <v>248</v>
      </c>
      <c r="CE266" s="2" t="s">
        <v>235</v>
      </c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</row>
    <row r="267">
      <c r="A267" s="2" t="s">
        <v>1230</v>
      </c>
      <c r="B267" s="2" t="s">
        <v>852</v>
      </c>
      <c r="C267" s="2" t="s">
        <v>324</v>
      </c>
      <c r="D267" s="2" t="s">
        <v>854</v>
      </c>
      <c r="E267" s="2" t="s">
        <v>855</v>
      </c>
      <c r="F267" s="2" t="s">
        <v>1218</v>
      </c>
      <c r="G267" s="2" t="s">
        <v>1219</v>
      </c>
      <c r="H267" s="2" t="s">
        <v>1220</v>
      </c>
      <c r="I267" s="2" t="s">
        <v>1231</v>
      </c>
      <c r="J267" s="2" t="s">
        <v>1224</v>
      </c>
      <c r="K267" s="2" t="s">
        <v>1232</v>
      </c>
      <c r="L267" s="3">
        <v>23.79</v>
      </c>
      <c r="M267" s="3">
        <v>24.98</v>
      </c>
      <c r="N267" s="3">
        <v>54.99</v>
      </c>
      <c r="O267" s="2" t="s">
        <v>232</v>
      </c>
      <c r="P267" s="2" t="s">
        <v>878</v>
      </c>
      <c r="Q267" s="2" t="s">
        <v>234</v>
      </c>
      <c r="R267" s="2" t="s">
        <v>235</v>
      </c>
      <c r="S267" s="2" t="s">
        <v>235</v>
      </c>
      <c r="T267" s="2" t="s">
        <v>879</v>
      </c>
      <c r="U267" s="2" t="s">
        <v>807</v>
      </c>
      <c r="V267" s="2" t="s">
        <v>1222</v>
      </c>
      <c r="W267" s="2" t="s">
        <v>329</v>
      </c>
      <c r="X267" s="2" t="s">
        <v>235</v>
      </c>
      <c r="Y267" s="2" t="s">
        <v>1233</v>
      </c>
      <c r="Z267" s="4">
        <v>165</v>
      </c>
      <c r="AA267" s="4">
        <f>=ROUNDDOWN(15,0)</f>
      </c>
      <c r="AB267" s="5">
        <v>11</v>
      </c>
      <c r="AC267" s="2" t="s">
        <v>183</v>
      </c>
      <c r="AD267" s="4">
        <v>152</v>
      </c>
      <c r="AE267" s="4">
        <v>152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235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235</v>
      </c>
      <c r="BD267" s="8" t="s">
        <v>235</v>
      </c>
      <c r="BE267" s="4" t="s">
        <v>235</v>
      </c>
      <c r="BF267" s="8" t="s">
        <v>235</v>
      </c>
      <c r="BG267" s="7" t="s">
        <v>235</v>
      </c>
      <c r="BH267" s="7" t="s">
        <v>235</v>
      </c>
      <c r="BI267" s="7"/>
      <c r="BJ267" s="4">
        <v>44</v>
      </c>
      <c r="BK267" s="8">
        <v>1087.68</v>
      </c>
      <c r="BL267" s="2" t="s">
        <v>1226</v>
      </c>
      <c r="BM267" s="7"/>
      <c r="BN267" s="7"/>
      <c r="BO267" s="4"/>
      <c r="BP267" s="8"/>
      <c r="BQ267" s="4"/>
      <c r="BR267" s="8"/>
      <c r="BS267" s="7"/>
      <c r="BT267" s="7"/>
      <c r="BU267" s="2" t="s">
        <v>1234</v>
      </c>
      <c r="BV267" s="2" t="s">
        <v>235</v>
      </c>
      <c r="BW267" s="2" t="s">
        <v>235</v>
      </c>
      <c r="BX267" s="2" t="s">
        <v>244</v>
      </c>
      <c r="BY267" s="2" t="s">
        <v>245</v>
      </c>
      <c r="BZ267" s="2" t="s">
        <v>232</v>
      </c>
      <c r="CA267" s="2" t="s">
        <v>235</v>
      </c>
      <c r="CB267" s="2" t="s">
        <v>1235</v>
      </c>
      <c r="CC267" s="2" t="s">
        <v>248</v>
      </c>
      <c r="CD267" s="2" t="s">
        <v>248</v>
      </c>
      <c r="CE267" s="2" t="s">
        <v>235</v>
      </c>
      <c r="CF267" s="4">
        <v>165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>
        <v>152</v>
      </c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>
        <v>165</v>
      </c>
      <c r="GE267" s="4">
        <v>149</v>
      </c>
      <c r="GF267" s="4">
        <v>134</v>
      </c>
      <c r="GG267" s="4">
        <v>118</v>
      </c>
      <c r="GH267" s="4">
        <v>102</v>
      </c>
      <c r="GI267" s="4">
        <v>84</v>
      </c>
      <c r="GJ267" s="4">
        <v>72</v>
      </c>
      <c r="GK267" s="4">
        <v>61</v>
      </c>
      <c r="GL267" s="4">
        <v>49</v>
      </c>
      <c r="GM267" s="4">
        <v>38</v>
      </c>
      <c r="GN267" s="4">
        <v>26</v>
      </c>
      <c r="GO267" s="4">
        <v>166</v>
      </c>
      <c r="GP267" s="4">
        <v>154</v>
      </c>
      <c r="GQ267" s="4">
        <v>142</v>
      </c>
      <c r="GR267" s="4">
        <v>131</v>
      </c>
      <c r="GS267" s="4">
        <v>119</v>
      </c>
      <c r="GT267" s="4">
        <v>108</v>
      </c>
      <c r="GU267" s="4">
        <v>97</v>
      </c>
      <c r="GV267" s="4">
        <v>85</v>
      </c>
      <c r="GW267" s="4">
        <v>211</v>
      </c>
      <c r="GX267" s="4">
        <v>200</v>
      </c>
      <c r="GY267" s="4">
        <v>189</v>
      </c>
      <c r="GZ267" s="4">
        <v>178</v>
      </c>
      <c r="HA267" s="4">
        <v>167</v>
      </c>
      <c r="HB267" s="4">
        <v>156</v>
      </c>
      <c r="HC267" s="4">
        <v>144</v>
      </c>
      <c r="HD267" s="19">
        <v>10.3</v>
      </c>
      <c r="HE267" s="19">
        <v>9.3</v>
      </c>
      <c r="HF267" s="19">
        <v>8.4</v>
      </c>
      <c r="HG267" s="19">
        <v>8.4</v>
      </c>
      <c r="HH267" s="19">
        <v>7.8</v>
      </c>
      <c r="HI267" s="19">
        <v>7</v>
      </c>
      <c r="HJ267" s="19">
        <v>6</v>
      </c>
      <c r="HK267" s="19">
        <v>5.1</v>
      </c>
      <c r="HL267" s="19">
        <v>4.1</v>
      </c>
      <c r="HM267" s="19">
        <v>3.2</v>
      </c>
      <c r="HN267" s="19">
        <v>2.2</v>
      </c>
      <c r="HO267" s="19">
        <v>13.8</v>
      </c>
      <c r="HP267" s="19">
        <v>12.8</v>
      </c>
      <c r="HQ267" s="19">
        <v>12.9</v>
      </c>
      <c r="HR267" s="19">
        <v>10.9</v>
      </c>
      <c r="HS267" s="19">
        <v>10.8</v>
      </c>
      <c r="HT267" s="19">
        <v>9.8</v>
      </c>
      <c r="HU267" s="19">
        <v>8.8</v>
      </c>
      <c r="HV267" s="19">
        <v>7.7</v>
      </c>
      <c r="HW267" s="19">
        <v>19.2</v>
      </c>
      <c r="HX267" s="19">
        <v>18.2</v>
      </c>
      <c r="HY267" s="19">
        <v>17.2</v>
      </c>
      <c r="HZ267" s="19">
        <v>16.2</v>
      </c>
      <c r="IA267" s="19">
        <v>15.2</v>
      </c>
      <c r="IB267" s="19">
        <v>14.2</v>
      </c>
      <c r="IC267" s="19">
        <v>13.1</v>
      </c>
    </row>
    <row r="268">
      <c r="A268" s="2" t="s">
        <v>1236</v>
      </c>
      <c r="B268" s="2" t="s">
        <v>852</v>
      </c>
      <c r="C268" s="2" t="s">
        <v>324</v>
      </c>
      <c r="D268" s="2" t="s">
        <v>854</v>
      </c>
      <c r="E268" s="2" t="s">
        <v>855</v>
      </c>
      <c r="F268" s="2" t="s">
        <v>1218</v>
      </c>
      <c r="G268" s="2" t="s">
        <v>1219</v>
      </c>
      <c r="H268" s="2" t="s">
        <v>1220</v>
      </c>
      <c r="I268" s="2" t="s">
        <v>1231</v>
      </c>
      <c r="J268" s="2" t="s">
        <v>1237</v>
      </c>
      <c r="K268" s="2" t="s">
        <v>1238</v>
      </c>
      <c r="L268" s="3">
        <v>15</v>
      </c>
      <c r="M268" s="3">
        <v>15.75</v>
      </c>
      <c r="N268" s="3">
        <v>31.99</v>
      </c>
      <c r="O268" s="2" t="s">
        <v>232</v>
      </c>
      <c r="P268" s="2" t="s">
        <v>878</v>
      </c>
      <c r="Q268" s="2" t="s">
        <v>234</v>
      </c>
      <c r="R268" s="2" t="s">
        <v>235</v>
      </c>
      <c r="S268" s="2" t="s">
        <v>235</v>
      </c>
      <c r="T268" s="2" t="s">
        <v>879</v>
      </c>
      <c r="U268" s="2" t="s">
        <v>807</v>
      </c>
      <c r="V268" s="2" t="s">
        <v>1222</v>
      </c>
      <c r="W268" s="2" t="s">
        <v>329</v>
      </c>
      <c r="X268" s="2" t="s">
        <v>235</v>
      </c>
      <c r="Y268" s="2" t="s">
        <v>235</v>
      </c>
      <c r="Z268" s="4"/>
      <c r="AA268" s="4">
        <f>=ROUNDDOWN({0},0)</f>
      </c>
      <c r="AB268" s="5"/>
      <c r="AC268" s="2" t="s">
        <v>235</v>
      </c>
      <c r="AD268" s="4"/>
      <c r="AE268" s="4"/>
      <c r="AF268" s="6"/>
      <c r="AG268" s="6"/>
      <c r="AH268" s="7"/>
      <c r="AI268" s="4"/>
      <c r="AJ268" s="4">
        <f>=ROUNDDOWN({0},0)</f>
      </c>
      <c r="AK268" s="5"/>
      <c r="AL268" s="2" t="s">
        <v>235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235</v>
      </c>
      <c r="AW268" s="8" t="s">
        <v>235</v>
      </c>
      <c r="AX268" s="4" t="s">
        <v>235</v>
      </c>
      <c r="AY268" s="8" t="s">
        <v>235</v>
      </c>
      <c r="AZ268" s="7" t="s">
        <v>235</v>
      </c>
      <c r="BA268" s="7" t="s">
        <v>235</v>
      </c>
      <c r="BB268" s="7"/>
      <c r="BC268" s="4" t="s">
        <v>235</v>
      </c>
      <c r="BD268" s="8" t="s">
        <v>235</v>
      </c>
      <c r="BE268" s="4" t="s">
        <v>235</v>
      </c>
      <c r="BF268" s="8" t="s">
        <v>235</v>
      </c>
      <c r="BG268" s="7" t="s">
        <v>235</v>
      </c>
      <c r="BH268" s="7" t="s">
        <v>235</v>
      </c>
      <c r="BI268" s="7"/>
      <c r="BJ268" s="4"/>
      <c r="BK268" s="8"/>
      <c r="BL268" s="2" t="s">
        <v>235</v>
      </c>
      <c r="BM268" s="7"/>
      <c r="BN268" s="7"/>
      <c r="BO268" s="4"/>
      <c r="BP268" s="8"/>
      <c r="BQ268" s="4"/>
      <c r="BR268" s="8"/>
      <c r="BS268" s="7"/>
      <c r="BT268" s="7"/>
      <c r="BU268" s="2" t="s">
        <v>330</v>
      </c>
      <c r="BV268" s="2" t="s">
        <v>235</v>
      </c>
      <c r="BW268" s="2" t="s">
        <v>235</v>
      </c>
      <c r="BX268" s="2" t="s">
        <v>330</v>
      </c>
      <c r="BY268" s="2" t="s">
        <v>331</v>
      </c>
      <c r="BZ268" s="2" t="s">
        <v>232</v>
      </c>
      <c r="CA268" s="2" t="s">
        <v>235</v>
      </c>
      <c r="CB268" s="2" t="s">
        <v>235</v>
      </c>
      <c r="CC268" s="2" t="s">
        <v>248</v>
      </c>
      <c r="CD268" s="2" t="s">
        <v>248</v>
      </c>
      <c r="CE268" s="2" t="s">
        <v>235</v>
      </c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</row>
    <row r="269">
      <c r="A269" s="2" t="s">
        <v>1239</v>
      </c>
      <c r="B269" s="2" t="s">
        <v>852</v>
      </c>
      <c r="C269" s="2" t="s">
        <v>324</v>
      </c>
      <c r="D269" s="2" t="s">
        <v>854</v>
      </c>
      <c r="E269" s="2" t="s">
        <v>855</v>
      </c>
      <c r="F269" s="2" t="s">
        <v>1218</v>
      </c>
      <c r="G269" s="2" t="s">
        <v>1219</v>
      </c>
      <c r="H269" s="2" t="s">
        <v>1220</v>
      </c>
      <c r="I269" s="2" t="s">
        <v>1231</v>
      </c>
      <c r="J269" s="2" t="s">
        <v>1224</v>
      </c>
      <c r="K269" s="2" t="s">
        <v>1238</v>
      </c>
      <c r="L269" s="3">
        <v>21.5</v>
      </c>
      <c r="M269" s="3">
        <v>22.58</v>
      </c>
      <c r="N269" s="3">
        <v>47.99</v>
      </c>
      <c r="O269" s="2" t="s">
        <v>232</v>
      </c>
      <c r="P269" s="2" t="s">
        <v>878</v>
      </c>
      <c r="Q269" s="2" t="s">
        <v>234</v>
      </c>
      <c r="R269" s="2" t="s">
        <v>235</v>
      </c>
      <c r="S269" s="2" t="s">
        <v>235</v>
      </c>
      <c r="T269" s="2" t="s">
        <v>879</v>
      </c>
      <c r="U269" s="2" t="s">
        <v>807</v>
      </c>
      <c r="V269" s="2" t="s">
        <v>1222</v>
      </c>
      <c r="W269" s="2" t="s">
        <v>329</v>
      </c>
      <c r="X269" s="2" t="s">
        <v>235</v>
      </c>
      <c r="Y269" s="2" t="s">
        <v>235</v>
      </c>
      <c r="Z269" s="4"/>
      <c r="AA269" s="4">
        <f>=ROUNDDOWN({0},0)</f>
      </c>
      <c r="AB269" s="5"/>
      <c r="AC269" s="2" t="s">
        <v>235</v>
      </c>
      <c r="AD269" s="4"/>
      <c r="AE269" s="4"/>
      <c r="AF269" s="6"/>
      <c r="AG269" s="6"/>
      <c r="AH269" s="7"/>
      <c r="AI269" s="4"/>
      <c r="AJ269" s="4">
        <f>=ROUNDDOWN({0},0)</f>
      </c>
      <c r="AK269" s="5"/>
      <c r="AL269" s="2" t="s">
        <v>235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235</v>
      </c>
      <c r="AW269" s="8" t="s">
        <v>235</v>
      </c>
      <c r="AX269" s="4" t="s">
        <v>235</v>
      </c>
      <c r="AY269" s="8" t="s">
        <v>235</v>
      </c>
      <c r="AZ269" s="7" t="s">
        <v>235</v>
      </c>
      <c r="BA269" s="7" t="s">
        <v>235</v>
      </c>
      <c r="BB269" s="7"/>
      <c r="BC269" s="4" t="s">
        <v>235</v>
      </c>
      <c r="BD269" s="8" t="s">
        <v>235</v>
      </c>
      <c r="BE269" s="4" t="s">
        <v>235</v>
      </c>
      <c r="BF269" s="8" t="s">
        <v>235</v>
      </c>
      <c r="BG269" s="7" t="s">
        <v>235</v>
      </c>
      <c r="BH269" s="7" t="s">
        <v>235</v>
      </c>
      <c r="BI269" s="7"/>
      <c r="BJ269" s="4"/>
      <c r="BK269" s="8"/>
      <c r="BL269" s="2" t="s">
        <v>235</v>
      </c>
      <c r="BM269" s="7"/>
      <c r="BN269" s="7"/>
      <c r="BO269" s="4"/>
      <c r="BP269" s="8"/>
      <c r="BQ269" s="4"/>
      <c r="BR269" s="8"/>
      <c r="BS269" s="7"/>
      <c r="BT269" s="7"/>
      <c r="BU269" s="2" t="s">
        <v>330</v>
      </c>
      <c r="BV269" s="2" t="s">
        <v>235</v>
      </c>
      <c r="BW269" s="2" t="s">
        <v>235</v>
      </c>
      <c r="BX269" s="2" t="s">
        <v>330</v>
      </c>
      <c r="BY269" s="2" t="s">
        <v>331</v>
      </c>
      <c r="BZ269" s="2" t="s">
        <v>232</v>
      </c>
      <c r="CA269" s="2" t="s">
        <v>235</v>
      </c>
      <c r="CB269" s="2" t="s">
        <v>235</v>
      </c>
      <c r="CC269" s="2" t="s">
        <v>248</v>
      </c>
      <c r="CD269" s="2" t="s">
        <v>248</v>
      </c>
      <c r="CE269" s="2" t="s">
        <v>235</v>
      </c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</row>
    <row r="270">
      <c r="A270" s="2" t="s">
        <v>1240</v>
      </c>
      <c r="B270" s="2" t="s">
        <v>852</v>
      </c>
      <c r="C270" s="2" t="s">
        <v>324</v>
      </c>
      <c r="D270" s="2" t="s">
        <v>854</v>
      </c>
      <c r="E270" s="2" t="s">
        <v>855</v>
      </c>
      <c r="F270" s="2" t="s">
        <v>1218</v>
      </c>
      <c r="G270" s="2" t="s">
        <v>1219</v>
      </c>
      <c r="H270" s="2" t="s">
        <v>1220</v>
      </c>
      <c r="I270" s="2" t="s">
        <v>1221</v>
      </c>
      <c r="J270" s="2" t="s">
        <v>860</v>
      </c>
      <c r="K270" s="2" t="s">
        <v>292</v>
      </c>
      <c r="L270" s="3">
        <v>19.38</v>
      </c>
      <c r="M270" s="3">
        <v>20.35</v>
      </c>
      <c r="N270" s="3">
        <v>39.99</v>
      </c>
      <c r="O270" s="2" t="s">
        <v>232</v>
      </c>
      <c r="P270" s="2" t="s">
        <v>233</v>
      </c>
      <c r="Q270" s="2" t="s">
        <v>234</v>
      </c>
      <c r="R270" s="2" t="s">
        <v>235</v>
      </c>
      <c r="S270" s="2" t="s">
        <v>1241</v>
      </c>
      <c r="T270" s="2" t="s">
        <v>235</v>
      </c>
      <c r="U270" s="2" t="s">
        <v>807</v>
      </c>
      <c r="V270" s="2" t="s">
        <v>1222</v>
      </c>
      <c r="W270" s="2" t="s">
        <v>239</v>
      </c>
      <c r="X270" s="2" t="s">
        <v>1242</v>
      </c>
      <c r="Y270" s="2" t="s">
        <v>1243</v>
      </c>
      <c r="Z270" s="4">
        <v>197</v>
      </c>
      <c r="AA270" s="4">
        <f>=ROUNDDOWN(33.9655172413793,0)</f>
      </c>
      <c r="AB270" s="5">
        <v>5.8</v>
      </c>
      <c r="AC270" s="2" t="s">
        <v>235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235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235</v>
      </c>
      <c r="BD270" s="8" t="s">
        <v>235</v>
      </c>
      <c r="BE270" s="4" t="s">
        <v>235</v>
      </c>
      <c r="BF270" s="8" t="s">
        <v>235</v>
      </c>
      <c r="BG270" s="7" t="s">
        <v>235</v>
      </c>
      <c r="BH270" s="7" t="s">
        <v>235</v>
      </c>
      <c r="BI270" s="7"/>
      <c r="BJ270" s="4">
        <v>30</v>
      </c>
      <c r="BK270" s="8">
        <v>623.82</v>
      </c>
      <c r="BL270" s="2" t="s">
        <v>1244</v>
      </c>
      <c r="BM270" s="7"/>
      <c r="BN270" s="7"/>
      <c r="BO270" s="4"/>
      <c r="BP270" s="8"/>
      <c r="BQ270" s="4"/>
      <c r="BR270" s="8"/>
      <c r="BS270" s="7"/>
      <c r="BT270" s="7"/>
      <c r="BU270" s="2" t="s">
        <v>1227</v>
      </c>
      <c r="BV270" s="2" t="s">
        <v>867</v>
      </c>
      <c r="BW270" s="2" t="s">
        <v>235</v>
      </c>
      <c r="BX270" s="2" t="s">
        <v>685</v>
      </c>
      <c r="BY270" s="2" t="s">
        <v>245</v>
      </c>
      <c r="BZ270" s="2" t="s">
        <v>232</v>
      </c>
      <c r="CA270" s="2" t="s">
        <v>1245</v>
      </c>
      <c r="CB270" s="2" t="s">
        <v>1246</v>
      </c>
      <c r="CC270" s="2" t="s">
        <v>248</v>
      </c>
      <c r="CD270" s="2" t="s">
        <v>248</v>
      </c>
      <c r="CE270" s="2" t="s">
        <v>235</v>
      </c>
      <c r="CF270" s="4">
        <v>197</v>
      </c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>
        <v>205</v>
      </c>
      <c r="GE270" s="4">
        <v>196</v>
      </c>
      <c r="GF270" s="4">
        <v>195</v>
      </c>
      <c r="GG270" s="4">
        <v>192</v>
      </c>
      <c r="GH270" s="4">
        <v>183</v>
      </c>
      <c r="GI270" s="4">
        <v>175</v>
      </c>
      <c r="GJ270" s="4">
        <v>165</v>
      </c>
      <c r="GK270" s="4">
        <v>157</v>
      </c>
      <c r="GL270" s="4">
        <v>147</v>
      </c>
      <c r="GM270" s="4">
        <v>141</v>
      </c>
      <c r="GN270" s="4">
        <v>134</v>
      </c>
      <c r="GO270" s="4">
        <v>127</v>
      </c>
      <c r="GP270" s="4">
        <v>121</v>
      </c>
      <c r="GQ270" s="4">
        <v>114</v>
      </c>
      <c r="GR270" s="4">
        <v>108</v>
      </c>
      <c r="GS270" s="4">
        <v>101</v>
      </c>
      <c r="GT270" s="4">
        <v>95</v>
      </c>
      <c r="GU270" s="4">
        <v>89</v>
      </c>
      <c r="GV270" s="4">
        <v>82</v>
      </c>
      <c r="GW270" s="4">
        <v>76</v>
      </c>
      <c r="GX270" s="4">
        <v>70</v>
      </c>
      <c r="GY270" s="4">
        <v>64</v>
      </c>
      <c r="GZ270" s="4">
        <v>58</v>
      </c>
      <c r="HA270" s="4">
        <v>52</v>
      </c>
      <c r="HB270" s="4">
        <v>46</v>
      </c>
      <c r="HC270" s="4">
        <v>40</v>
      </c>
      <c r="HD270" s="19">
        <v>34.2</v>
      </c>
      <c r="HE270" s="19">
        <v>39.2</v>
      </c>
      <c r="HF270" s="19">
        <v>24.4</v>
      </c>
      <c r="HG270" s="19">
        <v>21.3</v>
      </c>
      <c r="HH270" s="19">
        <v>20.3</v>
      </c>
      <c r="HI270" s="19">
        <v>21.9</v>
      </c>
      <c r="HJ270" s="19">
        <v>20.6</v>
      </c>
      <c r="HK270" s="19">
        <v>19.6</v>
      </c>
      <c r="HL270" s="19">
        <v>24.5</v>
      </c>
      <c r="HM270" s="19">
        <v>20.1</v>
      </c>
      <c r="HN270" s="19">
        <v>22.3</v>
      </c>
      <c r="HO270" s="19">
        <v>21.2</v>
      </c>
      <c r="HP270" s="19">
        <v>20.2</v>
      </c>
      <c r="HQ270" s="19">
        <v>19</v>
      </c>
      <c r="HR270" s="19">
        <v>18</v>
      </c>
      <c r="HS270" s="19">
        <v>16.8</v>
      </c>
      <c r="HT270" s="19">
        <v>15.8</v>
      </c>
      <c r="HU270" s="19">
        <v>14.8</v>
      </c>
      <c r="HV270" s="19">
        <v>13.7</v>
      </c>
      <c r="HW270" s="19">
        <v>12.7</v>
      </c>
      <c r="HX270" s="19">
        <v>11.7</v>
      </c>
      <c r="HY270" s="19">
        <v>10.7</v>
      </c>
      <c r="HZ270" s="19">
        <v>9.7</v>
      </c>
      <c r="IA270" s="19">
        <v>8.7</v>
      </c>
      <c r="IB270" s="19">
        <v>7.7</v>
      </c>
      <c r="IC270" s="19">
        <v>6.7</v>
      </c>
    </row>
    <row r="271">
      <c r="A271" s="2" t="s">
        <v>1247</v>
      </c>
      <c r="B271" s="2" t="s">
        <v>852</v>
      </c>
      <c r="C271" s="2" t="s">
        <v>324</v>
      </c>
      <c r="D271" s="2" t="s">
        <v>854</v>
      </c>
      <c r="E271" s="2" t="s">
        <v>855</v>
      </c>
      <c r="F271" s="2" t="s">
        <v>1218</v>
      </c>
      <c r="G271" s="2" t="s">
        <v>1219</v>
      </c>
      <c r="H271" s="2" t="s">
        <v>1220</v>
      </c>
      <c r="I271" s="2" t="s">
        <v>1221</v>
      </c>
      <c r="J271" s="2" t="s">
        <v>1130</v>
      </c>
      <c r="K271" s="2" t="s">
        <v>1169</v>
      </c>
      <c r="L271" s="3">
        <v>19.75</v>
      </c>
      <c r="M271" s="3">
        <v>20.74</v>
      </c>
      <c r="N271" s="3">
        <v>44.99</v>
      </c>
      <c r="O271" s="2" t="s">
        <v>232</v>
      </c>
      <c r="P271" s="2" t="s">
        <v>878</v>
      </c>
      <c r="Q271" s="2" t="s">
        <v>234</v>
      </c>
      <c r="R271" s="2" t="s">
        <v>235</v>
      </c>
      <c r="S271" s="2" t="s">
        <v>235</v>
      </c>
      <c r="T271" s="2" t="s">
        <v>879</v>
      </c>
      <c r="U271" s="2" t="s">
        <v>807</v>
      </c>
      <c r="V271" s="2" t="s">
        <v>1222</v>
      </c>
      <c r="W271" s="2" t="s">
        <v>329</v>
      </c>
      <c r="X271" s="2" t="s">
        <v>235</v>
      </c>
      <c r="Y271" s="2" t="s">
        <v>235</v>
      </c>
      <c r="Z271" s="4"/>
      <c r="AA271" s="4">
        <f>=ROUNDDOWN({0},0)</f>
      </c>
      <c r="AB271" s="5"/>
      <c r="AC271" s="2" t="s">
        <v>235</v>
      </c>
      <c r="AD271" s="4"/>
      <c r="AE271" s="4"/>
      <c r="AF271" s="6"/>
      <c r="AG271" s="6"/>
      <c r="AH271" s="7"/>
      <c r="AI271" s="4"/>
      <c r="AJ271" s="4">
        <f>=ROUNDDOWN({0},0)</f>
      </c>
      <c r="AK271" s="5"/>
      <c r="AL271" s="2" t="s">
        <v>235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235</v>
      </c>
      <c r="AW271" s="8" t="s">
        <v>235</v>
      </c>
      <c r="AX271" s="4" t="s">
        <v>235</v>
      </c>
      <c r="AY271" s="8" t="s">
        <v>235</v>
      </c>
      <c r="AZ271" s="7" t="s">
        <v>235</v>
      </c>
      <c r="BA271" s="7" t="s">
        <v>235</v>
      </c>
      <c r="BB271" s="7"/>
      <c r="BC271" s="4" t="s">
        <v>235</v>
      </c>
      <c r="BD271" s="8" t="s">
        <v>235</v>
      </c>
      <c r="BE271" s="4" t="s">
        <v>235</v>
      </c>
      <c r="BF271" s="8" t="s">
        <v>235</v>
      </c>
      <c r="BG271" s="7" t="s">
        <v>235</v>
      </c>
      <c r="BH271" s="7" t="s">
        <v>235</v>
      </c>
      <c r="BI271" s="7"/>
      <c r="BJ271" s="4"/>
      <c r="BK271" s="8"/>
      <c r="BL271" s="2" t="s">
        <v>235</v>
      </c>
      <c r="BM271" s="7"/>
      <c r="BN271" s="7"/>
      <c r="BO271" s="4"/>
      <c r="BP271" s="8"/>
      <c r="BQ271" s="4"/>
      <c r="BR271" s="8"/>
      <c r="BS271" s="7"/>
      <c r="BT271" s="7"/>
      <c r="BU271" s="2" t="s">
        <v>330</v>
      </c>
      <c r="BV271" s="2" t="s">
        <v>235</v>
      </c>
      <c r="BW271" s="2" t="s">
        <v>235</v>
      </c>
      <c r="BX271" s="2" t="s">
        <v>330</v>
      </c>
      <c r="BY271" s="2" t="s">
        <v>331</v>
      </c>
      <c r="BZ271" s="2" t="s">
        <v>232</v>
      </c>
      <c r="CA271" s="2" t="s">
        <v>235</v>
      </c>
      <c r="CB271" s="2" t="s">
        <v>235</v>
      </c>
      <c r="CC271" s="2" t="s">
        <v>248</v>
      </c>
      <c r="CD271" s="2" t="s">
        <v>248</v>
      </c>
      <c r="CE271" s="2" t="s">
        <v>235</v>
      </c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</row>
    <row r="272">
      <c r="A272" s="2" t="s">
        <v>1248</v>
      </c>
      <c r="B272" s="2" t="s">
        <v>852</v>
      </c>
      <c r="C272" s="2" t="s">
        <v>324</v>
      </c>
      <c r="D272" s="2" t="s">
        <v>854</v>
      </c>
      <c r="E272" s="2" t="s">
        <v>855</v>
      </c>
      <c r="F272" s="2" t="s">
        <v>1218</v>
      </c>
      <c r="G272" s="2" t="s">
        <v>1219</v>
      </c>
      <c r="H272" s="2" t="s">
        <v>1220</v>
      </c>
      <c r="I272" s="2" t="s">
        <v>1221</v>
      </c>
      <c r="J272" s="2" t="s">
        <v>1224</v>
      </c>
      <c r="K272" s="2" t="s">
        <v>1169</v>
      </c>
      <c r="L272" s="3">
        <v>21.75</v>
      </c>
      <c r="M272" s="3">
        <v>22.84</v>
      </c>
      <c r="N272" s="3">
        <v>49.99</v>
      </c>
      <c r="O272" s="2" t="s">
        <v>232</v>
      </c>
      <c r="P272" s="2" t="s">
        <v>878</v>
      </c>
      <c r="Q272" s="2" t="s">
        <v>234</v>
      </c>
      <c r="R272" s="2" t="s">
        <v>235</v>
      </c>
      <c r="S272" s="2" t="s">
        <v>235</v>
      </c>
      <c r="T272" s="2" t="s">
        <v>879</v>
      </c>
      <c r="U272" s="2" t="s">
        <v>807</v>
      </c>
      <c r="V272" s="2" t="s">
        <v>1222</v>
      </c>
      <c r="W272" s="2" t="s">
        <v>329</v>
      </c>
      <c r="X272" s="2" t="s">
        <v>235</v>
      </c>
      <c r="Y272" s="2" t="s">
        <v>1225</v>
      </c>
      <c r="Z272" s="4">
        <v>475</v>
      </c>
      <c r="AA272" s="4">
        <f>=ROUNDDOWN(79.1666666666667,0)</f>
      </c>
      <c r="AB272" s="5">
        <v>6</v>
      </c>
      <c r="AC272" s="2" t="s">
        <v>235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235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235</v>
      </c>
      <c r="AW272" s="8" t="s">
        <v>235</v>
      </c>
      <c r="AX272" s="4" t="s">
        <v>235</v>
      </c>
      <c r="AY272" s="8" t="s">
        <v>235</v>
      </c>
      <c r="AZ272" s="7" t="s">
        <v>235</v>
      </c>
      <c r="BA272" s="7" t="s">
        <v>235</v>
      </c>
      <c r="BB272" s="7" t="s">
        <v>235</v>
      </c>
      <c r="BC272" s="4" t="s">
        <v>235</v>
      </c>
      <c r="BD272" s="8" t="s">
        <v>235</v>
      </c>
      <c r="BE272" s="4" t="s">
        <v>235</v>
      </c>
      <c r="BF272" s="8" t="s">
        <v>235</v>
      </c>
      <c r="BG272" s="7" t="s">
        <v>235</v>
      </c>
      <c r="BH272" s="7" t="s">
        <v>235</v>
      </c>
      <c r="BI272" s="7"/>
      <c r="BJ272" s="4">
        <v>8</v>
      </c>
      <c r="BK272" s="8">
        <v>218.08</v>
      </c>
      <c r="BL272" s="2" t="s">
        <v>1226</v>
      </c>
      <c r="BM272" s="7"/>
      <c r="BN272" s="7"/>
      <c r="BO272" s="4"/>
      <c r="BP272" s="8"/>
      <c r="BQ272" s="4"/>
      <c r="BR272" s="8"/>
      <c r="BS272" s="7"/>
      <c r="BT272" s="7"/>
      <c r="BU272" s="2" t="s">
        <v>1227</v>
      </c>
      <c r="BV272" s="2" t="s">
        <v>235</v>
      </c>
      <c r="BW272" s="2" t="s">
        <v>235</v>
      </c>
      <c r="BX272" s="2" t="s">
        <v>685</v>
      </c>
      <c r="BY272" s="2" t="s">
        <v>245</v>
      </c>
      <c r="BZ272" s="2" t="s">
        <v>232</v>
      </c>
      <c r="CA272" s="2" t="s">
        <v>235</v>
      </c>
      <c r="CB272" s="2" t="s">
        <v>1249</v>
      </c>
      <c r="CC272" s="2" t="s">
        <v>248</v>
      </c>
      <c r="CD272" s="2" t="s">
        <v>248</v>
      </c>
      <c r="CE272" s="2" t="s">
        <v>235</v>
      </c>
      <c r="CF272" s="4">
        <v>475</v>
      </c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>
        <v>475</v>
      </c>
      <c r="GE272" s="4">
        <v>471</v>
      </c>
      <c r="GF272" s="4">
        <v>468</v>
      </c>
      <c r="GG272" s="4">
        <v>465</v>
      </c>
      <c r="GH272" s="4">
        <v>462</v>
      </c>
      <c r="GI272" s="4">
        <v>459</v>
      </c>
      <c r="GJ272" s="4">
        <v>456</v>
      </c>
      <c r="GK272" s="4">
        <v>453</v>
      </c>
      <c r="GL272" s="4">
        <v>447</v>
      </c>
      <c r="GM272" s="4">
        <v>441</v>
      </c>
      <c r="GN272" s="4">
        <v>435</v>
      </c>
      <c r="GO272" s="4">
        <v>429</v>
      </c>
      <c r="GP272" s="4">
        <v>423</v>
      </c>
      <c r="GQ272" s="4">
        <v>416</v>
      </c>
      <c r="GR272" s="4">
        <v>410</v>
      </c>
      <c r="GS272" s="4">
        <v>403</v>
      </c>
      <c r="GT272" s="4">
        <v>397</v>
      </c>
      <c r="GU272" s="4">
        <v>391</v>
      </c>
      <c r="GV272" s="4">
        <v>384</v>
      </c>
      <c r="GW272" s="4">
        <v>378</v>
      </c>
      <c r="GX272" s="4">
        <v>372</v>
      </c>
      <c r="GY272" s="4">
        <v>366</v>
      </c>
      <c r="GZ272" s="4">
        <v>360</v>
      </c>
      <c r="HA272" s="4">
        <v>354</v>
      </c>
      <c r="HB272" s="4">
        <v>348</v>
      </c>
      <c r="HC272" s="4">
        <v>341</v>
      </c>
      <c r="HD272" s="19">
        <v>158.3</v>
      </c>
      <c r="HE272" s="19">
        <v>157</v>
      </c>
      <c r="HF272" s="19">
        <v>156</v>
      </c>
      <c r="HG272" s="19">
        <v>155</v>
      </c>
      <c r="HH272" s="19">
        <v>115.5</v>
      </c>
      <c r="HI272" s="19">
        <v>114.8</v>
      </c>
      <c r="HJ272" s="19">
        <v>91.2</v>
      </c>
      <c r="HK272" s="19">
        <v>75.5</v>
      </c>
      <c r="HL272" s="19">
        <v>74.5</v>
      </c>
      <c r="HM272" s="19">
        <v>73.5</v>
      </c>
      <c r="HN272" s="19">
        <v>72.5</v>
      </c>
      <c r="HO272" s="19">
        <v>71.5</v>
      </c>
      <c r="HP272" s="19">
        <v>70.5</v>
      </c>
      <c r="HQ272" s="19">
        <v>69.3</v>
      </c>
      <c r="HR272" s="19">
        <v>68.3</v>
      </c>
      <c r="HS272" s="19">
        <v>67.2</v>
      </c>
      <c r="HT272" s="19">
        <v>66.2</v>
      </c>
      <c r="HU272" s="19">
        <v>65.2</v>
      </c>
      <c r="HV272" s="19">
        <v>64</v>
      </c>
      <c r="HW272" s="19">
        <v>63</v>
      </c>
      <c r="HX272" s="19">
        <v>62</v>
      </c>
      <c r="HY272" s="19">
        <v>61</v>
      </c>
      <c r="HZ272" s="19">
        <v>60</v>
      </c>
      <c r="IA272" s="19">
        <v>59</v>
      </c>
      <c r="IB272" s="19">
        <v>58</v>
      </c>
      <c r="IC272" s="19">
        <v>56.8</v>
      </c>
    </row>
    <row r="273">
      <c r="A273" s="2" t="s">
        <v>1250</v>
      </c>
      <c r="B273" s="2" t="s">
        <v>852</v>
      </c>
      <c r="C273" s="2" t="s">
        <v>324</v>
      </c>
      <c r="D273" s="2" t="s">
        <v>854</v>
      </c>
      <c r="E273" s="2" t="s">
        <v>855</v>
      </c>
      <c r="F273" s="2" t="s">
        <v>1218</v>
      </c>
      <c r="G273" s="2" t="s">
        <v>1219</v>
      </c>
      <c r="H273" s="2" t="s">
        <v>1220</v>
      </c>
      <c r="I273" s="2" t="s">
        <v>1221</v>
      </c>
      <c r="J273" s="2" t="s">
        <v>1224</v>
      </c>
      <c r="K273" s="2" t="s">
        <v>1169</v>
      </c>
      <c r="L273" s="3">
        <v>21.75</v>
      </c>
      <c r="M273" s="3">
        <v>22.84</v>
      </c>
      <c r="N273" s="3">
        <v>49.99</v>
      </c>
      <c r="O273" s="2" t="s">
        <v>232</v>
      </c>
      <c r="P273" s="2" t="s">
        <v>878</v>
      </c>
      <c r="Q273" s="2" t="s">
        <v>234</v>
      </c>
      <c r="R273" s="2" t="s">
        <v>235</v>
      </c>
      <c r="S273" s="2" t="s">
        <v>235</v>
      </c>
      <c r="T273" s="2" t="s">
        <v>879</v>
      </c>
      <c r="U273" s="2" t="s">
        <v>807</v>
      </c>
      <c r="V273" s="2" t="s">
        <v>1222</v>
      </c>
      <c r="W273" s="2" t="s">
        <v>329</v>
      </c>
      <c r="X273" s="2" t="s">
        <v>235</v>
      </c>
      <c r="Y273" s="2" t="s">
        <v>235</v>
      </c>
      <c r="Z273" s="4"/>
      <c r="AA273" s="4">
        <f>=ROUNDDOWN({0},0)</f>
      </c>
      <c r="AB273" s="5"/>
      <c r="AC273" s="2" t="s">
        <v>235</v>
      </c>
      <c r="AD273" s="4"/>
      <c r="AE273" s="4"/>
      <c r="AF273" s="6"/>
      <c r="AG273" s="6"/>
      <c r="AH273" s="7"/>
      <c r="AI273" s="4"/>
      <c r="AJ273" s="4">
        <f>=ROUNDDOWN({0},0)</f>
      </c>
      <c r="AK273" s="5"/>
      <c r="AL273" s="2" t="s">
        <v>235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235</v>
      </c>
      <c r="AW273" s="8" t="s">
        <v>235</v>
      </c>
      <c r="AX273" s="4" t="s">
        <v>235</v>
      </c>
      <c r="AY273" s="8" t="s">
        <v>235</v>
      </c>
      <c r="AZ273" s="7" t="s">
        <v>235</v>
      </c>
      <c r="BA273" s="7" t="s">
        <v>235</v>
      </c>
      <c r="BB273" s="7" t="s">
        <v>235</v>
      </c>
      <c r="BC273" s="4" t="s">
        <v>235</v>
      </c>
      <c r="BD273" s="8" t="s">
        <v>235</v>
      </c>
      <c r="BE273" s="4" t="s">
        <v>235</v>
      </c>
      <c r="BF273" s="8" t="s">
        <v>235</v>
      </c>
      <c r="BG273" s="7" t="s">
        <v>235</v>
      </c>
      <c r="BH273" s="7" t="s">
        <v>235</v>
      </c>
      <c r="BI273" s="7"/>
      <c r="BJ273" s="4"/>
      <c r="BK273" s="8"/>
      <c r="BL273" s="2" t="s">
        <v>235</v>
      </c>
      <c r="BM273" s="7"/>
      <c r="BN273" s="7"/>
      <c r="BO273" s="4"/>
      <c r="BP273" s="8"/>
      <c r="BQ273" s="4"/>
      <c r="BR273" s="8"/>
      <c r="BS273" s="7"/>
      <c r="BT273" s="7"/>
      <c r="BU273" s="2" t="s">
        <v>330</v>
      </c>
      <c r="BV273" s="2" t="s">
        <v>235</v>
      </c>
      <c r="BW273" s="2" t="s">
        <v>235</v>
      </c>
      <c r="BX273" s="2" t="s">
        <v>330</v>
      </c>
      <c r="BY273" s="2" t="s">
        <v>331</v>
      </c>
      <c r="BZ273" s="2" t="s">
        <v>232</v>
      </c>
      <c r="CA273" s="2" t="s">
        <v>235</v>
      </c>
      <c r="CB273" s="2" t="s">
        <v>235</v>
      </c>
      <c r="CC273" s="2" t="s">
        <v>248</v>
      </c>
      <c r="CD273" s="2" t="s">
        <v>248</v>
      </c>
      <c r="CE273" s="2" t="s">
        <v>235</v>
      </c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</row>
    <row r="274">
      <c r="A274" s="2" t="s">
        <v>1251</v>
      </c>
      <c r="B274" s="2" t="s">
        <v>905</v>
      </c>
      <c r="C274" s="2" t="s">
        <v>832</v>
      </c>
      <c r="D274" s="2" t="s">
        <v>981</v>
      </c>
      <c r="E274" s="2" t="s">
        <v>982</v>
      </c>
      <c r="F274" s="2" t="s">
        <v>1252</v>
      </c>
      <c r="G274" s="2" t="s">
        <v>1252</v>
      </c>
      <c r="H274" s="2" t="s">
        <v>1252</v>
      </c>
      <c r="I274" s="2" t="s">
        <v>1253</v>
      </c>
      <c r="J274" s="2" t="s">
        <v>365</v>
      </c>
      <c r="K274" s="2" t="s">
        <v>292</v>
      </c>
      <c r="L274" s="3">
        <v>48.28</v>
      </c>
      <c r="M274" s="3">
        <v>50.69</v>
      </c>
      <c r="N274" s="3">
        <v>129.99</v>
      </c>
      <c r="O274" s="2" t="s">
        <v>485</v>
      </c>
      <c r="P274" s="2" t="s">
        <v>408</v>
      </c>
      <c r="Q274" s="2" t="s">
        <v>234</v>
      </c>
      <c r="R274" s="2" t="s">
        <v>235</v>
      </c>
      <c r="S274" s="2" t="s">
        <v>235</v>
      </c>
      <c r="T274" s="2" t="s">
        <v>263</v>
      </c>
      <c r="U274" s="2" t="s">
        <v>807</v>
      </c>
      <c r="V274" s="2" t="s">
        <v>238</v>
      </c>
      <c r="W274" s="2" t="s">
        <v>682</v>
      </c>
      <c r="X274" s="2" t="s">
        <v>235</v>
      </c>
      <c r="Y274" s="2" t="s">
        <v>1124</v>
      </c>
      <c r="Z274" s="4"/>
      <c r="AA274" s="4">
        <f>=ROUNDDOWN({0},0)</f>
      </c>
      <c r="AB274" s="5">
        <v>3</v>
      </c>
      <c r="AC274" s="2" t="s">
        <v>235</v>
      </c>
      <c r="AD274" s="4"/>
      <c r="AE274" s="4"/>
      <c r="AF274" s="6">
        <v>65</v>
      </c>
      <c r="AG274" s="6"/>
      <c r="AH274" s="7">
        <v>0.8387</v>
      </c>
      <c r="AI274" s="4"/>
      <c r="AJ274" s="4">
        <f>=ROUNDDOWN({0},0)</f>
      </c>
      <c r="AK274" s="5"/>
      <c r="AL274" s="2" t="s">
        <v>235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235</v>
      </c>
      <c r="BD274" s="8" t="s">
        <v>235</v>
      </c>
      <c r="BE274" s="4" t="s">
        <v>235</v>
      </c>
      <c r="BF274" s="8" t="s">
        <v>235</v>
      </c>
      <c r="BG274" s="7" t="s">
        <v>235</v>
      </c>
      <c r="BH274" s="7" t="s">
        <v>235</v>
      </c>
      <c r="BI274" s="7"/>
      <c r="BJ274" s="4">
        <v>3</v>
      </c>
      <c r="BK274" s="8">
        <v>162.73</v>
      </c>
      <c r="BL274" s="2" t="s">
        <v>1254</v>
      </c>
      <c r="BM274" s="7"/>
      <c r="BN274" s="7"/>
      <c r="BO274" s="4"/>
      <c r="BP274" s="8"/>
      <c r="BQ274" s="4"/>
      <c r="BR274" s="8"/>
      <c r="BS274" s="7"/>
      <c r="BT274" s="7"/>
      <c r="BU274" s="2" t="s">
        <v>1255</v>
      </c>
      <c r="BV274" s="2" t="s">
        <v>243</v>
      </c>
      <c r="BW274" s="2" t="s">
        <v>235</v>
      </c>
      <c r="BX274" s="2" t="s">
        <v>414</v>
      </c>
      <c r="BY274" s="2" t="s">
        <v>245</v>
      </c>
      <c r="BZ274" s="2" t="s">
        <v>232</v>
      </c>
      <c r="CA274" s="2" t="s">
        <v>1256</v>
      </c>
      <c r="CB274" s="2" t="s">
        <v>1257</v>
      </c>
      <c r="CC274" s="2" t="s">
        <v>248</v>
      </c>
      <c r="CD274" s="2" t="s">
        <v>248</v>
      </c>
      <c r="CE274" s="2" t="s">
        <v>235</v>
      </c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>
        <v>12</v>
      </c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19">
        <v>2</v>
      </c>
      <c r="HE274" s="20">
        <v>0</v>
      </c>
      <c r="HF274" s="20">
        <v>0</v>
      </c>
      <c r="HG274" s="20">
        <v>0</v>
      </c>
      <c r="HH274" s="20">
        <v>0</v>
      </c>
      <c r="HI274" s="20">
        <v>0</v>
      </c>
      <c r="HJ274" s="20">
        <v>0</v>
      </c>
      <c r="HK274" s="20">
        <v>0</v>
      </c>
      <c r="HL274" s="20">
        <v>0</v>
      </c>
      <c r="HM274" s="20">
        <v>0</v>
      </c>
      <c r="HN274" s="20">
        <v>0</v>
      </c>
      <c r="HO274" s="20">
        <v>0</v>
      </c>
      <c r="HP274" s="20">
        <v>0</v>
      </c>
      <c r="HQ274" s="20">
        <v>0</v>
      </c>
      <c r="HR274" s="20">
        <v>0</v>
      </c>
      <c r="HS274" s="20">
        <v>0</v>
      </c>
      <c r="HT274" s="20">
        <v>0</v>
      </c>
      <c r="HU274" s="20">
        <v>0</v>
      </c>
      <c r="HV274" s="20">
        <v>0</v>
      </c>
      <c r="HW274" s="20">
        <v>0</v>
      </c>
      <c r="HX274" s="20">
        <v>0</v>
      </c>
      <c r="HY274" s="20">
        <v>0</v>
      </c>
      <c r="HZ274" s="20">
        <v>0</v>
      </c>
      <c r="IA274" s="20">
        <v>0</v>
      </c>
      <c r="IB274" s="20">
        <v>0</v>
      </c>
      <c r="IC274" s="20">
        <v>0</v>
      </c>
    </row>
    <row r="275">
      <c r="A275" s="2" t="s">
        <v>1258</v>
      </c>
      <c r="B275" s="2" t="s">
        <v>905</v>
      </c>
      <c r="C275" s="2" t="s">
        <v>832</v>
      </c>
      <c r="D275" s="2" t="s">
        <v>981</v>
      </c>
      <c r="E275" s="2" t="s">
        <v>982</v>
      </c>
      <c r="F275" s="2" t="s">
        <v>1252</v>
      </c>
      <c r="G275" s="2" t="s">
        <v>1252</v>
      </c>
      <c r="H275" s="2" t="s">
        <v>1252</v>
      </c>
      <c r="I275" s="2" t="s">
        <v>1253</v>
      </c>
      <c r="J275" s="2" t="s">
        <v>372</v>
      </c>
      <c r="K275" s="2" t="s">
        <v>295</v>
      </c>
      <c r="L275" s="3">
        <v>55.71</v>
      </c>
      <c r="M275" s="3">
        <v>58.5</v>
      </c>
      <c r="N275" s="3">
        <v>149.99</v>
      </c>
      <c r="O275" s="2" t="s">
        <v>485</v>
      </c>
      <c r="P275" s="2" t="s">
        <v>408</v>
      </c>
      <c r="Q275" s="2" t="s">
        <v>234</v>
      </c>
      <c r="R275" s="2" t="s">
        <v>235</v>
      </c>
      <c r="S275" s="2" t="s">
        <v>235</v>
      </c>
      <c r="T275" s="2" t="s">
        <v>263</v>
      </c>
      <c r="U275" s="2" t="s">
        <v>807</v>
      </c>
      <c r="V275" s="2" t="s">
        <v>238</v>
      </c>
      <c r="W275" s="2" t="s">
        <v>682</v>
      </c>
      <c r="X275" s="2" t="s">
        <v>235</v>
      </c>
      <c r="Y275" s="2" t="s">
        <v>1124</v>
      </c>
      <c r="Z275" s="4"/>
      <c r="AA275" s="4">
        <f>=ROUNDDOWN({0},0)</f>
      </c>
      <c r="AB275" s="5">
        <v>1.8</v>
      </c>
      <c r="AC275" s="2" t="s">
        <v>235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235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235</v>
      </c>
      <c r="BD275" s="8" t="s">
        <v>235</v>
      </c>
      <c r="BE275" s="4" t="s">
        <v>235</v>
      </c>
      <c r="BF275" s="8" t="s">
        <v>235</v>
      </c>
      <c r="BG275" s="7" t="s">
        <v>235</v>
      </c>
      <c r="BH275" s="7" t="s">
        <v>235</v>
      </c>
      <c r="BI275" s="7"/>
      <c r="BJ275" s="4">
        <v>3</v>
      </c>
      <c r="BK275" s="8">
        <v>154.87</v>
      </c>
      <c r="BL275" s="2" t="s">
        <v>1259</v>
      </c>
      <c r="BM275" s="7"/>
      <c r="BN275" s="7"/>
      <c r="BO275" s="4"/>
      <c r="BP275" s="8"/>
      <c r="BQ275" s="4"/>
      <c r="BR275" s="8"/>
      <c r="BS275" s="7"/>
      <c r="BT275" s="7"/>
      <c r="BU275" s="2" t="s">
        <v>1255</v>
      </c>
      <c r="BV275" s="2" t="s">
        <v>243</v>
      </c>
      <c r="BW275" s="2" t="s">
        <v>235</v>
      </c>
      <c r="BX275" s="2" t="s">
        <v>414</v>
      </c>
      <c r="BY275" s="2" t="s">
        <v>245</v>
      </c>
      <c r="BZ275" s="2" t="s">
        <v>232</v>
      </c>
      <c r="CA275" s="2" t="s">
        <v>1256</v>
      </c>
      <c r="CB275" s="2" t="s">
        <v>1260</v>
      </c>
      <c r="CC275" s="2" t="s">
        <v>248</v>
      </c>
      <c r="CD275" s="2" t="s">
        <v>248</v>
      </c>
      <c r="CE275" s="2" t="s">
        <v>235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>
        <v>39</v>
      </c>
      <c r="GE275" s="4">
        <v>37</v>
      </c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19">
        <v>3.3</v>
      </c>
      <c r="HE275" s="19">
        <v>3.1</v>
      </c>
      <c r="HF275" s="20">
        <v>0</v>
      </c>
      <c r="HG275" s="20">
        <v>0</v>
      </c>
      <c r="HH275" s="20">
        <v>0</v>
      </c>
      <c r="HI275" s="20">
        <v>0</v>
      </c>
      <c r="HJ275" s="20">
        <v>0</v>
      </c>
      <c r="HK275" s="20">
        <v>0</v>
      </c>
      <c r="HL275" s="20">
        <v>0</v>
      </c>
      <c r="HM275" s="20">
        <v>0</v>
      </c>
      <c r="HN275" s="20">
        <v>0</v>
      </c>
      <c r="HO275" s="20">
        <v>0</v>
      </c>
      <c r="HP275" s="20">
        <v>0</v>
      </c>
      <c r="HQ275" s="20">
        <v>0</v>
      </c>
      <c r="HR275" s="20">
        <v>0</v>
      </c>
      <c r="HS275" s="20">
        <v>0</v>
      </c>
      <c r="HT275" s="20">
        <v>0</v>
      </c>
      <c r="HU275" s="20">
        <v>0</v>
      </c>
      <c r="HV275" s="20">
        <v>0</v>
      </c>
      <c r="HW275" s="20">
        <v>0</v>
      </c>
      <c r="HX275" s="20">
        <v>0</v>
      </c>
      <c r="HY275" s="20">
        <v>0</v>
      </c>
      <c r="HZ275" s="20">
        <v>0</v>
      </c>
      <c r="IA275" s="20">
        <v>0</v>
      </c>
      <c r="IB275" s="20">
        <v>0</v>
      </c>
      <c r="IC275" s="20">
        <v>0</v>
      </c>
    </row>
    <row r="276">
      <c r="A276" s="2" t="s">
        <v>1261</v>
      </c>
      <c r="B276" s="2" t="s">
        <v>852</v>
      </c>
      <c r="C276" s="2" t="s">
        <v>324</v>
      </c>
      <c r="D276" s="2" t="s">
        <v>854</v>
      </c>
      <c r="E276" s="2" t="s">
        <v>855</v>
      </c>
      <c r="F276" s="2" t="s">
        <v>1262</v>
      </c>
      <c r="G276" s="2" t="s">
        <v>1263</v>
      </c>
      <c r="H276" s="2" t="s">
        <v>1264</v>
      </c>
      <c r="I276" s="2" t="s">
        <v>1265</v>
      </c>
      <c r="J276" s="2" t="s">
        <v>1130</v>
      </c>
      <c r="K276" s="2" t="s">
        <v>231</v>
      </c>
      <c r="L276" s="3">
        <v>20.94</v>
      </c>
      <c r="M276" s="3">
        <v>21.99</v>
      </c>
      <c r="N276" s="3">
        <v>44.99</v>
      </c>
      <c r="O276" s="2" t="s">
        <v>232</v>
      </c>
      <c r="P276" s="2" t="s">
        <v>233</v>
      </c>
      <c r="Q276" s="2" t="s">
        <v>234</v>
      </c>
      <c r="R276" s="2" t="s">
        <v>235</v>
      </c>
      <c r="S276" s="2" t="s">
        <v>1266</v>
      </c>
      <c r="T276" s="2" t="s">
        <v>235</v>
      </c>
      <c r="U276" s="2" t="s">
        <v>235</v>
      </c>
      <c r="V276" s="2" t="s">
        <v>930</v>
      </c>
      <c r="W276" s="2" t="s">
        <v>1157</v>
      </c>
      <c r="X276" s="2" t="s">
        <v>1242</v>
      </c>
      <c r="Y276" s="2" t="s">
        <v>240</v>
      </c>
      <c r="Z276" s="4">
        <v>117</v>
      </c>
      <c r="AA276" s="4">
        <f>=ROUNDDOWN(26,0)</f>
      </c>
      <c r="AB276" s="5">
        <v>4.5</v>
      </c>
      <c r="AC276" s="2" t="s">
        <v>235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235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235</v>
      </c>
      <c r="BD276" s="8" t="s">
        <v>235</v>
      </c>
      <c r="BE276" s="4" t="s">
        <v>235</v>
      </c>
      <c r="BF276" s="8" t="s">
        <v>235</v>
      </c>
      <c r="BG276" s="7" t="s">
        <v>235</v>
      </c>
      <c r="BH276" s="7" t="s">
        <v>235</v>
      </c>
      <c r="BI276" s="7"/>
      <c r="BJ276" s="4">
        <v>14</v>
      </c>
      <c r="BK276" s="8">
        <v>326.06</v>
      </c>
      <c r="BL276" s="2" t="s">
        <v>1267</v>
      </c>
      <c r="BM276" s="7"/>
      <c r="BN276" s="7"/>
      <c r="BO276" s="4"/>
      <c r="BP276" s="8"/>
      <c r="BQ276" s="4"/>
      <c r="BR276" s="8"/>
      <c r="BS276" s="7"/>
      <c r="BT276" s="7"/>
      <c r="BU276" s="2" t="s">
        <v>1268</v>
      </c>
      <c r="BV276" s="2" t="s">
        <v>867</v>
      </c>
      <c r="BW276" s="2" t="s">
        <v>235</v>
      </c>
      <c r="BX276" s="2" t="s">
        <v>244</v>
      </c>
      <c r="BY276" s="2" t="s">
        <v>245</v>
      </c>
      <c r="BZ276" s="2" t="s">
        <v>232</v>
      </c>
      <c r="CA276" s="2" t="s">
        <v>252</v>
      </c>
      <c r="CB276" s="2" t="s">
        <v>1269</v>
      </c>
      <c r="CC276" s="2" t="s">
        <v>248</v>
      </c>
      <c r="CD276" s="2" t="s">
        <v>248</v>
      </c>
      <c r="CE276" s="2" t="s">
        <v>235</v>
      </c>
      <c r="CF276" s="4">
        <v>117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>
        <v>118</v>
      </c>
      <c r="GE276" s="4">
        <v>113</v>
      </c>
      <c r="GF276" s="4">
        <v>110</v>
      </c>
      <c r="GG276" s="4">
        <v>107</v>
      </c>
      <c r="GH276" s="4">
        <v>104</v>
      </c>
      <c r="GI276" s="4">
        <v>101</v>
      </c>
      <c r="GJ276" s="4">
        <v>97</v>
      </c>
      <c r="GK276" s="4">
        <v>93</v>
      </c>
      <c r="GL276" s="4">
        <v>88</v>
      </c>
      <c r="GM276" s="4">
        <v>84</v>
      </c>
      <c r="GN276" s="4">
        <v>79</v>
      </c>
      <c r="GO276" s="4">
        <v>73</v>
      </c>
      <c r="GP276" s="4">
        <v>68</v>
      </c>
      <c r="GQ276" s="4">
        <v>62</v>
      </c>
      <c r="GR276" s="4">
        <v>57</v>
      </c>
      <c r="GS276" s="4">
        <v>51</v>
      </c>
      <c r="GT276" s="4">
        <v>47</v>
      </c>
      <c r="GU276" s="4">
        <v>42</v>
      </c>
      <c r="GV276" s="4">
        <v>38</v>
      </c>
      <c r="GW276" s="4">
        <v>205</v>
      </c>
      <c r="GX276" s="4">
        <v>201</v>
      </c>
      <c r="GY276" s="4">
        <v>197</v>
      </c>
      <c r="GZ276" s="4">
        <v>193</v>
      </c>
      <c r="HA276" s="4">
        <v>189</v>
      </c>
      <c r="HB276" s="4">
        <v>185</v>
      </c>
      <c r="HC276" s="4">
        <v>180</v>
      </c>
      <c r="HD276" s="19">
        <v>29.5</v>
      </c>
      <c r="HE276" s="19">
        <v>37.7</v>
      </c>
      <c r="HF276" s="19">
        <v>36.7</v>
      </c>
      <c r="HG276" s="19">
        <v>26.8</v>
      </c>
      <c r="HH276" s="19">
        <v>26</v>
      </c>
      <c r="HI276" s="19">
        <v>25.3</v>
      </c>
      <c r="HJ276" s="19">
        <v>24.3</v>
      </c>
      <c r="HK276" s="9"/>
      <c r="HL276" s="19">
        <v>17.6</v>
      </c>
      <c r="HM276" s="19">
        <v>14</v>
      </c>
      <c r="HN276" s="19">
        <v>13.2</v>
      </c>
      <c r="HO276" s="19">
        <v>12.2</v>
      </c>
      <c r="HP276" s="19">
        <v>13.6</v>
      </c>
      <c r="HQ276" s="19">
        <v>12.4</v>
      </c>
      <c r="HR276" s="19">
        <v>11.4</v>
      </c>
      <c r="HS276" s="19">
        <v>12.8</v>
      </c>
      <c r="HT276" s="19">
        <v>11.8</v>
      </c>
      <c r="HU276" s="19">
        <v>10.5</v>
      </c>
      <c r="HV276" s="19">
        <v>9.5</v>
      </c>
      <c r="HW276" s="19">
        <v>51.3</v>
      </c>
      <c r="HX276" s="19">
        <v>50.3</v>
      </c>
      <c r="HY276" s="19">
        <v>49.3</v>
      </c>
      <c r="HZ276" s="19">
        <v>48.3</v>
      </c>
      <c r="IA276" s="19">
        <v>47.3</v>
      </c>
      <c r="IB276" s="19">
        <v>46.3</v>
      </c>
      <c r="IC276" s="19">
        <v>45</v>
      </c>
    </row>
    <row r="277">
      <c r="A277" s="2" t="s">
        <v>1270</v>
      </c>
      <c r="B277" s="2" t="s">
        <v>852</v>
      </c>
      <c r="C277" s="2" t="s">
        <v>324</v>
      </c>
      <c r="D277" s="2" t="s">
        <v>854</v>
      </c>
      <c r="E277" s="2" t="s">
        <v>855</v>
      </c>
      <c r="F277" s="2" t="s">
        <v>1262</v>
      </c>
      <c r="G277" s="2" t="s">
        <v>1263</v>
      </c>
      <c r="H277" s="2" t="s">
        <v>1264</v>
      </c>
      <c r="I277" s="2" t="s">
        <v>1265</v>
      </c>
      <c r="J277" s="2" t="s">
        <v>860</v>
      </c>
      <c r="K277" s="2" t="s">
        <v>292</v>
      </c>
      <c r="L277" s="3">
        <v>18.2</v>
      </c>
      <c r="M277" s="3">
        <v>19.11</v>
      </c>
      <c r="N277" s="3">
        <v>39.99</v>
      </c>
      <c r="O277" s="2" t="s">
        <v>232</v>
      </c>
      <c r="P277" s="2" t="s">
        <v>233</v>
      </c>
      <c r="Q277" s="2" t="s">
        <v>234</v>
      </c>
      <c r="R277" s="2" t="s">
        <v>235</v>
      </c>
      <c r="S277" s="2" t="s">
        <v>1271</v>
      </c>
      <c r="T277" s="2" t="s">
        <v>235</v>
      </c>
      <c r="U277" s="2" t="s">
        <v>235</v>
      </c>
      <c r="V277" s="2" t="s">
        <v>930</v>
      </c>
      <c r="W277" s="2" t="s">
        <v>1157</v>
      </c>
      <c r="X277" s="2" t="s">
        <v>1242</v>
      </c>
      <c r="Y277" s="2" t="s">
        <v>240</v>
      </c>
      <c r="Z277" s="4">
        <v>246</v>
      </c>
      <c r="AA277" s="4">
        <f>=ROUNDDOWN(61.5,0)</f>
      </c>
      <c r="AB277" s="5">
        <v>4</v>
      </c>
      <c r="AC277" s="2" t="s">
        <v>235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235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235</v>
      </c>
      <c r="AW277" s="8" t="s">
        <v>235</v>
      </c>
      <c r="AX277" s="4" t="s">
        <v>235</v>
      </c>
      <c r="AY277" s="8" t="s">
        <v>235</v>
      </c>
      <c r="AZ277" s="7" t="s">
        <v>235</v>
      </c>
      <c r="BA277" s="7" t="s">
        <v>235</v>
      </c>
      <c r="BB277" s="7"/>
      <c r="BC277" s="4" t="s">
        <v>235</v>
      </c>
      <c r="BD277" s="8" t="s">
        <v>235</v>
      </c>
      <c r="BE277" s="4" t="s">
        <v>235</v>
      </c>
      <c r="BF277" s="8" t="s">
        <v>235</v>
      </c>
      <c r="BG277" s="7" t="s">
        <v>235</v>
      </c>
      <c r="BH277" s="7" t="s">
        <v>235</v>
      </c>
      <c r="BI277" s="7"/>
      <c r="BJ277" s="4">
        <v>4</v>
      </c>
      <c r="BK277" s="8">
        <v>72.7</v>
      </c>
      <c r="BL277" s="2" t="s">
        <v>1272</v>
      </c>
      <c r="BM277" s="7"/>
      <c r="BN277" s="7"/>
      <c r="BO277" s="4"/>
      <c r="BP277" s="8"/>
      <c r="BQ277" s="4"/>
      <c r="BR277" s="8"/>
      <c r="BS277" s="7"/>
      <c r="BT277" s="7"/>
      <c r="BU277" s="2" t="s">
        <v>1268</v>
      </c>
      <c r="BV277" s="2" t="s">
        <v>867</v>
      </c>
      <c r="BW277" s="2" t="s">
        <v>235</v>
      </c>
      <c r="BX277" s="2" t="s">
        <v>244</v>
      </c>
      <c r="BY277" s="2" t="s">
        <v>245</v>
      </c>
      <c r="BZ277" s="2" t="s">
        <v>232</v>
      </c>
      <c r="CA277" s="2" t="s">
        <v>252</v>
      </c>
      <c r="CB277" s="2" t="s">
        <v>1273</v>
      </c>
      <c r="CC277" s="2" t="s">
        <v>248</v>
      </c>
      <c r="CD277" s="2" t="s">
        <v>248</v>
      </c>
      <c r="CE277" s="2" t="s">
        <v>235</v>
      </c>
      <c r="CF277" s="4">
        <v>246</v>
      </c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>
        <v>246</v>
      </c>
      <c r="GE277" s="4">
        <v>241</v>
      </c>
      <c r="GF277" s="4">
        <v>237</v>
      </c>
      <c r="GG277" s="4">
        <v>233</v>
      </c>
      <c r="GH277" s="4">
        <v>228</v>
      </c>
      <c r="GI277" s="4">
        <v>224</v>
      </c>
      <c r="GJ277" s="4">
        <v>219</v>
      </c>
      <c r="GK277" s="4">
        <v>215</v>
      </c>
      <c r="GL277" s="4">
        <v>210</v>
      </c>
      <c r="GM277" s="4">
        <v>206</v>
      </c>
      <c r="GN277" s="4">
        <v>201</v>
      </c>
      <c r="GO277" s="4">
        <v>195</v>
      </c>
      <c r="GP277" s="4">
        <v>190</v>
      </c>
      <c r="GQ277" s="4">
        <v>184</v>
      </c>
      <c r="GR277" s="4">
        <v>179</v>
      </c>
      <c r="GS277" s="4">
        <v>173</v>
      </c>
      <c r="GT277" s="4">
        <v>169</v>
      </c>
      <c r="GU277" s="4">
        <v>164</v>
      </c>
      <c r="GV277" s="4">
        <v>160</v>
      </c>
      <c r="GW277" s="4">
        <v>156</v>
      </c>
      <c r="GX277" s="4">
        <v>152</v>
      </c>
      <c r="GY277" s="4">
        <v>148</v>
      </c>
      <c r="GZ277" s="4">
        <v>144</v>
      </c>
      <c r="HA277" s="4">
        <v>140</v>
      </c>
      <c r="HB277" s="4">
        <v>136</v>
      </c>
      <c r="HC277" s="4">
        <v>131</v>
      </c>
      <c r="HD277" s="19">
        <v>61.5</v>
      </c>
      <c r="HE277" s="19">
        <v>60.3</v>
      </c>
      <c r="HF277" s="19">
        <v>59.3</v>
      </c>
      <c r="HG277" s="19">
        <v>58.3</v>
      </c>
      <c r="HH277" s="19">
        <v>57</v>
      </c>
      <c r="HI277" s="19">
        <v>56</v>
      </c>
      <c r="HJ277" s="19">
        <v>54.8</v>
      </c>
      <c r="HK277" s="19">
        <v>43</v>
      </c>
      <c r="HL277" s="19">
        <v>42</v>
      </c>
      <c r="HM277" s="19">
        <v>34.3</v>
      </c>
      <c r="HN277" s="19">
        <v>33.5</v>
      </c>
      <c r="HO277" s="19">
        <v>32.5</v>
      </c>
      <c r="HP277" s="19">
        <v>38</v>
      </c>
      <c r="HQ277" s="19">
        <v>36.8</v>
      </c>
      <c r="HR277" s="19">
        <v>35.8</v>
      </c>
      <c r="HS277" s="19">
        <v>43.3</v>
      </c>
      <c r="HT277" s="19">
        <v>42.3</v>
      </c>
      <c r="HU277" s="19">
        <v>41</v>
      </c>
      <c r="HV277" s="19">
        <v>40</v>
      </c>
      <c r="HW277" s="19">
        <v>39</v>
      </c>
      <c r="HX277" s="19">
        <v>38</v>
      </c>
      <c r="HY277" s="19">
        <v>37</v>
      </c>
      <c r="HZ277" s="19">
        <v>36</v>
      </c>
      <c r="IA277" s="19">
        <v>35</v>
      </c>
      <c r="IB277" s="19">
        <v>34</v>
      </c>
      <c r="IC277" s="19">
        <v>32.8</v>
      </c>
    </row>
    <row r="278">
      <c r="A278" s="2" t="s">
        <v>1274</v>
      </c>
      <c r="B278" s="2" t="s">
        <v>852</v>
      </c>
      <c r="C278" s="2" t="s">
        <v>324</v>
      </c>
      <c r="D278" s="2" t="s">
        <v>854</v>
      </c>
      <c r="E278" s="2" t="s">
        <v>855</v>
      </c>
      <c r="F278" s="2" t="s">
        <v>1262</v>
      </c>
      <c r="G278" s="2" t="s">
        <v>1263</v>
      </c>
      <c r="H278" s="2" t="s">
        <v>1264</v>
      </c>
      <c r="I278" s="2" t="s">
        <v>1265</v>
      </c>
      <c r="J278" s="2" t="s">
        <v>1130</v>
      </c>
      <c r="K278" s="2" t="s">
        <v>292</v>
      </c>
      <c r="L278" s="3">
        <v>20.94</v>
      </c>
      <c r="M278" s="3">
        <v>21.99</v>
      </c>
      <c r="N278" s="3">
        <v>44.99</v>
      </c>
      <c r="O278" s="2" t="s">
        <v>232</v>
      </c>
      <c r="P278" s="2" t="s">
        <v>233</v>
      </c>
      <c r="Q278" s="2" t="s">
        <v>234</v>
      </c>
      <c r="R278" s="2" t="s">
        <v>235</v>
      </c>
      <c r="S278" s="2" t="s">
        <v>1271</v>
      </c>
      <c r="T278" s="2" t="s">
        <v>235</v>
      </c>
      <c r="U278" s="2" t="s">
        <v>235</v>
      </c>
      <c r="V278" s="2" t="s">
        <v>930</v>
      </c>
      <c r="W278" s="2" t="s">
        <v>1157</v>
      </c>
      <c r="X278" s="2" t="s">
        <v>1242</v>
      </c>
      <c r="Y278" s="2" t="s">
        <v>240</v>
      </c>
      <c r="Z278" s="4">
        <v>81</v>
      </c>
      <c r="AA278" s="4">
        <f>=ROUNDDOWN(40.5,0)</f>
      </c>
      <c r="AB278" s="5">
        <v>2</v>
      </c>
      <c r="AC278" s="2" t="s">
        <v>235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235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235</v>
      </c>
      <c r="AW278" s="8" t="s">
        <v>235</v>
      </c>
      <c r="AX278" s="4" t="s">
        <v>235</v>
      </c>
      <c r="AY278" s="8" t="s">
        <v>235</v>
      </c>
      <c r="AZ278" s="7" t="s">
        <v>235</v>
      </c>
      <c r="BA278" s="7" t="s">
        <v>235</v>
      </c>
      <c r="BB278" s="7"/>
      <c r="BC278" s="4" t="s">
        <v>235</v>
      </c>
      <c r="BD278" s="8" t="s">
        <v>235</v>
      </c>
      <c r="BE278" s="4" t="s">
        <v>235</v>
      </c>
      <c r="BF278" s="8" t="s">
        <v>235</v>
      </c>
      <c r="BG278" s="7" t="s">
        <v>235</v>
      </c>
      <c r="BH278" s="7" t="s">
        <v>235</v>
      </c>
      <c r="BI278" s="7"/>
      <c r="BJ278" s="4">
        <v>14</v>
      </c>
      <c r="BK278" s="8">
        <v>295.68</v>
      </c>
      <c r="BL278" s="2" t="s">
        <v>1275</v>
      </c>
      <c r="BM278" s="7"/>
      <c r="BN278" s="7"/>
      <c r="BO278" s="4"/>
      <c r="BP278" s="8"/>
      <c r="BQ278" s="4"/>
      <c r="BR278" s="8"/>
      <c r="BS278" s="7"/>
      <c r="BT278" s="7"/>
      <c r="BU278" s="2" t="s">
        <v>1268</v>
      </c>
      <c r="BV278" s="2" t="s">
        <v>867</v>
      </c>
      <c r="BW278" s="2" t="s">
        <v>235</v>
      </c>
      <c r="BX278" s="2" t="s">
        <v>244</v>
      </c>
      <c r="BY278" s="2" t="s">
        <v>245</v>
      </c>
      <c r="BZ278" s="2" t="s">
        <v>232</v>
      </c>
      <c r="CA278" s="2" t="s">
        <v>252</v>
      </c>
      <c r="CB278" s="2" t="s">
        <v>1276</v>
      </c>
      <c r="CC278" s="2" t="s">
        <v>248</v>
      </c>
      <c r="CD278" s="2" t="s">
        <v>248</v>
      </c>
      <c r="CE278" s="2" t="s">
        <v>235</v>
      </c>
      <c r="CF278" s="4">
        <v>81</v>
      </c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>
        <v>81</v>
      </c>
      <c r="GE278" s="4">
        <v>80</v>
      </c>
      <c r="GF278" s="4">
        <v>79</v>
      </c>
      <c r="GG278" s="4">
        <v>78</v>
      </c>
      <c r="GH278" s="4">
        <v>77</v>
      </c>
      <c r="GI278" s="4">
        <v>76</v>
      </c>
      <c r="GJ278" s="4">
        <v>75</v>
      </c>
      <c r="GK278" s="4">
        <v>73</v>
      </c>
      <c r="GL278" s="4">
        <v>70</v>
      </c>
      <c r="GM278" s="4">
        <v>68</v>
      </c>
      <c r="GN278" s="4">
        <v>66</v>
      </c>
      <c r="GO278" s="4">
        <v>63</v>
      </c>
      <c r="GP278" s="4">
        <v>61</v>
      </c>
      <c r="GQ278" s="4">
        <v>58</v>
      </c>
      <c r="GR278" s="4">
        <v>56</v>
      </c>
      <c r="GS278" s="4">
        <v>53</v>
      </c>
      <c r="GT278" s="4">
        <v>51</v>
      </c>
      <c r="GU278" s="4">
        <v>49</v>
      </c>
      <c r="GV278" s="4">
        <v>47</v>
      </c>
      <c r="GW278" s="4">
        <v>45</v>
      </c>
      <c r="GX278" s="4">
        <v>43</v>
      </c>
      <c r="GY278" s="4">
        <v>41</v>
      </c>
      <c r="GZ278" s="4">
        <v>39</v>
      </c>
      <c r="HA278" s="4">
        <v>37</v>
      </c>
      <c r="HB278" s="4">
        <v>35</v>
      </c>
      <c r="HC278" s="4">
        <v>33</v>
      </c>
      <c r="HD278" s="19">
        <v>81</v>
      </c>
      <c r="HE278" s="19">
        <v>80</v>
      </c>
      <c r="HF278" s="19">
        <v>79</v>
      </c>
      <c r="HG278" s="19">
        <v>78</v>
      </c>
      <c r="HH278" s="19">
        <v>38.5</v>
      </c>
      <c r="HI278" s="19">
        <v>38</v>
      </c>
      <c r="HJ278" s="19">
        <v>37.5</v>
      </c>
      <c r="HK278" s="19">
        <v>36.5</v>
      </c>
      <c r="HL278" s="19">
        <v>35</v>
      </c>
      <c r="HM278" s="19">
        <v>34</v>
      </c>
      <c r="HN278" s="19">
        <v>33</v>
      </c>
      <c r="HO278" s="19">
        <v>31.5</v>
      </c>
      <c r="HP278" s="19">
        <v>30.5</v>
      </c>
      <c r="HQ278" s="19">
        <v>29</v>
      </c>
      <c r="HR278" s="19">
        <v>28</v>
      </c>
      <c r="HS278" s="19">
        <v>26.5</v>
      </c>
      <c r="HT278" s="19">
        <v>25.5</v>
      </c>
      <c r="HU278" s="19">
        <v>24.5</v>
      </c>
      <c r="HV278" s="19">
        <v>23.5</v>
      </c>
      <c r="HW278" s="19">
        <v>22.5</v>
      </c>
      <c r="HX278" s="19">
        <v>21.5</v>
      </c>
      <c r="HY278" s="19">
        <v>20.5</v>
      </c>
      <c r="HZ278" s="19">
        <v>19.5</v>
      </c>
      <c r="IA278" s="19">
        <v>18.5</v>
      </c>
      <c r="IB278" s="19">
        <v>17.5</v>
      </c>
      <c r="IC278" s="19">
        <v>16.5</v>
      </c>
    </row>
    <row r="279">
      <c r="A279" s="2" t="s">
        <v>1277</v>
      </c>
      <c r="B279" s="2" t="s">
        <v>852</v>
      </c>
      <c r="C279" s="2" t="s">
        <v>324</v>
      </c>
      <c r="D279" s="2" t="s">
        <v>854</v>
      </c>
      <c r="E279" s="2" t="s">
        <v>855</v>
      </c>
      <c r="F279" s="2" t="s">
        <v>1262</v>
      </c>
      <c r="G279" s="2" t="s">
        <v>1263</v>
      </c>
      <c r="H279" s="2" t="s">
        <v>1264</v>
      </c>
      <c r="I279" s="2" t="s">
        <v>1265</v>
      </c>
      <c r="J279" s="2" t="s">
        <v>1130</v>
      </c>
      <c r="K279" s="2" t="s">
        <v>600</v>
      </c>
      <c r="L279" s="3">
        <v>20.94</v>
      </c>
      <c r="M279" s="3">
        <v>21.99</v>
      </c>
      <c r="N279" s="3">
        <v>44.99</v>
      </c>
      <c r="O279" s="2" t="s">
        <v>232</v>
      </c>
      <c r="P279" s="2" t="s">
        <v>233</v>
      </c>
      <c r="Q279" s="2" t="s">
        <v>234</v>
      </c>
      <c r="R279" s="2" t="s">
        <v>235</v>
      </c>
      <c r="S279" s="2" t="s">
        <v>1278</v>
      </c>
      <c r="T279" s="2" t="s">
        <v>235</v>
      </c>
      <c r="U279" s="2" t="s">
        <v>235</v>
      </c>
      <c r="V279" s="2" t="s">
        <v>930</v>
      </c>
      <c r="W279" s="2" t="s">
        <v>1157</v>
      </c>
      <c r="X279" s="2" t="s">
        <v>1242</v>
      </c>
      <c r="Y279" s="2" t="s">
        <v>240</v>
      </c>
      <c r="Z279" s="4">
        <v>134</v>
      </c>
      <c r="AA279" s="4">
        <f>=ROUNDDOWN(33.5,0)</f>
      </c>
      <c r="AB279" s="5">
        <v>4</v>
      </c>
      <c r="AC279" s="2" t="s">
        <v>235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235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235</v>
      </c>
      <c r="BD279" s="8" t="s">
        <v>235</v>
      </c>
      <c r="BE279" s="4" t="s">
        <v>235</v>
      </c>
      <c r="BF279" s="8" t="s">
        <v>235</v>
      </c>
      <c r="BG279" s="7" t="s">
        <v>235</v>
      </c>
      <c r="BH279" s="7" t="s">
        <v>235</v>
      </c>
      <c r="BI279" s="7"/>
      <c r="BJ279" s="4">
        <v>14</v>
      </c>
      <c r="BK279" s="8">
        <v>429.4</v>
      </c>
      <c r="BL279" s="2" t="s">
        <v>1279</v>
      </c>
      <c r="BM279" s="7"/>
      <c r="BN279" s="7"/>
      <c r="BO279" s="4"/>
      <c r="BP279" s="8"/>
      <c r="BQ279" s="4"/>
      <c r="BR279" s="8"/>
      <c r="BS279" s="7"/>
      <c r="BT279" s="7"/>
      <c r="BU279" s="2" t="s">
        <v>1268</v>
      </c>
      <c r="BV279" s="2" t="s">
        <v>867</v>
      </c>
      <c r="BW279" s="2" t="s">
        <v>235</v>
      </c>
      <c r="BX279" s="2" t="s">
        <v>244</v>
      </c>
      <c r="BY279" s="2" t="s">
        <v>245</v>
      </c>
      <c r="BZ279" s="2" t="s">
        <v>232</v>
      </c>
      <c r="CA279" s="2" t="s">
        <v>252</v>
      </c>
      <c r="CB279" s="2" t="s">
        <v>1280</v>
      </c>
      <c r="CC279" s="2" t="s">
        <v>248</v>
      </c>
      <c r="CD279" s="2" t="s">
        <v>248</v>
      </c>
      <c r="CE279" s="2" t="s">
        <v>235</v>
      </c>
      <c r="CF279" s="4">
        <v>134</v>
      </c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>
        <v>137</v>
      </c>
      <c r="GE279" s="4">
        <v>130</v>
      </c>
      <c r="GF279" s="4">
        <v>127</v>
      </c>
      <c r="GG279" s="4">
        <v>124</v>
      </c>
      <c r="GH279" s="4">
        <v>121</v>
      </c>
      <c r="GI279" s="4">
        <v>118</v>
      </c>
      <c r="GJ279" s="4">
        <v>115</v>
      </c>
      <c r="GK279" s="4">
        <v>111</v>
      </c>
      <c r="GL279" s="4">
        <v>106</v>
      </c>
      <c r="GM279" s="4">
        <v>102</v>
      </c>
      <c r="GN279" s="4">
        <v>97</v>
      </c>
      <c r="GO279" s="4">
        <v>91</v>
      </c>
      <c r="GP279" s="4">
        <v>86</v>
      </c>
      <c r="GQ279" s="4">
        <v>80</v>
      </c>
      <c r="GR279" s="4">
        <v>75</v>
      </c>
      <c r="GS279" s="4">
        <v>69</v>
      </c>
      <c r="GT279" s="4">
        <v>65</v>
      </c>
      <c r="GU279" s="4">
        <v>60</v>
      </c>
      <c r="GV279" s="4">
        <v>56</v>
      </c>
      <c r="GW279" s="4">
        <v>192</v>
      </c>
      <c r="GX279" s="4">
        <v>188</v>
      </c>
      <c r="GY279" s="4">
        <v>184</v>
      </c>
      <c r="GZ279" s="4">
        <v>180</v>
      </c>
      <c r="HA279" s="4">
        <v>176</v>
      </c>
      <c r="HB279" s="4">
        <v>172</v>
      </c>
      <c r="HC279" s="4">
        <v>167</v>
      </c>
      <c r="HD279" s="19">
        <v>34.3</v>
      </c>
      <c r="HE279" s="19">
        <v>43.3</v>
      </c>
      <c r="HF279" s="19">
        <v>42.3</v>
      </c>
      <c r="HG279" s="19">
        <v>41.3</v>
      </c>
      <c r="HH279" s="19">
        <v>30.3</v>
      </c>
      <c r="HI279" s="19">
        <v>29.5</v>
      </c>
      <c r="HJ279" s="19">
        <v>28.8</v>
      </c>
      <c r="HK279" s="19">
        <v>22.2</v>
      </c>
      <c r="HL279" s="19">
        <v>21.2</v>
      </c>
      <c r="HM279" s="19">
        <v>17</v>
      </c>
      <c r="HN279" s="19">
        <v>16.2</v>
      </c>
      <c r="HO279" s="19">
        <v>15.2</v>
      </c>
      <c r="HP279" s="19">
        <v>17.2</v>
      </c>
      <c r="HQ279" s="19">
        <v>16</v>
      </c>
      <c r="HR279" s="19">
        <v>15</v>
      </c>
      <c r="HS279" s="19">
        <v>17.3</v>
      </c>
      <c r="HT279" s="19">
        <v>16.3</v>
      </c>
      <c r="HU279" s="19">
        <v>15</v>
      </c>
      <c r="HV279" s="19">
        <v>14</v>
      </c>
      <c r="HW279" s="19">
        <v>48</v>
      </c>
      <c r="HX279" s="19">
        <v>47</v>
      </c>
      <c r="HY279" s="19">
        <v>46</v>
      </c>
      <c r="HZ279" s="19">
        <v>45</v>
      </c>
      <c r="IA279" s="19">
        <v>44</v>
      </c>
      <c r="IB279" s="19">
        <v>43</v>
      </c>
      <c r="IC279" s="19">
        <v>41.8</v>
      </c>
    </row>
    <row r="280">
      <c r="A280" s="2" t="s">
        <v>1281</v>
      </c>
      <c r="B280" s="2" t="s">
        <v>852</v>
      </c>
      <c r="C280" s="2" t="s">
        <v>324</v>
      </c>
      <c r="D280" s="2" t="s">
        <v>854</v>
      </c>
      <c r="E280" s="2" t="s">
        <v>855</v>
      </c>
      <c r="F280" s="2" t="s">
        <v>1262</v>
      </c>
      <c r="G280" s="2" t="s">
        <v>1263</v>
      </c>
      <c r="H280" s="2" t="s">
        <v>1264</v>
      </c>
      <c r="I280" s="2" t="s">
        <v>1265</v>
      </c>
      <c r="J280" s="2" t="s">
        <v>1130</v>
      </c>
      <c r="K280" s="2" t="s">
        <v>316</v>
      </c>
      <c r="L280" s="3">
        <v>20.94</v>
      </c>
      <c r="M280" s="3">
        <v>21.99</v>
      </c>
      <c r="N280" s="3">
        <v>44.99</v>
      </c>
      <c r="O280" s="2" t="s">
        <v>232</v>
      </c>
      <c r="P280" s="2" t="s">
        <v>1282</v>
      </c>
      <c r="Q280" s="2" t="s">
        <v>234</v>
      </c>
      <c r="R280" s="2" t="s">
        <v>235</v>
      </c>
      <c r="S280" s="2" t="s">
        <v>1283</v>
      </c>
      <c r="T280" s="2" t="s">
        <v>235</v>
      </c>
      <c r="U280" s="2" t="s">
        <v>235</v>
      </c>
      <c r="V280" s="2" t="s">
        <v>930</v>
      </c>
      <c r="W280" s="2" t="s">
        <v>1157</v>
      </c>
      <c r="X280" s="2" t="s">
        <v>1242</v>
      </c>
      <c r="Y280" s="2" t="s">
        <v>240</v>
      </c>
      <c r="Z280" s="4">
        <v>252</v>
      </c>
      <c r="AA280" s="4">
        <f>=ROUNDDOWN(61.4634146341463,0)</f>
      </c>
      <c r="AB280" s="5">
        <v>4.1</v>
      </c>
      <c r="AC280" s="2" t="s">
        <v>235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235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235</v>
      </c>
      <c r="BD280" s="8" t="s">
        <v>235</v>
      </c>
      <c r="BE280" s="4" t="s">
        <v>235</v>
      </c>
      <c r="BF280" s="8" t="s">
        <v>235</v>
      </c>
      <c r="BG280" s="7" t="s">
        <v>235</v>
      </c>
      <c r="BH280" s="7" t="s">
        <v>235</v>
      </c>
      <c r="BI280" s="7"/>
      <c r="BJ280" s="4">
        <v>8</v>
      </c>
      <c r="BK280" s="8">
        <v>182.56</v>
      </c>
      <c r="BL280" s="2" t="s">
        <v>1284</v>
      </c>
      <c r="BM280" s="7"/>
      <c r="BN280" s="7"/>
      <c r="BO280" s="4"/>
      <c r="BP280" s="8"/>
      <c r="BQ280" s="4"/>
      <c r="BR280" s="8"/>
      <c r="BS280" s="7"/>
      <c r="BT280" s="7"/>
      <c r="BU280" s="2" t="s">
        <v>1268</v>
      </c>
      <c r="BV280" s="2" t="s">
        <v>867</v>
      </c>
      <c r="BW280" s="2" t="s">
        <v>235</v>
      </c>
      <c r="BX280" s="2" t="s">
        <v>244</v>
      </c>
      <c r="BY280" s="2" t="s">
        <v>245</v>
      </c>
      <c r="BZ280" s="2" t="s">
        <v>232</v>
      </c>
      <c r="CA280" s="2" t="s">
        <v>252</v>
      </c>
      <c r="CB280" s="2" t="s">
        <v>1285</v>
      </c>
      <c r="CC280" s="2" t="s">
        <v>248</v>
      </c>
      <c r="CD280" s="2" t="s">
        <v>248</v>
      </c>
      <c r="CE280" s="2" t="s">
        <v>235</v>
      </c>
      <c r="CF280" s="4">
        <v>252</v>
      </c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>
        <v>252</v>
      </c>
      <c r="GE280" s="4">
        <v>247</v>
      </c>
      <c r="GF280" s="4">
        <v>242</v>
      </c>
      <c r="GG280" s="4">
        <v>237</v>
      </c>
      <c r="GH280" s="4">
        <v>231</v>
      </c>
      <c r="GI280" s="4">
        <v>226</v>
      </c>
      <c r="GJ280" s="4">
        <v>220</v>
      </c>
      <c r="GK280" s="4">
        <v>215</v>
      </c>
      <c r="GL280" s="4">
        <v>209</v>
      </c>
      <c r="GM280" s="4">
        <v>204</v>
      </c>
      <c r="GN280" s="4">
        <v>198</v>
      </c>
      <c r="GO280" s="4">
        <v>191</v>
      </c>
      <c r="GP280" s="4">
        <v>184</v>
      </c>
      <c r="GQ280" s="4">
        <v>176</v>
      </c>
      <c r="GR280" s="4">
        <v>170</v>
      </c>
      <c r="GS280" s="4">
        <v>162</v>
      </c>
      <c r="GT280" s="4">
        <v>157</v>
      </c>
      <c r="GU280" s="4">
        <v>151</v>
      </c>
      <c r="GV280" s="4">
        <v>146</v>
      </c>
      <c r="GW280" s="4">
        <v>141</v>
      </c>
      <c r="GX280" s="4">
        <v>136</v>
      </c>
      <c r="GY280" s="4">
        <v>131</v>
      </c>
      <c r="GZ280" s="4">
        <v>126</v>
      </c>
      <c r="HA280" s="4">
        <v>121</v>
      </c>
      <c r="HB280" s="4">
        <v>116</v>
      </c>
      <c r="HC280" s="4">
        <v>110</v>
      </c>
      <c r="HD280" s="19">
        <v>50.4</v>
      </c>
      <c r="HE280" s="19">
        <v>49.4</v>
      </c>
      <c r="HF280" s="19">
        <v>40.3</v>
      </c>
      <c r="HG280" s="19">
        <v>39.5</v>
      </c>
      <c r="HH280" s="19">
        <v>38.5</v>
      </c>
      <c r="HI280" s="19">
        <v>37.7</v>
      </c>
      <c r="HJ280" s="19">
        <v>36.7</v>
      </c>
      <c r="HK280" s="19">
        <v>35.8</v>
      </c>
      <c r="HL280" s="19">
        <v>34.8</v>
      </c>
      <c r="HM280" s="19">
        <v>29.1</v>
      </c>
      <c r="HN280" s="19">
        <v>28.3</v>
      </c>
      <c r="HO280" s="19">
        <v>27.3</v>
      </c>
      <c r="HP280" s="19">
        <v>26.3</v>
      </c>
      <c r="HQ280" s="19">
        <v>29.3</v>
      </c>
      <c r="HR280" s="19">
        <v>28.3</v>
      </c>
      <c r="HS280" s="19">
        <v>32.4</v>
      </c>
      <c r="HT280" s="19">
        <v>31.4</v>
      </c>
      <c r="HU280" s="19">
        <v>30.2</v>
      </c>
      <c r="HV280" s="19">
        <v>29.2</v>
      </c>
      <c r="HW280" s="19">
        <v>28.2</v>
      </c>
      <c r="HX280" s="19">
        <v>27.2</v>
      </c>
      <c r="HY280" s="19">
        <v>26.2</v>
      </c>
      <c r="HZ280" s="19">
        <v>25.2</v>
      </c>
      <c r="IA280" s="19">
        <v>24.2</v>
      </c>
      <c r="IB280" s="19">
        <v>23.2</v>
      </c>
      <c r="IC280" s="19">
        <v>22</v>
      </c>
    </row>
    <row r="281">
      <c r="A281" s="2" t="s">
        <v>1286</v>
      </c>
      <c r="B281" s="2" t="s">
        <v>1139</v>
      </c>
      <c r="C281" s="2" t="s">
        <v>324</v>
      </c>
      <c r="D281" s="2" t="s">
        <v>1140</v>
      </c>
      <c r="E281" s="2" t="s">
        <v>1141</v>
      </c>
      <c r="F281" s="2" t="s">
        <v>1287</v>
      </c>
      <c r="G281" s="2" t="s">
        <v>1288</v>
      </c>
      <c r="H281" s="2" t="s">
        <v>1289</v>
      </c>
      <c r="I281" s="2" t="s">
        <v>1290</v>
      </c>
      <c r="J281" s="2" t="s">
        <v>1146</v>
      </c>
      <c r="K281" s="2" t="s">
        <v>292</v>
      </c>
      <c r="L281" s="3">
        <v>16.49</v>
      </c>
      <c r="M281" s="3">
        <v>16.38</v>
      </c>
      <c r="N281" s="3">
        <v>36.99</v>
      </c>
      <c r="O281" s="2" t="s">
        <v>232</v>
      </c>
      <c r="P281" s="2" t="s">
        <v>878</v>
      </c>
      <c r="Q281" s="2" t="s">
        <v>234</v>
      </c>
      <c r="R281" s="2" t="s">
        <v>235</v>
      </c>
      <c r="S281" s="2" t="s">
        <v>235</v>
      </c>
      <c r="T281" s="2" t="s">
        <v>879</v>
      </c>
      <c r="U281" s="2" t="s">
        <v>807</v>
      </c>
      <c r="V281" s="2" t="s">
        <v>238</v>
      </c>
      <c r="W281" s="2" t="s">
        <v>682</v>
      </c>
      <c r="X281" s="2" t="s">
        <v>235</v>
      </c>
      <c r="Y281" s="2" t="s">
        <v>235</v>
      </c>
      <c r="Z281" s="4"/>
      <c r="AA281" s="4">
        <f>=ROUNDDOWN({0},0)</f>
      </c>
      <c r="AB281" s="5"/>
      <c r="AC281" s="2" t="s">
        <v>235</v>
      </c>
      <c r="AD281" s="4"/>
      <c r="AE281" s="4"/>
      <c r="AF281" s="6"/>
      <c r="AG281" s="6"/>
      <c r="AH281" s="7"/>
      <c r="AI281" s="4"/>
      <c r="AJ281" s="4">
        <f>=ROUNDDOWN({0},0)</f>
      </c>
      <c r="AK281" s="5"/>
      <c r="AL281" s="2" t="s">
        <v>235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235</v>
      </c>
      <c r="BD281" s="8" t="s">
        <v>235</v>
      </c>
      <c r="BE281" s="4" t="s">
        <v>235</v>
      </c>
      <c r="BF281" s="8" t="s">
        <v>235</v>
      </c>
      <c r="BG281" s="7" t="s">
        <v>235</v>
      </c>
      <c r="BH281" s="7" t="s">
        <v>235</v>
      </c>
      <c r="BI281" s="7"/>
      <c r="BJ281" s="4"/>
      <c r="BK281" s="8"/>
      <c r="BL281" s="2" t="s">
        <v>235</v>
      </c>
      <c r="BM281" s="7"/>
      <c r="BN281" s="7"/>
      <c r="BO281" s="4"/>
      <c r="BP281" s="8"/>
      <c r="BQ281" s="4"/>
      <c r="BR281" s="8"/>
      <c r="BS281" s="7"/>
      <c r="BT281" s="7"/>
      <c r="BU281" s="2" t="s">
        <v>330</v>
      </c>
      <c r="BV281" s="2" t="s">
        <v>235</v>
      </c>
      <c r="BW281" s="2" t="s">
        <v>235</v>
      </c>
      <c r="BX281" s="2" t="s">
        <v>330</v>
      </c>
      <c r="BY281" s="2" t="s">
        <v>331</v>
      </c>
      <c r="BZ281" s="2" t="s">
        <v>232</v>
      </c>
      <c r="CA281" s="2" t="s">
        <v>235</v>
      </c>
      <c r="CB281" s="2" t="s">
        <v>235</v>
      </c>
      <c r="CC281" s="2" t="s">
        <v>248</v>
      </c>
      <c r="CD281" s="2" t="s">
        <v>248</v>
      </c>
      <c r="CE281" s="2" t="s">
        <v>235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</row>
    <row r="282">
      <c r="A282" s="2" t="s">
        <v>1291</v>
      </c>
      <c r="B282" s="2" t="s">
        <v>1139</v>
      </c>
      <c r="C282" s="2" t="s">
        <v>324</v>
      </c>
      <c r="D282" s="2" t="s">
        <v>1140</v>
      </c>
      <c r="E282" s="2" t="s">
        <v>1141</v>
      </c>
      <c r="F282" s="2" t="s">
        <v>1287</v>
      </c>
      <c r="G282" s="2" t="s">
        <v>1288</v>
      </c>
      <c r="H282" s="2" t="s">
        <v>1289</v>
      </c>
      <c r="I282" s="2" t="s">
        <v>1290</v>
      </c>
      <c r="J282" s="2" t="s">
        <v>1146</v>
      </c>
      <c r="K282" s="2" t="s">
        <v>295</v>
      </c>
      <c r="L282" s="3">
        <v>16.49</v>
      </c>
      <c r="M282" s="3">
        <v>17.31</v>
      </c>
      <c r="N282" s="3">
        <v>36.99</v>
      </c>
      <c r="O282" s="2" t="s">
        <v>232</v>
      </c>
      <c r="P282" s="2" t="s">
        <v>878</v>
      </c>
      <c r="Q282" s="2" t="s">
        <v>234</v>
      </c>
      <c r="R282" s="2" t="s">
        <v>235</v>
      </c>
      <c r="S282" s="2" t="s">
        <v>235</v>
      </c>
      <c r="T282" s="2" t="s">
        <v>879</v>
      </c>
      <c r="U282" s="2" t="s">
        <v>807</v>
      </c>
      <c r="V282" s="2" t="s">
        <v>238</v>
      </c>
      <c r="W282" s="2" t="s">
        <v>682</v>
      </c>
      <c r="X282" s="2" t="s">
        <v>235</v>
      </c>
      <c r="Y282" s="2" t="s">
        <v>1292</v>
      </c>
      <c r="Z282" s="4"/>
      <c r="AA282" s="4">
        <f>=ROUNDDOWN({0},0)</f>
      </c>
      <c r="AB282" s="5">
        <v>13</v>
      </c>
      <c r="AC282" s="2" t="s">
        <v>883</v>
      </c>
      <c r="AD282" s="4">
        <v>420</v>
      </c>
      <c r="AE282" s="4">
        <v>420</v>
      </c>
      <c r="AF282" s="6">
        <v>65</v>
      </c>
      <c r="AG282" s="6"/>
      <c r="AH282" s="7"/>
      <c r="AI282" s="4"/>
      <c r="AJ282" s="4">
        <f>=ROUNDDOWN({0},0)</f>
      </c>
      <c r="AK282" s="5"/>
      <c r="AL282" s="2" t="s">
        <v>235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235</v>
      </c>
      <c r="AW282" s="8" t="s">
        <v>235</v>
      </c>
      <c r="AX282" s="4" t="s">
        <v>235</v>
      </c>
      <c r="AY282" s="8" t="s">
        <v>235</v>
      </c>
      <c r="AZ282" s="7" t="s">
        <v>235</v>
      </c>
      <c r="BA282" s="7" t="s">
        <v>235</v>
      </c>
      <c r="BB282" s="7"/>
      <c r="BC282" s="4" t="s">
        <v>235</v>
      </c>
      <c r="BD282" s="8" t="s">
        <v>235</v>
      </c>
      <c r="BE282" s="4" t="s">
        <v>235</v>
      </c>
      <c r="BF282" s="8" t="s">
        <v>235</v>
      </c>
      <c r="BG282" s="7" t="s">
        <v>235</v>
      </c>
      <c r="BH282" s="7" t="s">
        <v>235</v>
      </c>
      <c r="BI282" s="7"/>
      <c r="BJ282" s="4"/>
      <c r="BK282" s="8"/>
      <c r="BL282" s="2" t="s">
        <v>235</v>
      </c>
      <c r="BM282" s="7"/>
      <c r="BN282" s="7"/>
      <c r="BO282" s="4"/>
      <c r="BP282" s="8"/>
      <c r="BQ282" s="4"/>
      <c r="BR282" s="8"/>
      <c r="BS282" s="7"/>
      <c r="BT282" s="7"/>
      <c r="BU282" s="2" t="s">
        <v>330</v>
      </c>
      <c r="BV282" s="2" t="s">
        <v>235</v>
      </c>
      <c r="BW282" s="2" t="s">
        <v>235</v>
      </c>
      <c r="BX282" s="2" t="s">
        <v>330</v>
      </c>
      <c r="BY282" s="2" t="s">
        <v>331</v>
      </c>
      <c r="BZ282" s="2" t="s">
        <v>232</v>
      </c>
      <c r="CA282" s="2" t="s">
        <v>235</v>
      </c>
      <c r="CB282" s="2" t="s">
        <v>235</v>
      </c>
      <c r="CC282" s="2" t="s">
        <v>248</v>
      </c>
      <c r="CD282" s="2" t="s">
        <v>248</v>
      </c>
      <c r="CE282" s="2" t="s">
        <v>235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>
        <v>420</v>
      </c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>
        <v>420</v>
      </c>
      <c r="GF282" s="4">
        <v>351</v>
      </c>
      <c r="GG282" s="4">
        <v>342</v>
      </c>
      <c r="GH282" s="4">
        <v>331</v>
      </c>
      <c r="GI282" s="4">
        <v>320</v>
      </c>
      <c r="GJ282" s="4">
        <v>306</v>
      </c>
      <c r="GK282" s="4">
        <v>294</v>
      </c>
      <c r="GL282" s="4">
        <v>285</v>
      </c>
      <c r="GM282" s="4">
        <v>273</v>
      </c>
      <c r="GN282" s="4">
        <v>263</v>
      </c>
      <c r="GO282" s="4">
        <v>252</v>
      </c>
      <c r="GP282" s="4">
        <v>241</v>
      </c>
      <c r="GQ282" s="4">
        <v>231</v>
      </c>
      <c r="GR282" s="4">
        <v>216</v>
      </c>
      <c r="GS282" s="4">
        <v>203</v>
      </c>
      <c r="GT282" s="4">
        <v>190</v>
      </c>
      <c r="GU282" s="4">
        <v>180</v>
      </c>
      <c r="GV282" s="4">
        <v>170</v>
      </c>
      <c r="GW282" s="4">
        <v>160</v>
      </c>
      <c r="GX282" s="4">
        <v>150</v>
      </c>
      <c r="GY282" s="4">
        <v>140</v>
      </c>
      <c r="GZ282" s="4">
        <v>127</v>
      </c>
      <c r="HA282" s="4">
        <v>114</v>
      </c>
      <c r="HB282" s="4">
        <v>101</v>
      </c>
      <c r="HC282" s="4">
        <v>88</v>
      </c>
      <c r="HD282" s="9"/>
      <c r="HE282" s="19">
        <v>16.8</v>
      </c>
      <c r="HF282" s="19">
        <v>31.9</v>
      </c>
      <c r="HG282" s="19">
        <v>28.5</v>
      </c>
      <c r="HH282" s="19">
        <v>27.6</v>
      </c>
      <c r="HI282" s="19">
        <v>26.7</v>
      </c>
      <c r="HJ282" s="19">
        <v>27.8</v>
      </c>
      <c r="HK282" s="19">
        <v>29.4</v>
      </c>
      <c r="HL282" s="19">
        <v>25.9</v>
      </c>
      <c r="HM282" s="19">
        <v>27.3</v>
      </c>
      <c r="HN282" s="19">
        <v>21.9</v>
      </c>
      <c r="HO282" s="19">
        <v>21</v>
      </c>
      <c r="HP282" s="19">
        <v>18.5</v>
      </c>
      <c r="HQ282" s="19">
        <v>17.8</v>
      </c>
      <c r="HR282" s="19">
        <v>18</v>
      </c>
      <c r="HS282" s="19">
        <v>18.5</v>
      </c>
      <c r="HT282" s="19">
        <v>19</v>
      </c>
      <c r="HU282" s="19">
        <v>18</v>
      </c>
      <c r="HV282" s="19">
        <v>15.5</v>
      </c>
      <c r="HW282" s="19">
        <v>13.3</v>
      </c>
      <c r="HX282" s="19">
        <v>12.5</v>
      </c>
      <c r="HY282" s="19">
        <v>10.8</v>
      </c>
      <c r="HZ282" s="19">
        <v>9.8</v>
      </c>
      <c r="IA282" s="19">
        <v>8.8</v>
      </c>
      <c r="IB282" s="19">
        <v>7.8</v>
      </c>
      <c r="IC282" s="19">
        <v>6.3</v>
      </c>
    </row>
    <row r="283">
      <c r="A283" s="2" t="s">
        <v>1293</v>
      </c>
      <c r="B283" s="2" t="s">
        <v>1139</v>
      </c>
      <c r="C283" s="2" t="s">
        <v>324</v>
      </c>
      <c r="D283" s="2" t="s">
        <v>1140</v>
      </c>
      <c r="E283" s="2" t="s">
        <v>1141</v>
      </c>
      <c r="F283" s="2" t="s">
        <v>1287</v>
      </c>
      <c r="G283" s="2" t="s">
        <v>1288</v>
      </c>
      <c r="H283" s="2" t="s">
        <v>1289</v>
      </c>
      <c r="I283" s="2" t="s">
        <v>1290</v>
      </c>
      <c r="J283" s="2" t="s">
        <v>1165</v>
      </c>
      <c r="K283" s="2" t="s">
        <v>295</v>
      </c>
      <c r="L283" s="3">
        <v>14.26</v>
      </c>
      <c r="M283" s="3">
        <v>14.97</v>
      </c>
      <c r="N283" s="3">
        <v>31.99</v>
      </c>
      <c r="O283" s="2" t="s">
        <v>232</v>
      </c>
      <c r="P283" s="2" t="s">
        <v>878</v>
      </c>
      <c r="Q283" s="2" t="s">
        <v>234</v>
      </c>
      <c r="R283" s="2" t="s">
        <v>235</v>
      </c>
      <c r="S283" s="2" t="s">
        <v>235</v>
      </c>
      <c r="T283" s="2" t="s">
        <v>879</v>
      </c>
      <c r="U283" s="2" t="s">
        <v>807</v>
      </c>
      <c r="V283" s="2" t="s">
        <v>238</v>
      </c>
      <c r="W283" s="2" t="s">
        <v>682</v>
      </c>
      <c r="X283" s="2" t="s">
        <v>235</v>
      </c>
      <c r="Y283" s="2" t="s">
        <v>1292</v>
      </c>
      <c r="Z283" s="4"/>
      <c r="AA283" s="4">
        <f>=ROUNDDOWN({0},0)</f>
      </c>
      <c r="AB283" s="5">
        <v>45</v>
      </c>
      <c r="AC283" s="2" t="s">
        <v>883</v>
      </c>
      <c r="AD283" s="4">
        <v>1240</v>
      </c>
      <c r="AE283" s="4">
        <v>1240</v>
      </c>
      <c r="AF283" s="6">
        <v>65</v>
      </c>
      <c r="AG283" s="6"/>
      <c r="AH283" s="7"/>
      <c r="AI283" s="4"/>
      <c r="AJ283" s="4">
        <f>=ROUNDDOWN({0},0)</f>
      </c>
      <c r="AK283" s="5"/>
      <c r="AL283" s="2" t="s">
        <v>235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235</v>
      </c>
      <c r="AW283" s="8" t="s">
        <v>235</v>
      </c>
      <c r="AX283" s="4" t="s">
        <v>235</v>
      </c>
      <c r="AY283" s="8" t="s">
        <v>235</v>
      </c>
      <c r="AZ283" s="7" t="s">
        <v>235</v>
      </c>
      <c r="BA283" s="7" t="s">
        <v>235</v>
      </c>
      <c r="BB283" s="7"/>
      <c r="BC283" s="4" t="s">
        <v>235</v>
      </c>
      <c r="BD283" s="8" t="s">
        <v>235</v>
      </c>
      <c r="BE283" s="4" t="s">
        <v>235</v>
      </c>
      <c r="BF283" s="8" t="s">
        <v>235</v>
      </c>
      <c r="BG283" s="7" t="s">
        <v>235</v>
      </c>
      <c r="BH283" s="7" t="s">
        <v>235</v>
      </c>
      <c r="BI283" s="7"/>
      <c r="BJ283" s="4"/>
      <c r="BK283" s="8"/>
      <c r="BL283" s="2" t="s">
        <v>235</v>
      </c>
      <c r="BM283" s="7"/>
      <c r="BN283" s="7"/>
      <c r="BO283" s="4"/>
      <c r="BP283" s="8"/>
      <c r="BQ283" s="4"/>
      <c r="BR283" s="8"/>
      <c r="BS283" s="7"/>
      <c r="BT283" s="7"/>
      <c r="BU283" s="2" t="s">
        <v>330</v>
      </c>
      <c r="BV283" s="2" t="s">
        <v>235</v>
      </c>
      <c r="BW283" s="2" t="s">
        <v>235</v>
      </c>
      <c r="BX283" s="2" t="s">
        <v>330</v>
      </c>
      <c r="BY283" s="2" t="s">
        <v>331</v>
      </c>
      <c r="BZ283" s="2" t="s">
        <v>232</v>
      </c>
      <c r="CA283" s="2" t="s">
        <v>235</v>
      </c>
      <c r="CB283" s="2" t="s">
        <v>235</v>
      </c>
      <c r="CC283" s="2" t="s">
        <v>248</v>
      </c>
      <c r="CD283" s="2" t="s">
        <v>248</v>
      </c>
      <c r="CE283" s="2" t="s">
        <v>235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>
        <v>1240</v>
      </c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>
        <v>1240</v>
      </c>
      <c r="GF283" s="4">
        <v>995</v>
      </c>
      <c r="GG283" s="4">
        <v>962</v>
      </c>
      <c r="GH283" s="4">
        <v>922</v>
      </c>
      <c r="GI283" s="4">
        <v>882</v>
      </c>
      <c r="GJ283" s="4">
        <v>834</v>
      </c>
      <c r="GK283" s="4">
        <v>793</v>
      </c>
      <c r="GL283" s="4">
        <v>762</v>
      </c>
      <c r="GM283" s="4">
        <v>720</v>
      </c>
      <c r="GN283" s="4">
        <v>686</v>
      </c>
      <c r="GO283" s="4">
        <v>648</v>
      </c>
      <c r="GP283" s="4">
        <v>609</v>
      </c>
      <c r="GQ283" s="4">
        <v>573</v>
      </c>
      <c r="GR283" s="4">
        <v>523</v>
      </c>
      <c r="GS283" s="4">
        <v>477</v>
      </c>
      <c r="GT283" s="4">
        <v>434</v>
      </c>
      <c r="GU283" s="4">
        <v>399</v>
      </c>
      <c r="GV283" s="4">
        <v>364</v>
      </c>
      <c r="GW283" s="4">
        <v>329</v>
      </c>
      <c r="GX283" s="4">
        <v>294</v>
      </c>
      <c r="GY283" s="4">
        <v>259</v>
      </c>
      <c r="GZ283" s="4">
        <v>215</v>
      </c>
      <c r="HA283" s="4">
        <v>171</v>
      </c>
      <c r="HB283" s="4">
        <v>127</v>
      </c>
      <c r="HC283" s="4">
        <v>83</v>
      </c>
      <c r="HD283" s="9"/>
      <c r="HE283" s="19">
        <v>13.8</v>
      </c>
      <c r="HF283" s="19">
        <v>24.9</v>
      </c>
      <c r="HG283" s="19">
        <v>22.9</v>
      </c>
      <c r="HH283" s="19">
        <v>23.1</v>
      </c>
      <c r="HI283" s="19">
        <v>22.1</v>
      </c>
      <c r="HJ283" s="19">
        <v>22.5</v>
      </c>
      <c r="HK283" s="19">
        <v>22</v>
      </c>
      <c r="HL283" s="19">
        <v>20.1</v>
      </c>
      <c r="HM283" s="19">
        <v>19.5</v>
      </c>
      <c r="HN283" s="19">
        <v>16.7</v>
      </c>
      <c r="HO283" s="19">
        <v>15.1</v>
      </c>
      <c r="HP283" s="19">
        <v>13.8</v>
      </c>
      <c r="HQ283" s="19">
        <v>13</v>
      </c>
      <c r="HR283" s="19">
        <v>13.1</v>
      </c>
      <c r="HS283" s="19">
        <v>12.9</v>
      </c>
      <c r="HT283" s="19">
        <v>12.4</v>
      </c>
      <c r="HU283" s="19">
        <v>11.4</v>
      </c>
      <c r="HV283" s="19">
        <v>9.8</v>
      </c>
      <c r="HW283" s="19">
        <v>8.2</v>
      </c>
      <c r="HX283" s="19">
        <v>7</v>
      </c>
      <c r="HY283" s="19">
        <v>5.9</v>
      </c>
      <c r="HZ283" s="19">
        <v>4.9</v>
      </c>
      <c r="IA283" s="19">
        <v>3.9</v>
      </c>
      <c r="IB283" s="19">
        <v>2.8</v>
      </c>
      <c r="IC283" s="19">
        <v>1.8</v>
      </c>
    </row>
    <row r="284">
      <c r="A284" s="2" t="s">
        <v>1294</v>
      </c>
      <c r="B284" s="2" t="s">
        <v>1139</v>
      </c>
      <c r="C284" s="2" t="s">
        <v>324</v>
      </c>
      <c r="D284" s="2" t="s">
        <v>1140</v>
      </c>
      <c r="E284" s="2" t="s">
        <v>1141</v>
      </c>
      <c r="F284" s="2" t="s">
        <v>1287</v>
      </c>
      <c r="G284" s="2" t="s">
        <v>1288</v>
      </c>
      <c r="H284" s="2" t="s">
        <v>1289</v>
      </c>
      <c r="I284" s="2" t="s">
        <v>1290</v>
      </c>
      <c r="J284" s="2" t="s">
        <v>1146</v>
      </c>
      <c r="K284" s="2" t="s">
        <v>316</v>
      </c>
      <c r="L284" s="3">
        <v>16.49</v>
      </c>
      <c r="M284" s="3">
        <v>17.31</v>
      </c>
      <c r="N284" s="3">
        <v>36.99</v>
      </c>
      <c r="O284" s="2" t="s">
        <v>232</v>
      </c>
      <c r="P284" s="2" t="s">
        <v>878</v>
      </c>
      <c r="Q284" s="2" t="s">
        <v>234</v>
      </c>
      <c r="R284" s="2" t="s">
        <v>235</v>
      </c>
      <c r="S284" s="2" t="s">
        <v>235</v>
      </c>
      <c r="T284" s="2" t="s">
        <v>879</v>
      </c>
      <c r="U284" s="2" t="s">
        <v>807</v>
      </c>
      <c r="V284" s="2" t="s">
        <v>238</v>
      </c>
      <c r="W284" s="2" t="s">
        <v>682</v>
      </c>
      <c r="X284" s="2" t="s">
        <v>235</v>
      </c>
      <c r="Y284" s="2" t="s">
        <v>1292</v>
      </c>
      <c r="Z284" s="4"/>
      <c r="AA284" s="4">
        <f>=ROUNDDOWN({0},0)</f>
      </c>
      <c r="AB284" s="5">
        <v>16</v>
      </c>
      <c r="AC284" s="2" t="s">
        <v>883</v>
      </c>
      <c r="AD284" s="4">
        <v>560</v>
      </c>
      <c r="AE284" s="4">
        <v>560</v>
      </c>
      <c r="AF284" s="6">
        <v>65</v>
      </c>
      <c r="AG284" s="6"/>
      <c r="AH284" s="7"/>
      <c r="AI284" s="4"/>
      <c r="AJ284" s="4">
        <f>=ROUNDDOWN({0},0)</f>
      </c>
      <c r="AK284" s="5"/>
      <c r="AL284" s="2" t="s">
        <v>235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235</v>
      </c>
      <c r="BD284" s="8" t="s">
        <v>235</v>
      </c>
      <c r="BE284" s="4" t="s">
        <v>235</v>
      </c>
      <c r="BF284" s="8" t="s">
        <v>235</v>
      </c>
      <c r="BG284" s="7" t="s">
        <v>235</v>
      </c>
      <c r="BH284" s="7" t="s">
        <v>235</v>
      </c>
      <c r="BI284" s="7"/>
      <c r="BJ284" s="4"/>
      <c r="BK284" s="8"/>
      <c r="BL284" s="2" t="s">
        <v>235</v>
      </c>
      <c r="BM284" s="7"/>
      <c r="BN284" s="7"/>
      <c r="BO284" s="4"/>
      <c r="BP284" s="8"/>
      <c r="BQ284" s="4"/>
      <c r="BR284" s="8"/>
      <c r="BS284" s="7"/>
      <c r="BT284" s="7"/>
      <c r="BU284" s="2" t="s">
        <v>330</v>
      </c>
      <c r="BV284" s="2" t="s">
        <v>235</v>
      </c>
      <c r="BW284" s="2" t="s">
        <v>235</v>
      </c>
      <c r="BX284" s="2" t="s">
        <v>330</v>
      </c>
      <c r="BY284" s="2" t="s">
        <v>331</v>
      </c>
      <c r="BZ284" s="2" t="s">
        <v>232</v>
      </c>
      <c r="CA284" s="2" t="s">
        <v>235</v>
      </c>
      <c r="CB284" s="2" t="s">
        <v>235</v>
      </c>
      <c r="CC284" s="2" t="s">
        <v>248</v>
      </c>
      <c r="CD284" s="2" t="s">
        <v>248</v>
      </c>
      <c r="CE284" s="2" t="s">
        <v>235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>
        <v>560</v>
      </c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>
        <v>560</v>
      </c>
      <c r="GF284" s="4">
        <v>476</v>
      </c>
      <c r="GG284" s="4">
        <v>465</v>
      </c>
      <c r="GH284" s="4">
        <v>452</v>
      </c>
      <c r="GI284" s="4">
        <v>439</v>
      </c>
      <c r="GJ284" s="4">
        <v>422</v>
      </c>
      <c r="GK284" s="4">
        <v>408</v>
      </c>
      <c r="GL284" s="4">
        <v>397</v>
      </c>
      <c r="GM284" s="4">
        <v>383</v>
      </c>
      <c r="GN284" s="4">
        <v>371</v>
      </c>
      <c r="GO284" s="4">
        <v>357</v>
      </c>
      <c r="GP284" s="4">
        <v>343</v>
      </c>
      <c r="GQ284" s="4">
        <v>330</v>
      </c>
      <c r="GR284" s="4">
        <v>311</v>
      </c>
      <c r="GS284" s="4">
        <v>294</v>
      </c>
      <c r="GT284" s="4">
        <v>278</v>
      </c>
      <c r="GU284" s="4">
        <v>265</v>
      </c>
      <c r="GV284" s="4">
        <v>252</v>
      </c>
      <c r="GW284" s="4">
        <v>239</v>
      </c>
      <c r="GX284" s="4">
        <v>226</v>
      </c>
      <c r="GY284" s="4">
        <v>213</v>
      </c>
      <c r="GZ284" s="4">
        <v>197</v>
      </c>
      <c r="HA284" s="4">
        <v>181</v>
      </c>
      <c r="HB284" s="4">
        <v>165</v>
      </c>
      <c r="HC284" s="4">
        <v>149</v>
      </c>
      <c r="HD284" s="9"/>
      <c r="HE284" s="19">
        <v>18.7</v>
      </c>
      <c r="HF284" s="19">
        <v>34</v>
      </c>
      <c r="HG284" s="19">
        <v>33.2</v>
      </c>
      <c r="HH284" s="19">
        <v>32.3</v>
      </c>
      <c r="HI284" s="19">
        <v>31.4</v>
      </c>
      <c r="HJ284" s="19">
        <v>32.5</v>
      </c>
      <c r="HK284" s="19">
        <v>31.4</v>
      </c>
      <c r="HL284" s="19">
        <v>28.4</v>
      </c>
      <c r="HM284" s="19">
        <v>29.5</v>
      </c>
      <c r="HN284" s="19">
        <v>24.7</v>
      </c>
      <c r="HO284" s="19">
        <v>22.3</v>
      </c>
      <c r="HP284" s="19">
        <v>21.4</v>
      </c>
      <c r="HQ284" s="19">
        <v>20.6</v>
      </c>
      <c r="HR284" s="19">
        <v>20.7</v>
      </c>
      <c r="HS284" s="19">
        <v>21</v>
      </c>
      <c r="HT284" s="19">
        <v>21.4</v>
      </c>
      <c r="HU284" s="19">
        <v>20.4</v>
      </c>
      <c r="HV284" s="19">
        <v>18</v>
      </c>
      <c r="HW284" s="19">
        <v>17.1</v>
      </c>
      <c r="HX284" s="19">
        <v>15.1</v>
      </c>
      <c r="HY284" s="19">
        <v>13.3</v>
      </c>
      <c r="HZ284" s="19">
        <v>12.3</v>
      </c>
      <c r="IA284" s="19">
        <v>11.3</v>
      </c>
      <c r="IB284" s="19">
        <v>10.3</v>
      </c>
      <c r="IC284" s="19">
        <v>9.3</v>
      </c>
    </row>
    <row r="285">
      <c r="A285" s="2" t="s">
        <v>1295</v>
      </c>
      <c r="B285" s="2" t="s">
        <v>255</v>
      </c>
      <c r="C285" s="2" t="s">
        <v>330</v>
      </c>
      <c r="D285" s="2" t="s">
        <v>361</v>
      </c>
      <c r="E285" s="2" t="s">
        <v>872</v>
      </c>
      <c r="F285" s="2" t="s">
        <v>1296</v>
      </c>
      <c r="G285" s="2" t="s">
        <v>1296</v>
      </c>
      <c r="H285" s="2" t="s">
        <v>1296</v>
      </c>
      <c r="I285" s="2" t="s">
        <v>1297</v>
      </c>
      <c r="J285" s="2" t="s">
        <v>365</v>
      </c>
      <c r="K285" s="2" t="s">
        <v>231</v>
      </c>
      <c r="L285" s="3">
        <v>103.4</v>
      </c>
      <c r="M285" s="3">
        <v>108.57</v>
      </c>
      <c r="N285" s="3">
        <v>258.5</v>
      </c>
      <c r="O285" s="2" t="s">
        <v>232</v>
      </c>
      <c r="P285" s="2" t="s">
        <v>262</v>
      </c>
      <c r="Q285" s="2" t="s">
        <v>234</v>
      </c>
      <c r="R285" s="2" t="s">
        <v>235</v>
      </c>
      <c r="S285" s="2" t="s">
        <v>235</v>
      </c>
      <c r="T285" s="2" t="s">
        <v>1298</v>
      </c>
      <c r="U285" s="2" t="s">
        <v>552</v>
      </c>
      <c r="V285" s="2" t="s">
        <v>420</v>
      </c>
      <c r="W285" s="2" t="s">
        <v>882</v>
      </c>
      <c r="X285" s="2" t="s">
        <v>1299</v>
      </c>
      <c r="Y285" s="2" t="s">
        <v>235</v>
      </c>
      <c r="Z285" s="4"/>
      <c r="AA285" s="4">
        <f>=ROUNDDOWN({0},0)</f>
      </c>
      <c r="AB285" s="5"/>
      <c r="AC285" s="2" t="s">
        <v>204</v>
      </c>
      <c r="AD285" s="4">
        <v>278</v>
      </c>
      <c r="AE285" s="4">
        <v>278</v>
      </c>
      <c r="AF285" s="6">
        <v>77</v>
      </c>
      <c r="AG285" s="6"/>
      <c r="AH285" s="7"/>
      <c r="AI285" s="4"/>
      <c r="AJ285" s="4">
        <f>=ROUNDDOWN({0},0)</f>
      </c>
      <c r="AK285" s="5"/>
      <c r="AL285" s="2" t="s">
        <v>235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235</v>
      </c>
      <c r="AW285" s="8" t="s">
        <v>235</v>
      </c>
      <c r="AX285" s="4" t="s">
        <v>235</v>
      </c>
      <c r="AY285" s="8" t="s">
        <v>235</v>
      </c>
      <c r="AZ285" s="7" t="s">
        <v>235</v>
      </c>
      <c r="BA285" s="7" t="s">
        <v>235</v>
      </c>
      <c r="BB285" s="7" t="s">
        <v>235</v>
      </c>
      <c r="BC285" s="4" t="s">
        <v>235</v>
      </c>
      <c r="BD285" s="8" t="s">
        <v>235</v>
      </c>
      <c r="BE285" s="4" t="s">
        <v>235</v>
      </c>
      <c r="BF285" s="8" t="s">
        <v>235</v>
      </c>
      <c r="BG285" s="7" t="s">
        <v>235</v>
      </c>
      <c r="BH285" s="7" t="s">
        <v>235</v>
      </c>
      <c r="BI285" s="7"/>
      <c r="BJ285" s="4"/>
      <c r="BK285" s="8"/>
      <c r="BL285" s="2" t="s">
        <v>235</v>
      </c>
      <c r="BM285" s="7"/>
      <c r="BN285" s="7"/>
      <c r="BO285" s="4"/>
      <c r="BP285" s="8"/>
      <c r="BQ285" s="4"/>
      <c r="BR285" s="8"/>
      <c r="BS285" s="7"/>
      <c r="BT285" s="7"/>
      <c r="BU285" s="2" t="s">
        <v>330</v>
      </c>
      <c r="BV285" s="2" t="s">
        <v>235</v>
      </c>
      <c r="BW285" s="2" t="s">
        <v>235</v>
      </c>
      <c r="BX285" s="2" t="s">
        <v>330</v>
      </c>
      <c r="BY285" s="2" t="s">
        <v>331</v>
      </c>
      <c r="BZ285" s="2" t="s">
        <v>232</v>
      </c>
      <c r="CA285" s="2" t="s">
        <v>235</v>
      </c>
      <c r="CB285" s="2" t="s">
        <v>235</v>
      </c>
      <c r="CC285" s="2" t="s">
        <v>248</v>
      </c>
      <c r="CD285" s="2" t="s">
        <v>248</v>
      </c>
      <c r="CE285" s="2" t="s">
        <v>235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>
        <v>278</v>
      </c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>
        <v>278</v>
      </c>
      <c r="GT285" s="4">
        <v>246</v>
      </c>
      <c r="GU285" s="4">
        <v>235</v>
      </c>
      <c r="GV285" s="4">
        <v>221</v>
      </c>
      <c r="GW285" s="4">
        <v>211</v>
      </c>
      <c r="GX285" s="4">
        <v>194</v>
      </c>
      <c r="GY285" s="4">
        <v>182</v>
      </c>
      <c r="GZ285" s="4">
        <v>166</v>
      </c>
      <c r="HA285" s="4">
        <v>158</v>
      </c>
      <c r="HB285" s="4">
        <v>144</v>
      </c>
      <c r="HC285" s="4">
        <v>130</v>
      </c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19">
        <v>16.4</v>
      </c>
      <c r="HT285" s="19">
        <v>18.9</v>
      </c>
      <c r="HU285" s="19">
        <v>18.1</v>
      </c>
      <c r="HV285" s="19">
        <v>15.8</v>
      </c>
      <c r="HW285" s="19">
        <v>16.2</v>
      </c>
      <c r="HX285" s="19">
        <v>16.2</v>
      </c>
      <c r="HY285" s="19">
        <v>14</v>
      </c>
      <c r="HZ285" s="19">
        <v>12.8</v>
      </c>
      <c r="IA285" s="19">
        <v>11.3</v>
      </c>
      <c r="IB285" s="19">
        <v>10.3</v>
      </c>
      <c r="IC285" s="19">
        <v>8.7</v>
      </c>
    </row>
    <row r="286">
      <c r="A286" s="2" t="s">
        <v>1300</v>
      </c>
      <c r="B286" s="2" t="s">
        <v>255</v>
      </c>
      <c r="C286" s="2" t="s">
        <v>330</v>
      </c>
      <c r="D286" s="2" t="s">
        <v>906</v>
      </c>
      <c r="E286" s="2" t="s">
        <v>1301</v>
      </c>
      <c r="F286" s="2" t="s">
        <v>1296</v>
      </c>
      <c r="G286" s="2" t="s">
        <v>1296</v>
      </c>
      <c r="H286" s="2" t="s">
        <v>1296</v>
      </c>
      <c r="I286" s="2" t="s">
        <v>1302</v>
      </c>
      <c r="J286" s="2" t="s">
        <v>365</v>
      </c>
      <c r="K286" s="2" t="s">
        <v>231</v>
      </c>
      <c r="L286" s="3">
        <v>85</v>
      </c>
      <c r="M286" s="3">
        <v>89.25</v>
      </c>
      <c r="N286" s="3">
        <v>212.5</v>
      </c>
      <c r="O286" s="2" t="s">
        <v>232</v>
      </c>
      <c r="P286" s="2" t="s">
        <v>262</v>
      </c>
      <c r="Q286" s="2" t="s">
        <v>234</v>
      </c>
      <c r="R286" s="2" t="s">
        <v>235</v>
      </c>
      <c r="S286" s="2" t="s">
        <v>235</v>
      </c>
      <c r="T286" s="2" t="s">
        <v>1298</v>
      </c>
      <c r="U286" s="2" t="s">
        <v>552</v>
      </c>
      <c r="V286" s="2" t="s">
        <v>420</v>
      </c>
      <c r="W286" s="2" t="s">
        <v>882</v>
      </c>
      <c r="X286" s="2" t="s">
        <v>1299</v>
      </c>
      <c r="Y286" s="2" t="s">
        <v>235</v>
      </c>
      <c r="Z286" s="4"/>
      <c r="AA286" s="4">
        <f>=ROUNDDOWN({0},0)</f>
      </c>
      <c r="AB286" s="5"/>
      <c r="AC286" s="2" t="s">
        <v>204</v>
      </c>
      <c r="AD286" s="4">
        <v>128</v>
      </c>
      <c r="AE286" s="4">
        <v>128</v>
      </c>
      <c r="AF286" s="6">
        <v>77</v>
      </c>
      <c r="AG286" s="6"/>
      <c r="AH286" s="7"/>
      <c r="AI286" s="4"/>
      <c r="AJ286" s="4">
        <f>=ROUNDDOWN({0},0)</f>
      </c>
      <c r="AK286" s="5"/>
      <c r="AL286" s="2" t="s">
        <v>235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235</v>
      </c>
      <c r="AW286" s="8" t="s">
        <v>235</v>
      </c>
      <c r="AX286" s="4" t="s">
        <v>235</v>
      </c>
      <c r="AY286" s="8" t="s">
        <v>235</v>
      </c>
      <c r="AZ286" s="7" t="s">
        <v>235</v>
      </c>
      <c r="BA286" s="7" t="s">
        <v>235</v>
      </c>
      <c r="BB286" s="7" t="s">
        <v>235</v>
      </c>
      <c r="BC286" s="4" t="s">
        <v>235</v>
      </c>
      <c r="BD286" s="8" t="s">
        <v>235</v>
      </c>
      <c r="BE286" s="4" t="s">
        <v>235</v>
      </c>
      <c r="BF286" s="8" t="s">
        <v>235</v>
      </c>
      <c r="BG286" s="7" t="s">
        <v>235</v>
      </c>
      <c r="BH286" s="7" t="s">
        <v>235</v>
      </c>
      <c r="BI286" s="7"/>
      <c r="BJ286" s="4"/>
      <c r="BK286" s="8"/>
      <c r="BL286" s="2" t="s">
        <v>235</v>
      </c>
      <c r="BM286" s="7"/>
      <c r="BN286" s="7"/>
      <c r="BO286" s="4"/>
      <c r="BP286" s="8"/>
      <c r="BQ286" s="4"/>
      <c r="BR286" s="8"/>
      <c r="BS286" s="7"/>
      <c r="BT286" s="7"/>
      <c r="BU286" s="2" t="s">
        <v>330</v>
      </c>
      <c r="BV286" s="2" t="s">
        <v>235</v>
      </c>
      <c r="BW286" s="2" t="s">
        <v>235</v>
      </c>
      <c r="BX286" s="2" t="s">
        <v>330</v>
      </c>
      <c r="BY286" s="2" t="s">
        <v>331</v>
      </c>
      <c r="BZ286" s="2" t="s">
        <v>232</v>
      </c>
      <c r="CA286" s="2" t="s">
        <v>235</v>
      </c>
      <c r="CB286" s="2" t="s">
        <v>235</v>
      </c>
      <c r="CC286" s="2" t="s">
        <v>248</v>
      </c>
      <c r="CD286" s="2" t="s">
        <v>248</v>
      </c>
      <c r="CE286" s="2" t="s">
        <v>235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>
        <v>128</v>
      </c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>
        <v>128</v>
      </c>
      <c r="GT286" s="4">
        <v>114</v>
      </c>
      <c r="GU286" s="4">
        <v>109</v>
      </c>
      <c r="GV286" s="4">
        <v>103</v>
      </c>
      <c r="GW286" s="4">
        <v>95</v>
      </c>
      <c r="GX286" s="4">
        <v>90</v>
      </c>
      <c r="GY286" s="4">
        <v>87</v>
      </c>
      <c r="GZ286" s="4">
        <v>80</v>
      </c>
      <c r="HA286" s="4">
        <v>73</v>
      </c>
      <c r="HB286" s="4">
        <v>69</v>
      </c>
      <c r="HC286" s="4">
        <v>62</v>
      </c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19">
        <v>16</v>
      </c>
      <c r="HT286" s="19">
        <v>19</v>
      </c>
      <c r="HU286" s="19">
        <v>18.2</v>
      </c>
      <c r="HV286" s="19">
        <v>17.2</v>
      </c>
      <c r="HW286" s="19">
        <v>15.8</v>
      </c>
      <c r="HX286" s="19">
        <v>18</v>
      </c>
      <c r="HY286" s="19">
        <v>14.5</v>
      </c>
      <c r="HZ286" s="19">
        <v>13.3</v>
      </c>
      <c r="IA286" s="19">
        <v>12.2</v>
      </c>
      <c r="IB286" s="19">
        <v>11.5</v>
      </c>
      <c r="IC286" s="19">
        <v>10.3</v>
      </c>
    </row>
    <row r="287">
      <c r="A287" s="2" t="s">
        <v>1303</v>
      </c>
      <c r="B287" s="2" t="s">
        <v>255</v>
      </c>
      <c r="C287" s="2" t="s">
        <v>330</v>
      </c>
      <c r="D287" s="2" t="s">
        <v>361</v>
      </c>
      <c r="E287" s="2" t="s">
        <v>872</v>
      </c>
      <c r="F287" s="2" t="s">
        <v>1296</v>
      </c>
      <c r="G287" s="2" t="s">
        <v>1296</v>
      </c>
      <c r="H287" s="2" t="s">
        <v>1296</v>
      </c>
      <c r="I287" s="2" t="s">
        <v>1297</v>
      </c>
      <c r="J287" s="2" t="s">
        <v>270</v>
      </c>
      <c r="K287" s="2" t="s">
        <v>231</v>
      </c>
      <c r="L287" s="3">
        <v>117.5</v>
      </c>
      <c r="M287" s="3">
        <v>123.38</v>
      </c>
      <c r="N287" s="3">
        <v>293.75</v>
      </c>
      <c r="O287" s="2" t="s">
        <v>232</v>
      </c>
      <c r="P287" s="2" t="s">
        <v>262</v>
      </c>
      <c r="Q287" s="2" t="s">
        <v>234</v>
      </c>
      <c r="R287" s="2" t="s">
        <v>235</v>
      </c>
      <c r="S287" s="2" t="s">
        <v>235</v>
      </c>
      <c r="T287" s="2" t="s">
        <v>1298</v>
      </c>
      <c r="U287" s="2" t="s">
        <v>552</v>
      </c>
      <c r="V287" s="2" t="s">
        <v>420</v>
      </c>
      <c r="W287" s="2" t="s">
        <v>882</v>
      </c>
      <c r="X287" s="2" t="s">
        <v>1299</v>
      </c>
      <c r="Y287" s="2" t="s">
        <v>235</v>
      </c>
      <c r="Z287" s="4"/>
      <c r="AA287" s="4">
        <f>=ROUNDDOWN({0},0)</f>
      </c>
      <c r="AB287" s="5"/>
      <c r="AC287" s="2" t="s">
        <v>204</v>
      </c>
      <c r="AD287" s="4">
        <v>430</v>
      </c>
      <c r="AE287" s="4">
        <v>430</v>
      </c>
      <c r="AF287" s="6">
        <v>77</v>
      </c>
      <c r="AG287" s="6"/>
      <c r="AH287" s="7"/>
      <c r="AI287" s="4"/>
      <c r="AJ287" s="4">
        <f>=ROUNDDOWN({0},0)</f>
      </c>
      <c r="AK287" s="5"/>
      <c r="AL287" s="2" t="s">
        <v>235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235</v>
      </c>
      <c r="AW287" s="8" t="s">
        <v>235</v>
      </c>
      <c r="AX287" s="4" t="s">
        <v>235</v>
      </c>
      <c r="AY287" s="8" t="s">
        <v>235</v>
      </c>
      <c r="AZ287" s="7" t="s">
        <v>235</v>
      </c>
      <c r="BA287" s="7" t="s">
        <v>235</v>
      </c>
      <c r="BB287" s="7" t="s">
        <v>235</v>
      </c>
      <c r="BC287" s="4" t="s">
        <v>235</v>
      </c>
      <c r="BD287" s="8" t="s">
        <v>235</v>
      </c>
      <c r="BE287" s="4" t="s">
        <v>235</v>
      </c>
      <c r="BF287" s="8" t="s">
        <v>235</v>
      </c>
      <c r="BG287" s="7" t="s">
        <v>235</v>
      </c>
      <c r="BH287" s="7" t="s">
        <v>235</v>
      </c>
      <c r="BI287" s="7"/>
      <c r="BJ287" s="4"/>
      <c r="BK287" s="8"/>
      <c r="BL287" s="2" t="s">
        <v>235</v>
      </c>
      <c r="BM287" s="7"/>
      <c r="BN287" s="7"/>
      <c r="BO287" s="4"/>
      <c r="BP287" s="8"/>
      <c r="BQ287" s="4"/>
      <c r="BR287" s="8"/>
      <c r="BS287" s="7"/>
      <c r="BT287" s="7"/>
      <c r="BU287" s="2" t="s">
        <v>330</v>
      </c>
      <c r="BV287" s="2" t="s">
        <v>235</v>
      </c>
      <c r="BW287" s="2" t="s">
        <v>235</v>
      </c>
      <c r="BX287" s="2" t="s">
        <v>330</v>
      </c>
      <c r="BY287" s="2" t="s">
        <v>331</v>
      </c>
      <c r="BZ287" s="2" t="s">
        <v>232</v>
      </c>
      <c r="CA287" s="2" t="s">
        <v>235</v>
      </c>
      <c r="CB287" s="2" t="s">
        <v>235</v>
      </c>
      <c r="CC287" s="2" t="s">
        <v>248</v>
      </c>
      <c r="CD287" s="2" t="s">
        <v>248</v>
      </c>
      <c r="CE287" s="2" t="s">
        <v>235</v>
      </c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>
        <v>430</v>
      </c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>
        <v>430</v>
      </c>
      <c r="GT287" s="4">
        <v>377</v>
      </c>
      <c r="GU287" s="4">
        <v>365</v>
      </c>
      <c r="GV287" s="4">
        <v>337</v>
      </c>
      <c r="GW287" s="4">
        <v>317</v>
      </c>
      <c r="GX287" s="4">
        <v>299</v>
      </c>
      <c r="GY287" s="4">
        <v>285</v>
      </c>
      <c r="GZ287" s="4">
        <v>267</v>
      </c>
      <c r="HA287" s="4">
        <v>251</v>
      </c>
      <c r="HB287" s="4">
        <v>234</v>
      </c>
      <c r="HC287" s="4">
        <v>208</v>
      </c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19">
        <v>15.4</v>
      </c>
      <c r="HT287" s="19">
        <v>18.9</v>
      </c>
      <c r="HU287" s="19">
        <v>18.3</v>
      </c>
      <c r="HV287" s="19">
        <v>18.7</v>
      </c>
      <c r="HW287" s="19">
        <v>19.8</v>
      </c>
      <c r="HX287" s="19">
        <v>18.7</v>
      </c>
      <c r="HY287" s="19">
        <v>15</v>
      </c>
      <c r="HZ287" s="19">
        <v>13.4</v>
      </c>
      <c r="IA287" s="19">
        <v>12.6</v>
      </c>
      <c r="IB287" s="19">
        <v>11.1</v>
      </c>
      <c r="IC287" s="19">
        <v>10.9</v>
      </c>
    </row>
    <row r="288">
      <c r="A288" s="2" t="s">
        <v>1304</v>
      </c>
      <c r="B288" s="2" t="s">
        <v>255</v>
      </c>
      <c r="C288" s="2" t="s">
        <v>330</v>
      </c>
      <c r="D288" s="2" t="s">
        <v>906</v>
      </c>
      <c r="E288" s="2" t="s">
        <v>1301</v>
      </c>
      <c r="F288" s="2" t="s">
        <v>1296</v>
      </c>
      <c r="G288" s="2" t="s">
        <v>1296</v>
      </c>
      <c r="H288" s="2" t="s">
        <v>1296</v>
      </c>
      <c r="I288" s="2" t="s">
        <v>1302</v>
      </c>
      <c r="J288" s="2" t="s">
        <v>270</v>
      </c>
      <c r="K288" s="2" t="s">
        <v>231</v>
      </c>
      <c r="L288" s="3">
        <v>95</v>
      </c>
      <c r="M288" s="3">
        <v>99.75</v>
      </c>
      <c r="N288" s="3">
        <v>237.5</v>
      </c>
      <c r="O288" s="2" t="s">
        <v>232</v>
      </c>
      <c r="P288" s="2" t="s">
        <v>262</v>
      </c>
      <c r="Q288" s="2" t="s">
        <v>234</v>
      </c>
      <c r="R288" s="2" t="s">
        <v>235</v>
      </c>
      <c r="S288" s="2" t="s">
        <v>235</v>
      </c>
      <c r="T288" s="2" t="s">
        <v>1298</v>
      </c>
      <c r="U288" s="2" t="s">
        <v>552</v>
      </c>
      <c r="V288" s="2" t="s">
        <v>420</v>
      </c>
      <c r="W288" s="2" t="s">
        <v>882</v>
      </c>
      <c r="X288" s="2" t="s">
        <v>1299</v>
      </c>
      <c r="Y288" s="2" t="s">
        <v>235</v>
      </c>
      <c r="Z288" s="4"/>
      <c r="AA288" s="4">
        <f>=ROUNDDOWN({0},0)</f>
      </c>
      <c r="AB288" s="5"/>
      <c r="AC288" s="2" t="s">
        <v>204</v>
      </c>
      <c r="AD288" s="4">
        <v>156</v>
      </c>
      <c r="AE288" s="4">
        <v>156</v>
      </c>
      <c r="AF288" s="6">
        <v>77</v>
      </c>
      <c r="AG288" s="6"/>
      <c r="AH288" s="7"/>
      <c r="AI288" s="4"/>
      <c r="AJ288" s="4">
        <f>=ROUNDDOWN({0},0)</f>
      </c>
      <c r="AK288" s="5"/>
      <c r="AL288" s="2" t="s">
        <v>235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235</v>
      </c>
      <c r="AW288" s="8" t="s">
        <v>235</v>
      </c>
      <c r="AX288" s="4" t="s">
        <v>235</v>
      </c>
      <c r="AY288" s="8" t="s">
        <v>235</v>
      </c>
      <c r="AZ288" s="7" t="s">
        <v>235</v>
      </c>
      <c r="BA288" s="7" t="s">
        <v>235</v>
      </c>
      <c r="BB288" s="7" t="s">
        <v>235</v>
      </c>
      <c r="BC288" s="4" t="s">
        <v>235</v>
      </c>
      <c r="BD288" s="8" t="s">
        <v>235</v>
      </c>
      <c r="BE288" s="4" t="s">
        <v>235</v>
      </c>
      <c r="BF288" s="8" t="s">
        <v>235</v>
      </c>
      <c r="BG288" s="7" t="s">
        <v>235</v>
      </c>
      <c r="BH288" s="7" t="s">
        <v>235</v>
      </c>
      <c r="BI288" s="7"/>
      <c r="BJ288" s="4"/>
      <c r="BK288" s="8"/>
      <c r="BL288" s="2" t="s">
        <v>235</v>
      </c>
      <c r="BM288" s="7"/>
      <c r="BN288" s="7"/>
      <c r="BO288" s="4"/>
      <c r="BP288" s="8"/>
      <c r="BQ288" s="4"/>
      <c r="BR288" s="8"/>
      <c r="BS288" s="7"/>
      <c r="BT288" s="7"/>
      <c r="BU288" s="2" t="s">
        <v>330</v>
      </c>
      <c r="BV288" s="2" t="s">
        <v>235</v>
      </c>
      <c r="BW288" s="2" t="s">
        <v>235</v>
      </c>
      <c r="BX288" s="2" t="s">
        <v>330</v>
      </c>
      <c r="BY288" s="2" t="s">
        <v>331</v>
      </c>
      <c r="BZ288" s="2" t="s">
        <v>232</v>
      </c>
      <c r="CA288" s="2" t="s">
        <v>235</v>
      </c>
      <c r="CB288" s="2" t="s">
        <v>235</v>
      </c>
      <c r="CC288" s="2" t="s">
        <v>248</v>
      </c>
      <c r="CD288" s="2" t="s">
        <v>248</v>
      </c>
      <c r="CE288" s="2" t="s">
        <v>235</v>
      </c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>
        <v>156</v>
      </c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>
        <v>156</v>
      </c>
      <c r="GT288" s="4">
        <v>135</v>
      </c>
      <c r="GU288" s="4">
        <v>131</v>
      </c>
      <c r="GV288" s="4">
        <v>124</v>
      </c>
      <c r="GW288" s="4">
        <v>117</v>
      </c>
      <c r="GX288" s="4">
        <v>108</v>
      </c>
      <c r="GY288" s="4">
        <v>102</v>
      </c>
      <c r="GZ288" s="4">
        <v>93</v>
      </c>
      <c r="HA288" s="4">
        <v>87</v>
      </c>
      <c r="HB288" s="4">
        <v>80</v>
      </c>
      <c r="HC288" s="4">
        <v>72</v>
      </c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19">
        <v>15.6</v>
      </c>
      <c r="HT288" s="19">
        <v>19.3</v>
      </c>
      <c r="HU288" s="19">
        <v>18.7</v>
      </c>
      <c r="HV288" s="19">
        <v>15.5</v>
      </c>
      <c r="HW288" s="19">
        <v>14.6</v>
      </c>
      <c r="HX288" s="19">
        <v>15.4</v>
      </c>
      <c r="HY288" s="19">
        <v>12.8</v>
      </c>
      <c r="HZ288" s="19">
        <v>11.6</v>
      </c>
      <c r="IA288" s="19">
        <v>10.9</v>
      </c>
      <c r="IB288" s="19">
        <v>10</v>
      </c>
      <c r="IC288" s="19">
        <v>9</v>
      </c>
    </row>
    <row r="289">
      <c r="A289" s="2" t="s">
        <v>1305</v>
      </c>
      <c r="B289" s="2" t="s">
        <v>255</v>
      </c>
      <c r="C289" s="2" t="s">
        <v>330</v>
      </c>
      <c r="D289" s="2" t="s">
        <v>361</v>
      </c>
      <c r="E289" s="2" t="s">
        <v>872</v>
      </c>
      <c r="F289" s="2" t="s">
        <v>1296</v>
      </c>
      <c r="G289" s="2" t="s">
        <v>1296</v>
      </c>
      <c r="H289" s="2" t="s">
        <v>1296</v>
      </c>
      <c r="I289" s="2" t="s">
        <v>1297</v>
      </c>
      <c r="J289" s="2" t="s">
        <v>365</v>
      </c>
      <c r="K289" s="2" t="s">
        <v>292</v>
      </c>
      <c r="L289" s="3">
        <v>103.4</v>
      </c>
      <c r="M289" s="3">
        <v>108.57</v>
      </c>
      <c r="N289" s="3">
        <v>258.5</v>
      </c>
      <c r="O289" s="2" t="s">
        <v>232</v>
      </c>
      <c r="P289" s="2" t="s">
        <v>262</v>
      </c>
      <c r="Q289" s="2" t="s">
        <v>234</v>
      </c>
      <c r="R289" s="2" t="s">
        <v>235</v>
      </c>
      <c r="S289" s="2" t="s">
        <v>235</v>
      </c>
      <c r="T289" s="2" t="s">
        <v>1298</v>
      </c>
      <c r="U289" s="2" t="s">
        <v>552</v>
      </c>
      <c r="V289" s="2" t="s">
        <v>420</v>
      </c>
      <c r="W289" s="2" t="s">
        <v>882</v>
      </c>
      <c r="X289" s="2" t="s">
        <v>1299</v>
      </c>
      <c r="Y289" s="2" t="s">
        <v>235</v>
      </c>
      <c r="Z289" s="4"/>
      <c r="AA289" s="4">
        <f>=ROUNDDOWN({0},0)</f>
      </c>
      <c r="AB289" s="5"/>
      <c r="AC289" s="2" t="s">
        <v>204</v>
      </c>
      <c r="AD289" s="4">
        <v>278</v>
      </c>
      <c r="AE289" s="4">
        <v>278</v>
      </c>
      <c r="AF289" s="6">
        <v>77</v>
      </c>
      <c r="AG289" s="6"/>
      <c r="AH289" s="7"/>
      <c r="AI289" s="4"/>
      <c r="AJ289" s="4">
        <f>=ROUNDDOWN({0},0)</f>
      </c>
      <c r="AK289" s="5"/>
      <c r="AL289" s="2" t="s">
        <v>235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235</v>
      </c>
      <c r="AW289" s="8" t="s">
        <v>235</v>
      </c>
      <c r="AX289" s="4" t="s">
        <v>235</v>
      </c>
      <c r="AY289" s="8" t="s">
        <v>235</v>
      </c>
      <c r="AZ289" s="7" t="s">
        <v>235</v>
      </c>
      <c r="BA289" s="7" t="s">
        <v>235</v>
      </c>
      <c r="BB289" s="7" t="s">
        <v>235</v>
      </c>
      <c r="BC289" s="4" t="s">
        <v>235</v>
      </c>
      <c r="BD289" s="8" t="s">
        <v>235</v>
      </c>
      <c r="BE289" s="4" t="s">
        <v>235</v>
      </c>
      <c r="BF289" s="8" t="s">
        <v>235</v>
      </c>
      <c r="BG289" s="7" t="s">
        <v>235</v>
      </c>
      <c r="BH289" s="7" t="s">
        <v>235</v>
      </c>
      <c r="BI289" s="7"/>
      <c r="BJ289" s="4"/>
      <c r="BK289" s="8"/>
      <c r="BL289" s="2" t="s">
        <v>235</v>
      </c>
      <c r="BM289" s="7"/>
      <c r="BN289" s="7"/>
      <c r="BO289" s="4"/>
      <c r="BP289" s="8"/>
      <c r="BQ289" s="4"/>
      <c r="BR289" s="8"/>
      <c r="BS289" s="7"/>
      <c r="BT289" s="7"/>
      <c r="BU289" s="2" t="s">
        <v>330</v>
      </c>
      <c r="BV289" s="2" t="s">
        <v>235</v>
      </c>
      <c r="BW289" s="2" t="s">
        <v>235</v>
      </c>
      <c r="BX289" s="2" t="s">
        <v>330</v>
      </c>
      <c r="BY289" s="2" t="s">
        <v>331</v>
      </c>
      <c r="BZ289" s="2" t="s">
        <v>232</v>
      </c>
      <c r="CA289" s="2" t="s">
        <v>235</v>
      </c>
      <c r="CB289" s="2" t="s">
        <v>235</v>
      </c>
      <c r="CC289" s="2" t="s">
        <v>248</v>
      </c>
      <c r="CD289" s="2" t="s">
        <v>248</v>
      </c>
      <c r="CE289" s="2" t="s">
        <v>235</v>
      </c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>
        <v>278</v>
      </c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>
        <v>278</v>
      </c>
      <c r="GT289" s="4">
        <v>246</v>
      </c>
      <c r="GU289" s="4">
        <v>235</v>
      </c>
      <c r="GV289" s="4">
        <v>221</v>
      </c>
      <c r="GW289" s="4">
        <v>211</v>
      </c>
      <c r="GX289" s="4">
        <v>194</v>
      </c>
      <c r="GY289" s="4">
        <v>182</v>
      </c>
      <c r="GZ289" s="4">
        <v>166</v>
      </c>
      <c r="HA289" s="4">
        <v>158</v>
      </c>
      <c r="HB289" s="4">
        <v>144</v>
      </c>
      <c r="HC289" s="4">
        <v>130</v>
      </c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19">
        <v>16.4</v>
      </c>
      <c r="HT289" s="19">
        <v>18.9</v>
      </c>
      <c r="HU289" s="19">
        <v>18.1</v>
      </c>
      <c r="HV289" s="19">
        <v>15.8</v>
      </c>
      <c r="HW289" s="19">
        <v>16.2</v>
      </c>
      <c r="HX289" s="19">
        <v>16.2</v>
      </c>
      <c r="HY289" s="19">
        <v>14</v>
      </c>
      <c r="HZ289" s="19">
        <v>12.8</v>
      </c>
      <c r="IA289" s="19">
        <v>11.3</v>
      </c>
      <c r="IB289" s="19">
        <v>10.3</v>
      </c>
      <c r="IC289" s="19">
        <v>8.7</v>
      </c>
    </row>
    <row r="290">
      <c r="A290" s="2" t="s">
        <v>1306</v>
      </c>
      <c r="B290" s="2" t="s">
        <v>255</v>
      </c>
      <c r="C290" s="2" t="s">
        <v>330</v>
      </c>
      <c r="D290" s="2" t="s">
        <v>906</v>
      </c>
      <c r="E290" s="2" t="s">
        <v>1301</v>
      </c>
      <c r="F290" s="2" t="s">
        <v>1296</v>
      </c>
      <c r="G290" s="2" t="s">
        <v>1296</v>
      </c>
      <c r="H290" s="2" t="s">
        <v>1296</v>
      </c>
      <c r="I290" s="2" t="s">
        <v>1302</v>
      </c>
      <c r="J290" s="2" t="s">
        <v>365</v>
      </c>
      <c r="K290" s="2" t="s">
        <v>292</v>
      </c>
      <c r="L290" s="3">
        <v>85</v>
      </c>
      <c r="M290" s="3">
        <v>89.25</v>
      </c>
      <c r="N290" s="3">
        <v>212.5</v>
      </c>
      <c r="O290" s="2" t="s">
        <v>232</v>
      </c>
      <c r="P290" s="2" t="s">
        <v>262</v>
      </c>
      <c r="Q290" s="2" t="s">
        <v>234</v>
      </c>
      <c r="R290" s="2" t="s">
        <v>235</v>
      </c>
      <c r="S290" s="2" t="s">
        <v>235</v>
      </c>
      <c r="T290" s="2" t="s">
        <v>1298</v>
      </c>
      <c r="U290" s="2" t="s">
        <v>552</v>
      </c>
      <c r="V290" s="2" t="s">
        <v>420</v>
      </c>
      <c r="W290" s="2" t="s">
        <v>882</v>
      </c>
      <c r="X290" s="2" t="s">
        <v>1299</v>
      </c>
      <c r="Y290" s="2" t="s">
        <v>235</v>
      </c>
      <c r="Z290" s="4"/>
      <c r="AA290" s="4">
        <f>=ROUNDDOWN({0},0)</f>
      </c>
      <c r="AB290" s="5"/>
      <c r="AC290" s="2" t="s">
        <v>204</v>
      </c>
      <c r="AD290" s="4">
        <v>128</v>
      </c>
      <c r="AE290" s="4">
        <v>128</v>
      </c>
      <c r="AF290" s="6">
        <v>77</v>
      </c>
      <c r="AG290" s="6"/>
      <c r="AH290" s="7"/>
      <c r="AI290" s="4"/>
      <c r="AJ290" s="4">
        <f>=ROUNDDOWN({0},0)</f>
      </c>
      <c r="AK290" s="5"/>
      <c r="AL290" s="2" t="s">
        <v>235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235</v>
      </c>
      <c r="AW290" s="8" t="s">
        <v>235</v>
      </c>
      <c r="AX290" s="4" t="s">
        <v>235</v>
      </c>
      <c r="AY290" s="8" t="s">
        <v>235</v>
      </c>
      <c r="AZ290" s="7" t="s">
        <v>235</v>
      </c>
      <c r="BA290" s="7" t="s">
        <v>235</v>
      </c>
      <c r="BB290" s="7" t="s">
        <v>235</v>
      </c>
      <c r="BC290" s="4" t="s">
        <v>235</v>
      </c>
      <c r="BD290" s="8" t="s">
        <v>235</v>
      </c>
      <c r="BE290" s="4" t="s">
        <v>235</v>
      </c>
      <c r="BF290" s="8" t="s">
        <v>235</v>
      </c>
      <c r="BG290" s="7" t="s">
        <v>235</v>
      </c>
      <c r="BH290" s="7" t="s">
        <v>235</v>
      </c>
      <c r="BI290" s="7"/>
      <c r="BJ290" s="4"/>
      <c r="BK290" s="8"/>
      <c r="BL290" s="2" t="s">
        <v>235</v>
      </c>
      <c r="BM290" s="7"/>
      <c r="BN290" s="7"/>
      <c r="BO290" s="4"/>
      <c r="BP290" s="8"/>
      <c r="BQ290" s="4"/>
      <c r="BR290" s="8"/>
      <c r="BS290" s="7"/>
      <c r="BT290" s="7"/>
      <c r="BU290" s="2" t="s">
        <v>330</v>
      </c>
      <c r="BV290" s="2" t="s">
        <v>235</v>
      </c>
      <c r="BW290" s="2" t="s">
        <v>235</v>
      </c>
      <c r="BX290" s="2" t="s">
        <v>330</v>
      </c>
      <c r="BY290" s="2" t="s">
        <v>331</v>
      </c>
      <c r="BZ290" s="2" t="s">
        <v>232</v>
      </c>
      <c r="CA290" s="2" t="s">
        <v>235</v>
      </c>
      <c r="CB290" s="2" t="s">
        <v>235</v>
      </c>
      <c r="CC290" s="2" t="s">
        <v>248</v>
      </c>
      <c r="CD290" s="2" t="s">
        <v>248</v>
      </c>
      <c r="CE290" s="2" t="s">
        <v>235</v>
      </c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>
        <v>128</v>
      </c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>
        <v>128</v>
      </c>
      <c r="GT290" s="4">
        <v>114</v>
      </c>
      <c r="GU290" s="4">
        <v>109</v>
      </c>
      <c r="GV290" s="4">
        <v>103</v>
      </c>
      <c r="GW290" s="4">
        <v>95</v>
      </c>
      <c r="GX290" s="4">
        <v>90</v>
      </c>
      <c r="GY290" s="4">
        <v>87</v>
      </c>
      <c r="GZ290" s="4">
        <v>80</v>
      </c>
      <c r="HA290" s="4">
        <v>73</v>
      </c>
      <c r="HB290" s="4">
        <v>69</v>
      </c>
      <c r="HC290" s="4">
        <v>62</v>
      </c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19">
        <v>16</v>
      </c>
      <c r="HT290" s="19">
        <v>19</v>
      </c>
      <c r="HU290" s="19">
        <v>18.2</v>
      </c>
      <c r="HV290" s="19">
        <v>17.2</v>
      </c>
      <c r="HW290" s="19">
        <v>15.8</v>
      </c>
      <c r="HX290" s="19">
        <v>18</v>
      </c>
      <c r="HY290" s="19">
        <v>14.5</v>
      </c>
      <c r="HZ290" s="19">
        <v>13.3</v>
      </c>
      <c r="IA290" s="19">
        <v>12.2</v>
      </c>
      <c r="IB290" s="19">
        <v>11.5</v>
      </c>
      <c r="IC290" s="19">
        <v>10.3</v>
      </c>
    </row>
    <row r="291">
      <c r="A291" s="2" t="s">
        <v>1307</v>
      </c>
      <c r="B291" s="2" t="s">
        <v>255</v>
      </c>
      <c r="C291" s="2" t="s">
        <v>330</v>
      </c>
      <c r="D291" s="2" t="s">
        <v>361</v>
      </c>
      <c r="E291" s="2" t="s">
        <v>872</v>
      </c>
      <c r="F291" s="2" t="s">
        <v>1296</v>
      </c>
      <c r="G291" s="2" t="s">
        <v>1296</v>
      </c>
      <c r="H291" s="2" t="s">
        <v>1296</v>
      </c>
      <c r="I291" s="2" t="s">
        <v>1297</v>
      </c>
      <c r="J291" s="2" t="s">
        <v>270</v>
      </c>
      <c r="K291" s="2" t="s">
        <v>292</v>
      </c>
      <c r="L291" s="3">
        <v>117.5</v>
      </c>
      <c r="M291" s="3">
        <v>123.38</v>
      </c>
      <c r="N291" s="3">
        <v>293.75</v>
      </c>
      <c r="O291" s="2" t="s">
        <v>232</v>
      </c>
      <c r="P291" s="2" t="s">
        <v>262</v>
      </c>
      <c r="Q291" s="2" t="s">
        <v>234</v>
      </c>
      <c r="R291" s="2" t="s">
        <v>235</v>
      </c>
      <c r="S291" s="2" t="s">
        <v>235</v>
      </c>
      <c r="T291" s="2" t="s">
        <v>1298</v>
      </c>
      <c r="U291" s="2" t="s">
        <v>552</v>
      </c>
      <c r="V291" s="2" t="s">
        <v>420</v>
      </c>
      <c r="W291" s="2" t="s">
        <v>882</v>
      </c>
      <c r="X291" s="2" t="s">
        <v>1299</v>
      </c>
      <c r="Y291" s="2" t="s">
        <v>235</v>
      </c>
      <c r="Z291" s="4"/>
      <c r="AA291" s="4">
        <f>=ROUNDDOWN({0},0)</f>
      </c>
      <c r="AB291" s="5"/>
      <c r="AC291" s="2" t="s">
        <v>204</v>
      </c>
      <c r="AD291" s="4">
        <v>430</v>
      </c>
      <c r="AE291" s="4">
        <v>430</v>
      </c>
      <c r="AF291" s="6">
        <v>77</v>
      </c>
      <c r="AG291" s="6"/>
      <c r="AH291" s="7"/>
      <c r="AI291" s="4"/>
      <c r="AJ291" s="4">
        <f>=ROUNDDOWN({0},0)</f>
      </c>
      <c r="AK291" s="5"/>
      <c r="AL291" s="2" t="s">
        <v>235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235</v>
      </c>
      <c r="AW291" s="8" t="s">
        <v>235</v>
      </c>
      <c r="AX291" s="4" t="s">
        <v>235</v>
      </c>
      <c r="AY291" s="8" t="s">
        <v>235</v>
      </c>
      <c r="AZ291" s="7" t="s">
        <v>235</v>
      </c>
      <c r="BA291" s="7" t="s">
        <v>235</v>
      </c>
      <c r="BB291" s="7" t="s">
        <v>235</v>
      </c>
      <c r="BC291" s="4" t="s">
        <v>235</v>
      </c>
      <c r="BD291" s="8" t="s">
        <v>235</v>
      </c>
      <c r="BE291" s="4" t="s">
        <v>235</v>
      </c>
      <c r="BF291" s="8" t="s">
        <v>235</v>
      </c>
      <c r="BG291" s="7" t="s">
        <v>235</v>
      </c>
      <c r="BH291" s="7" t="s">
        <v>235</v>
      </c>
      <c r="BI291" s="7"/>
      <c r="BJ291" s="4"/>
      <c r="BK291" s="8"/>
      <c r="BL291" s="2" t="s">
        <v>235</v>
      </c>
      <c r="BM291" s="7"/>
      <c r="BN291" s="7"/>
      <c r="BO291" s="4"/>
      <c r="BP291" s="8"/>
      <c r="BQ291" s="4"/>
      <c r="BR291" s="8"/>
      <c r="BS291" s="7"/>
      <c r="BT291" s="7"/>
      <c r="BU291" s="2" t="s">
        <v>330</v>
      </c>
      <c r="BV291" s="2" t="s">
        <v>235</v>
      </c>
      <c r="BW291" s="2" t="s">
        <v>235</v>
      </c>
      <c r="BX291" s="2" t="s">
        <v>330</v>
      </c>
      <c r="BY291" s="2" t="s">
        <v>331</v>
      </c>
      <c r="BZ291" s="2" t="s">
        <v>232</v>
      </c>
      <c r="CA291" s="2" t="s">
        <v>235</v>
      </c>
      <c r="CB291" s="2" t="s">
        <v>235</v>
      </c>
      <c r="CC291" s="2" t="s">
        <v>248</v>
      </c>
      <c r="CD291" s="2" t="s">
        <v>248</v>
      </c>
      <c r="CE291" s="2" t="s">
        <v>235</v>
      </c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>
        <v>430</v>
      </c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>
        <v>430</v>
      </c>
      <c r="GT291" s="4">
        <v>377</v>
      </c>
      <c r="GU291" s="4">
        <v>365</v>
      </c>
      <c r="GV291" s="4">
        <v>337</v>
      </c>
      <c r="GW291" s="4">
        <v>317</v>
      </c>
      <c r="GX291" s="4">
        <v>299</v>
      </c>
      <c r="GY291" s="4">
        <v>285</v>
      </c>
      <c r="GZ291" s="4">
        <v>267</v>
      </c>
      <c r="HA291" s="4">
        <v>251</v>
      </c>
      <c r="HB291" s="4">
        <v>234</v>
      </c>
      <c r="HC291" s="4">
        <v>208</v>
      </c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19">
        <v>15.4</v>
      </c>
      <c r="HT291" s="19">
        <v>18.9</v>
      </c>
      <c r="HU291" s="19">
        <v>18.3</v>
      </c>
      <c r="HV291" s="19">
        <v>18.7</v>
      </c>
      <c r="HW291" s="19">
        <v>19.8</v>
      </c>
      <c r="HX291" s="19">
        <v>18.7</v>
      </c>
      <c r="HY291" s="19">
        <v>15</v>
      </c>
      <c r="HZ291" s="19">
        <v>13.4</v>
      </c>
      <c r="IA291" s="19">
        <v>12.6</v>
      </c>
      <c r="IB291" s="19">
        <v>11.1</v>
      </c>
      <c r="IC291" s="19">
        <v>10.9</v>
      </c>
    </row>
    <row r="292">
      <c r="A292" s="2" t="s">
        <v>1308</v>
      </c>
      <c r="B292" s="2" t="s">
        <v>255</v>
      </c>
      <c r="C292" s="2" t="s">
        <v>330</v>
      </c>
      <c r="D292" s="2" t="s">
        <v>906</v>
      </c>
      <c r="E292" s="2" t="s">
        <v>1301</v>
      </c>
      <c r="F292" s="2" t="s">
        <v>1296</v>
      </c>
      <c r="G292" s="2" t="s">
        <v>1296</v>
      </c>
      <c r="H292" s="2" t="s">
        <v>1296</v>
      </c>
      <c r="I292" s="2" t="s">
        <v>1302</v>
      </c>
      <c r="J292" s="2" t="s">
        <v>270</v>
      </c>
      <c r="K292" s="2" t="s">
        <v>292</v>
      </c>
      <c r="L292" s="3">
        <v>95</v>
      </c>
      <c r="M292" s="3">
        <v>99.75</v>
      </c>
      <c r="N292" s="3">
        <v>237.5</v>
      </c>
      <c r="O292" s="2" t="s">
        <v>232</v>
      </c>
      <c r="P292" s="2" t="s">
        <v>262</v>
      </c>
      <c r="Q292" s="2" t="s">
        <v>234</v>
      </c>
      <c r="R292" s="2" t="s">
        <v>235</v>
      </c>
      <c r="S292" s="2" t="s">
        <v>235</v>
      </c>
      <c r="T292" s="2" t="s">
        <v>1298</v>
      </c>
      <c r="U292" s="2" t="s">
        <v>552</v>
      </c>
      <c r="V292" s="2" t="s">
        <v>420</v>
      </c>
      <c r="W292" s="2" t="s">
        <v>882</v>
      </c>
      <c r="X292" s="2" t="s">
        <v>1299</v>
      </c>
      <c r="Y292" s="2" t="s">
        <v>235</v>
      </c>
      <c r="Z292" s="4"/>
      <c r="AA292" s="4">
        <f>=ROUNDDOWN({0},0)</f>
      </c>
      <c r="AB292" s="5"/>
      <c r="AC292" s="2" t="s">
        <v>204</v>
      </c>
      <c r="AD292" s="4">
        <v>156</v>
      </c>
      <c r="AE292" s="4">
        <v>156</v>
      </c>
      <c r="AF292" s="6">
        <v>77</v>
      </c>
      <c r="AG292" s="6"/>
      <c r="AH292" s="7"/>
      <c r="AI292" s="4"/>
      <c r="AJ292" s="4">
        <f>=ROUNDDOWN({0},0)</f>
      </c>
      <c r="AK292" s="5"/>
      <c r="AL292" s="2" t="s">
        <v>235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235</v>
      </c>
      <c r="AW292" s="8" t="s">
        <v>235</v>
      </c>
      <c r="AX292" s="4" t="s">
        <v>235</v>
      </c>
      <c r="AY292" s="8" t="s">
        <v>235</v>
      </c>
      <c r="AZ292" s="7" t="s">
        <v>235</v>
      </c>
      <c r="BA292" s="7" t="s">
        <v>235</v>
      </c>
      <c r="BB292" s="7" t="s">
        <v>235</v>
      </c>
      <c r="BC292" s="4" t="s">
        <v>235</v>
      </c>
      <c r="BD292" s="8" t="s">
        <v>235</v>
      </c>
      <c r="BE292" s="4" t="s">
        <v>235</v>
      </c>
      <c r="BF292" s="8" t="s">
        <v>235</v>
      </c>
      <c r="BG292" s="7" t="s">
        <v>235</v>
      </c>
      <c r="BH292" s="7" t="s">
        <v>235</v>
      </c>
      <c r="BI292" s="7"/>
      <c r="BJ292" s="4"/>
      <c r="BK292" s="8"/>
      <c r="BL292" s="2" t="s">
        <v>235</v>
      </c>
      <c r="BM292" s="7"/>
      <c r="BN292" s="7"/>
      <c r="BO292" s="4"/>
      <c r="BP292" s="8"/>
      <c r="BQ292" s="4"/>
      <c r="BR292" s="8"/>
      <c r="BS292" s="7"/>
      <c r="BT292" s="7"/>
      <c r="BU292" s="2" t="s">
        <v>330</v>
      </c>
      <c r="BV292" s="2" t="s">
        <v>235</v>
      </c>
      <c r="BW292" s="2" t="s">
        <v>235</v>
      </c>
      <c r="BX292" s="2" t="s">
        <v>330</v>
      </c>
      <c r="BY292" s="2" t="s">
        <v>331</v>
      </c>
      <c r="BZ292" s="2" t="s">
        <v>232</v>
      </c>
      <c r="CA292" s="2" t="s">
        <v>235</v>
      </c>
      <c r="CB292" s="2" t="s">
        <v>235</v>
      </c>
      <c r="CC292" s="2" t="s">
        <v>248</v>
      </c>
      <c r="CD292" s="2" t="s">
        <v>248</v>
      </c>
      <c r="CE292" s="2" t="s">
        <v>235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>
        <v>156</v>
      </c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>
        <v>156</v>
      </c>
      <c r="GT292" s="4">
        <v>135</v>
      </c>
      <c r="GU292" s="4">
        <v>131</v>
      </c>
      <c r="GV292" s="4">
        <v>124</v>
      </c>
      <c r="GW292" s="4">
        <v>117</v>
      </c>
      <c r="GX292" s="4">
        <v>108</v>
      </c>
      <c r="GY292" s="4">
        <v>102</v>
      </c>
      <c r="GZ292" s="4">
        <v>93</v>
      </c>
      <c r="HA292" s="4">
        <v>87</v>
      </c>
      <c r="HB292" s="4">
        <v>80</v>
      </c>
      <c r="HC292" s="4">
        <v>72</v>
      </c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19">
        <v>15.6</v>
      </c>
      <c r="HT292" s="19">
        <v>19.3</v>
      </c>
      <c r="HU292" s="19">
        <v>18.7</v>
      </c>
      <c r="HV292" s="19">
        <v>15.5</v>
      </c>
      <c r="HW292" s="19">
        <v>14.6</v>
      </c>
      <c r="HX292" s="19">
        <v>15.4</v>
      </c>
      <c r="HY292" s="19">
        <v>12.8</v>
      </c>
      <c r="HZ292" s="19">
        <v>11.6</v>
      </c>
      <c r="IA292" s="19">
        <v>10.9</v>
      </c>
      <c r="IB292" s="19">
        <v>10</v>
      </c>
      <c r="IC292" s="19">
        <v>9</v>
      </c>
    </row>
    <row r="293">
      <c r="A293" s="2" t="s">
        <v>1309</v>
      </c>
      <c r="B293" s="2" t="s">
        <v>800</v>
      </c>
      <c r="C293" s="2" t="s">
        <v>893</v>
      </c>
      <c r="D293" s="2" t="s">
        <v>960</v>
      </c>
      <c r="E293" s="2" t="s">
        <v>961</v>
      </c>
      <c r="F293" s="2" t="s">
        <v>1310</v>
      </c>
      <c r="G293" s="2" t="s">
        <v>1311</v>
      </c>
      <c r="H293" s="2" t="s">
        <v>1310</v>
      </c>
      <c r="I293" s="2" t="s">
        <v>1312</v>
      </c>
      <c r="J293" s="2" t="s">
        <v>897</v>
      </c>
      <c r="K293" s="2" t="s">
        <v>231</v>
      </c>
      <c r="L293" s="3">
        <v>53</v>
      </c>
      <c r="M293" s="3">
        <v>55.65</v>
      </c>
      <c r="N293" s="3">
        <v>109.99</v>
      </c>
      <c r="O293" s="2" t="s">
        <v>232</v>
      </c>
      <c r="P293" s="2" t="s">
        <v>233</v>
      </c>
      <c r="Q293" s="2" t="s">
        <v>234</v>
      </c>
      <c r="R293" s="2" t="s">
        <v>235</v>
      </c>
      <c r="S293" s="2" t="s">
        <v>235</v>
      </c>
      <c r="T293" s="2" t="s">
        <v>235</v>
      </c>
      <c r="U293" s="2" t="s">
        <v>807</v>
      </c>
      <c r="V293" s="2" t="s">
        <v>808</v>
      </c>
      <c r="W293" s="2" t="s">
        <v>1313</v>
      </c>
      <c r="X293" s="2" t="s">
        <v>682</v>
      </c>
      <c r="Y293" s="2" t="s">
        <v>976</v>
      </c>
      <c r="Z293" s="4"/>
      <c r="AA293" s="4">
        <f>=ROUNDDOWN({0},0)</f>
      </c>
      <c r="AB293" s="5">
        <v>6</v>
      </c>
      <c r="AC293" s="2" t="s">
        <v>179</v>
      </c>
      <c r="AD293" s="4">
        <v>100</v>
      </c>
      <c r="AE293" s="4">
        <v>100</v>
      </c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235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235</v>
      </c>
      <c r="BM293" s="7"/>
      <c r="BN293" s="7"/>
      <c r="BO293" s="4"/>
      <c r="BP293" s="8"/>
      <c r="BQ293" s="4"/>
      <c r="BR293" s="8"/>
      <c r="BS293" s="7"/>
      <c r="BT293" s="7"/>
      <c r="BU293" s="2" t="s">
        <v>1314</v>
      </c>
      <c r="BV293" s="2" t="s">
        <v>813</v>
      </c>
      <c r="BW293" s="2" t="s">
        <v>235</v>
      </c>
      <c r="BX293" s="2" t="s">
        <v>244</v>
      </c>
      <c r="BY293" s="2" t="s">
        <v>245</v>
      </c>
      <c r="BZ293" s="2" t="s">
        <v>232</v>
      </c>
      <c r="CA293" s="2" t="s">
        <v>970</v>
      </c>
      <c r="CB293" s="2" t="s">
        <v>235</v>
      </c>
      <c r="CC293" s="2" t="s">
        <v>248</v>
      </c>
      <c r="CD293" s="2" t="s">
        <v>248</v>
      </c>
      <c r="CE293" s="2" t="s">
        <v>235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>
        <v>100</v>
      </c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>
        <v>100</v>
      </c>
      <c r="GO293" s="4">
        <v>93</v>
      </c>
      <c r="GP293" s="4">
        <v>85</v>
      </c>
      <c r="GQ293" s="4">
        <v>78</v>
      </c>
      <c r="GR293" s="4">
        <v>71</v>
      </c>
      <c r="GS293" s="4">
        <v>63</v>
      </c>
      <c r="GT293" s="4">
        <v>56</v>
      </c>
      <c r="GU293" s="4">
        <v>49</v>
      </c>
      <c r="GV293" s="4">
        <v>43</v>
      </c>
      <c r="GW293" s="4">
        <v>37</v>
      </c>
      <c r="GX293" s="4">
        <v>31</v>
      </c>
      <c r="GY293" s="4">
        <v>25</v>
      </c>
      <c r="GZ293" s="4">
        <v>19</v>
      </c>
      <c r="HA293" s="4">
        <v>13</v>
      </c>
      <c r="HB293" s="4">
        <v>7</v>
      </c>
      <c r="HC293" s="4"/>
      <c r="HD293" s="20">
        <v>0</v>
      </c>
      <c r="HE293" s="20">
        <v>0</v>
      </c>
      <c r="HF293" s="20">
        <v>0</v>
      </c>
      <c r="HG293" s="20">
        <v>0</v>
      </c>
      <c r="HH293" s="20">
        <v>0</v>
      </c>
      <c r="HI293" s="20">
        <v>0</v>
      </c>
      <c r="HJ293" s="20">
        <v>0</v>
      </c>
      <c r="HK293" s="20">
        <v>0</v>
      </c>
      <c r="HL293" s="20">
        <v>0</v>
      </c>
      <c r="HM293" s="20">
        <v>0</v>
      </c>
      <c r="HN293" s="19">
        <v>14.3</v>
      </c>
      <c r="HO293" s="19">
        <v>11.6</v>
      </c>
      <c r="HP293" s="19">
        <v>12.1</v>
      </c>
      <c r="HQ293" s="19">
        <v>11.1</v>
      </c>
      <c r="HR293" s="19">
        <v>10.1</v>
      </c>
      <c r="HS293" s="19">
        <v>10.5</v>
      </c>
      <c r="HT293" s="19">
        <v>9.3</v>
      </c>
      <c r="HU293" s="19">
        <v>8.2</v>
      </c>
      <c r="HV293" s="19">
        <v>7.2</v>
      </c>
      <c r="HW293" s="19">
        <v>6.2</v>
      </c>
      <c r="HX293" s="19">
        <v>5.2</v>
      </c>
      <c r="HY293" s="19">
        <v>4.2</v>
      </c>
      <c r="HZ293" s="19">
        <v>3.2</v>
      </c>
      <c r="IA293" s="19">
        <v>2.2</v>
      </c>
      <c r="IB293" s="19">
        <v>1.2</v>
      </c>
      <c r="IC293" s="20">
        <v>0</v>
      </c>
    </row>
    <row r="294">
      <c r="A294" s="2" t="s">
        <v>1315</v>
      </c>
      <c r="B294" s="2" t="s">
        <v>1139</v>
      </c>
      <c r="C294" s="2" t="s">
        <v>324</v>
      </c>
      <c r="D294" s="2" t="s">
        <v>1140</v>
      </c>
      <c r="E294" s="2" t="s">
        <v>1141</v>
      </c>
      <c r="F294" s="2" t="s">
        <v>1316</v>
      </c>
      <c r="G294" s="2" t="s">
        <v>1316</v>
      </c>
      <c r="H294" s="2" t="s">
        <v>1316</v>
      </c>
      <c r="I294" s="2" t="s">
        <v>1141</v>
      </c>
      <c r="J294" s="2" t="s">
        <v>1317</v>
      </c>
      <c r="K294" s="2" t="s">
        <v>612</v>
      </c>
      <c r="L294" s="3">
        <v>16.03</v>
      </c>
      <c r="M294" s="3">
        <v>16.83</v>
      </c>
      <c r="N294" s="3">
        <v>34.99</v>
      </c>
      <c r="O294" s="2" t="s">
        <v>232</v>
      </c>
      <c r="P294" s="2" t="s">
        <v>878</v>
      </c>
      <c r="Q294" s="2" t="s">
        <v>234</v>
      </c>
      <c r="R294" s="2" t="s">
        <v>235</v>
      </c>
      <c r="S294" s="2" t="s">
        <v>235</v>
      </c>
      <c r="T294" s="2" t="s">
        <v>235</v>
      </c>
      <c r="U294" s="2" t="s">
        <v>807</v>
      </c>
      <c r="V294" s="2" t="s">
        <v>238</v>
      </c>
      <c r="W294" s="2" t="s">
        <v>239</v>
      </c>
      <c r="X294" s="2" t="s">
        <v>235</v>
      </c>
      <c r="Y294" s="2" t="s">
        <v>1318</v>
      </c>
      <c r="Z294" s="4">
        <v>102</v>
      </c>
      <c r="AA294" s="4">
        <f>=ROUNDDOWN(92.7272727272727,0)</f>
      </c>
      <c r="AB294" s="5">
        <v>1.1</v>
      </c>
      <c r="AC294" s="2" t="s">
        <v>235</v>
      </c>
      <c r="AD294" s="4"/>
      <c r="AE294" s="4"/>
      <c r="AF294" s="6">
        <v>65</v>
      </c>
      <c r="AG294" s="6"/>
      <c r="AH294" s="7">
        <v>0.7742</v>
      </c>
      <c r="AI294" s="4"/>
      <c r="AJ294" s="4">
        <f>=ROUNDDOWN({0},0)</f>
      </c>
      <c r="AK294" s="5"/>
      <c r="AL294" s="2" t="s">
        <v>235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235</v>
      </c>
      <c r="AW294" s="8" t="s">
        <v>235</v>
      </c>
      <c r="AX294" s="4" t="s">
        <v>235</v>
      </c>
      <c r="AY294" s="8" t="s">
        <v>235</v>
      </c>
      <c r="AZ294" s="7" t="s">
        <v>235</v>
      </c>
      <c r="BA294" s="7" t="s">
        <v>235</v>
      </c>
      <c r="BB294" s="7"/>
      <c r="BC294" s="4" t="s">
        <v>235</v>
      </c>
      <c r="BD294" s="8" t="s">
        <v>235</v>
      </c>
      <c r="BE294" s="4" t="s">
        <v>235</v>
      </c>
      <c r="BF294" s="8" t="s">
        <v>235</v>
      </c>
      <c r="BG294" s="7" t="s">
        <v>235</v>
      </c>
      <c r="BH294" s="7" t="s">
        <v>235</v>
      </c>
      <c r="BI294" s="7"/>
      <c r="BJ294" s="4"/>
      <c r="BK294" s="8"/>
      <c r="BL294" s="2" t="s">
        <v>235</v>
      </c>
      <c r="BM294" s="7"/>
      <c r="BN294" s="7"/>
      <c r="BO294" s="4"/>
      <c r="BP294" s="8"/>
      <c r="BQ294" s="4"/>
      <c r="BR294" s="8"/>
      <c r="BS294" s="7"/>
      <c r="BT294" s="7"/>
      <c r="BU294" s="2" t="s">
        <v>1319</v>
      </c>
      <c r="BV294" s="2" t="s">
        <v>618</v>
      </c>
      <c r="BW294" s="2" t="s">
        <v>235</v>
      </c>
      <c r="BX294" s="2" t="s">
        <v>244</v>
      </c>
      <c r="BY294" s="2" t="s">
        <v>245</v>
      </c>
      <c r="BZ294" s="2" t="s">
        <v>232</v>
      </c>
      <c r="CA294" s="2" t="s">
        <v>1320</v>
      </c>
      <c r="CB294" s="2" t="s">
        <v>1321</v>
      </c>
      <c r="CC294" s="2" t="s">
        <v>248</v>
      </c>
      <c r="CD294" s="2" t="s">
        <v>248</v>
      </c>
      <c r="CE294" s="2" t="s">
        <v>235</v>
      </c>
      <c r="CF294" s="4">
        <v>99</v>
      </c>
      <c r="CG294" s="4"/>
      <c r="CH294" s="4"/>
      <c r="CI294" s="4">
        <v>3</v>
      </c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>
        <v>102</v>
      </c>
      <c r="GE294" s="4">
        <v>93</v>
      </c>
      <c r="GF294" s="4">
        <v>92</v>
      </c>
      <c r="GG294" s="4">
        <v>91</v>
      </c>
      <c r="GH294" s="4">
        <v>90</v>
      </c>
      <c r="GI294" s="4">
        <v>89</v>
      </c>
      <c r="GJ294" s="4">
        <v>88</v>
      </c>
      <c r="GK294" s="4">
        <v>87</v>
      </c>
      <c r="GL294" s="4">
        <v>86</v>
      </c>
      <c r="GM294" s="4">
        <v>85</v>
      </c>
      <c r="GN294" s="4">
        <v>84</v>
      </c>
      <c r="GO294" s="4">
        <v>84</v>
      </c>
      <c r="GP294" s="4">
        <v>84</v>
      </c>
      <c r="GQ294" s="4">
        <v>84</v>
      </c>
      <c r="GR294" s="4">
        <v>84</v>
      </c>
      <c r="GS294" s="4">
        <v>83</v>
      </c>
      <c r="GT294" s="4">
        <v>82</v>
      </c>
      <c r="GU294" s="4">
        <v>81</v>
      </c>
      <c r="GV294" s="4">
        <v>81</v>
      </c>
      <c r="GW294" s="4">
        <v>81</v>
      </c>
      <c r="GX294" s="4">
        <v>81</v>
      </c>
      <c r="GY294" s="4">
        <v>80</v>
      </c>
      <c r="GZ294" s="4">
        <v>79</v>
      </c>
      <c r="HA294" s="4">
        <v>78</v>
      </c>
      <c r="HB294" s="4">
        <v>77</v>
      </c>
      <c r="HC294" s="4">
        <v>76</v>
      </c>
      <c r="HD294" s="19">
        <v>34</v>
      </c>
      <c r="HE294" s="19">
        <v>93</v>
      </c>
      <c r="HF294" s="19">
        <v>92</v>
      </c>
      <c r="HG294" s="19">
        <v>91</v>
      </c>
      <c r="HH294" s="19">
        <v>90</v>
      </c>
      <c r="HI294" s="19">
        <v>89</v>
      </c>
      <c r="HJ294" s="19">
        <v>88</v>
      </c>
      <c r="HK294" s="19">
        <v>87</v>
      </c>
      <c r="HL294" s="20">
        <v>0</v>
      </c>
      <c r="HM294" s="20">
        <v>0</v>
      </c>
      <c r="HN294" s="9"/>
      <c r="HO294" s="9"/>
      <c r="HP294" s="9"/>
      <c r="HQ294" s="19">
        <v>84</v>
      </c>
      <c r="HR294" s="19">
        <v>84</v>
      </c>
      <c r="HS294" s="20">
        <v>0</v>
      </c>
      <c r="HT294" s="20">
        <v>0</v>
      </c>
      <c r="HU294" s="9"/>
      <c r="HV294" s="9"/>
      <c r="HW294" s="19">
        <v>81</v>
      </c>
      <c r="HX294" s="19">
        <v>81</v>
      </c>
      <c r="HY294" s="19">
        <v>80</v>
      </c>
      <c r="HZ294" s="19">
        <v>79</v>
      </c>
      <c r="IA294" s="19">
        <v>78</v>
      </c>
      <c r="IB294" s="19">
        <v>77</v>
      </c>
      <c r="IC294" s="19">
        <v>76</v>
      </c>
    </row>
    <row r="295">
      <c r="A295" s="2" t="s">
        <v>1322</v>
      </c>
      <c r="B295" s="2" t="s">
        <v>1139</v>
      </c>
      <c r="C295" s="2" t="s">
        <v>324</v>
      </c>
      <c r="D295" s="2" t="s">
        <v>1140</v>
      </c>
      <c r="E295" s="2" t="s">
        <v>1141</v>
      </c>
      <c r="F295" s="2" t="s">
        <v>1316</v>
      </c>
      <c r="G295" s="2" t="s">
        <v>1316</v>
      </c>
      <c r="H295" s="2" t="s">
        <v>1316</v>
      </c>
      <c r="I295" s="2" t="s">
        <v>1141</v>
      </c>
      <c r="J295" s="2" t="s">
        <v>1323</v>
      </c>
      <c r="K295" s="2" t="s">
        <v>612</v>
      </c>
      <c r="L295" s="3">
        <v>8.98</v>
      </c>
      <c r="M295" s="3">
        <v>9.43</v>
      </c>
      <c r="N295" s="3">
        <v>21.99</v>
      </c>
      <c r="O295" s="2" t="s">
        <v>232</v>
      </c>
      <c r="P295" s="2" t="s">
        <v>878</v>
      </c>
      <c r="Q295" s="2" t="s">
        <v>234</v>
      </c>
      <c r="R295" s="2" t="s">
        <v>235</v>
      </c>
      <c r="S295" s="2" t="s">
        <v>235</v>
      </c>
      <c r="T295" s="2" t="s">
        <v>235</v>
      </c>
      <c r="U295" s="2" t="s">
        <v>807</v>
      </c>
      <c r="V295" s="2" t="s">
        <v>238</v>
      </c>
      <c r="W295" s="2" t="s">
        <v>239</v>
      </c>
      <c r="X295" s="2" t="s">
        <v>235</v>
      </c>
      <c r="Y295" s="2" t="s">
        <v>1324</v>
      </c>
      <c r="Z295" s="4">
        <v>224</v>
      </c>
      <c r="AA295" s="4">
        <f>=ROUNDDOWN(57.4358974358974,0)</f>
      </c>
      <c r="AB295" s="5">
        <v>3.9</v>
      </c>
      <c r="AC295" s="2" t="s">
        <v>235</v>
      </c>
      <c r="AD295" s="4"/>
      <c r="AE295" s="4"/>
      <c r="AF295" s="6">
        <v>65</v>
      </c>
      <c r="AG295" s="6"/>
      <c r="AH295" s="7">
        <v>0.8065</v>
      </c>
      <c r="AI295" s="4"/>
      <c r="AJ295" s="4">
        <f>=ROUNDDOWN({0},0)</f>
      </c>
      <c r="AK295" s="5"/>
      <c r="AL295" s="2" t="s">
        <v>235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235</v>
      </c>
      <c r="AW295" s="8" t="s">
        <v>235</v>
      </c>
      <c r="AX295" s="4" t="s">
        <v>235</v>
      </c>
      <c r="AY295" s="8" t="s">
        <v>235</v>
      </c>
      <c r="AZ295" s="7" t="s">
        <v>235</v>
      </c>
      <c r="BA295" s="7" t="s">
        <v>235</v>
      </c>
      <c r="BB295" s="7"/>
      <c r="BC295" s="4" t="s">
        <v>235</v>
      </c>
      <c r="BD295" s="8" t="s">
        <v>235</v>
      </c>
      <c r="BE295" s="4" t="s">
        <v>235</v>
      </c>
      <c r="BF295" s="8" t="s">
        <v>235</v>
      </c>
      <c r="BG295" s="7" t="s">
        <v>235</v>
      </c>
      <c r="BH295" s="7" t="s">
        <v>235</v>
      </c>
      <c r="BI295" s="7"/>
      <c r="BJ295" s="4">
        <v>20</v>
      </c>
      <c r="BK295" s="8">
        <v>166</v>
      </c>
      <c r="BL295" s="2" t="s">
        <v>1226</v>
      </c>
      <c r="BM295" s="7"/>
      <c r="BN295" s="7"/>
      <c r="BO295" s="4"/>
      <c r="BP295" s="8"/>
      <c r="BQ295" s="4"/>
      <c r="BR295" s="8"/>
      <c r="BS295" s="7"/>
      <c r="BT295" s="7"/>
      <c r="BU295" s="2" t="s">
        <v>1319</v>
      </c>
      <c r="BV295" s="2" t="s">
        <v>618</v>
      </c>
      <c r="BW295" s="2" t="s">
        <v>235</v>
      </c>
      <c r="BX295" s="2" t="s">
        <v>244</v>
      </c>
      <c r="BY295" s="2" t="s">
        <v>245</v>
      </c>
      <c r="BZ295" s="2" t="s">
        <v>232</v>
      </c>
      <c r="CA295" s="2" t="s">
        <v>1324</v>
      </c>
      <c r="CB295" s="2" t="s">
        <v>1325</v>
      </c>
      <c r="CC295" s="2" t="s">
        <v>248</v>
      </c>
      <c r="CD295" s="2" t="s">
        <v>248</v>
      </c>
      <c r="CE295" s="2" t="s">
        <v>235</v>
      </c>
      <c r="CF295" s="4">
        <v>221</v>
      </c>
      <c r="CG295" s="4"/>
      <c r="CH295" s="4"/>
      <c r="CI295" s="4">
        <v>3</v>
      </c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>
        <v>224</v>
      </c>
      <c r="GE295" s="4">
        <v>221</v>
      </c>
      <c r="GF295" s="4">
        <v>217</v>
      </c>
      <c r="GG295" s="4">
        <v>213</v>
      </c>
      <c r="GH295" s="4">
        <v>209</v>
      </c>
      <c r="GI295" s="4">
        <v>205</v>
      </c>
      <c r="GJ295" s="4">
        <v>200</v>
      </c>
      <c r="GK295" s="4">
        <v>196</v>
      </c>
      <c r="GL295" s="4">
        <v>193</v>
      </c>
      <c r="GM295" s="4">
        <v>187</v>
      </c>
      <c r="GN295" s="4">
        <v>184</v>
      </c>
      <c r="GO295" s="4">
        <v>180</v>
      </c>
      <c r="GP295" s="4">
        <v>175</v>
      </c>
      <c r="GQ295" s="4">
        <v>171</v>
      </c>
      <c r="GR295" s="4">
        <v>164</v>
      </c>
      <c r="GS295" s="4">
        <v>160</v>
      </c>
      <c r="GT295" s="4">
        <v>155</v>
      </c>
      <c r="GU295" s="4">
        <v>151</v>
      </c>
      <c r="GV295" s="4">
        <v>145</v>
      </c>
      <c r="GW295" s="4">
        <v>142</v>
      </c>
      <c r="GX295" s="4">
        <v>139</v>
      </c>
      <c r="GY295" s="4">
        <v>136</v>
      </c>
      <c r="GZ295" s="4">
        <v>132</v>
      </c>
      <c r="HA295" s="4">
        <v>128</v>
      </c>
      <c r="HB295" s="4">
        <v>124</v>
      </c>
      <c r="HC295" s="4">
        <v>120</v>
      </c>
      <c r="HD295" s="19">
        <v>56</v>
      </c>
      <c r="HE295" s="19">
        <v>55.3</v>
      </c>
      <c r="HF295" s="19">
        <v>54.3</v>
      </c>
      <c r="HG295" s="19">
        <v>53.3</v>
      </c>
      <c r="HH295" s="19">
        <v>52.3</v>
      </c>
      <c r="HI295" s="19">
        <v>51.3</v>
      </c>
      <c r="HJ295" s="19">
        <v>50</v>
      </c>
      <c r="HK295" s="19">
        <v>49</v>
      </c>
      <c r="HL295" s="19">
        <v>48.3</v>
      </c>
      <c r="HM295" s="19">
        <v>46.8</v>
      </c>
      <c r="HN295" s="19">
        <v>36.8</v>
      </c>
      <c r="HO295" s="19">
        <v>36</v>
      </c>
      <c r="HP295" s="19">
        <v>35</v>
      </c>
      <c r="HQ295" s="19">
        <v>34.2</v>
      </c>
      <c r="HR295" s="19">
        <v>32.8</v>
      </c>
      <c r="HS295" s="19">
        <v>40</v>
      </c>
      <c r="HT295" s="19">
        <v>38.8</v>
      </c>
      <c r="HU295" s="19">
        <v>37.8</v>
      </c>
      <c r="HV295" s="19">
        <v>48.3</v>
      </c>
      <c r="HW295" s="19">
        <v>35.5</v>
      </c>
      <c r="HX295" s="19">
        <v>34.8</v>
      </c>
      <c r="HY295" s="19">
        <v>34</v>
      </c>
      <c r="HZ295" s="19">
        <v>33</v>
      </c>
      <c r="IA295" s="19">
        <v>32</v>
      </c>
      <c r="IB295" s="19">
        <v>31</v>
      </c>
      <c r="IC295" s="19">
        <v>30</v>
      </c>
    </row>
    <row r="296">
      <c r="A296" s="2" t="s">
        <v>1326</v>
      </c>
      <c r="B296" s="2" t="s">
        <v>1139</v>
      </c>
      <c r="C296" s="2" t="s">
        <v>324</v>
      </c>
      <c r="D296" s="2" t="s">
        <v>1140</v>
      </c>
      <c r="E296" s="2" t="s">
        <v>1141</v>
      </c>
      <c r="F296" s="2" t="s">
        <v>1316</v>
      </c>
      <c r="G296" s="2" t="s">
        <v>1316</v>
      </c>
      <c r="H296" s="2" t="s">
        <v>1316</v>
      </c>
      <c r="I296" s="2" t="s">
        <v>1141</v>
      </c>
      <c r="J296" s="2" t="s">
        <v>1323</v>
      </c>
      <c r="K296" s="2" t="s">
        <v>292</v>
      </c>
      <c r="L296" s="3">
        <v>8.98</v>
      </c>
      <c r="M296" s="3">
        <v>9.43</v>
      </c>
      <c r="N296" s="3">
        <v>21.99</v>
      </c>
      <c r="O296" s="2" t="s">
        <v>232</v>
      </c>
      <c r="P296" s="2" t="s">
        <v>878</v>
      </c>
      <c r="Q296" s="2" t="s">
        <v>234</v>
      </c>
      <c r="R296" s="2" t="s">
        <v>235</v>
      </c>
      <c r="S296" s="2" t="s">
        <v>235</v>
      </c>
      <c r="T296" s="2" t="s">
        <v>235</v>
      </c>
      <c r="U296" s="2" t="s">
        <v>807</v>
      </c>
      <c r="V296" s="2" t="s">
        <v>238</v>
      </c>
      <c r="W296" s="2" t="s">
        <v>239</v>
      </c>
      <c r="X296" s="2" t="s">
        <v>235</v>
      </c>
      <c r="Y296" s="2" t="s">
        <v>1324</v>
      </c>
      <c r="Z296" s="4">
        <v>166</v>
      </c>
      <c r="AA296" s="4">
        <f>=ROUNDDOWN(40.4878048780488,0)</f>
      </c>
      <c r="AB296" s="5">
        <v>4.1</v>
      </c>
      <c r="AC296" s="2" t="s">
        <v>235</v>
      </c>
      <c r="AD296" s="4"/>
      <c r="AE296" s="4"/>
      <c r="AF296" s="6">
        <v>65</v>
      </c>
      <c r="AG296" s="6"/>
      <c r="AH296" s="7">
        <v>0.8065</v>
      </c>
      <c r="AI296" s="4"/>
      <c r="AJ296" s="4">
        <f>=ROUNDDOWN({0},0)</f>
      </c>
      <c r="AK296" s="5"/>
      <c r="AL296" s="2" t="s">
        <v>235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235</v>
      </c>
      <c r="BD296" s="8" t="s">
        <v>235</v>
      </c>
      <c r="BE296" s="4" t="s">
        <v>235</v>
      </c>
      <c r="BF296" s="8" t="s">
        <v>235</v>
      </c>
      <c r="BG296" s="7" t="s">
        <v>235</v>
      </c>
      <c r="BH296" s="7" t="s">
        <v>235</v>
      </c>
      <c r="BI296" s="7"/>
      <c r="BJ296" s="4"/>
      <c r="BK296" s="8"/>
      <c r="BL296" s="2" t="s">
        <v>235</v>
      </c>
      <c r="BM296" s="7"/>
      <c r="BN296" s="7"/>
      <c r="BO296" s="4"/>
      <c r="BP296" s="8"/>
      <c r="BQ296" s="4"/>
      <c r="BR296" s="8"/>
      <c r="BS296" s="7"/>
      <c r="BT296" s="7"/>
      <c r="BU296" s="2" t="s">
        <v>1319</v>
      </c>
      <c r="BV296" s="2" t="s">
        <v>618</v>
      </c>
      <c r="BW296" s="2" t="s">
        <v>235</v>
      </c>
      <c r="BX296" s="2" t="s">
        <v>244</v>
      </c>
      <c r="BY296" s="2" t="s">
        <v>245</v>
      </c>
      <c r="BZ296" s="2" t="s">
        <v>232</v>
      </c>
      <c r="CA296" s="2" t="s">
        <v>1324</v>
      </c>
      <c r="CB296" s="2" t="s">
        <v>1327</v>
      </c>
      <c r="CC296" s="2" t="s">
        <v>248</v>
      </c>
      <c r="CD296" s="2" t="s">
        <v>248</v>
      </c>
      <c r="CE296" s="2" t="s">
        <v>235</v>
      </c>
      <c r="CF296" s="4">
        <v>163</v>
      </c>
      <c r="CG296" s="4"/>
      <c r="CH296" s="4"/>
      <c r="CI296" s="4">
        <v>3</v>
      </c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>
        <v>166</v>
      </c>
      <c r="GE296" s="4">
        <v>162</v>
      </c>
      <c r="GF296" s="4">
        <v>158</v>
      </c>
      <c r="GG296" s="4">
        <v>154</v>
      </c>
      <c r="GH296" s="4">
        <v>150</v>
      </c>
      <c r="GI296" s="4">
        <v>146</v>
      </c>
      <c r="GJ296" s="4">
        <v>141</v>
      </c>
      <c r="GK296" s="4">
        <v>137</v>
      </c>
      <c r="GL296" s="4">
        <v>134</v>
      </c>
      <c r="GM296" s="4">
        <v>128</v>
      </c>
      <c r="GN296" s="4">
        <v>125</v>
      </c>
      <c r="GO296" s="4">
        <v>122</v>
      </c>
      <c r="GP296" s="4">
        <v>118</v>
      </c>
      <c r="GQ296" s="4">
        <v>115</v>
      </c>
      <c r="GR296" s="4">
        <v>109</v>
      </c>
      <c r="GS296" s="4">
        <v>105</v>
      </c>
      <c r="GT296" s="4">
        <v>101</v>
      </c>
      <c r="GU296" s="4">
        <v>98</v>
      </c>
      <c r="GV296" s="4">
        <v>93</v>
      </c>
      <c r="GW296" s="4">
        <v>90</v>
      </c>
      <c r="GX296" s="4">
        <v>87</v>
      </c>
      <c r="GY296" s="4">
        <v>84</v>
      </c>
      <c r="GZ296" s="4">
        <v>80</v>
      </c>
      <c r="HA296" s="4">
        <v>76</v>
      </c>
      <c r="HB296" s="4">
        <v>72</v>
      </c>
      <c r="HC296" s="4">
        <v>68</v>
      </c>
      <c r="HD296" s="19">
        <v>41.5</v>
      </c>
      <c r="HE296" s="19">
        <v>40.5</v>
      </c>
      <c r="HF296" s="19">
        <v>39.5</v>
      </c>
      <c r="HG296" s="19">
        <v>38.5</v>
      </c>
      <c r="HH296" s="19">
        <v>37.5</v>
      </c>
      <c r="HI296" s="19">
        <v>36.5</v>
      </c>
      <c r="HJ296" s="19">
        <v>35.3</v>
      </c>
      <c r="HK296" s="19">
        <v>34.3</v>
      </c>
      <c r="HL296" s="19">
        <v>33.5</v>
      </c>
      <c r="HM296" s="19">
        <v>42.7</v>
      </c>
      <c r="HN296" s="19">
        <v>31.3</v>
      </c>
      <c r="HO296" s="19">
        <v>30.5</v>
      </c>
      <c r="HP296" s="19">
        <v>29.5</v>
      </c>
      <c r="HQ296" s="19">
        <v>28.8</v>
      </c>
      <c r="HR296" s="19">
        <v>27.3</v>
      </c>
      <c r="HS296" s="19">
        <v>26.3</v>
      </c>
      <c r="HT296" s="19">
        <v>25.3</v>
      </c>
      <c r="HU296" s="19">
        <v>24.5</v>
      </c>
      <c r="HV296" s="19">
        <v>31</v>
      </c>
      <c r="HW296" s="19">
        <v>22.5</v>
      </c>
      <c r="HX296" s="19">
        <v>21.8</v>
      </c>
      <c r="HY296" s="19">
        <v>21</v>
      </c>
      <c r="HZ296" s="19">
        <v>20</v>
      </c>
      <c r="IA296" s="19">
        <v>19</v>
      </c>
      <c r="IB296" s="19">
        <v>18</v>
      </c>
      <c r="IC296" s="19">
        <v>17</v>
      </c>
    </row>
    <row r="297">
      <c r="A297" s="2" t="s">
        <v>1328</v>
      </c>
      <c r="B297" s="2" t="s">
        <v>905</v>
      </c>
      <c r="C297" s="2" t="s">
        <v>324</v>
      </c>
      <c r="D297" s="2" t="s">
        <v>990</v>
      </c>
      <c r="E297" s="2" t="s">
        <v>1329</v>
      </c>
      <c r="F297" s="2" t="s">
        <v>1330</v>
      </c>
      <c r="G297" s="2" t="s">
        <v>1331</v>
      </c>
      <c r="H297" s="2" t="s">
        <v>1331</v>
      </c>
      <c r="I297" s="2" t="s">
        <v>1332</v>
      </c>
      <c r="J297" s="2" t="s">
        <v>993</v>
      </c>
      <c r="K297" s="2" t="s">
        <v>1333</v>
      </c>
      <c r="L297" s="3">
        <v>15.94</v>
      </c>
      <c r="M297" s="3">
        <v>16.74</v>
      </c>
      <c r="N297" s="3">
        <v>34.99</v>
      </c>
      <c r="O297" s="2" t="s">
        <v>232</v>
      </c>
      <c r="P297" s="2" t="s">
        <v>233</v>
      </c>
      <c r="Q297" s="2" t="s">
        <v>234</v>
      </c>
      <c r="R297" s="2" t="s">
        <v>235</v>
      </c>
      <c r="S297" s="2" t="s">
        <v>1334</v>
      </c>
      <c r="T297" s="2" t="s">
        <v>912</v>
      </c>
      <c r="U297" s="2" t="s">
        <v>235</v>
      </c>
      <c r="V297" s="2" t="s">
        <v>863</v>
      </c>
      <c r="W297" s="2" t="s">
        <v>239</v>
      </c>
      <c r="X297" s="2" t="s">
        <v>235</v>
      </c>
      <c r="Y297" s="2" t="s">
        <v>240</v>
      </c>
      <c r="Z297" s="4">
        <v>1062</v>
      </c>
      <c r="AA297" s="4">
        <f>=ROUNDDOWN(272.307692307692,0)</f>
      </c>
      <c r="AB297" s="5">
        <v>3.9</v>
      </c>
      <c r="AC297" s="2" t="s">
        <v>158</v>
      </c>
      <c r="AD297" s="4">
        <v>200</v>
      </c>
      <c r="AE297" s="4">
        <v>1300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235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235</v>
      </c>
      <c r="BD297" s="8" t="s">
        <v>235</v>
      </c>
      <c r="BE297" s="4" t="s">
        <v>235</v>
      </c>
      <c r="BF297" s="8" t="s">
        <v>235</v>
      </c>
      <c r="BG297" s="7" t="s">
        <v>235</v>
      </c>
      <c r="BH297" s="7" t="s">
        <v>235</v>
      </c>
      <c r="BI297" s="7"/>
      <c r="BJ297" s="4">
        <v>14</v>
      </c>
      <c r="BK297" s="8">
        <v>239.57</v>
      </c>
      <c r="BL297" s="2" t="s">
        <v>1335</v>
      </c>
      <c r="BM297" s="7"/>
      <c r="BN297" s="7"/>
      <c r="BO297" s="4"/>
      <c r="BP297" s="8"/>
      <c r="BQ297" s="4"/>
      <c r="BR297" s="8"/>
      <c r="BS297" s="7"/>
      <c r="BT297" s="7"/>
      <c r="BU297" s="2" t="s">
        <v>1336</v>
      </c>
      <c r="BV297" s="2" t="s">
        <v>243</v>
      </c>
      <c r="BW297" s="2" t="s">
        <v>235</v>
      </c>
      <c r="BX297" s="2" t="s">
        <v>244</v>
      </c>
      <c r="BY297" s="2" t="s">
        <v>245</v>
      </c>
      <c r="BZ297" s="2" t="s">
        <v>232</v>
      </c>
      <c r="CA297" s="2" t="s">
        <v>1337</v>
      </c>
      <c r="CB297" s="2" t="s">
        <v>1338</v>
      </c>
      <c r="CC297" s="2" t="s">
        <v>248</v>
      </c>
      <c r="CD297" s="2" t="s">
        <v>248</v>
      </c>
      <c r="CE297" s="2" t="s">
        <v>235</v>
      </c>
      <c r="CF297" s="4">
        <v>631</v>
      </c>
      <c r="CG297" s="4"/>
      <c r="CH297" s="4"/>
      <c r="CI297" s="4">
        <v>431</v>
      </c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>
        <v>200</v>
      </c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>
        <v>1100</v>
      </c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>
        <v>1063</v>
      </c>
      <c r="GE297" s="4">
        <v>1061</v>
      </c>
      <c r="GF297" s="4">
        <v>1060</v>
      </c>
      <c r="GG297" s="4">
        <v>1059</v>
      </c>
      <c r="GH297" s="4">
        <v>1056</v>
      </c>
      <c r="GI297" s="4">
        <v>1248</v>
      </c>
      <c r="GJ297" s="4">
        <v>1203</v>
      </c>
      <c r="GK297" s="4">
        <v>1180</v>
      </c>
      <c r="GL297" s="4">
        <v>1135</v>
      </c>
      <c r="GM297" s="4">
        <v>2197</v>
      </c>
      <c r="GN297" s="4">
        <v>2167</v>
      </c>
      <c r="GO297" s="4">
        <v>2137</v>
      </c>
      <c r="GP297" s="4">
        <v>1537</v>
      </c>
      <c r="GQ297" s="4">
        <v>1027</v>
      </c>
      <c r="GR297" s="4">
        <v>305</v>
      </c>
      <c r="GS297" s="4">
        <v>261</v>
      </c>
      <c r="GT297" s="4">
        <v>205</v>
      </c>
      <c r="GU297" s="4">
        <v>180</v>
      </c>
      <c r="GV297" s="4">
        <v>143</v>
      </c>
      <c r="GW297" s="4">
        <v>136</v>
      </c>
      <c r="GX297" s="4">
        <v>111</v>
      </c>
      <c r="GY297" s="4">
        <v>99</v>
      </c>
      <c r="GZ297" s="4">
        <v>98</v>
      </c>
      <c r="HA297" s="4">
        <v>97</v>
      </c>
      <c r="HB297" s="4">
        <v>96</v>
      </c>
      <c r="HC297" s="4">
        <v>95</v>
      </c>
      <c r="HD297" s="19">
        <v>158</v>
      </c>
      <c r="HE297" s="19">
        <v>105</v>
      </c>
      <c r="HF297" s="19">
        <v>134</v>
      </c>
      <c r="HG297" s="19">
        <v>90.3</v>
      </c>
      <c r="HH297" s="19">
        <v>65.8</v>
      </c>
      <c r="HI297" s="19">
        <v>72.3</v>
      </c>
      <c r="HJ297" s="19">
        <v>87.6</v>
      </c>
      <c r="HK297" s="19">
        <v>71.1</v>
      </c>
      <c r="HL297" s="19">
        <v>15.1</v>
      </c>
      <c r="HM297" s="19">
        <v>11</v>
      </c>
      <c r="HN297" s="19">
        <v>6.1</v>
      </c>
      <c r="HO297" s="19">
        <v>5.5</v>
      </c>
      <c r="HP297" s="19">
        <v>5.3</v>
      </c>
      <c r="HQ297" s="19">
        <v>5.3</v>
      </c>
      <c r="HR297" s="19">
        <v>3.8</v>
      </c>
      <c r="HS297" s="19">
        <v>4.2</v>
      </c>
      <c r="HT297" s="19">
        <v>4.3</v>
      </c>
      <c r="HU297" s="19">
        <v>4.5</v>
      </c>
      <c r="HV297" s="19">
        <v>6.5</v>
      </c>
      <c r="HW297" s="19">
        <v>6.8</v>
      </c>
      <c r="HX297" s="19">
        <v>13.9</v>
      </c>
      <c r="HY297" s="19">
        <v>49.5</v>
      </c>
      <c r="HZ297" s="19">
        <v>49</v>
      </c>
      <c r="IA297" s="19">
        <v>48.5</v>
      </c>
      <c r="IB297" s="19">
        <v>48</v>
      </c>
      <c r="IC297" s="19">
        <v>23.8</v>
      </c>
    </row>
    <row r="298">
      <c r="A298" s="2" t="s">
        <v>1339</v>
      </c>
      <c r="B298" s="2" t="s">
        <v>905</v>
      </c>
      <c r="C298" s="2" t="s">
        <v>324</v>
      </c>
      <c r="D298" s="2" t="s">
        <v>990</v>
      </c>
      <c r="E298" s="2" t="s">
        <v>1329</v>
      </c>
      <c r="F298" s="2" t="s">
        <v>1330</v>
      </c>
      <c r="G298" s="2" t="s">
        <v>1331</v>
      </c>
      <c r="H298" s="2" t="s">
        <v>1331</v>
      </c>
      <c r="I298" s="2" t="s">
        <v>1332</v>
      </c>
      <c r="J298" s="2" t="s">
        <v>993</v>
      </c>
      <c r="K298" s="2" t="s">
        <v>292</v>
      </c>
      <c r="L298" s="3">
        <v>15.94</v>
      </c>
      <c r="M298" s="3">
        <v>16.74</v>
      </c>
      <c r="N298" s="3">
        <v>34.99</v>
      </c>
      <c r="O298" s="2" t="s">
        <v>232</v>
      </c>
      <c r="P298" s="2" t="s">
        <v>233</v>
      </c>
      <c r="Q298" s="2" t="s">
        <v>234</v>
      </c>
      <c r="R298" s="2" t="s">
        <v>235</v>
      </c>
      <c r="S298" s="2" t="s">
        <v>1340</v>
      </c>
      <c r="T298" s="2" t="s">
        <v>912</v>
      </c>
      <c r="U298" s="2" t="s">
        <v>235</v>
      </c>
      <c r="V298" s="2" t="s">
        <v>863</v>
      </c>
      <c r="W298" s="2" t="s">
        <v>239</v>
      </c>
      <c r="X298" s="2" t="s">
        <v>235</v>
      </c>
      <c r="Y298" s="2" t="s">
        <v>1341</v>
      </c>
      <c r="Z298" s="4">
        <v>2137</v>
      </c>
      <c r="AA298" s="4">
        <f>=ROUNDDOWN(890.416666666667,0)</f>
      </c>
      <c r="AB298" s="5">
        <v>2.4</v>
      </c>
      <c r="AC298" s="2" t="s">
        <v>574</v>
      </c>
      <c r="AD298" s="4">
        <v>1400</v>
      </c>
      <c r="AE298" s="4">
        <v>1400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235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235</v>
      </c>
      <c r="BD298" s="8" t="s">
        <v>235</v>
      </c>
      <c r="BE298" s="4" t="s">
        <v>235</v>
      </c>
      <c r="BF298" s="8" t="s">
        <v>235</v>
      </c>
      <c r="BG298" s="7" t="s">
        <v>235</v>
      </c>
      <c r="BH298" s="7" t="s">
        <v>235</v>
      </c>
      <c r="BI298" s="7"/>
      <c r="BJ298" s="4">
        <v>6</v>
      </c>
      <c r="BK298" s="8">
        <v>106.79</v>
      </c>
      <c r="BL298" s="2" t="s">
        <v>1342</v>
      </c>
      <c r="BM298" s="7"/>
      <c r="BN298" s="7"/>
      <c r="BO298" s="4"/>
      <c r="BP298" s="8"/>
      <c r="BQ298" s="4"/>
      <c r="BR298" s="8"/>
      <c r="BS298" s="7"/>
      <c r="BT298" s="7"/>
      <c r="BU298" s="2" t="s">
        <v>1336</v>
      </c>
      <c r="BV298" s="2" t="s">
        <v>243</v>
      </c>
      <c r="BW298" s="2" t="s">
        <v>235</v>
      </c>
      <c r="BX298" s="2" t="s">
        <v>244</v>
      </c>
      <c r="BY298" s="2" t="s">
        <v>245</v>
      </c>
      <c r="BZ298" s="2" t="s">
        <v>232</v>
      </c>
      <c r="CA298" s="2" t="s">
        <v>1337</v>
      </c>
      <c r="CB298" s="2" t="s">
        <v>1343</v>
      </c>
      <c r="CC298" s="2" t="s">
        <v>248</v>
      </c>
      <c r="CD298" s="2" t="s">
        <v>248</v>
      </c>
      <c r="CE298" s="2" t="s">
        <v>235</v>
      </c>
      <c r="CF298" s="4">
        <v>1467</v>
      </c>
      <c r="CG298" s="4">
        <v>3</v>
      </c>
      <c r="CH298" s="4"/>
      <c r="CI298" s="4">
        <v>667</v>
      </c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>
        <v>1400</v>
      </c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>
        <v>2137</v>
      </c>
      <c r="GE298" s="4">
        <v>2136</v>
      </c>
      <c r="GF298" s="4">
        <v>2135</v>
      </c>
      <c r="GG298" s="4">
        <v>2134</v>
      </c>
      <c r="GH298" s="4">
        <v>2132</v>
      </c>
      <c r="GI298" s="4">
        <v>2122</v>
      </c>
      <c r="GJ298" s="4">
        <v>2062</v>
      </c>
      <c r="GK298" s="4">
        <v>2032</v>
      </c>
      <c r="GL298" s="4">
        <v>1972</v>
      </c>
      <c r="GM298" s="4">
        <v>3322</v>
      </c>
      <c r="GN298" s="4">
        <v>3282</v>
      </c>
      <c r="GO298" s="4">
        <v>3242</v>
      </c>
      <c r="GP298" s="4">
        <v>2442</v>
      </c>
      <c r="GQ298" s="4">
        <v>1762</v>
      </c>
      <c r="GR298" s="4">
        <v>782</v>
      </c>
      <c r="GS298" s="4">
        <v>712</v>
      </c>
      <c r="GT298" s="4">
        <v>622</v>
      </c>
      <c r="GU298" s="4">
        <v>582</v>
      </c>
      <c r="GV298" s="4">
        <v>522</v>
      </c>
      <c r="GW298" s="4">
        <v>512</v>
      </c>
      <c r="GX298" s="4">
        <v>472</v>
      </c>
      <c r="GY298" s="4">
        <v>452</v>
      </c>
      <c r="GZ298" s="4">
        <v>452</v>
      </c>
      <c r="HA298" s="4">
        <v>451</v>
      </c>
      <c r="HB298" s="4">
        <v>450</v>
      </c>
      <c r="HC298" s="4">
        <v>450</v>
      </c>
      <c r="HD298" s="19">
        <v>735</v>
      </c>
      <c r="HE298" s="19">
        <v>244.9</v>
      </c>
      <c r="HF298" s="19">
        <v>212.7</v>
      </c>
      <c r="HG298" s="19">
        <v>143.1</v>
      </c>
      <c r="HH298" s="19">
        <v>103.6</v>
      </c>
      <c r="HI298" s="19">
        <v>82.7</v>
      </c>
      <c r="HJ298" s="19">
        <v>100</v>
      </c>
      <c r="HK298" s="19">
        <v>81.6</v>
      </c>
      <c r="HL298" s="19">
        <v>17.3</v>
      </c>
      <c r="HM298" s="19">
        <v>12.1</v>
      </c>
      <c r="HN298" s="19">
        <v>7.5</v>
      </c>
      <c r="HO298" s="19">
        <v>7.4</v>
      </c>
      <c r="HP298" s="19">
        <v>8.4</v>
      </c>
      <c r="HQ298" s="19">
        <v>10.6</v>
      </c>
      <c r="HR298" s="19">
        <v>36</v>
      </c>
      <c r="HS298" s="19">
        <v>42.1</v>
      </c>
      <c r="HT298" s="19">
        <v>50.6</v>
      </c>
      <c r="HU298" s="19">
        <v>65.5</v>
      </c>
      <c r="HV298" s="19">
        <v>96.2</v>
      </c>
      <c r="HW298" s="9"/>
      <c r="HX298" s="19">
        <v>11.2</v>
      </c>
      <c r="HY298" s="9"/>
      <c r="HZ298" s="20">
        <v>0</v>
      </c>
      <c r="IA298" s="20">
        <v>0</v>
      </c>
      <c r="IB298" s="9"/>
      <c r="IC298" s="19">
        <v>46</v>
      </c>
    </row>
    <row r="299">
      <c r="A299" s="2" t="s">
        <v>1344</v>
      </c>
      <c r="B299" s="2" t="s">
        <v>905</v>
      </c>
      <c r="C299" s="2" t="s">
        <v>324</v>
      </c>
      <c r="D299" s="2" t="s">
        <v>990</v>
      </c>
      <c r="E299" s="2" t="s">
        <v>1329</v>
      </c>
      <c r="F299" s="2" t="s">
        <v>1330</v>
      </c>
      <c r="G299" s="2" t="s">
        <v>1331</v>
      </c>
      <c r="H299" s="2" t="s">
        <v>1331</v>
      </c>
      <c r="I299" s="2" t="s">
        <v>1332</v>
      </c>
      <c r="J299" s="2" t="s">
        <v>993</v>
      </c>
      <c r="K299" s="2" t="s">
        <v>295</v>
      </c>
      <c r="L299" s="3">
        <v>15.94</v>
      </c>
      <c r="M299" s="3">
        <v>16.74</v>
      </c>
      <c r="N299" s="3">
        <v>34.99</v>
      </c>
      <c r="O299" s="2" t="s">
        <v>232</v>
      </c>
      <c r="P299" s="2" t="s">
        <v>233</v>
      </c>
      <c r="Q299" s="2" t="s">
        <v>234</v>
      </c>
      <c r="R299" s="2" t="s">
        <v>235</v>
      </c>
      <c r="S299" s="2" t="s">
        <v>1340</v>
      </c>
      <c r="T299" s="2" t="s">
        <v>912</v>
      </c>
      <c r="U299" s="2" t="s">
        <v>235</v>
      </c>
      <c r="V299" s="2" t="s">
        <v>863</v>
      </c>
      <c r="W299" s="2" t="s">
        <v>239</v>
      </c>
      <c r="X299" s="2" t="s">
        <v>235</v>
      </c>
      <c r="Y299" s="2" t="s">
        <v>1345</v>
      </c>
      <c r="Z299" s="4">
        <v>1229</v>
      </c>
      <c r="AA299" s="4">
        <f>=ROUNDDOWN(307.25,0)</f>
      </c>
      <c r="AB299" s="5">
        <v>4</v>
      </c>
      <c r="AC299" s="2" t="s">
        <v>158</v>
      </c>
      <c r="AD299" s="4">
        <v>300</v>
      </c>
      <c r="AE299" s="4">
        <v>3200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235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235</v>
      </c>
      <c r="BD299" s="8" t="s">
        <v>235</v>
      </c>
      <c r="BE299" s="4" t="s">
        <v>235</v>
      </c>
      <c r="BF299" s="8" t="s">
        <v>235</v>
      </c>
      <c r="BG299" s="7" t="s">
        <v>235</v>
      </c>
      <c r="BH299" s="7" t="s">
        <v>235</v>
      </c>
      <c r="BI299" s="7"/>
      <c r="BJ299" s="4">
        <v>10</v>
      </c>
      <c r="BK299" s="8">
        <v>194.63</v>
      </c>
      <c r="BL299" s="2" t="s">
        <v>1346</v>
      </c>
      <c r="BM299" s="7"/>
      <c r="BN299" s="7"/>
      <c r="BO299" s="4"/>
      <c r="BP299" s="8"/>
      <c r="BQ299" s="4"/>
      <c r="BR299" s="8"/>
      <c r="BS299" s="7"/>
      <c r="BT299" s="7"/>
      <c r="BU299" s="2" t="s">
        <v>1336</v>
      </c>
      <c r="BV299" s="2" t="s">
        <v>243</v>
      </c>
      <c r="BW299" s="2" t="s">
        <v>235</v>
      </c>
      <c r="BX299" s="2" t="s">
        <v>244</v>
      </c>
      <c r="BY299" s="2" t="s">
        <v>245</v>
      </c>
      <c r="BZ299" s="2" t="s">
        <v>232</v>
      </c>
      <c r="CA299" s="2" t="s">
        <v>1337</v>
      </c>
      <c r="CB299" s="2" t="s">
        <v>1347</v>
      </c>
      <c r="CC299" s="2" t="s">
        <v>248</v>
      </c>
      <c r="CD299" s="2" t="s">
        <v>248</v>
      </c>
      <c r="CE299" s="2" t="s">
        <v>235</v>
      </c>
      <c r="CF299" s="4">
        <v>574</v>
      </c>
      <c r="CG299" s="4"/>
      <c r="CH299" s="4"/>
      <c r="CI299" s="4">
        <v>655</v>
      </c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>
        <v>300</v>
      </c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>
        <v>2900</v>
      </c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>
        <v>1231</v>
      </c>
      <c r="GE299" s="4">
        <v>1227</v>
      </c>
      <c r="GF299" s="4">
        <v>1225</v>
      </c>
      <c r="GG299" s="4">
        <v>1223</v>
      </c>
      <c r="GH299" s="4">
        <v>1221</v>
      </c>
      <c r="GI299" s="4">
        <v>1507</v>
      </c>
      <c r="GJ299" s="4">
        <v>1423</v>
      </c>
      <c r="GK299" s="4">
        <v>1381</v>
      </c>
      <c r="GL299" s="4">
        <v>1297</v>
      </c>
      <c r="GM299" s="4">
        <v>4127</v>
      </c>
      <c r="GN299" s="4">
        <v>4071</v>
      </c>
      <c r="GO299" s="4">
        <v>4015</v>
      </c>
      <c r="GP299" s="4">
        <v>2895</v>
      </c>
      <c r="GQ299" s="4">
        <v>1943</v>
      </c>
      <c r="GR299" s="4">
        <v>571</v>
      </c>
      <c r="GS299" s="4">
        <v>473</v>
      </c>
      <c r="GT299" s="4">
        <v>347</v>
      </c>
      <c r="GU299" s="4">
        <v>291</v>
      </c>
      <c r="GV299" s="4">
        <v>207</v>
      </c>
      <c r="GW299" s="4">
        <v>193</v>
      </c>
      <c r="GX299" s="4">
        <v>137</v>
      </c>
      <c r="GY299" s="4">
        <v>109</v>
      </c>
      <c r="GZ299" s="4">
        <v>109</v>
      </c>
      <c r="HA299" s="4">
        <v>107</v>
      </c>
      <c r="HB299" s="4">
        <v>105</v>
      </c>
      <c r="HC299" s="4">
        <v>105</v>
      </c>
      <c r="HD299" s="19">
        <v>471.5</v>
      </c>
      <c r="HE299" s="19">
        <v>235.2</v>
      </c>
      <c r="HF299" s="19">
        <v>68.7</v>
      </c>
      <c r="HG299" s="19">
        <v>51</v>
      </c>
      <c r="HH299" s="19">
        <v>33.7</v>
      </c>
      <c r="HI299" s="19">
        <v>36.7</v>
      </c>
      <c r="HJ299" s="19">
        <v>38.2</v>
      </c>
      <c r="HK299" s="19">
        <v>37.3</v>
      </c>
      <c r="HL299" s="19">
        <v>7.2</v>
      </c>
      <c r="HM299" s="19">
        <v>7.6</v>
      </c>
      <c r="HN299" s="19">
        <v>4.7</v>
      </c>
      <c r="HO299" s="19">
        <v>4.5</v>
      </c>
      <c r="HP299" s="19">
        <v>4.6</v>
      </c>
      <c r="HQ299" s="19">
        <v>4.8</v>
      </c>
      <c r="HR299" s="19">
        <v>6.3</v>
      </c>
      <c r="HS299" s="19">
        <v>6.9</v>
      </c>
      <c r="HT299" s="19">
        <v>6.9</v>
      </c>
      <c r="HU299" s="19">
        <v>6.5</v>
      </c>
      <c r="HV299" s="19">
        <v>9</v>
      </c>
      <c r="HW299" s="19">
        <v>8.9</v>
      </c>
      <c r="HX299" s="19">
        <v>16.9</v>
      </c>
      <c r="HY299" s="9"/>
      <c r="HZ299" s="20">
        <v>0</v>
      </c>
      <c r="IA299" s="20">
        <v>0</v>
      </c>
      <c r="IB299" s="9"/>
      <c r="IC299" s="19">
        <v>52.5</v>
      </c>
    </row>
    <row r="300">
      <c r="A300" s="2" t="s">
        <v>1348</v>
      </c>
      <c r="B300" s="2" t="s">
        <v>871</v>
      </c>
      <c r="C300" s="2" t="s">
        <v>606</v>
      </c>
      <c r="D300" s="2" t="s">
        <v>361</v>
      </c>
      <c r="E300" s="2" t="s">
        <v>924</v>
      </c>
      <c r="F300" s="2" t="s">
        <v>1349</v>
      </c>
      <c r="G300" s="2" t="s">
        <v>1350</v>
      </c>
      <c r="H300" s="2" t="s">
        <v>1351</v>
      </c>
      <c r="I300" s="2" t="s">
        <v>1352</v>
      </c>
      <c r="J300" s="2" t="s">
        <v>877</v>
      </c>
      <c r="K300" s="2" t="s">
        <v>378</v>
      </c>
      <c r="L300" s="3">
        <v>19.04</v>
      </c>
      <c r="M300" s="3">
        <v>19.99</v>
      </c>
      <c r="N300" s="3">
        <v>39.99</v>
      </c>
      <c r="O300" s="2" t="s">
        <v>485</v>
      </c>
      <c r="P300" s="2" t="s">
        <v>408</v>
      </c>
      <c r="Q300" s="2" t="s">
        <v>234</v>
      </c>
      <c r="R300" s="2" t="s">
        <v>235</v>
      </c>
      <c r="S300" s="2" t="s">
        <v>1353</v>
      </c>
      <c r="T300" s="2" t="s">
        <v>501</v>
      </c>
      <c r="U300" s="2" t="s">
        <v>278</v>
      </c>
      <c r="V300" s="2" t="s">
        <v>880</v>
      </c>
      <c r="W300" s="2" t="s">
        <v>1354</v>
      </c>
      <c r="X300" s="2" t="s">
        <v>682</v>
      </c>
      <c r="Y300" s="2" t="s">
        <v>1355</v>
      </c>
      <c r="Z300" s="4"/>
      <c r="AA300" s="4">
        <f>=ROUNDDOWN({0},0)</f>
      </c>
      <c r="AB300" s="5">
        <v>2.5</v>
      </c>
      <c r="AC300" s="2" t="s">
        <v>235</v>
      </c>
      <c r="AD300" s="4"/>
      <c r="AE300" s="4"/>
      <c r="AF300" s="6">
        <v>63</v>
      </c>
      <c r="AG300" s="6">
        <v>46</v>
      </c>
      <c r="AH300" s="7">
        <v>0.8387</v>
      </c>
      <c r="AI300" s="4"/>
      <c r="AJ300" s="4">
        <f>=ROUNDDOWN({0},0)</f>
      </c>
      <c r="AK300" s="5"/>
      <c r="AL300" s="2" t="s">
        <v>235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235</v>
      </c>
      <c r="BD300" s="8" t="s">
        <v>235</v>
      </c>
      <c r="BE300" s="4" t="s">
        <v>235</v>
      </c>
      <c r="BF300" s="8" t="s">
        <v>235</v>
      </c>
      <c r="BG300" s="7" t="s">
        <v>235</v>
      </c>
      <c r="BH300" s="7" t="s">
        <v>235</v>
      </c>
      <c r="BI300" s="7"/>
      <c r="BJ300" s="4">
        <v>5</v>
      </c>
      <c r="BK300" s="8">
        <v>131.01</v>
      </c>
      <c r="BL300" s="2" t="s">
        <v>1356</v>
      </c>
      <c r="BM300" s="7"/>
      <c r="BN300" s="7"/>
      <c r="BO300" s="4"/>
      <c r="BP300" s="8"/>
      <c r="BQ300" s="4"/>
      <c r="BR300" s="8"/>
      <c r="BS300" s="7"/>
      <c r="BT300" s="7"/>
      <c r="BU300" s="2" t="s">
        <v>1357</v>
      </c>
      <c r="BV300" s="2" t="s">
        <v>243</v>
      </c>
      <c r="BW300" s="2" t="s">
        <v>235</v>
      </c>
      <c r="BX300" s="2" t="s">
        <v>414</v>
      </c>
      <c r="BY300" s="2" t="s">
        <v>245</v>
      </c>
      <c r="BZ300" s="2" t="s">
        <v>232</v>
      </c>
      <c r="CA300" s="2" t="s">
        <v>1358</v>
      </c>
      <c r="CB300" s="2" t="s">
        <v>1359</v>
      </c>
      <c r="CC300" s="2" t="s">
        <v>248</v>
      </c>
      <c r="CD300" s="2" t="s">
        <v>248</v>
      </c>
      <c r="CE300" s="2" t="s">
        <v>235</v>
      </c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>
        <v>115</v>
      </c>
      <c r="GE300" s="4">
        <v>97</v>
      </c>
      <c r="GF300" s="4">
        <v>94</v>
      </c>
      <c r="GG300" s="4">
        <v>91</v>
      </c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19">
        <v>3.7</v>
      </c>
      <c r="HE300" s="19">
        <v>1.8</v>
      </c>
      <c r="HF300" s="19">
        <v>1.7</v>
      </c>
      <c r="HG300" s="19">
        <v>1.7</v>
      </c>
      <c r="HH300" s="20">
        <v>0</v>
      </c>
      <c r="HI300" s="20">
        <v>0</v>
      </c>
      <c r="HJ300" s="20">
        <v>0</v>
      </c>
      <c r="HK300" s="20">
        <v>0</v>
      </c>
      <c r="HL300" s="20">
        <v>0</v>
      </c>
      <c r="HM300" s="20">
        <v>0</v>
      </c>
      <c r="HN300" s="20">
        <v>0</v>
      </c>
      <c r="HO300" s="20">
        <v>0</v>
      </c>
      <c r="HP300" s="20">
        <v>0</v>
      </c>
      <c r="HQ300" s="20">
        <v>0</v>
      </c>
      <c r="HR300" s="20">
        <v>0</v>
      </c>
      <c r="HS300" s="20">
        <v>0</v>
      </c>
      <c r="HT300" s="20">
        <v>0</v>
      </c>
      <c r="HU300" s="20">
        <v>0</v>
      </c>
      <c r="HV300" s="20">
        <v>0</v>
      </c>
      <c r="HW300" s="20">
        <v>0</v>
      </c>
      <c r="HX300" s="20">
        <v>0</v>
      </c>
      <c r="HY300" s="20">
        <v>0</v>
      </c>
      <c r="HZ300" s="20">
        <v>0</v>
      </c>
      <c r="IA300" s="20">
        <v>0</v>
      </c>
      <c r="IB300" s="20">
        <v>0</v>
      </c>
      <c r="IC300" s="20">
        <v>0</v>
      </c>
    </row>
    <row r="301">
      <c r="A301" s="2" t="s">
        <v>1360</v>
      </c>
      <c r="B301" s="2" t="s">
        <v>800</v>
      </c>
      <c r="C301" s="2" t="s">
        <v>893</v>
      </c>
      <c r="D301" s="2" t="s">
        <v>894</v>
      </c>
      <c r="E301" s="2" t="s">
        <v>895</v>
      </c>
      <c r="F301" s="2" t="s">
        <v>1349</v>
      </c>
      <c r="G301" s="2" t="s">
        <v>1349</v>
      </c>
      <c r="H301" s="2" t="s">
        <v>1349</v>
      </c>
      <c r="I301" s="2" t="s">
        <v>1361</v>
      </c>
      <c r="J301" s="2" t="s">
        <v>897</v>
      </c>
      <c r="K301" s="2" t="s">
        <v>1169</v>
      </c>
      <c r="L301" s="3">
        <v>33.5</v>
      </c>
      <c r="M301" s="3">
        <v>35.18</v>
      </c>
      <c r="N301" s="3">
        <v>69.99</v>
      </c>
      <c r="O301" s="2" t="s">
        <v>485</v>
      </c>
      <c r="P301" s="2" t="s">
        <v>408</v>
      </c>
      <c r="Q301" s="2" t="s">
        <v>234</v>
      </c>
      <c r="R301" s="2" t="s">
        <v>235</v>
      </c>
      <c r="S301" s="2" t="s">
        <v>235</v>
      </c>
      <c r="T301" s="2" t="s">
        <v>235</v>
      </c>
      <c r="U301" s="2" t="s">
        <v>807</v>
      </c>
      <c r="V301" s="2" t="s">
        <v>808</v>
      </c>
      <c r="W301" s="2" t="s">
        <v>682</v>
      </c>
      <c r="X301" s="2" t="s">
        <v>1362</v>
      </c>
      <c r="Y301" s="2" t="s">
        <v>1363</v>
      </c>
      <c r="Z301" s="4">
        <v>1</v>
      </c>
      <c r="AA301" s="4">
        <f>=ROUNDDOWN(0.833333333333333,0)</f>
      </c>
      <c r="AB301" s="5">
        <v>1.2</v>
      </c>
      <c r="AC301" s="2" t="s">
        <v>235</v>
      </c>
      <c r="AD301" s="4"/>
      <c r="AE301" s="4"/>
      <c r="AF301" s="6">
        <v>63</v>
      </c>
      <c r="AG301" s="6"/>
      <c r="AH301" s="7">
        <v>1</v>
      </c>
      <c r="AI301" s="4"/>
      <c r="AJ301" s="4">
        <f>=ROUNDDOWN({0},0)</f>
      </c>
      <c r="AK301" s="5"/>
      <c r="AL301" s="2" t="s">
        <v>235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235</v>
      </c>
      <c r="BD301" s="8" t="s">
        <v>235</v>
      </c>
      <c r="BE301" s="4" t="s">
        <v>235</v>
      </c>
      <c r="BF301" s="8" t="s">
        <v>235</v>
      </c>
      <c r="BG301" s="7" t="s">
        <v>235</v>
      </c>
      <c r="BH301" s="7" t="s">
        <v>235</v>
      </c>
      <c r="BI301" s="7"/>
      <c r="BJ301" s="4"/>
      <c r="BK301" s="8"/>
      <c r="BL301" s="2" t="s">
        <v>1364</v>
      </c>
      <c r="BM301" s="7"/>
      <c r="BN301" s="7"/>
      <c r="BO301" s="4"/>
      <c r="BP301" s="8"/>
      <c r="BQ301" s="4"/>
      <c r="BR301" s="8"/>
      <c r="BS301" s="7"/>
      <c r="BT301" s="7"/>
      <c r="BU301" s="2" t="s">
        <v>1365</v>
      </c>
      <c r="BV301" s="2" t="s">
        <v>813</v>
      </c>
      <c r="BW301" s="2" t="s">
        <v>235</v>
      </c>
      <c r="BX301" s="2" t="s">
        <v>414</v>
      </c>
      <c r="BY301" s="2" t="s">
        <v>245</v>
      </c>
      <c r="BZ301" s="2" t="s">
        <v>232</v>
      </c>
      <c r="CA301" s="2" t="s">
        <v>1366</v>
      </c>
      <c r="CB301" s="2" t="s">
        <v>1367</v>
      </c>
      <c r="CC301" s="2" t="s">
        <v>248</v>
      </c>
      <c r="CD301" s="2" t="s">
        <v>248</v>
      </c>
      <c r="CE301" s="2" t="s">
        <v>235</v>
      </c>
      <c r="CF301" s="4"/>
      <c r="CG301" s="4">
        <v>1</v>
      </c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>
        <v>1</v>
      </c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20">
        <v>0</v>
      </c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20">
        <v>0</v>
      </c>
      <c r="HV301" s="20">
        <v>0</v>
      </c>
      <c r="HW301" s="20">
        <v>0</v>
      </c>
      <c r="HX301" s="20">
        <v>0</v>
      </c>
      <c r="HY301" s="20">
        <v>0</v>
      </c>
      <c r="HZ301" s="20">
        <v>0</v>
      </c>
      <c r="IA301" s="20">
        <v>0</v>
      </c>
      <c r="IB301" s="20">
        <v>0</v>
      </c>
      <c r="IC301" s="20">
        <v>0</v>
      </c>
    </row>
    <row r="302">
      <c r="A302" s="2" t="s">
        <v>1368</v>
      </c>
      <c r="B302" s="2" t="s">
        <v>871</v>
      </c>
      <c r="C302" s="2" t="s">
        <v>606</v>
      </c>
      <c r="D302" s="2" t="s">
        <v>361</v>
      </c>
      <c r="E302" s="2" t="s">
        <v>924</v>
      </c>
      <c r="F302" s="2" t="s">
        <v>1349</v>
      </c>
      <c r="G302" s="2" t="s">
        <v>1350</v>
      </c>
      <c r="H302" s="2" t="s">
        <v>1351</v>
      </c>
      <c r="I302" s="2" t="s">
        <v>1369</v>
      </c>
      <c r="J302" s="2" t="s">
        <v>365</v>
      </c>
      <c r="K302" s="2" t="s">
        <v>309</v>
      </c>
      <c r="L302" s="3">
        <v>23.8</v>
      </c>
      <c r="M302" s="3">
        <v>24.99</v>
      </c>
      <c r="N302" s="3">
        <v>49.99</v>
      </c>
      <c r="O302" s="2" t="s">
        <v>485</v>
      </c>
      <c r="P302" s="2" t="s">
        <v>408</v>
      </c>
      <c r="Q302" s="2" t="s">
        <v>234</v>
      </c>
      <c r="R302" s="2" t="s">
        <v>235</v>
      </c>
      <c r="S302" s="2" t="s">
        <v>1370</v>
      </c>
      <c r="T302" s="2" t="s">
        <v>501</v>
      </c>
      <c r="U302" s="2" t="s">
        <v>552</v>
      </c>
      <c r="V302" s="2" t="s">
        <v>880</v>
      </c>
      <c r="W302" s="2" t="s">
        <v>1354</v>
      </c>
      <c r="X302" s="2" t="s">
        <v>682</v>
      </c>
      <c r="Y302" s="2" t="s">
        <v>1358</v>
      </c>
      <c r="Z302" s="4">
        <v>581</v>
      </c>
      <c r="AA302" s="4">
        <f>=ROUNDDOWN(32.4581005586592,0)</f>
      </c>
      <c r="AB302" s="5">
        <v>17.9</v>
      </c>
      <c r="AC302" s="2" t="s">
        <v>235</v>
      </c>
      <c r="AD302" s="4"/>
      <c r="AE302" s="4"/>
      <c r="AF302" s="6">
        <v>63</v>
      </c>
      <c r="AG302" s="6">
        <v>46</v>
      </c>
      <c r="AH302" s="7">
        <v>1</v>
      </c>
      <c r="AI302" s="4"/>
      <c r="AJ302" s="4">
        <f>=ROUNDDOWN({0},0)</f>
      </c>
      <c r="AK302" s="5"/>
      <c r="AL302" s="2" t="s">
        <v>235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235</v>
      </c>
      <c r="BD302" s="8" t="s">
        <v>235</v>
      </c>
      <c r="BE302" s="4" t="s">
        <v>235</v>
      </c>
      <c r="BF302" s="8" t="s">
        <v>235</v>
      </c>
      <c r="BG302" s="7" t="s">
        <v>235</v>
      </c>
      <c r="BH302" s="7" t="s">
        <v>235</v>
      </c>
      <c r="BI302" s="7"/>
      <c r="BJ302" s="4">
        <v>65</v>
      </c>
      <c r="BK302" s="8">
        <v>1650.77</v>
      </c>
      <c r="BL302" s="2" t="s">
        <v>1371</v>
      </c>
      <c r="BM302" s="7"/>
      <c r="BN302" s="7"/>
      <c r="BO302" s="4"/>
      <c r="BP302" s="8"/>
      <c r="BQ302" s="4"/>
      <c r="BR302" s="8"/>
      <c r="BS302" s="7"/>
      <c r="BT302" s="7"/>
      <c r="BU302" s="2" t="s">
        <v>1357</v>
      </c>
      <c r="BV302" s="2" t="s">
        <v>243</v>
      </c>
      <c r="BW302" s="2" t="s">
        <v>235</v>
      </c>
      <c r="BX302" s="2" t="s">
        <v>414</v>
      </c>
      <c r="BY302" s="2" t="s">
        <v>245</v>
      </c>
      <c r="BZ302" s="2" t="s">
        <v>232</v>
      </c>
      <c r="CA302" s="2" t="s">
        <v>1372</v>
      </c>
      <c r="CB302" s="2" t="s">
        <v>235</v>
      </c>
      <c r="CC302" s="2" t="s">
        <v>248</v>
      </c>
      <c r="CD302" s="2" t="s">
        <v>248</v>
      </c>
      <c r="CE302" s="2" t="s">
        <v>235</v>
      </c>
      <c r="CF302" s="4">
        <v>320</v>
      </c>
      <c r="CG302" s="4"/>
      <c r="CH302" s="4"/>
      <c r="CI302" s="4">
        <v>261</v>
      </c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>
        <v>621</v>
      </c>
      <c r="GE302" s="4">
        <v>593</v>
      </c>
      <c r="GF302" s="4">
        <v>576</v>
      </c>
      <c r="GG302" s="4">
        <v>559</v>
      </c>
      <c r="GH302" s="4">
        <v>510</v>
      </c>
      <c r="GI302" s="4">
        <v>493</v>
      </c>
      <c r="GJ302" s="4">
        <v>476</v>
      </c>
      <c r="GK302" s="4">
        <v>459</v>
      </c>
      <c r="GL302" s="4">
        <v>440</v>
      </c>
      <c r="GM302" s="4">
        <v>422</v>
      </c>
      <c r="GN302" s="4">
        <v>397</v>
      </c>
      <c r="GO302" s="4">
        <v>369</v>
      </c>
      <c r="GP302" s="4">
        <v>333</v>
      </c>
      <c r="GQ302" s="4">
        <v>282</v>
      </c>
      <c r="GR302" s="4">
        <v>251</v>
      </c>
      <c r="GS302" s="4">
        <v>231</v>
      </c>
      <c r="GT302" s="4">
        <v>226</v>
      </c>
      <c r="GU302" s="4">
        <v>221</v>
      </c>
      <c r="GV302" s="4">
        <v>216</v>
      </c>
      <c r="GW302" s="4">
        <v>211</v>
      </c>
      <c r="GX302" s="4">
        <v>206</v>
      </c>
      <c r="GY302" s="4">
        <v>201</v>
      </c>
      <c r="GZ302" s="4">
        <v>196</v>
      </c>
      <c r="HA302" s="4">
        <v>191</v>
      </c>
      <c r="HB302" s="4">
        <v>186</v>
      </c>
      <c r="HC302" s="4">
        <v>180</v>
      </c>
      <c r="HD302" s="19">
        <v>34</v>
      </c>
      <c r="HE302" s="19">
        <v>46.1</v>
      </c>
      <c r="HF302" s="19">
        <v>45.3</v>
      </c>
      <c r="HG302" s="19">
        <v>44.5</v>
      </c>
      <c r="HH302" s="19">
        <v>45.9</v>
      </c>
      <c r="HI302" s="19">
        <v>44.9</v>
      </c>
      <c r="HJ302" s="19">
        <v>36.1</v>
      </c>
      <c r="HK302" s="19">
        <v>29.6</v>
      </c>
      <c r="HL302" s="19">
        <v>24.4</v>
      </c>
      <c r="HM302" s="19">
        <v>18.4</v>
      </c>
      <c r="HN302" s="19">
        <v>17.6</v>
      </c>
      <c r="HO302" s="19">
        <v>16.8</v>
      </c>
      <c r="HP302" s="19">
        <v>17.8</v>
      </c>
      <c r="HQ302" s="19">
        <v>21.6</v>
      </c>
      <c r="HR302" s="19">
        <v>20.3</v>
      </c>
      <c r="HS302" s="19">
        <v>23.1</v>
      </c>
      <c r="HT302" s="19">
        <v>22.6</v>
      </c>
      <c r="HU302" s="19">
        <v>22.1</v>
      </c>
      <c r="HV302" s="19">
        <v>21.6</v>
      </c>
      <c r="HW302" s="19">
        <v>21.1</v>
      </c>
      <c r="HX302" s="19">
        <v>20.6</v>
      </c>
      <c r="HY302" s="19">
        <v>20.1</v>
      </c>
      <c r="HZ302" s="19">
        <v>19.6</v>
      </c>
      <c r="IA302" s="19">
        <v>19.1</v>
      </c>
      <c r="IB302" s="19">
        <v>18.6</v>
      </c>
      <c r="IC302" s="19">
        <v>18</v>
      </c>
    </row>
    <row r="303">
      <c r="A303" s="2" t="s">
        <v>1373</v>
      </c>
      <c r="B303" s="2" t="s">
        <v>1139</v>
      </c>
      <c r="C303" s="2" t="s">
        <v>324</v>
      </c>
      <c r="D303" s="2" t="s">
        <v>1140</v>
      </c>
      <c r="E303" s="2" t="s">
        <v>1141</v>
      </c>
      <c r="F303" s="2" t="s">
        <v>1374</v>
      </c>
      <c r="G303" s="2" t="s">
        <v>1374</v>
      </c>
      <c r="H303" s="2" t="s">
        <v>1374</v>
      </c>
      <c r="I303" s="2" t="s">
        <v>1141</v>
      </c>
      <c r="J303" s="2" t="s">
        <v>1375</v>
      </c>
      <c r="K303" s="2" t="s">
        <v>231</v>
      </c>
      <c r="L303" s="3">
        <v>16.11</v>
      </c>
      <c r="M303" s="3">
        <v>16.92</v>
      </c>
      <c r="N303" s="3">
        <v>34.99</v>
      </c>
      <c r="O303" s="2" t="s">
        <v>232</v>
      </c>
      <c r="P303" s="2" t="s">
        <v>878</v>
      </c>
      <c r="Q303" s="2" t="s">
        <v>234</v>
      </c>
      <c r="R303" s="2" t="s">
        <v>235</v>
      </c>
      <c r="S303" s="2" t="s">
        <v>235</v>
      </c>
      <c r="T303" s="2" t="s">
        <v>235</v>
      </c>
      <c r="U303" s="2" t="s">
        <v>807</v>
      </c>
      <c r="V303" s="2" t="s">
        <v>420</v>
      </c>
      <c r="W303" s="2" t="s">
        <v>239</v>
      </c>
      <c r="X303" s="2" t="s">
        <v>235</v>
      </c>
      <c r="Y303" s="2" t="s">
        <v>1376</v>
      </c>
      <c r="Z303" s="4">
        <v>192</v>
      </c>
      <c r="AA303" s="4">
        <f>=ROUNDDOWN(32,0)</f>
      </c>
      <c r="AB303" s="5">
        <v>6</v>
      </c>
      <c r="AC303" s="2" t="s">
        <v>235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235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>
        <v>26</v>
      </c>
      <c r="BK303" s="8">
        <v>436.48</v>
      </c>
      <c r="BL303" s="2" t="s">
        <v>1377</v>
      </c>
      <c r="BM303" s="7"/>
      <c r="BN303" s="7"/>
      <c r="BO303" s="4"/>
      <c r="BP303" s="8"/>
      <c r="BQ303" s="4"/>
      <c r="BR303" s="8"/>
      <c r="BS303" s="7"/>
      <c r="BT303" s="7"/>
      <c r="BU303" s="2" t="s">
        <v>1378</v>
      </c>
      <c r="BV303" s="2" t="s">
        <v>618</v>
      </c>
      <c r="BW303" s="2" t="s">
        <v>235</v>
      </c>
      <c r="BX303" s="2" t="s">
        <v>244</v>
      </c>
      <c r="BY303" s="2" t="s">
        <v>245</v>
      </c>
      <c r="BZ303" s="2" t="s">
        <v>232</v>
      </c>
      <c r="CA303" s="2" t="s">
        <v>687</v>
      </c>
      <c r="CB303" s="2" t="s">
        <v>1379</v>
      </c>
      <c r="CC303" s="2" t="s">
        <v>248</v>
      </c>
      <c r="CD303" s="2" t="s">
        <v>248</v>
      </c>
      <c r="CE303" s="2" t="s">
        <v>235</v>
      </c>
      <c r="CF303" s="4">
        <v>189</v>
      </c>
      <c r="CG303" s="4"/>
      <c r="CH303" s="4"/>
      <c r="CI303" s="4">
        <v>3</v>
      </c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>
        <v>193</v>
      </c>
      <c r="GE303" s="4">
        <v>114</v>
      </c>
      <c r="GF303" s="4">
        <v>102</v>
      </c>
      <c r="GG303" s="4">
        <v>90</v>
      </c>
      <c r="GH303" s="4">
        <v>75</v>
      </c>
      <c r="GI303" s="4">
        <v>59</v>
      </c>
      <c r="GJ303" s="4">
        <v>51</v>
      </c>
      <c r="GK303" s="4">
        <v>36</v>
      </c>
      <c r="GL303" s="4">
        <v>25</v>
      </c>
      <c r="GM303" s="4">
        <v>9</v>
      </c>
      <c r="GN303" s="4">
        <v>4</v>
      </c>
      <c r="GO303" s="4"/>
      <c r="GP303" s="4"/>
      <c r="GQ303" s="4"/>
      <c r="GR303" s="4"/>
      <c r="GS303" s="4"/>
      <c r="GT303" s="4"/>
      <c r="GU303" s="4"/>
      <c r="GV303" s="4"/>
      <c r="GW303" s="4">
        <v>324</v>
      </c>
      <c r="GX303" s="4">
        <v>275</v>
      </c>
      <c r="GY303" s="4">
        <v>270</v>
      </c>
      <c r="GZ303" s="4">
        <v>264</v>
      </c>
      <c r="HA303" s="4">
        <v>258</v>
      </c>
      <c r="HB303" s="4">
        <v>252</v>
      </c>
      <c r="HC303" s="4">
        <v>246</v>
      </c>
      <c r="HD303" s="19">
        <v>6.4</v>
      </c>
      <c r="HE303" s="19">
        <v>8.1</v>
      </c>
      <c r="HF303" s="19">
        <v>7.8</v>
      </c>
      <c r="HG303" s="19">
        <v>6.4</v>
      </c>
      <c r="HH303" s="19">
        <v>6.3</v>
      </c>
      <c r="HI303" s="19">
        <v>4.9</v>
      </c>
      <c r="HJ303" s="19">
        <v>4.3</v>
      </c>
      <c r="HK303" s="19">
        <v>4</v>
      </c>
      <c r="HL303" s="19">
        <v>3.6</v>
      </c>
      <c r="HM303" s="19">
        <v>3</v>
      </c>
      <c r="HN303" s="19">
        <v>2</v>
      </c>
      <c r="HO303" s="20">
        <v>0</v>
      </c>
      <c r="HP303" s="20">
        <v>0</v>
      </c>
      <c r="HQ303" s="20">
        <v>0</v>
      </c>
      <c r="HR303" s="20">
        <v>0</v>
      </c>
      <c r="HS303" s="20">
        <v>0</v>
      </c>
      <c r="HT303" s="20">
        <v>0</v>
      </c>
      <c r="HU303" s="20">
        <v>0</v>
      </c>
      <c r="HV303" s="20">
        <v>0</v>
      </c>
      <c r="HW303" s="19">
        <v>20.3</v>
      </c>
      <c r="HX303" s="19">
        <v>45.8</v>
      </c>
      <c r="HY303" s="19">
        <v>45</v>
      </c>
      <c r="HZ303" s="19">
        <v>44</v>
      </c>
      <c r="IA303" s="19">
        <v>43</v>
      </c>
      <c r="IB303" s="19">
        <v>42</v>
      </c>
      <c r="IC303" s="19">
        <v>41</v>
      </c>
    </row>
    <row r="304">
      <c r="A304" s="2" t="s">
        <v>1380</v>
      </c>
      <c r="B304" s="2" t="s">
        <v>871</v>
      </c>
      <c r="C304" s="2" t="s">
        <v>1381</v>
      </c>
      <c r="D304" s="2" t="s">
        <v>361</v>
      </c>
      <c r="E304" s="2" t="s">
        <v>924</v>
      </c>
      <c r="F304" s="2" t="s">
        <v>1382</v>
      </c>
      <c r="G304" s="2" t="s">
        <v>1382</v>
      </c>
      <c r="H304" s="2" t="s">
        <v>1382</v>
      </c>
      <c r="I304" s="2" t="s">
        <v>1383</v>
      </c>
      <c r="J304" s="2" t="s">
        <v>365</v>
      </c>
      <c r="K304" s="2" t="s">
        <v>338</v>
      </c>
      <c r="L304" s="3">
        <v>102.14</v>
      </c>
      <c r="M304" s="3">
        <v>107.25</v>
      </c>
      <c r="N304" s="3">
        <v>299.99</v>
      </c>
      <c r="O304" s="2" t="s">
        <v>232</v>
      </c>
      <c r="P304" s="2" t="s">
        <v>878</v>
      </c>
      <c r="Q304" s="2" t="s">
        <v>234</v>
      </c>
      <c r="R304" s="2" t="s">
        <v>235</v>
      </c>
      <c r="S304" s="2" t="s">
        <v>1384</v>
      </c>
      <c r="T304" s="2" t="s">
        <v>235</v>
      </c>
      <c r="U304" s="2" t="s">
        <v>552</v>
      </c>
      <c r="V304" s="2" t="s">
        <v>824</v>
      </c>
      <c r="W304" s="2" t="s">
        <v>682</v>
      </c>
      <c r="X304" s="2" t="s">
        <v>239</v>
      </c>
      <c r="Y304" s="2" t="s">
        <v>1385</v>
      </c>
      <c r="Z304" s="4">
        <v>226</v>
      </c>
      <c r="AA304" s="4">
        <f>=ROUNDDOWN(113,0)</f>
      </c>
      <c r="AB304" s="5">
        <v>2</v>
      </c>
      <c r="AC304" s="2" t="s">
        <v>235</v>
      </c>
      <c r="AD304" s="4"/>
      <c r="AE304" s="4"/>
      <c r="AF304" s="6">
        <v>77</v>
      </c>
      <c r="AG304" s="6"/>
      <c r="AH304" s="7">
        <v>1</v>
      </c>
      <c r="AI304" s="4"/>
      <c r="AJ304" s="4">
        <f>=ROUNDDOWN({0},0)</f>
      </c>
      <c r="AK304" s="5"/>
      <c r="AL304" s="2" t="s">
        <v>235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>
        <v>4</v>
      </c>
      <c r="BK304" s="8">
        <v>480.48</v>
      </c>
      <c r="BL304" s="2" t="s">
        <v>400</v>
      </c>
      <c r="BM304" s="7"/>
      <c r="BN304" s="7"/>
      <c r="BO304" s="4"/>
      <c r="BP304" s="8"/>
      <c r="BQ304" s="4"/>
      <c r="BR304" s="8"/>
      <c r="BS304" s="7"/>
      <c r="BT304" s="7"/>
      <c r="BU304" s="2" t="s">
        <v>1386</v>
      </c>
      <c r="BV304" s="2" t="s">
        <v>243</v>
      </c>
      <c r="BW304" s="2" t="s">
        <v>235</v>
      </c>
      <c r="BX304" s="2" t="s">
        <v>244</v>
      </c>
      <c r="BY304" s="2" t="s">
        <v>245</v>
      </c>
      <c r="BZ304" s="2" t="s">
        <v>232</v>
      </c>
      <c r="CA304" s="2" t="s">
        <v>1387</v>
      </c>
      <c r="CB304" s="2" t="s">
        <v>235</v>
      </c>
      <c r="CC304" s="2" t="s">
        <v>248</v>
      </c>
      <c r="CD304" s="2" t="s">
        <v>248</v>
      </c>
      <c r="CE304" s="2" t="s">
        <v>235</v>
      </c>
      <c r="CF304" s="4">
        <v>226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>
        <v>226</v>
      </c>
      <c r="GE304" s="4">
        <v>224</v>
      </c>
      <c r="GF304" s="4">
        <v>222</v>
      </c>
      <c r="GG304" s="4">
        <v>220</v>
      </c>
      <c r="GH304" s="4">
        <v>218</v>
      </c>
      <c r="GI304" s="4">
        <v>216</v>
      </c>
      <c r="GJ304" s="4">
        <v>214</v>
      </c>
      <c r="GK304" s="4">
        <v>212</v>
      </c>
      <c r="GL304" s="4">
        <v>210</v>
      </c>
      <c r="GM304" s="4">
        <v>208</v>
      </c>
      <c r="GN304" s="4">
        <v>206</v>
      </c>
      <c r="GO304" s="4">
        <v>203</v>
      </c>
      <c r="GP304" s="4">
        <v>200</v>
      </c>
      <c r="GQ304" s="4">
        <v>194</v>
      </c>
      <c r="GR304" s="4">
        <v>191</v>
      </c>
      <c r="GS304" s="4">
        <v>188</v>
      </c>
      <c r="GT304" s="4">
        <v>186</v>
      </c>
      <c r="GU304" s="4">
        <v>185</v>
      </c>
      <c r="GV304" s="4">
        <v>183</v>
      </c>
      <c r="GW304" s="4">
        <v>181</v>
      </c>
      <c r="GX304" s="4">
        <v>179</v>
      </c>
      <c r="GY304" s="4">
        <v>177</v>
      </c>
      <c r="GZ304" s="4">
        <v>175</v>
      </c>
      <c r="HA304" s="4">
        <v>173</v>
      </c>
      <c r="HB304" s="4">
        <v>171</v>
      </c>
      <c r="HC304" s="4">
        <v>169</v>
      </c>
      <c r="HD304" s="19">
        <v>113</v>
      </c>
      <c r="HE304" s="19">
        <v>112</v>
      </c>
      <c r="HF304" s="19">
        <v>111</v>
      </c>
      <c r="HG304" s="19">
        <v>110</v>
      </c>
      <c r="HH304" s="19">
        <v>109</v>
      </c>
      <c r="HI304" s="19">
        <v>108</v>
      </c>
      <c r="HJ304" s="19">
        <v>107</v>
      </c>
      <c r="HK304" s="19">
        <v>106</v>
      </c>
      <c r="HL304" s="19">
        <v>105</v>
      </c>
      <c r="HM304" s="19">
        <v>52</v>
      </c>
      <c r="HN304" s="19">
        <v>51.5</v>
      </c>
      <c r="HO304" s="19">
        <v>50.8</v>
      </c>
      <c r="HP304" s="19">
        <v>50</v>
      </c>
      <c r="HQ304" s="19">
        <v>97</v>
      </c>
      <c r="HR304" s="19">
        <v>95.5</v>
      </c>
      <c r="HS304" s="19">
        <v>94</v>
      </c>
      <c r="HT304" s="19">
        <v>93</v>
      </c>
      <c r="HU304" s="19">
        <v>92.5</v>
      </c>
      <c r="HV304" s="19">
        <v>91.5</v>
      </c>
      <c r="HW304" s="19">
        <v>90.5</v>
      </c>
      <c r="HX304" s="19">
        <v>89.5</v>
      </c>
      <c r="HY304" s="19">
        <v>88.5</v>
      </c>
      <c r="HZ304" s="19">
        <v>87.5</v>
      </c>
      <c r="IA304" s="19">
        <v>86.5</v>
      </c>
      <c r="IB304" s="19">
        <v>85.5</v>
      </c>
      <c r="IC304" s="19">
        <v>84.5</v>
      </c>
    </row>
    <row r="305">
      <c r="A305" s="2" t="s">
        <v>1388</v>
      </c>
      <c r="B305" s="2" t="s">
        <v>905</v>
      </c>
      <c r="C305" s="2" t="s">
        <v>324</v>
      </c>
      <c r="D305" s="2" t="s">
        <v>361</v>
      </c>
      <c r="E305" s="2" t="s">
        <v>924</v>
      </c>
      <c r="F305" s="2" t="s">
        <v>1389</v>
      </c>
      <c r="G305" s="2" t="s">
        <v>1390</v>
      </c>
      <c r="H305" s="2" t="s">
        <v>1391</v>
      </c>
      <c r="I305" s="2" t="s">
        <v>1392</v>
      </c>
      <c r="J305" s="2" t="s">
        <v>394</v>
      </c>
      <c r="K305" s="2" t="s">
        <v>292</v>
      </c>
      <c r="L305" s="3">
        <v>33.86</v>
      </c>
      <c r="M305" s="3">
        <v>35.55</v>
      </c>
      <c r="N305" s="3">
        <v>69.99</v>
      </c>
      <c r="O305" s="2" t="s">
        <v>485</v>
      </c>
      <c r="P305" s="2" t="s">
        <v>408</v>
      </c>
      <c r="Q305" s="2" t="s">
        <v>234</v>
      </c>
      <c r="R305" s="2" t="s">
        <v>235</v>
      </c>
      <c r="S305" s="2" t="s">
        <v>1393</v>
      </c>
      <c r="T305" s="2" t="s">
        <v>912</v>
      </c>
      <c r="U305" s="2" t="s">
        <v>278</v>
      </c>
      <c r="V305" s="2" t="s">
        <v>1394</v>
      </c>
      <c r="W305" s="2" t="s">
        <v>1395</v>
      </c>
      <c r="X305" s="2" t="s">
        <v>1157</v>
      </c>
      <c r="Y305" s="2" t="s">
        <v>1396</v>
      </c>
      <c r="Z305" s="4">
        <v>57</v>
      </c>
      <c r="AA305" s="4">
        <f>=ROUNDDOWN(95,0)</f>
      </c>
      <c r="AB305" s="5">
        <v>0.6</v>
      </c>
      <c r="AC305" s="2" t="s">
        <v>235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235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235</v>
      </c>
      <c r="BD305" s="8" t="s">
        <v>235</v>
      </c>
      <c r="BE305" s="4" t="s">
        <v>235</v>
      </c>
      <c r="BF305" s="8" t="s">
        <v>235</v>
      </c>
      <c r="BG305" s="7" t="s">
        <v>235</v>
      </c>
      <c r="BH305" s="7" t="s">
        <v>235</v>
      </c>
      <c r="BI305" s="7"/>
      <c r="BJ305" s="4">
        <v>9</v>
      </c>
      <c r="BK305" s="8">
        <v>308.37</v>
      </c>
      <c r="BL305" s="2" t="s">
        <v>1397</v>
      </c>
      <c r="BM305" s="7"/>
      <c r="BN305" s="7"/>
      <c r="BO305" s="4"/>
      <c r="BP305" s="8"/>
      <c r="BQ305" s="4"/>
      <c r="BR305" s="8"/>
      <c r="BS305" s="7"/>
      <c r="BT305" s="7"/>
      <c r="BU305" s="2" t="s">
        <v>1398</v>
      </c>
      <c r="BV305" s="2" t="s">
        <v>243</v>
      </c>
      <c r="BW305" s="2" t="s">
        <v>235</v>
      </c>
      <c r="BX305" s="2" t="s">
        <v>414</v>
      </c>
      <c r="BY305" s="2" t="s">
        <v>245</v>
      </c>
      <c r="BZ305" s="2" t="s">
        <v>232</v>
      </c>
      <c r="CA305" s="2" t="s">
        <v>1399</v>
      </c>
      <c r="CB305" s="2" t="s">
        <v>1400</v>
      </c>
      <c r="CC305" s="2" t="s">
        <v>248</v>
      </c>
      <c r="CD305" s="2" t="s">
        <v>248</v>
      </c>
      <c r="CE305" s="2" t="s">
        <v>235</v>
      </c>
      <c r="CF305" s="4">
        <v>57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>
        <v>57</v>
      </c>
      <c r="GE305" s="4">
        <v>56</v>
      </c>
      <c r="GF305" s="4">
        <v>55</v>
      </c>
      <c r="GG305" s="4">
        <v>54</v>
      </c>
      <c r="GH305" s="4">
        <v>53</v>
      </c>
      <c r="GI305" s="4">
        <v>51</v>
      </c>
      <c r="GJ305" s="4">
        <v>49</v>
      </c>
      <c r="GK305" s="4">
        <v>47</v>
      </c>
      <c r="GL305" s="4">
        <v>45</v>
      </c>
      <c r="GM305" s="4">
        <v>43</v>
      </c>
      <c r="GN305" s="4">
        <v>41</v>
      </c>
      <c r="GO305" s="4">
        <v>38</v>
      </c>
      <c r="GP305" s="4">
        <v>35</v>
      </c>
      <c r="GQ305" s="4">
        <v>29</v>
      </c>
      <c r="GR305" s="4">
        <v>23</v>
      </c>
      <c r="GS305" s="4">
        <v>17</v>
      </c>
      <c r="GT305" s="4">
        <v>14</v>
      </c>
      <c r="GU305" s="4">
        <v>12</v>
      </c>
      <c r="GV305" s="4">
        <v>11</v>
      </c>
      <c r="GW305" s="4">
        <v>10</v>
      </c>
      <c r="GX305" s="4">
        <v>9</v>
      </c>
      <c r="GY305" s="4">
        <v>8</v>
      </c>
      <c r="GZ305" s="4">
        <v>7</v>
      </c>
      <c r="HA305" s="4">
        <v>6</v>
      </c>
      <c r="HB305" s="4">
        <v>5</v>
      </c>
      <c r="HC305" s="4">
        <v>4</v>
      </c>
      <c r="HD305" s="19">
        <v>57</v>
      </c>
      <c r="HE305" s="19">
        <v>56</v>
      </c>
      <c r="HF305" s="19">
        <v>27.5</v>
      </c>
      <c r="HG305" s="19">
        <v>27</v>
      </c>
      <c r="HH305" s="19">
        <v>26.5</v>
      </c>
      <c r="HI305" s="19">
        <v>25.5</v>
      </c>
      <c r="HJ305" s="19">
        <v>24.5</v>
      </c>
      <c r="HK305" s="19">
        <v>23.5</v>
      </c>
      <c r="HL305" s="19">
        <v>22.5</v>
      </c>
      <c r="HM305" s="19">
        <v>10.8</v>
      </c>
      <c r="HN305" s="19">
        <v>10.3</v>
      </c>
      <c r="HO305" s="19">
        <v>7.6</v>
      </c>
      <c r="HP305" s="19">
        <v>7</v>
      </c>
      <c r="HQ305" s="19">
        <v>7.3</v>
      </c>
      <c r="HR305" s="19">
        <v>7.7</v>
      </c>
      <c r="HS305" s="19">
        <v>8.5</v>
      </c>
      <c r="HT305" s="19">
        <v>14</v>
      </c>
      <c r="HU305" s="19">
        <v>12</v>
      </c>
      <c r="HV305" s="19">
        <v>11</v>
      </c>
      <c r="HW305" s="19">
        <v>10</v>
      </c>
      <c r="HX305" s="19">
        <v>9</v>
      </c>
      <c r="HY305" s="19">
        <v>8</v>
      </c>
      <c r="HZ305" s="19">
        <v>7</v>
      </c>
      <c r="IA305" s="19">
        <v>6</v>
      </c>
      <c r="IB305" s="19">
        <v>5</v>
      </c>
      <c r="IC305" s="19">
        <v>4</v>
      </c>
    </row>
    <row r="306">
      <c r="A306" s="2" t="s">
        <v>1401</v>
      </c>
      <c r="B306" s="2" t="s">
        <v>905</v>
      </c>
      <c r="C306" s="2" t="s">
        <v>324</v>
      </c>
      <c r="D306" s="2" t="s">
        <v>906</v>
      </c>
      <c r="E306" s="2" t="s">
        <v>907</v>
      </c>
      <c r="F306" s="2" t="s">
        <v>1389</v>
      </c>
      <c r="G306" s="2" t="s">
        <v>1390</v>
      </c>
      <c r="H306" s="2" t="s">
        <v>1391</v>
      </c>
      <c r="I306" s="2" t="s">
        <v>1402</v>
      </c>
      <c r="J306" s="2" t="s">
        <v>270</v>
      </c>
      <c r="K306" s="2" t="s">
        <v>295</v>
      </c>
      <c r="L306" s="3">
        <v>42.09</v>
      </c>
      <c r="M306" s="3">
        <v>44.19</v>
      </c>
      <c r="N306" s="3">
        <v>84.99</v>
      </c>
      <c r="O306" s="2" t="s">
        <v>407</v>
      </c>
      <c r="P306" s="2" t="s">
        <v>408</v>
      </c>
      <c r="Q306" s="2" t="s">
        <v>234</v>
      </c>
      <c r="R306" s="2" t="s">
        <v>235</v>
      </c>
      <c r="S306" s="2" t="s">
        <v>1403</v>
      </c>
      <c r="T306" s="2" t="s">
        <v>912</v>
      </c>
      <c r="U306" s="2" t="s">
        <v>552</v>
      </c>
      <c r="V306" s="2" t="s">
        <v>1394</v>
      </c>
      <c r="W306" s="2" t="s">
        <v>1395</v>
      </c>
      <c r="X306" s="2" t="s">
        <v>1157</v>
      </c>
      <c r="Y306" s="2" t="s">
        <v>1404</v>
      </c>
      <c r="Z306" s="4">
        <v>276</v>
      </c>
      <c r="AA306" s="4">
        <f>=ROUNDDOWN(125.454545454545,0)</f>
      </c>
      <c r="AB306" s="5">
        <v>2.2</v>
      </c>
      <c r="AC306" s="2" t="s">
        <v>235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235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235</v>
      </c>
      <c r="BD306" s="8" t="s">
        <v>235</v>
      </c>
      <c r="BE306" s="4" t="s">
        <v>235</v>
      </c>
      <c r="BF306" s="8" t="s">
        <v>235</v>
      </c>
      <c r="BG306" s="7" t="s">
        <v>235</v>
      </c>
      <c r="BH306" s="7" t="s">
        <v>235</v>
      </c>
      <c r="BI306" s="7"/>
      <c r="BJ306" s="4">
        <v>8</v>
      </c>
      <c r="BK306" s="8">
        <v>337.22</v>
      </c>
      <c r="BL306" s="2" t="s">
        <v>1405</v>
      </c>
      <c r="BM306" s="7"/>
      <c r="BN306" s="7"/>
      <c r="BO306" s="4"/>
      <c r="BP306" s="8"/>
      <c r="BQ306" s="4"/>
      <c r="BR306" s="8"/>
      <c r="BS306" s="7"/>
      <c r="BT306" s="7"/>
      <c r="BU306" s="2" t="s">
        <v>1406</v>
      </c>
      <c r="BV306" s="2" t="s">
        <v>243</v>
      </c>
      <c r="BW306" s="2" t="s">
        <v>235</v>
      </c>
      <c r="BX306" s="2" t="s">
        <v>414</v>
      </c>
      <c r="BY306" s="2" t="s">
        <v>245</v>
      </c>
      <c r="BZ306" s="2" t="s">
        <v>232</v>
      </c>
      <c r="CA306" s="2" t="s">
        <v>1407</v>
      </c>
      <c r="CB306" s="2" t="s">
        <v>1408</v>
      </c>
      <c r="CC306" s="2" t="s">
        <v>248</v>
      </c>
      <c r="CD306" s="2" t="s">
        <v>248</v>
      </c>
      <c r="CE306" s="2" t="s">
        <v>235</v>
      </c>
      <c r="CF306" s="4">
        <v>229</v>
      </c>
      <c r="CG306" s="4">
        <v>46</v>
      </c>
      <c r="CH306" s="4"/>
      <c r="CI306" s="4"/>
      <c r="CJ306" s="4"/>
      <c r="CK306" s="4"/>
      <c r="CL306" s="4"/>
      <c r="CM306" s="4">
        <v>1</v>
      </c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>
        <v>277</v>
      </c>
      <c r="GE306" s="4">
        <v>273</v>
      </c>
      <c r="GF306" s="4">
        <v>271</v>
      </c>
      <c r="GG306" s="4">
        <v>268</v>
      </c>
      <c r="GH306" s="4">
        <v>261</v>
      </c>
      <c r="GI306" s="4">
        <v>254</v>
      </c>
      <c r="GJ306" s="4">
        <v>246</v>
      </c>
      <c r="GK306" s="4">
        <v>235</v>
      </c>
      <c r="GL306" s="4">
        <v>218</v>
      </c>
      <c r="GM306" s="4">
        <v>204</v>
      </c>
      <c r="GN306" s="4">
        <v>182</v>
      </c>
      <c r="GO306" s="4">
        <v>164</v>
      </c>
      <c r="GP306" s="4">
        <v>128</v>
      </c>
      <c r="GQ306" s="4">
        <v>63</v>
      </c>
      <c r="GR306" s="4">
        <v>21</v>
      </c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19">
        <v>69.3</v>
      </c>
      <c r="HE306" s="19">
        <v>54.6</v>
      </c>
      <c r="HF306" s="19">
        <v>45.2</v>
      </c>
      <c r="HG306" s="19">
        <v>33.5</v>
      </c>
      <c r="HH306" s="19">
        <v>23.7</v>
      </c>
      <c r="HI306" s="19">
        <v>21.2</v>
      </c>
      <c r="HJ306" s="19">
        <v>15.4</v>
      </c>
      <c r="HK306" s="19">
        <v>13.1</v>
      </c>
      <c r="HL306" s="19">
        <v>9.9</v>
      </c>
      <c r="HM306" s="19">
        <v>5.8</v>
      </c>
      <c r="HN306" s="19">
        <v>4.6</v>
      </c>
      <c r="HO306" s="19">
        <v>3.8</v>
      </c>
      <c r="HP306" s="19">
        <v>3</v>
      </c>
      <c r="HQ306" s="19">
        <v>2.2</v>
      </c>
      <c r="HR306" s="19">
        <v>1.1</v>
      </c>
      <c r="HS306" s="20">
        <v>0</v>
      </c>
      <c r="HT306" s="20">
        <v>0</v>
      </c>
      <c r="HU306" s="20">
        <v>0</v>
      </c>
      <c r="HV306" s="20">
        <v>0</v>
      </c>
      <c r="HW306" s="20">
        <v>0</v>
      </c>
      <c r="HX306" s="20">
        <v>0</v>
      </c>
      <c r="HY306" s="20">
        <v>0</v>
      </c>
      <c r="HZ306" s="20">
        <v>0</v>
      </c>
      <c r="IA306" s="20">
        <v>0</v>
      </c>
      <c r="IB306" s="20">
        <v>0</v>
      </c>
      <c r="IC306" s="20">
        <v>0</v>
      </c>
    </row>
    <row r="307">
      <c r="A307" s="2" t="s">
        <v>1409</v>
      </c>
      <c r="B307" s="2" t="s">
        <v>1139</v>
      </c>
      <c r="C307" s="2" t="s">
        <v>893</v>
      </c>
      <c r="D307" s="2" t="s">
        <v>1152</v>
      </c>
      <c r="E307" s="2" t="s">
        <v>1153</v>
      </c>
      <c r="F307" s="2" t="s">
        <v>1410</v>
      </c>
      <c r="G307" s="2" t="s">
        <v>1410</v>
      </c>
      <c r="H307" s="2" t="s">
        <v>1410</v>
      </c>
      <c r="I307" s="2" t="s">
        <v>1153</v>
      </c>
      <c r="J307" s="2" t="s">
        <v>1411</v>
      </c>
      <c r="K307" s="2" t="s">
        <v>600</v>
      </c>
      <c r="L307" s="3">
        <v>22.5</v>
      </c>
      <c r="M307" s="3">
        <v>23.63</v>
      </c>
      <c r="N307" s="3">
        <v>49.99</v>
      </c>
      <c r="O307" s="2" t="s">
        <v>232</v>
      </c>
      <c r="P307" s="2" t="s">
        <v>878</v>
      </c>
      <c r="Q307" s="2" t="s">
        <v>234</v>
      </c>
      <c r="R307" s="2" t="s">
        <v>235</v>
      </c>
      <c r="S307" s="2" t="s">
        <v>235</v>
      </c>
      <c r="T307" s="2" t="s">
        <v>263</v>
      </c>
      <c r="U307" s="2" t="s">
        <v>807</v>
      </c>
      <c r="V307" s="2" t="s">
        <v>863</v>
      </c>
      <c r="W307" s="2" t="s">
        <v>986</v>
      </c>
      <c r="X307" s="2" t="s">
        <v>235</v>
      </c>
      <c r="Y307" s="2" t="s">
        <v>235</v>
      </c>
      <c r="Z307" s="4"/>
      <c r="AA307" s="4">
        <f>=ROUNDDOWN({0},0)</f>
      </c>
      <c r="AB307" s="5"/>
      <c r="AC307" s="2" t="s">
        <v>787</v>
      </c>
      <c r="AD307" s="4">
        <v>868</v>
      </c>
      <c r="AE307" s="4">
        <v>868</v>
      </c>
      <c r="AF307" s="6">
        <v>78</v>
      </c>
      <c r="AG307" s="6"/>
      <c r="AH307" s="7"/>
      <c r="AI307" s="4"/>
      <c r="AJ307" s="4">
        <f>=ROUNDDOWN({0},0)</f>
      </c>
      <c r="AK307" s="5"/>
      <c r="AL307" s="2" t="s">
        <v>235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235</v>
      </c>
      <c r="AW307" s="8" t="s">
        <v>235</v>
      </c>
      <c r="AX307" s="4" t="s">
        <v>235</v>
      </c>
      <c r="AY307" s="8" t="s">
        <v>235</v>
      </c>
      <c r="AZ307" s="7" t="s">
        <v>235</v>
      </c>
      <c r="BA307" s="7" t="s">
        <v>235</v>
      </c>
      <c r="BB307" s="7"/>
      <c r="BC307" s="4" t="s">
        <v>235</v>
      </c>
      <c r="BD307" s="8" t="s">
        <v>235</v>
      </c>
      <c r="BE307" s="4" t="s">
        <v>235</v>
      </c>
      <c r="BF307" s="8" t="s">
        <v>235</v>
      </c>
      <c r="BG307" s="7" t="s">
        <v>235</v>
      </c>
      <c r="BH307" s="7" t="s">
        <v>235</v>
      </c>
      <c r="BI307" s="7"/>
      <c r="BJ307" s="4"/>
      <c r="BK307" s="8"/>
      <c r="BL307" s="2" t="s">
        <v>235</v>
      </c>
      <c r="BM307" s="7"/>
      <c r="BN307" s="7"/>
      <c r="BO307" s="4"/>
      <c r="BP307" s="8"/>
      <c r="BQ307" s="4"/>
      <c r="BR307" s="8"/>
      <c r="BS307" s="7"/>
      <c r="BT307" s="7"/>
      <c r="BU307" s="2" t="s">
        <v>330</v>
      </c>
      <c r="BV307" s="2" t="s">
        <v>235</v>
      </c>
      <c r="BW307" s="2" t="s">
        <v>235</v>
      </c>
      <c r="BX307" s="2" t="s">
        <v>330</v>
      </c>
      <c r="BY307" s="2" t="s">
        <v>331</v>
      </c>
      <c r="BZ307" s="2" t="s">
        <v>232</v>
      </c>
      <c r="CA307" s="2" t="s">
        <v>235</v>
      </c>
      <c r="CB307" s="2" t="s">
        <v>235</v>
      </c>
      <c r="CC307" s="2" t="s">
        <v>248</v>
      </c>
      <c r="CD307" s="2" t="s">
        <v>248</v>
      </c>
      <c r="CE307" s="2" t="s">
        <v>235</v>
      </c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>
        <v>868</v>
      </c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>
        <v>868</v>
      </c>
      <c r="GV307" s="4">
        <v>868</v>
      </c>
      <c r="GW307" s="4">
        <v>868</v>
      </c>
      <c r="GX307" s="4">
        <v>868</v>
      </c>
      <c r="GY307" s="4">
        <v>868</v>
      </c>
      <c r="GZ307" s="4">
        <v>868</v>
      </c>
      <c r="HA307" s="4">
        <v>868</v>
      </c>
      <c r="HB307" s="4">
        <v>868</v>
      </c>
      <c r="HC307" s="4">
        <v>868</v>
      </c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</row>
    <row r="308">
      <c r="A308" s="2" t="s">
        <v>1412</v>
      </c>
      <c r="B308" s="2" t="s">
        <v>1139</v>
      </c>
      <c r="C308" s="2" t="s">
        <v>893</v>
      </c>
      <c r="D308" s="2" t="s">
        <v>1152</v>
      </c>
      <c r="E308" s="2" t="s">
        <v>1153</v>
      </c>
      <c r="F308" s="2" t="s">
        <v>1410</v>
      </c>
      <c r="G308" s="2" t="s">
        <v>1410</v>
      </c>
      <c r="H308" s="2" t="s">
        <v>1410</v>
      </c>
      <c r="I308" s="2" t="s">
        <v>1153</v>
      </c>
      <c r="J308" s="2" t="s">
        <v>1413</v>
      </c>
      <c r="K308" s="2" t="s">
        <v>600</v>
      </c>
      <c r="L308" s="3">
        <v>13.7</v>
      </c>
      <c r="M308" s="3">
        <v>14.39</v>
      </c>
      <c r="N308" s="3">
        <v>31.99</v>
      </c>
      <c r="O308" s="2" t="s">
        <v>232</v>
      </c>
      <c r="P308" s="2" t="s">
        <v>878</v>
      </c>
      <c r="Q308" s="2" t="s">
        <v>234</v>
      </c>
      <c r="R308" s="2" t="s">
        <v>235</v>
      </c>
      <c r="S308" s="2" t="s">
        <v>235</v>
      </c>
      <c r="T308" s="2" t="s">
        <v>263</v>
      </c>
      <c r="U308" s="2" t="s">
        <v>807</v>
      </c>
      <c r="V308" s="2" t="s">
        <v>863</v>
      </c>
      <c r="W308" s="2" t="s">
        <v>986</v>
      </c>
      <c r="X308" s="2" t="s">
        <v>235</v>
      </c>
      <c r="Y308" s="2" t="s">
        <v>235</v>
      </c>
      <c r="Z308" s="4"/>
      <c r="AA308" s="4">
        <f>=ROUNDDOWN({0},0)</f>
      </c>
      <c r="AB308" s="5"/>
      <c r="AC308" s="2" t="s">
        <v>787</v>
      </c>
      <c r="AD308" s="4">
        <v>1560</v>
      </c>
      <c r="AE308" s="4">
        <v>1560</v>
      </c>
      <c r="AF308" s="6">
        <v>78</v>
      </c>
      <c r="AG308" s="6"/>
      <c r="AH308" s="7"/>
      <c r="AI308" s="4"/>
      <c r="AJ308" s="4">
        <f>=ROUNDDOWN({0},0)</f>
      </c>
      <c r="AK308" s="5"/>
      <c r="AL308" s="2" t="s">
        <v>235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235</v>
      </c>
      <c r="AW308" s="8" t="s">
        <v>235</v>
      </c>
      <c r="AX308" s="4" t="s">
        <v>235</v>
      </c>
      <c r="AY308" s="8" t="s">
        <v>235</v>
      </c>
      <c r="AZ308" s="7" t="s">
        <v>235</v>
      </c>
      <c r="BA308" s="7" t="s">
        <v>235</v>
      </c>
      <c r="BB308" s="7"/>
      <c r="BC308" s="4" t="s">
        <v>235</v>
      </c>
      <c r="BD308" s="8" t="s">
        <v>235</v>
      </c>
      <c r="BE308" s="4" t="s">
        <v>235</v>
      </c>
      <c r="BF308" s="8" t="s">
        <v>235</v>
      </c>
      <c r="BG308" s="7" t="s">
        <v>235</v>
      </c>
      <c r="BH308" s="7" t="s">
        <v>235</v>
      </c>
      <c r="BI308" s="7"/>
      <c r="BJ308" s="4"/>
      <c r="BK308" s="8"/>
      <c r="BL308" s="2" t="s">
        <v>235</v>
      </c>
      <c r="BM308" s="7"/>
      <c r="BN308" s="7"/>
      <c r="BO308" s="4"/>
      <c r="BP308" s="8"/>
      <c r="BQ308" s="4"/>
      <c r="BR308" s="8"/>
      <c r="BS308" s="7"/>
      <c r="BT308" s="7"/>
      <c r="BU308" s="2" t="s">
        <v>330</v>
      </c>
      <c r="BV308" s="2" t="s">
        <v>235</v>
      </c>
      <c r="BW308" s="2" t="s">
        <v>235</v>
      </c>
      <c r="BX308" s="2" t="s">
        <v>330</v>
      </c>
      <c r="BY308" s="2" t="s">
        <v>331</v>
      </c>
      <c r="BZ308" s="2" t="s">
        <v>232</v>
      </c>
      <c r="CA308" s="2" t="s">
        <v>235</v>
      </c>
      <c r="CB308" s="2" t="s">
        <v>235</v>
      </c>
      <c r="CC308" s="2" t="s">
        <v>248</v>
      </c>
      <c r="CD308" s="2" t="s">
        <v>248</v>
      </c>
      <c r="CE308" s="2" t="s">
        <v>235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>
        <v>1560</v>
      </c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>
        <v>1560</v>
      </c>
      <c r="GV308" s="4">
        <v>1560</v>
      </c>
      <c r="GW308" s="4">
        <v>1560</v>
      </c>
      <c r="GX308" s="4">
        <v>1560</v>
      </c>
      <c r="GY308" s="4">
        <v>1560</v>
      </c>
      <c r="GZ308" s="4">
        <v>1560</v>
      </c>
      <c r="HA308" s="4">
        <v>1560</v>
      </c>
      <c r="HB308" s="4">
        <v>1560</v>
      </c>
      <c r="HC308" s="4">
        <v>1560</v>
      </c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</row>
    <row r="309">
      <c r="A309" s="2" t="s">
        <v>1414</v>
      </c>
      <c r="B309" s="2" t="s">
        <v>1139</v>
      </c>
      <c r="C309" s="2" t="s">
        <v>893</v>
      </c>
      <c r="D309" s="2" t="s">
        <v>1152</v>
      </c>
      <c r="E309" s="2" t="s">
        <v>1153</v>
      </c>
      <c r="F309" s="2" t="s">
        <v>1410</v>
      </c>
      <c r="G309" s="2" t="s">
        <v>1410</v>
      </c>
      <c r="H309" s="2" t="s">
        <v>1410</v>
      </c>
      <c r="I309" s="2" t="s">
        <v>1153</v>
      </c>
      <c r="J309" s="2" t="s">
        <v>1411</v>
      </c>
      <c r="K309" s="2" t="s">
        <v>1172</v>
      </c>
      <c r="L309" s="3">
        <v>22.5</v>
      </c>
      <c r="M309" s="3">
        <v>23.63</v>
      </c>
      <c r="N309" s="3">
        <v>49.99</v>
      </c>
      <c r="O309" s="2" t="s">
        <v>232</v>
      </c>
      <c r="P309" s="2" t="s">
        <v>878</v>
      </c>
      <c r="Q309" s="2" t="s">
        <v>234</v>
      </c>
      <c r="R309" s="2" t="s">
        <v>235</v>
      </c>
      <c r="S309" s="2" t="s">
        <v>235</v>
      </c>
      <c r="T309" s="2" t="s">
        <v>263</v>
      </c>
      <c r="U309" s="2" t="s">
        <v>807</v>
      </c>
      <c r="V309" s="2" t="s">
        <v>863</v>
      </c>
      <c r="W309" s="2" t="s">
        <v>986</v>
      </c>
      <c r="X309" s="2" t="s">
        <v>235</v>
      </c>
      <c r="Y309" s="2" t="s">
        <v>235</v>
      </c>
      <c r="Z309" s="4"/>
      <c r="AA309" s="4">
        <f>=ROUNDDOWN({0},0)</f>
      </c>
      <c r="AB309" s="5"/>
      <c r="AC309" s="2" t="s">
        <v>787</v>
      </c>
      <c r="AD309" s="4">
        <v>976</v>
      </c>
      <c r="AE309" s="4">
        <v>976</v>
      </c>
      <c r="AF309" s="6">
        <v>78</v>
      </c>
      <c r="AG309" s="6"/>
      <c r="AH309" s="7"/>
      <c r="AI309" s="4"/>
      <c r="AJ309" s="4">
        <f>=ROUNDDOWN({0},0)</f>
      </c>
      <c r="AK309" s="5"/>
      <c r="AL309" s="2" t="s">
        <v>235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235</v>
      </c>
      <c r="AW309" s="8" t="s">
        <v>235</v>
      </c>
      <c r="AX309" s="4" t="s">
        <v>235</v>
      </c>
      <c r="AY309" s="8" t="s">
        <v>235</v>
      </c>
      <c r="AZ309" s="7" t="s">
        <v>235</v>
      </c>
      <c r="BA309" s="7" t="s">
        <v>235</v>
      </c>
      <c r="BB309" s="7"/>
      <c r="BC309" s="4" t="s">
        <v>235</v>
      </c>
      <c r="BD309" s="8" t="s">
        <v>235</v>
      </c>
      <c r="BE309" s="4" t="s">
        <v>235</v>
      </c>
      <c r="BF309" s="8" t="s">
        <v>235</v>
      </c>
      <c r="BG309" s="7" t="s">
        <v>235</v>
      </c>
      <c r="BH309" s="7" t="s">
        <v>235</v>
      </c>
      <c r="BI309" s="7"/>
      <c r="BJ309" s="4"/>
      <c r="BK309" s="8"/>
      <c r="BL309" s="2" t="s">
        <v>235</v>
      </c>
      <c r="BM309" s="7"/>
      <c r="BN309" s="7"/>
      <c r="BO309" s="4"/>
      <c r="BP309" s="8"/>
      <c r="BQ309" s="4"/>
      <c r="BR309" s="8"/>
      <c r="BS309" s="7"/>
      <c r="BT309" s="7"/>
      <c r="BU309" s="2" t="s">
        <v>330</v>
      </c>
      <c r="BV309" s="2" t="s">
        <v>235</v>
      </c>
      <c r="BW309" s="2" t="s">
        <v>235</v>
      </c>
      <c r="BX309" s="2" t="s">
        <v>330</v>
      </c>
      <c r="BY309" s="2" t="s">
        <v>331</v>
      </c>
      <c r="BZ309" s="2" t="s">
        <v>232</v>
      </c>
      <c r="CA309" s="2" t="s">
        <v>235</v>
      </c>
      <c r="CB309" s="2" t="s">
        <v>235</v>
      </c>
      <c r="CC309" s="2" t="s">
        <v>248</v>
      </c>
      <c r="CD309" s="2" t="s">
        <v>248</v>
      </c>
      <c r="CE309" s="2" t="s">
        <v>235</v>
      </c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>
        <v>976</v>
      </c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>
        <v>976</v>
      </c>
      <c r="GV309" s="4">
        <v>976</v>
      </c>
      <c r="GW309" s="4">
        <v>976</v>
      </c>
      <c r="GX309" s="4">
        <v>976</v>
      </c>
      <c r="GY309" s="4">
        <v>976</v>
      </c>
      <c r="GZ309" s="4">
        <v>976</v>
      </c>
      <c r="HA309" s="4">
        <v>976</v>
      </c>
      <c r="HB309" s="4">
        <v>976</v>
      </c>
      <c r="HC309" s="4">
        <v>976</v>
      </c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</row>
    <row r="310">
      <c r="A310" s="2" t="s">
        <v>1415</v>
      </c>
      <c r="B310" s="2" t="s">
        <v>1139</v>
      </c>
      <c r="C310" s="2" t="s">
        <v>893</v>
      </c>
      <c r="D310" s="2" t="s">
        <v>1152</v>
      </c>
      <c r="E310" s="2" t="s">
        <v>1153</v>
      </c>
      <c r="F310" s="2" t="s">
        <v>1410</v>
      </c>
      <c r="G310" s="2" t="s">
        <v>1410</v>
      </c>
      <c r="H310" s="2" t="s">
        <v>1410</v>
      </c>
      <c r="I310" s="2" t="s">
        <v>1153</v>
      </c>
      <c r="J310" s="2" t="s">
        <v>1413</v>
      </c>
      <c r="K310" s="2" t="s">
        <v>1172</v>
      </c>
      <c r="L310" s="3">
        <v>13.7</v>
      </c>
      <c r="M310" s="3">
        <v>14.39</v>
      </c>
      <c r="N310" s="3">
        <v>31.99</v>
      </c>
      <c r="O310" s="2" t="s">
        <v>232</v>
      </c>
      <c r="P310" s="2" t="s">
        <v>878</v>
      </c>
      <c r="Q310" s="2" t="s">
        <v>234</v>
      </c>
      <c r="R310" s="2" t="s">
        <v>235</v>
      </c>
      <c r="S310" s="2" t="s">
        <v>235</v>
      </c>
      <c r="T310" s="2" t="s">
        <v>263</v>
      </c>
      <c r="U310" s="2" t="s">
        <v>807</v>
      </c>
      <c r="V310" s="2" t="s">
        <v>863</v>
      </c>
      <c r="W310" s="2" t="s">
        <v>986</v>
      </c>
      <c r="X310" s="2" t="s">
        <v>235</v>
      </c>
      <c r="Y310" s="2" t="s">
        <v>235</v>
      </c>
      <c r="Z310" s="4"/>
      <c r="AA310" s="4">
        <f>=ROUNDDOWN({0},0)</f>
      </c>
      <c r="AB310" s="5"/>
      <c r="AC310" s="2" t="s">
        <v>787</v>
      </c>
      <c r="AD310" s="4">
        <v>1748</v>
      </c>
      <c r="AE310" s="4">
        <v>1748</v>
      </c>
      <c r="AF310" s="6">
        <v>78</v>
      </c>
      <c r="AG310" s="6"/>
      <c r="AH310" s="7"/>
      <c r="AI310" s="4"/>
      <c r="AJ310" s="4">
        <f>=ROUNDDOWN({0},0)</f>
      </c>
      <c r="AK310" s="5"/>
      <c r="AL310" s="2" t="s">
        <v>235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235</v>
      </c>
      <c r="AW310" s="8" t="s">
        <v>235</v>
      </c>
      <c r="AX310" s="4" t="s">
        <v>235</v>
      </c>
      <c r="AY310" s="8" t="s">
        <v>235</v>
      </c>
      <c r="AZ310" s="7" t="s">
        <v>235</v>
      </c>
      <c r="BA310" s="7" t="s">
        <v>235</v>
      </c>
      <c r="BB310" s="7"/>
      <c r="BC310" s="4" t="s">
        <v>235</v>
      </c>
      <c r="BD310" s="8" t="s">
        <v>235</v>
      </c>
      <c r="BE310" s="4" t="s">
        <v>235</v>
      </c>
      <c r="BF310" s="8" t="s">
        <v>235</v>
      </c>
      <c r="BG310" s="7" t="s">
        <v>235</v>
      </c>
      <c r="BH310" s="7" t="s">
        <v>235</v>
      </c>
      <c r="BI310" s="7"/>
      <c r="BJ310" s="4"/>
      <c r="BK310" s="8"/>
      <c r="BL310" s="2" t="s">
        <v>235</v>
      </c>
      <c r="BM310" s="7"/>
      <c r="BN310" s="7"/>
      <c r="BO310" s="4"/>
      <c r="BP310" s="8"/>
      <c r="BQ310" s="4"/>
      <c r="BR310" s="8"/>
      <c r="BS310" s="7"/>
      <c r="BT310" s="7"/>
      <c r="BU310" s="2" t="s">
        <v>330</v>
      </c>
      <c r="BV310" s="2" t="s">
        <v>235</v>
      </c>
      <c r="BW310" s="2" t="s">
        <v>235</v>
      </c>
      <c r="BX310" s="2" t="s">
        <v>330</v>
      </c>
      <c r="BY310" s="2" t="s">
        <v>331</v>
      </c>
      <c r="BZ310" s="2" t="s">
        <v>232</v>
      </c>
      <c r="CA310" s="2" t="s">
        <v>235</v>
      </c>
      <c r="CB310" s="2" t="s">
        <v>235</v>
      </c>
      <c r="CC310" s="2" t="s">
        <v>248</v>
      </c>
      <c r="CD310" s="2" t="s">
        <v>248</v>
      </c>
      <c r="CE310" s="2" t="s">
        <v>235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>
        <v>1748</v>
      </c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>
        <v>1748</v>
      </c>
      <c r="GV310" s="4">
        <v>1748</v>
      </c>
      <c r="GW310" s="4">
        <v>1748</v>
      </c>
      <c r="GX310" s="4">
        <v>1748</v>
      </c>
      <c r="GY310" s="4">
        <v>1748</v>
      </c>
      <c r="GZ310" s="4">
        <v>1748</v>
      </c>
      <c r="HA310" s="4">
        <v>1748</v>
      </c>
      <c r="HB310" s="4">
        <v>1748</v>
      </c>
      <c r="HC310" s="4">
        <v>1748</v>
      </c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</row>
    <row r="311">
      <c r="A311" s="2" t="s">
        <v>1416</v>
      </c>
      <c r="B311" s="2" t="s">
        <v>1071</v>
      </c>
      <c r="C311" s="2" t="s">
        <v>324</v>
      </c>
      <c r="D311" s="2" t="s">
        <v>1417</v>
      </c>
      <c r="E311" s="2" t="s">
        <v>1418</v>
      </c>
      <c r="F311" s="2" t="s">
        <v>1419</v>
      </c>
      <c r="G311" s="2" t="s">
        <v>1419</v>
      </c>
      <c r="H311" s="2" t="s">
        <v>1419</v>
      </c>
      <c r="I311" s="2" t="s">
        <v>1420</v>
      </c>
      <c r="J311" s="2" t="s">
        <v>897</v>
      </c>
      <c r="K311" s="2" t="s">
        <v>975</v>
      </c>
      <c r="L311" s="3">
        <v>210</v>
      </c>
      <c r="M311" s="3">
        <v>220.5</v>
      </c>
      <c r="N311" s="3">
        <v>449</v>
      </c>
      <c r="O311" s="2" t="s">
        <v>232</v>
      </c>
      <c r="P311" s="2" t="s">
        <v>965</v>
      </c>
      <c r="Q311" s="2" t="s">
        <v>234</v>
      </c>
      <c r="R311" s="2" t="s">
        <v>235</v>
      </c>
      <c r="S311" s="2" t="s">
        <v>235</v>
      </c>
      <c r="T311" s="2" t="s">
        <v>235</v>
      </c>
      <c r="U311" s="2" t="s">
        <v>807</v>
      </c>
      <c r="V311" s="2" t="s">
        <v>808</v>
      </c>
      <c r="W311" s="2" t="s">
        <v>1157</v>
      </c>
      <c r="X311" s="2" t="s">
        <v>239</v>
      </c>
      <c r="Y311" s="2" t="s">
        <v>1421</v>
      </c>
      <c r="Z311" s="4"/>
      <c r="AA311" s="4">
        <f>=ROUNDDOWN({0},0)</f>
      </c>
      <c r="AB311" s="5">
        <v>4</v>
      </c>
      <c r="AC311" s="2" t="s">
        <v>180</v>
      </c>
      <c r="AD311" s="4">
        <v>81</v>
      </c>
      <c r="AE311" s="4">
        <v>81</v>
      </c>
      <c r="AF311" s="6">
        <v>74</v>
      </c>
      <c r="AG311" s="6"/>
      <c r="AH311" s="7">
        <v>0.9032</v>
      </c>
      <c r="AI311" s="4"/>
      <c r="AJ311" s="4">
        <f>=ROUNDDOWN({0},0)</f>
      </c>
      <c r="AK311" s="5"/>
      <c r="AL311" s="2" t="s">
        <v>235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235</v>
      </c>
      <c r="BD311" s="8" t="s">
        <v>235</v>
      </c>
      <c r="BE311" s="4" t="s">
        <v>235</v>
      </c>
      <c r="BF311" s="8" t="s">
        <v>235</v>
      </c>
      <c r="BG311" s="7" t="s">
        <v>235</v>
      </c>
      <c r="BH311" s="7" t="s">
        <v>235</v>
      </c>
      <c r="BI311" s="7"/>
      <c r="BJ311" s="4">
        <v>16</v>
      </c>
      <c r="BK311" s="8">
        <v>3620.58</v>
      </c>
      <c r="BL311" s="2" t="s">
        <v>1422</v>
      </c>
      <c r="BM311" s="7"/>
      <c r="BN311" s="7"/>
      <c r="BO311" s="4"/>
      <c r="BP311" s="8"/>
      <c r="BQ311" s="4"/>
      <c r="BR311" s="8"/>
      <c r="BS311" s="7"/>
      <c r="BT311" s="7"/>
      <c r="BU311" s="2" t="s">
        <v>1423</v>
      </c>
      <c r="BV311" s="2" t="s">
        <v>1424</v>
      </c>
      <c r="BW311" s="2" t="s">
        <v>235</v>
      </c>
      <c r="BX311" s="2" t="s">
        <v>244</v>
      </c>
      <c r="BY311" s="2" t="s">
        <v>245</v>
      </c>
      <c r="BZ311" s="2" t="s">
        <v>232</v>
      </c>
      <c r="CA311" s="2" t="s">
        <v>1425</v>
      </c>
      <c r="CB311" s="2" t="s">
        <v>1426</v>
      </c>
      <c r="CC311" s="2" t="s">
        <v>248</v>
      </c>
      <c r="CD311" s="2" t="s">
        <v>248</v>
      </c>
      <c r="CE311" s="2" t="s">
        <v>235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>
        <v>81</v>
      </c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>
        <v>3</v>
      </c>
      <c r="GE311" s="4"/>
      <c r="GF311" s="4"/>
      <c r="GG311" s="4"/>
      <c r="GH311" s="4"/>
      <c r="GI311" s="4"/>
      <c r="GJ311" s="4"/>
      <c r="GK311" s="4"/>
      <c r="GL311" s="4"/>
      <c r="GM311" s="4"/>
      <c r="GN311" s="4">
        <v>81</v>
      </c>
      <c r="GO311" s="4">
        <v>75</v>
      </c>
      <c r="GP311" s="4">
        <v>71</v>
      </c>
      <c r="GQ311" s="4">
        <v>63</v>
      </c>
      <c r="GR311" s="4">
        <v>57</v>
      </c>
      <c r="GS311" s="4">
        <v>53</v>
      </c>
      <c r="GT311" s="4">
        <v>51</v>
      </c>
      <c r="GU311" s="4">
        <v>49</v>
      </c>
      <c r="GV311" s="4">
        <v>45</v>
      </c>
      <c r="GW311" s="4">
        <v>42</v>
      </c>
      <c r="GX311" s="4">
        <v>38</v>
      </c>
      <c r="GY311" s="4">
        <v>35</v>
      </c>
      <c r="GZ311" s="4">
        <v>31</v>
      </c>
      <c r="HA311" s="4">
        <v>27</v>
      </c>
      <c r="HB311" s="4">
        <v>23</v>
      </c>
      <c r="HC311" s="4">
        <v>19</v>
      </c>
      <c r="HD311" s="19">
        <v>0.8</v>
      </c>
      <c r="HE311" s="20">
        <v>0</v>
      </c>
      <c r="HF311" s="20">
        <v>0</v>
      </c>
      <c r="HG311" s="20">
        <v>0</v>
      </c>
      <c r="HH311" s="20">
        <v>0</v>
      </c>
      <c r="HI311" s="20">
        <v>0</v>
      </c>
      <c r="HJ311" s="20">
        <v>0</v>
      </c>
      <c r="HK311" s="20">
        <v>0</v>
      </c>
      <c r="HL311" s="20">
        <v>0</v>
      </c>
      <c r="HM311" s="20">
        <v>0</v>
      </c>
      <c r="HN311" s="19">
        <v>13.5</v>
      </c>
      <c r="HO311" s="19">
        <v>12.5</v>
      </c>
      <c r="HP311" s="19">
        <v>14.2</v>
      </c>
      <c r="HQ311" s="19">
        <v>15.8</v>
      </c>
      <c r="HR311" s="19">
        <v>19</v>
      </c>
      <c r="HS311" s="19">
        <v>17.7</v>
      </c>
      <c r="HT311" s="19">
        <v>17</v>
      </c>
      <c r="HU311" s="19">
        <v>12.3</v>
      </c>
      <c r="HV311" s="19">
        <v>11.3</v>
      </c>
      <c r="HW311" s="19">
        <v>10.5</v>
      </c>
      <c r="HX311" s="19">
        <v>9.5</v>
      </c>
      <c r="HY311" s="19">
        <v>8.8</v>
      </c>
      <c r="HZ311" s="19">
        <v>7.8</v>
      </c>
      <c r="IA311" s="19">
        <v>6.8</v>
      </c>
      <c r="IB311" s="19">
        <v>5.8</v>
      </c>
      <c r="IC311" s="19">
        <v>4.8</v>
      </c>
    </row>
    <row r="312">
      <c r="A312" s="2" t="s">
        <v>1427</v>
      </c>
      <c r="B312" s="2" t="s">
        <v>871</v>
      </c>
      <c r="C312" s="2" t="s">
        <v>853</v>
      </c>
      <c r="D312" s="2" t="s">
        <v>906</v>
      </c>
      <c r="E312" s="2" t="s">
        <v>1301</v>
      </c>
      <c r="F312" s="2" t="s">
        <v>1419</v>
      </c>
      <c r="G312" s="2" t="s">
        <v>1428</v>
      </c>
      <c r="H312" s="2" t="s">
        <v>1429</v>
      </c>
      <c r="I312" s="2" t="s">
        <v>1430</v>
      </c>
      <c r="J312" s="2" t="s">
        <v>372</v>
      </c>
      <c r="K312" s="2" t="s">
        <v>1431</v>
      </c>
      <c r="L312" s="3">
        <v>34.7</v>
      </c>
      <c r="M312" s="3">
        <v>36.44</v>
      </c>
      <c r="N312" s="3">
        <v>69.99</v>
      </c>
      <c r="O312" s="2" t="s">
        <v>232</v>
      </c>
      <c r="P312" s="2" t="s">
        <v>233</v>
      </c>
      <c r="Q312" s="2" t="s">
        <v>234</v>
      </c>
      <c r="R312" s="2" t="s">
        <v>235</v>
      </c>
      <c r="S312" s="2" t="s">
        <v>1432</v>
      </c>
      <c r="T312" s="2" t="s">
        <v>501</v>
      </c>
      <c r="U312" s="2" t="s">
        <v>264</v>
      </c>
      <c r="V312" s="2" t="s">
        <v>420</v>
      </c>
      <c r="W312" s="2" t="s">
        <v>239</v>
      </c>
      <c r="X312" s="2" t="s">
        <v>682</v>
      </c>
      <c r="Y312" s="2" t="s">
        <v>240</v>
      </c>
      <c r="Z312" s="4">
        <v>97</v>
      </c>
      <c r="AA312" s="4">
        <f>=ROUNDDOWN(48.5,0)</f>
      </c>
      <c r="AB312" s="5"/>
      <c r="AC312" s="2" t="s">
        <v>235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235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235</v>
      </c>
      <c r="BD312" s="8" t="s">
        <v>235</v>
      </c>
      <c r="BE312" s="4" t="s">
        <v>235</v>
      </c>
      <c r="BF312" s="8" t="s">
        <v>235</v>
      </c>
      <c r="BG312" s="7" t="s">
        <v>235</v>
      </c>
      <c r="BH312" s="7" t="s">
        <v>235</v>
      </c>
      <c r="BI312" s="7"/>
      <c r="BJ312" s="4">
        <v>3</v>
      </c>
      <c r="BK312" s="8">
        <v>131.99</v>
      </c>
      <c r="BL312" s="2" t="s">
        <v>1433</v>
      </c>
      <c r="BM312" s="7"/>
      <c r="BN312" s="7"/>
      <c r="BO312" s="4"/>
      <c r="BP312" s="8"/>
      <c r="BQ312" s="4"/>
      <c r="BR312" s="8"/>
      <c r="BS312" s="7"/>
      <c r="BT312" s="7"/>
      <c r="BU312" s="2" t="s">
        <v>1434</v>
      </c>
      <c r="BV312" s="2" t="s">
        <v>243</v>
      </c>
      <c r="BW312" s="2" t="s">
        <v>235</v>
      </c>
      <c r="BX312" s="2" t="s">
        <v>244</v>
      </c>
      <c r="BY312" s="2" t="s">
        <v>245</v>
      </c>
      <c r="BZ312" s="2" t="s">
        <v>232</v>
      </c>
      <c r="CA312" s="2" t="s">
        <v>1435</v>
      </c>
      <c r="CB312" s="2" t="s">
        <v>1436</v>
      </c>
      <c r="CC312" s="2" t="s">
        <v>248</v>
      </c>
      <c r="CD312" s="2" t="s">
        <v>248</v>
      </c>
      <c r="CE312" s="2" t="s">
        <v>235</v>
      </c>
      <c r="CF312" s="4">
        <v>97</v>
      </c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>
        <v>97</v>
      </c>
      <c r="GE312" s="4">
        <v>96</v>
      </c>
      <c r="GF312" s="4">
        <v>95</v>
      </c>
      <c r="GG312" s="4">
        <v>93</v>
      </c>
      <c r="GH312" s="4">
        <v>91</v>
      </c>
      <c r="GI312" s="4">
        <v>90</v>
      </c>
      <c r="GJ312" s="4">
        <v>89</v>
      </c>
      <c r="GK312" s="4">
        <v>87</v>
      </c>
      <c r="GL312" s="4">
        <v>85</v>
      </c>
      <c r="GM312" s="4">
        <v>84</v>
      </c>
      <c r="GN312" s="4">
        <v>83</v>
      </c>
      <c r="GO312" s="4">
        <v>82</v>
      </c>
      <c r="GP312" s="4">
        <v>81</v>
      </c>
      <c r="GQ312" s="4">
        <v>78</v>
      </c>
      <c r="GR312" s="4">
        <v>77</v>
      </c>
      <c r="GS312" s="4">
        <v>76</v>
      </c>
      <c r="GT312" s="4">
        <v>74</v>
      </c>
      <c r="GU312" s="4">
        <v>73</v>
      </c>
      <c r="GV312" s="4">
        <v>72</v>
      </c>
      <c r="GW312" s="4">
        <v>76</v>
      </c>
      <c r="GX312" s="4">
        <v>75</v>
      </c>
      <c r="GY312" s="4">
        <v>74</v>
      </c>
      <c r="GZ312" s="4">
        <v>69</v>
      </c>
      <c r="HA312" s="4">
        <v>68</v>
      </c>
      <c r="HB312" s="4">
        <v>65</v>
      </c>
      <c r="HC312" s="4">
        <v>64</v>
      </c>
      <c r="HD312" s="19">
        <v>48.5</v>
      </c>
      <c r="HE312" s="19">
        <v>48</v>
      </c>
      <c r="HF312" s="19">
        <v>47.5</v>
      </c>
      <c r="HG312" s="19">
        <v>46.5</v>
      </c>
      <c r="HH312" s="19">
        <v>45.5</v>
      </c>
      <c r="HI312" s="19">
        <v>45</v>
      </c>
      <c r="HJ312" s="19">
        <v>44.5</v>
      </c>
      <c r="HK312" s="19">
        <v>87</v>
      </c>
      <c r="HL312" s="19">
        <v>85</v>
      </c>
      <c r="HM312" s="19">
        <v>42</v>
      </c>
      <c r="HN312" s="19">
        <v>41.5</v>
      </c>
      <c r="HO312" s="19">
        <v>41</v>
      </c>
      <c r="HP312" s="19">
        <v>40.5</v>
      </c>
      <c r="HQ312" s="19">
        <v>78</v>
      </c>
      <c r="HR312" s="19">
        <v>77</v>
      </c>
      <c r="HS312" s="19">
        <v>76</v>
      </c>
      <c r="HT312" s="19">
        <v>74</v>
      </c>
      <c r="HU312" s="19">
        <v>73</v>
      </c>
      <c r="HV312" s="19">
        <v>36</v>
      </c>
      <c r="HW312" s="19">
        <v>38</v>
      </c>
      <c r="HX312" s="19">
        <v>37.5</v>
      </c>
      <c r="HY312" s="19">
        <v>37</v>
      </c>
      <c r="HZ312" s="19">
        <v>34.5</v>
      </c>
      <c r="IA312" s="19">
        <v>34</v>
      </c>
      <c r="IB312" s="19">
        <v>65</v>
      </c>
      <c r="IC312" s="19">
        <v>64</v>
      </c>
    </row>
    <row r="313">
      <c r="A313" s="2" t="s">
        <v>1437</v>
      </c>
      <c r="B313" s="2" t="s">
        <v>1071</v>
      </c>
      <c r="C313" s="2" t="s">
        <v>324</v>
      </c>
      <c r="D313" s="2" t="s">
        <v>1417</v>
      </c>
      <c r="E313" s="2" t="s">
        <v>1418</v>
      </c>
      <c r="F313" s="2" t="s">
        <v>1419</v>
      </c>
      <c r="G313" s="2" t="s">
        <v>1419</v>
      </c>
      <c r="H313" s="2" t="s">
        <v>1419</v>
      </c>
      <c r="I313" s="2" t="s">
        <v>1420</v>
      </c>
      <c r="J313" s="2" t="s">
        <v>897</v>
      </c>
      <c r="K313" s="2" t="s">
        <v>1169</v>
      </c>
      <c r="L313" s="3">
        <v>210</v>
      </c>
      <c r="M313" s="3">
        <v>220.5</v>
      </c>
      <c r="N313" s="3">
        <v>449</v>
      </c>
      <c r="O313" s="2" t="s">
        <v>232</v>
      </c>
      <c r="P313" s="2" t="s">
        <v>408</v>
      </c>
      <c r="Q313" s="2" t="s">
        <v>234</v>
      </c>
      <c r="R313" s="2" t="s">
        <v>235</v>
      </c>
      <c r="S313" s="2" t="s">
        <v>235</v>
      </c>
      <c r="T313" s="2" t="s">
        <v>235</v>
      </c>
      <c r="U313" s="2" t="s">
        <v>807</v>
      </c>
      <c r="V313" s="2" t="s">
        <v>808</v>
      </c>
      <c r="W313" s="2" t="s">
        <v>1157</v>
      </c>
      <c r="X313" s="2" t="s">
        <v>239</v>
      </c>
      <c r="Y313" s="2" t="s">
        <v>1421</v>
      </c>
      <c r="Z313" s="4"/>
      <c r="AA313" s="4">
        <f>=ROUNDDOWN({0},0)</f>
      </c>
      <c r="AB313" s="5">
        <v>3.8</v>
      </c>
      <c r="AC313" s="2" t="s">
        <v>235</v>
      </c>
      <c r="AD313" s="4"/>
      <c r="AE313" s="4"/>
      <c r="AF313" s="6">
        <v>74</v>
      </c>
      <c r="AG313" s="6"/>
      <c r="AH313" s="7">
        <v>0.871</v>
      </c>
      <c r="AI313" s="4"/>
      <c r="AJ313" s="4">
        <f>=ROUNDDOWN({0},0)</f>
      </c>
      <c r="AK313" s="5"/>
      <c r="AL313" s="2" t="s">
        <v>235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235</v>
      </c>
      <c r="BD313" s="8" t="s">
        <v>235</v>
      </c>
      <c r="BE313" s="4" t="s">
        <v>235</v>
      </c>
      <c r="BF313" s="8" t="s">
        <v>235</v>
      </c>
      <c r="BG313" s="7" t="s">
        <v>235</v>
      </c>
      <c r="BH313" s="7" t="s">
        <v>235</v>
      </c>
      <c r="BI313" s="7"/>
      <c r="BJ313" s="4">
        <v>13</v>
      </c>
      <c r="BK313" s="8">
        <v>2804.72</v>
      </c>
      <c r="BL313" s="2" t="s">
        <v>1438</v>
      </c>
      <c r="BM313" s="7"/>
      <c r="BN313" s="7"/>
      <c r="BO313" s="4"/>
      <c r="BP313" s="8"/>
      <c r="BQ313" s="4"/>
      <c r="BR313" s="8"/>
      <c r="BS313" s="7"/>
      <c r="BT313" s="7"/>
      <c r="BU313" s="2" t="s">
        <v>1423</v>
      </c>
      <c r="BV313" s="2" t="s">
        <v>1424</v>
      </c>
      <c r="BW313" s="2" t="s">
        <v>235</v>
      </c>
      <c r="BX313" s="2" t="s">
        <v>244</v>
      </c>
      <c r="BY313" s="2" t="s">
        <v>245</v>
      </c>
      <c r="BZ313" s="2" t="s">
        <v>232</v>
      </c>
      <c r="CA313" s="2" t="s">
        <v>1425</v>
      </c>
      <c r="CB313" s="2" t="s">
        <v>235</v>
      </c>
      <c r="CC313" s="2" t="s">
        <v>248</v>
      </c>
      <c r="CD313" s="2" t="s">
        <v>248</v>
      </c>
      <c r="CE313" s="2" t="s">
        <v>235</v>
      </c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>
        <v>4</v>
      </c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19">
        <v>1</v>
      </c>
      <c r="HE313" s="20">
        <v>0</v>
      </c>
      <c r="HF313" s="20">
        <v>0</v>
      </c>
      <c r="HG313" s="20">
        <v>0</v>
      </c>
      <c r="HH313" s="20">
        <v>0</v>
      </c>
      <c r="HI313" s="20">
        <v>0</v>
      </c>
      <c r="HJ313" s="20">
        <v>0</v>
      </c>
      <c r="HK313" s="20">
        <v>0</v>
      </c>
      <c r="HL313" s="20">
        <v>0</v>
      </c>
      <c r="HM313" s="20">
        <v>0</v>
      </c>
      <c r="HN313" s="20">
        <v>0</v>
      </c>
      <c r="HO313" s="20">
        <v>0</v>
      </c>
      <c r="HP313" s="20">
        <v>0</v>
      </c>
      <c r="HQ313" s="20">
        <v>0</v>
      </c>
      <c r="HR313" s="20">
        <v>0</v>
      </c>
      <c r="HS313" s="20">
        <v>0</v>
      </c>
      <c r="HT313" s="20">
        <v>0</v>
      </c>
      <c r="HU313" s="20">
        <v>0</v>
      </c>
      <c r="HV313" s="20">
        <v>0</v>
      </c>
      <c r="HW313" s="20">
        <v>0</v>
      </c>
      <c r="HX313" s="20">
        <v>0</v>
      </c>
      <c r="HY313" s="20">
        <v>0</v>
      </c>
      <c r="HZ313" s="20">
        <v>0</v>
      </c>
      <c r="IA313" s="20">
        <v>0</v>
      </c>
      <c r="IB313" s="20">
        <v>0</v>
      </c>
      <c r="IC313" s="20">
        <v>0</v>
      </c>
    </row>
    <row r="314">
      <c r="A314" s="2" t="s">
        <v>1439</v>
      </c>
      <c r="B314" s="2" t="s">
        <v>1071</v>
      </c>
      <c r="C314" s="2" t="s">
        <v>324</v>
      </c>
      <c r="D314" s="2" t="s">
        <v>1417</v>
      </c>
      <c r="E314" s="2" t="s">
        <v>1440</v>
      </c>
      <c r="F314" s="2" t="s">
        <v>1441</v>
      </c>
      <c r="G314" s="2" t="s">
        <v>1442</v>
      </c>
      <c r="H314" s="2" t="s">
        <v>1443</v>
      </c>
      <c r="I314" s="2" t="s">
        <v>1444</v>
      </c>
      <c r="J314" s="2" t="s">
        <v>806</v>
      </c>
      <c r="K314" s="2" t="s">
        <v>295</v>
      </c>
      <c r="L314" s="3">
        <v>270.75</v>
      </c>
      <c r="M314" s="3">
        <v>284.29</v>
      </c>
      <c r="N314" s="3">
        <v>569</v>
      </c>
      <c r="O314" s="2" t="s">
        <v>407</v>
      </c>
      <c r="P314" s="2" t="s">
        <v>408</v>
      </c>
      <c r="Q314" s="2" t="s">
        <v>234</v>
      </c>
      <c r="R314" s="2" t="s">
        <v>235</v>
      </c>
      <c r="S314" s="2" t="s">
        <v>235</v>
      </c>
      <c r="T314" s="2" t="s">
        <v>235</v>
      </c>
      <c r="U314" s="2" t="s">
        <v>807</v>
      </c>
      <c r="V314" s="2" t="s">
        <v>238</v>
      </c>
      <c r="W314" s="2" t="s">
        <v>1157</v>
      </c>
      <c r="X314" s="2" t="s">
        <v>235</v>
      </c>
      <c r="Y314" s="2" t="s">
        <v>1445</v>
      </c>
      <c r="Z314" s="4">
        <v>3</v>
      </c>
      <c r="AA314" s="4">
        <f>=ROUNDDOWN(1,0)</f>
      </c>
      <c r="AB314" s="5">
        <v>3</v>
      </c>
      <c r="AC314" s="2" t="s">
        <v>235</v>
      </c>
      <c r="AD314" s="4"/>
      <c r="AE314" s="4"/>
      <c r="AF314" s="6">
        <v>69</v>
      </c>
      <c r="AG314" s="6">
        <v>52</v>
      </c>
      <c r="AH314" s="7">
        <v>1</v>
      </c>
      <c r="AI314" s="4"/>
      <c r="AJ314" s="4">
        <f>=ROUNDDOWN({0},0)</f>
      </c>
      <c r="AK314" s="5"/>
      <c r="AL314" s="2" t="s">
        <v>235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>
        <v>7</v>
      </c>
      <c r="BK314" s="8">
        <v>1923.06</v>
      </c>
      <c r="BL314" s="2" t="s">
        <v>1446</v>
      </c>
      <c r="BM314" s="7"/>
      <c r="BN314" s="7"/>
      <c r="BO314" s="4"/>
      <c r="BP314" s="8"/>
      <c r="BQ314" s="4"/>
      <c r="BR314" s="8"/>
      <c r="BS314" s="7"/>
      <c r="BT314" s="7"/>
      <c r="BU314" s="2" t="s">
        <v>1447</v>
      </c>
      <c r="BV314" s="2" t="s">
        <v>1448</v>
      </c>
      <c r="BW314" s="2" t="s">
        <v>235</v>
      </c>
      <c r="BX314" s="2" t="s">
        <v>414</v>
      </c>
      <c r="BY314" s="2" t="s">
        <v>245</v>
      </c>
      <c r="BZ314" s="2" t="s">
        <v>232</v>
      </c>
      <c r="CA314" s="2" t="s">
        <v>1449</v>
      </c>
      <c r="CB314" s="2" t="s">
        <v>1450</v>
      </c>
      <c r="CC314" s="2" t="s">
        <v>248</v>
      </c>
      <c r="CD314" s="2" t="s">
        <v>248</v>
      </c>
      <c r="CE314" s="2" t="s">
        <v>235</v>
      </c>
      <c r="CF314" s="4"/>
      <c r="CG314" s="4">
        <v>3</v>
      </c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>
        <v>3</v>
      </c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19">
        <v>0.5</v>
      </c>
      <c r="HE314" s="20">
        <v>0</v>
      </c>
      <c r="HF314" s="20">
        <v>0</v>
      </c>
      <c r="HG314" s="20">
        <v>0</v>
      </c>
      <c r="HH314" s="20">
        <v>0</v>
      </c>
      <c r="HI314" s="20">
        <v>0</v>
      </c>
      <c r="HJ314" s="20">
        <v>0</v>
      </c>
      <c r="HK314" s="20">
        <v>0</v>
      </c>
      <c r="HL314" s="20">
        <v>0</v>
      </c>
      <c r="HM314" s="20">
        <v>0</v>
      </c>
      <c r="HN314" s="20">
        <v>0</v>
      </c>
      <c r="HO314" s="20">
        <v>0</v>
      </c>
      <c r="HP314" s="20">
        <v>0</v>
      </c>
      <c r="HQ314" s="20">
        <v>0</v>
      </c>
      <c r="HR314" s="20">
        <v>0</v>
      </c>
      <c r="HS314" s="20">
        <v>0</v>
      </c>
      <c r="HT314" s="20">
        <v>0</v>
      </c>
      <c r="HU314" s="20">
        <v>0</v>
      </c>
      <c r="HV314" s="20">
        <v>0</v>
      </c>
      <c r="HW314" s="20">
        <v>0</v>
      </c>
      <c r="HX314" s="20">
        <v>0</v>
      </c>
      <c r="HY314" s="20">
        <v>0</v>
      </c>
      <c r="HZ314" s="20">
        <v>0</v>
      </c>
      <c r="IA314" s="20">
        <v>0</v>
      </c>
      <c r="IB314" s="20">
        <v>0</v>
      </c>
      <c r="IC314" s="20">
        <v>0</v>
      </c>
    </row>
    <row r="315">
      <c r="A315" s="2" t="s">
        <v>1451</v>
      </c>
      <c r="B315" s="2" t="s">
        <v>871</v>
      </c>
      <c r="C315" s="2" t="s">
        <v>324</v>
      </c>
      <c r="D315" s="2" t="s">
        <v>1452</v>
      </c>
      <c r="E315" s="2" t="s">
        <v>1453</v>
      </c>
      <c r="F315" s="2" t="s">
        <v>1454</v>
      </c>
      <c r="G315" s="2" t="s">
        <v>1455</v>
      </c>
      <c r="H315" s="2" t="s">
        <v>1456</v>
      </c>
      <c r="I315" s="2" t="s">
        <v>1457</v>
      </c>
      <c r="J315" s="2" t="s">
        <v>365</v>
      </c>
      <c r="K315" s="2" t="s">
        <v>600</v>
      </c>
      <c r="L315" s="3">
        <v>70.7</v>
      </c>
      <c r="M315" s="3">
        <v>74.24</v>
      </c>
      <c r="N315" s="3">
        <v>144.99</v>
      </c>
      <c r="O315" s="2" t="s">
        <v>232</v>
      </c>
      <c r="P315" s="2" t="s">
        <v>878</v>
      </c>
      <c r="Q315" s="2" t="s">
        <v>234</v>
      </c>
      <c r="R315" s="2" t="s">
        <v>235</v>
      </c>
      <c r="S315" s="2" t="s">
        <v>235</v>
      </c>
      <c r="T315" s="2" t="s">
        <v>501</v>
      </c>
      <c r="U315" s="2" t="s">
        <v>742</v>
      </c>
      <c r="V315" s="2" t="s">
        <v>1458</v>
      </c>
      <c r="W315" s="2" t="s">
        <v>1029</v>
      </c>
      <c r="X315" s="2" t="s">
        <v>671</v>
      </c>
      <c r="Y315" s="2" t="s">
        <v>1459</v>
      </c>
      <c r="Z315" s="4">
        <v>262</v>
      </c>
      <c r="AA315" s="4">
        <f>=ROUNDDOWN({0},0)</f>
      </c>
      <c r="AB315" s="5"/>
      <c r="AC315" s="2" t="s">
        <v>235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235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235</v>
      </c>
      <c r="AW315" s="8" t="s">
        <v>235</v>
      </c>
      <c r="AX315" s="4" t="s">
        <v>235</v>
      </c>
      <c r="AY315" s="8" t="s">
        <v>235</v>
      </c>
      <c r="AZ315" s="7" t="s">
        <v>235</v>
      </c>
      <c r="BA315" s="7" t="s">
        <v>235</v>
      </c>
      <c r="BB315" s="7"/>
      <c r="BC315" s="4" t="s">
        <v>235</v>
      </c>
      <c r="BD315" s="8" t="s">
        <v>235</v>
      </c>
      <c r="BE315" s="4" t="s">
        <v>235</v>
      </c>
      <c r="BF315" s="8" t="s">
        <v>235</v>
      </c>
      <c r="BG315" s="7" t="s">
        <v>235</v>
      </c>
      <c r="BH315" s="7" t="s">
        <v>235</v>
      </c>
      <c r="BI315" s="7"/>
      <c r="BJ315" s="4"/>
      <c r="BK315" s="8"/>
      <c r="BL315" s="2" t="s">
        <v>235</v>
      </c>
      <c r="BM315" s="7"/>
      <c r="BN315" s="7"/>
      <c r="BO315" s="4"/>
      <c r="BP315" s="8"/>
      <c r="BQ315" s="4"/>
      <c r="BR315" s="8"/>
      <c r="BS315" s="7"/>
      <c r="BT315" s="7"/>
      <c r="BU315" s="2" t="s">
        <v>330</v>
      </c>
      <c r="BV315" s="2" t="s">
        <v>235</v>
      </c>
      <c r="BW315" s="2" t="s">
        <v>235</v>
      </c>
      <c r="BX315" s="2" t="s">
        <v>330</v>
      </c>
      <c r="BY315" s="2" t="s">
        <v>331</v>
      </c>
      <c r="BZ315" s="2" t="s">
        <v>232</v>
      </c>
      <c r="CA315" s="2" t="s">
        <v>235</v>
      </c>
      <c r="CB315" s="2" t="s">
        <v>235</v>
      </c>
      <c r="CC315" s="2" t="s">
        <v>248</v>
      </c>
      <c r="CD315" s="2" t="s">
        <v>248</v>
      </c>
      <c r="CE315" s="2" t="s">
        <v>235</v>
      </c>
      <c r="CF315" s="4">
        <v>262</v>
      </c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>
        <v>262</v>
      </c>
      <c r="GE315" s="4">
        <v>261</v>
      </c>
      <c r="GF315" s="4">
        <v>260</v>
      </c>
      <c r="GG315" s="4">
        <v>258</v>
      </c>
      <c r="GH315" s="4">
        <v>256</v>
      </c>
      <c r="GI315" s="4">
        <v>253</v>
      </c>
      <c r="GJ315" s="4">
        <v>245</v>
      </c>
      <c r="GK315" s="4">
        <v>240</v>
      </c>
      <c r="GL315" s="4">
        <v>239</v>
      </c>
      <c r="GM315" s="4">
        <v>236</v>
      </c>
      <c r="GN315" s="4">
        <v>223</v>
      </c>
      <c r="GO315" s="4">
        <v>201</v>
      </c>
      <c r="GP315" s="4">
        <v>180</v>
      </c>
      <c r="GQ315" s="4">
        <v>128</v>
      </c>
      <c r="GR315" s="4">
        <v>92</v>
      </c>
      <c r="GS315" s="4">
        <v>79</v>
      </c>
      <c r="GT315" s="4">
        <v>66</v>
      </c>
      <c r="GU315" s="4">
        <v>57</v>
      </c>
      <c r="GV315" s="4">
        <v>50</v>
      </c>
      <c r="GW315" s="4">
        <v>580</v>
      </c>
      <c r="GX315" s="4">
        <v>567</v>
      </c>
      <c r="GY315" s="4">
        <v>560</v>
      </c>
      <c r="GZ315" s="4">
        <v>552</v>
      </c>
      <c r="HA315" s="4">
        <v>540</v>
      </c>
      <c r="HB315" s="4">
        <v>529</v>
      </c>
      <c r="HC315" s="4">
        <v>521</v>
      </c>
      <c r="HD315" s="19">
        <v>131</v>
      </c>
      <c r="HE315" s="19">
        <v>130.5</v>
      </c>
      <c r="HF315" s="19">
        <v>65</v>
      </c>
      <c r="HG315" s="19">
        <v>64.5</v>
      </c>
      <c r="HH315" s="19">
        <v>64</v>
      </c>
      <c r="HI315" s="19">
        <v>63.3</v>
      </c>
      <c r="HJ315" s="19">
        <v>40.8</v>
      </c>
      <c r="HK315" s="19">
        <v>24</v>
      </c>
      <c r="HL315" s="19">
        <v>15.9</v>
      </c>
      <c r="HM315" s="19">
        <v>8.7</v>
      </c>
      <c r="HN315" s="19">
        <v>6.8</v>
      </c>
      <c r="HO315" s="19">
        <v>6.7</v>
      </c>
      <c r="HP315" s="19">
        <v>6.4</v>
      </c>
      <c r="HQ315" s="19">
        <v>7.1</v>
      </c>
      <c r="HR315" s="19">
        <v>9.2</v>
      </c>
      <c r="HS315" s="19">
        <v>7.9</v>
      </c>
      <c r="HT315" s="19">
        <v>6.6</v>
      </c>
      <c r="HU315" s="19">
        <v>5.7</v>
      </c>
      <c r="HV315" s="19">
        <v>5</v>
      </c>
      <c r="HW315" s="19">
        <v>58</v>
      </c>
      <c r="HX315" s="19">
        <v>56.7</v>
      </c>
      <c r="HY315" s="19">
        <v>56</v>
      </c>
      <c r="HZ315" s="19">
        <v>61.3</v>
      </c>
      <c r="IA315" s="19">
        <v>67.5</v>
      </c>
      <c r="IB315" s="19">
        <v>88.2</v>
      </c>
      <c r="IC315" s="19">
        <v>86.8</v>
      </c>
    </row>
    <row r="316">
      <c r="A316" s="2" t="s">
        <v>1460</v>
      </c>
      <c r="B316" s="2" t="s">
        <v>871</v>
      </c>
      <c r="C316" s="2" t="s">
        <v>324</v>
      </c>
      <c r="D316" s="2" t="s">
        <v>1452</v>
      </c>
      <c r="E316" s="2" t="s">
        <v>1453</v>
      </c>
      <c r="F316" s="2" t="s">
        <v>1454</v>
      </c>
      <c r="G316" s="2" t="s">
        <v>1455</v>
      </c>
      <c r="H316" s="2" t="s">
        <v>1456</v>
      </c>
      <c r="I316" s="2" t="s">
        <v>1457</v>
      </c>
      <c r="J316" s="2" t="s">
        <v>372</v>
      </c>
      <c r="K316" s="2" t="s">
        <v>600</v>
      </c>
      <c r="L316" s="3">
        <v>82.83</v>
      </c>
      <c r="M316" s="3">
        <v>86.97</v>
      </c>
      <c r="N316" s="3">
        <v>169.99</v>
      </c>
      <c r="O316" s="2" t="s">
        <v>232</v>
      </c>
      <c r="P316" s="2" t="s">
        <v>878</v>
      </c>
      <c r="Q316" s="2" t="s">
        <v>234</v>
      </c>
      <c r="R316" s="2" t="s">
        <v>235</v>
      </c>
      <c r="S316" s="2" t="s">
        <v>235</v>
      </c>
      <c r="T316" s="2" t="s">
        <v>501</v>
      </c>
      <c r="U316" s="2" t="s">
        <v>742</v>
      </c>
      <c r="V316" s="2" t="s">
        <v>1458</v>
      </c>
      <c r="W316" s="2" t="s">
        <v>1029</v>
      </c>
      <c r="X316" s="2" t="s">
        <v>671</v>
      </c>
      <c r="Y316" s="2" t="s">
        <v>1459</v>
      </c>
      <c r="Z316" s="4">
        <v>337</v>
      </c>
      <c r="AA316" s="4">
        <f>=ROUNDDOWN(561.666666666667,0)</f>
      </c>
      <c r="AB316" s="5">
        <v>0.6</v>
      </c>
      <c r="AC316" s="2" t="s">
        <v>235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235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235</v>
      </c>
      <c r="AW316" s="8" t="s">
        <v>235</v>
      </c>
      <c r="AX316" s="4" t="s">
        <v>235</v>
      </c>
      <c r="AY316" s="8" t="s">
        <v>235</v>
      </c>
      <c r="AZ316" s="7" t="s">
        <v>235</v>
      </c>
      <c r="BA316" s="7" t="s">
        <v>235</v>
      </c>
      <c r="BB316" s="7"/>
      <c r="BC316" s="4" t="s">
        <v>235</v>
      </c>
      <c r="BD316" s="8" t="s">
        <v>235</v>
      </c>
      <c r="BE316" s="4" t="s">
        <v>235</v>
      </c>
      <c r="BF316" s="8" t="s">
        <v>235</v>
      </c>
      <c r="BG316" s="7" t="s">
        <v>235</v>
      </c>
      <c r="BH316" s="7" t="s">
        <v>235</v>
      </c>
      <c r="BI316" s="7"/>
      <c r="BJ316" s="4">
        <v>1</v>
      </c>
      <c r="BK316" s="8">
        <v>93.93</v>
      </c>
      <c r="BL316" s="2" t="s">
        <v>1461</v>
      </c>
      <c r="BM316" s="7"/>
      <c r="BN316" s="7"/>
      <c r="BO316" s="4"/>
      <c r="BP316" s="8"/>
      <c r="BQ316" s="4"/>
      <c r="BR316" s="8"/>
      <c r="BS316" s="7"/>
      <c r="BT316" s="7"/>
      <c r="BU316" s="2" t="s">
        <v>330</v>
      </c>
      <c r="BV316" s="2" t="s">
        <v>235</v>
      </c>
      <c r="BW316" s="2" t="s">
        <v>235</v>
      </c>
      <c r="BX316" s="2" t="s">
        <v>330</v>
      </c>
      <c r="BY316" s="2" t="s">
        <v>331</v>
      </c>
      <c r="BZ316" s="2" t="s">
        <v>232</v>
      </c>
      <c r="CA316" s="2" t="s">
        <v>235</v>
      </c>
      <c r="CB316" s="2" t="s">
        <v>235</v>
      </c>
      <c r="CC316" s="2" t="s">
        <v>248</v>
      </c>
      <c r="CD316" s="2" t="s">
        <v>248</v>
      </c>
      <c r="CE316" s="2" t="s">
        <v>235</v>
      </c>
      <c r="CF316" s="4">
        <v>337</v>
      </c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>
        <v>337</v>
      </c>
      <c r="GE316" s="4">
        <v>336</v>
      </c>
      <c r="GF316" s="4">
        <v>335</v>
      </c>
      <c r="GG316" s="4">
        <v>334</v>
      </c>
      <c r="GH316" s="4">
        <v>333</v>
      </c>
      <c r="GI316" s="4">
        <v>332</v>
      </c>
      <c r="GJ316" s="4">
        <v>330</v>
      </c>
      <c r="GK316" s="4">
        <v>327</v>
      </c>
      <c r="GL316" s="4">
        <v>325</v>
      </c>
      <c r="GM316" s="4">
        <v>324</v>
      </c>
      <c r="GN316" s="4">
        <v>318</v>
      </c>
      <c r="GO316" s="4">
        <v>309</v>
      </c>
      <c r="GP316" s="4">
        <v>301</v>
      </c>
      <c r="GQ316" s="4">
        <v>278</v>
      </c>
      <c r="GR316" s="4">
        <v>256</v>
      </c>
      <c r="GS316" s="4">
        <v>242</v>
      </c>
      <c r="GT316" s="4">
        <v>225</v>
      </c>
      <c r="GU316" s="4">
        <v>217</v>
      </c>
      <c r="GV316" s="4">
        <v>210</v>
      </c>
      <c r="GW316" s="4">
        <v>261</v>
      </c>
      <c r="GX316" s="4">
        <v>251</v>
      </c>
      <c r="GY316" s="4">
        <v>246</v>
      </c>
      <c r="GZ316" s="4">
        <v>244</v>
      </c>
      <c r="HA316" s="4">
        <v>240</v>
      </c>
      <c r="HB316" s="4">
        <v>238</v>
      </c>
      <c r="HC316" s="4">
        <v>233</v>
      </c>
      <c r="HD316" s="19">
        <v>337</v>
      </c>
      <c r="HE316" s="19">
        <v>336</v>
      </c>
      <c r="HF316" s="19">
        <v>335</v>
      </c>
      <c r="HG316" s="19">
        <v>167</v>
      </c>
      <c r="HH316" s="19">
        <v>166.5</v>
      </c>
      <c r="HI316" s="19">
        <v>166</v>
      </c>
      <c r="HJ316" s="19">
        <v>110</v>
      </c>
      <c r="HK316" s="19">
        <v>81.8</v>
      </c>
      <c r="HL316" s="19">
        <v>54.2</v>
      </c>
      <c r="HM316" s="19">
        <v>27</v>
      </c>
      <c r="HN316" s="19">
        <v>19.9</v>
      </c>
      <c r="HO316" s="19">
        <v>18.2</v>
      </c>
      <c r="HP316" s="19">
        <v>15.8</v>
      </c>
      <c r="HQ316" s="19">
        <v>18.5</v>
      </c>
      <c r="HR316" s="19">
        <v>21.3</v>
      </c>
      <c r="HS316" s="19">
        <v>22</v>
      </c>
      <c r="HT316" s="19">
        <v>25</v>
      </c>
      <c r="HU316" s="19">
        <v>27.1</v>
      </c>
      <c r="HV316" s="19">
        <v>30</v>
      </c>
      <c r="HW316" s="19">
        <v>52.2</v>
      </c>
      <c r="HX316" s="19">
        <v>83.7</v>
      </c>
      <c r="HY316" s="19">
        <v>82</v>
      </c>
      <c r="HZ316" s="19">
        <v>61</v>
      </c>
      <c r="IA316" s="19">
        <v>80</v>
      </c>
      <c r="IB316" s="19">
        <v>59.5</v>
      </c>
      <c r="IC316" s="19">
        <v>77.7</v>
      </c>
    </row>
    <row r="317">
      <c r="A317" s="2" t="s">
        <v>1462</v>
      </c>
      <c r="B317" s="2" t="s">
        <v>871</v>
      </c>
      <c r="C317" s="2" t="s">
        <v>324</v>
      </c>
      <c r="D317" s="2" t="s">
        <v>1452</v>
      </c>
      <c r="E317" s="2" t="s">
        <v>1453</v>
      </c>
      <c r="F317" s="2" t="s">
        <v>1454</v>
      </c>
      <c r="G317" s="2" t="s">
        <v>1455</v>
      </c>
      <c r="H317" s="2" t="s">
        <v>1456</v>
      </c>
      <c r="I317" s="2" t="s">
        <v>1457</v>
      </c>
      <c r="J317" s="2" t="s">
        <v>365</v>
      </c>
      <c r="K317" s="2" t="s">
        <v>1463</v>
      </c>
      <c r="L317" s="3">
        <v>70.7</v>
      </c>
      <c r="M317" s="3">
        <v>74.24</v>
      </c>
      <c r="N317" s="3">
        <v>144.99</v>
      </c>
      <c r="O317" s="2" t="s">
        <v>232</v>
      </c>
      <c r="P317" s="2" t="s">
        <v>878</v>
      </c>
      <c r="Q317" s="2" t="s">
        <v>234</v>
      </c>
      <c r="R317" s="2" t="s">
        <v>235</v>
      </c>
      <c r="S317" s="2" t="s">
        <v>235</v>
      </c>
      <c r="T317" s="2" t="s">
        <v>501</v>
      </c>
      <c r="U317" s="2" t="s">
        <v>742</v>
      </c>
      <c r="V317" s="2" t="s">
        <v>1458</v>
      </c>
      <c r="W317" s="2" t="s">
        <v>1029</v>
      </c>
      <c r="X317" s="2" t="s">
        <v>671</v>
      </c>
      <c r="Y317" s="2" t="s">
        <v>1459</v>
      </c>
      <c r="Z317" s="4">
        <v>261</v>
      </c>
      <c r="AA317" s="4">
        <f>=ROUNDDOWN(372.857142857143,0)</f>
      </c>
      <c r="AB317" s="5">
        <v>0.7</v>
      </c>
      <c r="AC317" s="2" t="s">
        <v>235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235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235</v>
      </c>
      <c r="AW317" s="8" t="s">
        <v>235</v>
      </c>
      <c r="AX317" s="4" t="s">
        <v>235</v>
      </c>
      <c r="AY317" s="8" t="s">
        <v>235</v>
      </c>
      <c r="AZ317" s="7" t="s">
        <v>235</v>
      </c>
      <c r="BA317" s="7" t="s">
        <v>235</v>
      </c>
      <c r="BB317" s="7"/>
      <c r="BC317" s="4" t="s">
        <v>235</v>
      </c>
      <c r="BD317" s="8" t="s">
        <v>235</v>
      </c>
      <c r="BE317" s="4" t="s">
        <v>235</v>
      </c>
      <c r="BF317" s="8" t="s">
        <v>235</v>
      </c>
      <c r="BG317" s="7" t="s">
        <v>235</v>
      </c>
      <c r="BH317" s="7" t="s">
        <v>235</v>
      </c>
      <c r="BI317" s="7"/>
      <c r="BJ317" s="4">
        <v>1</v>
      </c>
      <c r="BK317" s="8">
        <v>80.17</v>
      </c>
      <c r="BL317" s="2" t="s">
        <v>1461</v>
      </c>
      <c r="BM317" s="7"/>
      <c r="BN317" s="7"/>
      <c r="BO317" s="4"/>
      <c r="BP317" s="8"/>
      <c r="BQ317" s="4"/>
      <c r="BR317" s="8"/>
      <c r="BS317" s="7"/>
      <c r="BT317" s="7"/>
      <c r="BU317" s="2" t="s">
        <v>330</v>
      </c>
      <c r="BV317" s="2" t="s">
        <v>235</v>
      </c>
      <c r="BW317" s="2" t="s">
        <v>235</v>
      </c>
      <c r="BX317" s="2" t="s">
        <v>330</v>
      </c>
      <c r="BY317" s="2" t="s">
        <v>331</v>
      </c>
      <c r="BZ317" s="2" t="s">
        <v>232</v>
      </c>
      <c r="CA317" s="2" t="s">
        <v>235</v>
      </c>
      <c r="CB317" s="2" t="s">
        <v>235</v>
      </c>
      <c r="CC317" s="2" t="s">
        <v>248</v>
      </c>
      <c r="CD317" s="2" t="s">
        <v>248</v>
      </c>
      <c r="CE317" s="2" t="s">
        <v>235</v>
      </c>
      <c r="CF317" s="4">
        <v>261</v>
      </c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>
        <v>261</v>
      </c>
      <c r="GE317" s="4">
        <v>260</v>
      </c>
      <c r="GF317" s="4">
        <v>259</v>
      </c>
      <c r="GG317" s="4">
        <v>258</v>
      </c>
      <c r="GH317" s="4">
        <v>257</v>
      </c>
      <c r="GI317" s="4">
        <v>256</v>
      </c>
      <c r="GJ317" s="4">
        <v>252</v>
      </c>
      <c r="GK317" s="4">
        <v>250</v>
      </c>
      <c r="GL317" s="4">
        <v>249</v>
      </c>
      <c r="GM317" s="4">
        <v>247</v>
      </c>
      <c r="GN317" s="4">
        <v>240</v>
      </c>
      <c r="GO317" s="4">
        <v>229</v>
      </c>
      <c r="GP317" s="4">
        <v>218</v>
      </c>
      <c r="GQ317" s="4">
        <v>192</v>
      </c>
      <c r="GR317" s="4">
        <v>174</v>
      </c>
      <c r="GS317" s="4">
        <v>167</v>
      </c>
      <c r="GT317" s="4">
        <v>160</v>
      </c>
      <c r="GU317" s="4">
        <v>155</v>
      </c>
      <c r="GV317" s="4">
        <v>151</v>
      </c>
      <c r="GW317" s="4">
        <v>144</v>
      </c>
      <c r="GX317" s="4">
        <v>137</v>
      </c>
      <c r="GY317" s="4">
        <v>133</v>
      </c>
      <c r="GZ317" s="4">
        <v>129</v>
      </c>
      <c r="HA317" s="4">
        <v>123</v>
      </c>
      <c r="HB317" s="4">
        <v>117</v>
      </c>
      <c r="HC317" s="4">
        <v>113</v>
      </c>
      <c r="HD317" s="19">
        <v>261</v>
      </c>
      <c r="HE317" s="19">
        <v>260</v>
      </c>
      <c r="HF317" s="19">
        <v>129.5</v>
      </c>
      <c r="HG317" s="19">
        <v>129</v>
      </c>
      <c r="HH317" s="19">
        <v>128.5</v>
      </c>
      <c r="HI317" s="19">
        <v>128</v>
      </c>
      <c r="HJ317" s="19">
        <v>84</v>
      </c>
      <c r="HK317" s="19">
        <v>50</v>
      </c>
      <c r="HL317" s="19">
        <v>31.1</v>
      </c>
      <c r="HM317" s="19">
        <v>17.6</v>
      </c>
      <c r="HN317" s="19">
        <v>15</v>
      </c>
      <c r="HO317" s="19">
        <v>14.3</v>
      </c>
      <c r="HP317" s="19">
        <v>15.6</v>
      </c>
      <c r="HQ317" s="19">
        <v>21.3</v>
      </c>
      <c r="HR317" s="19">
        <v>29</v>
      </c>
      <c r="HS317" s="19">
        <v>27.8</v>
      </c>
      <c r="HT317" s="19">
        <v>26.7</v>
      </c>
      <c r="HU317" s="19">
        <v>25.8</v>
      </c>
      <c r="HV317" s="19">
        <v>25.2</v>
      </c>
      <c r="HW317" s="19">
        <v>28.8</v>
      </c>
      <c r="HX317" s="19">
        <v>27.4</v>
      </c>
      <c r="HY317" s="19">
        <v>26.6</v>
      </c>
      <c r="HZ317" s="19">
        <v>32.3</v>
      </c>
      <c r="IA317" s="19">
        <v>30.8</v>
      </c>
      <c r="IB317" s="19">
        <v>39</v>
      </c>
      <c r="IC317" s="19">
        <v>37.7</v>
      </c>
    </row>
    <row r="318">
      <c r="A318" s="2" t="s">
        <v>1464</v>
      </c>
      <c r="B318" s="2" t="s">
        <v>871</v>
      </c>
      <c r="C318" s="2" t="s">
        <v>324</v>
      </c>
      <c r="D318" s="2" t="s">
        <v>1452</v>
      </c>
      <c r="E318" s="2" t="s">
        <v>1453</v>
      </c>
      <c r="F318" s="2" t="s">
        <v>1454</v>
      </c>
      <c r="G318" s="2" t="s">
        <v>1455</v>
      </c>
      <c r="H318" s="2" t="s">
        <v>1456</v>
      </c>
      <c r="I318" s="2" t="s">
        <v>1457</v>
      </c>
      <c r="J318" s="2" t="s">
        <v>372</v>
      </c>
      <c r="K318" s="2" t="s">
        <v>1463</v>
      </c>
      <c r="L318" s="3">
        <v>82.83</v>
      </c>
      <c r="M318" s="3">
        <v>86.97</v>
      </c>
      <c r="N318" s="3">
        <v>169.99</v>
      </c>
      <c r="O318" s="2" t="s">
        <v>232</v>
      </c>
      <c r="P318" s="2" t="s">
        <v>878</v>
      </c>
      <c r="Q318" s="2" t="s">
        <v>234</v>
      </c>
      <c r="R318" s="2" t="s">
        <v>235</v>
      </c>
      <c r="S318" s="2" t="s">
        <v>235</v>
      </c>
      <c r="T318" s="2" t="s">
        <v>501</v>
      </c>
      <c r="U318" s="2" t="s">
        <v>742</v>
      </c>
      <c r="V318" s="2" t="s">
        <v>1458</v>
      </c>
      <c r="W318" s="2" t="s">
        <v>1029</v>
      </c>
      <c r="X318" s="2" t="s">
        <v>671</v>
      </c>
      <c r="Y318" s="2" t="s">
        <v>1459</v>
      </c>
      <c r="Z318" s="4">
        <v>338</v>
      </c>
      <c r="AA318" s="4">
        <f>=ROUNDDOWN({0},0)</f>
      </c>
      <c r="AB318" s="5"/>
      <c r="AC318" s="2" t="s">
        <v>235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235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235</v>
      </c>
      <c r="AW318" s="8" t="s">
        <v>235</v>
      </c>
      <c r="AX318" s="4" t="s">
        <v>235</v>
      </c>
      <c r="AY318" s="8" t="s">
        <v>235</v>
      </c>
      <c r="AZ318" s="7" t="s">
        <v>235</v>
      </c>
      <c r="BA318" s="7" t="s">
        <v>235</v>
      </c>
      <c r="BB318" s="7"/>
      <c r="BC318" s="4" t="s">
        <v>235</v>
      </c>
      <c r="BD318" s="8" t="s">
        <v>235</v>
      </c>
      <c r="BE318" s="4" t="s">
        <v>235</v>
      </c>
      <c r="BF318" s="8" t="s">
        <v>235</v>
      </c>
      <c r="BG318" s="7" t="s">
        <v>235</v>
      </c>
      <c r="BH318" s="7" t="s">
        <v>235</v>
      </c>
      <c r="BI318" s="7"/>
      <c r="BJ318" s="4"/>
      <c r="BK318" s="8"/>
      <c r="BL318" s="2" t="s">
        <v>235</v>
      </c>
      <c r="BM318" s="7"/>
      <c r="BN318" s="7"/>
      <c r="BO318" s="4"/>
      <c r="BP318" s="8"/>
      <c r="BQ318" s="4"/>
      <c r="BR318" s="8"/>
      <c r="BS318" s="7"/>
      <c r="BT318" s="7"/>
      <c r="BU318" s="2" t="s">
        <v>330</v>
      </c>
      <c r="BV318" s="2" t="s">
        <v>235</v>
      </c>
      <c r="BW318" s="2" t="s">
        <v>235</v>
      </c>
      <c r="BX318" s="2" t="s">
        <v>330</v>
      </c>
      <c r="BY318" s="2" t="s">
        <v>331</v>
      </c>
      <c r="BZ318" s="2" t="s">
        <v>232</v>
      </c>
      <c r="CA318" s="2" t="s">
        <v>235</v>
      </c>
      <c r="CB318" s="2" t="s">
        <v>235</v>
      </c>
      <c r="CC318" s="2" t="s">
        <v>248</v>
      </c>
      <c r="CD318" s="2" t="s">
        <v>248</v>
      </c>
      <c r="CE318" s="2" t="s">
        <v>235</v>
      </c>
      <c r="CF318" s="4">
        <v>338</v>
      </c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>
        <v>338</v>
      </c>
      <c r="GE318" s="4">
        <v>337</v>
      </c>
      <c r="GF318" s="4">
        <v>336</v>
      </c>
      <c r="GG318" s="4">
        <v>335</v>
      </c>
      <c r="GH318" s="4">
        <v>333</v>
      </c>
      <c r="GI318" s="4">
        <v>332</v>
      </c>
      <c r="GJ318" s="4">
        <v>328</v>
      </c>
      <c r="GK318" s="4">
        <v>323</v>
      </c>
      <c r="GL318" s="4">
        <v>320</v>
      </c>
      <c r="GM318" s="4">
        <v>318</v>
      </c>
      <c r="GN318" s="4">
        <v>308</v>
      </c>
      <c r="GO318" s="4">
        <v>292</v>
      </c>
      <c r="GP318" s="4">
        <v>278</v>
      </c>
      <c r="GQ318" s="4">
        <v>237</v>
      </c>
      <c r="GR318" s="4">
        <v>198</v>
      </c>
      <c r="GS318" s="4">
        <v>173</v>
      </c>
      <c r="GT318" s="4">
        <v>143</v>
      </c>
      <c r="GU318" s="4">
        <v>129</v>
      </c>
      <c r="GV318" s="4">
        <v>117</v>
      </c>
      <c r="GW318" s="4">
        <v>98</v>
      </c>
      <c r="GX318" s="4">
        <v>80</v>
      </c>
      <c r="GY318" s="4">
        <v>71</v>
      </c>
      <c r="GZ318" s="4">
        <v>67</v>
      </c>
      <c r="HA318" s="4">
        <v>60</v>
      </c>
      <c r="HB318" s="4">
        <v>57</v>
      </c>
      <c r="HC318" s="4">
        <v>49</v>
      </c>
      <c r="HD318" s="19">
        <v>338</v>
      </c>
      <c r="HE318" s="19">
        <v>337</v>
      </c>
      <c r="HF318" s="19">
        <v>168</v>
      </c>
      <c r="HG318" s="19">
        <v>111.7</v>
      </c>
      <c r="HH318" s="19">
        <v>111</v>
      </c>
      <c r="HI318" s="19">
        <v>83</v>
      </c>
      <c r="HJ318" s="19">
        <v>65.6</v>
      </c>
      <c r="HK318" s="19">
        <v>40.4</v>
      </c>
      <c r="HL318" s="19">
        <v>32</v>
      </c>
      <c r="HM318" s="19">
        <v>15.9</v>
      </c>
      <c r="HN318" s="19">
        <v>11</v>
      </c>
      <c r="HO318" s="19">
        <v>9.7</v>
      </c>
      <c r="HP318" s="19">
        <v>8.2</v>
      </c>
      <c r="HQ318" s="19">
        <v>8.8</v>
      </c>
      <c r="HR318" s="19">
        <v>9.9</v>
      </c>
      <c r="HS318" s="19">
        <v>9.1</v>
      </c>
      <c r="HT318" s="19">
        <v>8.9</v>
      </c>
      <c r="HU318" s="19">
        <v>9.2</v>
      </c>
      <c r="HV318" s="19">
        <v>9.8</v>
      </c>
      <c r="HW318" s="19">
        <v>9.8</v>
      </c>
      <c r="HX318" s="19">
        <v>13.3</v>
      </c>
      <c r="HY318" s="19">
        <v>11.8</v>
      </c>
      <c r="HZ318" s="19">
        <v>11.2</v>
      </c>
      <c r="IA318" s="19">
        <v>12</v>
      </c>
      <c r="IB318" s="19">
        <v>9.5</v>
      </c>
      <c r="IC318" s="19">
        <v>9.8</v>
      </c>
    </row>
    <row r="319">
      <c r="A319" s="2" t="s">
        <v>1465</v>
      </c>
      <c r="B319" s="2" t="s">
        <v>852</v>
      </c>
      <c r="C319" s="2" t="s">
        <v>324</v>
      </c>
      <c r="D319" s="2" t="s">
        <v>854</v>
      </c>
      <c r="E319" s="2" t="s">
        <v>1005</v>
      </c>
      <c r="F319" s="2" t="s">
        <v>1466</v>
      </c>
      <c r="G319" s="2" t="s">
        <v>1467</v>
      </c>
      <c r="H319" s="2" t="s">
        <v>1468</v>
      </c>
      <c r="I319" s="2" t="s">
        <v>1469</v>
      </c>
      <c r="J319" s="2" t="s">
        <v>1224</v>
      </c>
      <c r="K319" s="2" t="s">
        <v>1470</v>
      </c>
      <c r="L319" s="3">
        <v>34.23</v>
      </c>
      <c r="M319" s="3">
        <v>35.94</v>
      </c>
      <c r="N319" s="3">
        <v>74.99</v>
      </c>
      <c r="O319" s="2" t="s">
        <v>232</v>
      </c>
      <c r="P319" s="2" t="s">
        <v>1282</v>
      </c>
      <c r="Q319" s="2" t="s">
        <v>234</v>
      </c>
      <c r="R319" s="2" t="s">
        <v>235</v>
      </c>
      <c r="S319" s="2" t="s">
        <v>1471</v>
      </c>
      <c r="T319" s="2" t="s">
        <v>235</v>
      </c>
      <c r="U319" s="2" t="s">
        <v>235</v>
      </c>
      <c r="V319" s="2" t="s">
        <v>1472</v>
      </c>
      <c r="W319" s="2" t="s">
        <v>671</v>
      </c>
      <c r="X319" s="2" t="s">
        <v>1242</v>
      </c>
      <c r="Y319" s="2" t="s">
        <v>240</v>
      </c>
      <c r="Z319" s="4">
        <v>133</v>
      </c>
      <c r="AA319" s="4">
        <f>=ROUNDDOWN(57.8260869565217,0)</f>
      </c>
      <c r="AB319" s="5">
        <v>2.3</v>
      </c>
      <c r="AC319" s="2" t="s">
        <v>211</v>
      </c>
      <c r="AD319" s="4">
        <v>212</v>
      </c>
      <c r="AE319" s="4">
        <v>212</v>
      </c>
      <c r="AF319" s="6">
        <v>66</v>
      </c>
      <c r="AG319" s="6"/>
      <c r="AH319" s="7">
        <v>1</v>
      </c>
      <c r="AI319" s="4"/>
      <c r="AJ319" s="4">
        <f>=ROUNDDOWN({0},0)</f>
      </c>
      <c r="AK319" s="5"/>
      <c r="AL319" s="2" t="s">
        <v>235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 t="s">
        <v>235</v>
      </c>
      <c r="BD319" s="8" t="s">
        <v>235</v>
      </c>
      <c r="BE319" s="4" t="s">
        <v>235</v>
      </c>
      <c r="BF319" s="8" t="s">
        <v>235</v>
      </c>
      <c r="BG319" s="7" t="s">
        <v>235</v>
      </c>
      <c r="BH319" s="7" t="s">
        <v>235</v>
      </c>
      <c r="BI319" s="7"/>
      <c r="BJ319" s="4">
        <v>7</v>
      </c>
      <c r="BK319" s="8">
        <v>635.43</v>
      </c>
      <c r="BL319" s="2" t="s">
        <v>1473</v>
      </c>
      <c r="BM319" s="7"/>
      <c r="BN319" s="7"/>
      <c r="BO319" s="4"/>
      <c r="BP319" s="8"/>
      <c r="BQ319" s="4"/>
      <c r="BR319" s="8"/>
      <c r="BS319" s="7"/>
      <c r="BT319" s="7"/>
      <c r="BU319" s="2" t="s">
        <v>1474</v>
      </c>
      <c r="BV319" s="2" t="s">
        <v>867</v>
      </c>
      <c r="BW319" s="2" t="s">
        <v>235</v>
      </c>
      <c r="BX319" s="2" t="s">
        <v>244</v>
      </c>
      <c r="BY319" s="2" t="s">
        <v>245</v>
      </c>
      <c r="BZ319" s="2" t="s">
        <v>232</v>
      </c>
      <c r="CA319" s="2" t="s">
        <v>252</v>
      </c>
      <c r="CB319" s="2" t="s">
        <v>1475</v>
      </c>
      <c r="CC319" s="2" t="s">
        <v>248</v>
      </c>
      <c r="CD319" s="2" t="s">
        <v>248</v>
      </c>
      <c r="CE319" s="2" t="s">
        <v>235</v>
      </c>
      <c r="CF319" s="4">
        <v>133</v>
      </c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>
        <v>212</v>
      </c>
      <c r="FU319" s="4"/>
      <c r="FV319" s="4"/>
      <c r="FW319" s="4"/>
      <c r="FX319" s="4"/>
      <c r="FY319" s="4"/>
      <c r="FZ319" s="4"/>
      <c r="GA319" s="4"/>
      <c r="GB319" s="4"/>
      <c r="GC319" s="4"/>
      <c r="GD319" s="4">
        <v>139</v>
      </c>
      <c r="GE319" s="4">
        <v>136</v>
      </c>
      <c r="GF319" s="4">
        <v>134</v>
      </c>
      <c r="GG319" s="4">
        <v>132</v>
      </c>
      <c r="GH319" s="4">
        <v>129</v>
      </c>
      <c r="GI319" s="4">
        <v>126</v>
      </c>
      <c r="GJ319" s="4">
        <v>123</v>
      </c>
      <c r="GK319" s="4">
        <v>120</v>
      </c>
      <c r="GL319" s="4">
        <v>117</v>
      </c>
      <c r="GM319" s="4">
        <v>115</v>
      </c>
      <c r="GN319" s="4">
        <v>113</v>
      </c>
      <c r="GO319" s="4">
        <v>110</v>
      </c>
      <c r="GP319" s="4">
        <v>107</v>
      </c>
      <c r="GQ319" s="4">
        <v>104</v>
      </c>
      <c r="GR319" s="4">
        <v>101</v>
      </c>
      <c r="GS319" s="4">
        <v>98</v>
      </c>
      <c r="GT319" s="4">
        <v>96</v>
      </c>
      <c r="GU319" s="4">
        <v>306</v>
      </c>
      <c r="GV319" s="4">
        <v>304</v>
      </c>
      <c r="GW319" s="4">
        <v>302</v>
      </c>
      <c r="GX319" s="4">
        <v>300</v>
      </c>
      <c r="GY319" s="4">
        <v>298</v>
      </c>
      <c r="GZ319" s="4">
        <v>296</v>
      </c>
      <c r="HA319" s="4">
        <v>294</v>
      </c>
      <c r="HB319" s="4">
        <v>292</v>
      </c>
      <c r="HC319" s="4">
        <v>290</v>
      </c>
      <c r="HD319" s="19">
        <v>69.5</v>
      </c>
      <c r="HE319" s="19">
        <v>68</v>
      </c>
      <c r="HF319" s="19">
        <v>44.7</v>
      </c>
      <c r="HG319" s="19">
        <v>44</v>
      </c>
      <c r="HH319" s="19">
        <v>43</v>
      </c>
      <c r="HI319" s="19">
        <v>42</v>
      </c>
      <c r="HJ319" s="19">
        <v>61.5</v>
      </c>
      <c r="HK319" s="19">
        <v>60</v>
      </c>
      <c r="HL319" s="19">
        <v>58.5</v>
      </c>
      <c r="HM319" s="19">
        <v>38.3</v>
      </c>
      <c r="HN319" s="19">
        <v>37.7</v>
      </c>
      <c r="HO319" s="19">
        <v>36.7</v>
      </c>
      <c r="HP319" s="19">
        <v>35.7</v>
      </c>
      <c r="HQ319" s="19">
        <v>52</v>
      </c>
      <c r="HR319" s="19">
        <v>50.5</v>
      </c>
      <c r="HS319" s="19">
        <v>49</v>
      </c>
      <c r="HT319" s="19">
        <v>48</v>
      </c>
      <c r="HU319" s="19">
        <v>153</v>
      </c>
      <c r="HV319" s="19">
        <v>152</v>
      </c>
      <c r="HW319" s="19">
        <v>151</v>
      </c>
      <c r="HX319" s="19">
        <v>150</v>
      </c>
      <c r="HY319" s="19">
        <v>149</v>
      </c>
      <c r="HZ319" s="19">
        <v>148</v>
      </c>
      <c r="IA319" s="19">
        <v>147</v>
      </c>
      <c r="IB319" s="19">
        <v>146</v>
      </c>
      <c r="IC319" s="19">
        <v>145</v>
      </c>
    </row>
    <row r="320">
      <c r="A320" s="2" t="s">
        <v>1476</v>
      </c>
      <c r="B320" s="2" t="s">
        <v>852</v>
      </c>
      <c r="C320" s="2" t="s">
        <v>324</v>
      </c>
      <c r="D320" s="2" t="s">
        <v>854</v>
      </c>
      <c r="E320" s="2" t="s">
        <v>1005</v>
      </c>
      <c r="F320" s="2" t="s">
        <v>1466</v>
      </c>
      <c r="G320" s="2" t="s">
        <v>1467</v>
      </c>
      <c r="H320" s="2" t="s">
        <v>1468</v>
      </c>
      <c r="I320" s="2" t="s">
        <v>1469</v>
      </c>
      <c r="J320" s="2" t="s">
        <v>1130</v>
      </c>
      <c r="K320" s="2" t="s">
        <v>1477</v>
      </c>
      <c r="L320" s="3">
        <v>32.45</v>
      </c>
      <c r="M320" s="3">
        <v>34.07</v>
      </c>
      <c r="N320" s="3">
        <v>69.99</v>
      </c>
      <c r="O320" s="2" t="s">
        <v>232</v>
      </c>
      <c r="P320" s="2" t="s">
        <v>233</v>
      </c>
      <c r="Q320" s="2" t="s">
        <v>234</v>
      </c>
      <c r="R320" s="2" t="s">
        <v>235</v>
      </c>
      <c r="S320" s="2" t="s">
        <v>1478</v>
      </c>
      <c r="T320" s="2" t="s">
        <v>235</v>
      </c>
      <c r="U320" s="2" t="s">
        <v>235</v>
      </c>
      <c r="V320" s="2" t="s">
        <v>1472</v>
      </c>
      <c r="W320" s="2" t="s">
        <v>671</v>
      </c>
      <c r="X320" s="2" t="s">
        <v>1242</v>
      </c>
      <c r="Y320" s="2" t="s">
        <v>240</v>
      </c>
      <c r="Z320" s="4">
        <v>354</v>
      </c>
      <c r="AA320" s="4">
        <f>=ROUNDDOWN(41.6470588235294,0)</f>
      </c>
      <c r="AB320" s="5">
        <v>8.5</v>
      </c>
      <c r="AC320" s="2" t="s">
        <v>235</v>
      </c>
      <c r="AD320" s="4"/>
      <c r="AE320" s="4"/>
      <c r="AF320" s="6">
        <v>66</v>
      </c>
      <c r="AG320" s="6"/>
      <c r="AH320" s="7">
        <v>1</v>
      </c>
      <c r="AI320" s="4"/>
      <c r="AJ320" s="4">
        <f>=ROUNDDOWN({0},0)</f>
      </c>
      <c r="AK320" s="5"/>
      <c r="AL320" s="2" t="s">
        <v>235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235</v>
      </c>
      <c r="BD320" s="8" t="s">
        <v>235</v>
      </c>
      <c r="BE320" s="4" t="s">
        <v>235</v>
      </c>
      <c r="BF320" s="8" t="s">
        <v>235</v>
      </c>
      <c r="BG320" s="7" t="s">
        <v>235</v>
      </c>
      <c r="BH320" s="7" t="s">
        <v>235</v>
      </c>
      <c r="BI320" s="7"/>
      <c r="BJ320" s="4">
        <v>31</v>
      </c>
      <c r="BK320" s="8">
        <v>1718.93</v>
      </c>
      <c r="BL320" s="2" t="s">
        <v>1479</v>
      </c>
      <c r="BM320" s="7"/>
      <c r="BN320" s="7"/>
      <c r="BO320" s="4"/>
      <c r="BP320" s="8"/>
      <c r="BQ320" s="4"/>
      <c r="BR320" s="8"/>
      <c r="BS320" s="7"/>
      <c r="BT320" s="7"/>
      <c r="BU320" s="2" t="s">
        <v>1474</v>
      </c>
      <c r="BV320" s="2" t="s">
        <v>867</v>
      </c>
      <c r="BW320" s="2" t="s">
        <v>235</v>
      </c>
      <c r="BX320" s="2" t="s">
        <v>244</v>
      </c>
      <c r="BY320" s="2" t="s">
        <v>245</v>
      </c>
      <c r="BZ320" s="2" t="s">
        <v>232</v>
      </c>
      <c r="CA320" s="2" t="s">
        <v>252</v>
      </c>
      <c r="CB320" s="2" t="s">
        <v>1480</v>
      </c>
      <c r="CC320" s="2" t="s">
        <v>248</v>
      </c>
      <c r="CD320" s="2" t="s">
        <v>248</v>
      </c>
      <c r="CE320" s="2" t="s">
        <v>235</v>
      </c>
      <c r="CF320" s="4">
        <v>354</v>
      </c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>
        <v>369</v>
      </c>
      <c r="GE320" s="4">
        <v>352</v>
      </c>
      <c r="GF320" s="4">
        <v>348</v>
      </c>
      <c r="GG320" s="4">
        <v>344</v>
      </c>
      <c r="GH320" s="4">
        <v>340</v>
      </c>
      <c r="GI320" s="4">
        <v>331</v>
      </c>
      <c r="GJ320" s="4">
        <v>318</v>
      </c>
      <c r="GK320" s="4">
        <v>307</v>
      </c>
      <c r="GL320" s="4">
        <v>294</v>
      </c>
      <c r="GM320" s="4">
        <v>285</v>
      </c>
      <c r="GN320" s="4">
        <v>274</v>
      </c>
      <c r="GO320" s="4">
        <v>263</v>
      </c>
      <c r="GP320" s="4">
        <v>252</v>
      </c>
      <c r="GQ320" s="4">
        <v>240</v>
      </c>
      <c r="GR320" s="4">
        <v>230</v>
      </c>
      <c r="GS320" s="4">
        <v>218</v>
      </c>
      <c r="GT320" s="4">
        <v>209</v>
      </c>
      <c r="GU320" s="4">
        <v>199</v>
      </c>
      <c r="GV320" s="4">
        <v>189</v>
      </c>
      <c r="GW320" s="4">
        <v>180</v>
      </c>
      <c r="GX320" s="4">
        <v>262</v>
      </c>
      <c r="GY320" s="4">
        <v>253</v>
      </c>
      <c r="GZ320" s="4">
        <v>244</v>
      </c>
      <c r="HA320" s="4">
        <v>235</v>
      </c>
      <c r="HB320" s="4">
        <v>226</v>
      </c>
      <c r="HC320" s="4">
        <v>216</v>
      </c>
      <c r="HD320" s="19">
        <v>52.7</v>
      </c>
      <c r="HE320" s="19">
        <v>70.4</v>
      </c>
      <c r="HF320" s="19">
        <v>43.5</v>
      </c>
      <c r="HG320" s="19">
        <v>38.2</v>
      </c>
      <c r="HH320" s="19">
        <v>28.3</v>
      </c>
      <c r="HI320" s="19">
        <v>27.6</v>
      </c>
      <c r="HJ320" s="19">
        <v>28.9</v>
      </c>
      <c r="HK320" s="19">
        <v>27.9</v>
      </c>
      <c r="HL320" s="19">
        <v>29.4</v>
      </c>
      <c r="HM320" s="19">
        <v>25.9</v>
      </c>
      <c r="HN320" s="19">
        <v>24.9</v>
      </c>
      <c r="HO320" s="19">
        <v>23.9</v>
      </c>
      <c r="HP320" s="19">
        <v>22.9</v>
      </c>
      <c r="HQ320" s="19">
        <v>24</v>
      </c>
      <c r="HR320" s="19">
        <v>23</v>
      </c>
      <c r="HS320" s="19">
        <v>21.8</v>
      </c>
      <c r="HT320" s="19">
        <v>20.9</v>
      </c>
      <c r="HU320" s="19">
        <v>22.1</v>
      </c>
      <c r="HV320" s="19">
        <v>21</v>
      </c>
      <c r="HW320" s="19">
        <v>20</v>
      </c>
      <c r="HX320" s="19">
        <v>29.1</v>
      </c>
      <c r="HY320" s="19">
        <v>28.1</v>
      </c>
      <c r="HZ320" s="19">
        <v>27.1</v>
      </c>
      <c r="IA320" s="19">
        <v>26.1</v>
      </c>
      <c r="IB320" s="19">
        <v>25.1</v>
      </c>
      <c r="IC320" s="19">
        <v>24</v>
      </c>
    </row>
    <row r="321">
      <c r="A321" s="2" t="s">
        <v>1481</v>
      </c>
      <c r="B321" s="2" t="s">
        <v>1071</v>
      </c>
      <c r="C321" s="2" t="s">
        <v>943</v>
      </c>
      <c r="D321" s="2" t="s">
        <v>1482</v>
      </c>
      <c r="E321" s="2" t="s">
        <v>1483</v>
      </c>
      <c r="F321" s="2" t="s">
        <v>1466</v>
      </c>
      <c r="G321" s="2" t="s">
        <v>1466</v>
      </c>
      <c r="H321" s="2" t="s">
        <v>1466</v>
      </c>
      <c r="I321" s="2" t="s">
        <v>1484</v>
      </c>
      <c r="J321" s="2" t="s">
        <v>806</v>
      </c>
      <c r="K321" s="2" t="s">
        <v>1169</v>
      </c>
      <c r="L321" s="3">
        <v>142</v>
      </c>
      <c r="M321" s="3">
        <v>149.1</v>
      </c>
      <c r="N321" s="3">
        <v>299</v>
      </c>
      <c r="O321" s="2" t="s">
        <v>407</v>
      </c>
      <c r="P321" s="2" t="s">
        <v>408</v>
      </c>
      <c r="Q321" s="2" t="s">
        <v>234</v>
      </c>
      <c r="R321" s="2" t="s">
        <v>235</v>
      </c>
      <c r="S321" s="2" t="s">
        <v>235</v>
      </c>
      <c r="T321" s="2" t="s">
        <v>235</v>
      </c>
      <c r="U321" s="2" t="s">
        <v>278</v>
      </c>
      <c r="V321" s="2" t="s">
        <v>808</v>
      </c>
      <c r="W321" s="2" t="s">
        <v>1157</v>
      </c>
      <c r="X321" s="2" t="s">
        <v>671</v>
      </c>
      <c r="Y321" s="2" t="s">
        <v>1485</v>
      </c>
      <c r="Z321" s="4">
        <v>21</v>
      </c>
      <c r="AA321" s="4">
        <f>=ROUNDDOWN(6.7741935483871,0)</f>
      </c>
      <c r="AB321" s="5">
        <v>3.1</v>
      </c>
      <c r="AC321" s="2" t="s">
        <v>235</v>
      </c>
      <c r="AD321" s="4"/>
      <c r="AE321" s="4"/>
      <c r="AF321" s="6">
        <v>74</v>
      </c>
      <c r="AG321" s="6"/>
      <c r="AH321" s="7">
        <v>1</v>
      </c>
      <c r="AI321" s="4"/>
      <c r="AJ321" s="4">
        <f>=ROUNDDOWN({0},0)</f>
      </c>
      <c r="AK321" s="5"/>
      <c r="AL321" s="2" t="s">
        <v>235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235</v>
      </c>
      <c r="BD321" s="8" t="s">
        <v>235</v>
      </c>
      <c r="BE321" s="4" t="s">
        <v>235</v>
      </c>
      <c r="BF321" s="8" t="s">
        <v>235</v>
      </c>
      <c r="BG321" s="7" t="s">
        <v>235</v>
      </c>
      <c r="BH321" s="7" t="s">
        <v>235</v>
      </c>
      <c r="BI321" s="7"/>
      <c r="BJ321" s="4">
        <v>6</v>
      </c>
      <c r="BK321" s="8">
        <v>930.38</v>
      </c>
      <c r="BL321" s="2" t="s">
        <v>1486</v>
      </c>
      <c r="BM321" s="7"/>
      <c r="BN321" s="7"/>
      <c r="BO321" s="4"/>
      <c r="BP321" s="8"/>
      <c r="BQ321" s="4"/>
      <c r="BR321" s="8"/>
      <c r="BS321" s="7"/>
      <c r="BT321" s="7"/>
      <c r="BU321" s="2" t="s">
        <v>1487</v>
      </c>
      <c r="BV321" s="2" t="s">
        <v>1488</v>
      </c>
      <c r="BW321" s="2" t="s">
        <v>235</v>
      </c>
      <c r="BX321" s="2" t="s">
        <v>414</v>
      </c>
      <c r="BY321" s="2" t="s">
        <v>245</v>
      </c>
      <c r="BZ321" s="2" t="s">
        <v>232</v>
      </c>
      <c r="CA321" s="2" t="s">
        <v>1489</v>
      </c>
      <c r="CB321" s="2" t="s">
        <v>235</v>
      </c>
      <c r="CC321" s="2" t="s">
        <v>248</v>
      </c>
      <c r="CD321" s="2" t="s">
        <v>248</v>
      </c>
      <c r="CE321" s="2" t="s">
        <v>235</v>
      </c>
      <c r="CF321" s="4"/>
      <c r="CG321" s="4">
        <v>21</v>
      </c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>
        <v>22</v>
      </c>
      <c r="GE321" s="4">
        <v>17</v>
      </c>
      <c r="GF321" s="4">
        <v>14</v>
      </c>
      <c r="GG321" s="4">
        <v>11</v>
      </c>
      <c r="GH321" s="4">
        <v>8</v>
      </c>
      <c r="GI321" s="4">
        <v>5</v>
      </c>
      <c r="GJ321" s="4">
        <v>2</v>
      </c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19">
        <v>5.5</v>
      </c>
      <c r="HE321" s="19">
        <v>5.7</v>
      </c>
      <c r="HF321" s="19">
        <v>4.7</v>
      </c>
      <c r="HG321" s="19">
        <v>3.7</v>
      </c>
      <c r="HH321" s="19">
        <v>2.7</v>
      </c>
      <c r="HI321" s="19">
        <v>1.7</v>
      </c>
      <c r="HJ321" s="19">
        <v>0.7</v>
      </c>
      <c r="HK321" s="20">
        <v>0</v>
      </c>
      <c r="HL321" s="20">
        <v>0</v>
      </c>
      <c r="HM321" s="20">
        <v>0</v>
      </c>
      <c r="HN321" s="20">
        <v>0</v>
      </c>
      <c r="HO321" s="20">
        <v>0</v>
      </c>
      <c r="HP321" s="20">
        <v>0</v>
      </c>
      <c r="HQ321" s="20">
        <v>0</v>
      </c>
      <c r="HR321" s="20">
        <v>0</v>
      </c>
      <c r="HS321" s="20">
        <v>0</v>
      </c>
      <c r="HT321" s="20">
        <v>0</v>
      </c>
      <c r="HU321" s="20">
        <v>0</v>
      </c>
      <c r="HV321" s="20">
        <v>0</v>
      </c>
      <c r="HW321" s="20">
        <v>0</v>
      </c>
      <c r="HX321" s="20">
        <v>0</v>
      </c>
      <c r="HY321" s="20">
        <v>0</v>
      </c>
      <c r="HZ321" s="20">
        <v>0</v>
      </c>
      <c r="IA321" s="20">
        <v>0</v>
      </c>
      <c r="IB321" s="20">
        <v>0</v>
      </c>
      <c r="IC321" s="20">
        <v>0</v>
      </c>
    </row>
    <row r="322">
      <c r="A322" s="2" t="s">
        <v>1490</v>
      </c>
      <c r="B322" s="2" t="s">
        <v>800</v>
      </c>
      <c r="C322" s="2" t="s">
        <v>893</v>
      </c>
      <c r="D322" s="2" t="s">
        <v>1491</v>
      </c>
      <c r="E322" s="2" t="s">
        <v>1492</v>
      </c>
      <c r="F322" s="2" t="s">
        <v>1493</v>
      </c>
      <c r="G322" s="2" t="s">
        <v>1493</v>
      </c>
      <c r="H322" s="2" t="s">
        <v>1493</v>
      </c>
      <c r="I322" s="2" t="s">
        <v>1494</v>
      </c>
      <c r="J322" s="2" t="s">
        <v>897</v>
      </c>
      <c r="K322" s="2" t="s">
        <v>735</v>
      </c>
      <c r="L322" s="3">
        <v>86.4</v>
      </c>
      <c r="M322" s="3">
        <v>90.72</v>
      </c>
      <c r="N322" s="3">
        <v>179.99</v>
      </c>
      <c r="O322" s="2" t="s">
        <v>232</v>
      </c>
      <c r="P322" s="2" t="s">
        <v>408</v>
      </c>
      <c r="Q322" s="2" t="s">
        <v>234</v>
      </c>
      <c r="R322" s="2" t="s">
        <v>235</v>
      </c>
      <c r="S322" s="2" t="s">
        <v>235</v>
      </c>
      <c r="T322" s="2" t="s">
        <v>235</v>
      </c>
      <c r="U322" s="2" t="s">
        <v>807</v>
      </c>
      <c r="V322" s="2" t="s">
        <v>808</v>
      </c>
      <c r="W322" s="2" t="s">
        <v>1157</v>
      </c>
      <c r="X322" s="2" t="s">
        <v>235</v>
      </c>
      <c r="Y322" s="2" t="s">
        <v>1495</v>
      </c>
      <c r="Z322" s="4">
        <v>177</v>
      </c>
      <c r="AA322" s="4">
        <f>=ROUNDDOWN(59,0)</f>
      </c>
      <c r="AB322" s="5">
        <v>3</v>
      </c>
      <c r="AC322" s="2" t="s">
        <v>235</v>
      </c>
      <c r="AD322" s="4"/>
      <c r="AE322" s="4"/>
      <c r="AF322" s="6">
        <v>81</v>
      </c>
      <c r="AG322" s="6"/>
      <c r="AH322" s="7">
        <v>1</v>
      </c>
      <c r="AI322" s="4"/>
      <c r="AJ322" s="4">
        <f>=ROUNDDOWN({0},0)</f>
      </c>
      <c r="AK322" s="5"/>
      <c r="AL322" s="2" t="s">
        <v>235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235</v>
      </c>
      <c r="BD322" s="8" t="s">
        <v>235</v>
      </c>
      <c r="BE322" s="4" t="s">
        <v>235</v>
      </c>
      <c r="BF322" s="8" t="s">
        <v>235</v>
      </c>
      <c r="BG322" s="7" t="s">
        <v>235</v>
      </c>
      <c r="BH322" s="7" t="s">
        <v>235</v>
      </c>
      <c r="BI322" s="7"/>
      <c r="BJ322" s="4">
        <v>8</v>
      </c>
      <c r="BK322" s="8">
        <v>812.66</v>
      </c>
      <c r="BL322" s="2" t="s">
        <v>1496</v>
      </c>
      <c r="BM322" s="7"/>
      <c r="BN322" s="7"/>
      <c r="BO322" s="4"/>
      <c r="BP322" s="8"/>
      <c r="BQ322" s="4"/>
      <c r="BR322" s="8"/>
      <c r="BS322" s="7"/>
      <c r="BT322" s="7"/>
      <c r="BU322" s="2" t="s">
        <v>1497</v>
      </c>
      <c r="BV322" s="2" t="s">
        <v>813</v>
      </c>
      <c r="BW322" s="2" t="s">
        <v>235</v>
      </c>
      <c r="BX322" s="2" t="s">
        <v>414</v>
      </c>
      <c r="BY322" s="2" t="s">
        <v>245</v>
      </c>
      <c r="BZ322" s="2" t="s">
        <v>232</v>
      </c>
      <c r="CA322" s="2" t="s">
        <v>1498</v>
      </c>
      <c r="CB322" s="2" t="s">
        <v>1499</v>
      </c>
      <c r="CC322" s="2" t="s">
        <v>248</v>
      </c>
      <c r="CD322" s="2" t="s">
        <v>248</v>
      </c>
      <c r="CE322" s="2" t="s">
        <v>235</v>
      </c>
      <c r="CF322" s="4"/>
      <c r="CG322" s="4">
        <v>177</v>
      </c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>
        <v>178</v>
      </c>
      <c r="GE322" s="4">
        <v>167</v>
      </c>
      <c r="GF322" s="4">
        <v>164</v>
      </c>
      <c r="GG322" s="4">
        <v>161</v>
      </c>
      <c r="GH322" s="4">
        <v>158</v>
      </c>
      <c r="GI322" s="4">
        <v>155</v>
      </c>
      <c r="GJ322" s="4">
        <v>152</v>
      </c>
      <c r="GK322" s="4">
        <v>149</v>
      </c>
      <c r="GL322" s="4">
        <v>146</v>
      </c>
      <c r="GM322" s="4">
        <v>143</v>
      </c>
      <c r="GN322" s="4">
        <v>140</v>
      </c>
      <c r="GO322" s="4">
        <v>137</v>
      </c>
      <c r="GP322" s="4">
        <v>133</v>
      </c>
      <c r="GQ322" s="4">
        <v>130</v>
      </c>
      <c r="GR322" s="4">
        <v>127</v>
      </c>
      <c r="GS322" s="4">
        <v>123</v>
      </c>
      <c r="GT322" s="4">
        <v>120</v>
      </c>
      <c r="GU322" s="4">
        <v>117</v>
      </c>
      <c r="GV322" s="4">
        <v>114</v>
      </c>
      <c r="GW322" s="4">
        <v>111</v>
      </c>
      <c r="GX322" s="4">
        <v>108</v>
      </c>
      <c r="GY322" s="4">
        <v>105</v>
      </c>
      <c r="GZ322" s="4">
        <v>102</v>
      </c>
      <c r="HA322" s="4">
        <v>99</v>
      </c>
      <c r="HB322" s="4">
        <v>96</v>
      </c>
      <c r="HC322" s="4">
        <v>93</v>
      </c>
      <c r="HD322" s="19">
        <v>35.6</v>
      </c>
      <c r="HE322" s="19">
        <v>55.7</v>
      </c>
      <c r="HF322" s="19">
        <v>54.7</v>
      </c>
      <c r="HG322" s="19">
        <v>53.7</v>
      </c>
      <c r="HH322" s="19">
        <v>52.7</v>
      </c>
      <c r="HI322" s="19">
        <v>51.7</v>
      </c>
      <c r="HJ322" s="19">
        <v>50.7</v>
      </c>
      <c r="HK322" s="19">
        <v>49.7</v>
      </c>
      <c r="HL322" s="19">
        <v>48.7</v>
      </c>
      <c r="HM322" s="19">
        <v>47.7</v>
      </c>
      <c r="HN322" s="19">
        <v>46.7</v>
      </c>
      <c r="HO322" s="19">
        <v>34.3</v>
      </c>
      <c r="HP322" s="19">
        <v>44.3</v>
      </c>
      <c r="HQ322" s="19">
        <v>43.3</v>
      </c>
      <c r="HR322" s="19">
        <v>42.3</v>
      </c>
      <c r="HS322" s="19">
        <v>41</v>
      </c>
      <c r="HT322" s="19">
        <v>40</v>
      </c>
      <c r="HU322" s="19">
        <v>39</v>
      </c>
      <c r="HV322" s="19">
        <v>38</v>
      </c>
      <c r="HW322" s="19">
        <v>37</v>
      </c>
      <c r="HX322" s="19">
        <v>36</v>
      </c>
      <c r="HY322" s="19">
        <v>35</v>
      </c>
      <c r="HZ322" s="19">
        <v>34</v>
      </c>
      <c r="IA322" s="19">
        <v>33</v>
      </c>
      <c r="IB322" s="19">
        <v>32</v>
      </c>
      <c r="IC322" s="19">
        <v>31</v>
      </c>
    </row>
    <row r="323">
      <c r="A323" s="2" t="s">
        <v>1500</v>
      </c>
      <c r="B323" s="2" t="s">
        <v>800</v>
      </c>
      <c r="C323" s="2" t="s">
        <v>893</v>
      </c>
      <c r="D323" s="2" t="s">
        <v>894</v>
      </c>
      <c r="E323" s="2" t="s">
        <v>895</v>
      </c>
      <c r="F323" s="2" t="s">
        <v>1493</v>
      </c>
      <c r="G323" s="2" t="s">
        <v>1493</v>
      </c>
      <c r="H323" s="2" t="s">
        <v>1493</v>
      </c>
      <c r="I323" s="2" t="s">
        <v>1501</v>
      </c>
      <c r="J323" s="2" t="s">
        <v>1502</v>
      </c>
      <c r="K323" s="2" t="s">
        <v>1503</v>
      </c>
      <c r="L323" s="3">
        <v>47.52</v>
      </c>
      <c r="M323" s="3">
        <v>49.9</v>
      </c>
      <c r="N323" s="3">
        <v>109.99</v>
      </c>
      <c r="O323" s="2" t="s">
        <v>232</v>
      </c>
      <c r="P323" s="2" t="s">
        <v>408</v>
      </c>
      <c r="Q323" s="2" t="s">
        <v>234</v>
      </c>
      <c r="R323" s="2" t="s">
        <v>235</v>
      </c>
      <c r="S323" s="2" t="s">
        <v>235</v>
      </c>
      <c r="T323" s="2" t="s">
        <v>235</v>
      </c>
      <c r="U323" s="2" t="s">
        <v>807</v>
      </c>
      <c r="V323" s="2" t="s">
        <v>808</v>
      </c>
      <c r="W323" s="2" t="s">
        <v>1157</v>
      </c>
      <c r="X323" s="2" t="s">
        <v>1354</v>
      </c>
      <c r="Y323" s="2" t="s">
        <v>967</v>
      </c>
      <c r="Z323" s="4">
        <v>56</v>
      </c>
      <c r="AA323" s="4">
        <f>=ROUNDDOWN(28,0)</f>
      </c>
      <c r="AB323" s="5">
        <v>2</v>
      </c>
      <c r="AC323" s="2" t="s">
        <v>235</v>
      </c>
      <c r="AD323" s="4"/>
      <c r="AE323" s="4"/>
      <c r="AF323" s="6">
        <v>81</v>
      </c>
      <c r="AG323" s="6"/>
      <c r="AH323" s="7">
        <v>1</v>
      </c>
      <c r="AI323" s="4"/>
      <c r="AJ323" s="4">
        <f>=ROUNDDOWN({0},0)</f>
      </c>
      <c r="AK323" s="5"/>
      <c r="AL323" s="2" t="s">
        <v>235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235</v>
      </c>
      <c r="BD323" s="8" t="s">
        <v>235</v>
      </c>
      <c r="BE323" s="4" t="s">
        <v>235</v>
      </c>
      <c r="BF323" s="8" t="s">
        <v>235</v>
      </c>
      <c r="BG323" s="7" t="s">
        <v>235</v>
      </c>
      <c r="BH323" s="7" t="s">
        <v>235</v>
      </c>
      <c r="BI323" s="7"/>
      <c r="BJ323" s="4">
        <v>7</v>
      </c>
      <c r="BK323" s="8">
        <v>358.57</v>
      </c>
      <c r="BL323" s="2" t="s">
        <v>1504</v>
      </c>
      <c r="BM323" s="7"/>
      <c r="BN323" s="7"/>
      <c r="BO323" s="4"/>
      <c r="BP323" s="8"/>
      <c r="BQ323" s="4"/>
      <c r="BR323" s="8"/>
      <c r="BS323" s="7"/>
      <c r="BT323" s="7"/>
      <c r="BU323" s="2" t="s">
        <v>1505</v>
      </c>
      <c r="BV323" s="2" t="s">
        <v>813</v>
      </c>
      <c r="BW323" s="2" t="s">
        <v>235</v>
      </c>
      <c r="BX323" s="2" t="s">
        <v>383</v>
      </c>
      <c r="BY323" s="2" t="s">
        <v>245</v>
      </c>
      <c r="BZ323" s="2" t="s">
        <v>232</v>
      </c>
      <c r="CA323" s="2" t="s">
        <v>415</v>
      </c>
      <c r="CB323" s="2" t="s">
        <v>1372</v>
      </c>
      <c r="CC323" s="2" t="s">
        <v>248</v>
      </c>
      <c r="CD323" s="2" t="s">
        <v>248</v>
      </c>
      <c r="CE323" s="2" t="s">
        <v>235</v>
      </c>
      <c r="CF323" s="4"/>
      <c r="CG323" s="4">
        <v>56</v>
      </c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>
        <v>56</v>
      </c>
      <c r="GE323" s="4">
        <v>47</v>
      </c>
      <c r="GF323" s="4">
        <v>45</v>
      </c>
      <c r="GG323" s="4">
        <v>43</v>
      </c>
      <c r="GH323" s="4">
        <v>41</v>
      </c>
      <c r="GI323" s="4">
        <v>39</v>
      </c>
      <c r="GJ323" s="4">
        <v>37</v>
      </c>
      <c r="GK323" s="4">
        <v>35</v>
      </c>
      <c r="GL323" s="4">
        <v>33</v>
      </c>
      <c r="GM323" s="4">
        <v>31</v>
      </c>
      <c r="GN323" s="4">
        <v>29</v>
      </c>
      <c r="GO323" s="4">
        <v>27</v>
      </c>
      <c r="GP323" s="4">
        <v>25</v>
      </c>
      <c r="GQ323" s="4">
        <v>23</v>
      </c>
      <c r="GR323" s="4">
        <v>21</v>
      </c>
      <c r="GS323" s="4">
        <v>19</v>
      </c>
      <c r="GT323" s="4">
        <v>17</v>
      </c>
      <c r="GU323" s="4">
        <v>15</v>
      </c>
      <c r="GV323" s="4">
        <v>13</v>
      </c>
      <c r="GW323" s="4">
        <v>11</v>
      </c>
      <c r="GX323" s="4">
        <v>9</v>
      </c>
      <c r="GY323" s="4">
        <v>7</v>
      </c>
      <c r="GZ323" s="4">
        <v>5</v>
      </c>
      <c r="HA323" s="4">
        <v>3</v>
      </c>
      <c r="HB323" s="4">
        <v>1</v>
      </c>
      <c r="HC323" s="4"/>
      <c r="HD323" s="19">
        <v>14</v>
      </c>
      <c r="HE323" s="19">
        <v>23.5</v>
      </c>
      <c r="HF323" s="19">
        <v>22.5</v>
      </c>
      <c r="HG323" s="19">
        <v>21.5</v>
      </c>
      <c r="HH323" s="19">
        <v>20.5</v>
      </c>
      <c r="HI323" s="19">
        <v>19.5</v>
      </c>
      <c r="HJ323" s="19">
        <v>18.5</v>
      </c>
      <c r="HK323" s="19">
        <v>17.5</v>
      </c>
      <c r="HL323" s="19">
        <v>16.5</v>
      </c>
      <c r="HM323" s="19">
        <v>15.5</v>
      </c>
      <c r="HN323" s="19">
        <v>14.5</v>
      </c>
      <c r="HO323" s="19">
        <v>13.5</v>
      </c>
      <c r="HP323" s="19">
        <v>12.5</v>
      </c>
      <c r="HQ323" s="19">
        <v>11.5</v>
      </c>
      <c r="HR323" s="19">
        <v>10.5</v>
      </c>
      <c r="HS323" s="19">
        <v>9.5</v>
      </c>
      <c r="HT323" s="19">
        <v>8.5</v>
      </c>
      <c r="HU323" s="19">
        <v>7.5</v>
      </c>
      <c r="HV323" s="19">
        <v>6.5</v>
      </c>
      <c r="HW323" s="19">
        <v>5.5</v>
      </c>
      <c r="HX323" s="19">
        <v>4.5</v>
      </c>
      <c r="HY323" s="19">
        <v>3.5</v>
      </c>
      <c r="HZ323" s="19">
        <v>2.5</v>
      </c>
      <c r="IA323" s="19">
        <v>1.5</v>
      </c>
      <c r="IB323" s="19">
        <v>0.5</v>
      </c>
      <c r="IC323" s="20">
        <v>0</v>
      </c>
    </row>
    <row r="324">
      <c r="A324" s="2" t="s">
        <v>1506</v>
      </c>
      <c r="B324" s="2" t="s">
        <v>1071</v>
      </c>
      <c r="C324" s="2" t="s">
        <v>324</v>
      </c>
      <c r="D324" s="2" t="s">
        <v>1417</v>
      </c>
      <c r="E324" s="2" t="s">
        <v>1507</v>
      </c>
      <c r="F324" s="2" t="s">
        <v>1508</v>
      </c>
      <c r="G324" s="2" t="s">
        <v>1509</v>
      </c>
      <c r="H324" s="2" t="s">
        <v>1510</v>
      </c>
      <c r="I324" s="2" t="s">
        <v>1511</v>
      </c>
      <c r="J324" s="2" t="s">
        <v>897</v>
      </c>
      <c r="K324" s="2" t="s">
        <v>1512</v>
      </c>
      <c r="L324" s="3">
        <v>237.5</v>
      </c>
      <c r="M324" s="3">
        <v>249.38</v>
      </c>
      <c r="N324" s="3">
        <v>499</v>
      </c>
      <c r="O324" s="2" t="s">
        <v>232</v>
      </c>
      <c r="P324" s="2" t="s">
        <v>965</v>
      </c>
      <c r="Q324" s="2" t="s">
        <v>234</v>
      </c>
      <c r="R324" s="2" t="s">
        <v>235</v>
      </c>
      <c r="S324" s="2" t="s">
        <v>235</v>
      </c>
      <c r="T324" s="2" t="s">
        <v>235</v>
      </c>
      <c r="U324" s="2" t="s">
        <v>807</v>
      </c>
      <c r="V324" s="2" t="s">
        <v>238</v>
      </c>
      <c r="W324" s="2" t="s">
        <v>1157</v>
      </c>
      <c r="X324" s="2" t="s">
        <v>235</v>
      </c>
      <c r="Y324" s="2" t="s">
        <v>1513</v>
      </c>
      <c r="Z324" s="4">
        <v>47</v>
      </c>
      <c r="AA324" s="4">
        <f>=ROUNDDOWN(23.5,0)</f>
      </c>
      <c r="AB324" s="5">
        <v>2</v>
      </c>
      <c r="AC324" s="2" t="s">
        <v>204</v>
      </c>
      <c r="AD324" s="4">
        <v>100</v>
      </c>
      <c r="AE324" s="4">
        <v>100</v>
      </c>
      <c r="AF324" s="6">
        <v>74</v>
      </c>
      <c r="AG324" s="6"/>
      <c r="AH324" s="7">
        <v>1</v>
      </c>
      <c r="AI324" s="4"/>
      <c r="AJ324" s="4">
        <f>=ROUNDDOWN({0},0)</f>
      </c>
      <c r="AK324" s="5"/>
      <c r="AL324" s="2" t="s">
        <v>235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>
        <v>23</v>
      </c>
      <c r="BK324" s="8">
        <v>5648.64</v>
      </c>
      <c r="BL324" s="2" t="s">
        <v>1514</v>
      </c>
      <c r="BM324" s="7"/>
      <c r="BN324" s="7"/>
      <c r="BO324" s="4"/>
      <c r="BP324" s="8"/>
      <c r="BQ324" s="4"/>
      <c r="BR324" s="8"/>
      <c r="BS324" s="7"/>
      <c r="BT324" s="7"/>
      <c r="BU324" s="2" t="s">
        <v>1515</v>
      </c>
      <c r="BV324" s="2" t="s">
        <v>1424</v>
      </c>
      <c r="BW324" s="2" t="s">
        <v>235</v>
      </c>
      <c r="BX324" s="2" t="s">
        <v>244</v>
      </c>
      <c r="BY324" s="2" t="s">
        <v>245</v>
      </c>
      <c r="BZ324" s="2" t="s">
        <v>232</v>
      </c>
      <c r="CA324" s="2" t="s">
        <v>1516</v>
      </c>
      <c r="CB324" s="2" t="s">
        <v>1517</v>
      </c>
      <c r="CC324" s="2" t="s">
        <v>248</v>
      </c>
      <c r="CD324" s="2" t="s">
        <v>248</v>
      </c>
      <c r="CE324" s="2" t="s">
        <v>235</v>
      </c>
      <c r="CF324" s="4"/>
      <c r="CG324" s="4">
        <v>47</v>
      </c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>
        <v>100</v>
      </c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>
        <v>50</v>
      </c>
      <c r="GE324" s="4">
        <v>40</v>
      </c>
      <c r="GF324" s="4">
        <v>38</v>
      </c>
      <c r="GG324" s="4">
        <v>36</v>
      </c>
      <c r="GH324" s="4">
        <v>34</v>
      </c>
      <c r="GI324" s="4">
        <v>32</v>
      </c>
      <c r="GJ324" s="4">
        <v>29</v>
      </c>
      <c r="GK324" s="4">
        <v>26</v>
      </c>
      <c r="GL324" s="4">
        <v>24</v>
      </c>
      <c r="GM324" s="4">
        <v>22</v>
      </c>
      <c r="GN324" s="4">
        <v>20</v>
      </c>
      <c r="GO324" s="4">
        <v>18</v>
      </c>
      <c r="GP324" s="4">
        <v>16</v>
      </c>
      <c r="GQ324" s="4">
        <v>13</v>
      </c>
      <c r="GR324" s="4">
        <v>10</v>
      </c>
      <c r="GS324" s="4">
        <v>108</v>
      </c>
      <c r="GT324" s="4">
        <v>106</v>
      </c>
      <c r="GU324" s="4">
        <v>104</v>
      </c>
      <c r="GV324" s="4">
        <v>102</v>
      </c>
      <c r="GW324" s="4">
        <v>100</v>
      </c>
      <c r="GX324" s="4">
        <v>98</v>
      </c>
      <c r="GY324" s="4">
        <v>96</v>
      </c>
      <c r="GZ324" s="4">
        <v>94</v>
      </c>
      <c r="HA324" s="4">
        <v>92</v>
      </c>
      <c r="HB324" s="4">
        <v>90</v>
      </c>
      <c r="HC324" s="4">
        <v>88</v>
      </c>
      <c r="HD324" s="19">
        <v>12.5</v>
      </c>
      <c r="HE324" s="19">
        <v>20</v>
      </c>
      <c r="HF324" s="19">
        <v>19</v>
      </c>
      <c r="HG324" s="19">
        <v>18</v>
      </c>
      <c r="HH324" s="19">
        <v>17</v>
      </c>
      <c r="HI324" s="19">
        <v>16</v>
      </c>
      <c r="HJ324" s="19">
        <v>14.5</v>
      </c>
      <c r="HK324" s="19">
        <v>13</v>
      </c>
      <c r="HL324" s="19">
        <v>12</v>
      </c>
      <c r="HM324" s="19">
        <v>11</v>
      </c>
      <c r="HN324" s="19">
        <v>10</v>
      </c>
      <c r="HO324" s="19">
        <v>9</v>
      </c>
      <c r="HP324" s="19">
        <v>8</v>
      </c>
      <c r="HQ324" s="19">
        <v>6.5</v>
      </c>
      <c r="HR324" s="19">
        <v>5</v>
      </c>
      <c r="HS324" s="19">
        <v>54</v>
      </c>
      <c r="HT324" s="19">
        <v>53</v>
      </c>
      <c r="HU324" s="19">
        <v>52</v>
      </c>
      <c r="HV324" s="19">
        <v>51</v>
      </c>
      <c r="HW324" s="19">
        <v>50</v>
      </c>
      <c r="HX324" s="19">
        <v>49</v>
      </c>
      <c r="HY324" s="19">
        <v>48</v>
      </c>
      <c r="HZ324" s="19">
        <v>47</v>
      </c>
      <c r="IA324" s="19">
        <v>46</v>
      </c>
      <c r="IB324" s="19">
        <v>45</v>
      </c>
      <c r="IC324" s="19">
        <v>44</v>
      </c>
    </row>
    <row r="325">
      <c r="A325" s="2" t="s">
        <v>1518</v>
      </c>
      <c r="B325" s="2" t="s">
        <v>817</v>
      </c>
      <c r="C325" s="2" t="s">
        <v>324</v>
      </c>
      <c r="D325" s="2" t="s">
        <v>1519</v>
      </c>
      <c r="E325" s="2" t="s">
        <v>1520</v>
      </c>
      <c r="F325" s="2" t="s">
        <v>1521</v>
      </c>
      <c r="G325" s="2" t="s">
        <v>1521</v>
      </c>
      <c r="H325" s="2" t="s">
        <v>1521</v>
      </c>
      <c r="I325" s="2" t="s">
        <v>1522</v>
      </c>
      <c r="J325" s="2" t="s">
        <v>806</v>
      </c>
      <c r="K325" s="2" t="s">
        <v>735</v>
      </c>
      <c r="L325" s="3">
        <v>57.14</v>
      </c>
      <c r="M325" s="3">
        <v>60</v>
      </c>
      <c r="N325" s="3">
        <v>119.99</v>
      </c>
      <c r="O325" s="2" t="s">
        <v>407</v>
      </c>
      <c r="P325" s="2" t="s">
        <v>408</v>
      </c>
      <c r="Q325" s="2" t="s">
        <v>234</v>
      </c>
      <c r="R325" s="2" t="s">
        <v>235</v>
      </c>
      <c r="S325" s="2" t="s">
        <v>235</v>
      </c>
      <c r="T325" s="2" t="s">
        <v>235</v>
      </c>
      <c r="U325" s="2" t="s">
        <v>807</v>
      </c>
      <c r="V325" s="2" t="s">
        <v>808</v>
      </c>
      <c r="W325" s="2" t="s">
        <v>329</v>
      </c>
      <c r="X325" s="2" t="s">
        <v>671</v>
      </c>
      <c r="Y325" s="2" t="s">
        <v>1523</v>
      </c>
      <c r="Z325" s="4">
        <v>103</v>
      </c>
      <c r="AA325" s="4">
        <f>=ROUNDDOWN(54.2105263157895,0)</f>
      </c>
      <c r="AB325" s="5">
        <v>1.9</v>
      </c>
      <c r="AC325" s="2" t="s">
        <v>235</v>
      </c>
      <c r="AD325" s="4"/>
      <c r="AE325" s="4"/>
      <c r="AF325" s="6">
        <v>63</v>
      </c>
      <c r="AG325" s="6"/>
      <c r="AH325" s="7">
        <v>1</v>
      </c>
      <c r="AI325" s="4"/>
      <c r="AJ325" s="4">
        <f>=ROUNDDOWN({0},0)</f>
      </c>
      <c r="AK325" s="5"/>
      <c r="AL325" s="2" t="s">
        <v>235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>
        <v>3</v>
      </c>
      <c r="BK325" s="8">
        <v>209.09</v>
      </c>
      <c r="BL325" s="2" t="s">
        <v>1524</v>
      </c>
      <c r="BM325" s="7"/>
      <c r="BN325" s="7"/>
      <c r="BO325" s="4"/>
      <c r="BP325" s="8"/>
      <c r="BQ325" s="4"/>
      <c r="BR325" s="8"/>
      <c r="BS325" s="7"/>
      <c r="BT325" s="7"/>
      <c r="BU325" s="2" t="s">
        <v>1525</v>
      </c>
      <c r="BV325" s="2" t="s">
        <v>828</v>
      </c>
      <c r="BW325" s="2" t="s">
        <v>235</v>
      </c>
      <c r="BX325" s="2" t="s">
        <v>414</v>
      </c>
      <c r="BY325" s="2" t="s">
        <v>245</v>
      </c>
      <c r="BZ325" s="2" t="s">
        <v>232</v>
      </c>
      <c r="CA325" s="2" t="s">
        <v>1526</v>
      </c>
      <c r="CB325" s="2" t="s">
        <v>1527</v>
      </c>
      <c r="CC325" s="2" t="s">
        <v>248</v>
      </c>
      <c r="CD325" s="2" t="s">
        <v>248</v>
      </c>
      <c r="CE325" s="2" t="s">
        <v>235</v>
      </c>
      <c r="CF325" s="4"/>
      <c r="CG325" s="4">
        <v>103</v>
      </c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>
        <v>103</v>
      </c>
      <c r="GE325" s="4">
        <v>101</v>
      </c>
      <c r="GF325" s="4">
        <v>99</v>
      </c>
      <c r="GG325" s="4">
        <v>97</v>
      </c>
      <c r="GH325" s="4">
        <v>95</v>
      </c>
      <c r="GI325" s="4">
        <v>93</v>
      </c>
      <c r="GJ325" s="4">
        <v>91</v>
      </c>
      <c r="GK325" s="4">
        <v>89</v>
      </c>
      <c r="GL325" s="4">
        <v>87</v>
      </c>
      <c r="GM325" s="4">
        <v>84</v>
      </c>
      <c r="GN325" s="4">
        <v>81</v>
      </c>
      <c r="GO325" s="4">
        <v>78</v>
      </c>
      <c r="GP325" s="4">
        <v>75</v>
      </c>
      <c r="GQ325" s="4">
        <v>73</v>
      </c>
      <c r="GR325" s="4">
        <v>71</v>
      </c>
      <c r="GS325" s="4">
        <v>69</v>
      </c>
      <c r="GT325" s="4">
        <v>67</v>
      </c>
      <c r="GU325" s="4">
        <v>65</v>
      </c>
      <c r="GV325" s="4">
        <v>63</v>
      </c>
      <c r="GW325" s="4">
        <v>61</v>
      </c>
      <c r="GX325" s="4">
        <v>59</v>
      </c>
      <c r="GY325" s="4">
        <v>57</v>
      </c>
      <c r="GZ325" s="4">
        <v>55</v>
      </c>
      <c r="HA325" s="4">
        <v>53</v>
      </c>
      <c r="HB325" s="4">
        <v>51</v>
      </c>
      <c r="HC325" s="4">
        <v>49</v>
      </c>
      <c r="HD325" s="19">
        <v>51.5</v>
      </c>
      <c r="HE325" s="19">
        <v>50.5</v>
      </c>
      <c r="HF325" s="19">
        <v>49.5</v>
      </c>
      <c r="HG325" s="19">
        <v>48.5</v>
      </c>
      <c r="HH325" s="19">
        <v>47.5</v>
      </c>
      <c r="HI325" s="19">
        <v>46.5</v>
      </c>
      <c r="HJ325" s="19">
        <v>45.5</v>
      </c>
      <c r="HK325" s="19">
        <v>29.7</v>
      </c>
      <c r="HL325" s="19">
        <v>29</v>
      </c>
      <c r="HM325" s="19">
        <v>28</v>
      </c>
      <c r="HN325" s="19">
        <v>40.5</v>
      </c>
      <c r="HO325" s="19">
        <v>39</v>
      </c>
      <c r="HP325" s="19">
        <v>37.5</v>
      </c>
      <c r="HQ325" s="19">
        <v>36.5</v>
      </c>
      <c r="HR325" s="19">
        <v>35.5</v>
      </c>
      <c r="HS325" s="19">
        <v>34.5</v>
      </c>
      <c r="HT325" s="19">
        <v>33.5</v>
      </c>
      <c r="HU325" s="19">
        <v>32.5</v>
      </c>
      <c r="HV325" s="19">
        <v>31.5</v>
      </c>
      <c r="HW325" s="19">
        <v>30.5</v>
      </c>
      <c r="HX325" s="19">
        <v>29.5</v>
      </c>
      <c r="HY325" s="19">
        <v>28.5</v>
      </c>
      <c r="HZ325" s="19">
        <v>27.5</v>
      </c>
      <c r="IA325" s="19">
        <v>26.5</v>
      </c>
      <c r="IB325" s="19">
        <v>25.5</v>
      </c>
      <c r="IC325" s="19">
        <v>24.5</v>
      </c>
    </row>
    <row r="326">
      <c r="A326" s="2" t="s">
        <v>1528</v>
      </c>
      <c r="B326" s="2" t="s">
        <v>1529</v>
      </c>
      <c r="C326" s="2" t="s">
        <v>1381</v>
      </c>
      <c r="D326" s="2" t="s">
        <v>1417</v>
      </c>
      <c r="E326" s="2" t="s">
        <v>1530</v>
      </c>
      <c r="F326" s="2" t="s">
        <v>1531</v>
      </c>
      <c r="G326" s="2" t="s">
        <v>1531</v>
      </c>
      <c r="H326" s="2" t="s">
        <v>1531</v>
      </c>
      <c r="I326" s="2" t="s">
        <v>1532</v>
      </c>
      <c r="J326" s="2" t="s">
        <v>897</v>
      </c>
      <c r="K326" s="2" t="s">
        <v>612</v>
      </c>
      <c r="L326" s="3">
        <v>427.86</v>
      </c>
      <c r="M326" s="3">
        <v>449.25</v>
      </c>
      <c r="N326" s="3">
        <v>1199</v>
      </c>
      <c r="O326" s="2" t="s">
        <v>232</v>
      </c>
      <c r="P326" s="2" t="s">
        <v>1533</v>
      </c>
      <c r="Q326" s="2" t="s">
        <v>492</v>
      </c>
      <c r="R326" s="2" t="s">
        <v>235</v>
      </c>
      <c r="S326" s="2" t="s">
        <v>235</v>
      </c>
      <c r="T326" s="2" t="s">
        <v>235</v>
      </c>
      <c r="U326" s="2" t="s">
        <v>807</v>
      </c>
      <c r="V326" s="2" t="s">
        <v>238</v>
      </c>
      <c r="W326" s="2" t="s">
        <v>235</v>
      </c>
      <c r="X326" s="2" t="s">
        <v>235</v>
      </c>
      <c r="Y326" s="2" t="s">
        <v>1534</v>
      </c>
      <c r="Z326" s="4">
        <v>29</v>
      </c>
      <c r="AA326" s="4">
        <f>=ROUNDDOWN(58,0)</f>
      </c>
      <c r="AB326" s="5">
        <v>0.5</v>
      </c>
      <c r="AC326" s="2" t="s">
        <v>235</v>
      </c>
      <c r="AD326" s="4"/>
      <c r="AE326" s="4"/>
      <c r="AF326" s="6"/>
      <c r="AG326" s="6"/>
      <c r="AH326" s="7">
        <v>1</v>
      </c>
      <c r="AI326" s="4"/>
      <c r="AJ326" s="4">
        <f>=ROUNDDOWN({0},0)</f>
      </c>
      <c r="AK326" s="5"/>
      <c r="AL326" s="2" t="s">
        <v>235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235</v>
      </c>
      <c r="BD326" s="8" t="s">
        <v>235</v>
      </c>
      <c r="BE326" s="4" t="s">
        <v>235</v>
      </c>
      <c r="BF326" s="8" t="s">
        <v>235</v>
      </c>
      <c r="BG326" s="7" t="s">
        <v>235</v>
      </c>
      <c r="BH326" s="7" t="s">
        <v>235</v>
      </c>
      <c r="BI326" s="7"/>
      <c r="BJ326" s="4">
        <v>2</v>
      </c>
      <c r="BK326" s="8">
        <v>597.5</v>
      </c>
      <c r="BL326" s="2" t="s">
        <v>900</v>
      </c>
      <c r="BM326" s="7"/>
      <c r="BN326" s="7"/>
      <c r="BO326" s="4"/>
      <c r="BP326" s="8"/>
      <c r="BQ326" s="4"/>
      <c r="BR326" s="8"/>
      <c r="BS326" s="7"/>
      <c r="BT326" s="7"/>
      <c r="BU326" s="2" t="s">
        <v>1535</v>
      </c>
      <c r="BV326" s="2" t="s">
        <v>1448</v>
      </c>
      <c r="BW326" s="2" t="s">
        <v>235</v>
      </c>
      <c r="BX326" s="2" t="s">
        <v>244</v>
      </c>
      <c r="BY326" s="2" t="s">
        <v>245</v>
      </c>
      <c r="BZ326" s="2" t="s">
        <v>232</v>
      </c>
      <c r="CA326" s="2" t="s">
        <v>1536</v>
      </c>
      <c r="CB326" s="2" t="s">
        <v>1537</v>
      </c>
      <c r="CC326" s="2" t="s">
        <v>248</v>
      </c>
      <c r="CD326" s="2" t="s">
        <v>248</v>
      </c>
      <c r="CE326" s="2" t="s">
        <v>235</v>
      </c>
      <c r="CF326" s="4"/>
      <c r="CG326" s="4">
        <v>20</v>
      </c>
      <c r="CH326" s="4"/>
      <c r="CI326" s="4">
        <v>9</v>
      </c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</row>
    <row r="327">
      <c r="A327" s="2" t="s">
        <v>1538</v>
      </c>
      <c r="B327" s="2" t="s">
        <v>1529</v>
      </c>
      <c r="C327" s="2" t="s">
        <v>1381</v>
      </c>
      <c r="D327" s="2" t="s">
        <v>1539</v>
      </c>
      <c r="E327" s="2" t="s">
        <v>1540</v>
      </c>
      <c r="F327" s="2" t="s">
        <v>1531</v>
      </c>
      <c r="G327" s="2" t="s">
        <v>1531</v>
      </c>
      <c r="H327" s="2" t="s">
        <v>1531</v>
      </c>
      <c r="I327" s="2" t="s">
        <v>1541</v>
      </c>
      <c r="J327" s="2" t="s">
        <v>1542</v>
      </c>
      <c r="K327" s="2" t="s">
        <v>1543</v>
      </c>
      <c r="L327" s="3">
        <v>28.56</v>
      </c>
      <c r="M327" s="3">
        <v>29.99</v>
      </c>
      <c r="N327" s="3">
        <v>79.99</v>
      </c>
      <c r="O327" s="2" t="s">
        <v>232</v>
      </c>
      <c r="P327" s="2" t="s">
        <v>1533</v>
      </c>
      <c r="Q327" s="2" t="s">
        <v>234</v>
      </c>
      <c r="R327" s="2" t="s">
        <v>235</v>
      </c>
      <c r="S327" s="2" t="s">
        <v>235</v>
      </c>
      <c r="T327" s="2" t="s">
        <v>235</v>
      </c>
      <c r="U327" s="2" t="s">
        <v>807</v>
      </c>
      <c r="V327" s="2" t="s">
        <v>238</v>
      </c>
      <c r="W327" s="2" t="s">
        <v>235</v>
      </c>
      <c r="X327" s="2" t="s">
        <v>235</v>
      </c>
      <c r="Y327" s="2" t="s">
        <v>1534</v>
      </c>
      <c r="Z327" s="4">
        <v>1</v>
      </c>
      <c r="AA327" s="4">
        <f>=ROUNDDOWN(2.5,0)</f>
      </c>
      <c r="AB327" s="5">
        <v>0.4</v>
      </c>
      <c r="AC327" s="2" t="s">
        <v>235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235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235</v>
      </c>
      <c r="BD327" s="8" t="s">
        <v>235</v>
      </c>
      <c r="BE327" s="4" t="s">
        <v>235</v>
      </c>
      <c r="BF327" s="8" t="s">
        <v>235</v>
      </c>
      <c r="BG327" s="7" t="s">
        <v>235</v>
      </c>
      <c r="BH327" s="7" t="s">
        <v>235</v>
      </c>
      <c r="BI327" s="7"/>
      <c r="BJ327" s="4"/>
      <c r="BK327" s="8"/>
      <c r="BL327" s="2" t="s">
        <v>235</v>
      </c>
      <c r="BM327" s="7"/>
      <c r="BN327" s="7"/>
      <c r="BO327" s="4"/>
      <c r="BP327" s="8"/>
      <c r="BQ327" s="4"/>
      <c r="BR327" s="8"/>
      <c r="BS327" s="7"/>
      <c r="BT327" s="7"/>
      <c r="BU327" s="2" t="s">
        <v>1544</v>
      </c>
      <c r="BV327" s="2" t="s">
        <v>243</v>
      </c>
      <c r="BW327" s="2" t="s">
        <v>235</v>
      </c>
      <c r="BX327" s="2" t="s">
        <v>244</v>
      </c>
      <c r="BY327" s="2" t="s">
        <v>245</v>
      </c>
      <c r="BZ327" s="2" t="s">
        <v>232</v>
      </c>
      <c r="CA327" s="2" t="s">
        <v>941</v>
      </c>
      <c r="CB327" s="2" t="s">
        <v>235</v>
      </c>
      <c r="CC327" s="2" t="s">
        <v>248</v>
      </c>
      <c r="CD327" s="2" t="s">
        <v>248</v>
      </c>
      <c r="CE327" s="2" t="s">
        <v>235</v>
      </c>
      <c r="CF327" s="4"/>
      <c r="CG327" s="4"/>
      <c r="CH327" s="4"/>
      <c r="CI327" s="4">
        <v>1</v>
      </c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</row>
    <row r="328">
      <c r="A328" s="2" t="s">
        <v>1545</v>
      </c>
      <c r="B328" s="2" t="s">
        <v>1529</v>
      </c>
      <c r="C328" s="2" t="s">
        <v>1381</v>
      </c>
      <c r="D328" s="2" t="s">
        <v>1539</v>
      </c>
      <c r="E328" s="2" t="s">
        <v>1540</v>
      </c>
      <c r="F328" s="2" t="s">
        <v>1531</v>
      </c>
      <c r="G328" s="2" t="s">
        <v>1531</v>
      </c>
      <c r="H328" s="2" t="s">
        <v>1531</v>
      </c>
      <c r="I328" s="2" t="s">
        <v>1541</v>
      </c>
      <c r="J328" s="2" t="s">
        <v>1542</v>
      </c>
      <c r="K328" s="2" t="s">
        <v>1546</v>
      </c>
      <c r="L328" s="3">
        <v>28.56</v>
      </c>
      <c r="M328" s="3">
        <v>29.99</v>
      </c>
      <c r="N328" s="3">
        <v>79.99</v>
      </c>
      <c r="O328" s="2" t="s">
        <v>232</v>
      </c>
      <c r="P328" s="2" t="s">
        <v>1533</v>
      </c>
      <c r="Q328" s="2" t="s">
        <v>234</v>
      </c>
      <c r="R328" s="2" t="s">
        <v>235</v>
      </c>
      <c r="S328" s="2" t="s">
        <v>235</v>
      </c>
      <c r="T328" s="2" t="s">
        <v>235</v>
      </c>
      <c r="U328" s="2" t="s">
        <v>807</v>
      </c>
      <c r="V328" s="2" t="s">
        <v>238</v>
      </c>
      <c r="W328" s="2" t="s">
        <v>235</v>
      </c>
      <c r="X328" s="2" t="s">
        <v>235</v>
      </c>
      <c r="Y328" s="2" t="s">
        <v>1534</v>
      </c>
      <c r="Z328" s="4">
        <v>19</v>
      </c>
      <c r="AA328" s="4">
        <f>=ROUNDDOWN(95,0)</f>
      </c>
      <c r="AB328" s="5">
        <v>0.2</v>
      </c>
      <c r="AC328" s="2" t="s">
        <v>235</v>
      </c>
      <c r="AD328" s="4"/>
      <c r="AE328" s="4"/>
      <c r="AF328" s="6"/>
      <c r="AG328" s="6"/>
      <c r="AH328" s="7">
        <v>1</v>
      </c>
      <c r="AI328" s="4"/>
      <c r="AJ328" s="4">
        <f>=ROUNDDOWN({0},0)</f>
      </c>
      <c r="AK328" s="5"/>
      <c r="AL328" s="2" t="s">
        <v>235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235</v>
      </c>
      <c r="AW328" s="8" t="s">
        <v>235</v>
      </c>
      <c r="AX328" s="4" t="s">
        <v>235</v>
      </c>
      <c r="AY328" s="8" t="s">
        <v>235</v>
      </c>
      <c r="AZ328" s="7" t="s">
        <v>235</v>
      </c>
      <c r="BA328" s="7" t="s">
        <v>235</v>
      </c>
      <c r="BB328" s="7"/>
      <c r="BC328" s="4" t="s">
        <v>235</v>
      </c>
      <c r="BD328" s="8" t="s">
        <v>235</v>
      </c>
      <c r="BE328" s="4" t="s">
        <v>235</v>
      </c>
      <c r="BF328" s="8" t="s">
        <v>235</v>
      </c>
      <c r="BG328" s="7" t="s">
        <v>235</v>
      </c>
      <c r="BH328" s="7" t="s">
        <v>235</v>
      </c>
      <c r="BI328" s="7"/>
      <c r="BJ328" s="4">
        <v>2</v>
      </c>
      <c r="BK328" s="8">
        <v>75.62</v>
      </c>
      <c r="BL328" s="2" t="s">
        <v>900</v>
      </c>
      <c r="BM328" s="7"/>
      <c r="BN328" s="7"/>
      <c r="BO328" s="4"/>
      <c r="BP328" s="8"/>
      <c r="BQ328" s="4"/>
      <c r="BR328" s="8"/>
      <c r="BS328" s="7"/>
      <c r="BT328" s="7"/>
      <c r="BU328" s="2" t="s">
        <v>1544</v>
      </c>
      <c r="BV328" s="2" t="s">
        <v>243</v>
      </c>
      <c r="BW328" s="2" t="s">
        <v>235</v>
      </c>
      <c r="BX328" s="2" t="s">
        <v>244</v>
      </c>
      <c r="BY328" s="2" t="s">
        <v>245</v>
      </c>
      <c r="BZ328" s="2" t="s">
        <v>232</v>
      </c>
      <c r="CA328" s="2" t="s">
        <v>941</v>
      </c>
      <c r="CB328" s="2" t="s">
        <v>235</v>
      </c>
      <c r="CC328" s="2" t="s">
        <v>248</v>
      </c>
      <c r="CD328" s="2" t="s">
        <v>248</v>
      </c>
      <c r="CE328" s="2" t="s">
        <v>235</v>
      </c>
      <c r="CF328" s="4"/>
      <c r="CG328" s="4">
        <v>7</v>
      </c>
      <c r="CH328" s="4"/>
      <c r="CI328" s="4">
        <v>12</v>
      </c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</row>
    <row r="329">
      <c r="A329" s="2" t="s">
        <v>1547</v>
      </c>
      <c r="B329" s="2" t="s">
        <v>1529</v>
      </c>
      <c r="C329" s="2" t="s">
        <v>1381</v>
      </c>
      <c r="D329" s="2" t="s">
        <v>1417</v>
      </c>
      <c r="E329" s="2" t="s">
        <v>1530</v>
      </c>
      <c r="F329" s="2" t="s">
        <v>1531</v>
      </c>
      <c r="G329" s="2" t="s">
        <v>1531</v>
      </c>
      <c r="H329" s="2" t="s">
        <v>1531</v>
      </c>
      <c r="I329" s="2" t="s">
        <v>1532</v>
      </c>
      <c r="J329" s="2" t="s">
        <v>897</v>
      </c>
      <c r="K329" s="2" t="s">
        <v>1546</v>
      </c>
      <c r="L329" s="3">
        <v>427.86</v>
      </c>
      <c r="M329" s="3">
        <v>449.25</v>
      </c>
      <c r="N329" s="3">
        <v>1199</v>
      </c>
      <c r="O329" s="2" t="s">
        <v>232</v>
      </c>
      <c r="P329" s="2" t="s">
        <v>1533</v>
      </c>
      <c r="Q329" s="2" t="s">
        <v>492</v>
      </c>
      <c r="R329" s="2" t="s">
        <v>235</v>
      </c>
      <c r="S329" s="2" t="s">
        <v>235</v>
      </c>
      <c r="T329" s="2" t="s">
        <v>235</v>
      </c>
      <c r="U329" s="2" t="s">
        <v>807</v>
      </c>
      <c r="V329" s="2" t="s">
        <v>238</v>
      </c>
      <c r="W329" s="2" t="s">
        <v>235</v>
      </c>
      <c r="X329" s="2" t="s">
        <v>235</v>
      </c>
      <c r="Y329" s="2" t="s">
        <v>1534</v>
      </c>
      <c r="Z329" s="4">
        <v>29</v>
      </c>
      <c r="AA329" s="4">
        <f>=ROUNDDOWN(58,0)</f>
      </c>
      <c r="AB329" s="5">
        <v>0.5</v>
      </c>
      <c r="AC329" s="2" t="s">
        <v>235</v>
      </c>
      <c r="AD329" s="4"/>
      <c r="AE329" s="4"/>
      <c r="AF329" s="6"/>
      <c r="AG329" s="6"/>
      <c r="AH329" s="7">
        <v>1</v>
      </c>
      <c r="AI329" s="4"/>
      <c r="AJ329" s="4">
        <f>=ROUNDDOWN({0},0)</f>
      </c>
      <c r="AK329" s="5"/>
      <c r="AL329" s="2" t="s">
        <v>235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235</v>
      </c>
      <c r="AW329" s="8" t="s">
        <v>235</v>
      </c>
      <c r="AX329" s="4" t="s">
        <v>235</v>
      </c>
      <c r="AY329" s="8" t="s">
        <v>235</v>
      </c>
      <c r="AZ329" s="7" t="s">
        <v>235</v>
      </c>
      <c r="BA329" s="7" t="s">
        <v>235</v>
      </c>
      <c r="BB329" s="7"/>
      <c r="BC329" s="4" t="s">
        <v>235</v>
      </c>
      <c r="BD329" s="8" t="s">
        <v>235</v>
      </c>
      <c r="BE329" s="4" t="s">
        <v>235</v>
      </c>
      <c r="BF329" s="8" t="s">
        <v>235</v>
      </c>
      <c r="BG329" s="7" t="s">
        <v>235</v>
      </c>
      <c r="BH329" s="7" t="s">
        <v>235</v>
      </c>
      <c r="BI329" s="7"/>
      <c r="BJ329" s="4">
        <v>2</v>
      </c>
      <c r="BK329" s="8">
        <v>597.5</v>
      </c>
      <c r="BL329" s="2" t="s">
        <v>900</v>
      </c>
      <c r="BM329" s="7"/>
      <c r="BN329" s="7"/>
      <c r="BO329" s="4"/>
      <c r="BP329" s="8"/>
      <c r="BQ329" s="4"/>
      <c r="BR329" s="8"/>
      <c r="BS329" s="7"/>
      <c r="BT329" s="7"/>
      <c r="BU329" s="2" t="s">
        <v>1535</v>
      </c>
      <c r="BV329" s="2" t="s">
        <v>1448</v>
      </c>
      <c r="BW329" s="2" t="s">
        <v>235</v>
      </c>
      <c r="BX329" s="2" t="s">
        <v>244</v>
      </c>
      <c r="BY329" s="2" t="s">
        <v>245</v>
      </c>
      <c r="BZ329" s="2" t="s">
        <v>232</v>
      </c>
      <c r="CA329" s="2" t="s">
        <v>1536</v>
      </c>
      <c r="CB329" s="2" t="s">
        <v>235</v>
      </c>
      <c r="CC329" s="2" t="s">
        <v>248</v>
      </c>
      <c r="CD329" s="2" t="s">
        <v>248</v>
      </c>
      <c r="CE329" s="2" t="s">
        <v>235</v>
      </c>
      <c r="CF329" s="4"/>
      <c r="CG329" s="4">
        <v>20</v>
      </c>
      <c r="CH329" s="4"/>
      <c r="CI329" s="4">
        <v>9</v>
      </c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</row>
    <row r="330">
      <c r="A330" s="2" t="s">
        <v>1548</v>
      </c>
      <c r="B330" s="2" t="s">
        <v>852</v>
      </c>
      <c r="C330" s="2" t="s">
        <v>324</v>
      </c>
      <c r="D330" s="2" t="s">
        <v>854</v>
      </c>
      <c r="E330" s="2" t="s">
        <v>1549</v>
      </c>
      <c r="F330" s="2" t="s">
        <v>1550</v>
      </c>
      <c r="G330" s="2" t="s">
        <v>1551</v>
      </c>
      <c r="H330" s="2" t="s">
        <v>1552</v>
      </c>
      <c r="I330" s="2" t="s">
        <v>1553</v>
      </c>
      <c r="J330" s="2" t="s">
        <v>1130</v>
      </c>
      <c r="K330" s="2" t="s">
        <v>292</v>
      </c>
      <c r="L330" s="3">
        <v>20.61</v>
      </c>
      <c r="M330" s="3">
        <v>21.64</v>
      </c>
      <c r="N330" s="3">
        <v>44.99</v>
      </c>
      <c r="O330" s="2" t="s">
        <v>232</v>
      </c>
      <c r="P330" s="2" t="s">
        <v>233</v>
      </c>
      <c r="Q330" s="2" t="s">
        <v>234</v>
      </c>
      <c r="R330" s="2" t="s">
        <v>235</v>
      </c>
      <c r="S330" s="2" t="s">
        <v>1554</v>
      </c>
      <c r="T330" s="2" t="s">
        <v>235</v>
      </c>
      <c r="U330" s="2" t="s">
        <v>807</v>
      </c>
      <c r="V330" s="2" t="s">
        <v>1555</v>
      </c>
      <c r="W330" s="2" t="s">
        <v>682</v>
      </c>
      <c r="X330" s="2" t="s">
        <v>1242</v>
      </c>
      <c r="Y330" s="2" t="s">
        <v>240</v>
      </c>
      <c r="Z330" s="4">
        <v>59</v>
      </c>
      <c r="AA330" s="4">
        <f>=ROUNDDOWN(20.3448275862069,0)</f>
      </c>
      <c r="AB330" s="5">
        <v>2.9</v>
      </c>
      <c r="AC330" s="2" t="s">
        <v>235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235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>
        <v>4</v>
      </c>
      <c r="BK330" s="8">
        <v>77.6</v>
      </c>
      <c r="BL330" s="2" t="s">
        <v>1556</v>
      </c>
      <c r="BM330" s="7"/>
      <c r="BN330" s="7"/>
      <c r="BO330" s="4"/>
      <c r="BP330" s="8"/>
      <c r="BQ330" s="4"/>
      <c r="BR330" s="8"/>
      <c r="BS330" s="7"/>
      <c r="BT330" s="7"/>
      <c r="BU330" s="2" t="s">
        <v>1557</v>
      </c>
      <c r="BV330" s="2" t="s">
        <v>867</v>
      </c>
      <c r="BW330" s="2" t="s">
        <v>235</v>
      </c>
      <c r="BX330" s="2" t="s">
        <v>244</v>
      </c>
      <c r="BY330" s="2" t="s">
        <v>245</v>
      </c>
      <c r="BZ330" s="2" t="s">
        <v>232</v>
      </c>
      <c r="CA330" s="2" t="s">
        <v>1558</v>
      </c>
      <c r="CB330" s="2" t="s">
        <v>1559</v>
      </c>
      <c r="CC330" s="2" t="s">
        <v>248</v>
      </c>
      <c r="CD330" s="2" t="s">
        <v>248</v>
      </c>
      <c r="CE330" s="2" t="s">
        <v>235</v>
      </c>
      <c r="CF330" s="4">
        <v>59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>
        <v>61</v>
      </c>
      <c r="GE330" s="4">
        <v>59</v>
      </c>
      <c r="GF330" s="4">
        <v>57</v>
      </c>
      <c r="GG330" s="4">
        <v>55</v>
      </c>
      <c r="GH330" s="4">
        <v>53</v>
      </c>
      <c r="GI330" s="4">
        <v>51</v>
      </c>
      <c r="GJ330" s="4">
        <v>49</v>
      </c>
      <c r="GK330" s="4">
        <v>47</v>
      </c>
      <c r="GL330" s="4">
        <v>45</v>
      </c>
      <c r="GM330" s="4">
        <v>42</v>
      </c>
      <c r="GN330" s="4">
        <v>38</v>
      </c>
      <c r="GO330" s="4">
        <v>34</v>
      </c>
      <c r="GP330" s="4">
        <v>30</v>
      </c>
      <c r="GQ330" s="4">
        <v>25</v>
      </c>
      <c r="GR330" s="4">
        <v>21</v>
      </c>
      <c r="GS330" s="4">
        <v>17</v>
      </c>
      <c r="GT330" s="4">
        <v>14</v>
      </c>
      <c r="GU330" s="4">
        <v>11</v>
      </c>
      <c r="GV330" s="4">
        <v>8</v>
      </c>
      <c r="GW330" s="4">
        <v>152</v>
      </c>
      <c r="GX330" s="4">
        <v>149</v>
      </c>
      <c r="GY330" s="4">
        <v>146</v>
      </c>
      <c r="GZ330" s="4">
        <v>143</v>
      </c>
      <c r="HA330" s="4">
        <v>140</v>
      </c>
      <c r="HB330" s="4">
        <v>137</v>
      </c>
      <c r="HC330" s="4">
        <v>134</v>
      </c>
      <c r="HD330" s="19">
        <v>30.5</v>
      </c>
      <c r="HE330" s="19">
        <v>29.5</v>
      </c>
      <c r="HF330" s="19">
        <v>28.5</v>
      </c>
      <c r="HG330" s="19">
        <v>27.5</v>
      </c>
      <c r="HH330" s="19">
        <v>26.5</v>
      </c>
      <c r="HI330" s="19">
        <v>25.5</v>
      </c>
      <c r="HJ330" s="19">
        <v>16.3</v>
      </c>
      <c r="HK330" s="19">
        <v>15.7</v>
      </c>
      <c r="HL330" s="19">
        <v>11.3</v>
      </c>
      <c r="HM330" s="19">
        <v>10.5</v>
      </c>
      <c r="HN330" s="19">
        <v>9.5</v>
      </c>
      <c r="HO330" s="19">
        <v>8.5</v>
      </c>
      <c r="HP330" s="19">
        <v>7.5</v>
      </c>
      <c r="HQ330" s="19">
        <v>6.3</v>
      </c>
      <c r="HR330" s="19">
        <v>7</v>
      </c>
      <c r="HS330" s="19">
        <v>5.7</v>
      </c>
      <c r="HT330" s="19">
        <v>4.7</v>
      </c>
      <c r="HU330" s="19">
        <v>3.7</v>
      </c>
      <c r="HV330" s="19">
        <v>2.7</v>
      </c>
      <c r="HW330" s="19">
        <v>50.7</v>
      </c>
      <c r="HX330" s="19">
        <v>49.7</v>
      </c>
      <c r="HY330" s="19">
        <v>48.7</v>
      </c>
      <c r="HZ330" s="19">
        <v>47.7</v>
      </c>
      <c r="IA330" s="19">
        <v>46.7</v>
      </c>
      <c r="IB330" s="19">
        <v>45.7</v>
      </c>
      <c r="IC330" s="19">
        <v>44.7</v>
      </c>
    </row>
    <row r="331">
      <c r="A331" s="2" t="s">
        <v>1560</v>
      </c>
      <c r="B331" s="2" t="s">
        <v>852</v>
      </c>
      <c r="C331" s="2" t="s">
        <v>1561</v>
      </c>
      <c r="D331" s="2" t="s">
        <v>854</v>
      </c>
      <c r="E331" s="2" t="s">
        <v>855</v>
      </c>
      <c r="F331" s="2" t="s">
        <v>1562</v>
      </c>
      <c r="G331" s="2" t="s">
        <v>1562</v>
      </c>
      <c r="H331" s="2" t="s">
        <v>1562</v>
      </c>
      <c r="I331" s="2" t="s">
        <v>1563</v>
      </c>
      <c r="J331" s="2" t="s">
        <v>1564</v>
      </c>
      <c r="K331" s="2" t="s">
        <v>1477</v>
      </c>
      <c r="L331" s="3">
        <v>23.83</v>
      </c>
      <c r="M331" s="3">
        <v>25.02</v>
      </c>
      <c r="N331" s="3">
        <v>69.99</v>
      </c>
      <c r="O331" s="2" t="s">
        <v>407</v>
      </c>
      <c r="P331" s="2" t="s">
        <v>408</v>
      </c>
      <c r="Q331" s="2" t="s">
        <v>234</v>
      </c>
      <c r="R331" s="2" t="s">
        <v>235</v>
      </c>
      <c r="S331" s="2" t="s">
        <v>235</v>
      </c>
      <c r="T331" s="2" t="s">
        <v>235</v>
      </c>
      <c r="U331" s="2" t="s">
        <v>807</v>
      </c>
      <c r="V331" s="2" t="s">
        <v>238</v>
      </c>
      <c r="W331" s="2" t="s">
        <v>329</v>
      </c>
      <c r="X331" s="2" t="s">
        <v>235</v>
      </c>
      <c r="Y331" s="2" t="s">
        <v>1565</v>
      </c>
      <c r="Z331" s="4">
        <v>114</v>
      </c>
      <c r="AA331" s="4">
        <f>=ROUNDDOWN(28.5,0)</f>
      </c>
      <c r="AB331" s="5">
        <v>4</v>
      </c>
      <c r="AC331" s="2" t="s">
        <v>235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235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235</v>
      </c>
      <c r="AW331" s="8" t="s">
        <v>235</v>
      </c>
      <c r="AX331" s="4" t="s">
        <v>235</v>
      </c>
      <c r="AY331" s="8" t="s">
        <v>235</v>
      </c>
      <c r="AZ331" s="7" t="s">
        <v>235</v>
      </c>
      <c r="BA331" s="7" t="s">
        <v>235</v>
      </c>
      <c r="BB331" s="7"/>
      <c r="BC331" s="4" t="s">
        <v>235</v>
      </c>
      <c r="BD331" s="8" t="s">
        <v>235</v>
      </c>
      <c r="BE331" s="4" t="s">
        <v>235</v>
      </c>
      <c r="BF331" s="8" t="s">
        <v>235</v>
      </c>
      <c r="BG331" s="7" t="s">
        <v>235</v>
      </c>
      <c r="BH331" s="7" t="s">
        <v>235</v>
      </c>
      <c r="BI331" s="7"/>
      <c r="BJ331" s="4">
        <v>6</v>
      </c>
      <c r="BK331" s="8">
        <v>207.96</v>
      </c>
      <c r="BL331" s="2" t="s">
        <v>1566</v>
      </c>
      <c r="BM331" s="7"/>
      <c r="BN331" s="7"/>
      <c r="BO331" s="4"/>
      <c r="BP331" s="8"/>
      <c r="BQ331" s="4"/>
      <c r="BR331" s="8"/>
      <c r="BS331" s="7"/>
      <c r="BT331" s="7"/>
      <c r="BU331" s="2" t="s">
        <v>1567</v>
      </c>
      <c r="BV331" s="2" t="s">
        <v>867</v>
      </c>
      <c r="BW331" s="2" t="s">
        <v>235</v>
      </c>
      <c r="BX331" s="2" t="s">
        <v>414</v>
      </c>
      <c r="BY331" s="2" t="s">
        <v>245</v>
      </c>
      <c r="BZ331" s="2" t="s">
        <v>232</v>
      </c>
      <c r="CA331" s="2" t="s">
        <v>1568</v>
      </c>
      <c r="CB331" s="2" t="s">
        <v>1569</v>
      </c>
      <c r="CC331" s="2" t="s">
        <v>248</v>
      </c>
      <c r="CD331" s="2" t="s">
        <v>248</v>
      </c>
      <c r="CE331" s="2" t="s">
        <v>235</v>
      </c>
      <c r="CF331" s="4">
        <v>114</v>
      </c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>
        <v>116</v>
      </c>
      <c r="GE331" s="4">
        <v>110</v>
      </c>
      <c r="GF331" s="4">
        <v>106</v>
      </c>
      <c r="GG331" s="4">
        <v>102</v>
      </c>
      <c r="GH331" s="4">
        <v>98</v>
      </c>
      <c r="GI331" s="4">
        <v>94</v>
      </c>
      <c r="GJ331" s="4">
        <v>90</v>
      </c>
      <c r="GK331" s="4">
        <v>86</v>
      </c>
      <c r="GL331" s="4">
        <v>82</v>
      </c>
      <c r="GM331" s="4">
        <v>78</v>
      </c>
      <c r="GN331" s="4">
        <v>73</v>
      </c>
      <c r="GO331" s="4">
        <v>67</v>
      </c>
      <c r="GP331" s="4">
        <v>60</v>
      </c>
      <c r="GQ331" s="4">
        <v>47</v>
      </c>
      <c r="GR331" s="4">
        <v>40</v>
      </c>
      <c r="GS331" s="4">
        <v>34</v>
      </c>
      <c r="GT331" s="4">
        <v>30</v>
      </c>
      <c r="GU331" s="4">
        <v>27</v>
      </c>
      <c r="GV331" s="4">
        <v>23</v>
      </c>
      <c r="GW331" s="4">
        <v>19</v>
      </c>
      <c r="GX331" s="4">
        <v>15</v>
      </c>
      <c r="GY331" s="4">
        <v>11</v>
      </c>
      <c r="GZ331" s="4">
        <v>7</v>
      </c>
      <c r="HA331" s="4">
        <v>3</v>
      </c>
      <c r="HB331" s="4"/>
      <c r="HC331" s="4"/>
      <c r="HD331" s="19">
        <v>29</v>
      </c>
      <c r="HE331" s="19">
        <v>27.5</v>
      </c>
      <c r="HF331" s="19">
        <v>26.5</v>
      </c>
      <c r="HG331" s="19">
        <v>25.5</v>
      </c>
      <c r="HH331" s="19">
        <v>24.5</v>
      </c>
      <c r="HI331" s="19">
        <v>23.5</v>
      </c>
      <c r="HJ331" s="19">
        <v>22.5</v>
      </c>
      <c r="HK331" s="19">
        <v>17.2</v>
      </c>
      <c r="HL331" s="19">
        <v>13.7</v>
      </c>
      <c r="HM331" s="19">
        <v>9.8</v>
      </c>
      <c r="HN331" s="19">
        <v>9.1</v>
      </c>
      <c r="HO331" s="19">
        <v>8.4</v>
      </c>
      <c r="HP331" s="19">
        <v>7.5</v>
      </c>
      <c r="HQ331" s="19">
        <v>9.4</v>
      </c>
      <c r="HR331" s="19">
        <v>10</v>
      </c>
      <c r="HS331" s="19">
        <v>8.5</v>
      </c>
      <c r="HT331" s="19">
        <v>7.5</v>
      </c>
      <c r="HU331" s="19">
        <v>6.8</v>
      </c>
      <c r="HV331" s="19">
        <v>5.8</v>
      </c>
      <c r="HW331" s="19">
        <v>4.8</v>
      </c>
      <c r="HX331" s="19">
        <v>3.8</v>
      </c>
      <c r="HY331" s="19">
        <v>2.8</v>
      </c>
      <c r="HZ331" s="19">
        <v>1.8</v>
      </c>
      <c r="IA331" s="19">
        <v>0.8</v>
      </c>
      <c r="IB331" s="20">
        <v>0</v>
      </c>
      <c r="IC331" s="20">
        <v>0</v>
      </c>
    </row>
    <row r="332">
      <c r="A332" s="2" t="s">
        <v>1570</v>
      </c>
      <c r="B332" s="2" t="s">
        <v>852</v>
      </c>
      <c r="C332" s="2" t="s">
        <v>1561</v>
      </c>
      <c r="D332" s="2" t="s">
        <v>854</v>
      </c>
      <c r="E332" s="2" t="s">
        <v>855</v>
      </c>
      <c r="F332" s="2" t="s">
        <v>1562</v>
      </c>
      <c r="G332" s="2" t="s">
        <v>1562</v>
      </c>
      <c r="H332" s="2" t="s">
        <v>1562</v>
      </c>
      <c r="I332" s="2" t="s">
        <v>1563</v>
      </c>
      <c r="J332" s="2" t="s">
        <v>1571</v>
      </c>
      <c r="K332" s="2" t="s">
        <v>1477</v>
      </c>
      <c r="L332" s="3">
        <v>27.23</v>
      </c>
      <c r="M332" s="3">
        <v>28.59</v>
      </c>
      <c r="N332" s="3">
        <v>79.99</v>
      </c>
      <c r="O332" s="2" t="s">
        <v>407</v>
      </c>
      <c r="P332" s="2" t="s">
        <v>408</v>
      </c>
      <c r="Q332" s="2" t="s">
        <v>234</v>
      </c>
      <c r="R332" s="2" t="s">
        <v>235</v>
      </c>
      <c r="S332" s="2" t="s">
        <v>235</v>
      </c>
      <c r="T332" s="2" t="s">
        <v>235</v>
      </c>
      <c r="U332" s="2" t="s">
        <v>807</v>
      </c>
      <c r="V332" s="2" t="s">
        <v>238</v>
      </c>
      <c r="W332" s="2" t="s">
        <v>329</v>
      </c>
      <c r="X332" s="2" t="s">
        <v>235</v>
      </c>
      <c r="Y332" s="2" t="s">
        <v>1565</v>
      </c>
      <c r="Z332" s="4">
        <v>86</v>
      </c>
      <c r="AA332" s="4">
        <f>=ROUNDDOWN(43,0)</f>
      </c>
      <c r="AB332" s="5">
        <v>2</v>
      </c>
      <c r="AC332" s="2" t="s">
        <v>235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235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235</v>
      </c>
      <c r="AW332" s="8" t="s">
        <v>235</v>
      </c>
      <c r="AX332" s="4" t="s">
        <v>235</v>
      </c>
      <c r="AY332" s="8" t="s">
        <v>235</v>
      </c>
      <c r="AZ332" s="7" t="s">
        <v>235</v>
      </c>
      <c r="BA332" s="7" t="s">
        <v>235</v>
      </c>
      <c r="BB332" s="7"/>
      <c r="BC332" s="4" t="s">
        <v>235</v>
      </c>
      <c r="BD332" s="8" t="s">
        <v>235</v>
      </c>
      <c r="BE332" s="4" t="s">
        <v>235</v>
      </c>
      <c r="BF332" s="8" t="s">
        <v>235</v>
      </c>
      <c r="BG332" s="7" t="s">
        <v>235</v>
      </c>
      <c r="BH332" s="7" t="s">
        <v>235</v>
      </c>
      <c r="BI332" s="7"/>
      <c r="BJ332" s="4">
        <v>9</v>
      </c>
      <c r="BK332" s="8">
        <v>354.62</v>
      </c>
      <c r="BL332" s="2" t="s">
        <v>1572</v>
      </c>
      <c r="BM332" s="7"/>
      <c r="BN332" s="7"/>
      <c r="BO332" s="4"/>
      <c r="BP332" s="8"/>
      <c r="BQ332" s="4"/>
      <c r="BR332" s="8"/>
      <c r="BS332" s="7"/>
      <c r="BT332" s="7"/>
      <c r="BU332" s="2" t="s">
        <v>1567</v>
      </c>
      <c r="BV332" s="2" t="s">
        <v>867</v>
      </c>
      <c r="BW332" s="2" t="s">
        <v>235</v>
      </c>
      <c r="BX332" s="2" t="s">
        <v>414</v>
      </c>
      <c r="BY332" s="2" t="s">
        <v>245</v>
      </c>
      <c r="BZ332" s="2" t="s">
        <v>232</v>
      </c>
      <c r="CA332" s="2" t="s">
        <v>1568</v>
      </c>
      <c r="CB332" s="2" t="s">
        <v>1573</v>
      </c>
      <c r="CC332" s="2" t="s">
        <v>248</v>
      </c>
      <c r="CD332" s="2" t="s">
        <v>248</v>
      </c>
      <c r="CE332" s="2" t="s">
        <v>235</v>
      </c>
      <c r="CF332" s="4">
        <v>86</v>
      </c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>
        <v>86</v>
      </c>
      <c r="GE332" s="4">
        <v>84</v>
      </c>
      <c r="GF332" s="4">
        <v>82</v>
      </c>
      <c r="GG332" s="4">
        <v>80</v>
      </c>
      <c r="GH332" s="4">
        <v>78</v>
      </c>
      <c r="GI332" s="4">
        <v>76</v>
      </c>
      <c r="GJ332" s="4">
        <v>74</v>
      </c>
      <c r="GK332" s="4">
        <v>72</v>
      </c>
      <c r="GL332" s="4">
        <v>70</v>
      </c>
      <c r="GM332" s="4">
        <v>68</v>
      </c>
      <c r="GN332" s="4">
        <v>66</v>
      </c>
      <c r="GO332" s="4">
        <v>63</v>
      </c>
      <c r="GP332" s="4">
        <v>60</v>
      </c>
      <c r="GQ332" s="4">
        <v>54</v>
      </c>
      <c r="GR332" s="4">
        <v>51</v>
      </c>
      <c r="GS332" s="4">
        <v>48</v>
      </c>
      <c r="GT332" s="4">
        <v>46</v>
      </c>
      <c r="GU332" s="4">
        <v>45</v>
      </c>
      <c r="GV332" s="4">
        <v>43</v>
      </c>
      <c r="GW332" s="4">
        <v>41</v>
      </c>
      <c r="GX332" s="4">
        <v>39</v>
      </c>
      <c r="GY332" s="4">
        <v>37</v>
      </c>
      <c r="GZ332" s="4">
        <v>35</v>
      </c>
      <c r="HA332" s="4">
        <v>33</v>
      </c>
      <c r="HB332" s="4">
        <v>31</v>
      </c>
      <c r="HC332" s="4">
        <v>29</v>
      </c>
      <c r="HD332" s="19">
        <v>43</v>
      </c>
      <c r="HE332" s="19">
        <v>42</v>
      </c>
      <c r="HF332" s="19">
        <v>41</v>
      </c>
      <c r="HG332" s="19">
        <v>40</v>
      </c>
      <c r="HH332" s="19">
        <v>39</v>
      </c>
      <c r="HI332" s="19">
        <v>38</v>
      </c>
      <c r="HJ332" s="19">
        <v>37</v>
      </c>
      <c r="HK332" s="19">
        <v>36</v>
      </c>
      <c r="HL332" s="19">
        <v>35</v>
      </c>
      <c r="HM332" s="19">
        <v>17</v>
      </c>
      <c r="HN332" s="19">
        <v>16.5</v>
      </c>
      <c r="HO332" s="19">
        <v>15.8</v>
      </c>
      <c r="HP332" s="19">
        <v>15</v>
      </c>
      <c r="HQ332" s="19">
        <v>27</v>
      </c>
      <c r="HR332" s="19">
        <v>25.5</v>
      </c>
      <c r="HS332" s="19">
        <v>24</v>
      </c>
      <c r="HT332" s="19">
        <v>23</v>
      </c>
      <c r="HU332" s="19">
        <v>22.5</v>
      </c>
      <c r="HV332" s="19">
        <v>21.5</v>
      </c>
      <c r="HW332" s="19">
        <v>20.5</v>
      </c>
      <c r="HX332" s="19">
        <v>19.5</v>
      </c>
      <c r="HY332" s="19">
        <v>18.5</v>
      </c>
      <c r="HZ332" s="19">
        <v>17.5</v>
      </c>
      <c r="IA332" s="19">
        <v>16.5</v>
      </c>
      <c r="IB332" s="19">
        <v>15.5</v>
      </c>
      <c r="IC332" s="19">
        <v>14.5</v>
      </c>
    </row>
    <row r="333">
      <c r="A333" s="2" t="s">
        <v>1574</v>
      </c>
      <c r="B333" s="2" t="s">
        <v>852</v>
      </c>
      <c r="C333" s="2" t="s">
        <v>1561</v>
      </c>
      <c r="D333" s="2" t="s">
        <v>854</v>
      </c>
      <c r="E333" s="2" t="s">
        <v>855</v>
      </c>
      <c r="F333" s="2" t="s">
        <v>1562</v>
      </c>
      <c r="G333" s="2" t="s">
        <v>1562</v>
      </c>
      <c r="H333" s="2" t="s">
        <v>1562</v>
      </c>
      <c r="I333" s="2" t="s">
        <v>1563</v>
      </c>
      <c r="J333" s="2" t="s">
        <v>1571</v>
      </c>
      <c r="K333" s="2" t="s">
        <v>1575</v>
      </c>
      <c r="L333" s="3">
        <v>27.23</v>
      </c>
      <c r="M333" s="3">
        <v>28.59</v>
      </c>
      <c r="N333" s="3">
        <v>79.99</v>
      </c>
      <c r="O333" s="2" t="s">
        <v>407</v>
      </c>
      <c r="P333" s="2" t="s">
        <v>408</v>
      </c>
      <c r="Q333" s="2" t="s">
        <v>234</v>
      </c>
      <c r="R333" s="2" t="s">
        <v>235</v>
      </c>
      <c r="S333" s="2" t="s">
        <v>235</v>
      </c>
      <c r="T333" s="2" t="s">
        <v>235</v>
      </c>
      <c r="U333" s="2" t="s">
        <v>807</v>
      </c>
      <c r="V333" s="2" t="s">
        <v>238</v>
      </c>
      <c r="W333" s="2" t="s">
        <v>329</v>
      </c>
      <c r="X333" s="2" t="s">
        <v>235</v>
      </c>
      <c r="Y333" s="2" t="s">
        <v>1565</v>
      </c>
      <c r="Z333" s="4">
        <v>50</v>
      </c>
      <c r="AA333" s="4">
        <f>=ROUNDDOWN(50,0)</f>
      </c>
      <c r="AB333" s="5">
        <v>1</v>
      </c>
      <c r="AC333" s="2" t="s">
        <v>235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235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235</v>
      </c>
      <c r="BD333" s="8" t="s">
        <v>235</v>
      </c>
      <c r="BE333" s="4" t="s">
        <v>235</v>
      </c>
      <c r="BF333" s="8" t="s">
        <v>235</v>
      </c>
      <c r="BG333" s="7" t="s">
        <v>235</v>
      </c>
      <c r="BH333" s="7" t="s">
        <v>235</v>
      </c>
      <c r="BI333" s="7"/>
      <c r="BJ333" s="4">
        <v>5</v>
      </c>
      <c r="BK333" s="8">
        <v>186.04</v>
      </c>
      <c r="BL333" s="2" t="s">
        <v>1576</v>
      </c>
      <c r="BM333" s="7"/>
      <c r="BN333" s="7"/>
      <c r="BO333" s="4"/>
      <c r="BP333" s="8"/>
      <c r="BQ333" s="4"/>
      <c r="BR333" s="8"/>
      <c r="BS333" s="7"/>
      <c r="BT333" s="7"/>
      <c r="BU333" s="2" t="s">
        <v>1567</v>
      </c>
      <c r="BV333" s="2" t="s">
        <v>867</v>
      </c>
      <c r="BW333" s="2" t="s">
        <v>235</v>
      </c>
      <c r="BX333" s="2" t="s">
        <v>414</v>
      </c>
      <c r="BY333" s="2" t="s">
        <v>245</v>
      </c>
      <c r="BZ333" s="2" t="s">
        <v>232</v>
      </c>
      <c r="CA333" s="2" t="s">
        <v>1577</v>
      </c>
      <c r="CB333" s="2" t="s">
        <v>1578</v>
      </c>
      <c r="CC333" s="2" t="s">
        <v>248</v>
      </c>
      <c r="CD333" s="2" t="s">
        <v>248</v>
      </c>
      <c r="CE333" s="2" t="s">
        <v>235</v>
      </c>
      <c r="CF333" s="4">
        <v>50</v>
      </c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>
        <v>50</v>
      </c>
      <c r="GE333" s="4">
        <v>49</v>
      </c>
      <c r="GF333" s="4">
        <v>48</v>
      </c>
      <c r="GG333" s="4">
        <v>47</v>
      </c>
      <c r="GH333" s="4">
        <v>46</v>
      </c>
      <c r="GI333" s="4">
        <v>45</v>
      </c>
      <c r="GJ333" s="4">
        <v>44</v>
      </c>
      <c r="GK333" s="4">
        <v>43</v>
      </c>
      <c r="GL333" s="4">
        <v>42</v>
      </c>
      <c r="GM333" s="4">
        <v>41</v>
      </c>
      <c r="GN333" s="4">
        <v>40</v>
      </c>
      <c r="GO333" s="4">
        <v>38</v>
      </c>
      <c r="GP333" s="4">
        <v>36</v>
      </c>
      <c r="GQ333" s="4">
        <v>33</v>
      </c>
      <c r="GR333" s="4">
        <v>31</v>
      </c>
      <c r="GS333" s="4">
        <v>29</v>
      </c>
      <c r="GT333" s="4">
        <v>28</v>
      </c>
      <c r="GU333" s="4">
        <v>27</v>
      </c>
      <c r="GV333" s="4">
        <v>26</v>
      </c>
      <c r="GW333" s="4">
        <v>25</v>
      </c>
      <c r="GX333" s="4">
        <v>24</v>
      </c>
      <c r="GY333" s="4">
        <v>23</v>
      </c>
      <c r="GZ333" s="4">
        <v>22</v>
      </c>
      <c r="HA333" s="4">
        <v>21</v>
      </c>
      <c r="HB333" s="4">
        <v>20</v>
      </c>
      <c r="HC333" s="4">
        <v>19</v>
      </c>
      <c r="HD333" s="19">
        <v>50</v>
      </c>
      <c r="HE333" s="19">
        <v>49</v>
      </c>
      <c r="HF333" s="19">
        <v>48</v>
      </c>
      <c r="HG333" s="19">
        <v>47</v>
      </c>
      <c r="HH333" s="19">
        <v>46</v>
      </c>
      <c r="HI333" s="19">
        <v>45</v>
      </c>
      <c r="HJ333" s="19">
        <v>44</v>
      </c>
      <c r="HK333" s="19">
        <v>43</v>
      </c>
      <c r="HL333" s="19">
        <v>21</v>
      </c>
      <c r="HM333" s="19">
        <v>20.5</v>
      </c>
      <c r="HN333" s="19">
        <v>20</v>
      </c>
      <c r="HO333" s="19">
        <v>19</v>
      </c>
      <c r="HP333" s="19">
        <v>18</v>
      </c>
      <c r="HQ333" s="19">
        <v>16.5</v>
      </c>
      <c r="HR333" s="19">
        <v>31</v>
      </c>
      <c r="HS333" s="19">
        <v>29</v>
      </c>
      <c r="HT333" s="19">
        <v>28</v>
      </c>
      <c r="HU333" s="19">
        <v>27</v>
      </c>
      <c r="HV333" s="19">
        <v>26</v>
      </c>
      <c r="HW333" s="19">
        <v>25</v>
      </c>
      <c r="HX333" s="19">
        <v>24</v>
      </c>
      <c r="HY333" s="19">
        <v>23</v>
      </c>
      <c r="HZ333" s="19">
        <v>22</v>
      </c>
      <c r="IA333" s="19">
        <v>21</v>
      </c>
      <c r="IB333" s="19">
        <v>20</v>
      </c>
      <c r="IC333" s="19">
        <v>19</v>
      </c>
    </row>
    <row r="334">
      <c r="A334" s="2" t="s">
        <v>1579</v>
      </c>
      <c r="B334" s="2" t="s">
        <v>852</v>
      </c>
      <c r="C334" s="2" t="s">
        <v>1561</v>
      </c>
      <c r="D334" s="2" t="s">
        <v>854</v>
      </c>
      <c r="E334" s="2" t="s">
        <v>855</v>
      </c>
      <c r="F334" s="2" t="s">
        <v>1562</v>
      </c>
      <c r="G334" s="2" t="s">
        <v>1562</v>
      </c>
      <c r="H334" s="2" t="s">
        <v>1562</v>
      </c>
      <c r="I334" s="2" t="s">
        <v>1563</v>
      </c>
      <c r="J334" s="2" t="s">
        <v>1571</v>
      </c>
      <c r="K334" s="2" t="s">
        <v>316</v>
      </c>
      <c r="L334" s="3">
        <v>27.23</v>
      </c>
      <c r="M334" s="3">
        <v>28.59</v>
      </c>
      <c r="N334" s="3">
        <v>79.99</v>
      </c>
      <c r="O334" s="2" t="s">
        <v>407</v>
      </c>
      <c r="P334" s="2" t="s">
        <v>408</v>
      </c>
      <c r="Q334" s="2" t="s">
        <v>234</v>
      </c>
      <c r="R334" s="2" t="s">
        <v>235</v>
      </c>
      <c r="S334" s="2" t="s">
        <v>235</v>
      </c>
      <c r="T334" s="2" t="s">
        <v>235</v>
      </c>
      <c r="U334" s="2" t="s">
        <v>807</v>
      </c>
      <c r="V334" s="2" t="s">
        <v>238</v>
      </c>
      <c r="W334" s="2" t="s">
        <v>329</v>
      </c>
      <c r="X334" s="2" t="s">
        <v>235</v>
      </c>
      <c r="Y334" s="2" t="s">
        <v>1565</v>
      </c>
      <c r="Z334" s="4"/>
      <c r="AA334" s="4">
        <f>=ROUNDDOWN({0},0)</f>
      </c>
      <c r="AB334" s="5">
        <v>3</v>
      </c>
      <c r="AC334" s="2" t="s">
        <v>235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235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235</v>
      </c>
      <c r="BD334" s="8" t="s">
        <v>235</v>
      </c>
      <c r="BE334" s="4" t="s">
        <v>235</v>
      </c>
      <c r="BF334" s="8" t="s">
        <v>235</v>
      </c>
      <c r="BG334" s="7" t="s">
        <v>235</v>
      </c>
      <c r="BH334" s="7" t="s">
        <v>235</v>
      </c>
      <c r="BI334" s="7"/>
      <c r="BJ334" s="4"/>
      <c r="BK334" s="8"/>
      <c r="BL334" s="2" t="s">
        <v>1580</v>
      </c>
      <c r="BM334" s="7"/>
      <c r="BN334" s="7"/>
      <c r="BO334" s="4"/>
      <c r="BP334" s="8"/>
      <c r="BQ334" s="4"/>
      <c r="BR334" s="8"/>
      <c r="BS334" s="7"/>
      <c r="BT334" s="7"/>
      <c r="BU334" s="2" t="s">
        <v>1567</v>
      </c>
      <c r="BV334" s="2" t="s">
        <v>867</v>
      </c>
      <c r="BW334" s="2" t="s">
        <v>235</v>
      </c>
      <c r="BX334" s="2" t="s">
        <v>414</v>
      </c>
      <c r="BY334" s="2" t="s">
        <v>245</v>
      </c>
      <c r="BZ334" s="2" t="s">
        <v>232</v>
      </c>
      <c r="CA334" s="2" t="s">
        <v>1568</v>
      </c>
      <c r="CB334" s="2" t="s">
        <v>1581</v>
      </c>
      <c r="CC334" s="2" t="s">
        <v>248</v>
      </c>
      <c r="CD334" s="2" t="s">
        <v>248</v>
      </c>
      <c r="CE334" s="2" t="s">
        <v>235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>
        <v>41</v>
      </c>
      <c r="GE334" s="4">
        <v>39</v>
      </c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19">
        <v>3.4</v>
      </c>
      <c r="HE334" s="19">
        <v>3.3</v>
      </c>
      <c r="HF334" s="20">
        <v>0</v>
      </c>
      <c r="HG334" s="20">
        <v>0</v>
      </c>
      <c r="HH334" s="20">
        <v>0</v>
      </c>
      <c r="HI334" s="20">
        <v>0</v>
      </c>
      <c r="HJ334" s="20">
        <v>0</v>
      </c>
      <c r="HK334" s="20">
        <v>0</v>
      </c>
      <c r="HL334" s="20">
        <v>0</v>
      </c>
      <c r="HM334" s="20">
        <v>0</v>
      </c>
      <c r="HN334" s="20">
        <v>0</v>
      </c>
      <c r="HO334" s="20">
        <v>0</v>
      </c>
      <c r="HP334" s="20">
        <v>0</v>
      </c>
      <c r="HQ334" s="20">
        <v>0</v>
      </c>
      <c r="HR334" s="20">
        <v>0</v>
      </c>
      <c r="HS334" s="20">
        <v>0</v>
      </c>
      <c r="HT334" s="20">
        <v>0</v>
      </c>
      <c r="HU334" s="20">
        <v>0</v>
      </c>
      <c r="HV334" s="20">
        <v>0</v>
      </c>
      <c r="HW334" s="20">
        <v>0</v>
      </c>
      <c r="HX334" s="20">
        <v>0</v>
      </c>
      <c r="HY334" s="20">
        <v>0</v>
      </c>
      <c r="HZ334" s="20">
        <v>0</v>
      </c>
      <c r="IA334" s="20">
        <v>0</v>
      </c>
      <c r="IB334" s="20">
        <v>0</v>
      </c>
      <c r="IC334" s="20">
        <v>0</v>
      </c>
    </row>
    <row r="335">
      <c r="A335" s="2" t="s">
        <v>1582</v>
      </c>
      <c r="B335" s="2" t="s">
        <v>1071</v>
      </c>
      <c r="C335" s="2" t="s">
        <v>324</v>
      </c>
      <c r="D335" s="2" t="s">
        <v>1482</v>
      </c>
      <c r="E335" s="2" t="s">
        <v>1483</v>
      </c>
      <c r="F335" s="2" t="s">
        <v>1583</v>
      </c>
      <c r="G335" s="2" t="s">
        <v>1584</v>
      </c>
      <c r="H335" s="2" t="s">
        <v>1585</v>
      </c>
      <c r="I335" s="2" t="s">
        <v>1586</v>
      </c>
      <c r="J335" s="2" t="s">
        <v>897</v>
      </c>
      <c r="K335" s="2" t="s">
        <v>292</v>
      </c>
      <c r="L335" s="3">
        <v>80.87</v>
      </c>
      <c r="M335" s="3">
        <v>84.91</v>
      </c>
      <c r="N335" s="3">
        <v>169</v>
      </c>
      <c r="O335" s="2" t="s">
        <v>232</v>
      </c>
      <c r="P335" s="2" t="s">
        <v>408</v>
      </c>
      <c r="Q335" s="2" t="s">
        <v>234</v>
      </c>
      <c r="R335" s="2" t="s">
        <v>235</v>
      </c>
      <c r="S335" s="2" t="s">
        <v>1587</v>
      </c>
      <c r="T335" s="2" t="s">
        <v>235</v>
      </c>
      <c r="U335" s="2" t="s">
        <v>235</v>
      </c>
      <c r="V335" s="2" t="s">
        <v>238</v>
      </c>
      <c r="W335" s="2" t="s">
        <v>1157</v>
      </c>
      <c r="X335" s="2" t="s">
        <v>235</v>
      </c>
      <c r="Y335" s="2" t="s">
        <v>240</v>
      </c>
      <c r="Z335" s="4"/>
      <c r="AA335" s="4">
        <f>=ROUNDDOWN({0},0)</f>
      </c>
      <c r="AB335" s="5">
        <v>31.8</v>
      </c>
      <c r="AC335" s="2" t="s">
        <v>235</v>
      </c>
      <c r="AD335" s="4"/>
      <c r="AE335" s="4"/>
      <c r="AF335" s="6">
        <v>83</v>
      </c>
      <c r="AG335" s="6">
        <v>69</v>
      </c>
      <c r="AH335" s="7">
        <v>0</v>
      </c>
      <c r="AI335" s="4"/>
      <c r="AJ335" s="4">
        <f>=ROUNDDOWN({0},0)</f>
      </c>
      <c r="AK335" s="5"/>
      <c r="AL335" s="2" t="s">
        <v>235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1588</v>
      </c>
      <c r="BM335" s="7"/>
      <c r="BN335" s="7"/>
      <c r="BO335" s="4"/>
      <c r="BP335" s="8"/>
      <c r="BQ335" s="4"/>
      <c r="BR335" s="8"/>
      <c r="BS335" s="7"/>
      <c r="BT335" s="7"/>
      <c r="BU335" s="2" t="s">
        <v>1589</v>
      </c>
      <c r="BV335" s="2" t="s">
        <v>1488</v>
      </c>
      <c r="BW335" s="2" t="s">
        <v>235</v>
      </c>
      <c r="BX335" s="2" t="s">
        <v>414</v>
      </c>
      <c r="BY335" s="2" t="s">
        <v>245</v>
      </c>
      <c r="BZ335" s="2" t="s">
        <v>232</v>
      </c>
      <c r="CA335" s="2" t="s">
        <v>252</v>
      </c>
      <c r="CB335" s="2" t="s">
        <v>1014</v>
      </c>
      <c r="CC335" s="2" t="s">
        <v>248</v>
      </c>
      <c r="CD335" s="2" t="s">
        <v>248</v>
      </c>
      <c r="CE335" s="2" t="s">
        <v>235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20">
        <v>0</v>
      </c>
      <c r="HE335" s="20">
        <v>0</v>
      </c>
      <c r="HF335" s="20">
        <v>0</v>
      </c>
      <c r="HG335" s="20">
        <v>0</v>
      </c>
      <c r="HH335" s="20">
        <v>0</v>
      </c>
      <c r="HI335" s="20">
        <v>0</v>
      </c>
      <c r="HJ335" s="20">
        <v>0</v>
      </c>
      <c r="HK335" s="20">
        <v>0</v>
      </c>
      <c r="HL335" s="20">
        <v>0</v>
      </c>
      <c r="HM335" s="20">
        <v>0</v>
      </c>
      <c r="HN335" s="20">
        <v>0</v>
      </c>
      <c r="HO335" s="20">
        <v>0</v>
      </c>
      <c r="HP335" s="20">
        <v>0</v>
      </c>
      <c r="HQ335" s="20">
        <v>0</v>
      </c>
      <c r="HR335" s="20">
        <v>0</v>
      </c>
      <c r="HS335" s="20">
        <v>0</v>
      </c>
      <c r="HT335" s="20">
        <v>0</v>
      </c>
      <c r="HU335" s="20">
        <v>0</v>
      </c>
      <c r="HV335" s="20">
        <v>0</v>
      </c>
      <c r="HW335" s="20">
        <v>0</v>
      </c>
      <c r="HX335" s="20">
        <v>0</v>
      </c>
      <c r="HY335" s="20">
        <v>0</v>
      </c>
      <c r="HZ335" s="20">
        <v>0</v>
      </c>
      <c r="IA335" s="20">
        <v>0</v>
      </c>
      <c r="IB335" s="20">
        <v>0</v>
      </c>
      <c r="IC335" s="20">
        <v>0</v>
      </c>
    </row>
    <row r="336">
      <c r="A336" s="2" t="s">
        <v>1590</v>
      </c>
      <c r="B336" s="2" t="s">
        <v>905</v>
      </c>
      <c r="C336" s="2" t="s">
        <v>606</v>
      </c>
      <c r="D336" s="2" t="s">
        <v>361</v>
      </c>
      <c r="E336" s="2" t="s">
        <v>924</v>
      </c>
      <c r="F336" s="2" t="s">
        <v>1591</v>
      </c>
      <c r="G336" s="2" t="s">
        <v>1592</v>
      </c>
      <c r="H336" s="2" t="s">
        <v>1593</v>
      </c>
      <c r="I336" s="2" t="s">
        <v>1594</v>
      </c>
      <c r="J336" s="2" t="s">
        <v>372</v>
      </c>
      <c r="K336" s="2" t="s">
        <v>1595</v>
      </c>
      <c r="L336" s="3">
        <v>42.46</v>
      </c>
      <c r="M336" s="3">
        <v>44.58</v>
      </c>
      <c r="N336" s="3">
        <v>94.99</v>
      </c>
      <c r="O336" s="2" t="s">
        <v>232</v>
      </c>
      <c r="P336" s="2" t="s">
        <v>336</v>
      </c>
      <c r="Q336" s="2" t="s">
        <v>234</v>
      </c>
      <c r="R336" s="2" t="s">
        <v>235</v>
      </c>
      <c r="S336" s="2" t="s">
        <v>235</v>
      </c>
      <c r="T336" s="2" t="s">
        <v>879</v>
      </c>
      <c r="U336" s="2" t="s">
        <v>552</v>
      </c>
      <c r="V336" s="2" t="s">
        <v>420</v>
      </c>
      <c r="W336" s="2" t="s">
        <v>239</v>
      </c>
      <c r="X336" s="2" t="s">
        <v>1596</v>
      </c>
      <c r="Y336" s="2" t="s">
        <v>1597</v>
      </c>
      <c r="Z336" s="4">
        <v>908</v>
      </c>
      <c r="AA336" s="4">
        <f>=ROUNDDOWN(43.2380952380952,0)</f>
      </c>
      <c r="AB336" s="5">
        <v>21</v>
      </c>
      <c r="AC336" s="2" t="s">
        <v>186</v>
      </c>
      <c r="AD336" s="4">
        <v>150</v>
      </c>
      <c r="AE336" s="4">
        <v>150</v>
      </c>
      <c r="AF336" s="6">
        <v>66</v>
      </c>
      <c r="AG336" s="6">
        <v>49</v>
      </c>
      <c r="AH336" s="7">
        <v>1</v>
      </c>
      <c r="AI336" s="4"/>
      <c r="AJ336" s="4">
        <f>=ROUNDDOWN({0},0)</f>
      </c>
      <c r="AK336" s="5"/>
      <c r="AL336" s="2" t="s">
        <v>235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235</v>
      </c>
      <c r="BD336" s="8" t="s">
        <v>235</v>
      </c>
      <c r="BE336" s="4" t="s">
        <v>235</v>
      </c>
      <c r="BF336" s="8" t="s">
        <v>235</v>
      </c>
      <c r="BG336" s="7" t="s">
        <v>235</v>
      </c>
      <c r="BH336" s="7" t="s">
        <v>235</v>
      </c>
      <c r="BI336" s="7"/>
      <c r="BJ336" s="4">
        <v>79</v>
      </c>
      <c r="BK336" s="8">
        <v>3590.96</v>
      </c>
      <c r="BL336" s="2" t="s">
        <v>648</v>
      </c>
      <c r="BM336" s="7"/>
      <c r="BN336" s="7"/>
      <c r="BO336" s="4"/>
      <c r="BP336" s="8"/>
      <c r="BQ336" s="4"/>
      <c r="BR336" s="8"/>
      <c r="BS336" s="7"/>
      <c r="BT336" s="7"/>
      <c r="BU336" s="2" t="s">
        <v>1598</v>
      </c>
      <c r="BV336" s="2" t="s">
        <v>243</v>
      </c>
      <c r="BW336" s="2" t="s">
        <v>235</v>
      </c>
      <c r="BX336" s="2" t="s">
        <v>619</v>
      </c>
      <c r="BY336" s="2" t="s">
        <v>245</v>
      </c>
      <c r="BZ336" s="2" t="s">
        <v>232</v>
      </c>
      <c r="CA336" s="2" t="s">
        <v>1599</v>
      </c>
      <c r="CB336" s="2" t="s">
        <v>1600</v>
      </c>
      <c r="CC336" s="2" t="s">
        <v>248</v>
      </c>
      <c r="CD336" s="2" t="s">
        <v>248</v>
      </c>
      <c r="CE336" s="2" t="s">
        <v>235</v>
      </c>
      <c r="CF336" s="4">
        <v>237</v>
      </c>
      <c r="CG336" s="4"/>
      <c r="CH336" s="4"/>
      <c r="CI336" s="4">
        <v>671</v>
      </c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>
        <v>150</v>
      </c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>
        <v>913</v>
      </c>
      <c r="GE336" s="4">
        <v>864</v>
      </c>
      <c r="GF336" s="4">
        <v>837</v>
      </c>
      <c r="GG336" s="4">
        <v>809</v>
      </c>
      <c r="GH336" s="4">
        <v>776</v>
      </c>
      <c r="GI336" s="4">
        <v>725</v>
      </c>
      <c r="GJ336" s="4">
        <v>672</v>
      </c>
      <c r="GK336" s="4">
        <v>627</v>
      </c>
      <c r="GL336" s="4">
        <v>582</v>
      </c>
      <c r="GM336" s="4">
        <v>541</v>
      </c>
      <c r="GN336" s="4">
        <v>505</v>
      </c>
      <c r="GO336" s="4">
        <v>596</v>
      </c>
      <c r="GP336" s="4">
        <v>519</v>
      </c>
      <c r="GQ336" s="4">
        <v>398</v>
      </c>
      <c r="GR336" s="4">
        <v>320</v>
      </c>
      <c r="GS336" s="4">
        <v>259</v>
      </c>
      <c r="GT336" s="4">
        <v>196</v>
      </c>
      <c r="GU336" s="4">
        <v>198</v>
      </c>
      <c r="GV336" s="4">
        <v>165</v>
      </c>
      <c r="GW336" s="4">
        <v>132</v>
      </c>
      <c r="GX336" s="4">
        <v>473</v>
      </c>
      <c r="GY336" s="4">
        <v>443</v>
      </c>
      <c r="GZ336" s="4">
        <v>416</v>
      </c>
      <c r="HA336" s="4">
        <v>391</v>
      </c>
      <c r="HB336" s="4">
        <v>366</v>
      </c>
      <c r="HC336" s="4">
        <v>340</v>
      </c>
      <c r="HD336" s="19">
        <v>46.6</v>
      </c>
      <c r="HE336" s="19">
        <v>40.8</v>
      </c>
      <c r="HF336" s="19">
        <v>30.5</v>
      </c>
      <c r="HG336" s="19">
        <v>24.3</v>
      </c>
      <c r="HH336" s="19">
        <v>21</v>
      </c>
      <c r="HI336" s="19">
        <v>16.2</v>
      </c>
      <c r="HJ336" s="19">
        <v>13.5</v>
      </c>
      <c r="HK336" s="19">
        <v>9.3</v>
      </c>
      <c r="HL336" s="19">
        <v>7.4</v>
      </c>
      <c r="HM336" s="19">
        <v>6.5</v>
      </c>
      <c r="HN336" s="19">
        <v>5.5</v>
      </c>
      <c r="HO336" s="19">
        <v>6.6</v>
      </c>
      <c r="HP336" s="19">
        <v>5.4</v>
      </c>
      <c r="HQ336" s="19">
        <v>4.4</v>
      </c>
      <c r="HR336" s="19">
        <v>3.3</v>
      </c>
      <c r="HS336" s="19">
        <v>3.1</v>
      </c>
      <c r="HT336" s="19">
        <v>2.9</v>
      </c>
      <c r="HU336" s="19">
        <v>3.6</v>
      </c>
      <c r="HV336" s="19">
        <v>4.2</v>
      </c>
      <c r="HW336" s="19">
        <v>4.7</v>
      </c>
      <c r="HX336" s="19">
        <v>17.6</v>
      </c>
      <c r="HY336" s="19">
        <v>17.3</v>
      </c>
      <c r="HZ336" s="19">
        <v>16.7</v>
      </c>
      <c r="IA336" s="19">
        <v>16.1</v>
      </c>
      <c r="IB336" s="19">
        <v>17.3</v>
      </c>
      <c r="IC336" s="19">
        <v>17</v>
      </c>
    </row>
    <row r="337">
      <c r="A337" s="2" t="s">
        <v>1601</v>
      </c>
      <c r="B337" s="2" t="s">
        <v>905</v>
      </c>
      <c r="C337" s="2" t="s">
        <v>606</v>
      </c>
      <c r="D337" s="2" t="s">
        <v>361</v>
      </c>
      <c r="E337" s="2" t="s">
        <v>924</v>
      </c>
      <c r="F337" s="2" t="s">
        <v>1591</v>
      </c>
      <c r="G337" s="2" t="s">
        <v>1592</v>
      </c>
      <c r="H337" s="2" t="s">
        <v>1593</v>
      </c>
      <c r="I337" s="2" t="s">
        <v>1594</v>
      </c>
      <c r="J337" s="2" t="s">
        <v>877</v>
      </c>
      <c r="K337" s="2" t="s">
        <v>1602</v>
      </c>
      <c r="L337" s="3">
        <v>32.01</v>
      </c>
      <c r="M337" s="3">
        <v>33.61</v>
      </c>
      <c r="N337" s="3">
        <v>74.99</v>
      </c>
      <c r="O337" s="2" t="s">
        <v>232</v>
      </c>
      <c r="P337" s="2" t="s">
        <v>1282</v>
      </c>
      <c r="Q337" s="2" t="s">
        <v>234</v>
      </c>
      <c r="R337" s="2" t="s">
        <v>235</v>
      </c>
      <c r="S337" s="2" t="s">
        <v>235</v>
      </c>
      <c r="T337" s="2" t="s">
        <v>879</v>
      </c>
      <c r="U337" s="2" t="s">
        <v>278</v>
      </c>
      <c r="V337" s="2" t="s">
        <v>420</v>
      </c>
      <c r="W337" s="2" t="s">
        <v>239</v>
      </c>
      <c r="X337" s="2" t="s">
        <v>1596</v>
      </c>
      <c r="Y337" s="2" t="s">
        <v>1597</v>
      </c>
      <c r="Z337" s="4">
        <v>343</v>
      </c>
      <c r="AA337" s="4">
        <f>=ROUNDDOWN(12.7037037037037,0)</f>
      </c>
      <c r="AB337" s="5">
        <v>27</v>
      </c>
      <c r="AC337" s="2" t="s">
        <v>186</v>
      </c>
      <c r="AD337" s="4">
        <v>450</v>
      </c>
      <c r="AE337" s="4">
        <v>650</v>
      </c>
      <c r="AF337" s="6">
        <v>66</v>
      </c>
      <c r="AG337" s="6">
        <v>49</v>
      </c>
      <c r="AH337" s="7">
        <v>1</v>
      </c>
      <c r="AI337" s="4"/>
      <c r="AJ337" s="4">
        <f>=ROUNDDOWN({0},0)</f>
      </c>
      <c r="AK337" s="5"/>
      <c r="AL337" s="2" t="s">
        <v>235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235</v>
      </c>
      <c r="BD337" s="8" t="s">
        <v>235</v>
      </c>
      <c r="BE337" s="4" t="s">
        <v>235</v>
      </c>
      <c r="BF337" s="8" t="s">
        <v>235</v>
      </c>
      <c r="BG337" s="7" t="s">
        <v>235</v>
      </c>
      <c r="BH337" s="7" t="s">
        <v>235</v>
      </c>
      <c r="BI337" s="7"/>
      <c r="BJ337" s="4">
        <v>173</v>
      </c>
      <c r="BK337" s="8">
        <v>6292.99</v>
      </c>
      <c r="BL337" s="2" t="s">
        <v>1603</v>
      </c>
      <c r="BM337" s="7"/>
      <c r="BN337" s="7"/>
      <c r="BO337" s="4"/>
      <c r="BP337" s="8"/>
      <c r="BQ337" s="4"/>
      <c r="BR337" s="8"/>
      <c r="BS337" s="7"/>
      <c r="BT337" s="7"/>
      <c r="BU337" s="2" t="s">
        <v>1598</v>
      </c>
      <c r="BV337" s="2" t="s">
        <v>243</v>
      </c>
      <c r="BW337" s="2" t="s">
        <v>235</v>
      </c>
      <c r="BX337" s="2" t="s">
        <v>619</v>
      </c>
      <c r="BY337" s="2" t="s">
        <v>245</v>
      </c>
      <c r="BZ337" s="2" t="s">
        <v>232</v>
      </c>
      <c r="CA337" s="2" t="s">
        <v>1599</v>
      </c>
      <c r="CB337" s="2" t="s">
        <v>642</v>
      </c>
      <c r="CC337" s="2" t="s">
        <v>248</v>
      </c>
      <c r="CD337" s="2" t="s">
        <v>248</v>
      </c>
      <c r="CE337" s="2" t="s">
        <v>235</v>
      </c>
      <c r="CF337" s="4">
        <v>9</v>
      </c>
      <c r="CG337" s="4"/>
      <c r="CH337" s="4"/>
      <c r="CI337" s="4">
        <v>334</v>
      </c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>
        <v>450</v>
      </c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>
        <v>200</v>
      </c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>
        <v>349</v>
      </c>
      <c r="GE337" s="4">
        <v>239</v>
      </c>
      <c r="GF337" s="4">
        <v>213</v>
      </c>
      <c r="GG337" s="4">
        <v>180</v>
      </c>
      <c r="GH337" s="4">
        <v>148</v>
      </c>
      <c r="GI337" s="4">
        <v>123</v>
      </c>
      <c r="GJ337" s="4">
        <v>96</v>
      </c>
      <c r="GK337" s="4">
        <v>72</v>
      </c>
      <c r="GL337" s="4">
        <v>54</v>
      </c>
      <c r="GM337" s="4">
        <v>47</v>
      </c>
      <c r="GN337" s="4">
        <v>36</v>
      </c>
      <c r="GO337" s="4">
        <v>475</v>
      </c>
      <c r="GP337" s="4">
        <v>375</v>
      </c>
      <c r="GQ337" s="4">
        <v>334</v>
      </c>
      <c r="GR337" s="4">
        <v>503</v>
      </c>
      <c r="GS337" s="4">
        <v>478</v>
      </c>
      <c r="GT337" s="4">
        <v>450</v>
      </c>
      <c r="GU337" s="4">
        <v>482</v>
      </c>
      <c r="GV337" s="4">
        <v>466</v>
      </c>
      <c r="GW337" s="4">
        <v>451</v>
      </c>
      <c r="GX337" s="4">
        <v>438</v>
      </c>
      <c r="GY337" s="4">
        <v>423</v>
      </c>
      <c r="GZ337" s="4">
        <v>392</v>
      </c>
      <c r="HA337" s="4">
        <v>361</v>
      </c>
      <c r="HB337" s="4">
        <v>360</v>
      </c>
      <c r="HC337" s="4">
        <v>327</v>
      </c>
      <c r="HD337" s="19">
        <v>4.1</v>
      </c>
      <c r="HE337" s="19">
        <v>4.1</v>
      </c>
      <c r="HF337" s="19">
        <v>3.7</v>
      </c>
      <c r="HG337" s="19">
        <v>3.4</v>
      </c>
      <c r="HH337" s="19">
        <v>3.1</v>
      </c>
      <c r="HI337" s="19">
        <v>3.3</v>
      </c>
      <c r="HJ337" s="19">
        <v>3.2</v>
      </c>
      <c r="HK337" s="19">
        <v>3</v>
      </c>
      <c r="HL337" s="19">
        <v>2.3</v>
      </c>
      <c r="HM337" s="19">
        <v>2</v>
      </c>
      <c r="HN337" s="19">
        <v>1.8</v>
      </c>
      <c r="HO337" s="19">
        <v>6.8</v>
      </c>
      <c r="HP337" s="19">
        <v>6.9</v>
      </c>
      <c r="HQ337" s="19">
        <v>6.4</v>
      </c>
      <c r="HR337" s="19">
        <v>12</v>
      </c>
      <c r="HS337" s="19">
        <v>14.1</v>
      </c>
      <c r="HT337" s="19">
        <v>18.8</v>
      </c>
      <c r="HU337" s="19">
        <v>25.9</v>
      </c>
      <c r="HV337" s="19">
        <v>20.8</v>
      </c>
      <c r="HW337" s="19">
        <v>16.6</v>
      </c>
      <c r="HX337" s="19">
        <v>12.9</v>
      </c>
      <c r="HY337" s="19">
        <v>10.9</v>
      </c>
      <c r="HZ337" s="19">
        <v>9.9</v>
      </c>
      <c r="IA337" s="19">
        <v>10</v>
      </c>
      <c r="IB337" s="19">
        <v>13.2</v>
      </c>
      <c r="IC337" s="19">
        <v>12.6</v>
      </c>
    </row>
    <row r="338">
      <c r="A338" s="2" t="s">
        <v>1604</v>
      </c>
      <c r="B338" s="2" t="s">
        <v>905</v>
      </c>
      <c r="C338" s="2" t="s">
        <v>606</v>
      </c>
      <c r="D338" s="2" t="s">
        <v>361</v>
      </c>
      <c r="E338" s="2" t="s">
        <v>924</v>
      </c>
      <c r="F338" s="2" t="s">
        <v>1591</v>
      </c>
      <c r="G338" s="2" t="s">
        <v>1592</v>
      </c>
      <c r="H338" s="2" t="s">
        <v>1593</v>
      </c>
      <c r="I338" s="2" t="s">
        <v>1594</v>
      </c>
      <c r="J338" s="2" t="s">
        <v>877</v>
      </c>
      <c r="K338" s="2" t="s">
        <v>889</v>
      </c>
      <c r="L338" s="3">
        <v>32.01</v>
      </c>
      <c r="M338" s="3">
        <v>33.61</v>
      </c>
      <c r="N338" s="3">
        <v>74.99</v>
      </c>
      <c r="O338" s="2" t="s">
        <v>232</v>
      </c>
      <c r="P338" s="2" t="s">
        <v>698</v>
      </c>
      <c r="Q338" s="2" t="s">
        <v>234</v>
      </c>
      <c r="R338" s="2" t="s">
        <v>235</v>
      </c>
      <c r="S338" s="2" t="s">
        <v>1605</v>
      </c>
      <c r="T338" s="2" t="s">
        <v>879</v>
      </c>
      <c r="U338" s="2" t="s">
        <v>278</v>
      </c>
      <c r="V338" s="2" t="s">
        <v>420</v>
      </c>
      <c r="W338" s="2" t="s">
        <v>239</v>
      </c>
      <c r="X338" s="2" t="s">
        <v>1596</v>
      </c>
      <c r="Y338" s="2" t="s">
        <v>1606</v>
      </c>
      <c r="Z338" s="4">
        <v>1115</v>
      </c>
      <c r="AA338" s="4">
        <f>=ROUNDDOWN(32.6023391812866,0)</f>
      </c>
      <c r="AB338" s="5">
        <v>34.2</v>
      </c>
      <c r="AC338" s="2" t="s">
        <v>167</v>
      </c>
      <c r="AD338" s="4">
        <v>500</v>
      </c>
      <c r="AE338" s="4">
        <v>900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235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235</v>
      </c>
      <c r="BD338" s="8" t="s">
        <v>235</v>
      </c>
      <c r="BE338" s="4" t="s">
        <v>235</v>
      </c>
      <c r="BF338" s="8" t="s">
        <v>235</v>
      </c>
      <c r="BG338" s="7" t="s">
        <v>235</v>
      </c>
      <c r="BH338" s="7" t="s">
        <v>235</v>
      </c>
      <c r="BI338" s="7"/>
      <c r="BJ338" s="4">
        <v>193</v>
      </c>
      <c r="BK338" s="8">
        <v>7098.18</v>
      </c>
      <c r="BL338" s="2" t="s">
        <v>1607</v>
      </c>
      <c r="BM338" s="7"/>
      <c r="BN338" s="7"/>
      <c r="BO338" s="4"/>
      <c r="BP338" s="8"/>
      <c r="BQ338" s="4"/>
      <c r="BR338" s="8"/>
      <c r="BS338" s="7"/>
      <c r="BT338" s="7"/>
      <c r="BU338" s="2" t="s">
        <v>1598</v>
      </c>
      <c r="BV338" s="2" t="s">
        <v>243</v>
      </c>
      <c r="BW338" s="2" t="s">
        <v>235</v>
      </c>
      <c r="BX338" s="2" t="s">
        <v>619</v>
      </c>
      <c r="BY338" s="2" t="s">
        <v>245</v>
      </c>
      <c r="BZ338" s="2" t="s">
        <v>232</v>
      </c>
      <c r="CA338" s="2" t="s">
        <v>1608</v>
      </c>
      <c r="CB338" s="2" t="s">
        <v>1609</v>
      </c>
      <c r="CC338" s="2" t="s">
        <v>248</v>
      </c>
      <c r="CD338" s="2" t="s">
        <v>248</v>
      </c>
      <c r="CE338" s="2" t="s">
        <v>235</v>
      </c>
      <c r="CF338" s="4">
        <v>572</v>
      </c>
      <c r="CG338" s="4"/>
      <c r="CH338" s="4"/>
      <c r="CI338" s="4">
        <v>543</v>
      </c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>
        <v>500</v>
      </c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>
        <v>400</v>
      </c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>
        <v>1123</v>
      </c>
      <c r="GE338" s="4">
        <v>1010</v>
      </c>
      <c r="GF338" s="4">
        <v>965</v>
      </c>
      <c r="GG338" s="4">
        <v>909</v>
      </c>
      <c r="GH338" s="4">
        <v>852</v>
      </c>
      <c r="GI338" s="4">
        <v>779</v>
      </c>
      <c r="GJ338" s="4">
        <v>700</v>
      </c>
      <c r="GK338" s="4">
        <v>1128</v>
      </c>
      <c r="GL338" s="4">
        <v>1054</v>
      </c>
      <c r="GM338" s="4">
        <v>981</v>
      </c>
      <c r="GN338" s="4">
        <v>892</v>
      </c>
      <c r="GO338" s="4">
        <v>794</v>
      </c>
      <c r="GP338" s="4">
        <v>695</v>
      </c>
      <c r="GQ338" s="4">
        <v>547</v>
      </c>
      <c r="GR338" s="4">
        <v>825</v>
      </c>
      <c r="GS338" s="4">
        <v>719</v>
      </c>
      <c r="GT338" s="4">
        <v>611</v>
      </c>
      <c r="GU338" s="4">
        <v>544</v>
      </c>
      <c r="GV338" s="4">
        <v>491</v>
      </c>
      <c r="GW338" s="4">
        <v>439</v>
      </c>
      <c r="GX338" s="4">
        <v>389</v>
      </c>
      <c r="GY338" s="4">
        <v>352</v>
      </c>
      <c r="GZ338" s="4">
        <v>313</v>
      </c>
      <c r="HA338" s="4">
        <v>274</v>
      </c>
      <c r="HB338" s="4">
        <v>235</v>
      </c>
      <c r="HC338" s="4">
        <v>200</v>
      </c>
      <c r="HD338" s="19">
        <v>29.9</v>
      </c>
      <c r="HE338" s="19">
        <v>34.4</v>
      </c>
      <c r="HF338" s="19">
        <v>27.7</v>
      </c>
      <c r="HG338" s="19">
        <v>24.7</v>
      </c>
      <c r="HH338" s="19">
        <v>23.8</v>
      </c>
      <c r="HI338" s="19">
        <v>22.8</v>
      </c>
      <c r="HJ338" s="19">
        <v>20.2</v>
      </c>
      <c r="HK338" s="19">
        <v>21.5</v>
      </c>
      <c r="HL338" s="19">
        <v>18.3</v>
      </c>
      <c r="HM338" s="19">
        <v>14.1</v>
      </c>
      <c r="HN338" s="19">
        <v>12.2</v>
      </c>
      <c r="HO338" s="19">
        <v>11.3</v>
      </c>
      <c r="HP338" s="19">
        <v>10.1</v>
      </c>
      <c r="HQ338" s="19">
        <v>10.2</v>
      </c>
      <c r="HR338" s="19">
        <v>14.3</v>
      </c>
      <c r="HS338" s="19">
        <v>15</v>
      </c>
      <c r="HT338" s="19">
        <v>17</v>
      </c>
      <c r="HU338" s="19">
        <v>19.2</v>
      </c>
      <c r="HV338" s="19">
        <v>20.2</v>
      </c>
      <c r="HW338" s="19">
        <v>19.1</v>
      </c>
      <c r="HX338" s="19">
        <v>20.3</v>
      </c>
      <c r="HY338" s="19">
        <v>12.2</v>
      </c>
      <c r="HZ338" s="19">
        <v>8.4</v>
      </c>
      <c r="IA338" s="19">
        <v>7.6</v>
      </c>
      <c r="IB338" s="19">
        <v>7</v>
      </c>
      <c r="IC338" s="19">
        <v>8.4</v>
      </c>
    </row>
    <row r="339">
      <c r="A339" s="2" t="s">
        <v>1610</v>
      </c>
      <c r="B339" s="2" t="s">
        <v>871</v>
      </c>
      <c r="C339" s="2" t="s">
        <v>606</v>
      </c>
      <c r="D339" s="2" t="s">
        <v>361</v>
      </c>
      <c r="E339" s="2" t="s">
        <v>872</v>
      </c>
      <c r="F339" s="2" t="s">
        <v>1611</v>
      </c>
      <c r="G339" s="2" t="s">
        <v>1612</v>
      </c>
      <c r="H339" s="2" t="s">
        <v>1613</v>
      </c>
      <c r="I339" s="2" t="s">
        <v>1614</v>
      </c>
      <c r="J339" s="2" t="s">
        <v>877</v>
      </c>
      <c r="K339" s="2" t="s">
        <v>231</v>
      </c>
      <c r="L339" s="3">
        <v>31.72</v>
      </c>
      <c r="M339" s="3">
        <v>33.31</v>
      </c>
      <c r="N339" s="3">
        <v>64.99</v>
      </c>
      <c r="O339" s="2" t="s">
        <v>232</v>
      </c>
      <c r="P339" s="2" t="s">
        <v>878</v>
      </c>
      <c r="Q339" s="2" t="s">
        <v>234</v>
      </c>
      <c r="R339" s="2" t="s">
        <v>235</v>
      </c>
      <c r="S339" s="2" t="s">
        <v>235</v>
      </c>
      <c r="T339" s="2" t="s">
        <v>879</v>
      </c>
      <c r="U339" s="2" t="s">
        <v>552</v>
      </c>
      <c r="V339" s="2" t="s">
        <v>238</v>
      </c>
      <c r="W339" s="2" t="s">
        <v>682</v>
      </c>
      <c r="X339" s="2" t="s">
        <v>682</v>
      </c>
      <c r="Y339" s="2" t="s">
        <v>1615</v>
      </c>
      <c r="Z339" s="4">
        <v>2</v>
      </c>
      <c r="AA339" s="4">
        <f>=ROUNDDOWN(0.102564102564103,0)</f>
      </c>
      <c r="AB339" s="5">
        <v>19.5</v>
      </c>
      <c r="AC339" s="2" t="s">
        <v>235</v>
      </c>
      <c r="AD339" s="4"/>
      <c r="AE339" s="4"/>
      <c r="AF339" s="6">
        <v>64</v>
      </c>
      <c r="AG339" s="6">
        <v>47</v>
      </c>
      <c r="AH339" s="7">
        <v>0.0968</v>
      </c>
      <c r="AI339" s="4"/>
      <c r="AJ339" s="4">
        <f>=ROUNDDOWN({0},0)</f>
      </c>
      <c r="AK339" s="5"/>
      <c r="AL339" s="2" t="s">
        <v>235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235</v>
      </c>
      <c r="AW339" s="8" t="s">
        <v>235</v>
      </c>
      <c r="AX339" s="4" t="s">
        <v>235</v>
      </c>
      <c r="AY339" s="8" t="s">
        <v>235</v>
      </c>
      <c r="AZ339" s="7" t="s">
        <v>235</v>
      </c>
      <c r="BA339" s="7" t="s">
        <v>235</v>
      </c>
      <c r="BB339" s="7"/>
      <c r="BC339" s="4" t="s">
        <v>235</v>
      </c>
      <c r="BD339" s="8" t="s">
        <v>235</v>
      </c>
      <c r="BE339" s="4" t="s">
        <v>235</v>
      </c>
      <c r="BF339" s="8" t="s">
        <v>235</v>
      </c>
      <c r="BG339" s="7" t="s">
        <v>235</v>
      </c>
      <c r="BH339" s="7" t="s">
        <v>235</v>
      </c>
      <c r="BI339" s="7"/>
      <c r="BJ339" s="4">
        <v>76</v>
      </c>
      <c r="BK339" s="8">
        <v>2207.64</v>
      </c>
      <c r="BL339" s="2" t="s">
        <v>1616</v>
      </c>
      <c r="BM339" s="7"/>
      <c r="BN339" s="7"/>
      <c r="BO339" s="4"/>
      <c r="BP339" s="8"/>
      <c r="BQ339" s="4"/>
      <c r="BR339" s="8"/>
      <c r="BS339" s="7"/>
      <c r="BT339" s="7"/>
      <c r="BU339" s="2" t="s">
        <v>1617</v>
      </c>
      <c r="BV339" s="2" t="s">
        <v>235</v>
      </c>
      <c r="BW339" s="2" t="s">
        <v>235</v>
      </c>
      <c r="BX339" s="2" t="s">
        <v>619</v>
      </c>
      <c r="BY339" s="2" t="s">
        <v>245</v>
      </c>
      <c r="BZ339" s="2" t="s">
        <v>232</v>
      </c>
      <c r="CA339" s="2" t="s">
        <v>235</v>
      </c>
      <c r="CB339" s="2" t="s">
        <v>1618</v>
      </c>
      <c r="CC339" s="2" t="s">
        <v>248</v>
      </c>
      <c r="CD339" s="2" t="s">
        <v>248</v>
      </c>
      <c r="CE339" s="2" t="s">
        <v>235</v>
      </c>
      <c r="CF339" s="4">
        <v>2</v>
      </c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>
        <v>2</v>
      </c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>
        <v>375</v>
      </c>
      <c r="GT339" s="4">
        <v>260</v>
      </c>
      <c r="GU339" s="4">
        <v>241</v>
      </c>
      <c r="GV339" s="4">
        <v>699</v>
      </c>
      <c r="GW339" s="4">
        <v>679</v>
      </c>
      <c r="GX339" s="4">
        <v>657</v>
      </c>
      <c r="GY339" s="4">
        <v>635</v>
      </c>
      <c r="GZ339" s="4">
        <v>613</v>
      </c>
      <c r="HA339" s="4">
        <v>591</v>
      </c>
      <c r="HB339" s="4">
        <v>568</v>
      </c>
      <c r="HC339" s="4">
        <v>545</v>
      </c>
      <c r="HD339" s="19">
        <v>0.4</v>
      </c>
      <c r="HE339" s="20">
        <v>0</v>
      </c>
      <c r="HF339" s="20">
        <v>0</v>
      </c>
      <c r="HG339" s="20">
        <v>0</v>
      </c>
      <c r="HH339" s="20">
        <v>0</v>
      </c>
      <c r="HI339" s="20">
        <v>0</v>
      </c>
      <c r="HJ339" s="20">
        <v>0</v>
      </c>
      <c r="HK339" s="20">
        <v>0</v>
      </c>
      <c r="HL339" s="20">
        <v>0</v>
      </c>
      <c r="HM339" s="20">
        <v>0</v>
      </c>
      <c r="HN339" s="20">
        <v>0</v>
      </c>
      <c r="HO339" s="20">
        <v>0</v>
      </c>
      <c r="HP339" s="20">
        <v>0</v>
      </c>
      <c r="HQ339" s="20">
        <v>0</v>
      </c>
      <c r="HR339" s="20">
        <v>0</v>
      </c>
      <c r="HS339" s="19">
        <v>4.7</v>
      </c>
      <c r="HT339" s="19">
        <v>10</v>
      </c>
      <c r="HU339" s="19">
        <v>12.1</v>
      </c>
      <c r="HV339" s="19">
        <v>32.9</v>
      </c>
      <c r="HW339" s="19">
        <v>30.8</v>
      </c>
      <c r="HX339" s="19">
        <v>29.8</v>
      </c>
      <c r="HY339" s="19">
        <v>27</v>
      </c>
      <c r="HZ339" s="19">
        <v>26.1</v>
      </c>
      <c r="IA339" s="19">
        <v>25.2</v>
      </c>
      <c r="IB339" s="19">
        <v>24.2</v>
      </c>
      <c r="IC339" s="19">
        <v>23.2</v>
      </c>
    </row>
    <row r="340">
      <c r="A340" s="2" t="s">
        <v>1619</v>
      </c>
      <c r="B340" s="2" t="s">
        <v>871</v>
      </c>
      <c r="C340" s="2" t="s">
        <v>606</v>
      </c>
      <c r="D340" s="2" t="s">
        <v>361</v>
      </c>
      <c r="E340" s="2" t="s">
        <v>872</v>
      </c>
      <c r="F340" s="2" t="s">
        <v>1611</v>
      </c>
      <c r="G340" s="2" t="s">
        <v>1612</v>
      </c>
      <c r="H340" s="2" t="s">
        <v>1613</v>
      </c>
      <c r="I340" s="2" t="s">
        <v>1614</v>
      </c>
      <c r="J340" s="2" t="s">
        <v>372</v>
      </c>
      <c r="K340" s="2" t="s">
        <v>231</v>
      </c>
      <c r="L340" s="3">
        <v>42.66</v>
      </c>
      <c r="M340" s="3">
        <v>44.79</v>
      </c>
      <c r="N340" s="3">
        <v>89.99</v>
      </c>
      <c r="O340" s="2" t="s">
        <v>232</v>
      </c>
      <c r="P340" s="2" t="s">
        <v>878</v>
      </c>
      <c r="Q340" s="2" t="s">
        <v>234</v>
      </c>
      <c r="R340" s="2" t="s">
        <v>235</v>
      </c>
      <c r="S340" s="2" t="s">
        <v>235</v>
      </c>
      <c r="T340" s="2" t="s">
        <v>879</v>
      </c>
      <c r="U340" s="2" t="s">
        <v>264</v>
      </c>
      <c r="V340" s="2" t="s">
        <v>238</v>
      </c>
      <c r="W340" s="2" t="s">
        <v>682</v>
      </c>
      <c r="X340" s="2" t="s">
        <v>682</v>
      </c>
      <c r="Y340" s="2" t="s">
        <v>1620</v>
      </c>
      <c r="Z340" s="4">
        <v>413</v>
      </c>
      <c r="AA340" s="4">
        <f>=ROUNDDOWN(98.3333333333333,0)</f>
      </c>
      <c r="AB340" s="5">
        <v>4.2</v>
      </c>
      <c r="AC340" s="2" t="s">
        <v>235</v>
      </c>
      <c r="AD340" s="4"/>
      <c r="AE340" s="4"/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235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235</v>
      </c>
      <c r="AW340" s="8" t="s">
        <v>235</v>
      </c>
      <c r="AX340" s="4" t="s">
        <v>235</v>
      </c>
      <c r="AY340" s="8" t="s">
        <v>235</v>
      </c>
      <c r="AZ340" s="7" t="s">
        <v>235</v>
      </c>
      <c r="BA340" s="7" t="s">
        <v>235</v>
      </c>
      <c r="BB340" s="7"/>
      <c r="BC340" s="4" t="s">
        <v>235</v>
      </c>
      <c r="BD340" s="8" t="s">
        <v>235</v>
      </c>
      <c r="BE340" s="4" t="s">
        <v>235</v>
      </c>
      <c r="BF340" s="8" t="s">
        <v>235</v>
      </c>
      <c r="BG340" s="7" t="s">
        <v>235</v>
      </c>
      <c r="BH340" s="7" t="s">
        <v>235</v>
      </c>
      <c r="BI340" s="7"/>
      <c r="BJ340" s="4">
        <v>9</v>
      </c>
      <c r="BK340" s="8">
        <v>374.77</v>
      </c>
      <c r="BL340" s="2" t="s">
        <v>1621</v>
      </c>
      <c r="BM340" s="7"/>
      <c r="BN340" s="7"/>
      <c r="BO340" s="4"/>
      <c r="BP340" s="8"/>
      <c r="BQ340" s="4"/>
      <c r="BR340" s="8"/>
      <c r="BS340" s="7"/>
      <c r="BT340" s="7"/>
      <c r="BU340" s="2" t="s">
        <v>1617</v>
      </c>
      <c r="BV340" s="2" t="s">
        <v>235</v>
      </c>
      <c r="BW340" s="2" t="s">
        <v>235</v>
      </c>
      <c r="BX340" s="2" t="s">
        <v>619</v>
      </c>
      <c r="BY340" s="2" t="s">
        <v>245</v>
      </c>
      <c r="BZ340" s="2" t="s">
        <v>232</v>
      </c>
      <c r="CA340" s="2" t="s">
        <v>235</v>
      </c>
      <c r="CB340" s="2" t="s">
        <v>1622</v>
      </c>
      <c r="CC340" s="2" t="s">
        <v>248</v>
      </c>
      <c r="CD340" s="2" t="s">
        <v>248</v>
      </c>
      <c r="CE340" s="2" t="s">
        <v>235</v>
      </c>
      <c r="CF340" s="4">
        <v>233</v>
      </c>
      <c r="CG340" s="4"/>
      <c r="CH340" s="4"/>
      <c r="CI340" s="4">
        <v>180</v>
      </c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>
        <v>413</v>
      </c>
      <c r="GE340" s="4">
        <v>409</v>
      </c>
      <c r="GF340" s="4">
        <v>406</v>
      </c>
      <c r="GG340" s="4">
        <v>403</v>
      </c>
      <c r="GH340" s="4">
        <v>399</v>
      </c>
      <c r="GI340" s="4">
        <v>393</v>
      </c>
      <c r="GJ340" s="4">
        <v>385</v>
      </c>
      <c r="GK340" s="4">
        <v>379</v>
      </c>
      <c r="GL340" s="4">
        <v>373</v>
      </c>
      <c r="GM340" s="4">
        <v>368</v>
      </c>
      <c r="GN340" s="4">
        <v>363</v>
      </c>
      <c r="GO340" s="4">
        <v>357</v>
      </c>
      <c r="GP340" s="4">
        <v>350</v>
      </c>
      <c r="GQ340" s="4">
        <v>341</v>
      </c>
      <c r="GR340" s="4">
        <v>333</v>
      </c>
      <c r="GS340" s="4">
        <v>326</v>
      </c>
      <c r="GT340" s="4">
        <v>321</v>
      </c>
      <c r="GU340" s="4">
        <v>316</v>
      </c>
      <c r="GV340" s="4">
        <v>310</v>
      </c>
      <c r="GW340" s="4">
        <v>305</v>
      </c>
      <c r="GX340" s="4">
        <v>300</v>
      </c>
      <c r="GY340" s="4">
        <v>295</v>
      </c>
      <c r="GZ340" s="4">
        <v>290</v>
      </c>
      <c r="HA340" s="4">
        <v>285</v>
      </c>
      <c r="HB340" s="4">
        <v>280</v>
      </c>
      <c r="HC340" s="4">
        <v>275</v>
      </c>
      <c r="HD340" s="19">
        <v>148.3</v>
      </c>
      <c r="HE340" s="19">
        <v>127.9</v>
      </c>
      <c r="HF340" s="19">
        <v>73</v>
      </c>
      <c r="HG340" s="19">
        <v>72.5</v>
      </c>
      <c r="HH340" s="19">
        <v>71.9</v>
      </c>
      <c r="HI340" s="19">
        <v>70.9</v>
      </c>
      <c r="HJ340" s="19">
        <v>69.7</v>
      </c>
      <c r="HK340" s="19">
        <v>111.2</v>
      </c>
      <c r="HL340" s="19">
        <v>109.7</v>
      </c>
      <c r="HM340" s="19">
        <v>61.9</v>
      </c>
      <c r="HN340" s="19">
        <v>57.9</v>
      </c>
      <c r="HO340" s="19">
        <v>57.3</v>
      </c>
      <c r="HP340" s="19">
        <v>59.5</v>
      </c>
      <c r="HQ340" s="19">
        <v>62.8</v>
      </c>
      <c r="HR340" s="19">
        <v>61.4</v>
      </c>
      <c r="HS340" s="19">
        <v>99.3</v>
      </c>
      <c r="HT340" s="19">
        <v>98.3</v>
      </c>
      <c r="HU340" s="19">
        <v>97.3</v>
      </c>
      <c r="HV340" s="19">
        <v>95.8</v>
      </c>
      <c r="HW340" s="19">
        <v>94.8</v>
      </c>
      <c r="HX340" s="19">
        <v>93.8</v>
      </c>
      <c r="HY340" s="19">
        <v>92.8</v>
      </c>
      <c r="HZ340" s="19">
        <v>91.8</v>
      </c>
      <c r="IA340" s="19">
        <v>90.8</v>
      </c>
      <c r="IB340" s="19">
        <v>89.8</v>
      </c>
      <c r="IC340" s="19">
        <v>88.8</v>
      </c>
    </row>
    <row r="341">
      <c r="A341" s="2" t="s">
        <v>1623</v>
      </c>
      <c r="B341" s="2" t="s">
        <v>871</v>
      </c>
      <c r="C341" s="2" t="s">
        <v>606</v>
      </c>
      <c r="D341" s="2" t="s">
        <v>361</v>
      </c>
      <c r="E341" s="2" t="s">
        <v>872</v>
      </c>
      <c r="F341" s="2" t="s">
        <v>1611</v>
      </c>
      <c r="G341" s="2" t="s">
        <v>1612</v>
      </c>
      <c r="H341" s="2" t="s">
        <v>1613</v>
      </c>
      <c r="I341" s="2" t="s">
        <v>1614</v>
      </c>
      <c r="J341" s="2" t="s">
        <v>877</v>
      </c>
      <c r="K341" s="2" t="s">
        <v>287</v>
      </c>
      <c r="L341" s="3">
        <v>31.72</v>
      </c>
      <c r="M341" s="3">
        <v>33.31</v>
      </c>
      <c r="N341" s="3">
        <v>64.99</v>
      </c>
      <c r="O341" s="2" t="s">
        <v>232</v>
      </c>
      <c r="P341" s="2" t="s">
        <v>878</v>
      </c>
      <c r="Q341" s="2" t="s">
        <v>234</v>
      </c>
      <c r="R341" s="2" t="s">
        <v>235</v>
      </c>
      <c r="S341" s="2" t="s">
        <v>1624</v>
      </c>
      <c r="T341" s="2" t="s">
        <v>879</v>
      </c>
      <c r="U341" s="2" t="s">
        <v>552</v>
      </c>
      <c r="V341" s="2" t="s">
        <v>238</v>
      </c>
      <c r="W341" s="2" t="s">
        <v>682</v>
      </c>
      <c r="X341" s="2" t="s">
        <v>682</v>
      </c>
      <c r="Y341" s="2" t="s">
        <v>1615</v>
      </c>
      <c r="Z341" s="4">
        <v>345</v>
      </c>
      <c r="AA341" s="4">
        <f>=ROUNDDOWN(138,0)</f>
      </c>
      <c r="AB341" s="5">
        <v>2.5</v>
      </c>
      <c r="AC341" s="2" t="s">
        <v>235</v>
      </c>
      <c r="AD341" s="4"/>
      <c r="AE341" s="4"/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235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235</v>
      </c>
      <c r="AW341" s="8" t="s">
        <v>235</v>
      </c>
      <c r="AX341" s="4" t="s">
        <v>235</v>
      </c>
      <c r="AY341" s="8" t="s">
        <v>235</v>
      </c>
      <c r="AZ341" s="7" t="s">
        <v>235</v>
      </c>
      <c r="BA341" s="7" t="s">
        <v>235</v>
      </c>
      <c r="BB341" s="7"/>
      <c r="BC341" s="4" t="s">
        <v>235</v>
      </c>
      <c r="BD341" s="8" t="s">
        <v>235</v>
      </c>
      <c r="BE341" s="4" t="s">
        <v>235</v>
      </c>
      <c r="BF341" s="8" t="s">
        <v>235</v>
      </c>
      <c r="BG341" s="7" t="s">
        <v>235</v>
      </c>
      <c r="BH341" s="7" t="s">
        <v>235</v>
      </c>
      <c r="BI341" s="7"/>
      <c r="BJ341" s="4">
        <v>4</v>
      </c>
      <c r="BK341" s="8">
        <v>141.59</v>
      </c>
      <c r="BL341" s="2" t="s">
        <v>1625</v>
      </c>
      <c r="BM341" s="7"/>
      <c r="BN341" s="7"/>
      <c r="BO341" s="4"/>
      <c r="BP341" s="8"/>
      <c r="BQ341" s="4"/>
      <c r="BR341" s="8"/>
      <c r="BS341" s="7"/>
      <c r="BT341" s="7"/>
      <c r="BU341" s="2" t="s">
        <v>1617</v>
      </c>
      <c r="BV341" s="2" t="s">
        <v>235</v>
      </c>
      <c r="BW341" s="2" t="s">
        <v>235</v>
      </c>
      <c r="BX341" s="2" t="s">
        <v>619</v>
      </c>
      <c r="BY341" s="2" t="s">
        <v>245</v>
      </c>
      <c r="BZ341" s="2" t="s">
        <v>232</v>
      </c>
      <c r="CA341" s="2" t="s">
        <v>235</v>
      </c>
      <c r="CB341" s="2" t="s">
        <v>235</v>
      </c>
      <c r="CC341" s="2" t="s">
        <v>248</v>
      </c>
      <c r="CD341" s="2" t="s">
        <v>248</v>
      </c>
      <c r="CE341" s="2" t="s">
        <v>235</v>
      </c>
      <c r="CF341" s="4">
        <v>104</v>
      </c>
      <c r="CG341" s="4"/>
      <c r="CH341" s="4"/>
      <c r="CI341" s="4">
        <v>241</v>
      </c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>
        <v>348</v>
      </c>
      <c r="GE341" s="4">
        <v>344</v>
      </c>
      <c r="GF341" s="4">
        <v>343</v>
      </c>
      <c r="GG341" s="4">
        <v>342</v>
      </c>
      <c r="GH341" s="4">
        <v>341</v>
      </c>
      <c r="GI341" s="4">
        <v>340</v>
      </c>
      <c r="GJ341" s="4">
        <v>339</v>
      </c>
      <c r="GK341" s="4">
        <v>336</v>
      </c>
      <c r="GL341" s="4">
        <v>333</v>
      </c>
      <c r="GM341" s="4">
        <v>332</v>
      </c>
      <c r="GN341" s="4">
        <v>331</v>
      </c>
      <c r="GO341" s="4">
        <v>329</v>
      </c>
      <c r="GP341" s="4">
        <v>326</v>
      </c>
      <c r="GQ341" s="4">
        <v>323</v>
      </c>
      <c r="GR341" s="4">
        <v>321</v>
      </c>
      <c r="GS341" s="4">
        <v>318</v>
      </c>
      <c r="GT341" s="4">
        <v>316</v>
      </c>
      <c r="GU341" s="4">
        <v>314</v>
      </c>
      <c r="GV341" s="4">
        <v>313</v>
      </c>
      <c r="GW341" s="4">
        <v>311</v>
      </c>
      <c r="GX341" s="4">
        <v>309</v>
      </c>
      <c r="GY341" s="4">
        <v>307</v>
      </c>
      <c r="GZ341" s="4">
        <v>305</v>
      </c>
      <c r="HA341" s="4">
        <v>303</v>
      </c>
      <c r="HB341" s="4">
        <v>301</v>
      </c>
      <c r="HC341" s="4">
        <v>299</v>
      </c>
      <c r="HD341" s="19">
        <v>26</v>
      </c>
      <c r="HE341" s="19">
        <v>50</v>
      </c>
      <c r="HF341" s="19">
        <v>49.5</v>
      </c>
      <c r="HG341" s="19">
        <v>24.5</v>
      </c>
      <c r="HH341" s="19">
        <v>24.3</v>
      </c>
      <c r="HI341" s="19">
        <v>24</v>
      </c>
      <c r="HJ341" s="19">
        <v>23.8</v>
      </c>
      <c r="HK341" s="19">
        <v>23</v>
      </c>
      <c r="HL341" s="19">
        <v>22.3</v>
      </c>
      <c r="HM341" s="19">
        <v>22</v>
      </c>
      <c r="HN341" s="19">
        <v>21.8</v>
      </c>
      <c r="HO341" s="19">
        <v>14.2</v>
      </c>
      <c r="HP341" s="19">
        <v>20.5</v>
      </c>
      <c r="HQ341" s="19">
        <v>19.8</v>
      </c>
      <c r="HR341" s="19">
        <v>19.3</v>
      </c>
      <c r="HS341" s="19">
        <v>18.5</v>
      </c>
      <c r="HT341" s="19">
        <v>18</v>
      </c>
      <c r="HU341" s="19">
        <v>17.5</v>
      </c>
      <c r="HV341" s="19">
        <v>17.3</v>
      </c>
      <c r="HW341" s="19">
        <v>16.8</v>
      </c>
      <c r="HX341" s="19">
        <v>16.3</v>
      </c>
      <c r="HY341" s="19">
        <v>15.8</v>
      </c>
      <c r="HZ341" s="19">
        <v>15.3</v>
      </c>
      <c r="IA341" s="19">
        <v>14.8</v>
      </c>
      <c r="IB341" s="19">
        <v>14.3</v>
      </c>
      <c r="IC341" s="19">
        <v>13.8</v>
      </c>
    </row>
    <row r="342">
      <c r="A342" s="2" t="s">
        <v>1626</v>
      </c>
      <c r="B342" s="2" t="s">
        <v>871</v>
      </c>
      <c r="C342" s="2" t="s">
        <v>606</v>
      </c>
      <c r="D342" s="2" t="s">
        <v>361</v>
      </c>
      <c r="E342" s="2" t="s">
        <v>872</v>
      </c>
      <c r="F342" s="2" t="s">
        <v>1611</v>
      </c>
      <c r="G342" s="2" t="s">
        <v>1612</v>
      </c>
      <c r="H342" s="2" t="s">
        <v>1613</v>
      </c>
      <c r="I342" s="2" t="s">
        <v>1614</v>
      </c>
      <c r="J342" s="2" t="s">
        <v>365</v>
      </c>
      <c r="K342" s="2" t="s">
        <v>287</v>
      </c>
      <c r="L342" s="3">
        <v>37.4</v>
      </c>
      <c r="M342" s="3">
        <v>39.27</v>
      </c>
      <c r="N342" s="3">
        <v>79.99</v>
      </c>
      <c r="O342" s="2" t="s">
        <v>232</v>
      </c>
      <c r="P342" s="2" t="s">
        <v>878</v>
      </c>
      <c r="Q342" s="2" t="s">
        <v>234</v>
      </c>
      <c r="R342" s="2" t="s">
        <v>235</v>
      </c>
      <c r="S342" s="2" t="s">
        <v>1624</v>
      </c>
      <c r="T342" s="2" t="s">
        <v>879</v>
      </c>
      <c r="U342" s="2" t="s">
        <v>264</v>
      </c>
      <c r="V342" s="2" t="s">
        <v>238</v>
      </c>
      <c r="W342" s="2" t="s">
        <v>682</v>
      </c>
      <c r="X342" s="2" t="s">
        <v>682</v>
      </c>
      <c r="Y342" s="2" t="s">
        <v>1225</v>
      </c>
      <c r="Z342" s="4">
        <v>723</v>
      </c>
      <c r="AA342" s="4">
        <f>=ROUNDDOWN(301.25,0)</f>
      </c>
      <c r="AB342" s="5">
        <v>2.4</v>
      </c>
      <c r="AC342" s="2" t="s">
        <v>235</v>
      </c>
      <c r="AD342" s="4"/>
      <c r="AE342" s="4"/>
      <c r="AF342" s="6">
        <v>64</v>
      </c>
      <c r="AG342" s="6">
        <v>47</v>
      </c>
      <c r="AH342" s="7">
        <v>1</v>
      </c>
      <c r="AI342" s="4"/>
      <c r="AJ342" s="4">
        <f>=ROUNDDOWN({0},0)</f>
      </c>
      <c r="AK342" s="5"/>
      <c r="AL342" s="2" t="s">
        <v>235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235</v>
      </c>
      <c r="AW342" s="8" t="s">
        <v>235</v>
      </c>
      <c r="AX342" s="4" t="s">
        <v>235</v>
      </c>
      <c r="AY342" s="8" t="s">
        <v>235</v>
      </c>
      <c r="AZ342" s="7" t="s">
        <v>235</v>
      </c>
      <c r="BA342" s="7" t="s">
        <v>235</v>
      </c>
      <c r="BB342" s="7"/>
      <c r="BC342" s="4" t="s">
        <v>235</v>
      </c>
      <c r="BD342" s="8" t="s">
        <v>235</v>
      </c>
      <c r="BE342" s="4" t="s">
        <v>235</v>
      </c>
      <c r="BF342" s="8" t="s">
        <v>235</v>
      </c>
      <c r="BG342" s="7" t="s">
        <v>235</v>
      </c>
      <c r="BH342" s="7" t="s">
        <v>235</v>
      </c>
      <c r="BI342" s="7"/>
      <c r="BJ342" s="4">
        <v>11</v>
      </c>
      <c r="BK342" s="8">
        <v>479.86</v>
      </c>
      <c r="BL342" s="2" t="s">
        <v>592</v>
      </c>
      <c r="BM342" s="7"/>
      <c r="BN342" s="7"/>
      <c r="BO342" s="4"/>
      <c r="BP342" s="8"/>
      <c r="BQ342" s="4"/>
      <c r="BR342" s="8"/>
      <c r="BS342" s="7"/>
      <c r="BT342" s="7"/>
      <c r="BU342" s="2" t="s">
        <v>1617</v>
      </c>
      <c r="BV342" s="2" t="s">
        <v>235</v>
      </c>
      <c r="BW342" s="2" t="s">
        <v>235</v>
      </c>
      <c r="BX342" s="2" t="s">
        <v>619</v>
      </c>
      <c r="BY342" s="2" t="s">
        <v>245</v>
      </c>
      <c r="BZ342" s="2" t="s">
        <v>232</v>
      </c>
      <c r="CA342" s="2" t="s">
        <v>235</v>
      </c>
      <c r="CB342" s="2" t="s">
        <v>1627</v>
      </c>
      <c r="CC342" s="2" t="s">
        <v>248</v>
      </c>
      <c r="CD342" s="2" t="s">
        <v>248</v>
      </c>
      <c r="CE342" s="2" t="s">
        <v>235</v>
      </c>
      <c r="CF342" s="4">
        <v>359</v>
      </c>
      <c r="CG342" s="4"/>
      <c r="CH342" s="4"/>
      <c r="CI342" s="4">
        <v>364</v>
      </c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>
        <v>724</v>
      </c>
      <c r="GE342" s="4">
        <v>721</v>
      </c>
      <c r="GF342" s="4">
        <v>719</v>
      </c>
      <c r="GG342" s="4">
        <v>717</v>
      </c>
      <c r="GH342" s="4">
        <v>715</v>
      </c>
      <c r="GI342" s="4">
        <v>713</v>
      </c>
      <c r="GJ342" s="4">
        <v>711</v>
      </c>
      <c r="GK342" s="4">
        <v>709</v>
      </c>
      <c r="GL342" s="4">
        <v>707</v>
      </c>
      <c r="GM342" s="4">
        <v>705</v>
      </c>
      <c r="GN342" s="4">
        <v>702</v>
      </c>
      <c r="GO342" s="4">
        <v>699</v>
      </c>
      <c r="GP342" s="4">
        <v>695</v>
      </c>
      <c r="GQ342" s="4">
        <v>689</v>
      </c>
      <c r="GR342" s="4">
        <v>685</v>
      </c>
      <c r="GS342" s="4">
        <v>682</v>
      </c>
      <c r="GT342" s="4">
        <v>680</v>
      </c>
      <c r="GU342" s="4">
        <v>678</v>
      </c>
      <c r="GV342" s="4">
        <v>676</v>
      </c>
      <c r="GW342" s="4">
        <v>674</v>
      </c>
      <c r="GX342" s="4">
        <v>672</v>
      </c>
      <c r="GY342" s="4">
        <v>670</v>
      </c>
      <c r="GZ342" s="4">
        <v>668</v>
      </c>
      <c r="HA342" s="4">
        <v>666</v>
      </c>
      <c r="HB342" s="4">
        <v>664</v>
      </c>
      <c r="HC342" s="4">
        <v>662</v>
      </c>
      <c r="HD342" s="19">
        <v>90</v>
      </c>
      <c r="HE342" s="19">
        <v>89.3</v>
      </c>
      <c r="HF342" s="19">
        <v>88.8</v>
      </c>
      <c r="HG342" s="19">
        <v>88.3</v>
      </c>
      <c r="HH342" s="19">
        <v>87.8</v>
      </c>
      <c r="HI342" s="19">
        <v>87.3</v>
      </c>
      <c r="HJ342" s="19">
        <v>86.8</v>
      </c>
      <c r="HK342" s="19">
        <v>86.3</v>
      </c>
      <c r="HL342" s="19">
        <v>57.2</v>
      </c>
      <c r="HM342" s="19">
        <v>42.7</v>
      </c>
      <c r="HN342" s="19">
        <v>42.3</v>
      </c>
      <c r="HO342" s="19">
        <v>41.9</v>
      </c>
      <c r="HP342" s="19">
        <v>41.4</v>
      </c>
      <c r="HQ342" s="19">
        <v>54.2</v>
      </c>
      <c r="HR342" s="19">
        <v>80.3</v>
      </c>
      <c r="HS342" s="19">
        <v>79.5</v>
      </c>
      <c r="HT342" s="19">
        <v>79</v>
      </c>
      <c r="HU342" s="19">
        <v>78.5</v>
      </c>
      <c r="HV342" s="19">
        <v>78</v>
      </c>
      <c r="HW342" s="19">
        <v>77.5</v>
      </c>
      <c r="HX342" s="19">
        <v>77</v>
      </c>
      <c r="HY342" s="19">
        <v>76.5</v>
      </c>
      <c r="HZ342" s="19">
        <v>76</v>
      </c>
      <c r="IA342" s="19">
        <v>75.5</v>
      </c>
      <c r="IB342" s="19">
        <v>75</v>
      </c>
      <c r="IC342" s="19">
        <v>74.5</v>
      </c>
    </row>
    <row r="343">
      <c r="A343" s="2" t="s">
        <v>1628</v>
      </c>
      <c r="B343" s="2" t="s">
        <v>871</v>
      </c>
      <c r="C343" s="2" t="s">
        <v>606</v>
      </c>
      <c r="D343" s="2" t="s">
        <v>361</v>
      </c>
      <c r="E343" s="2" t="s">
        <v>872</v>
      </c>
      <c r="F343" s="2" t="s">
        <v>1611</v>
      </c>
      <c r="G343" s="2" t="s">
        <v>1612</v>
      </c>
      <c r="H343" s="2" t="s">
        <v>1613</v>
      </c>
      <c r="I343" s="2" t="s">
        <v>1614</v>
      </c>
      <c r="J343" s="2" t="s">
        <v>372</v>
      </c>
      <c r="K343" s="2" t="s">
        <v>287</v>
      </c>
      <c r="L343" s="3">
        <v>42.66</v>
      </c>
      <c r="M343" s="3">
        <v>44.79</v>
      </c>
      <c r="N343" s="3">
        <v>89.99</v>
      </c>
      <c r="O343" s="2" t="s">
        <v>232</v>
      </c>
      <c r="P343" s="2" t="s">
        <v>878</v>
      </c>
      <c r="Q343" s="2" t="s">
        <v>234</v>
      </c>
      <c r="R343" s="2" t="s">
        <v>235</v>
      </c>
      <c r="S343" s="2" t="s">
        <v>1624</v>
      </c>
      <c r="T343" s="2" t="s">
        <v>879</v>
      </c>
      <c r="U343" s="2" t="s">
        <v>264</v>
      </c>
      <c r="V343" s="2" t="s">
        <v>238</v>
      </c>
      <c r="W343" s="2" t="s">
        <v>682</v>
      </c>
      <c r="X343" s="2" t="s">
        <v>682</v>
      </c>
      <c r="Y343" s="2" t="s">
        <v>1620</v>
      </c>
      <c r="Z343" s="4">
        <v>517</v>
      </c>
      <c r="AA343" s="4">
        <f>=ROUNDDOWN(178.275862068965,0)</f>
      </c>
      <c r="AB343" s="5">
        <v>2.9</v>
      </c>
      <c r="AC343" s="2" t="s">
        <v>235</v>
      </c>
      <c r="AD343" s="4"/>
      <c r="AE343" s="4"/>
      <c r="AF343" s="6">
        <v>64</v>
      </c>
      <c r="AG343" s="6">
        <v>47</v>
      </c>
      <c r="AH343" s="7">
        <v>1</v>
      </c>
      <c r="AI343" s="4"/>
      <c r="AJ343" s="4">
        <f>=ROUNDDOWN({0},0)</f>
      </c>
      <c r="AK343" s="5"/>
      <c r="AL343" s="2" t="s">
        <v>235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235</v>
      </c>
      <c r="AW343" s="8" t="s">
        <v>235</v>
      </c>
      <c r="AX343" s="4" t="s">
        <v>235</v>
      </c>
      <c r="AY343" s="8" t="s">
        <v>235</v>
      </c>
      <c r="AZ343" s="7" t="s">
        <v>235</v>
      </c>
      <c r="BA343" s="7" t="s">
        <v>235</v>
      </c>
      <c r="BB343" s="7"/>
      <c r="BC343" s="4" t="s">
        <v>235</v>
      </c>
      <c r="BD343" s="8" t="s">
        <v>235</v>
      </c>
      <c r="BE343" s="4" t="s">
        <v>235</v>
      </c>
      <c r="BF343" s="8" t="s">
        <v>235</v>
      </c>
      <c r="BG343" s="7" t="s">
        <v>235</v>
      </c>
      <c r="BH343" s="7" t="s">
        <v>235</v>
      </c>
      <c r="BI343" s="7"/>
      <c r="BJ343" s="4">
        <v>11</v>
      </c>
      <c r="BK343" s="8">
        <v>544.01</v>
      </c>
      <c r="BL343" s="2" t="s">
        <v>592</v>
      </c>
      <c r="BM343" s="7"/>
      <c r="BN343" s="7"/>
      <c r="BO343" s="4"/>
      <c r="BP343" s="8"/>
      <c r="BQ343" s="4"/>
      <c r="BR343" s="8"/>
      <c r="BS343" s="7"/>
      <c r="BT343" s="7"/>
      <c r="BU343" s="2" t="s">
        <v>1617</v>
      </c>
      <c r="BV343" s="2" t="s">
        <v>235</v>
      </c>
      <c r="BW343" s="2" t="s">
        <v>235</v>
      </c>
      <c r="BX343" s="2" t="s">
        <v>619</v>
      </c>
      <c r="BY343" s="2" t="s">
        <v>245</v>
      </c>
      <c r="BZ343" s="2" t="s">
        <v>232</v>
      </c>
      <c r="CA343" s="2" t="s">
        <v>235</v>
      </c>
      <c r="CB343" s="2" t="s">
        <v>1629</v>
      </c>
      <c r="CC343" s="2" t="s">
        <v>248</v>
      </c>
      <c r="CD343" s="2" t="s">
        <v>248</v>
      </c>
      <c r="CE343" s="2" t="s">
        <v>235</v>
      </c>
      <c r="CF343" s="4">
        <v>155</v>
      </c>
      <c r="CG343" s="4"/>
      <c r="CH343" s="4"/>
      <c r="CI343" s="4">
        <v>362</v>
      </c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>
        <v>517</v>
      </c>
      <c r="GE343" s="4">
        <v>515</v>
      </c>
      <c r="GF343" s="4">
        <v>513</v>
      </c>
      <c r="GG343" s="4">
        <v>511</v>
      </c>
      <c r="GH343" s="4">
        <v>509</v>
      </c>
      <c r="GI343" s="4">
        <v>507</v>
      </c>
      <c r="GJ343" s="4">
        <v>505</v>
      </c>
      <c r="GK343" s="4">
        <v>503</v>
      </c>
      <c r="GL343" s="4">
        <v>501</v>
      </c>
      <c r="GM343" s="4">
        <v>499</v>
      </c>
      <c r="GN343" s="4">
        <v>497</v>
      </c>
      <c r="GO343" s="4">
        <v>494</v>
      </c>
      <c r="GP343" s="4">
        <v>491</v>
      </c>
      <c r="GQ343" s="4">
        <v>486</v>
      </c>
      <c r="GR343" s="4">
        <v>483</v>
      </c>
      <c r="GS343" s="4">
        <v>480</v>
      </c>
      <c r="GT343" s="4">
        <v>478</v>
      </c>
      <c r="GU343" s="4">
        <v>476</v>
      </c>
      <c r="GV343" s="4">
        <v>474</v>
      </c>
      <c r="GW343" s="4">
        <v>472</v>
      </c>
      <c r="GX343" s="4">
        <v>470</v>
      </c>
      <c r="GY343" s="4">
        <v>468</v>
      </c>
      <c r="GZ343" s="4">
        <v>466</v>
      </c>
      <c r="HA343" s="4">
        <v>464</v>
      </c>
      <c r="HB343" s="4">
        <v>461</v>
      </c>
      <c r="HC343" s="4">
        <v>458</v>
      </c>
      <c r="HD343" s="19">
        <v>38.8</v>
      </c>
      <c r="HE343" s="19">
        <v>38.3</v>
      </c>
      <c r="HF343" s="19">
        <v>37.8</v>
      </c>
      <c r="HG343" s="19">
        <v>37.3</v>
      </c>
      <c r="HH343" s="19">
        <v>36.8</v>
      </c>
      <c r="HI343" s="19">
        <v>36.3</v>
      </c>
      <c r="HJ343" s="19">
        <v>35.8</v>
      </c>
      <c r="HK343" s="19">
        <v>35.3</v>
      </c>
      <c r="HL343" s="19">
        <v>34.8</v>
      </c>
      <c r="HM343" s="19">
        <v>22.9</v>
      </c>
      <c r="HN343" s="19">
        <v>16.9</v>
      </c>
      <c r="HO343" s="19">
        <v>16.5</v>
      </c>
      <c r="HP343" s="19">
        <v>21.5</v>
      </c>
      <c r="HQ343" s="19">
        <v>31</v>
      </c>
      <c r="HR343" s="19">
        <v>30.3</v>
      </c>
      <c r="HS343" s="19">
        <v>29.5</v>
      </c>
      <c r="HT343" s="19">
        <v>29</v>
      </c>
      <c r="HU343" s="19">
        <v>28.5</v>
      </c>
      <c r="HV343" s="19">
        <v>28</v>
      </c>
      <c r="HW343" s="19">
        <v>27.5</v>
      </c>
      <c r="HX343" s="19">
        <v>27</v>
      </c>
      <c r="HY343" s="19">
        <v>26.5</v>
      </c>
      <c r="HZ343" s="19">
        <v>17.4</v>
      </c>
      <c r="IA343" s="19">
        <v>17</v>
      </c>
      <c r="IB343" s="19">
        <v>16.5</v>
      </c>
      <c r="IC343" s="19">
        <v>16</v>
      </c>
    </row>
    <row r="344">
      <c r="A344" s="2" t="s">
        <v>1630</v>
      </c>
      <c r="B344" s="2" t="s">
        <v>871</v>
      </c>
      <c r="C344" s="2" t="s">
        <v>606</v>
      </c>
      <c r="D344" s="2" t="s">
        <v>361</v>
      </c>
      <c r="E344" s="2" t="s">
        <v>872</v>
      </c>
      <c r="F344" s="2" t="s">
        <v>1611</v>
      </c>
      <c r="G344" s="2" t="s">
        <v>1612</v>
      </c>
      <c r="H344" s="2" t="s">
        <v>1613</v>
      </c>
      <c r="I344" s="2" t="s">
        <v>1614</v>
      </c>
      <c r="J344" s="2" t="s">
        <v>877</v>
      </c>
      <c r="K344" s="2" t="s">
        <v>1238</v>
      </c>
      <c r="L344" s="3">
        <v>31.72</v>
      </c>
      <c r="M344" s="3">
        <v>33.31</v>
      </c>
      <c r="N344" s="3">
        <v>64.99</v>
      </c>
      <c r="O344" s="2" t="s">
        <v>232</v>
      </c>
      <c r="P344" s="2" t="s">
        <v>878</v>
      </c>
      <c r="Q344" s="2" t="s">
        <v>234</v>
      </c>
      <c r="R344" s="2" t="s">
        <v>235</v>
      </c>
      <c r="S344" s="2" t="s">
        <v>1631</v>
      </c>
      <c r="T344" s="2" t="s">
        <v>879</v>
      </c>
      <c r="U344" s="2" t="s">
        <v>552</v>
      </c>
      <c r="V344" s="2" t="s">
        <v>238</v>
      </c>
      <c r="W344" s="2" t="s">
        <v>682</v>
      </c>
      <c r="X344" s="2" t="s">
        <v>682</v>
      </c>
      <c r="Y344" s="2" t="s">
        <v>1615</v>
      </c>
      <c r="Z344" s="4">
        <v>205</v>
      </c>
      <c r="AA344" s="4">
        <f>=ROUNDDOWN(30.1470588235294,0)</f>
      </c>
      <c r="AB344" s="5">
        <v>6.8</v>
      </c>
      <c r="AC344" s="2" t="s">
        <v>235</v>
      </c>
      <c r="AD344" s="4"/>
      <c r="AE344" s="4"/>
      <c r="AF344" s="6">
        <v>64</v>
      </c>
      <c r="AG344" s="6">
        <v>47</v>
      </c>
      <c r="AH344" s="7">
        <v>1</v>
      </c>
      <c r="AI344" s="4"/>
      <c r="AJ344" s="4">
        <f>=ROUNDDOWN({0},0)</f>
      </c>
      <c r="AK344" s="5"/>
      <c r="AL344" s="2" t="s">
        <v>235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235</v>
      </c>
      <c r="AW344" s="8" t="s">
        <v>235</v>
      </c>
      <c r="AX344" s="4" t="s">
        <v>235</v>
      </c>
      <c r="AY344" s="8" t="s">
        <v>235</v>
      </c>
      <c r="AZ344" s="7" t="s">
        <v>235</v>
      </c>
      <c r="BA344" s="7" t="s">
        <v>235</v>
      </c>
      <c r="BB344" s="7"/>
      <c r="BC344" s="4" t="s">
        <v>235</v>
      </c>
      <c r="BD344" s="8" t="s">
        <v>235</v>
      </c>
      <c r="BE344" s="4" t="s">
        <v>235</v>
      </c>
      <c r="BF344" s="8" t="s">
        <v>235</v>
      </c>
      <c r="BG344" s="7" t="s">
        <v>235</v>
      </c>
      <c r="BH344" s="7" t="s">
        <v>235</v>
      </c>
      <c r="BI344" s="7"/>
      <c r="BJ344" s="4">
        <v>15</v>
      </c>
      <c r="BK344" s="8">
        <v>504.79</v>
      </c>
      <c r="BL344" s="2" t="s">
        <v>1632</v>
      </c>
      <c r="BM344" s="7"/>
      <c r="BN344" s="7"/>
      <c r="BO344" s="4"/>
      <c r="BP344" s="8"/>
      <c r="BQ344" s="4"/>
      <c r="BR344" s="8"/>
      <c r="BS344" s="7"/>
      <c r="BT344" s="7"/>
      <c r="BU344" s="2" t="s">
        <v>1617</v>
      </c>
      <c r="BV344" s="2" t="s">
        <v>235</v>
      </c>
      <c r="BW344" s="2" t="s">
        <v>235</v>
      </c>
      <c r="BX344" s="2" t="s">
        <v>619</v>
      </c>
      <c r="BY344" s="2" t="s">
        <v>245</v>
      </c>
      <c r="BZ344" s="2" t="s">
        <v>232</v>
      </c>
      <c r="CA344" s="2" t="s">
        <v>235</v>
      </c>
      <c r="CB344" s="2" t="s">
        <v>1327</v>
      </c>
      <c r="CC344" s="2" t="s">
        <v>248</v>
      </c>
      <c r="CD344" s="2" t="s">
        <v>248</v>
      </c>
      <c r="CE344" s="2" t="s">
        <v>235</v>
      </c>
      <c r="CF344" s="4">
        <v>26</v>
      </c>
      <c r="CG344" s="4"/>
      <c r="CH344" s="4"/>
      <c r="CI344" s="4">
        <v>179</v>
      </c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>
        <v>208</v>
      </c>
      <c r="GE344" s="4">
        <v>205</v>
      </c>
      <c r="GF344" s="4">
        <v>202</v>
      </c>
      <c r="GG344" s="4">
        <v>199</v>
      </c>
      <c r="GH344" s="4">
        <v>191</v>
      </c>
      <c r="GI344" s="4">
        <v>179</v>
      </c>
      <c r="GJ344" s="4">
        <v>167</v>
      </c>
      <c r="GK344" s="4">
        <v>158</v>
      </c>
      <c r="GL344" s="4">
        <v>149</v>
      </c>
      <c r="GM344" s="4">
        <v>140</v>
      </c>
      <c r="GN344" s="4">
        <v>134</v>
      </c>
      <c r="GO344" s="4">
        <v>127</v>
      </c>
      <c r="GP344" s="4">
        <v>118</v>
      </c>
      <c r="GQ344" s="4">
        <v>108</v>
      </c>
      <c r="GR344" s="4">
        <v>97</v>
      </c>
      <c r="GS344" s="4">
        <v>89</v>
      </c>
      <c r="GT344" s="4">
        <v>82</v>
      </c>
      <c r="GU344" s="4">
        <v>75</v>
      </c>
      <c r="GV344" s="4">
        <v>66</v>
      </c>
      <c r="GW344" s="4">
        <v>60</v>
      </c>
      <c r="GX344" s="4">
        <v>54</v>
      </c>
      <c r="GY344" s="4">
        <v>48</v>
      </c>
      <c r="GZ344" s="4">
        <v>42</v>
      </c>
      <c r="HA344" s="4">
        <v>36</v>
      </c>
      <c r="HB344" s="4">
        <v>29</v>
      </c>
      <c r="HC344" s="4">
        <v>22</v>
      </c>
      <c r="HD344" s="19">
        <v>94.4</v>
      </c>
      <c r="HE344" s="19">
        <v>47.9</v>
      </c>
      <c r="HF344" s="19">
        <v>31.6</v>
      </c>
      <c r="HG344" s="19">
        <v>23.9</v>
      </c>
      <c r="HH344" s="19">
        <v>16.2</v>
      </c>
      <c r="HI344" s="19">
        <v>12.2</v>
      </c>
      <c r="HJ344" s="19">
        <v>10.9</v>
      </c>
      <c r="HK344" s="19">
        <v>9.9</v>
      </c>
      <c r="HL344" s="19">
        <v>9.3</v>
      </c>
      <c r="HM344" s="19">
        <v>8.8</v>
      </c>
      <c r="HN344" s="19">
        <v>7.5</v>
      </c>
      <c r="HO344" s="19">
        <v>6.4</v>
      </c>
      <c r="HP344" s="19">
        <v>6.6</v>
      </c>
      <c r="HQ344" s="19">
        <v>6.8</v>
      </c>
      <c r="HR344" s="19">
        <v>6.1</v>
      </c>
      <c r="HS344" s="19">
        <v>6.4</v>
      </c>
      <c r="HT344" s="19">
        <v>5.9</v>
      </c>
      <c r="HU344" s="19">
        <v>5.4</v>
      </c>
      <c r="HV344" s="19">
        <v>5.5</v>
      </c>
      <c r="HW344" s="19">
        <v>5</v>
      </c>
      <c r="HX344" s="19">
        <v>4.5</v>
      </c>
      <c r="HY344" s="19">
        <v>4</v>
      </c>
      <c r="HZ344" s="19">
        <v>3</v>
      </c>
      <c r="IA344" s="19">
        <v>2.6</v>
      </c>
      <c r="IB344" s="19">
        <v>2.1</v>
      </c>
      <c r="IC344" s="19">
        <v>1.9</v>
      </c>
    </row>
    <row r="345">
      <c r="A345" s="2" t="s">
        <v>1633</v>
      </c>
      <c r="B345" s="2" t="s">
        <v>871</v>
      </c>
      <c r="C345" s="2" t="s">
        <v>606</v>
      </c>
      <c r="D345" s="2" t="s">
        <v>361</v>
      </c>
      <c r="E345" s="2" t="s">
        <v>872</v>
      </c>
      <c r="F345" s="2" t="s">
        <v>1611</v>
      </c>
      <c r="G345" s="2" t="s">
        <v>1612</v>
      </c>
      <c r="H345" s="2" t="s">
        <v>1613</v>
      </c>
      <c r="I345" s="2" t="s">
        <v>1614</v>
      </c>
      <c r="J345" s="2" t="s">
        <v>372</v>
      </c>
      <c r="K345" s="2" t="s">
        <v>1238</v>
      </c>
      <c r="L345" s="3">
        <v>42.66</v>
      </c>
      <c r="M345" s="3">
        <v>44.79</v>
      </c>
      <c r="N345" s="3">
        <v>89.99</v>
      </c>
      <c r="O345" s="2" t="s">
        <v>232</v>
      </c>
      <c r="P345" s="2" t="s">
        <v>878</v>
      </c>
      <c r="Q345" s="2" t="s">
        <v>234</v>
      </c>
      <c r="R345" s="2" t="s">
        <v>235</v>
      </c>
      <c r="S345" s="2" t="s">
        <v>1631</v>
      </c>
      <c r="T345" s="2" t="s">
        <v>879</v>
      </c>
      <c r="U345" s="2" t="s">
        <v>264</v>
      </c>
      <c r="V345" s="2" t="s">
        <v>238</v>
      </c>
      <c r="W345" s="2" t="s">
        <v>682</v>
      </c>
      <c r="X345" s="2" t="s">
        <v>682</v>
      </c>
      <c r="Y345" s="2" t="s">
        <v>1620</v>
      </c>
      <c r="Z345" s="4">
        <v>393</v>
      </c>
      <c r="AA345" s="4">
        <f>=ROUNDDOWN(74.1509433962264,0)</f>
      </c>
      <c r="AB345" s="5">
        <v>5.3</v>
      </c>
      <c r="AC345" s="2" t="s">
        <v>235</v>
      </c>
      <c r="AD345" s="4"/>
      <c r="AE345" s="4"/>
      <c r="AF345" s="6">
        <v>64</v>
      </c>
      <c r="AG345" s="6">
        <v>47</v>
      </c>
      <c r="AH345" s="7">
        <v>1</v>
      </c>
      <c r="AI345" s="4"/>
      <c r="AJ345" s="4">
        <f>=ROUNDDOWN({0},0)</f>
      </c>
      <c r="AK345" s="5"/>
      <c r="AL345" s="2" t="s">
        <v>235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235</v>
      </c>
      <c r="AW345" s="8" t="s">
        <v>235</v>
      </c>
      <c r="AX345" s="4" t="s">
        <v>235</v>
      </c>
      <c r="AY345" s="8" t="s">
        <v>235</v>
      </c>
      <c r="AZ345" s="7" t="s">
        <v>235</v>
      </c>
      <c r="BA345" s="7" t="s">
        <v>235</v>
      </c>
      <c r="BB345" s="7"/>
      <c r="BC345" s="4" t="s">
        <v>235</v>
      </c>
      <c r="BD345" s="8" t="s">
        <v>235</v>
      </c>
      <c r="BE345" s="4" t="s">
        <v>235</v>
      </c>
      <c r="BF345" s="8" t="s">
        <v>235</v>
      </c>
      <c r="BG345" s="7" t="s">
        <v>235</v>
      </c>
      <c r="BH345" s="7" t="s">
        <v>235</v>
      </c>
      <c r="BI345" s="7"/>
      <c r="BJ345" s="4">
        <v>7</v>
      </c>
      <c r="BK345" s="8">
        <v>343.15</v>
      </c>
      <c r="BL345" s="2" t="s">
        <v>1634</v>
      </c>
      <c r="BM345" s="7"/>
      <c r="BN345" s="7"/>
      <c r="BO345" s="4"/>
      <c r="BP345" s="8"/>
      <c r="BQ345" s="4"/>
      <c r="BR345" s="8"/>
      <c r="BS345" s="7"/>
      <c r="BT345" s="7"/>
      <c r="BU345" s="2" t="s">
        <v>1617</v>
      </c>
      <c r="BV345" s="2" t="s">
        <v>235</v>
      </c>
      <c r="BW345" s="2" t="s">
        <v>235</v>
      </c>
      <c r="BX345" s="2" t="s">
        <v>619</v>
      </c>
      <c r="BY345" s="2" t="s">
        <v>245</v>
      </c>
      <c r="BZ345" s="2" t="s">
        <v>232</v>
      </c>
      <c r="CA345" s="2" t="s">
        <v>235</v>
      </c>
      <c r="CB345" s="2" t="s">
        <v>1635</v>
      </c>
      <c r="CC345" s="2" t="s">
        <v>248</v>
      </c>
      <c r="CD345" s="2" t="s">
        <v>248</v>
      </c>
      <c r="CE345" s="2" t="s">
        <v>235</v>
      </c>
      <c r="CF345" s="4">
        <v>91</v>
      </c>
      <c r="CG345" s="4"/>
      <c r="CH345" s="4"/>
      <c r="CI345" s="4">
        <v>302</v>
      </c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>
        <v>393</v>
      </c>
      <c r="GE345" s="4">
        <v>389</v>
      </c>
      <c r="GF345" s="4">
        <v>385</v>
      </c>
      <c r="GG345" s="4">
        <v>381</v>
      </c>
      <c r="GH345" s="4">
        <v>377</v>
      </c>
      <c r="GI345" s="4">
        <v>373</v>
      </c>
      <c r="GJ345" s="4">
        <v>369</v>
      </c>
      <c r="GK345" s="4">
        <v>365</v>
      </c>
      <c r="GL345" s="4">
        <v>361</v>
      </c>
      <c r="GM345" s="4">
        <v>357</v>
      </c>
      <c r="GN345" s="4">
        <v>352</v>
      </c>
      <c r="GO345" s="4">
        <v>347</v>
      </c>
      <c r="GP345" s="4">
        <v>340</v>
      </c>
      <c r="GQ345" s="4">
        <v>331</v>
      </c>
      <c r="GR345" s="4">
        <v>324</v>
      </c>
      <c r="GS345" s="4">
        <v>317</v>
      </c>
      <c r="GT345" s="4">
        <v>313</v>
      </c>
      <c r="GU345" s="4">
        <v>308</v>
      </c>
      <c r="GV345" s="4">
        <v>302</v>
      </c>
      <c r="GW345" s="4">
        <v>297</v>
      </c>
      <c r="GX345" s="4">
        <v>292</v>
      </c>
      <c r="GY345" s="4">
        <v>287</v>
      </c>
      <c r="GZ345" s="4">
        <v>282</v>
      </c>
      <c r="HA345" s="4">
        <v>277</v>
      </c>
      <c r="HB345" s="4">
        <v>272</v>
      </c>
      <c r="HC345" s="4">
        <v>267</v>
      </c>
      <c r="HD345" s="19">
        <v>166.2</v>
      </c>
      <c r="HE345" s="19">
        <v>165.2</v>
      </c>
      <c r="HF345" s="19">
        <v>164.2</v>
      </c>
      <c r="HG345" s="19">
        <v>163.2</v>
      </c>
      <c r="HH345" s="19">
        <v>162.2</v>
      </c>
      <c r="HI345" s="19">
        <v>161.2</v>
      </c>
      <c r="HJ345" s="19">
        <v>160.2</v>
      </c>
      <c r="HK345" s="19">
        <v>156.3</v>
      </c>
      <c r="HL345" s="19">
        <v>155.4</v>
      </c>
      <c r="HM345" s="19">
        <v>79.7</v>
      </c>
      <c r="HN345" s="19">
        <v>79</v>
      </c>
      <c r="HO345" s="19">
        <v>77.4</v>
      </c>
      <c r="HP345" s="19">
        <v>77.4</v>
      </c>
      <c r="HQ345" s="19">
        <v>77.3</v>
      </c>
      <c r="HR345" s="19">
        <v>147.4</v>
      </c>
      <c r="HS345" s="19">
        <v>145.8</v>
      </c>
      <c r="HT345" s="19">
        <v>144.9</v>
      </c>
      <c r="HU345" s="19">
        <v>143.9</v>
      </c>
      <c r="HV345" s="19">
        <v>142.8</v>
      </c>
      <c r="HW345" s="19">
        <v>141.8</v>
      </c>
      <c r="HX345" s="19">
        <v>71.3</v>
      </c>
      <c r="HY345" s="19">
        <v>71.8</v>
      </c>
      <c r="HZ345" s="19">
        <v>36</v>
      </c>
      <c r="IA345" s="19">
        <v>34.4</v>
      </c>
      <c r="IB345" s="19">
        <v>27.2</v>
      </c>
      <c r="IC345" s="19">
        <v>26.7</v>
      </c>
    </row>
    <row r="346">
      <c r="A346" s="2" t="s">
        <v>1636</v>
      </c>
      <c r="B346" s="2" t="s">
        <v>871</v>
      </c>
      <c r="C346" s="2" t="s">
        <v>606</v>
      </c>
      <c r="D346" s="2" t="s">
        <v>361</v>
      </c>
      <c r="E346" s="2" t="s">
        <v>872</v>
      </c>
      <c r="F346" s="2" t="s">
        <v>1611</v>
      </c>
      <c r="G346" s="2" t="s">
        <v>1612</v>
      </c>
      <c r="H346" s="2" t="s">
        <v>1613</v>
      </c>
      <c r="I346" s="2" t="s">
        <v>1614</v>
      </c>
      <c r="J346" s="2" t="s">
        <v>877</v>
      </c>
      <c r="K346" s="2" t="s">
        <v>889</v>
      </c>
      <c r="L346" s="3">
        <v>31.72</v>
      </c>
      <c r="M346" s="3">
        <v>33.31</v>
      </c>
      <c r="N346" s="3">
        <v>64.99</v>
      </c>
      <c r="O346" s="2" t="s">
        <v>232</v>
      </c>
      <c r="P346" s="2" t="s">
        <v>878</v>
      </c>
      <c r="Q346" s="2" t="s">
        <v>234</v>
      </c>
      <c r="R346" s="2" t="s">
        <v>235</v>
      </c>
      <c r="S346" s="2" t="s">
        <v>235</v>
      </c>
      <c r="T346" s="2" t="s">
        <v>879</v>
      </c>
      <c r="U346" s="2" t="s">
        <v>552</v>
      </c>
      <c r="V346" s="2" t="s">
        <v>238</v>
      </c>
      <c r="W346" s="2" t="s">
        <v>682</v>
      </c>
      <c r="X346" s="2" t="s">
        <v>682</v>
      </c>
      <c r="Y346" s="2" t="s">
        <v>1615</v>
      </c>
      <c r="Z346" s="4">
        <v>29</v>
      </c>
      <c r="AA346" s="4">
        <f>=ROUNDDOWN(2.35772357723577,0)</f>
      </c>
      <c r="AB346" s="5">
        <v>12.3</v>
      </c>
      <c r="AC346" s="2" t="s">
        <v>235</v>
      </c>
      <c r="AD346" s="4"/>
      <c r="AE346" s="4"/>
      <c r="AF346" s="6">
        <v>64</v>
      </c>
      <c r="AG346" s="6">
        <v>47</v>
      </c>
      <c r="AH346" s="7">
        <v>1</v>
      </c>
      <c r="AI346" s="4"/>
      <c r="AJ346" s="4">
        <f>=ROUNDDOWN({0},0)</f>
      </c>
      <c r="AK346" s="5"/>
      <c r="AL346" s="2" t="s">
        <v>235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235</v>
      </c>
      <c r="AW346" s="8" t="s">
        <v>235</v>
      </c>
      <c r="AX346" s="4" t="s">
        <v>235</v>
      </c>
      <c r="AY346" s="8" t="s">
        <v>235</v>
      </c>
      <c r="AZ346" s="7" t="s">
        <v>235</v>
      </c>
      <c r="BA346" s="7" t="s">
        <v>235</v>
      </c>
      <c r="BB346" s="7"/>
      <c r="BC346" s="4" t="s">
        <v>235</v>
      </c>
      <c r="BD346" s="8" t="s">
        <v>235</v>
      </c>
      <c r="BE346" s="4" t="s">
        <v>235</v>
      </c>
      <c r="BF346" s="8" t="s">
        <v>235</v>
      </c>
      <c r="BG346" s="7" t="s">
        <v>235</v>
      </c>
      <c r="BH346" s="7" t="s">
        <v>235</v>
      </c>
      <c r="BI346" s="7"/>
      <c r="BJ346" s="4">
        <v>75</v>
      </c>
      <c r="BK346" s="8">
        <v>2346.94</v>
      </c>
      <c r="BL346" s="2" t="s">
        <v>659</v>
      </c>
      <c r="BM346" s="7"/>
      <c r="BN346" s="7"/>
      <c r="BO346" s="4"/>
      <c r="BP346" s="8"/>
      <c r="BQ346" s="4"/>
      <c r="BR346" s="8"/>
      <c r="BS346" s="7"/>
      <c r="BT346" s="7"/>
      <c r="BU346" s="2" t="s">
        <v>1617</v>
      </c>
      <c r="BV346" s="2" t="s">
        <v>235</v>
      </c>
      <c r="BW346" s="2" t="s">
        <v>235</v>
      </c>
      <c r="BX346" s="2" t="s">
        <v>619</v>
      </c>
      <c r="BY346" s="2" t="s">
        <v>245</v>
      </c>
      <c r="BZ346" s="2" t="s">
        <v>232</v>
      </c>
      <c r="CA346" s="2" t="s">
        <v>235</v>
      </c>
      <c r="CB346" s="2" t="s">
        <v>1235</v>
      </c>
      <c r="CC346" s="2" t="s">
        <v>248</v>
      </c>
      <c r="CD346" s="2" t="s">
        <v>248</v>
      </c>
      <c r="CE346" s="2" t="s">
        <v>235</v>
      </c>
      <c r="CF346" s="4">
        <v>28</v>
      </c>
      <c r="CG346" s="4"/>
      <c r="CH346" s="4"/>
      <c r="CI346" s="4">
        <v>1</v>
      </c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>
        <v>47</v>
      </c>
      <c r="GE346" s="4">
        <v>41</v>
      </c>
      <c r="GF346" s="4">
        <v>38</v>
      </c>
      <c r="GG346" s="4">
        <v>24</v>
      </c>
      <c r="GH346" s="4">
        <v>8</v>
      </c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>
        <v>243</v>
      </c>
      <c r="GT346" s="4">
        <v>155</v>
      </c>
      <c r="GU346" s="4">
        <v>144</v>
      </c>
      <c r="GV346" s="4">
        <v>610</v>
      </c>
      <c r="GW346" s="4">
        <v>598</v>
      </c>
      <c r="GX346" s="4">
        <v>585</v>
      </c>
      <c r="GY346" s="4">
        <v>572</v>
      </c>
      <c r="GZ346" s="4">
        <v>559</v>
      </c>
      <c r="HA346" s="4">
        <v>546</v>
      </c>
      <c r="HB346" s="4">
        <v>532</v>
      </c>
      <c r="HC346" s="4">
        <v>518</v>
      </c>
      <c r="HD346" s="19">
        <v>4.4</v>
      </c>
      <c r="HE346" s="19">
        <v>3.4</v>
      </c>
      <c r="HF346" s="19">
        <v>3.3</v>
      </c>
      <c r="HG346" s="19">
        <v>1.5</v>
      </c>
      <c r="HH346" s="19">
        <v>1</v>
      </c>
      <c r="HI346" s="20">
        <v>0</v>
      </c>
      <c r="HJ346" s="20">
        <v>0</v>
      </c>
      <c r="HK346" s="20">
        <v>0</v>
      </c>
      <c r="HL346" s="20">
        <v>0</v>
      </c>
      <c r="HM346" s="20">
        <v>0</v>
      </c>
      <c r="HN346" s="20">
        <v>0</v>
      </c>
      <c r="HO346" s="20">
        <v>0</v>
      </c>
      <c r="HP346" s="20">
        <v>0</v>
      </c>
      <c r="HQ346" s="20">
        <v>0</v>
      </c>
      <c r="HR346" s="20">
        <v>0</v>
      </c>
      <c r="HS346" s="19">
        <v>4.4</v>
      </c>
      <c r="HT346" s="19">
        <v>11.1</v>
      </c>
      <c r="HU346" s="19">
        <v>14.4</v>
      </c>
      <c r="HV346" s="19">
        <v>45.9</v>
      </c>
      <c r="HW346" s="19">
        <v>45</v>
      </c>
      <c r="HX346" s="19">
        <v>44</v>
      </c>
      <c r="HY346" s="19">
        <v>43</v>
      </c>
      <c r="HZ346" s="19">
        <v>40</v>
      </c>
      <c r="IA346" s="19">
        <v>39</v>
      </c>
      <c r="IB346" s="19">
        <v>38</v>
      </c>
      <c r="IC346" s="19">
        <v>37</v>
      </c>
    </row>
    <row r="347">
      <c r="A347" s="2" t="s">
        <v>1637</v>
      </c>
      <c r="B347" s="2" t="s">
        <v>871</v>
      </c>
      <c r="C347" s="2" t="s">
        <v>606</v>
      </c>
      <c r="D347" s="2" t="s">
        <v>361</v>
      </c>
      <c r="E347" s="2" t="s">
        <v>872</v>
      </c>
      <c r="F347" s="2" t="s">
        <v>1611</v>
      </c>
      <c r="G347" s="2" t="s">
        <v>1612</v>
      </c>
      <c r="H347" s="2" t="s">
        <v>1613</v>
      </c>
      <c r="I347" s="2" t="s">
        <v>1614</v>
      </c>
      <c r="J347" s="2" t="s">
        <v>372</v>
      </c>
      <c r="K347" s="2" t="s">
        <v>889</v>
      </c>
      <c r="L347" s="3">
        <v>42.66</v>
      </c>
      <c r="M347" s="3">
        <v>44.79</v>
      </c>
      <c r="N347" s="3">
        <v>89.99</v>
      </c>
      <c r="O347" s="2" t="s">
        <v>232</v>
      </c>
      <c r="P347" s="2" t="s">
        <v>878</v>
      </c>
      <c r="Q347" s="2" t="s">
        <v>234</v>
      </c>
      <c r="R347" s="2" t="s">
        <v>235</v>
      </c>
      <c r="S347" s="2" t="s">
        <v>235</v>
      </c>
      <c r="T347" s="2" t="s">
        <v>879</v>
      </c>
      <c r="U347" s="2" t="s">
        <v>264</v>
      </c>
      <c r="V347" s="2" t="s">
        <v>238</v>
      </c>
      <c r="W347" s="2" t="s">
        <v>682</v>
      </c>
      <c r="X347" s="2" t="s">
        <v>682</v>
      </c>
      <c r="Y347" s="2" t="s">
        <v>1620</v>
      </c>
      <c r="Z347" s="4">
        <v>325</v>
      </c>
      <c r="AA347" s="4">
        <f>=ROUNDDOWN(108.333333333333,0)</f>
      </c>
      <c r="AB347" s="5">
        <v>3</v>
      </c>
      <c r="AC347" s="2" t="s">
        <v>235</v>
      </c>
      <c r="AD347" s="4"/>
      <c r="AE347" s="4"/>
      <c r="AF347" s="6">
        <v>64</v>
      </c>
      <c r="AG347" s="6">
        <v>47</v>
      </c>
      <c r="AH347" s="7">
        <v>1</v>
      </c>
      <c r="AI347" s="4"/>
      <c r="AJ347" s="4">
        <f>=ROUNDDOWN({0},0)</f>
      </c>
      <c r="AK347" s="5"/>
      <c r="AL347" s="2" t="s">
        <v>235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235</v>
      </c>
      <c r="AW347" s="8" t="s">
        <v>235</v>
      </c>
      <c r="AX347" s="4" t="s">
        <v>235</v>
      </c>
      <c r="AY347" s="8" t="s">
        <v>235</v>
      </c>
      <c r="AZ347" s="7" t="s">
        <v>235</v>
      </c>
      <c r="BA347" s="7" t="s">
        <v>235</v>
      </c>
      <c r="BB347" s="7"/>
      <c r="BC347" s="4" t="s">
        <v>235</v>
      </c>
      <c r="BD347" s="8" t="s">
        <v>235</v>
      </c>
      <c r="BE347" s="4" t="s">
        <v>235</v>
      </c>
      <c r="BF347" s="8" t="s">
        <v>235</v>
      </c>
      <c r="BG347" s="7" t="s">
        <v>235</v>
      </c>
      <c r="BH347" s="7" t="s">
        <v>235</v>
      </c>
      <c r="BI347" s="7"/>
      <c r="BJ347" s="4">
        <v>6</v>
      </c>
      <c r="BK347" s="8">
        <v>300.07</v>
      </c>
      <c r="BL347" s="2" t="s">
        <v>1638</v>
      </c>
      <c r="BM347" s="7"/>
      <c r="BN347" s="7"/>
      <c r="BO347" s="4"/>
      <c r="BP347" s="8"/>
      <c r="BQ347" s="4"/>
      <c r="BR347" s="8"/>
      <c r="BS347" s="7"/>
      <c r="BT347" s="7"/>
      <c r="BU347" s="2" t="s">
        <v>1617</v>
      </c>
      <c r="BV347" s="2" t="s">
        <v>235</v>
      </c>
      <c r="BW347" s="2" t="s">
        <v>235</v>
      </c>
      <c r="BX347" s="2" t="s">
        <v>619</v>
      </c>
      <c r="BY347" s="2" t="s">
        <v>245</v>
      </c>
      <c r="BZ347" s="2" t="s">
        <v>232</v>
      </c>
      <c r="CA347" s="2" t="s">
        <v>235</v>
      </c>
      <c r="CB347" s="2" t="s">
        <v>1327</v>
      </c>
      <c r="CC347" s="2" t="s">
        <v>248</v>
      </c>
      <c r="CD347" s="2" t="s">
        <v>248</v>
      </c>
      <c r="CE347" s="2" t="s">
        <v>235</v>
      </c>
      <c r="CF347" s="4">
        <v>276</v>
      </c>
      <c r="CG347" s="4"/>
      <c r="CH347" s="4"/>
      <c r="CI347" s="4">
        <v>49</v>
      </c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>
        <v>325</v>
      </c>
      <c r="GE347" s="4">
        <v>323</v>
      </c>
      <c r="GF347" s="4">
        <v>321</v>
      </c>
      <c r="GG347" s="4">
        <v>319</v>
      </c>
      <c r="GH347" s="4">
        <v>317</v>
      </c>
      <c r="GI347" s="4">
        <v>315</v>
      </c>
      <c r="GJ347" s="4">
        <v>313</v>
      </c>
      <c r="GK347" s="4">
        <v>311</v>
      </c>
      <c r="GL347" s="4">
        <v>309</v>
      </c>
      <c r="GM347" s="4">
        <v>307</v>
      </c>
      <c r="GN347" s="4">
        <v>305</v>
      </c>
      <c r="GO347" s="4">
        <v>302</v>
      </c>
      <c r="GP347" s="4">
        <v>299</v>
      </c>
      <c r="GQ347" s="4">
        <v>294</v>
      </c>
      <c r="GR347" s="4">
        <v>291</v>
      </c>
      <c r="GS347" s="4">
        <v>288</v>
      </c>
      <c r="GT347" s="4">
        <v>286</v>
      </c>
      <c r="GU347" s="4">
        <v>284</v>
      </c>
      <c r="GV347" s="4">
        <v>282</v>
      </c>
      <c r="GW347" s="4">
        <v>280</v>
      </c>
      <c r="GX347" s="4">
        <v>278</v>
      </c>
      <c r="GY347" s="4">
        <v>276</v>
      </c>
      <c r="GZ347" s="4">
        <v>274</v>
      </c>
      <c r="HA347" s="4">
        <v>272</v>
      </c>
      <c r="HB347" s="4">
        <v>270</v>
      </c>
      <c r="HC347" s="4">
        <v>268</v>
      </c>
      <c r="HD347" s="19">
        <v>69</v>
      </c>
      <c r="HE347" s="19">
        <v>68.5</v>
      </c>
      <c r="HF347" s="19">
        <v>68</v>
      </c>
      <c r="HG347" s="19">
        <v>67.5</v>
      </c>
      <c r="HH347" s="19">
        <v>67</v>
      </c>
      <c r="HI347" s="19">
        <v>66.5</v>
      </c>
      <c r="HJ347" s="19">
        <v>66</v>
      </c>
      <c r="HK347" s="19">
        <v>65.5</v>
      </c>
      <c r="HL347" s="19">
        <v>65</v>
      </c>
      <c r="HM347" s="19">
        <v>43</v>
      </c>
      <c r="HN347" s="19">
        <v>32</v>
      </c>
      <c r="HO347" s="19">
        <v>31.7</v>
      </c>
      <c r="HP347" s="19">
        <v>41.7</v>
      </c>
      <c r="HQ347" s="19">
        <v>61.3</v>
      </c>
      <c r="HR347" s="19">
        <v>60.5</v>
      </c>
      <c r="HS347" s="19">
        <v>59.8</v>
      </c>
      <c r="HT347" s="19">
        <v>59.3</v>
      </c>
      <c r="HU347" s="19">
        <v>58.8</v>
      </c>
      <c r="HV347" s="19">
        <v>58.3</v>
      </c>
      <c r="HW347" s="19">
        <v>57.8</v>
      </c>
      <c r="HX347" s="19">
        <v>57.3</v>
      </c>
      <c r="HY347" s="19">
        <v>56.8</v>
      </c>
      <c r="HZ347" s="19">
        <v>56.3</v>
      </c>
      <c r="IA347" s="19">
        <v>55.8</v>
      </c>
      <c r="IB347" s="19">
        <v>55.3</v>
      </c>
      <c r="IC347" s="19">
        <v>54.8</v>
      </c>
    </row>
    <row r="348">
      <c r="A348" s="2" t="s">
        <v>1639</v>
      </c>
      <c r="B348" s="2" t="s">
        <v>871</v>
      </c>
      <c r="C348" s="2" t="s">
        <v>606</v>
      </c>
      <c r="D348" s="2" t="s">
        <v>361</v>
      </c>
      <c r="E348" s="2" t="s">
        <v>872</v>
      </c>
      <c r="F348" s="2" t="s">
        <v>1611</v>
      </c>
      <c r="G348" s="2" t="s">
        <v>1612</v>
      </c>
      <c r="H348" s="2" t="s">
        <v>1613</v>
      </c>
      <c r="I348" s="2" t="s">
        <v>1614</v>
      </c>
      <c r="J348" s="2" t="s">
        <v>877</v>
      </c>
      <c r="K348" s="2" t="s">
        <v>316</v>
      </c>
      <c r="L348" s="3">
        <v>31.72</v>
      </c>
      <c r="M348" s="3">
        <v>33.31</v>
      </c>
      <c r="N348" s="3">
        <v>64.99</v>
      </c>
      <c r="O348" s="2" t="s">
        <v>232</v>
      </c>
      <c r="P348" s="2" t="s">
        <v>878</v>
      </c>
      <c r="Q348" s="2" t="s">
        <v>234</v>
      </c>
      <c r="R348" s="2" t="s">
        <v>235</v>
      </c>
      <c r="S348" s="2" t="s">
        <v>1640</v>
      </c>
      <c r="T348" s="2" t="s">
        <v>879</v>
      </c>
      <c r="U348" s="2" t="s">
        <v>552</v>
      </c>
      <c r="V348" s="2" t="s">
        <v>238</v>
      </c>
      <c r="W348" s="2" t="s">
        <v>682</v>
      </c>
      <c r="X348" s="2" t="s">
        <v>682</v>
      </c>
      <c r="Y348" s="2" t="s">
        <v>1615</v>
      </c>
      <c r="Z348" s="4"/>
      <c r="AA348" s="4">
        <f>=ROUNDDOWN({0},0)</f>
      </c>
      <c r="AB348" s="5">
        <v>46</v>
      </c>
      <c r="AC348" s="2" t="s">
        <v>167</v>
      </c>
      <c r="AD348" s="4">
        <v>1050</v>
      </c>
      <c r="AE348" s="4">
        <v>1050</v>
      </c>
      <c r="AF348" s="6">
        <v>64</v>
      </c>
      <c r="AG348" s="6">
        <v>47</v>
      </c>
      <c r="AH348" s="7">
        <v>0</v>
      </c>
      <c r="AI348" s="4"/>
      <c r="AJ348" s="4">
        <f>=ROUNDDOWN({0},0)</f>
      </c>
      <c r="AK348" s="5"/>
      <c r="AL348" s="2" t="s">
        <v>235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235</v>
      </c>
      <c r="AW348" s="8" t="s">
        <v>235</v>
      </c>
      <c r="AX348" s="4" t="s">
        <v>235</v>
      </c>
      <c r="AY348" s="8" t="s">
        <v>235</v>
      </c>
      <c r="AZ348" s="7" t="s">
        <v>235</v>
      </c>
      <c r="BA348" s="7" t="s">
        <v>235</v>
      </c>
      <c r="BB348" s="7"/>
      <c r="BC348" s="4" t="s">
        <v>235</v>
      </c>
      <c r="BD348" s="8" t="s">
        <v>235</v>
      </c>
      <c r="BE348" s="4" t="s">
        <v>235</v>
      </c>
      <c r="BF348" s="8" t="s">
        <v>235</v>
      </c>
      <c r="BG348" s="7" t="s">
        <v>235</v>
      </c>
      <c r="BH348" s="7" t="s">
        <v>235</v>
      </c>
      <c r="BI348" s="7"/>
      <c r="BJ348" s="4"/>
      <c r="BK348" s="8"/>
      <c r="BL348" s="2" t="s">
        <v>235</v>
      </c>
      <c r="BM348" s="7"/>
      <c r="BN348" s="7"/>
      <c r="BO348" s="4"/>
      <c r="BP348" s="8"/>
      <c r="BQ348" s="4"/>
      <c r="BR348" s="8"/>
      <c r="BS348" s="7"/>
      <c r="BT348" s="7"/>
      <c r="BU348" s="2" t="s">
        <v>1617</v>
      </c>
      <c r="BV348" s="2" t="s">
        <v>235</v>
      </c>
      <c r="BW348" s="2" t="s">
        <v>235</v>
      </c>
      <c r="BX348" s="2" t="s">
        <v>619</v>
      </c>
      <c r="BY348" s="2" t="s">
        <v>245</v>
      </c>
      <c r="BZ348" s="2" t="s">
        <v>232</v>
      </c>
      <c r="CA348" s="2" t="s">
        <v>235</v>
      </c>
      <c r="CB348" s="2" t="s">
        <v>235</v>
      </c>
      <c r="CC348" s="2" t="s">
        <v>248</v>
      </c>
      <c r="CD348" s="2" t="s">
        <v>248</v>
      </c>
      <c r="CE348" s="2" t="s">
        <v>235</v>
      </c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>
        <v>1050</v>
      </c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>
        <v>1050</v>
      </c>
      <c r="GL348" s="4">
        <v>822</v>
      </c>
      <c r="GM348" s="4">
        <v>814</v>
      </c>
      <c r="GN348" s="4">
        <v>772</v>
      </c>
      <c r="GO348" s="4">
        <v>738</v>
      </c>
      <c r="GP348" s="4">
        <v>703</v>
      </c>
      <c r="GQ348" s="4">
        <v>665</v>
      </c>
      <c r="GR348" s="4">
        <v>632</v>
      </c>
      <c r="GS348" s="4">
        <v>583</v>
      </c>
      <c r="GT348" s="4">
        <v>538</v>
      </c>
      <c r="GU348" s="4">
        <v>493</v>
      </c>
      <c r="GV348" s="4">
        <v>443</v>
      </c>
      <c r="GW348" s="4">
        <v>398</v>
      </c>
      <c r="GX348" s="4">
        <v>349</v>
      </c>
      <c r="GY348" s="4">
        <v>300</v>
      </c>
      <c r="GZ348" s="4">
        <v>251</v>
      </c>
      <c r="HA348" s="4">
        <v>380</v>
      </c>
      <c r="HB348" s="4">
        <v>326</v>
      </c>
      <c r="HC348" s="4">
        <v>271</v>
      </c>
      <c r="HD348" s="20">
        <v>0</v>
      </c>
      <c r="HE348" s="20">
        <v>0</v>
      </c>
      <c r="HF348" s="20">
        <v>0</v>
      </c>
      <c r="HG348" s="20">
        <v>0</v>
      </c>
      <c r="HH348" s="20">
        <v>0</v>
      </c>
      <c r="HI348" s="20">
        <v>0</v>
      </c>
      <c r="HJ348" s="20">
        <v>0</v>
      </c>
      <c r="HK348" s="19">
        <v>6.8</v>
      </c>
      <c r="HL348" s="19">
        <v>13.7</v>
      </c>
      <c r="HM348" s="19">
        <v>11</v>
      </c>
      <c r="HN348" s="19">
        <v>11.1</v>
      </c>
      <c r="HO348" s="19">
        <v>9.5</v>
      </c>
      <c r="HP348" s="19">
        <v>8.6</v>
      </c>
      <c r="HQ348" s="19">
        <v>7.8</v>
      </c>
      <c r="HR348" s="19">
        <v>6.7</v>
      </c>
      <c r="HS348" s="19">
        <v>6.4</v>
      </c>
      <c r="HT348" s="19">
        <v>5.7</v>
      </c>
      <c r="HU348" s="19">
        <v>5.2</v>
      </c>
      <c r="HV348" s="19">
        <v>4.6</v>
      </c>
      <c r="HW348" s="19">
        <v>4.1</v>
      </c>
      <c r="HX348" s="19">
        <v>3.7</v>
      </c>
      <c r="HY348" s="19">
        <v>3.3</v>
      </c>
      <c r="HZ348" s="19">
        <v>2.9</v>
      </c>
      <c r="IA348" s="19">
        <v>9.8</v>
      </c>
      <c r="IB348" s="19">
        <v>8.8</v>
      </c>
      <c r="IC348" s="19">
        <v>7.8</v>
      </c>
    </row>
    <row r="349">
      <c r="A349" s="2" t="s">
        <v>1641</v>
      </c>
      <c r="B349" s="2" t="s">
        <v>871</v>
      </c>
      <c r="C349" s="2" t="s">
        <v>606</v>
      </c>
      <c r="D349" s="2" t="s">
        <v>361</v>
      </c>
      <c r="E349" s="2" t="s">
        <v>872</v>
      </c>
      <c r="F349" s="2" t="s">
        <v>1611</v>
      </c>
      <c r="G349" s="2" t="s">
        <v>1612</v>
      </c>
      <c r="H349" s="2" t="s">
        <v>1613</v>
      </c>
      <c r="I349" s="2" t="s">
        <v>1614</v>
      </c>
      <c r="J349" s="2" t="s">
        <v>365</v>
      </c>
      <c r="K349" s="2" t="s">
        <v>316</v>
      </c>
      <c r="L349" s="3">
        <v>37.4</v>
      </c>
      <c r="M349" s="3">
        <v>39.27</v>
      </c>
      <c r="N349" s="3">
        <v>79.99</v>
      </c>
      <c r="O349" s="2" t="s">
        <v>232</v>
      </c>
      <c r="P349" s="2" t="s">
        <v>878</v>
      </c>
      <c r="Q349" s="2" t="s">
        <v>234</v>
      </c>
      <c r="R349" s="2" t="s">
        <v>235</v>
      </c>
      <c r="S349" s="2" t="s">
        <v>1640</v>
      </c>
      <c r="T349" s="2" t="s">
        <v>879</v>
      </c>
      <c r="U349" s="2" t="s">
        <v>264</v>
      </c>
      <c r="V349" s="2" t="s">
        <v>238</v>
      </c>
      <c r="W349" s="2" t="s">
        <v>682</v>
      </c>
      <c r="X349" s="2" t="s">
        <v>682</v>
      </c>
      <c r="Y349" s="2" t="s">
        <v>1225</v>
      </c>
      <c r="Z349" s="4">
        <v>628</v>
      </c>
      <c r="AA349" s="4">
        <f>=ROUNDDOWN(57.0909090909091,0)</f>
      </c>
      <c r="AB349" s="5">
        <v>11</v>
      </c>
      <c r="AC349" s="2" t="s">
        <v>235</v>
      </c>
      <c r="AD349" s="4"/>
      <c r="AE349" s="4"/>
      <c r="AF349" s="6">
        <v>64</v>
      </c>
      <c r="AG349" s="6">
        <v>47</v>
      </c>
      <c r="AH349" s="7">
        <v>1</v>
      </c>
      <c r="AI349" s="4"/>
      <c r="AJ349" s="4">
        <f>=ROUNDDOWN({0},0)</f>
      </c>
      <c r="AK349" s="5"/>
      <c r="AL349" s="2" t="s">
        <v>235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235</v>
      </c>
      <c r="AW349" s="8" t="s">
        <v>235</v>
      </c>
      <c r="AX349" s="4" t="s">
        <v>235</v>
      </c>
      <c r="AY349" s="8" t="s">
        <v>235</v>
      </c>
      <c r="AZ349" s="7" t="s">
        <v>235</v>
      </c>
      <c r="BA349" s="7" t="s">
        <v>235</v>
      </c>
      <c r="BB349" s="7"/>
      <c r="BC349" s="4" t="s">
        <v>235</v>
      </c>
      <c r="BD349" s="8" t="s">
        <v>235</v>
      </c>
      <c r="BE349" s="4" t="s">
        <v>235</v>
      </c>
      <c r="BF349" s="8" t="s">
        <v>235</v>
      </c>
      <c r="BG349" s="7" t="s">
        <v>235</v>
      </c>
      <c r="BH349" s="7" t="s">
        <v>235</v>
      </c>
      <c r="BI349" s="7"/>
      <c r="BJ349" s="4">
        <v>55</v>
      </c>
      <c r="BK349" s="8">
        <v>2109.32</v>
      </c>
      <c r="BL349" s="2" t="s">
        <v>1642</v>
      </c>
      <c r="BM349" s="7"/>
      <c r="BN349" s="7"/>
      <c r="BO349" s="4"/>
      <c r="BP349" s="8"/>
      <c r="BQ349" s="4"/>
      <c r="BR349" s="8"/>
      <c r="BS349" s="7"/>
      <c r="BT349" s="7"/>
      <c r="BU349" s="2" t="s">
        <v>1617</v>
      </c>
      <c r="BV349" s="2" t="s">
        <v>235</v>
      </c>
      <c r="BW349" s="2" t="s">
        <v>235</v>
      </c>
      <c r="BX349" s="2" t="s">
        <v>619</v>
      </c>
      <c r="BY349" s="2" t="s">
        <v>245</v>
      </c>
      <c r="BZ349" s="2" t="s">
        <v>232</v>
      </c>
      <c r="CA349" s="2" t="s">
        <v>235</v>
      </c>
      <c r="CB349" s="2" t="s">
        <v>1643</v>
      </c>
      <c r="CC349" s="2" t="s">
        <v>248</v>
      </c>
      <c r="CD349" s="2" t="s">
        <v>248</v>
      </c>
      <c r="CE349" s="2" t="s">
        <v>235</v>
      </c>
      <c r="CF349" s="4">
        <v>447</v>
      </c>
      <c r="CG349" s="4"/>
      <c r="CH349" s="4"/>
      <c r="CI349" s="4">
        <v>181</v>
      </c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>
        <v>628</v>
      </c>
      <c r="GE349" s="4">
        <v>617</v>
      </c>
      <c r="GF349" s="4">
        <v>610</v>
      </c>
      <c r="GG349" s="4">
        <v>603</v>
      </c>
      <c r="GH349" s="4">
        <v>596</v>
      </c>
      <c r="GI349" s="4">
        <v>589</v>
      </c>
      <c r="GJ349" s="4">
        <v>582</v>
      </c>
      <c r="GK349" s="4">
        <v>575</v>
      </c>
      <c r="GL349" s="4">
        <v>568</v>
      </c>
      <c r="GM349" s="4">
        <v>561</v>
      </c>
      <c r="GN349" s="4">
        <v>552</v>
      </c>
      <c r="GO349" s="4">
        <v>540</v>
      </c>
      <c r="GP349" s="4">
        <v>525</v>
      </c>
      <c r="GQ349" s="4">
        <v>502</v>
      </c>
      <c r="GR349" s="4">
        <v>488</v>
      </c>
      <c r="GS349" s="4">
        <v>473</v>
      </c>
      <c r="GT349" s="4">
        <v>464</v>
      </c>
      <c r="GU349" s="4">
        <v>455</v>
      </c>
      <c r="GV349" s="4">
        <v>444</v>
      </c>
      <c r="GW349" s="4">
        <v>433</v>
      </c>
      <c r="GX349" s="4">
        <v>422</v>
      </c>
      <c r="GY349" s="4">
        <v>411</v>
      </c>
      <c r="GZ349" s="4">
        <v>400</v>
      </c>
      <c r="HA349" s="4">
        <v>389</v>
      </c>
      <c r="HB349" s="4">
        <v>377</v>
      </c>
      <c r="HC349" s="4">
        <v>364</v>
      </c>
      <c r="HD349" s="19">
        <v>122.5</v>
      </c>
      <c r="HE349" s="19">
        <v>126</v>
      </c>
      <c r="HF349" s="19">
        <v>125</v>
      </c>
      <c r="HG349" s="19">
        <v>124</v>
      </c>
      <c r="HH349" s="19">
        <v>123</v>
      </c>
      <c r="HI349" s="19">
        <v>122</v>
      </c>
      <c r="HJ349" s="19">
        <v>121</v>
      </c>
      <c r="HK349" s="19">
        <v>111.7</v>
      </c>
      <c r="HL349" s="19">
        <v>65</v>
      </c>
      <c r="HM349" s="19">
        <v>59</v>
      </c>
      <c r="HN349" s="19">
        <v>56.2</v>
      </c>
      <c r="HO349" s="19">
        <v>41.3</v>
      </c>
      <c r="HP349" s="19">
        <v>42.6</v>
      </c>
      <c r="HQ349" s="19">
        <v>57.5</v>
      </c>
      <c r="HR349" s="19">
        <v>58.2</v>
      </c>
      <c r="HS349" s="19">
        <v>59</v>
      </c>
      <c r="HT349" s="19">
        <v>58.1</v>
      </c>
      <c r="HU349" s="19">
        <v>55.1</v>
      </c>
      <c r="HV349" s="19">
        <v>54.1</v>
      </c>
      <c r="HW349" s="19">
        <v>53.1</v>
      </c>
      <c r="HX349" s="19">
        <v>52.1</v>
      </c>
      <c r="HY349" s="19">
        <v>49.6</v>
      </c>
      <c r="HZ349" s="19">
        <v>48.6</v>
      </c>
      <c r="IA349" s="19">
        <v>47.7</v>
      </c>
      <c r="IB349" s="19">
        <v>45.6</v>
      </c>
      <c r="IC349" s="19">
        <v>44.6</v>
      </c>
    </row>
    <row r="350">
      <c r="A350" s="2" t="s">
        <v>1644</v>
      </c>
      <c r="B350" s="2" t="s">
        <v>871</v>
      </c>
      <c r="C350" s="2" t="s">
        <v>606</v>
      </c>
      <c r="D350" s="2" t="s">
        <v>361</v>
      </c>
      <c r="E350" s="2" t="s">
        <v>872</v>
      </c>
      <c r="F350" s="2" t="s">
        <v>1611</v>
      </c>
      <c r="G350" s="2" t="s">
        <v>1612</v>
      </c>
      <c r="H350" s="2" t="s">
        <v>1613</v>
      </c>
      <c r="I350" s="2" t="s">
        <v>1614</v>
      </c>
      <c r="J350" s="2" t="s">
        <v>372</v>
      </c>
      <c r="K350" s="2" t="s">
        <v>316</v>
      </c>
      <c r="L350" s="3">
        <v>42.66</v>
      </c>
      <c r="M350" s="3">
        <v>44.79</v>
      </c>
      <c r="N350" s="3">
        <v>89.99</v>
      </c>
      <c r="O350" s="2" t="s">
        <v>232</v>
      </c>
      <c r="P350" s="2" t="s">
        <v>878</v>
      </c>
      <c r="Q350" s="2" t="s">
        <v>234</v>
      </c>
      <c r="R350" s="2" t="s">
        <v>235</v>
      </c>
      <c r="S350" s="2" t="s">
        <v>1640</v>
      </c>
      <c r="T350" s="2" t="s">
        <v>879</v>
      </c>
      <c r="U350" s="2" t="s">
        <v>264</v>
      </c>
      <c r="V350" s="2" t="s">
        <v>238</v>
      </c>
      <c r="W350" s="2" t="s">
        <v>682</v>
      </c>
      <c r="X350" s="2" t="s">
        <v>682</v>
      </c>
      <c r="Y350" s="2" t="s">
        <v>1620</v>
      </c>
      <c r="Z350" s="4">
        <v>530</v>
      </c>
      <c r="AA350" s="4">
        <f>=ROUNDDOWN(75.7142857142857,0)</f>
      </c>
      <c r="AB350" s="5">
        <v>7</v>
      </c>
      <c r="AC350" s="2" t="s">
        <v>235</v>
      </c>
      <c r="AD350" s="4"/>
      <c r="AE350" s="4"/>
      <c r="AF350" s="6">
        <v>64</v>
      </c>
      <c r="AG350" s="6">
        <v>47</v>
      </c>
      <c r="AH350" s="7">
        <v>1</v>
      </c>
      <c r="AI350" s="4"/>
      <c r="AJ350" s="4">
        <f>=ROUNDDOWN({0},0)</f>
      </c>
      <c r="AK350" s="5"/>
      <c r="AL350" s="2" t="s">
        <v>235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235</v>
      </c>
      <c r="AW350" s="8" t="s">
        <v>235</v>
      </c>
      <c r="AX350" s="4" t="s">
        <v>235</v>
      </c>
      <c r="AY350" s="8" t="s">
        <v>235</v>
      </c>
      <c r="AZ350" s="7" t="s">
        <v>235</v>
      </c>
      <c r="BA350" s="7" t="s">
        <v>235</v>
      </c>
      <c r="BB350" s="7"/>
      <c r="BC350" s="4" t="s">
        <v>235</v>
      </c>
      <c r="BD350" s="8" t="s">
        <v>235</v>
      </c>
      <c r="BE350" s="4" t="s">
        <v>235</v>
      </c>
      <c r="BF350" s="8" t="s">
        <v>235</v>
      </c>
      <c r="BG350" s="7" t="s">
        <v>235</v>
      </c>
      <c r="BH350" s="7" t="s">
        <v>235</v>
      </c>
      <c r="BI350" s="7"/>
      <c r="BJ350" s="4">
        <v>20</v>
      </c>
      <c r="BK350" s="8">
        <v>988.66</v>
      </c>
      <c r="BL350" s="2" t="s">
        <v>1645</v>
      </c>
      <c r="BM350" s="7"/>
      <c r="BN350" s="7"/>
      <c r="BO350" s="4"/>
      <c r="BP350" s="8"/>
      <c r="BQ350" s="4"/>
      <c r="BR350" s="8"/>
      <c r="BS350" s="7"/>
      <c r="BT350" s="7"/>
      <c r="BU350" s="2" t="s">
        <v>1617</v>
      </c>
      <c r="BV350" s="2" t="s">
        <v>235</v>
      </c>
      <c r="BW350" s="2" t="s">
        <v>235</v>
      </c>
      <c r="BX350" s="2" t="s">
        <v>619</v>
      </c>
      <c r="BY350" s="2" t="s">
        <v>245</v>
      </c>
      <c r="BZ350" s="2" t="s">
        <v>232</v>
      </c>
      <c r="CA350" s="2" t="s">
        <v>235</v>
      </c>
      <c r="CB350" s="2" t="s">
        <v>1646</v>
      </c>
      <c r="CC350" s="2" t="s">
        <v>248</v>
      </c>
      <c r="CD350" s="2" t="s">
        <v>248</v>
      </c>
      <c r="CE350" s="2" t="s">
        <v>235</v>
      </c>
      <c r="CF350" s="4">
        <v>372</v>
      </c>
      <c r="CG350" s="4"/>
      <c r="CH350" s="4"/>
      <c r="CI350" s="4">
        <v>158</v>
      </c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>
        <v>530</v>
      </c>
      <c r="GE350" s="4">
        <v>526</v>
      </c>
      <c r="GF350" s="4">
        <v>522</v>
      </c>
      <c r="GG350" s="4">
        <v>518</v>
      </c>
      <c r="GH350" s="4">
        <v>514</v>
      </c>
      <c r="GI350" s="4">
        <v>510</v>
      </c>
      <c r="GJ350" s="4">
        <v>503</v>
      </c>
      <c r="GK350" s="4">
        <v>494</v>
      </c>
      <c r="GL350" s="4">
        <v>485</v>
      </c>
      <c r="GM350" s="4">
        <v>478</v>
      </c>
      <c r="GN350" s="4">
        <v>470</v>
      </c>
      <c r="GO350" s="4">
        <v>462</v>
      </c>
      <c r="GP350" s="4">
        <v>452</v>
      </c>
      <c r="GQ350" s="4">
        <v>440</v>
      </c>
      <c r="GR350" s="4">
        <v>428</v>
      </c>
      <c r="GS350" s="4">
        <v>418</v>
      </c>
      <c r="GT350" s="4">
        <v>411</v>
      </c>
      <c r="GU350" s="4">
        <v>404</v>
      </c>
      <c r="GV350" s="4">
        <v>395</v>
      </c>
      <c r="GW350" s="4">
        <v>388</v>
      </c>
      <c r="GX350" s="4">
        <v>381</v>
      </c>
      <c r="GY350" s="4">
        <v>374</v>
      </c>
      <c r="GZ350" s="4">
        <v>367</v>
      </c>
      <c r="HA350" s="4">
        <v>360</v>
      </c>
      <c r="HB350" s="4">
        <v>352</v>
      </c>
      <c r="HC350" s="4">
        <v>344</v>
      </c>
      <c r="HD350" s="19">
        <v>141</v>
      </c>
      <c r="HE350" s="19">
        <v>140</v>
      </c>
      <c r="HF350" s="19">
        <v>123.8</v>
      </c>
      <c r="HG350" s="19">
        <v>84.2</v>
      </c>
      <c r="HH350" s="19">
        <v>68.5</v>
      </c>
      <c r="HI350" s="19">
        <v>68</v>
      </c>
      <c r="HJ350" s="19">
        <v>67.1</v>
      </c>
      <c r="HK350" s="19">
        <v>66</v>
      </c>
      <c r="HL350" s="19">
        <v>64.9</v>
      </c>
      <c r="HM350" s="19">
        <v>60.1</v>
      </c>
      <c r="HN350" s="19">
        <v>44.3</v>
      </c>
      <c r="HO350" s="19">
        <v>43.6</v>
      </c>
      <c r="HP350" s="19">
        <v>42.7</v>
      </c>
      <c r="HQ350" s="19">
        <v>59.2</v>
      </c>
      <c r="HR350" s="19">
        <v>57.7</v>
      </c>
      <c r="HS350" s="19">
        <v>56.4</v>
      </c>
      <c r="HT350" s="19">
        <v>55.4</v>
      </c>
      <c r="HU350" s="19">
        <v>54.5</v>
      </c>
      <c r="HV350" s="19">
        <v>58</v>
      </c>
      <c r="HW350" s="19">
        <v>57</v>
      </c>
      <c r="HX350" s="19">
        <v>56</v>
      </c>
      <c r="HY350" s="19">
        <v>50.7</v>
      </c>
      <c r="HZ350" s="19">
        <v>49.8</v>
      </c>
      <c r="IA350" s="19">
        <v>48.9</v>
      </c>
      <c r="IB350" s="19">
        <v>47.9</v>
      </c>
      <c r="IC350" s="19">
        <v>46.9</v>
      </c>
    </row>
    <row r="351">
      <c r="A351" s="2" t="s">
        <v>1647</v>
      </c>
      <c r="B351" s="2" t="s">
        <v>905</v>
      </c>
      <c r="C351" s="2" t="s">
        <v>324</v>
      </c>
      <c r="D351" s="2" t="s">
        <v>981</v>
      </c>
      <c r="E351" s="2" t="s">
        <v>982</v>
      </c>
      <c r="F351" s="2" t="s">
        <v>1648</v>
      </c>
      <c r="G351" s="2" t="s">
        <v>1648</v>
      </c>
      <c r="H351" s="2" t="s">
        <v>1648</v>
      </c>
      <c r="I351" s="2" t="s">
        <v>1649</v>
      </c>
      <c r="J351" s="2" t="s">
        <v>394</v>
      </c>
      <c r="K351" s="2" t="s">
        <v>292</v>
      </c>
      <c r="L351" s="3">
        <v>22.29</v>
      </c>
      <c r="M351" s="3">
        <v>23.4</v>
      </c>
      <c r="N351" s="3">
        <v>49.99</v>
      </c>
      <c r="O351" s="2" t="s">
        <v>232</v>
      </c>
      <c r="P351" s="2" t="s">
        <v>878</v>
      </c>
      <c r="Q351" s="2" t="s">
        <v>234</v>
      </c>
      <c r="R351" s="2" t="s">
        <v>235</v>
      </c>
      <c r="S351" s="2" t="s">
        <v>235</v>
      </c>
      <c r="T351" s="2" t="s">
        <v>235</v>
      </c>
      <c r="U351" s="2" t="s">
        <v>807</v>
      </c>
      <c r="V351" s="2" t="s">
        <v>238</v>
      </c>
      <c r="W351" s="2" t="s">
        <v>235</v>
      </c>
      <c r="X351" s="2" t="s">
        <v>235</v>
      </c>
      <c r="Y351" s="2" t="s">
        <v>1650</v>
      </c>
      <c r="Z351" s="4">
        <v>429</v>
      </c>
      <c r="AA351" s="4">
        <f>=ROUNDDOWN(85.8,0)</f>
      </c>
      <c r="AB351" s="5">
        <v>5</v>
      </c>
      <c r="AC351" s="2" t="s">
        <v>235</v>
      </c>
      <c r="AD351" s="4"/>
      <c r="AE351" s="4"/>
      <c r="AF351" s="6">
        <v>79</v>
      </c>
      <c r="AG351" s="6"/>
      <c r="AH351" s="7">
        <v>1</v>
      </c>
      <c r="AI351" s="4"/>
      <c r="AJ351" s="4">
        <f>=ROUNDDOWN({0},0)</f>
      </c>
      <c r="AK351" s="5"/>
      <c r="AL351" s="2" t="s">
        <v>235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235</v>
      </c>
      <c r="AW351" s="8" t="s">
        <v>235</v>
      </c>
      <c r="AX351" s="4" t="s">
        <v>235</v>
      </c>
      <c r="AY351" s="8" t="s">
        <v>235</v>
      </c>
      <c r="AZ351" s="7" t="s">
        <v>235</v>
      </c>
      <c r="BA351" s="7" t="s">
        <v>235</v>
      </c>
      <c r="BB351" s="7"/>
      <c r="BC351" s="4" t="s">
        <v>235</v>
      </c>
      <c r="BD351" s="8" t="s">
        <v>235</v>
      </c>
      <c r="BE351" s="4" t="s">
        <v>235</v>
      </c>
      <c r="BF351" s="8" t="s">
        <v>235</v>
      </c>
      <c r="BG351" s="7" t="s">
        <v>235</v>
      </c>
      <c r="BH351" s="7" t="s">
        <v>235</v>
      </c>
      <c r="BI351" s="7"/>
      <c r="BJ351" s="4">
        <v>12</v>
      </c>
      <c r="BK351" s="8">
        <v>303.36</v>
      </c>
      <c r="BL351" s="2" t="s">
        <v>592</v>
      </c>
      <c r="BM351" s="7"/>
      <c r="BN351" s="7"/>
      <c r="BO351" s="4"/>
      <c r="BP351" s="8"/>
      <c r="BQ351" s="4"/>
      <c r="BR351" s="8"/>
      <c r="BS351" s="7"/>
      <c r="BT351" s="7"/>
      <c r="BU351" s="2" t="s">
        <v>1651</v>
      </c>
      <c r="BV351" s="2" t="s">
        <v>235</v>
      </c>
      <c r="BW351" s="2" t="s">
        <v>235</v>
      </c>
      <c r="BX351" s="2" t="s">
        <v>619</v>
      </c>
      <c r="BY351" s="2" t="s">
        <v>245</v>
      </c>
      <c r="BZ351" s="2" t="s">
        <v>232</v>
      </c>
      <c r="CA351" s="2" t="s">
        <v>235</v>
      </c>
      <c r="CB351" s="2" t="s">
        <v>1652</v>
      </c>
      <c r="CC351" s="2" t="s">
        <v>248</v>
      </c>
      <c r="CD351" s="2" t="s">
        <v>248</v>
      </c>
      <c r="CE351" s="2" t="s">
        <v>235</v>
      </c>
      <c r="CF351" s="4">
        <v>429</v>
      </c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>
        <v>431</v>
      </c>
      <c r="GE351" s="4">
        <v>427</v>
      </c>
      <c r="GF351" s="4">
        <v>423</v>
      </c>
      <c r="GG351" s="4">
        <v>419</v>
      </c>
      <c r="GH351" s="4">
        <v>415</v>
      </c>
      <c r="GI351" s="4">
        <v>410</v>
      </c>
      <c r="GJ351" s="4">
        <v>405</v>
      </c>
      <c r="GK351" s="4">
        <v>400</v>
      </c>
      <c r="GL351" s="4">
        <v>392</v>
      </c>
      <c r="GM351" s="4">
        <v>386</v>
      </c>
      <c r="GN351" s="4">
        <v>379</v>
      </c>
      <c r="GO351" s="4">
        <v>367</v>
      </c>
      <c r="GP351" s="4">
        <v>358</v>
      </c>
      <c r="GQ351" s="4">
        <v>342</v>
      </c>
      <c r="GR351" s="4">
        <v>330</v>
      </c>
      <c r="GS351" s="4">
        <v>318</v>
      </c>
      <c r="GT351" s="4">
        <v>313</v>
      </c>
      <c r="GU351" s="4">
        <v>310</v>
      </c>
      <c r="GV351" s="4">
        <v>304</v>
      </c>
      <c r="GW351" s="4">
        <v>300</v>
      </c>
      <c r="GX351" s="4">
        <v>296</v>
      </c>
      <c r="GY351" s="4">
        <v>288</v>
      </c>
      <c r="GZ351" s="4">
        <v>284</v>
      </c>
      <c r="HA351" s="4">
        <v>279</v>
      </c>
      <c r="HB351" s="4">
        <v>274</v>
      </c>
      <c r="HC351" s="4">
        <v>267</v>
      </c>
      <c r="HD351" s="19">
        <v>107.8</v>
      </c>
      <c r="HE351" s="19">
        <v>106.8</v>
      </c>
      <c r="HF351" s="19">
        <v>105.8</v>
      </c>
      <c r="HG351" s="19">
        <v>83.8</v>
      </c>
      <c r="HH351" s="19">
        <v>69.2</v>
      </c>
      <c r="HI351" s="19">
        <v>68.3</v>
      </c>
      <c r="HJ351" s="19">
        <v>67.5</v>
      </c>
      <c r="HK351" s="19">
        <v>50</v>
      </c>
      <c r="HL351" s="19">
        <v>49</v>
      </c>
      <c r="HM351" s="19">
        <v>35.1</v>
      </c>
      <c r="HN351" s="19">
        <v>31.6</v>
      </c>
      <c r="HO351" s="19">
        <v>30.6</v>
      </c>
      <c r="HP351" s="19">
        <v>32.5</v>
      </c>
      <c r="HQ351" s="19">
        <v>42.8</v>
      </c>
      <c r="HR351" s="19">
        <v>55</v>
      </c>
      <c r="HS351" s="19">
        <v>79.5</v>
      </c>
      <c r="HT351" s="19">
        <v>78.3</v>
      </c>
      <c r="HU351" s="19">
        <v>51.7</v>
      </c>
      <c r="HV351" s="19">
        <v>60.8</v>
      </c>
      <c r="HW351" s="19">
        <v>60</v>
      </c>
      <c r="HX351" s="19">
        <v>49.3</v>
      </c>
      <c r="HY351" s="19">
        <v>57.6</v>
      </c>
      <c r="HZ351" s="19">
        <v>47.3</v>
      </c>
      <c r="IA351" s="19">
        <v>46.5</v>
      </c>
      <c r="IB351" s="19">
        <v>45.7</v>
      </c>
      <c r="IC351" s="19">
        <v>44.5</v>
      </c>
    </row>
    <row r="352">
      <c r="A352" s="2" t="s">
        <v>1653</v>
      </c>
      <c r="B352" s="2" t="s">
        <v>905</v>
      </c>
      <c r="C352" s="2" t="s">
        <v>324</v>
      </c>
      <c r="D352" s="2" t="s">
        <v>981</v>
      </c>
      <c r="E352" s="2" t="s">
        <v>982</v>
      </c>
      <c r="F352" s="2" t="s">
        <v>1648</v>
      </c>
      <c r="G352" s="2" t="s">
        <v>1648</v>
      </c>
      <c r="H352" s="2" t="s">
        <v>1648</v>
      </c>
      <c r="I352" s="2" t="s">
        <v>1649</v>
      </c>
      <c r="J352" s="2" t="s">
        <v>365</v>
      </c>
      <c r="K352" s="2" t="s">
        <v>292</v>
      </c>
      <c r="L352" s="3">
        <v>26.75</v>
      </c>
      <c r="M352" s="3">
        <v>28.09</v>
      </c>
      <c r="N352" s="3">
        <v>59.99</v>
      </c>
      <c r="O352" s="2" t="s">
        <v>232</v>
      </c>
      <c r="P352" s="2" t="s">
        <v>878</v>
      </c>
      <c r="Q352" s="2" t="s">
        <v>234</v>
      </c>
      <c r="R352" s="2" t="s">
        <v>235</v>
      </c>
      <c r="S352" s="2" t="s">
        <v>235</v>
      </c>
      <c r="T352" s="2" t="s">
        <v>235</v>
      </c>
      <c r="U352" s="2" t="s">
        <v>807</v>
      </c>
      <c r="V352" s="2" t="s">
        <v>238</v>
      </c>
      <c r="W352" s="2" t="s">
        <v>235</v>
      </c>
      <c r="X352" s="2" t="s">
        <v>235</v>
      </c>
      <c r="Y352" s="2" t="s">
        <v>1654</v>
      </c>
      <c r="Z352" s="4">
        <v>1604</v>
      </c>
      <c r="AA352" s="4">
        <f>=ROUNDDOWN(200.5,0)</f>
      </c>
      <c r="AB352" s="5">
        <v>8</v>
      </c>
      <c r="AC352" s="2" t="s">
        <v>235</v>
      </c>
      <c r="AD352" s="4"/>
      <c r="AE352" s="4"/>
      <c r="AF352" s="6">
        <v>79</v>
      </c>
      <c r="AG352" s="6"/>
      <c r="AH352" s="7">
        <v>1</v>
      </c>
      <c r="AI352" s="4"/>
      <c r="AJ352" s="4">
        <f>=ROUNDDOWN({0},0)</f>
      </c>
      <c r="AK352" s="5"/>
      <c r="AL352" s="2" t="s">
        <v>235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235</v>
      </c>
      <c r="AW352" s="8" t="s">
        <v>235</v>
      </c>
      <c r="AX352" s="4" t="s">
        <v>235</v>
      </c>
      <c r="AY352" s="8" t="s">
        <v>235</v>
      </c>
      <c r="AZ352" s="7" t="s">
        <v>235</v>
      </c>
      <c r="BA352" s="7" t="s">
        <v>235</v>
      </c>
      <c r="BB352" s="7"/>
      <c r="BC352" s="4" t="s">
        <v>235</v>
      </c>
      <c r="BD352" s="8" t="s">
        <v>235</v>
      </c>
      <c r="BE352" s="4" t="s">
        <v>235</v>
      </c>
      <c r="BF352" s="8" t="s">
        <v>235</v>
      </c>
      <c r="BG352" s="7" t="s">
        <v>235</v>
      </c>
      <c r="BH352" s="7" t="s">
        <v>235</v>
      </c>
      <c r="BI352" s="7"/>
      <c r="BJ352" s="4">
        <v>27</v>
      </c>
      <c r="BK352" s="8">
        <v>847.73</v>
      </c>
      <c r="BL352" s="2" t="s">
        <v>1655</v>
      </c>
      <c r="BM352" s="7"/>
      <c r="BN352" s="7"/>
      <c r="BO352" s="4"/>
      <c r="BP352" s="8"/>
      <c r="BQ352" s="4"/>
      <c r="BR352" s="8"/>
      <c r="BS352" s="7"/>
      <c r="BT352" s="7"/>
      <c r="BU352" s="2" t="s">
        <v>1651</v>
      </c>
      <c r="BV352" s="2" t="s">
        <v>235</v>
      </c>
      <c r="BW352" s="2" t="s">
        <v>235</v>
      </c>
      <c r="BX352" s="2" t="s">
        <v>619</v>
      </c>
      <c r="BY352" s="2" t="s">
        <v>245</v>
      </c>
      <c r="BZ352" s="2" t="s">
        <v>232</v>
      </c>
      <c r="CA352" s="2" t="s">
        <v>235</v>
      </c>
      <c r="CB352" s="2" t="s">
        <v>1656</v>
      </c>
      <c r="CC352" s="2" t="s">
        <v>248</v>
      </c>
      <c r="CD352" s="2" t="s">
        <v>248</v>
      </c>
      <c r="CE352" s="2" t="s">
        <v>235</v>
      </c>
      <c r="CF352" s="4">
        <v>1604</v>
      </c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>
        <v>1605</v>
      </c>
      <c r="GE352" s="4">
        <v>1594</v>
      </c>
      <c r="GF352" s="4">
        <v>1585</v>
      </c>
      <c r="GG352" s="4">
        <v>1576</v>
      </c>
      <c r="GH352" s="4">
        <v>1567</v>
      </c>
      <c r="GI352" s="4">
        <v>1553</v>
      </c>
      <c r="GJ352" s="4">
        <v>1539</v>
      </c>
      <c r="GK352" s="4">
        <v>1525</v>
      </c>
      <c r="GL352" s="4">
        <v>1509</v>
      </c>
      <c r="GM352" s="4">
        <v>1495</v>
      </c>
      <c r="GN352" s="4">
        <v>1480</v>
      </c>
      <c r="GO352" s="4">
        <v>1452</v>
      </c>
      <c r="GP352" s="4">
        <v>1428</v>
      </c>
      <c r="GQ352" s="4">
        <v>1385</v>
      </c>
      <c r="GR352" s="4">
        <v>1362</v>
      </c>
      <c r="GS352" s="4">
        <v>1328</v>
      </c>
      <c r="GT352" s="4">
        <v>1310</v>
      </c>
      <c r="GU352" s="4">
        <v>1306</v>
      </c>
      <c r="GV352" s="4">
        <v>1298</v>
      </c>
      <c r="GW352" s="4">
        <v>1291</v>
      </c>
      <c r="GX352" s="4">
        <v>1284</v>
      </c>
      <c r="GY352" s="4">
        <v>1275</v>
      </c>
      <c r="GZ352" s="4">
        <v>1269</v>
      </c>
      <c r="HA352" s="4">
        <v>1263</v>
      </c>
      <c r="HB352" s="4">
        <v>1257</v>
      </c>
      <c r="HC352" s="4">
        <v>1251</v>
      </c>
      <c r="HD352" s="19">
        <v>160.5</v>
      </c>
      <c r="HE352" s="19">
        <v>159.4</v>
      </c>
      <c r="HF352" s="19">
        <v>132.1</v>
      </c>
      <c r="HG352" s="19">
        <v>121.2</v>
      </c>
      <c r="HH352" s="19">
        <v>111.9</v>
      </c>
      <c r="HI352" s="19">
        <v>110.9</v>
      </c>
      <c r="HJ352" s="19">
        <v>102.6</v>
      </c>
      <c r="HK352" s="19">
        <v>84.7</v>
      </c>
      <c r="HL352" s="19">
        <v>75.5</v>
      </c>
      <c r="HM352" s="19">
        <v>53.4</v>
      </c>
      <c r="HN352" s="19">
        <v>49.3</v>
      </c>
      <c r="HO352" s="19">
        <v>46.8</v>
      </c>
      <c r="HP352" s="19">
        <v>47.6</v>
      </c>
      <c r="HQ352" s="19">
        <v>69.3</v>
      </c>
      <c r="HR352" s="19">
        <v>85.1</v>
      </c>
      <c r="HS352" s="19">
        <v>147.6</v>
      </c>
      <c r="HT352" s="19">
        <v>218.3</v>
      </c>
      <c r="HU352" s="19">
        <v>163.3</v>
      </c>
      <c r="HV352" s="19">
        <v>185.4</v>
      </c>
      <c r="HW352" s="19">
        <v>184.4</v>
      </c>
      <c r="HX352" s="19">
        <v>183.4</v>
      </c>
      <c r="HY352" s="19">
        <v>212.5</v>
      </c>
      <c r="HZ352" s="19">
        <v>211.5</v>
      </c>
      <c r="IA352" s="19">
        <v>180.4</v>
      </c>
      <c r="IB352" s="19">
        <v>157.1</v>
      </c>
      <c r="IC352" s="19">
        <v>156.4</v>
      </c>
    </row>
    <row r="353">
      <c r="A353" s="2" t="s">
        <v>1657</v>
      </c>
      <c r="B353" s="2" t="s">
        <v>905</v>
      </c>
      <c r="C353" s="2" t="s">
        <v>324</v>
      </c>
      <c r="D353" s="2" t="s">
        <v>981</v>
      </c>
      <c r="E353" s="2" t="s">
        <v>982</v>
      </c>
      <c r="F353" s="2" t="s">
        <v>1648</v>
      </c>
      <c r="G353" s="2" t="s">
        <v>1648</v>
      </c>
      <c r="H353" s="2" t="s">
        <v>1648</v>
      </c>
      <c r="I353" s="2" t="s">
        <v>1649</v>
      </c>
      <c r="J353" s="2" t="s">
        <v>270</v>
      </c>
      <c r="K353" s="2" t="s">
        <v>292</v>
      </c>
      <c r="L353" s="3">
        <v>31.21</v>
      </c>
      <c r="M353" s="3">
        <v>32.77</v>
      </c>
      <c r="N353" s="3">
        <v>69.99</v>
      </c>
      <c r="O353" s="2" t="s">
        <v>232</v>
      </c>
      <c r="P353" s="2" t="s">
        <v>878</v>
      </c>
      <c r="Q353" s="2" t="s">
        <v>234</v>
      </c>
      <c r="R353" s="2" t="s">
        <v>235</v>
      </c>
      <c r="S353" s="2" t="s">
        <v>235</v>
      </c>
      <c r="T353" s="2" t="s">
        <v>235</v>
      </c>
      <c r="U353" s="2" t="s">
        <v>807</v>
      </c>
      <c r="V353" s="2" t="s">
        <v>238</v>
      </c>
      <c r="W353" s="2" t="s">
        <v>235</v>
      </c>
      <c r="X353" s="2" t="s">
        <v>235</v>
      </c>
      <c r="Y353" s="2" t="s">
        <v>1650</v>
      </c>
      <c r="Z353" s="4">
        <v>895</v>
      </c>
      <c r="AA353" s="4">
        <f>=ROUNDDOWN(68.8461538461539,0)</f>
      </c>
      <c r="AB353" s="5">
        <v>13</v>
      </c>
      <c r="AC353" s="2" t="s">
        <v>1658</v>
      </c>
      <c r="AD353" s="4">
        <v>570</v>
      </c>
      <c r="AE353" s="4">
        <v>570</v>
      </c>
      <c r="AF353" s="6">
        <v>79</v>
      </c>
      <c r="AG353" s="6"/>
      <c r="AH353" s="7">
        <v>1</v>
      </c>
      <c r="AI353" s="4"/>
      <c r="AJ353" s="4">
        <f>=ROUNDDOWN({0},0)</f>
      </c>
      <c r="AK353" s="5"/>
      <c r="AL353" s="2" t="s">
        <v>235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235</v>
      </c>
      <c r="AW353" s="8" t="s">
        <v>235</v>
      </c>
      <c r="AX353" s="4" t="s">
        <v>235</v>
      </c>
      <c r="AY353" s="8" t="s">
        <v>235</v>
      </c>
      <c r="AZ353" s="7" t="s">
        <v>235</v>
      </c>
      <c r="BA353" s="7" t="s">
        <v>235</v>
      </c>
      <c r="BB353" s="7"/>
      <c r="BC353" s="4" t="s">
        <v>235</v>
      </c>
      <c r="BD353" s="8" t="s">
        <v>235</v>
      </c>
      <c r="BE353" s="4" t="s">
        <v>235</v>
      </c>
      <c r="BF353" s="8" t="s">
        <v>235</v>
      </c>
      <c r="BG353" s="7" t="s">
        <v>235</v>
      </c>
      <c r="BH353" s="7" t="s">
        <v>235</v>
      </c>
      <c r="BI353" s="7"/>
      <c r="BJ353" s="4">
        <v>39</v>
      </c>
      <c r="BK353" s="8">
        <v>1423.83</v>
      </c>
      <c r="BL353" s="2" t="s">
        <v>1659</v>
      </c>
      <c r="BM353" s="7"/>
      <c r="BN353" s="7"/>
      <c r="BO353" s="4"/>
      <c r="BP353" s="8"/>
      <c r="BQ353" s="4"/>
      <c r="BR353" s="8"/>
      <c r="BS353" s="7"/>
      <c r="BT353" s="7"/>
      <c r="BU353" s="2" t="s">
        <v>1651</v>
      </c>
      <c r="BV353" s="2" t="s">
        <v>235</v>
      </c>
      <c r="BW353" s="2" t="s">
        <v>235</v>
      </c>
      <c r="BX353" s="2" t="s">
        <v>619</v>
      </c>
      <c r="BY353" s="2" t="s">
        <v>245</v>
      </c>
      <c r="BZ353" s="2" t="s">
        <v>232</v>
      </c>
      <c r="CA353" s="2" t="s">
        <v>235</v>
      </c>
      <c r="CB353" s="2" t="s">
        <v>235</v>
      </c>
      <c r="CC353" s="2" t="s">
        <v>248</v>
      </c>
      <c r="CD353" s="2" t="s">
        <v>248</v>
      </c>
      <c r="CE353" s="2" t="s">
        <v>235</v>
      </c>
      <c r="CF353" s="4">
        <v>895</v>
      </c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>
        <v>570</v>
      </c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>
        <v>896</v>
      </c>
      <c r="GE353" s="4">
        <v>881</v>
      </c>
      <c r="GF353" s="4">
        <v>868</v>
      </c>
      <c r="GG353" s="4">
        <v>855</v>
      </c>
      <c r="GH353" s="4">
        <v>842</v>
      </c>
      <c r="GI353" s="4">
        <v>823</v>
      </c>
      <c r="GJ353" s="4">
        <v>804</v>
      </c>
      <c r="GK353" s="4">
        <v>785</v>
      </c>
      <c r="GL353" s="4">
        <v>764</v>
      </c>
      <c r="GM353" s="4">
        <v>746</v>
      </c>
      <c r="GN353" s="4">
        <v>1294</v>
      </c>
      <c r="GO353" s="4">
        <v>1258</v>
      </c>
      <c r="GP353" s="4">
        <v>1218</v>
      </c>
      <c r="GQ353" s="4">
        <v>1157</v>
      </c>
      <c r="GR353" s="4">
        <v>1121</v>
      </c>
      <c r="GS353" s="4">
        <v>1080</v>
      </c>
      <c r="GT353" s="4">
        <v>1066</v>
      </c>
      <c r="GU353" s="4">
        <v>1062</v>
      </c>
      <c r="GV353" s="4">
        <v>1050</v>
      </c>
      <c r="GW353" s="4">
        <v>1039</v>
      </c>
      <c r="GX353" s="4">
        <v>1028</v>
      </c>
      <c r="GY353" s="4">
        <v>1015</v>
      </c>
      <c r="GZ353" s="4">
        <v>1005</v>
      </c>
      <c r="HA353" s="4">
        <v>994</v>
      </c>
      <c r="HB353" s="4">
        <v>983</v>
      </c>
      <c r="HC353" s="4">
        <v>971</v>
      </c>
      <c r="HD353" s="19">
        <v>64</v>
      </c>
      <c r="HE353" s="19">
        <v>62.9</v>
      </c>
      <c r="HF353" s="19">
        <v>54.3</v>
      </c>
      <c r="HG353" s="19">
        <v>47.5</v>
      </c>
      <c r="HH353" s="19">
        <v>42.1</v>
      </c>
      <c r="HI353" s="19">
        <v>43.3</v>
      </c>
      <c r="HJ353" s="19">
        <v>40.2</v>
      </c>
      <c r="HK353" s="19">
        <v>32.7</v>
      </c>
      <c r="HL353" s="19">
        <v>26.3</v>
      </c>
      <c r="HM353" s="19">
        <v>18.7</v>
      </c>
      <c r="HN353" s="19">
        <v>30.1</v>
      </c>
      <c r="HO353" s="19">
        <v>28.6</v>
      </c>
      <c r="HP353" s="19">
        <v>32.1</v>
      </c>
      <c r="HQ353" s="19">
        <v>48.2</v>
      </c>
      <c r="HR353" s="19">
        <v>62.3</v>
      </c>
      <c r="HS353" s="19">
        <v>108</v>
      </c>
      <c r="HT353" s="19">
        <v>106.6</v>
      </c>
      <c r="HU353" s="19">
        <v>88.5</v>
      </c>
      <c r="HV353" s="19">
        <v>95.5</v>
      </c>
      <c r="HW353" s="19">
        <v>94.5</v>
      </c>
      <c r="HX353" s="19">
        <v>93.5</v>
      </c>
      <c r="HY353" s="19">
        <v>92.3</v>
      </c>
      <c r="HZ353" s="19">
        <v>91.4</v>
      </c>
      <c r="IA353" s="19">
        <v>82.8</v>
      </c>
      <c r="IB353" s="19">
        <v>81.9</v>
      </c>
      <c r="IC353" s="19">
        <v>80.9</v>
      </c>
    </row>
    <row r="354">
      <c r="A354" s="2" t="s">
        <v>1660</v>
      </c>
      <c r="B354" s="2" t="s">
        <v>905</v>
      </c>
      <c r="C354" s="2" t="s">
        <v>324</v>
      </c>
      <c r="D354" s="2" t="s">
        <v>981</v>
      </c>
      <c r="E354" s="2" t="s">
        <v>982</v>
      </c>
      <c r="F354" s="2" t="s">
        <v>1648</v>
      </c>
      <c r="G354" s="2" t="s">
        <v>1648</v>
      </c>
      <c r="H354" s="2" t="s">
        <v>1648</v>
      </c>
      <c r="I354" s="2" t="s">
        <v>1649</v>
      </c>
      <c r="J354" s="2" t="s">
        <v>394</v>
      </c>
      <c r="K354" s="2" t="s">
        <v>295</v>
      </c>
      <c r="L354" s="3">
        <v>22.29</v>
      </c>
      <c r="M354" s="3">
        <v>23.4</v>
      </c>
      <c r="N354" s="3">
        <v>49.99</v>
      </c>
      <c r="O354" s="2" t="s">
        <v>232</v>
      </c>
      <c r="P354" s="2" t="s">
        <v>878</v>
      </c>
      <c r="Q354" s="2" t="s">
        <v>234</v>
      </c>
      <c r="R354" s="2" t="s">
        <v>235</v>
      </c>
      <c r="S354" s="2" t="s">
        <v>235</v>
      </c>
      <c r="T354" s="2" t="s">
        <v>235</v>
      </c>
      <c r="U354" s="2" t="s">
        <v>807</v>
      </c>
      <c r="V354" s="2" t="s">
        <v>238</v>
      </c>
      <c r="W354" s="2" t="s">
        <v>235</v>
      </c>
      <c r="X354" s="2" t="s">
        <v>235</v>
      </c>
      <c r="Y354" s="2" t="s">
        <v>1650</v>
      </c>
      <c r="Z354" s="4">
        <v>410</v>
      </c>
      <c r="AA354" s="4">
        <f>=ROUNDDOWN(178.260869565217,0)</f>
      </c>
      <c r="AB354" s="5">
        <v>2.3</v>
      </c>
      <c r="AC354" s="2" t="s">
        <v>235</v>
      </c>
      <c r="AD354" s="4"/>
      <c r="AE354" s="4"/>
      <c r="AF354" s="6">
        <v>79</v>
      </c>
      <c r="AG354" s="6"/>
      <c r="AH354" s="7">
        <v>1</v>
      </c>
      <c r="AI354" s="4"/>
      <c r="AJ354" s="4">
        <f>=ROUNDDOWN({0},0)</f>
      </c>
      <c r="AK354" s="5"/>
      <c r="AL354" s="2" t="s">
        <v>235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235</v>
      </c>
      <c r="AW354" s="8" t="s">
        <v>235</v>
      </c>
      <c r="AX354" s="4" t="s">
        <v>235</v>
      </c>
      <c r="AY354" s="8" t="s">
        <v>235</v>
      </c>
      <c r="AZ354" s="7" t="s">
        <v>235</v>
      </c>
      <c r="BA354" s="7" t="s">
        <v>235</v>
      </c>
      <c r="BB354" s="7"/>
      <c r="BC354" s="4" t="s">
        <v>235</v>
      </c>
      <c r="BD354" s="8" t="s">
        <v>235</v>
      </c>
      <c r="BE354" s="4" t="s">
        <v>235</v>
      </c>
      <c r="BF354" s="8" t="s">
        <v>235</v>
      </c>
      <c r="BG354" s="7" t="s">
        <v>235</v>
      </c>
      <c r="BH354" s="7" t="s">
        <v>235</v>
      </c>
      <c r="BI354" s="7"/>
      <c r="BJ354" s="4">
        <v>3</v>
      </c>
      <c r="BK354" s="8">
        <v>75.84</v>
      </c>
      <c r="BL354" s="2" t="s">
        <v>592</v>
      </c>
      <c r="BM354" s="7"/>
      <c r="BN354" s="7"/>
      <c r="BO354" s="4"/>
      <c r="BP354" s="8"/>
      <c r="BQ354" s="4"/>
      <c r="BR354" s="8"/>
      <c r="BS354" s="7"/>
      <c r="BT354" s="7"/>
      <c r="BU354" s="2" t="s">
        <v>1651</v>
      </c>
      <c r="BV354" s="2" t="s">
        <v>235</v>
      </c>
      <c r="BW354" s="2" t="s">
        <v>235</v>
      </c>
      <c r="BX354" s="2" t="s">
        <v>619</v>
      </c>
      <c r="BY354" s="2" t="s">
        <v>245</v>
      </c>
      <c r="BZ354" s="2" t="s">
        <v>232</v>
      </c>
      <c r="CA354" s="2" t="s">
        <v>235</v>
      </c>
      <c r="CB354" s="2" t="s">
        <v>1661</v>
      </c>
      <c r="CC354" s="2" t="s">
        <v>248</v>
      </c>
      <c r="CD354" s="2" t="s">
        <v>248</v>
      </c>
      <c r="CE354" s="2" t="s">
        <v>235</v>
      </c>
      <c r="CF354" s="4">
        <v>410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>
        <v>410</v>
      </c>
      <c r="GE354" s="4">
        <v>409</v>
      </c>
      <c r="GF354" s="4">
        <v>408</v>
      </c>
      <c r="GG354" s="4">
        <v>407</v>
      </c>
      <c r="GH354" s="4">
        <v>406</v>
      </c>
      <c r="GI354" s="4">
        <v>405</v>
      </c>
      <c r="GJ354" s="4">
        <v>404</v>
      </c>
      <c r="GK354" s="4">
        <v>403</v>
      </c>
      <c r="GL354" s="4">
        <v>400</v>
      </c>
      <c r="GM354" s="4">
        <v>399</v>
      </c>
      <c r="GN354" s="4">
        <v>397</v>
      </c>
      <c r="GO354" s="4">
        <v>394</v>
      </c>
      <c r="GP354" s="4">
        <v>388</v>
      </c>
      <c r="GQ354" s="4">
        <v>384</v>
      </c>
      <c r="GR354" s="4">
        <v>382</v>
      </c>
      <c r="GS354" s="4">
        <v>379</v>
      </c>
      <c r="GT354" s="4">
        <v>373</v>
      </c>
      <c r="GU354" s="4">
        <v>372</v>
      </c>
      <c r="GV354" s="4">
        <v>371</v>
      </c>
      <c r="GW354" s="4">
        <v>370</v>
      </c>
      <c r="GX354" s="4">
        <v>369</v>
      </c>
      <c r="GY354" s="4">
        <v>366</v>
      </c>
      <c r="GZ354" s="4">
        <v>365</v>
      </c>
      <c r="HA354" s="4">
        <v>364</v>
      </c>
      <c r="HB354" s="4">
        <v>363</v>
      </c>
      <c r="HC354" s="4">
        <v>361</v>
      </c>
      <c r="HD354" s="19">
        <v>410</v>
      </c>
      <c r="HE354" s="19">
        <v>409</v>
      </c>
      <c r="HF354" s="19">
        <v>408</v>
      </c>
      <c r="HG354" s="19">
        <v>407</v>
      </c>
      <c r="HH354" s="19">
        <v>203</v>
      </c>
      <c r="HI354" s="19">
        <v>202.5</v>
      </c>
      <c r="HJ354" s="19">
        <v>202</v>
      </c>
      <c r="HK354" s="19">
        <v>201.5</v>
      </c>
      <c r="HL354" s="19">
        <v>133.3</v>
      </c>
      <c r="HM354" s="19">
        <v>99.8</v>
      </c>
      <c r="HN354" s="19">
        <v>99.3</v>
      </c>
      <c r="HO354" s="19">
        <v>98.5</v>
      </c>
      <c r="HP354" s="19">
        <v>97</v>
      </c>
      <c r="HQ354" s="19">
        <v>128</v>
      </c>
      <c r="HR354" s="19">
        <v>127.3</v>
      </c>
      <c r="HS354" s="19">
        <v>189.5</v>
      </c>
      <c r="HT354" s="19">
        <v>373</v>
      </c>
      <c r="HU354" s="19">
        <v>186</v>
      </c>
      <c r="HV354" s="19">
        <v>185.5</v>
      </c>
      <c r="HW354" s="19">
        <v>185</v>
      </c>
      <c r="HX354" s="19">
        <v>184.5</v>
      </c>
      <c r="HY354" s="19">
        <v>366</v>
      </c>
      <c r="HZ354" s="19">
        <v>182.5</v>
      </c>
      <c r="IA354" s="19">
        <v>182</v>
      </c>
      <c r="IB354" s="19">
        <v>181.5</v>
      </c>
      <c r="IC354" s="19">
        <v>120.3</v>
      </c>
    </row>
    <row r="355">
      <c r="A355" s="2" t="s">
        <v>1662</v>
      </c>
      <c r="B355" s="2" t="s">
        <v>905</v>
      </c>
      <c r="C355" s="2" t="s">
        <v>324</v>
      </c>
      <c r="D355" s="2" t="s">
        <v>981</v>
      </c>
      <c r="E355" s="2" t="s">
        <v>982</v>
      </c>
      <c r="F355" s="2" t="s">
        <v>1648</v>
      </c>
      <c r="G355" s="2" t="s">
        <v>1648</v>
      </c>
      <c r="H355" s="2" t="s">
        <v>1648</v>
      </c>
      <c r="I355" s="2" t="s">
        <v>1649</v>
      </c>
      <c r="J355" s="2" t="s">
        <v>365</v>
      </c>
      <c r="K355" s="2" t="s">
        <v>295</v>
      </c>
      <c r="L355" s="3">
        <v>26.75</v>
      </c>
      <c r="M355" s="3">
        <v>28.09</v>
      </c>
      <c r="N355" s="3">
        <v>59.99</v>
      </c>
      <c r="O355" s="2" t="s">
        <v>232</v>
      </c>
      <c r="P355" s="2" t="s">
        <v>878</v>
      </c>
      <c r="Q355" s="2" t="s">
        <v>234</v>
      </c>
      <c r="R355" s="2" t="s">
        <v>235</v>
      </c>
      <c r="S355" s="2" t="s">
        <v>235</v>
      </c>
      <c r="T355" s="2" t="s">
        <v>235</v>
      </c>
      <c r="U355" s="2" t="s">
        <v>807</v>
      </c>
      <c r="V355" s="2" t="s">
        <v>238</v>
      </c>
      <c r="W355" s="2" t="s">
        <v>235</v>
      </c>
      <c r="X355" s="2" t="s">
        <v>235</v>
      </c>
      <c r="Y355" s="2" t="s">
        <v>1654</v>
      </c>
      <c r="Z355" s="4">
        <v>1675</v>
      </c>
      <c r="AA355" s="4">
        <f>=ROUNDDOWN(279.166666666667,0)</f>
      </c>
      <c r="AB355" s="5">
        <v>6</v>
      </c>
      <c r="AC355" s="2" t="s">
        <v>235</v>
      </c>
      <c r="AD355" s="4"/>
      <c r="AE355" s="4"/>
      <c r="AF355" s="6">
        <v>79</v>
      </c>
      <c r="AG355" s="6"/>
      <c r="AH355" s="7">
        <v>1</v>
      </c>
      <c r="AI355" s="4"/>
      <c r="AJ355" s="4">
        <f>=ROUNDDOWN({0},0)</f>
      </c>
      <c r="AK355" s="5"/>
      <c r="AL355" s="2" t="s">
        <v>235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235</v>
      </c>
      <c r="AW355" s="8" t="s">
        <v>235</v>
      </c>
      <c r="AX355" s="4" t="s">
        <v>235</v>
      </c>
      <c r="AY355" s="8" t="s">
        <v>235</v>
      </c>
      <c r="AZ355" s="7" t="s">
        <v>235</v>
      </c>
      <c r="BA355" s="7" t="s">
        <v>235</v>
      </c>
      <c r="BB355" s="7"/>
      <c r="BC355" s="4" t="s">
        <v>235</v>
      </c>
      <c r="BD355" s="8" t="s">
        <v>235</v>
      </c>
      <c r="BE355" s="4" t="s">
        <v>235</v>
      </c>
      <c r="BF355" s="8" t="s">
        <v>235</v>
      </c>
      <c r="BG355" s="7" t="s">
        <v>235</v>
      </c>
      <c r="BH355" s="7" t="s">
        <v>235</v>
      </c>
      <c r="BI355" s="7"/>
      <c r="BJ355" s="4">
        <v>21</v>
      </c>
      <c r="BK355" s="8">
        <v>659.92</v>
      </c>
      <c r="BL355" s="2" t="s">
        <v>1663</v>
      </c>
      <c r="BM355" s="7"/>
      <c r="BN355" s="7"/>
      <c r="BO355" s="4"/>
      <c r="BP355" s="8"/>
      <c r="BQ355" s="4"/>
      <c r="BR355" s="8"/>
      <c r="BS355" s="7"/>
      <c r="BT355" s="7"/>
      <c r="BU355" s="2" t="s">
        <v>1651</v>
      </c>
      <c r="BV355" s="2" t="s">
        <v>235</v>
      </c>
      <c r="BW355" s="2" t="s">
        <v>235</v>
      </c>
      <c r="BX355" s="2" t="s">
        <v>619</v>
      </c>
      <c r="BY355" s="2" t="s">
        <v>245</v>
      </c>
      <c r="BZ355" s="2" t="s">
        <v>232</v>
      </c>
      <c r="CA355" s="2" t="s">
        <v>235</v>
      </c>
      <c r="CB355" s="2" t="s">
        <v>1664</v>
      </c>
      <c r="CC355" s="2" t="s">
        <v>248</v>
      </c>
      <c r="CD355" s="2" t="s">
        <v>248</v>
      </c>
      <c r="CE355" s="2" t="s">
        <v>235</v>
      </c>
      <c r="CF355" s="4">
        <v>1675</v>
      </c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>
        <v>1675</v>
      </c>
      <c r="GE355" s="4">
        <v>1668</v>
      </c>
      <c r="GF355" s="4">
        <v>1661</v>
      </c>
      <c r="GG355" s="4">
        <v>1654</v>
      </c>
      <c r="GH355" s="4">
        <v>1647</v>
      </c>
      <c r="GI355" s="4">
        <v>1635</v>
      </c>
      <c r="GJ355" s="4">
        <v>1623</v>
      </c>
      <c r="GK355" s="4">
        <v>1611</v>
      </c>
      <c r="GL355" s="4">
        <v>1599</v>
      </c>
      <c r="GM355" s="4">
        <v>1587</v>
      </c>
      <c r="GN355" s="4">
        <v>1574</v>
      </c>
      <c r="GO355" s="4">
        <v>1551</v>
      </c>
      <c r="GP355" s="4">
        <v>1531</v>
      </c>
      <c r="GQ355" s="4">
        <v>1500</v>
      </c>
      <c r="GR355" s="4">
        <v>1481</v>
      </c>
      <c r="GS355" s="4">
        <v>1453</v>
      </c>
      <c r="GT355" s="4">
        <v>1438</v>
      </c>
      <c r="GU355" s="4">
        <v>1435</v>
      </c>
      <c r="GV355" s="4">
        <v>1428</v>
      </c>
      <c r="GW355" s="4">
        <v>1421</v>
      </c>
      <c r="GX355" s="4">
        <v>1414</v>
      </c>
      <c r="GY355" s="4">
        <v>1407</v>
      </c>
      <c r="GZ355" s="4">
        <v>1402</v>
      </c>
      <c r="HA355" s="4">
        <v>1398</v>
      </c>
      <c r="HB355" s="4">
        <v>1394</v>
      </c>
      <c r="HC355" s="4">
        <v>1388</v>
      </c>
      <c r="HD355" s="19">
        <v>239.3</v>
      </c>
      <c r="HE355" s="19">
        <v>208.5</v>
      </c>
      <c r="HF355" s="19">
        <v>166.1</v>
      </c>
      <c r="HG355" s="19">
        <v>150.4</v>
      </c>
      <c r="HH355" s="19">
        <v>137.3</v>
      </c>
      <c r="HI355" s="19">
        <v>136.3</v>
      </c>
      <c r="HJ355" s="19">
        <v>135.3</v>
      </c>
      <c r="HK355" s="19">
        <v>107.4</v>
      </c>
      <c r="HL355" s="19">
        <v>94.1</v>
      </c>
      <c r="HM355" s="19">
        <v>72.1</v>
      </c>
      <c r="HN355" s="19">
        <v>68.4</v>
      </c>
      <c r="HO355" s="19">
        <v>64.6</v>
      </c>
      <c r="HP355" s="19">
        <v>66.6</v>
      </c>
      <c r="HQ355" s="19">
        <v>93.8</v>
      </c>
      <c r="HR355" s="19">
        <v>113.9</v>
      </c>
      <c r="HS355" s="19">
        <v>181.6</v>
      </c>
      <c r="HT355" s="19">
        <v>239.7</v>
      </c>
      <c r="HU355" s="19">
        <v>205</v>
      </c>
      <c r="HV355" s="19">
        <v>238</v>
      </c>
      <c r="HW355" s="19">
        <v>236.8</v>
      </c>
      <c r="HX355" s="19">
        <v>282.8</v>
      </c>
      <c r="HY355" s="19">
        <v>281.4</v>
      </c>
      <c r="HZ355" s="19">
        <v>280.4</v>
      </c>
      <c r="IA355" s="19">
        <v>233</v>
      </c>
      <c r="IB355" s="19">
        <v>232.3</v>
      </c>
      <c r="IC355" s="19">
        <v>231.3</v>
      </c>
    </row>
    <row r="356">
      <c r="A356" s="2" t="s">
        <v>1665</v>
      </c>
      <c r="B356" s="2" t="s">
        <v>905</v>
      </c>
      <c r="C356" s="2" t="s">
        <v>324</v>
      </c>
      <c r="D356" s="2" t="s">
        <v>981</v>
      </c>
      <c r="E356" s="2" t="s">
        <v>982</v>
      </c>
      <c r="F356" s="2" t="s">
        <v>1648</v>
      </c>
      <c r="G356" s="2" t="s">
        <v>1648</v>
      </c>
      <c r="H356" s="2" t="s">
        <v>1648</v>
      </c>
      <c r="I356" s="2" t="s">
        <v>1649</v>
      </c>
      <c r="J356" s="2" t="s">
        <v>394</v>
      </c>
      <c r="K356" s="2" t="s">
        <v>542</v>
      </c>
      <c r="L356" s="3">
        <v>22.29</v>
      </c>
      <c r="M356" s="3">
        <v>23.4</v>
      </c>
      <c r="N356" s="3">
        <v>49.99</v>
      </c>
      <c r="O356" s="2" t="s">
        <v>232</v>
      </c>
      <c r="P356" s="2" t="s">
        <v>878</v>
      </c>
      <c r="Q356" s="2" t="s">
        <v>234</v>
      </c>
      <c r="R356" s="2" t="s">
        <v>235</v>
      </c>
      <c r="S356" s="2" t="s">
        <v>235</v>
      </c>
      <c r="T356" s="2" t="s">
        <v>235</v>
      </c>
      <c r="U356" s="2" t="s">
        <v>807</v>
      </c>
      <c r="V356" s="2" t="s">
        <v>238</v>
      </c>
      <c r="W356" s="2" t="s">
        <v>235</v>
      </c>
      <c r="X356" s="2" t="s">
        <v>235</v>
      </c>
      <c r="Y356" s="2" t="s">
        <v>1650</v>
      </c>
      <c r="Z356" s="4">
        <v>202</v>
      </c>
      <c r="AA356" s="4">
        <f>=ROUNDDOWN(50.5,0)</f>
      </c>
      <c r="AB356" s="5">
        <v>4</v>
      </c>
      <c r="AC356" s="2" t="s">
        <v>1658</v>
      </c>
      <c r="AD356" s="4">
        <v>120</v>
      </c>
      <c r="AE356" s="4">
        <v>120</v>
      </c>
      <c r="AF356" s="6">
        <v>79</v>
      </c>
      <c r="AG356" s="6"/>
      <c r="AH356" s="7">
        <v>1</v>
      </c>
      <c r="AI356" s="4"/>
      <c r="AJ356" s="4">
        <f>=ROUNDDOWN({0},0)</f>
      </c>
      <c r="AK356" s="5"/>
      <c r="AL356" s="2" t="s">
        <v>235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235</v>
      </c>
      <c r="BD356" s="8" t="s">
        <v>235</v>
      </c>
      <c r="BE356" s="4" t="s">
        <v>235</v>
      </c>
      <c r="BF356" s="8" t="s">
        <v>235</v>
      </c>
      <c r="BG356" s="7" t="s">
        <v>235</v>
      </c>
      <c r="BH356" s="7" t="s">
        <v>235</v>
      </c>
      <c r="BI356" s="7"/>
      <c r="BJ356" s="4">
        <v>7</v>
      </c>
      <c r="BK356" s="8">
        <v>175.54</v>
      </c>
      <c r="BL356" s="2" t="s">
        <v>692</v>
      </c>
      <c r="BM356" s="7"/>
      <c r="BN356" s="7"/>
      <c r="BO356" s="4"/>
      <c r="BP356" s="8"/>
      <c r="BQ356" s="4"/>
      <c r="BR356" s="8"/>
      <c r="BS356" s="7"/>
      <c r="BT356" s="7"/>
      <c r="BU356" s="2" t="s">
        <v>1651</v>
      </c>
      <c r="BV356" s="2" t="s">
        <v>235</v>
      </c>
      <c r="BW356" s="2" t="s">
        <v>235</v>
      </c>
      <c r="BX356" s="2" t="s">
        <v>619</v>
      </c>
      <c r="BY356" s="2" t="s">
        <v>245</v>
      </c>
      <c r="BZ356" s="2" t="s">
        <v>232</v>
      </c>
      <c r="CA356" s="2" t="s">
        <v>235</v>
      </c>
      <c r="CB356" s="2" t="s">
        <v>235</v>
      </c>
      <c r="CC356" s="2" t="s">
        <v>248</v>
      </c>
      <c r="CD356" s="2" t="s">
        <v>248</v>
      </c>
      <c r="CE356" s="2" t="s">
        <v>235</v>
      </c>
      <c r="CF356" s="4">
        <v>202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>
        <v>120</v>
      </c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>
        <v>202</v>
      </c>
      <c r="GE356" s="4">
        <v>199</v>
      </c>
      <c r="GF356" s="4">
        <v>196</v>
      </c>
      <c r="GG356" s="4">
        <v>193</v>
      </c>
      <c r="GH356" s="4">
        <v>190</v>
      </c>
      <c r="GI356" s="4">
        <v>186</v>
      </c>
      <c r="GJ356" s="4">
        <v>182</v>
      </c>
      <c r="GK356" s="4">
        <v>178</v>
      </c>
      <c r="GL356" s="4">
        <v>172</v>
      </c>
      <c r="GM356" s="4">
        <v>168</v>
      </c>
      <c r="GN356" s="4">
        <v>283</v>
      </c>
      <c r="GO356" s="4">
        <v>274</v>
      </c>
      <c r="GP356" s="4">
        <v>266</v>
      </c>
      <c r="GQ356" s="4">
        <v>254</v>
      </c>
      <c r="GR356" s="4">
        <v>246</v>
      </c>
      <c r="GS356" s="4">
        <v>237</v>
      </c>
      <c r="GT356" s="4">
        <v>234</v>
      </c>
      <c r="GU356" s="4">
        <v>232</v>
      </c>
      <c r="GV356" s="4">
        <v>224</v>
      </c>
      <c r="GW356" s="4">
        <v>222</v>
      </c>
      <c r="GX356" s="4">
        <v>220</v>
      </c>
      <c r="GY356" s="4">
        <v>218</v>
      </c>
      <c r="GZ356" s="4">
        <v>216</v>
      </c>
      <c r="HA356" s="4">
        <v>213</v>
      </c>
      <c r="HB356" s="4">
        <v>210</v>
      </c>
      <c r="HC356" s="4">
        <v>208</v>
      </c>
      <c r="HD356" s="19">
        <v>67.3</v>
      </c>
      <c r="HE356" s="19">
        <v>66.3</v>
      </c>
      <c r="HF356" s="19">
        <v>49</v>
      </c>
      <c r="HG356" s="19">
        <v>48.3</v>
      </c>
      <c r="HH356" s="19">
        <v>47.5</v>
      </c>
      <c r="HI356" s="19">
        <v>46.5</v>
      </c>
      <c r="HJ356" s="19">
        <v>36.4</v>
      </c>
      <c r="HK356" s="19">
        <v>29.7</v>
      </c>
      <c r="HL356" s="19">
        <v>28.7</v>
      </c>
      <c r="HM356" s="19">
        <v>21</v>
      </c>
      <c r="HN356" s="19">
        <v>31.4</v>
      </c>
      <c r="HO356" s="19">
        <v>30.4</v>
      </c>
      <c r="HP356" s="19">
        <v>33.3</v>
      </c>
      <c r="HQ356" s="19">
        <v>42.3</v>
      </c>
      <c r="HR356" s="19">
        <v>41</v>
      </c>
      <c r="HS356" s="19">
        <v>59.3</v>
      </c>
      <c r="HT356" s="19">
        <v>58.5</v>
      </c>
      <c r="HU356" s="19">
        <v>58</v>
      </c>
      <c r="HV356" s="19">
        <v>112</v>
      </c>
      <c r="HW356" s="19">
        <v>111</v>
      </c>
      <c r="HX356" s="19">
        <v>110</v>
      </c>
      <c r="HY356" s="19">
        <v>109</v>
      </c>
      <c r="HZ356" s="19">
        <v>72</v>
      </c>
      <c r="IA356" s="19">
        <v>71</v>
      </c>
      <c r="IB356" s="19">
        <v>70</v>
      </c>
      <c r="IC356" s="19">
        <v>69.3</v>
      </c>
    </row>
    <row r="357">
      <c r="A357" s="2" t="s">
        <v>1666</v>
      </c>
      <c r="B357" s="2" t="s">
        <v>905</v>
      </c>
      <c r="C357" s="2" t="s">
        <v>324</v>
      </c>
      <c r="D357" s="2" t="s">
        <v>981</v>
      </c>
      <c r="E357" s="2" t="s">
        <v>982</v>
      </c>
      <c r="F357" s="2" t="s">
        <v>1648</v>
      </c>
      <c r="G357" s="2" t="s">
        <v>1648</v>
      </c>
      <c r="H357" s="2" t="s">
        <v>1648</v>
      </c>
      <c r="I357" s="2" t="s">
        <v>1649</v>
      </c>
      <c r="J357" s="2" t="s">
        <v>394</v>
      </c>
      <c r="K357" s="2" t="s">
        <v>1667</v>
      </c>
      <c r="L357" s="3">
        <v>22.29</v>
      </c>
      <c r="M357" s="3">
        <v>23.4</v>
      </c>
      <c r="N357" s="3">
        <v>49.99</v>
      </c>
      <c r="O357" s="2" t="s">
        <v>232</v>
      </c>
      <c r="P357" s="2" t="s">
        <v>878</v>
      </c>
      <c r="Q357" s="2" t="s">
        <v>234</v>
      </c>
      <c r="R357" s="2" t="s">
        <v>235</v>
      </c>
      <c r="S357" s="2" t="s">
        <v>235</v>
      </c>
      <c r="T357" s="2" t="s">
        <v>235</v>
      </c>
      <c r="U357" s="2" t="s">
        <v>807</v>
      </c>
      <c r="V357" s="2" t="s">
        <v>238</v>
      </c>
      <c r="W357" s="2" t="s">
        <v>235</v>
      </c>
      <c r="X357" s="2" t="s">
        <v>235</v>
      </c>
      <c r="Y357" s="2" t="s">
        <v>1650</v>
      </c>
      <c r="Z357" s="4">
        <v>201</v>
      </c>
      <c r="AA357" s="4">
        <f>=ROUNDDOWN(67,0)</f>
      </c>
      <c r="AB357" s="5">
        <v>3</v>
      </c>
      <c r="AC357" s="2" t="s">
        <v>1658</v>
      </c>
      <c r="AD357" s="4">
        <v>200</v>
      </c>
      <c r="AE357" s="4">
        <v>200</v>
      </c>
      <c r="AF357" s="6">
        <v>79</v>
      </c>
      <c r="AG357" s="6"/>
      <c r="AH357" s="7">
        <v>1</v>
      </c>
      <c r="AI357" s="4"/>
      <c r="AJ357" s="4">
        <f>=ROUNDDOWN({0},0)</f>
      </c>
      <c r="AK357" s="5"/>
      <c r="AL357" s="2" t="s">
        <v>235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235</v>
      </c>
      <c r="BD357" s="8" t="s">
        <v>235</v>
      </c>
      <c r="BE357" s="4" t="s">
        <v>235</v>
      </c>
      <c r="BF357" s="8" t="s">
        <v>235</v>
      </c>
      <c r="BG357" s="7" t="s">
        <v>235</v>
      </c>
      <c r="BH357" s="7" t="s">
        <v>235</v>
      </c>
      <c r="BI357" s="7"/>
      <c r="BJ357" s="4">
        <v>8</v>
      </c>
      <c r="BK357" s="8">
        <v>201.53</v>
      </c>
      <c r="BL357" s="2" t="s">
        <v>517</v>
      </c>
      <c r="BM357" s="7"/>
      <c r="BN357" s="7"/>
      <c r="BO357" s="4"/>
      <c r="BP357" s="8"/>
      <c r="BQ357" s="4"/>
      <c r="BR357" s="8"/>
      <c r="BS357" s="7"/>
      <c r="BT357" s="7"/>
      <c r="BU357" s="2" t="s">
        <v>1651</v>
      </c>
      <c r="BV357" s="2" t="s">
        <v>235</v>
      </c>
      <c r="BW357" s="2" t="s">
        <v>235</v>
      </c>
      <c r="BX357" s="2" t="s">
        <v>619</v>
      </c>
      <c r="BY357" s="2" t="s">
        <v>245</v>
      </c>
      <c r="BZ357" s="2" t="s">
        <v>232</v>
      </c>
      <c r="CA357" s="2" t="s">
        <v>235</v>
      </c>
      <c r="CB357" s="2" t="s">
        <v>1668</v>
      </c>
      <c r="CC357" s="2" t="s">
        <v>248</v>
      </c>
      <c r="CD357" s="2" t="s">
        <v>248</v>
      </c>
      <c r="CE357" s="2" t="s">
        <v>235</v>
      </c>
      <c r="CF357" s="4">
        <v>201</v>
      </c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>
        <v>200</v>
      </c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>
        <v>201</v>
      </c>
      <c r="GE357" s="4">
        <v>199</v>
      </c>
      <c r="GF357" s="4">
        <v>197</v>
      </c>
      <c r="GG357" s="4">
        <v>195</v>
      </c>
      <c r="GH357" s="4">
        <v>193</v>
      </c>
      <c r="GI357" s="4">
        <v>191</v>
      </c>
      <c r="GJ357" s="4">
        <v>189</v>
      </c>
      <c r="GK357" s="4">
        <v>187</v>
      </c>
      <c r="GL357" s="4">
        <v>176</v>
      </c>
      <c r="GM357" s="4">
        <v>174</v>
      </c>
      <c r="GN357" s="4">
        <v>371</v>
      </c>
      <c r="GO357" s="4">
        <v>361</v>
      </c>
      <c r="GP357" s="4">
        <v>351</v>
      </c>
      <c r="GQ357" s="4">
        <v>343</v>
      </c>
      <c r="GR357" s="4">
        <v>335</v>
      </c>
      <c r="GS357" s="4">
        <v>326</v>
      </c>
      <c r="GT357" s="4">
        <v>323</v>
      </c>
      <c r="GU357" s="4">
        <v>321</v>
      </c>
      <c r="GV357" s="4">
        <v>317</v>
      </c>
      <c r="GW357" s="4">
        <v>314</v>
      </c>
      <c r="GX357" s="4">
        <v>311</v>
      </c>
      <c r="GY357" s="4">
        <v>304</v>
      </c>
      <c r="GZ357" s="4">
        <v>301</v>
      </c>
      <c r="HA357" s="4">
        <v>298</v>
      </c>
      <c r="HB357" s="4">
        <v>295</v>
      </c>
      <c r="HC357" s="4">
        <v>290</v>
      </c>
      <c r="HD357" s="19">
        <v>100.5</v>
      </c>
      <c r="HE357" s="19">
        <v>99.5</v>
      </c>
      <c r="HF357" s="19">
        <v>98.5</v>
      </c>
      <c r="HG357" s="19">
        <v>97.5</v>
      </c>
      <c r="HH357" s="19">
        <v>48.3</v>
      </c>
      <c r="HI357" s="19">
        <v>47.8</v>
      </c>
      <c r="HJ357" s="19">
        <v>47.3</v>
      </c>
      <c r="HK357" s="19">
        <v>31.2</v>
      </c>
      <c r="HL357" s="19">
        <v>29.3</v>
      </c>
      <c r="HM357" s="19">
        <v>21.8</v>
      </c>
      <c r="HN357" s="19">
        <v>41.2</v>
      </c>
      <c r="HO357" s="19">
        <v>40.1</v>
      </c>
      <c r="HP357" s="19">
        <v>50.1</v>
      </c>
      <c r="HQ357" s="19">
        <v>57.2</v>
      </c>
      <c r="HR357" s="19">
        <v>83.8</v>
      </c>
      <c r="HS357" s="19">
        <v>108.7</v>
      </c>
      <c r="HT357" s="19">
        <v>107.7</v>
      </c>
      <c r="HU357" s="19">
        <v>80.3</v>
      </c>
      <c r="HV357" s="19">
        <v>79.3</v>
      </c>
      <c r="HW357" s="19">
        <v>78.5</v>
      </c>
      <c r="HX357" s="19">
        <v>77.8</v>
      </c>
      <c r="HY357" s="19">
        <v>76</v>
      </c>
      <c r="HZ357" s="19">
        <v>75.3</v>
      </c>
      <c r="IA357" s="19">
        <v>74.5</v>
      </c>
      <c r="IB357" s="19">
        <v>73.8</v>
      </c>
      <c r="IC357" s="19">
        <v>72.5</v>
      </c>
    </row>
    <row r="358">
      <c r="A358" s="2" t="s">
        <v>1669</v>
      </c>
      <c r="B358" s="2" t="s">
        <v>905</v>
      </c>
      <c r="C358" s="2" t="s">
        <v>324</v>
      </c>
      <c r="D358" s="2" t="s">
        <v>981</v>
      </c>
      <c r="E358" s="2" t="s">
        <v>982</v>
      </c>
      <c r="F358" s="2" t="s">
        <v>1648</v>
      </c>
      <c r="G358" s="2" t="s">
        <v>1648</v>
      </c>
      <c r="H358" s="2" t="s">
        <v>1648</v>
      </c>
      <c r="I358" s="2" t="s">
        <v>1649</v>
      </c>
      <c r="J358" s="2" t="s">
        <v>394</v>
      </c>
      <c r="K358" s="2" t="s">
        <v>600</v>
      </c>
      <c r="L358" s="3">
        <v>22.29</v>
      </c>
      <c r="M358" s="3">
        <v>23.4</v>
      </c>
      <c r="N358" s="3">
        <v>49.99</v>
      </c>
      <c r="O358" s="2" t="s">
        <v>232</v>
      </c>
      <c r="P358" s="2" t="s">
        <v>878</v>
      </c>
      <c r="Q358" s="2" t="s">
        <v>234</v>
      </c>
      <c r="R358" s="2" t="s">
        <v>235</v>
      </c>
      <c r="S358" s="2" t="s">
        <v>235</v>
      </c>
      <c r="T358" s="2" t="s">
        <v>235</v>
      </c>
      <c r="U358" s="2" t="s">
        <v>807</v>
      </c>
      <c r="V358" s="2" t="s">
        <v>238</v>
      </c>
      <c r="W358" s="2" t="s">
        <v>235</v>
      </c>
      <c r="X358" s="2" t="s">
        <v>235</v>
      </c>
      <c r="Y358" s="2" t="s">
        <v>1650</v>
      </c>
      <c r="Z358" s="4">
        <v>420</v>
      </c>
      <c r="AA358" s="4">
        <f>=ROUNDDOWN(70,0)</f>
      </c>
      <c r="AB358" s="5">
        <v>6</v>
      </c>
      <c r="AC358" s="2" t="s">
        <v>1658</v>
      </c>
      <c r="AD358" s="4">
        <v>104</v>
      </c>
      <c r="AE358" s="4">
        <v>104</v>
      </c>
      <c r="AF358" s="6">
        <v>79</v>
      </c>
      <c r="AG358" s="6"/>
      <c r="AH358" s="7">
        <v>1</v>
      </c>
      <c r="AI358" s="4"/>
      <c r="AJ358" s="4">
        <f>=ROUNDDOWN({0},0)</f>
      </c>
      <c r="AK358" s="5"/>
      <c r="AL358" s="2" t="s">
        <v>235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235</v>
      </c>
      <c r="AW358" s="8" t="s">
        <v>235</v>
      </c>
      <c r="AX358" s="4" t="s">
        <v>235</v>
      </c>
      <c r="AY358" s="8" t="s">
        <v>235</v>
      </c>
      <c r="AZ358" s="7" t="s">
        <v>235</v>
      </c>
      <c r="BA358" s="7" t="s">
        <v>235</v>
      </c>
      <c r="BB358" s="7"/>
      <c r="BC358" s="4" t="s">
        <v>235</v>
      </c>
      <c r="BD358" s="8" t="s">
        <v>235</v>
      </c>
      <c r="BE358" s="4" t="s">
        <v>235</v>
      </c>
      <c r="BF358" s="8" t="s">
        <v>235</v>
      </c>
      <c r="BG358" s="7" t="s">
        <v>235</v>
      </c>
      <c r="BH358" s="7" t="s">
        <v>235</v>
      </c>
      <c r="BI358" s="7"/>
      <c r="BJ358" s="4">
        <v>21</v>
      </c>
      <c r="BK358" s="8">
        <v>535.31</v>
      </c>
      <c r="BL358" s="2" t="s">
        <v>1670</v>
      </c>
      <c r="BM358" s="7"/>
      <c r="BN358" s="7"/>
      <c r="BO358" s="4"/>
      <c r="BP358" s="8"/>
      <c r="BQ358" s="4"/>
      <c r="BR358" s="8"/>
      <c r="BS358" s="7"/>
      <c r="BT358" s="7"/>
      <c r="BU358" s="2" t="s">
        <v>1651</v>
      </c>
      <c r="BV358" s="2" t="s">
        <v>235</v>
      </c>
      <c r="BW358" s="2" t="s">
        <v>235</v>
      </c>
      <c r="BX358" s="2" t="s">
        <v>619</v>
      </c>
      <c r="BY358" s="2" t="s">
        <v>245</v>
      </c>
      <c r="BZ358" s="2" t="s">
        <v>232</v>
      </c>
      <c r="CA358" s="2" t="s">
        <v>235</v>
      </c>
      <c r="CB358" s="2" t="s">
        <v>1671</v>
      </c>
      <c r="CC358" s="2" t="s">
        <v>248</v>
      </c>
      <c r="CD358" s="2" t="s">
        <v>248</v>
      </c>
      <c r="CE358" s="2" t="s">
        <v>235</v>
      </c>
      <c r="CF358" s="4">
        <v>420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>
        <v>104</v>
      </c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>
        <v>421</v>
      </c>
      <c r="GE358" s="4">
        <v>415</v>
      </c>
      <c r="GF358" s="4">
        <v>410</v>
      </c>
      <c r="GG358" s="4">
        <v>405</v>
      </c>
      <c r="GH358" s="4">
        <v>400</v>
      </c>
      <c r="GI358" s="4">
        <v>394</v>
      </c>
      <c r="GJ358" s="4">
        <v>388</v>
      </c>
      <c r="GK358" s="4">
        <v>382</v>
      </c>
      <c r="GL358" s="4">
        <v>370</v>
      </c>
      <c r="GM358" s="4">
        <v>364</v>
      </c>
      <c r="GN358" s="4">
        <v>459</v>
      </c>
      <c r="GO358" s="4">
        <v>443</v>
      </c>
      <c r="GP358" s="4">
        <v>430</v>
      </c>
      <c r="GQ358" s="4">
        <v>408</v>
      </c>
      <c r="GR358" s="4">
        <v>393</v>
      </c>
      <c r="GS358" s="4">
        <v>377</v>
      </c>
      <c r="GT358" s="4">
        <v>371</v>
      </c>
      <c r="GU358" s="4">
        <v>367</v>
      </c>
      <c r="GV358" s="4">
        <v>360</v>
      </c>
      <c r="GW358" s="4">
        <v>355</v>
      </c>
      <c r="GX358" s="4">
        <v>350</v>
      </c>
      <c r="GY358" s="4">
        <v>341</v>
      </c>
      <c r="GZ358" s="4">
        <v>336</v>
      </c>
      <c r="HA358" s="4">
        <v>330</v>
      </c>
      <c r="HB358" s="4">
        <v>324</v>
      </c>
      <c r="HC358" s="4">
        <v>316</v>
      </c>
      <c r="HD358" s="19">
        <v>84.2</v>
      </c>
      <c r="HE358" s="19">
        <v>83</v>
      </c>
      <c r="HF358" s="19">
        <v>68.3</v>
      </c>
      <c r="HG358" s="19">
        <v>67.5</v>
      </c>
      <c r="HH358" s="19">
        <v>50</v>
      </c>
      <c r="HI358" s="19">
        <v>49.3</v>
      </c>
      <c r="HJ358" s="19">
        <v>48.5</v>
      </c>
      <c r="HK358" s="19">
        <v>34.7</v>
      </c>
      <c r="HL358" s="19">
        <v>33.6</v>
      </c>
      <c r="HM358" s="19">
        <v>24.3</v>
      </c>
      <c r="HN358" s="19">
        <v>28.7</v>
      </c>
      <c r="HO358" s="19">
        <v>27.7</v>
      </c>
      <c r="HP358" s="19">
        <v>28.7</v>
      </c>
      <c r="HQ358" s="19">
        <v>40.8</v>
      </c>
      <c r="HR358" s="19">
        <v>49.1</v>
      </c>
      <c r="HS358" s="19">
        <v>62.8</v>
      </c>
      <c r="HT358" s="19">
        <v>74.2</v>
      </c>
      <c r="HU358" s="19">
        <v>61.2</v>
      </c>
      <c r="HV358" s="19">
        <v>60</v>
      </c>
      <c r="HW358" s="19">
        <v>59.2</v>
      </c>
      <c r="HX358" s="19">
        <v>58.3</v>
      </c>
      <c r="HY358" s="19">
        <v>56.8</v>
      </c>
      <c r="HZ358" s="19">
        <v>56</v>
      </c>
      <c r="IA358" s="19">
        <v>47.1</v>
      </c>
      <c r="IB358" s="19">
        <v>46.3</v>
      </c>
      <c r="IC358" s="19">
        <v>45.1</v>
      </c>
    </row>
    <row r="359">
      <c r="A359" s="2" t="s">
        <v>1672</v>
      </c>
      <c r="B359" s="2" t="s">
        <v>905</v>
      </c>
      <c r="C359" s="2" t="s">
        <v>324</v>
      </c>
      <c r="D359" s="2" t="s">
        <v>981</v>
      </c>
      <c r="E359" s="2" t="s">
        <v>982</v>
      </c>
      <c r="F359" s="2" t="s">
        <v>1648</v>
      </c>
      <c r="G359" s="2" t="s">
        <v>1648</v>
      </c>
      <c r="H359" s="2" t="s">
        <v>1648</v>
      </c>
      <c r="I359" s="2" t="s">
        <v>1649</v>
      </c>
      <c r="J359" s="2" t="s">
        <v>365</v>
      </c>
      <c r="K359" s="2" t="s">
        <v>600</v>
      </c>
      <c r="L359" s="3">
        <v>26.75</v>
      </c>
      <c r="M359" s="3">
        <v>28.09</v>
      </c>
      <c r="N359" s="3">
        <v>59.99</v>
      </c>
      <c r="O359" s="2" t="s">
        <v>232</v>
      </c>
      <c r="P359" s="2" t="s">
        <v>878</v>
      </c>
      <c r="Q359" s="2" t="s">
        <v>234</v>
      </c>
      <c r="R359" s="2" t="s">
        <v>235</v>
      </c>
      <c r="S359" s="2" t="s">
        <v>235</v>
      </c>
      <c r="T359" s="2" t="s">
        <v>235</v>
      </c>
      <c r="U359" s="2" t="s">
        <v>807</v>
      </c>
      <c r="V359" s="2" t="s">
        <v>238</v>
      </c>
      <c r="W359" s="2" t="s">
        <v>235</v>
      </c>
      <c r="X359" s="2" t="s">
        <v>235</v>
      </c>
      <c r="Y359" s="2" t="s">
        <v>1650</v>
      </c>
      <c r="Z359" s="4">
        <v>1222</v>
      </c>
      <c r="AA359" s="4">
        <f>=ROUNDDOWN(135.777777777778,0)</f>
      </c>
      <c r="AB359" s="5">
        <v>9</v>
      </c>
      <c r="AC359" s="2" t="s">
        <v>1658</v>
      </c>
      <c r="AD359" s="4">
        <v>102</v>
      </c>
      <c r="AE359" s="4">
        <v>102</v>
      </c>
      <c r="AF359" s="6">
        <v>79</v>
      </c>
      <c r="AG359" s="6"/>
      <c r="AH359" s="7">
        <v>1</v>
      </c>
      <c r="AI359" s="4"/>
      <c r="AJ359" s="4">
        <f>=ROUNDDOWN({0},0)</f>
      </c>
      <c r="AK359" s="5"/>
      <c r="AL359" s="2" t="s">
        <v>235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235</v>
      </c>
      <c r="AW359" s="8" t="s">
        <v>235</v>
      </c>
      <c r="AX359" s="4" t="s">
        <v>235</v>
      </c>
      <c r="AY359" s="8" t="s">
        <v>235</v>
      </c>
      <c r="AZ359" s="7" t="s">
        <v>235</v>
      </c>
      <c r="BA359" s="7" t="s">
        <v>235</v>
      </c>
      <c r="BB359" s="7"/>
      <c r="BC359" s="4" t="s">
        <v>235</v>
      </c>
      <c r="BD359" s="8" t="s">
        <v>235</v>
      </c>
      <c r="BE359" s="4" t="s">
        <v>235</v>
      </c>
      <c r="BF359" s="8" t="s">
        <v>235</v>
      </c>
      <c r="BG359" s="7" t="s">
        <v>235</v>
      </c>
      <c r="BH359" s="7" t="s">
        <v>235</v>
      </c>
      <c r="BI359" s="7"/>
      <c r="BJ359" s="4">
        <v>35</v>
      </c>
      <c r="BK359" s="8">
        <v>1147.45</v>
      </c>
      <c r="BL359" s="2" t="s">
        <v>1670</v>
      </c>
      <c r="BM359" s="7"/>
      <c r="BN359" s="7"/>
      <c r="BO359" s="4"/>
      <c r="BP359" s="8"/>
      <c r="BQ359" s="4"/>
      <c r="BR359" s="8"/>
      <c r="BS359" s="7"/>
      <c r="BT359" s="7"/>
      <c r="BU359" s="2" t="s">
        <v>1651</v>
      </c>
      <c r="BV359" s="2" t="s">
        <v>235</v>
      </c>
      <c r="BW359" s="2" t="s">
        <v>235</v>
      </c>
      <c r="BX359" s="2" t="s">
        <v>619</v>
      </c>
      <c r="BY359" s="2" t="s">
        <v>245</v>
      </c>
      <c r="BZ359" s="2" t="s">
        <v>232</v>
      </c>
      <c r="CA359" s="2" t="s">
        <v>235</v>
      </c>
      <c r="CB359" s="2" t="s">
        <v>1673</v>
      </c>
      <c r="CC359" s="2" t="s">
        <v>248</v>
      </c>
      <c r="CD359" s="2" t="s">
        <v>248</v>
      </c>
      <c r="CE359" s="2" t="s">
        <v>235</v>
      </c>
      <c r="CF359" s="4">
        <v>1222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>
        <v>102</v>
      </c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>
        <v>1222</v>
      </c>
      <c r="GE359" s="4">
        <v>1211</v>
      </c>
      <c r="GF359" s="4">
        <v>1201</v>
      </c>
      <c r="GG359" s="4">
        <v>1191</v>
      </c>
      <c r="GH359" s="4">
        <v>1181</v>
      </c>
      <c r="GI359" s="4">
        <v>1166</v>
      </c>
      <c r="GJ359" s="4">
        <v>1151</v>
      </c>
      <c r="GK359" s="4">
        <v>1136</v>
      </c>
      <c r="GL359" s="4">
        <v>1118</v>
      </c>
      <c r="GM359" s="4">
        <v>1102</v>
      </c>
      <c r="GN359" s="4">
        <v>1187</v>
      </c>
      <c r="GO359" s="4">
        <v>1158</v>
      </c>
      <c r="GP359" s="4">
        <v>1133</v>
      </c>
      <c r="GQ359" s="4">
        <v>1084</v>
      </c>
      <c r="GR359" s="4">
        <v>1059</v>
      </c>
      <c r="GS359" s="4">
        <v>1023</v>
      </c>
      <c r="GT359" s="4">
        <v>1005</v>
      </c>
      <c r="GU359" s="4">
        <v>1001</v>
      </c>
      <c r="GV359" s="4">
        <v>992</v>
      </c>
      <c r="GW359" s="4">
        <v>983</v>
      </c>
      <c r="GX359" s="4">
        <v>974</v>
      </c>
      <c r="GY359" s="4">
        <v>964</v>
      </c>
      <c r="GZ359" s="4">
        <v>956</v>
      </c>
      <c r="HA359" s="4">
        <v>949</v>
      </c>
      <c r="HB359" s="4">
        <v>942</v>
      </c>
      <c r="HC359" s="4">
        <v>933</v>
      </c>
      <c r="HD359" s="19">
        <v>122.2</v>
      </c>
      <c r="HE359" s="19">
        <v>110.1</v>
      </c>
      <c r="HF359" s="19">
        <v>100.1</v>
      </c>
      <c r="HG359" s="19">
        <v>85.1</v>
      </c>
      <c r="HH359" s="19">
        <v>73.8</v>
      </c>
      <c r="HI359" s="19">
        <v>72.9</v>
      </c>
      <c r="HJ359" s="19">
        <v>71.9</v>
      </c>
      <c r="HK359" s="19">
        <v>56.8</v>
      </c>
      <c r="HL359" s="19">
        <v>50.8</v>
      </c>
      <c r="HM359" s="19">
        <v>36.7</v>
      </c>
      <c r="HN359" s="19">
        <v>37.1</v>
      </c>
      <c r="HO359" s="19">
        <v>34.1</v>
      </c>
      <c r="HP359" s="19">
        <v>35.4</v>
      </c>
      <c r="HQ359" s="19">
        <v>51.6</v>
      </c>
      <c r="HR359" s="19">
        <v>62.3</v>
      </c>
      <c r="HS359" s="19">
        <v>102.3</v>
      </c>
      <c r="HT359" s="19">
        <v>125.6</v>
      </c>
      <c r="HU359" s="19">
        <v>111.2</v>
      </c>
      <c r="HV359" s="19">
        <v>110.2</v>
      </c>
      <c r="HW359" s="19">
        <v>122.9</v>
      </c>
      <c r="HX359" s="19">
        <v>121.8</v>
      </c>
      <c r="HY359" s="19">
        <v>120.5</v>
      </c>
      <c r="HZ359" s="19">
        <v>119.5</v>
      </c>
      <c r="IA359" s="19">
        <v>118.6</v>
      </c>
      <c r="IB359" s="19">
        <v>104.7</v>
      </c>
      <c r="IC359" s="19">
        <v>103.7</v>
      </c>
    </row>
    <row r="360">
      <c r="A360" s="2" t="s">
        <v>1674</v>
      </c>
      <c r="B360" s="2" t="s">
        <v>905</v>
      </c>
      <c r="C360" s="2" t="s">
        <v>324</v>
      </c>
      <c r="D360" s="2" t="s">
        <v>981</v>
      </c>
      <c r="E360" s="2" t="s">
        <v>982</v>
      </c>
      <c r="F360" s="2" t="s">
        <v>1648</v>
      </c>
      <c r="G360" s="2" t="s">
        <v>1648</v>
      </c>
      <c r="H360" s="2" t="s">
        <v>1648</v>
      </c>
      <c r="I360" s="2" t="s">
        <v>1649</v>
      </c>
      <c r="J360" s="2" t="s">
        <v>394</v>
      </c>
      <c r="K360" s="2" t="s">
        <v>1172</v>
      </c>
      <c r="L360" s="3">
        <v>22.29</v>
      </c>
      <c r="M360" s="3">
        <v>23.4</v>
      </c>
      <c r="N360" s="3">
        <v>49.99</v>
      </c>
      <c r="O360" s="2" t="s">
        <v>232</v>
      </c>
      <c r="P360" s="2" t="s">
        <v>878</v>
      </c>
      <c r="Q360" s="2" t="s">
        <v>234</v>
      </c>
      <c r="R360" s="2" t="s">
        <v>235</v>
      </c>
      <c r="S360" s="2" t="s">
        <v>235</v>
      </c>
      <c r="T360" s="2" t="s">
        <v>235</v>
      </c>
      <c r="U360" s="2" t="s">
        <v>807</v>
      </c>
      <c r="V360" s="2" t="s">
        <v>238</v>
      </c>
      <c r="W360" s="2" t="s">
        <v>235</v>
      </c>
      <c r="X360" s="2" t="s">
        <v>235</v>
      </c>
      <c r="Y360" s="2" t="s">
        <v>1650</v>
      </c>
      <c r="Z360" s="4">
        <v>290</v>
      </c>
      <c r="AA360" s="4">
        <f>=ROUNDDOWN(72.5,0)</f>
      </c>
      <c r="AB360" s="5">
        <v>4</v>
      </c>
      <c r="AC360" s="2" t="s">
        <v>235</v>
      </c>
      <c r="AD360" s="4"/>
      <c r="AE360" s="4"/>
      <c r="AF360" s="6">
        <v>79</v>
      </c>
      <c r="AG360" s="6"/>
      <c r="AH360" s="7">
        <v>1</v>
      </c>
      <c r="AI360" s="4"/>
      <c r="AJ360" s="4">
        <f>=ROUNDDOWN({0},0)</f>
      </c>
      <c r="AK360" s="5"/>
      <c r="AL360" s="2" t="s">
        <v>235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235</v>
      </c>
      <c r="BD360" s="8" t="s">
        <v>235</v>
      </c>
      <c r="BE360" s="4" t="s">
        <v>235</v>
      </c>
      <c r="BF360" s="8" t="s">
        <v>235</v>
      </c>
      <c r="BG360" s="7" t="s">
        <v>235</v>
      </c>
      <c r="BH360" s="7" t="s">
        <v>235</v>
      </c>
      <c r="BI360" s="7"/>
      <c r="BJ360" s="4">
        <v>16</v>
      </c>
      <c r="BK360" s="8">
        <v>399.89</v>
      </c>
      <c r="BL360" s="2" t="s">
        <v>1675</v>
      </c>
      <c r="BM360" s="7"/>
      <c r="BN360" s="7"/>
      <c r="BO360" s="4"/>
      <c r="BP360" s="8"/>
      <c r="BQ360" s="4"/>
      <c r="BR360" s="8"/>
      <c r="BS360" s="7"/>
      <c r="BT360" s="7"/>
      <c r="BU360" s="2" t="s">
        <v>1651</v>
      </c>
      <c r="BV360" s="2" t="s">
        <v>235</v>
      </c>
      <c r="BW360" s="2" t="s">
        <v>235</v>
      </c>
      <c r="BX360" s="2" t="s">
        <v>619</v>
      </c>
      <c r="BY360" s="2" t="s">
        <v>245</v>
      </c>
      <c r="BZ360" s="2" t="s">
        <v>232</v>
      </c>
      <c r="CA360" s="2" t="s">
        <v>235</v>
      </c>
      <c r="CB360" s="2" t="s">
        <v>235</v>
      </c>
      <c r="CC360" s="2" t="s">
        <v>248</v>
      </c>
      <c r="CD360" s="2" t="s">
        <v>248</v>
      </c>
      <c r="CE360" s="2" t="s">
        <v>235</v>
      </c>
      <c r="CF360" s="4">
        <v>290</v>
      </c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>
        <v>290</v>
      </c>
      <c r="GE360" s="4">
        <v>287</v>
      </c>
      <c r="GF360" s="4">
        <v>284</v>
      </c>
      <c r="GG360" s="4">
        <v>281</v>
      </c>
      <c r="GH360" s="4">
        <v>278</v>
      </c>
      <c r="GI360" s="4">
        <v>274</v>
      </c>
      <c r="GJ360" s="4">
        <v>270</v>
      </c>
      <c r="GK360" s="4">
        <v>266</v>
      </c>
      <c r="GL360" s="4">
        <v>255</v>
      </c>
      <c r="GM360" s="4">
        <v>251</v>
      </c>
      <c r="GN360" s="4">
        <v>244</v>
      </c>
      <c r="GO360" s="4">
        <v>234</v>
      </c>
      <c r="GP360" s="4">
        <v>225</v>
      </c>
      <c r="GQ360" s="4">
        <v>213</v>
      </c>
      <c r="GR360" s="4">
        <v>203</v>
      </c>
      <c r="GS360" s="4">
        <v>192</v>
      </c>
      <c r="GT360" s="4">
        <v>190</v>
      </c>
      <c r="GU360" s="4">
        <v>188</v>
      </c>
      <c r="GV360" s="4">
        <v>185</v>
      </c>
      <c r="GW360" s="4">
        <v>183</v>
      </c>
      <c r="GX360" s="4">
        <v>181</v>
      </c>
      <c r="GY360" s="4">
        <v>175</v>
      </c>
      <c r="GZ360" s="4">
        <v>173</v>
      </c>
      <c r="HA360" s="4">
        <v>170</v>
      </c>
      <c r="HB360" s="4">
        <v>167</v>
      </c>
      <c r="HC360" s="4">
        <v>162</v>
      </c>
      <c r="HD360" s="19">
        <v>96.7</v>
      </c>
      <c r="HE360" s="19">
        <v>95.7</v>
      </c>
      <c r="HF360" s="19">
        <v>71</v>
      </c>
      <c r="HG360" s="19">
        <v>70.3</v>
      </c>
      <c r="HH360" s="19">
        <v>46.3</v>
      </c>
      <c r="HI360" s="19">
        <v>45.7</v>
      </c>
      <c r="HJ360" s="19">
        <v>45</v>
      </c>
      <c r="HK360" s="19">
        <v>33.3</v>
      </c>
      <c r="HL360" s="19">
        <v>31.9</v>
      </c>
      <c r="HM360" s="19">
        <v>25.1</v>
      </c>
      <c r="HN360" s="19">
        <v>24.4</v>
      </c>
      <c r="HO360" s="19">
        <v>23.4</v>
      </c>
      <c r="HP360" s="19">
        <v>25</v>
      </c>
      <c r="HQ360" s="19">
        <v>35.5</v>
      </c>
      <c r="HR360" s="19">
        <v>50.8</v>
      </c>
      <c r="HS360" s="19">
        <v>96</v>
      </c>
      <c r="HT360" s="19">
        <v>95</v>
      </c>
      <c r="HU360" s="19">
        <v>62.7</v>
      </c>
      <c r="HV360" s="19">
        <v>61.7</v>
      </c>
      <c r="HW360" s="19">
        <v>61</v>
      </c>
      <c r="HX360" s="19">
        <v>45.3</v>
      </c>
      <c r="HY360" s="19">
        <v>58.3</v>
      </c>
      <c r="HZ360" s="19">
        <v>43.3</v>
      </c>
      <c r="IA360" s="19">
        <v>42.5</v>
      </c>
      <c r="IB360" s="19">
        <v>41.8</v>
      </c>
      <c r="IC360" s="19">
        <v>54</v>
      </c>
    </row>
    <row r="361">
      <c r="A361" s="2" t="s">
        <v>1676</v>
      </c>
      <c r="B361" s="2" t="s">
        <v>905</v>
      </c>
      <c r="C361" s="2" t="s">
        <v>324</v>
      </c>
      <c r="D361" s="2" t="s">
        <v>981</v>
      </c>
      <c r="E361" s="2" t="s">
        <v>982</v>
      </c>
      <c r="F361" s="2" t="s">
        <v>1648</v>
      </c>
      <c r="G361" s="2" t="s">
        <v>1648</v>
      </c>
      <c r="H361" s="2" t="s">
        <v>1648</v>
      </c>
      <c r="I361" s="2" t="s">
        <v>1649</v>
      </c>
      <c r="J361" s="2" t="s">
        <v>394</v>
      </c>
      <c r="K361" s="2" t="s">
        <v>316</v>
      </c>
      <c r="L361" s="3">
        <v>22.29</v>
      </c>
      <c r="M361" s="3">
        <v>23.4</v>
      </c>
      <c r="N361" s="3">
        <v>49.99</v>
      </c>
      <c r="O361" s="2" t="s">
        <v>232</v>
      </c>
      <c r="P361" s="2" t="s">
        <v>878</v>
      </c>
      <c r="Q361" s="2" t="s">
        <v>234</v>
      </c>
      <c r="R361" s="2" t="s">
        <v>235</v>
      </c>
      <c r="S361" s="2" t="s">
        <v>235</v>
      </c>
      <c r="T361" s="2" t="s">
        <v>235</v>
      </c>
      <c r="U361" s="2" t="s">
        <v>807</v>
      </c>
      <c r="V361" s="2" t="s">
        <v>238</v>
      </c>
      <c r="W361" s="2" t="s">
        <v>235</v>
      </c>
      <c r="X361" s="2" t="s">
        <v>235</v>
      </c>
      <c r="Y361" s="2" t="s">
        <v>1650</v>
      </c>
      <c r="Z361" s="4">
        <v>662</v>
      </c>
      <c r="AA361" s="4">
        <f>=ROUNDDOWN(220.666666666667,0)</f>
      </c>
      <c r="AB361" s="5">
        <v>3</v>
      </c>
      <c r="AC361" s="2" t="s">
        <v>235</v>
      </c>
      <c r="AD361" s="4"/>
      <c r="AE361" s="4"/>
      <c r="AF361" s="6">
        <v>79</v>
      </c>
      <c r="AG361" s="6"/>
      <c r="AH361" s="7">
        <v>1</v>
      </c>
      <c r="AI361" s="4"/>
      <c r="AJ361" s="4">
        <f>=ROUNDDOWN({0},0)</f>
      </c>
      <c r="AK361" s="5"/>
      <c r="AL361" s="2" t="s">
        <v>235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235</v>
      </c>
      <c r="BD361" s="8" t="s">
        <v>235</v>
      </c>
      <c r="BE361" s="4" t="s">
        <v>235</v>
      </c>
      <c r="BF361" s="8" t="s">
        <v>235</v>
      </c>
      <c r="BG361" s="7" t="s">
        <v>235</v>
      </c>
      <c r="BH361" s="7" t="s">
        <v>235</v>
      </c>
      <c r="BI361" s="7"/>
      <c r="BJ361" s="4">
        <v>10</v>
      </c>
      <c r="BK361" s="8">
        <v>252.09</v>
      </c>
      <c r="BL361" s="2" t="s">
        <v>517</v>
      </c>
      <c r="BM361" s="7"/>
      <c r="BN361" s="7"/>
      <c r="BO361" s="4"/>
      <c r="BP361" s="8"/>
      <c r="BQ361" s="4"/>
      <c r="BR361" s="8"/>
      <c r="BS361" s="7"/>
      <c r="BT361" s="7"/>
      <c r="BU361" s="2" t="s">
        <v>1651</v>
      </c>
      <c r="BV361" s="2" t="s">
        <v>235</v>
      </c>
      <c r="BW361" s="2" t="s">
        <v>235</v>
      </c>
      <c r="BX361" s="2" t="s">
        <v>619</v>
      </c>
      <c r="BY361" s="2" t="s">
        <v>245</v>
      </c>
      <c r="BZ361" s="2" t="s">
        <v>232</v>
      </c>
      <c r="CA361" s="2" t="s">
        <v>235</v>
      </c>
      <c r="CB361" s="2" t="s">
        <v>1622</v>
      </c>
      <c r="CC361" s="2" t="s">
        <v>248</v>
      </c>
      <c r="CD361" s="2" t="s">
        <v>248</v>
      </c>
      <c r="CE361" s="2" t="s">
        <v>235</v>
      </c>
      <c r="CF361" s="4">
        <v>662</v>
      </c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>
        <v>662</v>
      </c>
      <c r="GE361" s="4">
        <v>660</v>
      </c>
      <c r="GF361" s="4">
        <v>658</v>
      </c>
      <c r="GG361" s="4">
        <v>656</v>
      </c>
      <c r="GH361" s="4">
        <v>654</v>
      </c>
      <c r="GI361" s="4">
        <v>652</v>
      </c>
      <c r="GJ361" s="4">
        <v>650</v>
      </c>
      <c r="GK361" s="4">
        <v>648</v>
      </c>
      <c r="GL361" s="4">
        <v>634</v>
      </c>
      <c r="GM361" s="4">
        <v>632</v>
      </c>
      <c r="GN361" s="4">
        <v>626</v>
      </c>
      <c r="GO361" s="4">
        <v>614</v>
      </c>
      <c r="GP361" s="4">
        <v>605</v>
      </c>
      <c r="GQ361" s="4">
        <v>597</v>
      </c>
      <c r="GR361" s="4">
        <v>589</v>
      </c>
      <c r="GS361" s="4">
        <v>576</v>
      </c>
      <c r="GT361" s="4">
        <v>573</v>
      </c>
      <c r="GU361" s="4">
        <v>572</v>
      </c>
      <c r="GV361" s="4">
        <v>570</v>
      </c>
      <c r="GW361" s="4">
        <v>568</v>
      </c>
      <c r="GX361" s="4">
        <v>566</v>
      </c>
      <c r="GY361" s="4">
        <v>557</v>
      </c>
      <c r="GZ361" s="4">
        <v>555</v>
      </c>
      <c r="HA361" s="4">
        <v>553</v>
      </c>
      <c r="HB361" s="4">
        <v>551</v>
      </c>
      <c r="HC361" s="4">
        <v>546</v>
      </c>
      <c r="HD361" s="19">
        <v>331</v>
      </c>
      <c r="HE361" s="19">
        <v>330</v>
      </c>
      <c r="HF361" s="19">
        <v>329</v>
      </c>
      <c r="HG361" s="19">
        <v>328</v>
      </c>
      <c r="HH361" s="19">
        <v>130.8</v>
      </c>
      <c r="HI361" s="19">
        <v>130.4</v>
      </c>
      <c r="HJ361" s="19">
        <v>108.3</v>
      </c>
      <c r="HK361" s="19">
        <v>81</v>
      </c>
      <c r="HL361" s="19">
        <v>90.6</v>
      </c>
      <c r="HM361" s="19">
        <v>70.2</v>
      </c>
      <c r="HN361" s="19">
        <v>69.6</v>
      </c>
      <c r="HO361" s="19">
        <v>61.4</v>
      </c>
      <c r="HP361" s="19">
        <v>75.6</v>
      </c>
      <c r="HQ361" s="19">
        <v>99.5</v>
      </c>
      <c r="HR361" s="19">
        <v>117.8</v>
      </c>
      <c r="HS361" s="19">
        <v>288</v>
      </c>
      <c r="HT361" s="19">
        <v>286.5</v>
      </c>
      <c r="HU361" s="19">
        <v>143</v>
      </c>
      <c r="HV361" s="19">
        <v>142.5</v>
      </c>
      <c r="HW361" s="19">
        <v>142</v>
      </c>
      <c r="HX361" s="19">
        <v>141.5</v>
      </c>
      <c r="HY361" s="19">
        <v>185.7</v>
      </c>
      <c r="HZ361" s="19">
        <v>185</v>
      </c>
      <c r="IA361" s="19">
        <v>184.3</v>
      </c>
      <c r="IB361" s="19">
        <v>183.7</v>
      </c>
      <c r="IC361" s="19">
        <v>273</v>
      </c>
    </row>
    <row r="362">
      <c r="A362" s="2" t="s">
        <v>1677</v>
      </c>
      <c r="B362" s="2" t="s">
        <v>871</v>
      </c>
      <c r="C362" s="2" t="s">
        <v>893</v>
      </c>
      <c r="D362" s="2" t="s">
        <v>1539</v>
      </c>
      <c r="E362" s="2" t="s">
        <v>1540</v>
      </c>
      <c r="F362" s="2" t="s">
        <v>1678</v>
      </c>
      <c r="G362" s="2" t="s">
        <v>1678</v>
      </c>
      <c r="H362" s="2" t="s">
        <v>1678</v>
      </c>
      <c r="I362" s="2" t="s">
        <v>1679</v>
      </c>
      <c r="J362" s="2" t="s">
        <v>1680</v>
      </c>
      <c r="K362" s="2" t="s">
        <v>295</v>
      </c>
      <c r="L362" s="3">
        <v>14.4</v>
      </c>
      <c r="M362" s="3">
        <v>15.12</v>
      </c>
      <c r="N362" s="3">
        <v>31.99</v>
      </c>
      <c r="O362" s="2" t="s">
        <v>485</v>
      </c>
      <c r="P362" s="2" t="s">
        <v>408</v>
      </c>
      <c r="Q362" s="2" t="s">
        <v>234</v>
      </c>
      <c r="R362" s="2" t="s">
        <v>235</v>
      </c>
      <c r="S362" s="2" t="s">
        <v>235</v>
      </c>
      <c r="T362" s="2" t="s">
        <v>263</v>
      </c>
      <c r="U362" s="2" t="s">
        <v>807</v>
      </c>
      <c r="V362" s="2" t="s">
        <v>863</v>
      </c>
      <c r="W362" s="2" t="s">
        <v>1681</v>
      </c>
      <c r="X362" s="2" t="s">
        <v>1682</v>
      </c>
      <c r="Y362" s="2" t="s">
        <v>1683</v>
      </c>
      <c r="Z362" s="4">
        <v>857</v>
      </c>
      <c r="AA362" s="4">
        <f>=ROUNDDOWN(131.846153846154,0)</f>
      </c>
      <c r="AB362" s="5">
        <v>6.5</v>
      </c>
      <c r="AC362" s="2" t="s">
        <v>235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235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>
        <v>15</v>
      </c>
      <c r="BK362" s="8">
        <v>167.85</v>
      </c>
      <c r="BL362" s="2" t="s">
        <v>1684</v>
      </c>
      <c r="BM362" s="7"/>
      <c r="BN362" s="7"/>
      <c r="BO362" s="4"/>
      <c r="BP362" s="8"/>
      <c r="BQ362" s="4"/>
      <c r="BR362" s="8"/>
      <c r="BS362" s="7"/>
      <c r="BT362" s="7"/>
      <c r="BU362" s="2" t="s">
        <v>1685</v>
      </c>
      <c r="BV362" s="2" t="s">
        <v>243</v>
      </c>
      <c r="BW362" s="2" t="s">
        <v>235</v>
      </c>
      <c r="BX362" s="2" t="s">
        <v>414</v>
      </c>
      <c r="BY362" s="2" t="s">
        <v>245</v>
      </c>
      <c r="BZ362" s="2" t="s">
        <v>232</v>
      </c>
      <c r="CA362" s="2" t="s">
        <v>1686</v>
      </c>
      <c r="CB362" s="2" t="s">
        <v>1687</v>
      </c>
      <c r="CC362" s="2" t="s">
        <v>248</v>
      </c>
      <c r="CD362" s="2" t="s">
        <v>248</v>
      </c>
      <c r="CE362" s="2" t="s">
        <v>235</v>
      </c>
      <c r="CF362" s="4">
        <v>857</v>
      </c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>
        <v>863</v>
      </c>
      <c r="GE362" s="4">
        <v>854</v>
      </c>
      <c r="GF362" s="4">
        <v>850</v>
      </c>
      <c r="GG362" s="4">
        <v>846</v>
      </c>
      <c r="GH362" s="4">
        <v>842</v>
      </c>
      <c r="GI362" s="4">
        <v>838</v>
      </c>
      <c r="GJ362" s="4">
        <v>833</v>
      </c>
      <c r="GK362" s="4">
        <v>827</v>
      </c>
      <c r="GL362" s="4">
        <v>821</v>
      </c>
      <c r="GM362" s="4">
        <v>815</v>
      </c>
      <c r="GN362" s="4">
        <v>809</v>
      </c>
      <c r="GO362" s="4">
        <v>803</v>
      </c>
      <c r="GP362" s="4">
        <v>797</v>
      </c>
      <c r="GQ362" s="4">
        <v>790</v>
      </c>
      <c r="GR362" s="4">
        <v>784</v>
      </c>
      <c r="GS362" s="4">
        <v>777</v>
      </c>
      <c r="GT362" s="4">
        <v>771</v>
      </c>
      <c r="GU362" s="4">
        <v>765</v>
      </c>
      <c r="GV362" s="4">
        <v>759</v>
      </c>
      <c r="GW362" s="4">
        <v>753</v>
      </c>
      <c r="GX362" s="4">
        <v>747</v>
      </c>
      <c r="GY362" s="4">
        <v>741</v>
      </c>
      <c r="GZ362" s="4">
        <v>735</v>
      </c>
      <c r="HA362" s="4">
        <v>729</v>
      </c>
      <c r="HB362" s="4">
        <v>723</v>
      </c>
      <c r="HC362" s="4">
        <v>716</v>
      </c>
      <c r="HD362" s="19">
        <v>172.6</v>
      </c>
      <c r="HE362" s="19">
        <v>213.5</v>
      </c>
      <c r="HF362" s="19">
        <v>212.5</v>
      </c>
      <c r="HG362" s="19">
        <v>169.2</v>
      </c>
      <c r="HH362" s="19">
        <v>168.4</v>
      </c>
      <c r="HI362" s="19">
        <v>139.7</v>
      </c>
      <c r="HJ362" s="19">
        <v>138.8</v>
      </c>
      <c r="HK362" s="19">
        <v>137.8</v>
      </c>
      <c r="HL362" s="19">
        <v>136.8</v>
      </c>
      <c r="HM362" s="19">
        <v>135.8</v>
      </c>
      <c r="HN362" s="19">
        <v>134.8</v>
      </c>
      <c r="HO362" s="19">
        <v>133.8</v>
      </c>
      <c r="HP362" s="19">
        <v>132.8</v>
      </c>
      <c r="HQ362" s="19">
        <v>131.7</v>
      </c>
      <c r="HR362" s="19">
        <v>130.7</v>
      </c>
      <c r="HS362" s="19">
        <v>129.5</v>
      </c>
      <c r="HT362" s="19">
        <v>128.5</v>
      </c>
      <c r="HU362" s="19">
        <v>127.5</v>
      </c>
      <c r="HV362" s="19">
        <v>126.5</v>
      </c>
      <c r="HW362" s="19">
        <v>125.5</v>
      </c>
      <c r="HX362" s="19">
        <v>124.5</v>
      </c>
      <c r="HY362" s="19">
        <v>123.5</v>
      </c>
      <c r="HZ362" s="19">
        <v>122.5</v>
      </c>
      <c r="IA362" s="19">
        <v>121.5</v>
      </c>
      <c r="IB362" s="19">
        <v>120.5</v>
      </c>
      <c r="IC362" s="19">
        <v>119.3</v>
      </c>
    </row>
    <row r="363">
      <c r="A363" s="2" t="s">
        <v>1688</v>
      </c>
      <c r="B363" s="2" t="s">
        <v>817</v>
      </c>
      <c r="C363" s="2" t="s">
        <v>324</v>
      </c>
      <c r="D363" s="2" t="s">
        <v>818</v>
      </c>
      <c r="E363" s="2" t="s">
        <v>1689</v>
      </c>
      <c r="F363" s="2" t="s">
        <v>1690</v>
      </c>
      <c r="G363" s="2" t="s">
        <v>1690</v>
      </c>
      <c r="H363" s="2" t="s">
        <v>1690</v>
      </c>
      <c r="I363" s="2" t="s">
        <v>1691</v>
      </c>
      <c r="J363" s="2" t="s">
        <v>806</v>
      </c>
      <c r="K363" s="2" t="s">
        <v>1692</v>
      </c>
      <c r="L363" s="3">
        <v>6.66</v>
      </c>
      <c r="M363" s="3">
        <v>6.99</v>
      </c>
      <c r="N363" s="3">
        <v>19.99</v>
      </c>
      <c r="O363" s="2" t="s">
        <v>485</v>
      </c>
      <c r="P363" s="2" t="s">
        <v>408</v>
      </c>
      <c r="Q363" s="2" t="s">
        <v>234</v>
      </c>
      <c r="R363" s="2" t="s">
        <v>235</v>
      </c>
      <c r="S363" s="2" t="s">
        <v>235</v>
      </c>
      <c r="T363" s="2" t="s">
        <v>235</v>
      </c>
      <c r="U363" s="2" t="s">
        <v>807</v>
      </c>
      <c r="V363" s="2" t="s">
        <v>1693</v>
      </c>
      <c r="W363" s="2" t="s">
        <v>239</v>
      </c>
      <c r="X363" s="2" t="s">
        <v>1596</v>
      </c>
      <c r="Y363" s="2" t="s">
        <v>1694</v>
      </c>
      <c r="Z363" s="4">
        <v>83</v>
      </c>
      <c r="AA363" s="4">
        <f>=ROUNDDOWN(36.0869565217391,0)</f>
      </c>
      <c r="AB363" s="5">
        <v>2.3</v>
      </c>
      <c r="AC363" s="2" t="s">
        <v>235</v>
      </c>
      <c r="AD363" s="4"/>
      <c r="AE363" s="4"/>
      <c r="AF363" s="6">
        <v>63</v>
      </c>
      <c r="AG363" s="6"/>
      <c r="AH363" s="7">
        <v>1</v>
      </c>
      <c r="AI363" s="4"/>
      <c r="AJ363" s="4">
        <f>=ROUNDDOWN({0},0)</f>
      </c>
      <c r="AK363" s="5"/>
      <c r="AL363" s="2" t="s">
        <v>235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235</v>
      </c>
      <c r="BD363" s="8" t="s">
        <v>235</v>
      </c>
      <c r="BE363" s="4" t="s">
        <v>235</v>
      </c>
      <c r="BF363" s="8" t="s">
        <v>235</v>
      </c>
      <c r="BG363" s="7" t="s">
        <v>235</v>
      </c>
      <c r="BH363" s="7" t="s">
        <v>235</v>
      </c>
      <c r="BI363" s="7"/>
      <c r="BJ363" s="4">
        <v>5</v>
      </c>
      <c r="BK363" s="8">
        <v>38.66</v>
      </c>
      <c r="BL363" s="2" t="s">
        <v>1695</v>
      </c>
      <c r="BM363" s="7"/>
      <c r="BN363" s="7"/>
      <c r="BO363" s="4"/>
      <c r="BP363" s="8"/>
      <c r="BQ363" s="4"/>
      <c r="BR363" s="8"/>
      <c r="BS363" s="7"/>
      <c r="BT363" s="7"/>
      <c r="BU363" s="2" t="s">
        <v>1696</v>
      </c>
      <c r="BV363" s="2" t="s">
        <v>828</v>
      </c>
      <c r="BW363" s="2" t="s">
        <v>235</v>
      </c>
      <c r="BX363" s="2" t="s">
        <v>414</v>
      </c>
      <c r="BY363" s="2" t="s">
        <v>245</v>
      </c>
      <c r="BZ363" s="2" t="s">
        <v>232</v>
      </c>
      <c r="CA363" s="2" t="s">
        <v>1697</v>
      </c>
      <c r="CB363" s="2" t="s">
        <v>934</v>
      </c>
      <c r="CC363" s="2" t="s">
        <v>248</v>
      </c>
      <c r="CD363" s="2" t="s">
        <v>248</v>
      </c>
      <c r="CE363" s="2" t="s">
        <v>235</v>
      </c>
      <c r="CF363" s="4"/>
      <c r="CG363" s="4">
        <v>83</v>
      </c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>
        <v>83</v>
      </c>
      <c r="GE363" s="4">
        <v>81</v>
      </c>
      <c r="GF363" s="4">
        <v>79</v>
      </c>
      <c r="GG363" s="4">
        <v>77</v>
      </c>
      <c r="GH363" s="4">
        <v>75</v>
      </c>
      <c r="GI363" s="4">
        <v>73</v>
      </c>
      <c r="GJ363" s="4">
        <v>71</v>
      </c>
      <c r="GK363" s="4">
        <v>69</v>
      </c>
      <c r="GL363" s="4">
        <v>67</v>
      </c>
      <c r="GM363" s="4">
        <v>65</v>
      </c>
      <c r="GN363" s="4">
        <v>63</v>
      </c>
      <c r="GO363" s="4">
        <v>61</v>
      </c>
      <c r="GP363" s="4">
        <v>59</v>
      </c>
      <c r="GQ363" s="4">
        <v>57</v>
      </c>
      <c r="GR363" s="4">
        <v>55</v>
      </c>
      <c r="GS363" s="4">
        <v>53</v>
      </c>
      <c r="GT363" s="4">
        <v>51</v>
      </c>
      <c r="GU363" s="4">
        <v>49</v>
      </c>
      <c r="GV363" s="4">
        <v>48</v>
      </c>
      <c r="GW363" s="4">
        <v>47</v>
      </c>
      <c r="GX363" s="4">
        <v>46</v>
      </c>
      <c r="GY363" s="4">
        <v>45</v>
      </c>
      <c r="GZ363" s="4">
        <v>43</v>
      </c>
      <c r="HA363" s="4">
        <v>41</v>
      </c>
      <c r="HB363" s="4">
        <v>39</v>
      </c>
      <c r="HC363" s="4">
        <v>37</v>
      </c>
      <c r="HD363" s="19">
        <v>41.5</v>
      </c>
      <c r="HE363" s="19">
        <v>40.5</v>
      </c>
      <c r="HF363" s="19">
        <v>39.5</v>
      </c>
      <c r="HG363" s="19">
        <v>38.5</v>
      </c>
      <c r="HH363" s="19">
        <v>37.5</v>
      </c>
      <c r="HI363" s="19">
        <v>36.5</v>
      </c>
      <c r="HJ363" s="19">
        <v>35.5</v>
      </c>
      <c r="HK363" s="19">
        <v>34.5</v>
      </c>
      <c r="HL363" s="19">
        <v>33.5</v>
      </c>
      <c r="HM363" s="19">
        <v>32.5</v>
      </c>
      <c r="HN363" s="19">
        <v>31.5</v>
      </c>
      <c r="HO363" s="19">
        <v>30.5</v>
      </c>
      <c r="HP363" s="19">
        <v>29.5</v>
      </c>
      <c r="HQ363" s="19">
        <v>28.5</v>
      </c>
      <c r="HR363" s="19">
        <v>27.5</v>
      </c>
      <c r="HS363" s="19">
        <v>26.5</v>
      </c>
      <c r="HT363" s="19">
        <v>51</v>
      </c>
      <c r="HU363" s="19">
        <v>49</v>
      </c>
      <c r="HV363" s="19">
        <v>48</v>
      </c>
      <c r="HW363" s="19">
        <v>23.5</v>
      </c>
      <c r="HX363" s="19">
        <v>23</v>
      </c>
      <c r="HY363" s="19">
        <v>22.5</v>
      </c>
      <c r="HZ363" s="19">
        <v>21.5</v>
      </c>
      <c r="IA363" s="19">
        <v>20.5</v>
      </c>
      <c r="IB363" s="19">
        <v>19.5</v>
      </c>
      <c r="IC363" s="19">
        <v>18.5</v>
      </c>
    </row>
    <row r="364">
      <c r="A364" s="2" t="s">
        <v>1698</v>
      </c>
      <c r="B364" s="2" t="s">
        <v>817</v>
      </c>
      <c r="C364" s="2" t="s">
        <v>324</v>
      </c>
      <c r="D364" s="2" t="s">
        <v>818</v>
      </c>
      <c r="E364" s="2" t="s">
        <v>1689</v>
      </c>
      <c r="F364" s="2" t="s">
        <v>1690</v>
      </c>
      <c r="G364" s="2" t="s">
        <v>1690</v>
      </c>
      <c r="H364" s="2" t="s">
        <v>1690</v>
      </c>
      <c r="I364" s="2" t="s">
        <v>1699</v>
      </c>
      <c r="J364" s="2" t="s">
        <v>806</v>
      </c>
      <c r="K364" s="2" t="s">
        <v>1700</v>
      </c>
      <c r="L364" s="3">
        <v>6.66</v>
      </c>
      <c r="M364" s="3">
        <v>6.99</v>
      </c>
      <c r="N364" s="3">
        <v>19.99</v>
      </c>
      <c r="O364" s="2" t="s">
        <v>407</v>
      </c>
      <c r="P364" s="2" t="s">
        <v>408</v>
      </c>
      <c r="Q364" s="2" t="s">
        <v>234</v>
      </c>
      <c r="R364" s="2" t="s">
        <v>235</v>
      </c>
      <c r="S364" s="2" t="s">
        <v>235</v>
      </c>
      <c r="T364" s="2" t="s">
        <v>235</v>
      </c>
      <c r="U364" s="2" t="s">
        <v>807</v>
      </c>
      <c r="V364" s="2" t="s">
        <v>1693</v>
      </c>
      <c r="W364" s="2" t="s">
        <v>239</v>
      </c>
      <c r="X364" s="2" t="s">
        <v>1596</v>
      </c>
      <c r="Y364" s="2" t="s">
        <v>1701</v>
      </c>
      <c r="Z364" s="4">
        <v>58</v>
      </c>
      <c r="AA364" s="4">
        <f>=ROUNDDOWN(7.43589743589744,0)</f>
      </c>
      <c r="AB364" s="5">
        <v>7.8</v>
      </c>
      <c r="AC364" s="2" t="s">
        <v>235</v>
      </c>
      <c r="AD364" s="4"/>
      <c r="AE364" s="4"/>
      <c r="AF364" s="6">
        <v>61</v>
      </c>
      <c r="AG364" s="6">
        <v>44</v>
      </c>
      <c r="AH364" s="7">
        <v>1</v>
      </c>
      <c r="AI364" s="4"/>
      <c r="AJ364" s="4">
        <f>=ROUNDDOWN({0},0)</f>
      </c>
      <c r="AK364" s="5"/>
      <c r="AL364" s="2" t="s">
        <v>235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235</v>
      </c>
      <c r="BD364" s="8" t="s">
        <v>235</v>
      </c>
      <c r="BE364" s="4" t="s">
        <v>235</v>
      </c>
      <c r="BF364" s="8" t="s">
        <v>235</v>
      </c>
      <c r="BG364" s="7" t="s">
        <v>235</v>
      </c>
      <c r="BH364" s="7" t="s">
        <v>235</v>
      </c>
      <c r="BI364" s="7"/>
      <c r="BJ364" s="4">
        <v>19</v>
      </c>
      <c r="BK364" s="8">
        <v>145.34</v>
      </c>
      <c r="BL364" s="2" t="s">
        <v>1702</v>
      </c>
      <c r="BM364" s="7"/>
      <c r="BN364" s="7"/>
      <c r="BO364" s="4"/>
      <c r="BP364" s="8"/>
      <c r="BQ364" s="4"/>
      <c r="BR364" s="8"/>
      <c r="BS364" s="7"/>
      <c r="BT364" s="7"/>
      <c r="BU364" s="2" t="s">
        <v>1703</v>
      </c>
      <c r="BV364" s="2" t="s">
        <v>828</v>
      </c>
      <c r="BW364" s="2" t="s">
        <v>235</v>
      </c>
      <c r="BX364" s="2" t="s">
        <v>414</v>
      </c>
      <c r="BY364" s="2" t="s">
        <v>245</v>
      </c>
      <c r="BZ364" s="2" t="s">
        <v>232</v>
      </c>
      <c r="CA364" s="2" t="s">
        <v>1697</v>
      </c>
      <c r="CB364" s="2" t="s">
        <v>1704</v>
      </c>
      <c r="CC364" s="2" t="s">
        <v>248</v>
      </c>
      <c r="CD364" s="2" t="s">
        <v>248</v>
      </c>
      <c r="CE364" s="2" t="s">
        <v>235</v>
      </c>
      <c r="CF364" s="4"/>
      <c r="CG364" s="4">
        <v>58</v>
      </c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>
        <v>58</v>
      </c>
      <c r="GE364" s="4">
        <v>36</v>
      </c>
      <c r="GF364" s="4">
        <v>28</v>
      </c>
      <c r="GG364" s="4">
        <v>20</v>
      </c>
      <c r="GH364" s="4">
        <v>12</v>
      </c>
      <c r="GI364" s="4">
        <v>4</v>
      </c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19">
        <v>2.4</v>
      </c>
      <c r="HE364" s="19">
        <v>2.3</v>
      </c>
      <c r="HF364" s="19">
        <v>1.8</v>
      </c>
      <c r="HG364" s="19">
        <v>1.5</v>
      </c>
      <c r="HH364" s="19">
        <v>1</v>
      </c>
      <c r="HI364" s="19">
        <v>0.4</v>
      </c>
      <c r="HJ364" s="20">
        <v>0</v>
      </c>
      <c r="HK364" s="20">
        <v>0</v>
      </c>
      <c r="HL364" s="20">
        <v>0</v>
      </c>
      <c r="HM364" s="20">
        <v>0</v>
      </c>
      <c r="HN364" s="20">
        <v>0</v>
      </c>
      <c r="HO364" s="20">
        <v>0</v>
      </c>
      <c r="HP364" s="20">
        <v>0</v>
      </c>
      <c r="HQ364" s="20">
        <v>0</v>
      </c>
      <c r="HR364" s="20">
        <v>0</v>
      </c>
      <c r="HS364" s="20">
        <v>0</v>
      </c>
      <c r="HT364" s="20">
        <v>0</v>
      </c>
      <c r="HU364" s="20">
        <v>0</v>
      </c>
      <c r="HV364" s="20">
        <v>0</v>
      </c>
      <c r="HW364" s="20">
        <v>0</v>
      </c>
      <c r="HX364" s="20">
        <v>0</v>
      </c>
      <c r="HY364" s="20">
        <v>0</v>
      </c>
      <c r="HZ364" s="20">
        <v>0</v>
      </c>
      <c r="IA364" s="20">
        <v>0</v>
      </c>
      <c r="IB364" s="20">
        <v>0</v>
      </c>
      <c r="IC364" s="20">
        <v>0</v>
      </c>
    </row>
    <row r="365">
      <c r="A365" s="2" t="s">
        <v>1705</v>
      </c>
      <c r="B365" s="2" t="s">
        <v>817</v>
      </c>
      <c r="C365" s="2" t="s">
        <v>324</v>
      </c>
      <c r="D365" s="2" t="s">
        <v>818</v>
      </c>
      <c r="E365" s="2" t="s">
        <v>1689</v>
      </c>
      <c r="F365" s="2" t="s">
        <v>1690</v>
      </c>
      <c r="G365" s="2" t="s">
        <v>1690</v>
      </c>
      <c r="H365" s="2" t="s">
        <v>1690</v>
      </c>
      <c r="I365" s="2" t="s">
        <v>1706</v>
      </c>
      <c r="J365" s="2" t="s">
        <v>806</v>
      </c>
      <c r="K365" s="2" t="s">
        <v>1707</v>
      </c>
      <c r="L365" s="3">
        <v>6.66</v>
      </c>
      <c r="M365" s="3">
        <v>6.99</v>
      </c>
      <c r="N365" s="3">
        <v>19.99</v>
      </c>
      <c r="O365" s="2" t="s">
        <v>407</v>
      </c>
      <c r="P365" s="2" t="s">
        <v>408</v>
      </c>
      <c r="Q365" s="2" t="s">
        <v>234</v>
      </c>
      <c r="R365" s="2" t="s">
        <v>235</v>
      </c>
      <c r="S365" s="2" t="s">
        <v>235</v>
      </c>
      <c r="T365" s="2" t="s">
        <v>235</v>
      </c>
      <c r="U365" s="2" t="s">
        <v>807</v>
      </c>
      <c r="V365" s="2" t="s">
        <v>1693</v>
      </c>
      <c r="W365" s="2" t="s">
        <v>239</v>
      </c>
      <c r="X365" s="2" t="s">
        <v>1596</v>
      </c>
      <c r="Y365" s="2" t="s">
        <v>1694</v>
      </c>
      <c r="Z365" s="4">
        <v>107</v>
      </c>
      <c r="AA365" s="4">
        <f>=ROUNDDOWN(19.4545454545455,0)</f>
      </c>
      <c r="AB365" s="5">
        <v>5.5</v>
      </c>
      <c r="AC365" s="2" t="s">
        <v>235</v>
      </c>
      <c r="AD365" s="4"/>
      <c r="AE365" s="4"/>
      <c r="AF365" s="6">
        <v>61</v>
      </c>
      <c r="AG365" s="6"/>
      <c r="AH365" s="7">
        <v>1</v>
      </c>
      <c r="AI365" s="4"/>
      <c r="AJ365" s="4">
        <f>=ROUNDDOWN({0},0)</f>
      </c>
      <c r="AK365" s="5"/>
      <c r="AL365" s="2" t="s">
        <v>235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235</v>
      </c>
      <c r="BD365" s="8" t="s">
        <v>235</v>
      </c>
      <c r="BE365" s="4" t="s">
        <v>235</v>
      </c>
      <c r="BF365" s="8" t="s">
        <v>235</v>
      </c>
      <c r="BG365" s="7" t="s">
        <v>235</v>
      </c>
      <c r="BH365" s="7" t="s">
        <v>235</v>
      </c>
      <c r="BI365" s="7"/>
      <c r="BJ365" s="4">
        <v>14</v>
      </c>
      <c r="BK365" s="8">
        <v>106.68</v>
      </c>
      <c r="BL365" s="2" t="s">
        <v>1346</v>
      </c>
      <c r="BM365" s="7"/>
      <c r="BN365" s="7"/>
      <c r="BO365" s="4"/>
      <c r="BP365" s="8"/>
      <c r="BQ365" s="4"/>
      <c r="BR365" s="8"/>
      <c r="BS365" s="7"/>
      <c r="BT365" s="7"/>
      <c r="BU365" s="2" t="s">
        <v>1708</v>
      </c>
      <c r="BV365" s="2" t="s">
        <v>828</v>
      </c>
      <c r="BW365" s="2" t="s">
        <v>235</v>
      </c>
      <c r="BX365" s="2" t="s">
        <v>414</v>
      </c>
      <c r="BY365" s="2" t="s">
        <v>245</v>
      </c>
      <c r="BZ365" s="2" t="s">
        <v>232</v>
      </c>
      <c r="CA365" s="2" t="s">
        <v>1697</v>
      </c>
      <c r="CB365" s="2" t="s">
        <v>1709</v>
      </c>
      <c r="CC365" s="2" t="s">
        <v>248</v>
      </c>
      <c r="CD365" s="2" t="s">
        <v>248</v>
      </c>
      <c r="CE365" s="2" t="s">
        <v>235</v>
      </c>
      <c r="CF365" s="4"/>
      <c r="CG365" s="4">
        <v>107</v>
      </c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>
        <v>109</v>
      </c>
      <c r="GE365" s="4">
        <v>102</v>
      </c>
      <c r="GF365" s="4">
        <v>97</v>
      </c>
      <c r="GG365" s="4">
        <v>92</v>
      </c>
      <c r="GH365" s="4">
        <v>87</v>
      </c>
      <c r="GI365" s="4">
        <v>82</v>
      </c>
      <c r="GJ365" s="4">
        <v>77</v>
      </c>
      <c r="GK365" s="4">
        <v>72</v>
      </c>
      <c r="GL365" s="4">
        <v>67</v>
      </c>
      <c r="GM365" s="4">
        <v>62</v>
      </c>
      <c r="GN365" s="4">
        <v>57</v>
      </c>
      <c r="GO365" s="4">
        <v>52</v>
      </c>
      <c r="GP365" s="4">
        <v>47</v>
      </c>
      <c r="GQ365" s="4">
        <v>42</v>
      </c>
      <c r="GR365" s="4">
        <v>36</v>
      </c>
      <c r="GS365" s="4">
        <v>30</v>
      </c>
      <c r="GT365" s="4">
        <v>24</v>
      </c>
      <c r="GU365" s="4">
        <v>18</v>
      </c>
      <c r="GV365" s="4">
        <v>13</v>
      </c>
      <c r="GW365" s="4">
        <v>8</v>
      </c>
      <c r="GX365" s="4">
        <v>3</v>
      </c>
      <c r="GY365" s="4"/>
      <c r="GZ365" s="4"/>
      <c r="HA365" s="4"/>
      <c r="HB365" s="4"/>
      <c r="HC365" s="4"/>
      <c r="HD365" s="19">
        <v>18.2</v>
      </c>
      <c r="HE365" s="19">
        <v>20.4</v>
      </c>
      <c r="HF365" s="19">
        <v>19.4</v>
      </c>
      <c r="HG365" s="19">
        <v>18.4</v>
      </c>
      <c r="HH365" s="19">
        <v>17.4</v>
      </c>
      <c r="HI365" s="19">
        <v>16.4</v>
      </c>
      <c r="HJ365" s="19">
        <v>15.4</v>
      </c>
      <c r="HK365" s="19">
        <v>14.4</v>
      </c>
      <c r="HL365" s="19">
        <v>13.4</v>
      </c>
      <c r="HM365" s="19">
        <v>12.4</v>
      </c>
      <c r="HN365" s="19">
        <v>11.4</v>
      </c>
      <c r="HO365" s="19">
        <v>8.7</v>
      </c>
      <c r="HP365" s="19">
        <v>7.8</v>
      </c>
      <c r="HQ365" s="19">
        <v>7</v>
      </c>
      <c r="HR365" s="19">
        <v>6</v>
      </c>
      <c r="HS365" s="19">
        <v>5</v>
      </c>
      <c r="HT365" s="19">
        <v>4.8</v>
      </c>
      <c r="HU365" s="19">
        <v>3.6</v>
      </c>
      <c r="HV365" s="19">
        <v>2.6</v>
      </c>
      <c r="HW365" s="19">
        <v>1.3</v>
      </c>
      <c r="HX365" s="19">
        <v>0.5</v>
      </c>
      <c r="HY365" s="20">
        <v>0</v>
      </c>
      <c r="HZ365" s="20">
        <v>0</v>
      </c>
      <c r="IA365" s="20">
        <v>0</v>
      </c>
      <c r="IB365" s="20">
        <v>0</v>
      </c>
      <c r="IC365" s="20">
        <v>0</v>
      </c>
    </row>
    <row r="366">
      <c r="A366" s="2" t="s">
        <v>1710</v>
      </c>
      <c r="B366" s="2" t="s">
        <v>817</v>
      </c>
      <c r="C366" s="2" t="s">
        <v>324</v>
      </c>
      <c r="D366" s="2" t="s">
        <v>818</v>
      </c>
      <c r="E366" s="2" t="s">
        <v>1689</v>
      </c>
      <c r="F366" s="2" t="s">
        <v>1690</v>
      </c>
      <c r="G366" s="2" t="s">
        <v>1690</v>
      </c>
      <c r="H366" s="2" t="s">
        <v>1690</v>
      </c>
      <c r="I366" s="2" t="s">
        <v>1711</v>
      </c>
      <c r="J366" s="2" t="s">
        <v>806</v>
      </c>
      <c r="K366" s="2" t="s">
        <v>1712</v>
      </c>
      <c r="L366" s="3">
        <v>6.66</v>
      </c>
      <c r="M366" s="3">
        <v>6.99</v>
      </c>
      <c r="N366" s="3">
        <v>19.99</v>
      </c>
      <c r="O366" s="2" t="s">
        <v>407</v>
      </c>
      <c r="P366" s="2" t="s">
        <v>408</v>
      </c>
      <c r="Q366" s="2" t="s">
        <v>234</v>
      </c>
      <c r="R366" s="2" t="s">
        <v>235</v>
      </c>
      <c r="S366" s="2" t="s">
        <v>235</v>
      </c>
      <c r="T366" s="2" t="s">
        <v>235</v>
      </c>
      <c r="U366" s="2" t="s">
        <v>807</v>
      </c>
      <c r="V366" s="2" t="s">
        <v>1693</v>
      </c>
      <c r="W366" s="2" t="s">
        <v>239</v>
      </c>
      <c r="X366" s="2" t="s">
        <v>1596</v>
      </c>
      <c r="Y366" s="2" t="s">
        <v>1694</v>
      </c>
      <c r="Z366" s="4">
        <v>2</v>
      </c>
      <c r="AA366" s="4">
        <f>=ROUNDDOWN(0.571428571428572,0)</f>
      </c>
      <c r="AB366" s="5">
        <v>3.5</v>
      </c>
      <c r="AC366" s="2" t="s">
        <v>235</v>
      </c>
      <c r="AD366" s="4"/>
      <c r="AE366" s="4"/>
      <c r="AF366" s="6">
        <v>63</v>
      </c>
      <c r="AG366" s="6"/>
      <c r="AH366" s="7">
        <v>1</v>
      </c>
      <c r="AI366" s="4"/>
      <c r="AJ366" s="4">
        <f>=ROUNDDOWN({0},0)</f>
      </c>
      <c r="AK366" s="5"/>
      <c r="AL366" s="2" t="s">
        <v>235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235</v>
      </c>
      <c r="BD366" s="8" t="s">
        <v>235</v>
      </c>
      <c r="BE366" s="4" t="s">
        <v>235</v>
      </c>
      <c r="BF366" s="8" t="s">
        <v>235</v>
      </c>
      <c r="BG366" s="7" t="s">
        <v>235</v>
      </c>
      <c r="BH366" s="7" t="s">
        <v>235</v>
      </c>
      <c r="BI366" s="7"/>
      <c r="BJ366" s="4">
        <v>20</v>
      </c>
      <c r="BK366" s="8">
        <v>140.55</v>
      </c>
      <c r="BL366" s="2" t="s">
        <v>1069</v>
      </c>
      <c r="BM366" s="7"/>
      <c r="BN366" s="7"/>
      <c r="BO366" s="4"/>
      <c r="BP366" s="8"/>
      <c r="BQ366" s="4"/>
      <c r="BR366" s="8"/>
      <c r="BS366" s="7"/>
      <c r="BT366" s="7"/>
      <c r="BU366" s="2" t="s">
        <v>1713</v>
      </c>
      <c r="BV366" s="2" t="s">
        <v>828</v>
      </c>
      <c r="BW366" s="2" t="s">
        <v>235</v>
      </c>
      <c r="BX366" s="2" t="s">
        <v>414</v>
      </c>
      <c r="BY366" s="2" t="s">
        <v>245</v>
      </c>
      <c r="BZ366" s="2" t="s">
        <v>232</v>
      </c>
      <c r="CA366" s="2" t="s">
        <v>1697</v>
      </c>
      <c r="CB366" s="2" t="s">
        <v>1714</v>
      </c>
      <c r="CC366" s="2" t="s">
        <v>248</v>
      </c>
      <c r="CD366" s="2" t="s">
        <v>248</v>
      </c>
      <c r="CE366" s="2" t="s">
        <v>235</v>
      </c>
      <c r="CF366" s="4"/>
      <c r="CG366" s="4">
        <v>2</v>
      </c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>
        <v>6</v>
      </c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19">
        <v>1.5</v>
      </c>
      <c r="HE366" s="20">
        <v>0</v>
      </c>
      <c r="HF366" s="20">
        <v>0</v>
      </c>
      <c r="HG366" s="20">
        <v>0</v>
      </c>
      <c r="HH366" s="20">
        <v>0</v>
      </c>
      <c r="HI366" s="20">
        <v>0</v>
      </c>
      <c r="HJ366" s="20">
        <v>0</v>
      </c>
      <c r="HK366" s="20">
        <v>0</v>
      </c>
      <c r="HL366" s="20">
        <v>0</v>
      </c>
      <c r="HM366" s="20">
        <v>0</v>
      </c>
      <c r="HN366" s="20">
        <v>0</v>
      </c>
      <c r="HO366" s="20">
        <v>0</v>
      </c>
      <c r="HP366" s="20">
        <v>0</v>
      </c>
      <c r="HQ366" s="20">
        <v>0</v>
      </c>
      <c r="HR366" s="20">
        <v>0</v>
      </c>
      <c r="HS366" s="20">
        <v>0</v>
      </c>
      <c r="HT366" s="20">
        <v>0</v>
      </c>
      <c r="HU366" s="20">
        <v>0</v>
      </c>
      <c r="HV366" s="20">
        <v>0</v>
      </c>
      <c r="HW366" s="20">
        <v>0</v>
      </c>
      <c r="HX366" s="20">
        <v>0</v>
      </c>
      <c r="HY366" s="20">
        <v>0</v>
      </c>
      <c r="HZ366" s="20">
        <v>0</v>
      </c>
      <c r="IA366" s="20">
        <v>0</v>
      </c>
      <c r="IB366" s="20">
        <v>0</v>
      </c>
      <c r="IC366" s="20">
        <v>0</v>
      </c>
    </row>
    <row r="367">
      <c r="A367" s="2" t="s">
        <v>1715</v>
      </c>
      <c r="B367" s="2" t="s">
        <v>852</v>
      </c>
      <c r="C367" s="2" t="s">
        <v>324</v>
      </c>
      <c r="D367" s="2" t="s">
        <v>854</v>
      </c>
      <c r="E367" s="2" t="s">
        <v>855</v>
      </c>
      <c r="F367" s="2" t="s">
        <v>1716</v>
      </c>
      <c r="G367" s="2" t="s">
        <v>1717</v>
      </c>
      <c r="H367" s="2" t="s">
        <v>1718</v>
      </c>
      <c r="I367" s="2" t="s">
        <v>1719</v>
      </c>
      <c r="J367" s="2" t="s">
        <v>860</v>
      </c>
      <c r="K367" s="2" t="s">
        <v>1169</v>
      </c>
      <c r="L367" s="3">
        <v>17.29</v>
      </c>
      <c r="M367" s="3">
        <v>18.15</v>
      </c>
      <c r="N367" s="3">
        <v>39.99</v>
      </c>
      <c r="O367" s="2" t="s">
        <v>232</v>
      </c>
      <c r="P367" s="2" t="s">
        <v>233</v>
      </c>
      <c r="Q367" s="2" t="s">
        <v>234</v>
      </c>
      <c r="R367" s="2" t="s">
        <v>235</v>
      </c>
      <c r="S367" s="2" t="s">
        <v>1720</v>
      </c>
      <c r="T367" s="2" t="s">
        <v>235</v>
      </c>
      <c r="U367" s="2" t="s">
        <v>807</v>
      </c>
      <c r="V367" s="2" t="s">
        <v>238</v>
      </c>
      <c r="W367" s="2" t="s">
        <v>239</v>
      </c>
      <c r="X367" s="2" t="s">
        <v>1242</v>
      </c>
      <c r="Y367" s="2" t="s">
        <v>1721</v>
      </c>
      <c r="Z367" s="4">
        <v>150</v>
      </c>
      <c r="AA367" s="4">
        <f>=ROUNDDOWN(24.5901639344262,0)</f>
      </c>
      <c r="AB367" s="5">
        <v>6.1</v>
      </c>
      <c r="AC367" s="2" t="s">
        <v>235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235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>
        <v>9</v>
      </c>
      <c r="BK367" s="8">
        <v>174.66</v>
      </c>
      <c r="BL367" s="2" t="s">
        <v>1722</v>
      </c>
      <c r="BM367" s="7"/>
      <c r="BN367" s="7"/>
      <c r="BO367" s="4"/>
      <c r="BP367" s="8"/>
      <c r="BQ367" s="4"/>
      <c r="BR367" s="8"/>
      <c r="BS367" s="7"/>
      <c r="BT367" s="7"/>
      <c r="BU367" s="2" t="s">
        <v>1723</v>
      </c>
      <c r="BV367" s="2" t="s">
        <v>867</v>
      </c>
      <c r="BW367" s="2" t="s">
        <v>235</v>
      </c>
      <c r="BX367" s="2" t="s">
        <v>244</v>
      </c>
      <c r="BY367" s="2" t="s">
        <v>245</v>
      </c>
      <c r="BZ367" s="2" t="s">
        <v>232</v>
      </c>
      <c r="CA367" s="2" t="s">
        <v>1724</v>
      </c>
      <c r="CB367" s="2" t="s">
        <v>1725</v>
      </c>
      <c r="CC367" s="2" t="s">
        <v>248</v>
      </c>
      <c r="CD367" s="2" t="s">
        <v>248</v>
      </c>
      <c r="CE367" s="2" t="s">
        <v>235</v>
      </c>
      <c r="CF367" s="4">
        <v>150</v>
      </c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>
        <v>152</v>
      </c>
      <c r="GE367" s="4">
        <v>132</v>
      </c>
      <c r="GF367" s="4">
        <v>126</v>
      </c>
      <c r="GG367" s="4">
        <v>119</v>
      </c>
      <c r="GH367" s="4">
        <v>111</v>
      </c>
      <c r="GI367" s="4">
        <v>104</v>
      </c>
      <c r="GJ367" s="4">
        <v>96</v>
      </c>
      <c r="GK367" s="4">
        <v>89</v>
      </c>
      <c r="GL367" s="4">
        <v>81</v>
      </c>
      <c r="GM367" s="4">
        <v>75</v>
      </c>
      <c r="GN367" s="4">
        <v>67</v>
      </c>
      <c r="GO367" s="4">
        <v>59</v>
      </c>
      <c r="GP367" s="4">
        <v>52</v>
      </c>
      <c r="GQ367" s="4">
        <v>44</v>
      </c>
      <c r="GR367" s="4">
        <v>37</v>
      </c>
      <c r="GS367" s="4">
        <v>29</v>
      </c>
      <c r="GT367" s="4">
        <v>23</v>
      </c>
      <c r="GU367" s="4">
        <v>16</v>
      </c>
      <c r="GV367" s="4">
        <v>9</v>
      </c>
      <c r="GW367" s="4">
        <v>234</v>
      </c>
      <c r="GX367" s="4">
        <v>228</v>
      </c>
      <c r="GY367" s="4">
        <v>222</v>
      </c>
      <c r="GZ367" s="4">
        <v>216</v>
      </c>
      <c r="HA367" s="4">
        <v>210</v>
      </c>
      <c r="HB367" s="4">
        <v>204</v>
      </c>
      <c r="HC367" s="4">
        <v>197</v>
      </c>
      <c r="HD367" s="19">
        <v>15.2</v>
      </c>
      <c r="HE367" s="19">
        <v>18.9</v>
      </c>
      <c r="HF367" s="19">
        <v>15.8</v>
      </c>
      <c r="HG367" s="19">
        <v>14.9</v>
      </c>
      <c r="HH367" s="19">
        <v>13.9</v>
      </c>
      <c r="HI367" s="19">
        <v>14.9</v>
      </c>
      <c r="HJ367" s="19">
        <v>13.7</v>
      </c>
      <c r="HK367" s="19">
        <v>11.1</v>
      </c>
      <c r="HL367" s="19">
        <v>11.6</v>
      </c>
      <c r="HM367" s="19">
        <v>9.4</v>
      </c>
      <c r="HN367" s="19">
        <v>8.4</v>
      </c>
      <c r="HO367" s="19">
        <v>7.4</v>
      </c>
      <c r="HP367" s="19">
        <v>7.4</v>
      </c>
      <c r="HQ367" s="19">
        <v>6.3</v>
      </c>
      <c r="HR367" s="19">
        <v>5.3</v>
      </c>
      <c r="HS367" s="19">
        <v>4.8</v>
      </c>
      <c r="HT367" s="19">
        <v>3.8</v>
      </c>
      <c r="HU367" s="19">
        <v>2.7</v>
      </c>
      <c r="HV367" s="19">
        <v>1.5</v>
      </c>
      <c r="HW367" s="19">
        <v>39</v>
      </c>
      <c r="HX367" s="19">
        <v>38</v>
      </c>
      <c r="HY367" s="19">
        <v>37</v>
      </c>
      <c r="HZ367" s="19">
        <v>36</v>
      </c>
      <c r="IA367" s="19">
        <v>35</v>
      </c>
      <c r="IB367" s="19">
        <v>34</v>
      </c>
      <c r="IC367" s="19">
        <v>32.8</v>
      </c>
    </row>
    <row r="368">
      <c r="A368" s="2" t="s">
        <v>1726</v>
      </c>
      <c r="B368" s="2" t="s">
        <v>1071</v>
      </c>
      <c r="C368" s="2" t="s">
        <v>360</v>
      </c>
      <c r="D368" s="2" t="s">
        <v>1072</v>
      </c>
      <c r="E368" s="2" t="s">
        <v>1727</v>
      </c>
      <c r="F368" s="2" t="s">
        <v>1728</v>
      </c>
      <c r="G368" s="2" t="s">
        <v>1728</v>
      </c>
      <c r="H368" s="2" t="s">
        <v>1728</v>
      </c>
      <c r="I368" s="2" t="s">
        <v>1729</v>
      </c>
      <c r="J368" s="2" t="s">
        <v>250</v>
      </c>
      <c r="K368" s="2" t="s">
        <v>1730</v>
      </c>
      <c r="L368" s="3">
        <v>345</v>
      </c>
      <c r="M368" s="3">
        <v>362.25</v>
      </c>
      <c r="N368" s="3">
        <v>729</v>
      </c>
      <c r="O368" s="2" t="s">
        <v>232</v>
      </c>
      <c r="P368" s="2" t="s">
        <v>878</v>
      </c>
      <c r="Q368" s="2" t="s">
        <v>234</v>
      </c>
      <c r="R368" s="2" t="s">
        <v>235</v>
      </c>
      <c r="S368" s="2" t="s">
        <v>235</v>
      </c>
      <c r="T368" s="2" t="s">
        <v>235</v>
      </c>
      <c r="U368" s="2" t="s">
        <v>807</v>
      </c>
      <c r="V368" s="2" t="s">
        <v>238</v>
      </c>
      <c r="W368" s="2" t="s">
        <v>671</v>
      </c>
      <c r="X368" s="2" t="s">
        <v>1731</v>
      </c>
      <c r="Y368" s="2" t="s">
        <v>235</v>
      </c>
      <c r="Z368" s="4"/>
      <c r="AA368" s="4">
        <f>=ROUNDDOWN({0},0)</f>
      </c>
      <c r="AB368" s="5"/>
      <c r="AC368" s="2" t="s">
        <v>165</v>
      </c>
      <c r="AD368" s="4">
        <v>168</v>
      </c>
      <c r="AE368" s="4">
        <v>168</v>
      </c>
      <c r="AF368" s="6">
        <v>74</v>
      </c>
      <c r="AG368" s="6"/>
      <c r="AH368" s="7"/>
      <c r="AI368" s="4"/>
      <c r="AJ368" s="4">
        <f>=ROUNDDOWN({0},0)</f>
      </c>
      <c r="AK368" s="5"/>
      <c r="AL368" s="2" t="s">
        <v>235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235</v>
      </c>
      <c r="BD368" s="8" t="s">
        <v>235</v>
      </c>
      <c r="BE368" s="4" t="s">
        <v>235</v>
      </c>
      <c r="BF368" s="8" t="s">
        <v>235</v>
      </c>
      <c r="BG368" s="7" t="s">
        <v>235</v>
      </c>
      <c r="BH368" s="7" t="s">
        <v>235</v>
      </c>
      <c r="BI368" s="7"/>
      <c r="BJ368" s="4"/>
      <c r="BK368" s="8"/>
      <c r="BL368" s="2" t="s">
        <v>235</v>
      </c>
      <c r="BM368" s="7"/>
      <c r="BN368" s="7"/>
      <c r="BO368" s="4"/>
      <c r="BP368" s="8"/>
      <c r="BQ368" s="4"/>
      <c r="BR368" s="8"/>
      <c r="BS368" s="7"/>
      <c r="BT368" s="7"/>
      <c r="BU368" s="2" t="s">
        <v>330</v>
      </c>
      <c r="BV368" s="2" t="s">
        <v>235</v>
      </c>
      <c r="BW368" s="2" t="s">
        <v>235</v>
      </c>
      <c r="BX368" s="2" t="s">
        <v>330</v>
      </c>
      <c r="BY368" s="2" t="s">
        <v>331</v>
      </c>
      <c r="BZ368" s="2" t="s">
        <v>232</v>
      </c>
      <c r="CA368" s="2" t="s">
        <v>235</v>
      </c>
      <c r="CB368" s="2" t="s">
        <v>235</v>
      </c>
      <c r="CC368" s="2" t="s">
        <v>248</v>
      </c>
      <c r="CD368" s="2" t="s">
        <v>248</v>
      </c>
      <c r="CE368" s="2" t="s">
        <v>235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>
        <v>168</v>
      </c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>
        <v>168</v>
      </c>
      <c r="GS368" s="4">
        <v>166</v>
      </c>
      <c r="GT368" s="4">
        <v>163</v>
      </c>
      <c r="GU368" s="4">
        <v>158</v>
      </c>
      <c r="GV368" s="4">
        <v>153</v>
      </c>
      <c r="GW368" s="4">
        <v>149</v>
      </c>
      <c r="GX368" s="4">
        <v>144</v>
      </c>
      <c r="GY368" s="4">
        <v>140</v>
      </c>
      <c r="GZ368" s="4">
        <v>136</v>
      </c>
      <c r="HA368" s="4">
        <v>132</v>
      </c>
      <c r="HB368" s="4">
        <v>128</v>
      </c>
      <c r="HC368" s="4">
        <v>123</v>
      </c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19">
        <v>42</v>
      </c>
      <c r="HS368" s="19">
        <v>41.5</v>
      </c>
      <c r="HT368" s="19">
        <v>32.6</v>
      </c>
      <c r="HU368" s="19">
        <v>39.5</v>
      </c>
      <c r="HV368" s="19">
        <v>38.3</v>
      </c>
      <c r="HW368" s="19">
        <v>37.3</v>
      </c>
      <c r="HX368" s="19">
        <v>36</v>
      </c>
      <c r="HY368" s="19">
        <v>35</v>
      </c>
      <c r="HZ368" s="19">
        <v>34</v>
      </c>
      <c r="IA368" s="19">
        <v>33</v>
      </c>
      <c r="IB368" s="19">
        <v>25.6</v>
      </c>
      <c r="IC368" s="19">
        <v>24.6</v>
      </c>
    </row>
    <row r="369">
      <c r="A369" s="2" t="s">
        <v>1732</v>
      </c>
      <c r="B369" s="2" t="s">
        <v>1071</v>
      </c>
      <c r="C369" s="2" t="s">
        <v>360</v>
      </c>
      <c r="D369" s="2" t="s">
        <v>1072</v>
      </c>
      <c r="E369" s="2" t="s">
        <v>1727</v>
      </c>
      <c r="F369" s="2" t="s">
        <v>1728</v>
      </c>
      <c r="G369" s="2" t="s">
        <v>1728</v>
      </c>
      <c r="H369" s="2" t="s">
        <v>1728</v>
      </c>
      <c r="I369" s="2" t="s">
        <v>1729</v>
      </c>
      <c r="J369" s="2" t="s">
        <v>250</v>
      </c>
      <c r="K369" s="2" t="s">
        <v>1733</v>
      </c>
      <c r="L369" s="3">
        <v>345</v>
      </c>
      <c r="M369" s="3">
        <v>362.25</v>
      </c>
      <c r="N369" s="3">
        <v>729</v>
      </c>
      <c r="O369" s="2" t="s">
        <v>232</v>
      </c>
      <c r="P369" s="2" t="s">
        <v>878</v>
      </c>
      <c r="Q369" s="2" t="s">
        <v>234</v>
      </c>
      <c r="R369" s="2" t="s">
        <v>235</v>
      </c>
      <c r="S369" s="2" t="s">
        <v>235</v>
      </c>
      <c r="T369" s="2" t="s">
        <v>235</v>
      </c>
      <c r="U369" s="2" t="s">
        <v>235</v>
      </c>
      <c r="V369" s="2" t="s">
        <v>238</v>
      </c>
      <c r="W369" s="2" t="s">
        <v>671</v>
      </c>
      <c r="X369" s="2" t="s">
        <v>1731</v>
      </c>
      <c r="Y369" s="2" t="s">
        <v>235</v>
      </c>
      <c r="Z369" s="4"/>
      <c r="AA369" s="4">
        <f>=ROUNDDOWN({0},0)</f>
      </c>
      <c r="AB369" s="5"/>
      <c r="AC369" s="2" t="s">
        <v>165</v>
      </c>
      <c r="AD369" s="4">
        <v>240</v>
      </c>
      <c r="AE369" s="4">
        <v>240</v>
      </c>
      <c r="AF369" s="6">
        <v>74</v>
      </c>
      <c r="AG369" s="6"/>
      <c r="AH369" s="7"/>
      <c r="AI369" s="4"/>
      <c r="AJ369" s="4">
        <f>=ROUNDDOWN({0},0)</f>
      </c>
      <c r="AK369" s="5"/>
      <c r="AL369" s="2" t="s">
        <v>235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235</v>
      </c>
      <c r="BD369" s="8" t="s">
        <v>235</v>
      </c>
      <c r="BE369" s="4" t="s">
        <v>235</v>
      </c>
      <c r="BF369" s="8" t="s">
        <v>235</v>
      </c>
      <c r="BG369" s="7" t="s">
        <v>235</v>
      </c>
      <c r="BH369" s="7" t="s">
        <v>235</v>
      </c>
      <c r="BI369" s="7"/>
      <c r="BJ369" s="4"/>
      <c r="BK369" s="8"/>
      <c r="BL369" s="2" t="s">
        <v>235</v>
      </c>
      <c r="BM369" s="7"/>
      <c r="BN369" s="7"/>
      <c r="BO369" s="4"/>
      <c r="BP369" s="8"/>
      <c r="BQ369" s="4"/>
      <c r="BR369" s="8"/>
      <c r="BS369" s="7"/>
      <c r="BT369" s="7"/>
      <c r="BU369" s="2" t="s">
        <v>330</v>
      </c>
      <c r="BV369" s="2" t="s">
        <v>235</v>
      </c>
      <c r="BW369" s="2" t="s">
        <v>235</v>
      </c>
      <c r="BX369" s="2" t="s">
        <v>330</v>
      </c>
      <c r="BY369" s="2" t="s">
        <v>331</v>
      </c>
      <c r="BZ369" s="2" t="s">
        <v>232</v>
      </c>
      <c r="CA369" s="2" t="s">
        <v>235</v>
      </c>
      <c r="CB369" s="2" t="s">
        <v>235</v>
      </c>
      <c r="CC369" s="2" t="s">
        <v>248</v>
      </c>
      <c r="CD369" s="2" t="s">
        <v>248</v>
      </c>
      <c r="CE369" s="2" t="s">
        <v>235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>
        <v>240</v>
      </c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>
        <v>240</v>
      </c>
      <c r="GS369" s="4">
        <v>237</v>
      </c>
      <c r="GT369" s="4">
        <v>232</v>
      </c>
      <c r="GU369" s="4">
        <v>225</v>
      </c>
      <c r="GV369" s="4">
        <v>218</v>
      </c>
      <c r="GW369" s="4">
        <v>212</v>
      </c>
      <c r="GX369" s="4">
        <v>204</v>
      </c>
      <c r="GY369" s="4">
        <v>198</v>
      </c>
      <c r="GZ369" s="4">
        <v>191</v>
      </c>
      <c r="HA369" s="4">
        <v>184</v>
      </c>
      <c r="HB369" s="4">
        <v>177</v>
      </c>
      <c r="HC369" s="4">
        <v>170</v>
      </c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19">
        <v>40</v>
      </c>
      <c r="HS369" s="19">
        <v>39.5</v>
      </c>
      <c r="HT369" s="19">
        <v>33.1</v>
      </c>
      <c r="HU369" s="19">
        <v>32.1</v>
      </c>
      <c r="HV369" s="19">
        <v>31.1</v>
      </c>
      <c r="HW369" s="19">
        <v>30.3</v>
      </c>
      <c r="HX369" s="19">
        <v>29.1</v>
      </c>
      <c r="HY369" s="19">
        <v>28.3</v>
      </c>
      <c r="HZ369" s="19">
        <v>27.3</v>
      </c>
      <c r="IA369" s="19">
        <v>26.3</v>
      </c>
      <c r="IB369" s="19">
        <v>25.3</v>
      </c>
      <c r="IC369" s="19">
        <v>24.3</v>
      </c>
    </row>
    <row r="370">
      <c r="A370" s="2" t="s">
        <v>1734</v>
      </c>
      <c r="B370" s="2" t="s">
        <v>224</v>
      </c>
      <c r="C370" s="2" t="s">
        <v>225</v>
      </c>
      <c r="D370" s="2" t="s">
        <v>361</v>
      </c>
      <c r="E370" s="2" t="s">
        <v>1735</v>
      </c>
      <c r="F370" s="2" t="s">
        <v>1736</v>
      </c>
      <c r="G370" s="2" t="s">
        <v>1736</v>
      </c>
      <c r="H370" s="2" t="s">
        <v>1736</v>
      </c>
      <c r="I370" s="2" t="s">
        <v>1737</v>
      </c>
      <c r="J370" s="2" t="s">
        <v>270</v>
      </c>
      <c r="K370" s="2" t="s">
        <v>316</v>
      </c>
      <c r="L370" s="3">
        <v>24.36</v>
      </c>
      <c r="M370" s="3">
        <v>25.58</v>
      </c>
      <c r="N370" s="3">
        <v>49.99</v>
      </c>
      <c r="O370" s="2" t="s">
        <v>232</v>
      </c>
      <c r="P370" s="2" t="s">
        <v>233</v>
      </c>
      <c r="Q370" s="2" t="s">
        <v>234</v>
      </c>
      <c r="R370" s="2" t="s">
        <v>235</v>
      </c>
      <c r="S370" s="2" t="s">
        <v>1738</v>
      </c>
      <c r="T370" s="2" t="s">
        <v>501</v>
      </c>
      <c r="U370" s="2" t="s">
        <v>235</v>
      </c>
      <c r="V370" s="2" t="s">
        <v>238</v>
      </c>
      <c r="W370" s="2" t="s">
        <v>239</v>
      </c>
      <c r="X370" s="2" t="s">
        <v>235</v>
      </c>
      <c r="Y370" s="2" t="s">
        <v>240</v>
      </c>
      <c r="Z370" s="4">
        <v>939</v>
      </c>
      <c r="AA370" s="4">
        <f>=ROUNDDOWN(72.2307692307692,0)</f>
      </c>
      <c r="AB370" s="5">
        <v>13</v>
      </c>
      <c r="AC370" s="2" t="s">
        <v>235</v>
      </c>
      <c r="AD370" s="4"/>
      <c r="AE370" s="4"/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235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>
        <v>12</v>
      </c>
      <c r="BK370" s="8">
        <v>329.36</v>
      </c>
      <c r="BL370" s="2" t="s">
        <v>1739</v>
      </c>
      <c r="BM370" s="7"/>
      <c r="BN370" s="7"/>
      <c r="BO370" s="4"/>
      <c r="BP370" s="8"/>
      <c r="BQ370" s="4"/>
      <c r="BR370" s="8"/>
      <c r="BS370" s="7"/>
      <c r="BT370" s="7"/>
      <c r="BU370" s="2" t="s">
        <v>1740</v>
      </c>
      <c r="BV370" s="2" t="s">
        <v>243</v>
      </c>
      <c r="BW370" s="2" t="s">
        <v>235</v>
      </c>
      <c r="BX370" s="2" t="s">
        <v>244</v>
      </c>
      <c r="BY370" s="2" t="s">
        <v>245</v>
      </c>
      <c r="BZ370" s="2" t="s">
        <v>232</v>
      </c>
      <c r="CA370" s="2" t="s">
        <v>252</v>
      </c>
      <c r="CB370" s="2" t="s">
        <v>1741</v>
      </c>
      <c r="CC370" s="2" t="s">
        <v>248</v>
      </c>
      <c r="CD370" s="2" t="s">
        <v>248</v>
      </c>
      <c r="CE370" s="2" t="s">
        <v>235</v>
      </c>
      <c r="CF370" s="4">
        <v>187</v>
      </c>
      <c r="CG370" s="4"/>
      <c r="CH370" s="4"/>
      <c r="CI370" s="4">
        <v>752</v>
      </c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>
        <v>939</v>
      </c>
      <c r="GE370" s="4">
        <v>935</v>
      </c>
      <c r="GF370" s="4">
        <v>931</v>
      </c>
      <c r="GG370" s="4">
        <v>927</v>
      </c>
      <c r="GH370" s="4">
        <v>923</v>
      </c>
      <c r="GI370" s="4">
        <v>919</v>
      </c>
      <c r="GJ370" s="4">
        <v>915</v>
      </c>
      <c r="GK370" s="4">
        <v>911</v>
      </c>
      <c r="GL370" s="4">
        <v>894</v>
      </c>
      <c r="GM370" s="4">
        <v>878</v>
      </c>
      <c r="GN370" s="4">
        <v>866</v>
      </c>
      <c r="GO370" s="4">
        <v>848</v>
      </c>
      <c r="GP370" s="4">
        <v>833</v>
      </c>
      <c r="GQ370" s="4">
        <v>806</v>
      </c>
      <c r="GR370" s="4">
        <v>793</v>
      </c>
      <c r="GS370" s="4">
        <v>780</v>
      </c>
      <c r="GT370" s="4">
        <v>764</v>
      </c>
      <c r="GU370" s="4">
        <v>752</v>
      </c>
      <c r="GV370" s="4">
        <v>737</v>
      </c>
      <c r="GW370" s="4">
        <v>725</v>
      </c>
      <c r="GX370" s="4">
        <v>711</v>
      </c>
      <c r="GY370" s="4">
        <v>697</v>
      </c>
      <c r="GZ370" s="4">
        <v>685</v>
      </c>
      <c r="HA370" s="4">
        <v>672</v>
      </c>
      <c r="HB370" s="4">
        <v>659</v>
      </c>
      <c r="HC370" s="4">
        <v>646</v>
      </c>
      <c r="HD370" s="19">
        <v>234.8</v>
      </c>
      <c r="HE370" s="19">
        <v>233.8</v>
      </c>
      <c r="HF370" s="19">
        <v>232.8</v>
      </c>
      <c r="HG370" s="19">
        <v>231.8</v>
      </c>
      <c r="HH370" s="19">
        <v>203.9</v>
      </c>
      <c r="HI370" s="19">
        <v>196.6</v>
      </c>
      <c r="HJ370" s="19">
        <v>193.8</v>
      </c>
      <c r="HK370" s="19">
        <v>129.7</v>
      </c>
      <c r="HL370" s="19">
        <v>98.6</v>
      </c>
      <c r="HM370" s="19">
        <v>67.2</v>
      </c>
      <c r="HN370" s="19">
        <v>66.6</v>
      </c>
      <c r="HO370" s="19">
        <v>66.1</v>
      </c>
      <c r="HP370" s="19">
        <v>64.8</v>
      </c>
      <c r="HQ370" s="19">
        <v>123.2</v>
      </c>
      <c r="HR370" s="19">
        <v>180.2</v>
      </c>
      <c r="HS370" s="19">
        <v>178.8</v>
      </c>
      <c r="HT370" s="19">
        <v>352.2</v>
      </c>
      <c r="HU370" s="19">
        <v>351.3</v>
      </c>
      <c r="HV370" s="19">
        <v>117.9</v>
      </c>
      <c r="HW370" s="19">
        <v>59.6</v>
      </c>
      <c r="HX370" s="19">
        <v>40</v>
      </c>
      <c r="HY370" s="19">
        <v>29.4</v>
      </c>
      <c r="HZ370" s="19">
        <v>26.4</v>
      </c>
      <c r="IA370" s="19">
        <v>24</v>
      </c>
      <c r="IB370" s="19">
        <v>23.6</v>
      </c>
      <c r="IC370" s="19">
        <v>24.9</v>
      </c>
    </row>
    <row r="371">
      <c r="A371" s="2" t="s">
        <v>1742</v>
      </c>
      <c r="B371" s="2" t="s">
        <v>1071</v>
      </c>
      <c r="C371" s="2" t="s">
        <v>324</v>
      </c>
      <c r="D371" s="2" t="s">
        <v>1482</v>
      </c>
      <c r="E371" s="2" t="s">
        <v>1483</v>
      </c>
      <c r="F371" s="2" t="s">
        <v>1743</v>
      </c>
      <c r="G371" s="2" t="s">
        <v>1744</v>
      </c>
      <c r="H371" s="2" t="s">
        <v>1745</v>
      </c>
      <c r="I371" s="2" t="s">
        <v>1483</v>
      </c>
      <c r="J371" s="2" t="s">
        <v>897</v>
      </c>
      <c r="K371" s="2" t="s">
        <v>975</v>
      </c>
      <c r="L371" s="3">
        <v>57.86</v>
      </c>
      <c r="M371" s="3">
        <v>60.75</v>
      </c>
      <c r="N371" s="3">
        <v>129</v>
      </c>
      <c r="O371" s="2" t="s">
        <v>407</v>
      </c>
      <c r="P371" s="2" t="s">
        <v>408</v>
      </c>
      <c r="Q371" s="2" t="s">
        <v>234</v>
      </c>
      <c r="R371" s="2" t="s">
        <v>235</v>
      </c>
      <c r="S371" s="2" t="s">
        <v>235</v>
      </c>
      <c r="T371" s="2" t="s">
        <v>235</v>
      </c>
      <c r="U371" s="2" t="s">
        <v>235</v>
      </c>
      <c r="V371" s="2" t="s">
        <v>808</v>
      </c>
      <c r="W371" s="2" t="s">
        <v>682</v>
      </c>
      <c r="X371" s="2" t="s">
        <v>235</v>
      </c>
      <c r="Y371" s="2" t="s">
        <v>1746</v>
      </c>
      <c r="Z371" s="4">
        <v>103</v>
      </c>
      <c r="AA371" s="4">
        <f>=ROUNDDOWN(35.5172413793103,0)</f>
      </c>
      <c r="AB371" s="5">
        <v>2.9</v>
      </c>
      <c r="AC371" s="2" t="s">
        <v>235</v>
      </c>
      <c r="AD371" s="4"/>
      <c r="AE371" s="4"/>
      <c r="AF371" s="6">
        <v>83</v>
      </c>
      <c r="AG371" s="6"/>
      <c r="AH371" s="7">
        <v>1</v>
      </c>
      <c r="AI371" s="4"/>
      <c r="AJ371" s="4">
        <f>=ROUNDDOWN({0},0)</f>
      </c>
      <c r="AK371" s="5"/>
      <c r="AL371" s="2" t="s">
        <v>235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>
        <v>17</v>
      </c>
      <c r="BK371" s="8">
        <v>1025.07</v>
      </c>
      <c r="BL371" s="2" t="s">
        <v>1504</v>
      </c>
      <c r="BM371" s="7"/>
      <c r="BN371" s="7"/>
      <c r="BO371" s="4"/>
      <c r="BP371" s="8"/>
      <c r="BQ371" s="4"/>
      <c r="BR371" s="8"/>
      <c r="BS371" s="7"/>
      <c r="BT371" s="7"/>
      <c r="BU371" s="2" t="s">
        <v>1747</v>
      </c>
      <c r="BV371" s="2" t="s">
        <v>1488</v>
      </c>
      <c r="BW371" s="2" t="s">
        <v>235</v>
      </c>
      <c r="BX371" s="2" t="s">
        <v>414</v>
      </c>
      <c r="BY371" s="2" t="s">
        <v>245</v>
      </c>
      <c r="BZ371" s="2" t="s">
        <v>232</v>
      </c>
      <c r="CA371" s="2" t="s">
        <v>902</v>
      </c>
      <c r="CB371" s="2" t="s">
        <v>1748</v>
      </c>
      <c r="CC371" s="2" t="s">
        <v>248</v>
      </c>
      <c r="CD371" s="2" t="s">
        <v>248</v>
      </c>
      <c r="CE371" s="2" t="s">
        <v>235</v>
      </c>
      <c r="CF371" s="4"/>
      <c r="CG371" s="4">
        <v>103</v>
      </c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>
        <v>108</v>
      </c>
      <c r="GE371" s="4">
        <v>99</v>
      </c>
      <c r="GF371" s="4">
        <v>96</v>
      </c>
      <c r="GG371" s="4">
        <v>93</v>
      </c>
      <c r="GH371" s="4">
        <v>90</v>
      </c>
      <c r="GI371" s="4">
        <v>87</v>
      </c>
      <c r="GJ371" s="4">
        <v>84</v>
      </c>
      <c r="GK371" s="4">
        <v>81</v>
      </c>
      <c r="GL371" s="4">
        <v>78</v>
      </c>
      <c r="GM371" s="4">
        <v>75</v>
      </c>
      <c r="GN371" s="4">
        <v>72</v>
      </c>
      <c r="GO371" s="4">
        <v>67</v>
      </c>
      <c r="GP371" s="4">
        <v>64</v>
      </c>
      <c r="GQ371" s="4">
        <v>58</v>
      </c>
      <c r="GR371" s="4">
        <v>54</v>
      </c>
      <c r="GS371" s="4">
        <v>51</v>
      </c>
      <c r="GT371" s="4">
        <v>49</v>
      </c>
      <c r="GU371" s="4">
        <v>47</v>
      </c>
      <c r="GV371" s="4">
        <v>44</v>
      </c>
      <c r="GW371" s="4">
        <v>42</v>
      </c>
      <c r="GX371" s="4">
        <v>39</v>
      </c>
      <c r="GY371" s="4">
        <v>37</v>
      </c>
      <c r="GZ371" s="4">
        <v>35</v>
      </c>
      <c r="HA371" s="4">
        <v>33</v>
      </c>
      <c r="HB371" s="4">
        <v>31</v>
      </c>
      <c r="HC371" s="4">
        <v>28</v>
      </c>
      <c r="HD371" s="19">
        <v>27</v>
      </c>
      <c r="HE371" s="19">
        <v>33</v>
      </c>
      <c r="HF371" s="19">
        <v>32</v>
      </c>
      <c r="HG371" s="19">
        <v>31</v>
      </c>
      <c r="HH371" s="19">
        <v>30</v>
      </c>
      <c r="HI371" s="19">
        <v>29</v>
      </c>
      <c r="HJ371" s="19">
        <v>28</v>
      </c>
      <c r="HK371" s="19">
        <v>20.3</v>
      </c>
      <c r="HL371" s="19">
        <v>19.5</v>
      </c>
      <c r="HM371" s="19">
        <v>18.8</v>
      </c>
      <c r="HN371" s="19">
        <v>18</v>
      </c>
      <c r="HO371" s="19">
        <v>16.8</v>
      </c>
      <c r="HP371" s="19">
        <v>16</v>
      </c>
      <c r="HQ371" s="19">
        <v>19.3</v>
      </c>
      <c r="HR371" s="19">
        <v>27</v>
      </c>
      <c r="HS371" s="19">
        <v>25.5</v>
      </c>
      <c r="HT371" s="19">
        <v>24.5</v>
      </c>
      <c r="HU371" s="19">
        <v>23.5</v>
      </c>
      <c r="HV371" s="19">
        <v>22</v>
      </c>
      <c r="HW371" s="19">
        <v>21</v>
      </c>
      <c r="HX371" s="19">
        <v>19.5</v>
      </c>
      <c r="HY371" s="19">
        <v>18.5</v>
      </c>
      <c r="HZ371" s="19">
        <v>17.5</v>
      </c>
      <c r="IA371" s="19">
        <v>16.5</v>
      </c>
      <c r="IB371" s="19">
        <v>10.3</v>
      </c>
      <c r="IC371" s="19">
        <v>9.3</v>
      </c>
    </row>
    <row r="372">
      <c r="A372" s="2" t="s">
        <v>1749</v>
      </c>
      <c r="B372" s="2" t="s">
        <v>871</v>
      </c>
      <c r="C372" s="2" t="s">
        <v>324</v>
      </c>
      <c r="D372" s="2" t="s">
        <v>361</v>
      </c>
      <c r="E372" s="2" t="s">
        <v>872</v>
      </c>
      <c r="F372" s="2" t="s">
        <v>1750</v>
      </c>
      <c r="G372" s="2" t="s">
        <v>1751</v>
      </c>
      <c r="H372" s="2" t="s">
        <v>1752</v>
      </c>
      <c r="I372" s="2" t="s">
        <v>1753</v>
      </c>
      <c r="J372" s="2" t="s">
        <v>372</v>
      </c>
      <c r="K372" s="2" t="s">
        <v>1196</v>
      </c>
      <c r="L372" s="3">
        <v>50.53</v>
      </c>
      <c r="M372" s="3">
        <v>53.06</v>
      </c>
      <c r="N372" s="3">
        <v>114.99</v>
      </c>
      <c r="O372" s="2" t="s">
        <v>232</v>
      </c>
      <c r="P372" s="2" t="s">
        <v>233</v>
      </c>
      <c r="Q372" s="2" t="s">
        <v>234</v>
      </c>
      <c r="R372" s="2" t="s">
        <v>235</v>
      </c>
      <c r="S372" s="2" t="s">
        <v>1754</v>
      </c>
      <c r="T372" s="2" t="s">
        <v>1298</v>
      </c>
      <c r="U372" s="2" t="s">
        <v>614</v>
      </c>
      <c r="V372" s="2" t="s">
        <v>1132</v>
      </c>
      <c r="W372" s="2" t="s">
        <v>671</v>
      </c>
      <c r="X372" s="2" t="s">
        <v>235</v>
      </c>
      <c r="Y372" s="2" t="s">
        <v>1755</v>
      </c>
      <c r="Z372" s="4">
        <v>135</v>
      </c>
      <c r="AA372" s="4">
        <f>=ROUNDDOWN(23.2758620689655,0)</f>
      </c>
      <c r="AB372" s="5">
        <v>5.8</v>
      </c>
      <c r="AC372" s="2" t="s">
        <v>235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235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>
        <v>30</v>
      </c>
      <c r="BK372" s="8">
        <v>1757.38</v>
      </c>
      <c r="BL372" s="2" t="s">
        <v>1756</v>
      </c>
      <c r="BM372" s="7"/>
      <c r="BN372" s="7"/>
      <c r="BO372" s="4"/>
      <c r="BP372" s="8"/>
      <c r="BQ372" s="4"/>
      <c r="BR372" s="8"/>
      <c r="BS372" s="7"/>
      <c r="BT372" s="7"/>
      <c r="BU372" s="2" t="s">
        <v>1757</v>
      </c>
      <c r="BV372" s="2" t="s">
        <v>243</v>
      </c>
      <c r="BW372" s="2" t="s">
        <v>235</v>
      </c>
      <c r="BX372" s="2" t="s">
        <v>244</v>
      </c>
      <c r="BY372" s="2" t="s">
        <v>245</v>
      </c>
      <c r="BZ372" s="2" t="s">
        <v>232</v>
      </c>
      <c r="CA372" s="2" t="s">
        <v>1526</v>
      </c>
      <c r="CB372" s="2" t="s">
        <v>1758</v>
      </c>
      <c r="CC372" s="2" t="s">
        <v>248</v>
      </c>
      <c r="CD372" s="2" t="s">
        <v>248</v>
      </c>
      <c r="CE372" s="2" t="s">
        <v>235</v>
      </c>
      <c r="CF372" s="4">
        <v>135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>
        <v>140</v>
      </c>
      <c r="GE372" s="4">
        <v>129</v>
      </c>
      <c r="GF372" s="4">
        <v>123</v>
      </c>
      <c r="GG372" s="4">
        <v>117</v>
      </c>
      <c r="GH372" s="4">
        <v>111</v>
      </c>
      <c r="GI372" s="4">
        <v>105</v>
      </c>
      <c r="GJ372" s="4">
        <v>98</v>
      </c>
      <c r="GK372" s="4">
        <v>91</v>
      </c>
      <c r="GL372" s="4">
        <v>84</v>
      </c>
      <c r="GM372" s="4">
        <v>77</v>
      </c>
      <c r="GN372" s="4">
        <v>70</v>
      </c>
      <c r="GO372" s="4">
        <v>61</v>
      </c>
      <c r="GP372" s="4">
        <v>51</v>
      </c>
      <c r="GQ372" s="4">
        <v>32</v>
      </c>
      <c r="GR372" s="4">
        <v>22</v>
      </c>
      <c r="GS372" s="4">
        <v>13</v>
      </c>
      <c r="GT372" s="4">
        <v>8</v>
      </c>
      <c r="GU372" s="4">
        <v>4</v>
      </c>
      <c r="GV372" s="4">
        <v>370</v>
      </c>
      <c r="GW372" s="4">
        <v>364</v>
      </c>
      <c r="GX372" s="4">
        <v>358</v>
      </c>
      <c r="GY372" s="4">
        <v>352</v>
      </c>
      <c r="GZ372" s="4">
        <v>346</v>
      </c>
      <c r="HA372" s="4">
        <v>340</v>
      </c>
      <c r="HB372" s="4">
        <v>334</v>
      </c>
      <c r="HC372" s="4">
        <v>327</v>
      </c>
      <c r="HD372" s="19">
        <v>20</v>
      </c>
      <c r="HE372" s="19">
        <v>21.5</v>
      </c>
      <c r="HF372" s="19">
        <v>20.5</v>
      </c>
      <c r="HG372" s="19">
        <v>19.5</v>
      </c>
      <c r="HH372" s="19">
        <v>15.9</v>
      </c>
      <c r="HI372" s="19">
        <v>15</v>
      </c>
      <c r="HJ372" s="19">
        <v>14</v>
      </c>
      <c r="HK372" s="19">
        <v>11.4</v>
      </c>
      <c r="HL372" s="19">
        <v>10.5</v>
      </c>
      <c r="HM372" s="19">
        <v>7</v>
      </c>
      <c r="HN372" s="19">
        <v>5.8</v>
      </c>
      <c r="HO372" s="19">
        <v>5.1</v>
      </c>
      <c r="HP372" s="19">
        <v>4.6</v>
      </c>
      <c r="HQ372" s="19">
        <v>4.6</v>
      </c>
      <c r="HR372" s="19">
        <v>3.7</v>
      </c>
      <c r="HS372" s="19">
        <v>2.2</v>
      </c>
      <c r="HT372" s="19">
        <v>1.3</v>
      </c>
      <c r="HU372" s="19">
        <v>0.7</v>
      </c>
      <c r="HV372" s="19">
        <v>61.7</v>
      </c>
      <c r="HW372" s="19">
        <v>60.7</v>
      </c>
      <c r="HX372" s="19">
        <v>59.7</v>
      </c>
      <c r="HY372" s="19">
        <v>58.7</v>
      </c>
      <c r="HZ372" s="19">
        <v>57.7</v>
      </c>
      <c r="IA372" s="19">
        <v>56.7</v>
      </c>
      <c r="IB372" s="19">
        <v>55.7</v>
      </c>
      <c r="IC372" s="19">
        <v>54.5</v>
      </c>
    </row>
    <row r="373">
      <c r="A373" s="2" t="s">
        <v>1759</v>
      </c>
      <c r="B373" s="2" t="s">
        <v>871</v>
      </c>
      <c r="C373" s="2" t="s">
        <v>324</v>
      </c>
      <c r="D373" s="2" t="s">
        <v>1452</v>
      </c>
      <c r="E373" s="2" t="s">
        <v>1760</v>
      </c>
      <c r="F373" s="2" t="s">
        <v>1761</v>
      </c>
      <c r="G373" s="2" t="s">
        <v>1762</v>
      </c>
      <c r="H373" s="2" t="s">
        <v>1763</v>
      </c>
      <c r="I373" s="2" t="s">
        <v>1764</v>
      </c>
      <c r="J373" s="2" t="s">
        <v>261</v>
      </c>
      <c r="K373" s="2" t="s">
        <v>292</v>
      </c>
      <c r="L373" s="3">
        <v>63.6</v>
      </c>
      <c r="M373" s="3">
        <v>66.78</v>
      </c>
      <c r="N373" s="3">
        <v>134.99</v>
      </c>
      <c r="O373" s="2" t="s">
        <v>232</v>
      </c>
      <c r="P373" s="2" t="s">
        <v>336</v>
      </c>
      <c r="Q373" s="2" t="s">
        <v>234</v>
      </c>
      <c r="R373" s="2" t="s">
        <v>235</v>
      </c>
      <c r="S373" s="2" t="s">
        <v>1765</v>
      </c>
      <c r="T373" s="2" t="s">
        <v>1298</v>
      </c>
      <c r="U373" s="2" t="s">
        <v>282</v>
      </c>
      <c r="V373" s="2" t="s">
        <v>1132</v>
      </c>
      <c r="W373" s="2" t="s">
        <v>671</v>
      </c>
      <c r="X373" s="2" t="s">
        <v>1766</v>
      </c>
      <c r="Y373" s="2" t="s">
        <v>1187</v>
      </c>
      <c r="Z373" s="4">
        <v>358</v>
      </c>
      <c r="AA373" s="4">
        <f>=ROUNDDOWN(32.5454545454545,0)</f>
      </c>
      <c r="AB373" s="5">
        <v>11</v>
      </c>
      <c r="AC373" s="2" t="s">
        <v>235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235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235</v>
      </c>
      <c r="AW373" s="8" t="s">
        <v>235</v>
      </c>
      <c r="AX373" s="4" t="s">
        <v>235</v>
      </c>
      <c r="AY373" s="8" t="s">
        <v>235</v>
      </c>
      <c r="AZ373" s="7" t="s">
        <v>235</v>
      </c>
      <c r="BA373" s="7" t="s">
        <v>235</v>
      </c>
      <c r="BB373" s="7"/>
      <c r="BC373" s="4" t="s">
        <v>235</v>
      </c>
      <c r="BD373" s="8" t="s">
        <v>235</v>
      </c>
      <c r="BE373" s="4" t="s">
        <v>235</v>
      </c>
      <c r="BF373" s="8" t="s">
        <v>235</v>
      </c>
      <c r="BG373" s="7" t="s">
        <v>235</v>
      </c>
      <c r="BH373" s="7" t="s">
        <v>235</v>
      </c>
      <c r="BI373" s="7"/>
      <c r="BJ373" s="4">
        <v>8</v>
      </c>
      <c r="BK373" s="8">
        <v>591.08</v>
      </c>
      <c r="BL373" s="2" t="s">
        <v>1767</v>
      </c>
      <c r="BM373" s="7"/>
      <c r="BN373" s="7"/>
      <c r="BO373" s="4"/>
      <c r="BP373" s="8"/>
      <c r="BQ373" s="4"/>
      <c r="BR373" s="8"/>
      <c r="BS373" s="7"/>
      <c r="BT373" s="7"/>
      <c r="BU373" s="2" t="s">
        <v>1768</v>
      </c>
      <c r="BV373" s="2" t="s">
        <v>235</v>
      </c>
      <c r="BW373" s="2" t="s">
        <v>235</v>
      </c>
      <c r="BX373" s="2" t="s">
        <v>244</v>
      </c>
      <c r="BY373" s="2" t="s">
        <v>245</v>
      </c>
      <c r="BZ373" s="2" t="s">
        <v>232</v>
      </c>
      <c r="CA373" s="2" t="s">
        <v>235</v>
      </c>
      <c r="CB373" s="2" t="s">
        <v>1235</v>
      </c>
      <c r="CC373" s="2" t="s">
        <v>248</v>
      </c>
      <c r="CD373" s="2" t="s">
        <v>248</v>
      </c>
      <c r="CE373" s="2" t="s">
        <v>235</v>
      </c>
      <c r="CF373" s="4">
        <v>358</v>
      </c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>
        <v>359</v>
      </c>
      <c r="GE373" s="4">
        <v>341</v>
      </c>
      <c r="GF373" s="4">
        <v>333</v>
      </c>
      <c r="GG373" s="4">
        <v>324</v>
      </c>
      <c r="GH373" s="4">
        <v>315</v>
      </c>
      <c r="GI373" s="4">
        <v>308</v>
      </c>
      <c r="GJ373" s="4">
        <v>287</v>
      </c>
      <c r="GK373" s="4">
        <v>278</v>
      </c>
      <c r="GL373" s="4">
        <v>270</v>
      </c>
      <c r="GM373" s="4">
        <v>259</v>
      </c>
      <c r="GN373" s="4">
        <v>237</v>
      </c>
      <c r="GO373" s="4">
        <v>222</v>
      </c>
      <c r="GP373" s="4">
        <v>208</v>
      </c>
      <c r="GQ373" s="4">
        <v>187</v>
      </c>
      <c r="GR373" s="4">
        <v>174</v>
      </c>
      <c r="GS373" s="4">
        <v>162</v>
      </c>
      <c r="GT373" s="4">
        <v>147</v>
      </c>
      <c r="GU373" s="4">
        <v>134</v>
      </c>
      <c r="GV373" s="4">
        <v>125</v>
      </c>
      <c r="GW373" s="4">
        <v>114</v>
      </c>
      <c r="GX373" s="4">
        <v>106</v>
      </c>
      <c r="GY373" s="4">
        <v>98</v>
      </c>
      <c r="GZ373" s="4">
        <v>92</v>
      </c>
      <c r="HA373" s="4">
        <v>122</v>
      </c>
      <c r="HB373" s="4">
        <v>111</v>
      </c>
      <c r="HC373" s="4">
        <v>99</v>
      </c>
      <c r="HD373" s="19">
        <v>32.6</v>
      </c>
      <c r="HE373" s="19">
        <v>42.6</v>
      </c>
      <c r="HF373" s="19">
        <v>27.8</v>
      </c>
      <c r="HG373" s="19">
        <v>27</v>
      </c>
      <c r="HH373" s="19">
        <v>28.6</v>
      </c>
      <c r="HI373" s="19">
        <v>25.7</v>
      </c>
      <c r="HJ373" s="19">
        <v>23.9</v>
      </c>
      <c r="HK373" s="19">
        <v>19.9</v>
      </c>
      <c r="HL373" s="19">
        <v>16.9</v>
      </c>
      <c r="HM373" s="19">
        <v>14.4</v>
      </c>
      <c r="HN373" s="19">
        <v>14.8</v>
      </c>
      <c r="HO373" s="19">
        <v>14.8</v>
      </c>
      <c r="HP373" s="19">
        <v>13.9</v>
      </c>
      <c r="HQ373" s="19">
        <v>14.4</v>
      </c>
      <c r="HR373" s="19">
        <v>14.5</v>
      </c>
      <c r="HS373" s="19">
        <v>13.5</v>
      </c>
      <c r="HT373" s="19">
        <v>14.7</v>
      </c>
      <c r="HU373" s="19">
        <v>14.9</v>
      </c>
      <c r="HV373" s="19">
        <v>15.6</v>
      </c>
      <c r="HW373" s="19">
        <v>14.3</v>
      </c>
      <c r="HX373" s="19">
        <v>11.8</v>
      </c>
      <c r="HY373" s="19">
        <v>9.8</v>
      </c>
      <c r="HZ373" s="19">
        <v>8.4</v>
      </c>
      <c r="IA373" s="19">
        <v>11.1</v>
      </c>
      <c r="IB373" s="19">
        <v>10.1</v>
      </c>
      <c r="IC373" s="19">
        <v>9</v>
      </c>
    </row>
    <row r="374">
      <c r="A374" s="2" t="s">
        <v>1769</v>
      </c>
      <c r="B374" s="2" t="s">
        <v>871</v>
      </c>
      <c r="C374" s="2" t="s">
        <v>324</v>
      </c>
      <c r="D374" s="2" t="s">
        <v>1452</v>
      </c>
      <c r="E374" s="2" t="s">
        <v>1760</v>
      </c>
      <c r="F374" s="2" t="s">
        <v>1761</v>
      </c>
      <c r="G374" s="2" t="s">
        <v>1762</v>
      </c>
      <c r="H374" s="2" t="s">
        <v>1763</v>
      </c>
      <c r="I374" s="2" t="s">
        <v>1764</v>
      </c>
      <c r="J374" s="2" t="s">
        <v>270</v>
      </c>
      <c r="K374" s="2" t="s">
        <v>292</v>
      </c>
      <c r="L374" s="3">
        <v>74.3</v>
      </c>
      <c r="M374" s="3">
        <v>78.02</v>
      </c>
      <c r="N374" s="3">
        <v>159.99</v>
      </c>
      <c r="O374" s="2" t="s">
        <v>232</v>
      </c>
      <c r="P374" s="2" t="s">
        <v>336</v>
      </c>
      <c r="Q374" s="2" t="s">
        <v>234</v>
      </c>
      <c r="R374" s="2" t="s">
        <v>235</v>
      </c>
      <c r="S374" s="2" t="s">
        <v>1765</v>
      </c>
      <c r="T374" s="2" t="s">
        <v>1298</v>
      </c>
      <c r="U374" s="2" t="s">
        <v>282</v>
      </c>
      <c r="V374" s="2" t="s">
        <v>1132</v>
      </c>
      <c r="W374" s="2" t="s">
        <v>671</v>
      </c>
      <c r="X374" s="2" t="s">
        <v>1766</v>
      </c>
      <c r="Y374" s="2" t="s">
        <v>1187</v>
      </c>
      <c r="Z374" s="4">
        <v>587</v>
      </c>
      <c r="AA374" s="4">
        <f>=ROUNDDOWN(195.666666666667,0)</f>
      </c>
      <c r="AB374" s="5">
        <v>3</v>
      </c>
      <c r="AC374" s="2" t="s">
        <v>235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235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235</v>
      </c>
      <c r="AW374" s="8" t="s">
        <v>235</v>
      </c>
      <c r="AX374" s="4" t="s">
        <v>235</v>
      </c>
      <c r="AY374" s="8" t="s">
        <v>235</v>
      </c>
      <c r="AZ374" s="7" t="s">
        <v>235</v>
      </c>
      <c r="BA374" s="7" t="s">
        <v>235</v>
      </c>
      <c r="BB374" s="7"/>
      <c r="BC374" s="4" t="s">
        <v>235</v>
      </c>
      <c r="BD374" s="8" t="s">
        <v>235</v>
      </c>
      <c r="BE374" s="4" t="s">
        <v>235</v>
      </c>
      <c r="BF374" s="8" t="s">
        <v>235</v>
      </c>
      <c r="BG374" s="7" t="s">
        <v>235</v>
      </c>
      <c r="BH374" s="7" t="s">
        <v>235</v>
      </c>
      <c r="BI374" s="7"/>
      <c r="BJ374" s="4">
        <v>4</v>
      </c>
      <c r="BK374" s="8">
        <v>351.24</v>
      </c>
      <c r="BL374" s="2" t="s">
        <v>1770</v>
      </c>
      <c r="BM374" s="7"/>
      <c r="BN374" s="7"/>
      <c r="BO374" s="4"/>
      <c r="BP374" s="8"/>
      <c r="BQ374" s="4"/>
      <c r="BR374" s="8"/>
      <c r="BS374" s="7"/>
      <c r="BT374" s="7"/>
      <c r="BU374" s="2" t="s">
        <v>1768</v>
      </c>
      <c r="BV374" s="2" t="s">
        <v>235</v>
      </c>
      <c r="BW374" s="2" t="s">
        <v>235</v>
      </c>
      <c r="BX374" s="2" t="s">
        <v>244</v>
      </c>
      <c r="BY374" s="2" t="s">
        <v>245</v>
      </c>
      <c r="BZ374" s="2" t="s">
        <v>232</v>
      </c>
      <c r="CA374" s="2" t="s">
        <v>235</v>
      </c>
      <c r="CB374" s="2" t="s">
        <v>235</v>
      </c>
      <c r="CC374" s="2" t="s">
        <v>248</v>
      </c>
      <c r="CD374" s="2" t="s">
        <v>248</v>
      </c>
      <c r="CE374" s="2" t="s">
        <v>235</v>
      </c>
      <c r="CF374" s="4">
        <v>587</v>
      </c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>
        <v>594</v>
      </c>
      <c r="GE374" s="4">
        <v>563</v>
      </c>
      <c r="GF374" s="4">
        <v>548</v>
      </c>
      <c r="GG374" s="4">
        <v>530</v>
      </c>
      <c r="GH374" s="4">
        <v>512</v>
      </c>
      <c r="GI374" s="4">
        <v>491</v>
      </c>
      <c r="GJ374" s="4">
        <v>477</v>
      </c>
      <c r="GK374" s="4">
        <v>449</v>
      </c>
      <c r="GL374" s="4">
        <v>431</v>
      </c>
      <c r="GM374" s="4">
        <v>398</v>
      </c>
      <c r="GN374" s="4">
        <v>376</v>
      </c>
      <c r="GO374" s="4">
        <v>353</v>
      </c>
      <c r="GP374" s="4">
        <v>332</v>
      </c>
      <c r="GQ374" s="4">
        <v>301</v>
      </c>
      <c r="GR374" s="4">
        <v>275</v>
      </c>
      <c r="GS374" s="4">
        <v>263</v>
      </c>
      <c r="GT374" s="4">
        <v>237</v>
      </c>
      <c r="GU374" s="4">
        <v>215</v>
      </c>
      <c r="GV374" s="4">
        <v>196</v>
      </c>
      <c r="GW374" s="4">
        <v>186</v>
      </c>
      <c r="GX374" s="4">
        <v>170</v>
      </c>
      <c r="GY374" s="4">
        <v>154</v>
      </c>
      <c r="GZ374" s="4">
        <v>137</v>
      </c>
      <c r="HA374" s="4">
        <v>127</v>
      </c>
      <c r="HB374" s="4">
        <v>117</v>
      </c>
      <c r="HC374" s="4">
        <v>105</v>
      </c>
      <c r="HD374" s="19">
        <v>29.7</v>
      </c>
      <c r="HE374" s="19">
        <v>31.3</v>
      </c>
      <c r="HF374" s="19">
        <v>30.4</v>
      </c>
      <c r="HG374" s="19">
        <v>26.5</v>
      </c>
      <c r="HH374" s="19">
        <v>25.6</v>
      </c>
      <c r="HI374" s="19">
        <v>21.3</v>
      </c>
      <c r="HJ374" s="19">
        <v>19.1</v>
      </c>
      <c r="HK374" s="19">
        <v>18.7</v>
      </c>
      <c r="HL374" s="19">
        <v>17.2</v>
      </c>
      <c r="HM374" s="19">
        <v>16.6</v>
      </c>
      <c r="HN374" s="19">
        <v>15</v>
      </c>
      <c r="HO374" s="19">
        <v>16</v>
      </c>
      <c r="HP374" s="19">
        <v>13.8</v>
      </c>
      <c r="HQ374" s="19">
        <v>13.7</v>
      </c>
      <c r="HR374" s="19">
        <v>13.8</v>
      </c>
      <c r="HS374" s="19">
        <v>13.8</v>
      </c>
      <c r="HT374" s="19">
        <v>13.9</v>
      </c>
      <c r="HU374" s="19">
        <v>14.3</v>
      </c>
      <c r="HV374" s="19">
        <v>13.1</v>
      </c>
      <c r="HW374" s="19">
        <v>12.4</v>
      </c>
      <c r="HX374" s="19">
        <v>13.1</v>
      </c>
      <c r="HY374" s="19">
        <v>12.8</v>
      </c>
      <c r="HZ374" s="19">
        <v>13.7</v>
      </c>
      <c r="IA374" s="19">
        <v>12.7</v>
      </c>
      <c r="IB374" s="19">
        <v>11.7</v>
      </c>
      <c r="IC374" s="19">
        <v>10.5</v>
      </c>
    </row>
    <row r="375">
      <c r="A375" s="2" t="s">
        <v>1771</v>
      </c>
      <c r="B375" s="2" t="s">
        <v>852</v>
      </c>
      <c r="C375" s="2" t="s">
        <v>1126</v>
      </c>
      <c r="D375" s="2" t="s">
        <v>854</v>
      </c>
      <c r="E375" s="2" t="s">
        <v>855</v>
      </c>
      <c r="F375" s="2" t="s">
        <v>1772</v>
      </c>
      <c r="G375" s="2" t="s">
        <v>1773</v>
      </c>
      <c r="H375" s="2" t="s">
        <v>1774</v>
      </c>
      <c r="I375" s="2" t="s">
        <v>1775</v>
      </c>
      <c r="J375" s="2" t="s">
        <v>1224</v>
      </c>
      <c r="K375" s="2" t="s">
        <v>295</v>
      </c>
      <c r="L375" s="3">
        <v>23.14</v>
      </c>
      <c r="M375" s="3">
        <v>24.3</v>
      </c>
      <c r="N375" s="3">
        <v>54.99</v>
      </c>
      <c r="O375" s="2" t="s">
        <v>232</v>
      </c>
      <c r="P375" s="2" t="s">
        <v>1282</v>
      </c>
      <c r="Q375" s="2" t="s">
        <v>234</v>
      </c>
      <c r="R375" s="2" t="s">
        <v>235</v>
      </c>
      <c r="S375" s="2" t="s">
        <v>1776</v>
      </c>
      <c r="T375" s="2" t="s">
        <v>235</v>
      </c>
      <c r="U375" s="2" t="s">
        <v>235</v>
      </c>
      <c r="V375" s="2" t="s">
        <v>863</v>
      </c>
      <c r="W375" s="2" t="s">
        <v>682</v>
      </c>
      <c r="X375" s="2" t="s">
        <v>864</v>
      </c>
      <c r="Y375" s="2" t="s">
        <v>1158</v>
      </c>
      <c r="Z375" s="4">
        <v>443</v>
      </c>
      <c r="AA375" s="4">
        <f>=ROUNDDOWN(61.5277777777778,0)</f>
      </c>
      <c r="AB375" s="5">
        <v>7.2</v>
      </c>
      <c r="AC375" s="2" t="s">
        <v>235</v>
      </c>
      <c r="AD375" s="4"/>
      <c r="AE375" s="4"/>
      <c r="AF375" s="6">
        <v>68</v>
      </c>
      <c r="AG375" s="6"/>
      <c r="AH375" s="7">
        <v>1</v>
      </c>
      <c r="AI375" s="4"/>
      <c r="AJ375" s="4">
        <f>=ROUNDDOWN({0},0)</f>
      </c>
      <c r="AK375" s="5"/>
      <c r="AL375" s="2" t="s">
        <v>235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>
        <v>26</v>
      </c>
      <c r="BK375" s="8">
        <v>641.2</v>
      </c>
      <c r="BL375" s="2" t="s">
        <v>1777</v>
      </c>
      <c r="BM375" s="7"/>
      <c r="BN375" s="7"/>
      <c r="BO375" s="4"/>
      <c r="BP375" s="8"/>
      <c r="BQ375" s="4"/>
      <c r="BR375" s="8"/>
      <c r="BS375" s="7"/>
      <c r="BT375" s="7"/>
      <c r="BU375" s="2" t="s">
        <v>1778</v>
      </c>
      <c r="BV375" s="2" t="s">
        <v>867</v>
      </c>
      <c r="BW375" s="2" t="s">
        <v>235</v>
      </c>
      <c r="BX375" s="2" t="s">
        <v>383</v>
      </c>
      <c r="BY375" s="2" t="s">
        <v>245</v>
      </c>
      <c r="BZ375" s="2" t="s">
        <v>232</v>
      </c>
      <c r="CA375" s="2" t="s">
        <v>1779</v>
      </c>
      <c r="CB375" s="2" t="s">
        <v>1780</v>
      </c>
      <c r="CC375" s="2" t="s">
        <v>248</v>
      </c>
      <c r="CD375" s="2" t="s">
        <v>248</v>
      </c>
      <c r="CE375" s="2" t="s">
        <v>235</v>
      </c>
      <c r="CF375" s="4">
        <v>443</v>
      </c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>
        <v>443</v>
      </c>
      <c r="GE375" s="4">
        <v>436</v>
      </c>
      <c r="GF375" s="4">
        <v>430</v>
      </c>
      <c r="GG375" s="4">
        <v>424</v>
      </c>
      <c r="GH375" s="4">
        <v>418</v>
      </c>
      <c r="GI375" s="4">
        <v>412</v>
      </c>
      <c r="GJ375" s="4">
        <v>406</v>
      </c>
      <c r="GK375" s="4">
        <v>400</v>
      </c>
      <c r="GL375" s="4">
        <v>394</v>
      </c>
      <c r="GM375" s="4">
        <v>388</v>
      </c>
      <c r="GN375" s="4">
        <v>381</v>
      </c>
      <c r="GO375" s="4">
        <v>372</v>
      </c>
      <c r="GP375" s="4">
        <v>361</v>
      </c>
      <c r="GQ375" s="4">
        <v>347</v>
      </c>
      <c r="GR375" s="4">
        <v>337</v>
      </c>
      <c r="GS375" s="4">
        <v>325</v>
      </c>
      <c r="GT375" s="4">
        <v>318</v>
      </c>
      <c r="GU375" s="4">
        <v>311</v>
      </c>
      <c r="GV375" s="4">
        <v>304</v>
      </c>
      <c r="GW375" s="4">
        <v>297</v>
      </c>
      <c r="GX375" s="4">
        <v>290</v>
      </c>
      <c r="GY375" s="4">
        <v>283</v>
      </c>
      <c r="GZ375" s="4">
        <v>276</v>
      </c>
      <c r="HA375" s="4">
        <v>269</v>
      </c>
      <c r="HB375" s="4">
        <v>262</v>
      </c>
      <c r="HC375" s="4">
        <v>254</v>
      </c>
      <c r="HD375" s="19">
        <v>73.8</v>
      </c>
      <c r="HE375" s="19">
        <v>72.7</v>
      </c>
      <c r="HF375" s="19">
        <v>71.7</v>
      </c>
      <c r="HG375" s="19">
        <v>70.7</v>
      </c>
      <c r="HH375" s="19">
        <v>69.7</v>
      </c>
      <c r="HI375" s="19">
        <v>68.7</v>
      </c>
      <c r="HJ375" s="19">
        <v>67.7</v>
      </c>
      <c r="HK375" s="19">
        <v>57.1</v>
      </c>
      <c r="HL375" s="19">
        <v>49.3</v>
      </c>
      <c r="HM375" s="19">
        <v>38.8</v>
      </c>
      <c r="HN375" s="19">
        <v>34.6</v>
      </c>
      <c r="HO375" s="19">
        <v>31</v>
      </c>
      <c r="HP375" s="19">
        <v>32.8</v>
      </c>
      <c r="HQ375" s="19">
        <v>38.6</v>
      </c>
      <c r="HR375" s="19">
        <v>42.1</v>
      </c>
      <c r="HS375" s="19">
        <v>46.4</v>
      </c>
      <c r="HT375" s="19">
        <v>45.4</v>
      </c>
      <c r="HU375" s="19">
        <v>44.4</v>
      </c>
      <c r="HV375" s="19">
        <v>43.4</v>
      </c>
      <c r="HW375" s="19">
        <v>42.4</v>
      </c>
      <c r="HX375" s="19">
        <v>41.4</v>
      </c>
      <c r="HY375" s="19">
        <v>40.4</v>
      </c>
      <c r="HZ375" s="19">
        <v>39.4</v>
      </c>
      <c r="IA375" s="19">
        <v>38.4</v>
      </c>
      <c r="IB375" s="19">
        <v>37.4</v>
      </c>
      <c r="IC375" s="19">
        <v>36.3</v>
      </c>
    </row>
    <row r="376">
      <c r="A376" s="2" t="s">
        <v>1781</v>
      </c>
      <c r="B376" s="2" t="s">
        <v>224</v>
      </c>
      <c r="C376" s="2" t="s">
        <v>225</v>
      </c>
      <c r="D376" s="2" t="s">
        <v>361</v>
      </c>
      <c r="E376" s="2" t="s">
        <v>362</v>
      </c>
      <c r="F376" s="2" t="s">
        <v>1782</v>
      </c>
      <c r="G376" s="2" t="s">
        <v>1783</v>
      </c>
      <c r="H376" s="2" t="s">
        <v>1783</v>
      </c>
      <c r="I376" s="2" t="s">
        <v>1784</v>
      </c>
      <c r="J376" s="2" t="s">
        <v>365</v>
      </c>
      <c r="K376" s="2" t="s">
        <v>316</v>
      </c>
      <c r="L376" s="3">
        <v>35.82</v>
      </c>
      <c r="M376" s="3">
        <v>37.61</v>
      </c>
      <c r="N376" s="3">
        <v>74.99</v>
      </c>
      <c r="O376" s="2" t="s">
        <v>232</v>
      </c>
      <c r="P376" s="2" t="s">
        <v>233</v>
      </c>
      <c r="Q376" s="2" t="s">
        <v>234</v>
      </c>
      <c r="R376" s="2" t="s">
        <v>235</v>
      </c>
      <c r="S376" s="2" t="s">
        <v>1785</v>
      </c>
      <c r="T376" s="2" t="s">
        <v>501</v>
      </c>
      <c r="U376" s="2" t="s">
        <v>235</v>
      </c>
      <c r="V376" s="2" t="s">
        <v>238</v>
      </c>
      <c r="W376" s="2" t="s">
        <v>239</v>
      </c>
      <c r="X376" s="2" t="s">
        <v>235</v>
      </c>
      <c r="Y376" s="2" t="s">
        <v>240</v>
      </c>
      <c r="Z376" s="4">
        <v>150</v>
      </c>
      <c r="AA376" s="4">
        <f>=ROUNDDOWN(21.4285714285714,0)</f>
      </c>
      <c r="AB376" s="5">
        <v>7</v>
      </c>
      <c r="AC376" s="2" t="s">
        <v>235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235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235</v>
      </c>
      <c r="AW376" s="8" t="s">
        <v>235</v>
      </c>
      <c r="AX376" s="4" t="s">
        <v>235</v>
      </c>
      <c r="AY376" s="8" t="s">
        <v>235</v>
      </c>
      <c r="AZ376" s="7" t="s">
        <v>235</v>
      </c>
      <c r="BA376" s="7" t="s">
        <v>235</v>
      </c>
      <c r="BB376" s="7"/>
      <c r="BC376" s="4" t="s">
        <v>235</v>
      </c>
      <c r="BD376" s="8" t="s">
        <v>235</v>
      </c>
      <c r="BE376" s="4" t="s">
        <v>235</v>
      </c>
      <c r="BF376" s="8" t="s">
        <v>235</v>
      </c>
      <c r="BG376" s="7" t="s">
        <v>235</v>
      </c>
      <c r="BH376" s="7" t="s">
        <v>235</v>
      </c>
      <c r="BI376" s="7"/>
      <c r="BJ376" s="4">
        <v>49</v>
      </c>
      <c r="BK376" s="8">
        <v>2017.6</v>
      </c>
      <c r="BL376" s="2" t="s">
        <v>1786</v>
      </c>
      <c r="BM376" s="7"/>
      <c r="BN376" s="7"/>
      <c r="BO376" s="4"/>
      <c r="BP376" s="8"/>
      <c r="BQ376" s="4"/>
      <c r="BR376" s="8"/>
      <c r="BS376" s="7"/>
      <c r="BT376" s="7"/>
      <c r="BU376" s="2" t="s">
        <v>1787</v>
      </c>
      <c r="BV376" s="2" t="s">
        <v>243</v>
      </c>
      <c r="BW376" s="2" t="s">
        <v>235</v>
      </c>
      <c r="BX376" s="2" t="s">
        <v>244</v>
      </c>
      <c r="BY376" s="2" t="s">
        <v>245</v>
      </c>
      <c r="BZ376" s="2" t="s">
        <v>232</v>
      </c>
      <c r="CA376" s="2" t="s">
        <v>252</v>
      </c>
      <c r="CB376" s="2" t="s">
        <v>1788</v>
      </c>
      <c r="CC376" s="2" t="s">
        <v>248</v>
      </c>
      <c r="CD376" s="2" t="s">
        <v>248</v>
      </c>
      <c r="CE376" s="2" t="s">
        <v>235</v>
      </c>
      <c r="CF376" s="4"/>
      <c r="CG376" s="4"/>
      <c r="CH376" s="4"/>
      <c r="CI376" s="4">
        <v>150</v>
      </c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>
        <v>150</v>
      </c>
      <c r="GE376" s="4">
        <v>143</v>
      </c>
      <c r="GF376" s="4">
        <v>137</v>
      </c>
      <c r="GG376" s="4">
        <v>131</v>
      </c>
      <c r="GH376" s="4">
        <v>125</v>
      </c>
      <c r="GI376" s="4">
        <v>117</v>
      </c>
      <c r="GJ376" s="4">
        <v>109</v>
      </c>
      <c r="GK376" s="4">
        <v>101</v>
      </c>
      <c r="GL376" s="4">
        <v>93</v>
      </c>
      <c r="GM376" s="4">
        <v>85</v>
      </c>
      <c r="GN376" s="4">
        <v>72</v>
      </c>
      <c r="GO376" s="4">
        <v>50</v>
      </c>
      <c r="GP376" s="4">
        <v>30</v>
      </c>
      <c r="GQ376" s="4"/>
      <c r="GR376" s="4"/>
      <c r="GS376" s="4"/>
      <c r="GT376" s="4">
        <v>160</v>
      </c>
      <c r="GU376" s="4">
        <v>154</v>
      </c>
      <c r="GV376" s="4">
        <v>148</v>
      </c>
      <c r="GW376" s="4">
        <v>144</v>
      </c>
      <c r="GX376" s="4">
        <v>140</v>
      </c>
      <c r="GY376" s="4">
        <v>136</v>
      </c>
      <c r="GZ376" s="4">
        <v>132</v>
      </c>
      <c r="HA376" s="4">
        <v>125</v>
      </c>
      <c r="HB376" s="4">
        <v>118</v>
      </c>
      <c r="HC376" s="4">
        <v>110</v>
      </c>
      <c r="HD376" s="19">
        <v>25</v>
      </c>
      <c r="HE376" s="19">
        <v>23.8</v>
      </c>
      <c r="HF376" s="19">
        <v>19.6</v>
      </c>
      <c r="HG376" s="19">
        <v>16.4</v>
      </c>
      <c r="HH376" s="19">
        <v>15.6</v>
      </c>
      <c r="HI376" s="19">
        <v>14.6</v>
      </c>
      <c r="HJ376" s="19">
        <v>12.1</v>
      </c>
      <c r="HK376" s="19">
        <v>7.8</v>
      </c>
      <c r="HL376" s="19">
        <v>5.8</v>
      </c>
      <c r="HM376" s="19">
        <v>3.5</v>
      </c>
      <c r="HN376" s="19">
        <v>2.8</v>
      </c>
      <c r="HO376" s="19">
        <v>2</v>
      </c>
      <c r="HP376" s="19">
        <v>1.4</v>
      </c>
      <c r="HQ376" s="9"/>
      <c r="HR376" s="20">
        <v>0</v>
      </c>
      <c r="HS376" s="20">
        <v>0</v>
      </c>
      <c r="HT376" s="19">
        <v>32</v>
      </c>
      <c r="HU376" s="19">
        <v>38.5</v>
      </c>
      <c r="HV376" s="19">
        <v>37</v>
      </c>
      <c r="HW376" s="19">
        <v>28.8</v>
      </c>
      <c r="HX376" s="19">
        <v>23.3</v>
      </c>
      <c r="HY376" s="19">
        <v>22.7</v>
      </c>
      <c r="HZ376" s="19">
        <v>18.9</v>
      </c>
      <c r="IA376" s="19">
        <v>15.6</v>
      </c>
      <c r="IB376" s="19">
        <v>14.8</v>
      </c>
      <c r="IC376" s="19">
        <v>13.8</v>
      </c>
    </row>
    <row r="377">
      <c r="A377" s="2" t="s">
        <v>1789</v>
      </c>
      <c r="B377" s="2" t="s">
        <v>224</v>
      </c>
      <c r="C377" s="2" t="s">
        <v>225</v>
      </c>
      <c r="D377" s="2" t="s">
        <v>361</v>
      </c>
      <c r="E377" s="2" t="s">
        <v>362</v>
      </c>
      <c r="F377" s="2" t="s">
        <v>1782</v>
      </c>
      <c r="G377" s="2" t="s">
        <v>1783</v>
      </c>
      <c r="H377" s="2" t="s">
        <v>1783</v>
      </c>
      <c r="I377" s="2" t="s">
        <v>1784</v>
      </c>
      <c r="J377" s="2" t="s">
        <v>372</v>
      </c>
      <c r="K377" s="2" t="s">
        <v>316</v>
      </c>
      <c r="L377" s="3">
        <v>41.32</v>
      </c>
      <c r="M377" s="3">
        <v>43.39</v>
      </c>
      <c r="N377" s="3">
        <v>84.99</v>
      </c>
      <c r="O377" s="2" t="s">
        <v>232</v>
      </c>
      <c r="P377" s="2" t="s">
        <v>233</v>
      </c>
      <c r="Q377" s="2" t="s">
        <v>234</v>
      </c>
      <c r="R377" s="2" t="s">
        <v>235</v>
      </c>
      <c r="S377" s="2" t="s">
        <v>1785</v>
      </c>
      <c r="T377" s="2" t="s">
        <v>501</v>
      </c>
      <c r="U377" s="2" t="s">
        <v>235</v>
      </c>
      <c r="V377" s="2" t="s">
        <v>238</v>
      </c>
      <c r="W377" s="2" t="s">
        <v>239</v>
      </c>
      <c r="X377" s="2" t="s">
        <v>235</v>
      </c>
      <c r="Y377" s="2" t="s">
        <v>1790</v>
      </c>
      <c r="Z377" s="4">
        <v>255</v>
      </c>
      <c r="AA377" s="4">
        <f>=ROUNDDOWN(63.75,0)</f>
      </c>
      <c r="AB377" s="5">
        <v>4</v>
      </c>
      <c r="AC377" s="2" t="s">
        <v>235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235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235</v>
      </c>
      <c r="AW377" s="8" t="s">
        <v>235</v>
      </c>
      <c r="AX377" s="4" t="s">
        <v>235</v>
      </c>
      <c r="AY377" s="8" t="s">
        <v>235</v>
      </c>
      <c r="AZ377" s="7" t="s">
        <v>235</v>
      </c>
      <c r="BA377" s="7" t="s">
        <v>235</v>
      </c>
      <c r="BB377" s="7"/>
      <c r="BC377" s="4" t="s">
        <v>235</v>
      </c>
      <c r="BD377" s="8" t="s">
        <v>235</v>
      </c>
      <c r="BE377" s="4" t="s">
        <v>235</v>
      </c>
      <c r="BF377" s="8" t="s">
        <v>235</v>
      </c>
      <c r="BG377" s="7" t="s">
        <v>235</v>
      </c>
      <c r="BH377" s="7" t="s">
        <v>235</v>
      </c>
      <c r="BI377" s="7"/>
      <c r="BJ377" s="4">
        <v>20</v>
      </c>
      <c r="BK377" s="8">
        <v>1011.57</v>
      </c>
      <c r="BL377" s="2" t="s">
        <v>1791</v>
      </c>
      <c r="BM377" s="7"/>
      <c r="BN377" s="7"/>
      <c r="BO377" s="4"/>
      <c r="BP377" s="8"/>
      <c r="BQ377" s="4"/>
      <c r="BR377" s="8"/>
      <c r="BS377" s="7"/>
      <c r="BT377" s="7"/>
      <c r="BU377" s="2" t="s">
        <v>1787</v>
      </c>
      <c r="BV377" s="2" t="s">
        <v>243</v>
      </c>
      <c r="BW377" s="2" t="s">
        <v>235</v>
      </c>
      <c r="BX377" s="2" t="s">
        <v>244</v>
      </c>
      <c r="BY377" s="2" t="s">
        <v>245</v>
      </c>
      <c r="BZ377" s="2" t="s">
        <v>232</v>
      </c>
      <c r="CA377" s="2" t="s">
        <v>252</v>
      </c>
      <c r="CB377" s="2" t="s">
        <v>1792</v>
      </c>
      <c r="CC377" s="2" t="s">
        <v>248</v>
      </c>
      <c r="CD377" s="2" t="s">
        <v>248</v>
      </c>
      <c r="CE377" s="2" t="s">
        <v>235</v>
      </c>
      <c r="CF377" s="4">
        <v>95</v>
      </c>
      <c r="CG377" s="4"/>
      <c r="CH377" s="4"/>
      <c r="CI377" s="4">
        <v>160</v>
      </c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>
        <v>255</v>
      </c>
      <c r="GE377" s="4">
        <v>251</v>
      </c>
      <c r="GF377" s="4">
        <v>247</v>
      </c>
      <c r="GG377" s="4">
        <v>243</v>
      </c>
      <c r="GH377" s="4">
        <v>239</v>
      </c>
      <c r="GI377" s="4">
        <v>235</v>
      </c>
      <c r="GJ377" s="4">
        <v>231</v>
      </c>
      <c r="GK377" s="4">
        <v>227</v>
      </c>
      <c r="GL377" s="4">
        <v>223</v>
      </c>
      <c r="GM377" s="4">
        <v>219</v>
      </c>
      <c r="GN377" s="4">
        <v>212</v>
      </c>
      <c r="GO377" s="4">
        <v>201</v>
      </c>
      <c r="GP377" s="4">
        <v>191</v>
      </c>
      <c r="GQ377" s="4">
        <v>170</v>
      </c>
      <c r="GR377" s="4">
        <v>161</v>
      </c>
      <c r="GS377" s="4">
        <v>153</v>
      </c>
      <c r="GT377" s="4">
        <v>148</v>
      </c>
      <c r="GU377" s="4">
        <v>145</v>
      </c>
      <c r="GV377" s="4">
        <v>141</v>
      </c>
      <c r="GW377" s="4">
        <v>139</v>
      </c>
      <c r="GX377" s="4">
        <v>137</v>
      </c>
      <c r="GY377" s="4">
        <v>135</v>
      </c>
      <c r="GZ377" s="4">
        <v>133</v>
      </c>
      <c r="HA377" s="4">
        <v>129</v>
      </c>
      <c r="HB377" s="4">
        <v>125</v>
      </c>
      <c r="HC377" s="4">
        <v>120</v>
      </c>
      <c r="HD377" s="19">
        <v>63.8</v>
      </c>
      <c r="HE377" s="19">
        <v>62.8</v>
      </c>
      <c r="HF377" s="19">
        <v>61.8</v>
      </c>
      <c r="HG377" s="19">
        <v>60.8</v>
      </c>
      <c r="HH377" s="19">
        <v>59.8</v>
      </c>
      <c r="HI377" s="19">
        <v>58.8</v>
      </c>
      <c r="HJ377" s="19">
        <v>46.2</v>
      </c>
      <c r="HK377" s="19">
        <v>37.8</v>
      </c>
      <c r="HL377" s="19">
        <v>27.9</v>
      </c>
      <c r="HM377" s="19">
        <v>18.3</v>
      </c>
      <c r="HN377" s="19">
        <v>16.3</v>
      </c>
      <c r="HO377" s="19">
        <v>16.8</v>
      </c>
      <c r="HP377" s="19">
        <v>17.4</v>
      </c>
      <c r="HQ377" s="19">
        <v>28.3</v>
      </c>
      <c r="HR377" s="19">
        <v>32.2</v>
      </c>
      <c r="HS377" s="19">
        <v>38.3</v>
      </c>
      <c r="HT377" s="19">
        <v>49.3</v>
      </c>
      <c r="HU377" s="19">
        <v>72.5</v>
      </c>
      <c r="HV377" s="19">
        <v>70.5</v>
      </c>
      <c r="HW377" s="19">
        <v>69.5</v>
      </c>
      <c r="HX377" s="19">
        <v>45.7</v>
      </c>
      <c r="HY377" s="19">
        <v>33.8</v>
      </c>
      <c r="HZ377" s="19">
        <v>33.3</v>
      </c>
      <c r="IA377" s="19">
        <v>32.3</v>
      </c>
      <c r="IB377" s="19">
        <v>25</v>
      </c>
      <c r="IC377" s="19">
        <v>24</v>
      </c>
    </row>
    <row r="378">
      <c r="A378" s="2" t="s">
        <v>1793</v>
      </c>
      <c r="B378" s="2" t="s">
        <v>905</v>
      </c>
      <c r="C378" s="2" t="s">
        <v>980</v>
      </c>
      <c r="D378" s="2" t="s">
        <v>361</v>
      </c>
      <c r="E378" s="2" t="s">
        <v>924</v>
      </c>
      <c r="F378" s="2" t="s">
        <v>1794</v>
      </c>
      <c r="G378" s="2" t="s">
        <v>1794</v>
      </c>
      <c r="H378" s="2" t="s">
        <v>1794</v>
      </c>
      <c r="I378" s="2" t="s">
        <v>1795</v>
      </c>
      <c r="J378" s="2" t="s">
        <v>365</v>
      </c>
      <c r="K378" s="2" t="s">
        <v>1796</v>
      </c>
      <c r="L378" s="3">
        <v>53.33</v>
      </c>
      <c r="M378" s="3">
        <v>56</v>
      </c>
      <c r="N378" s="3">
        <v>109.99</v>
      </c>
      <c r="O378" s="2" t="s">
        <v>485</v>
      </c>
      <c r="P378" s="2" t="s">
        <v>408</v>
      </c>
      <c r="Q378" s="2" t="s">
        <v>234</v>
      </c>
      <c r="R378" s="2" t="s">
        <v>235</v>
      </c>
      <c r="S378" s="2" t="s">
        <v>1797</v>
      </c>
      <c r="T378" s="2" t="s">
        <v>912</v>
      </c>
      <c r="U378" s="2" t="s">
        <v>552</v>
      </c>
      <c r="V378" s="2" t="s">
        <v>1222</v>
      </c>
      <c r="W378" s="2" t="s">
        <v>1798</v>
      </c>
      <c r="X378" s="2" t="s">
        <v>239</v>
      </c>
      <c r="Y378" s="2" t="s">
        <v>1799</v>
      </c>
      <c r="Z378" s="4">
        <v>293</v>
      </c>
      <c r="AA378" s="4">
        <f>=ROUNDDOWN(732.5,0)</f>
      </c>
      <c r="AB378" s="5">
        <v>0.4</v>
      </c>
      <c r="AC378" s="2" t="s">
        <v>235</v>
      </c>
      <c r="AD378" s="4"/>
      <c r="AE378" s="4"/>
      <c r="AF378" s="6"/>
      <c r="AG378" s="6"/>
      <c r="AH378" s="7">
        <v>1</v>
      </c>
      <c r="AI378" s="4"/>
      <c r="AJ378" s="4">
        <f>=ROUNDDOWN({0},0)</f>
      </c>
      <c r="AK378" s="5"/>
      <c r="AL378" s="2" t="s">
        <v>235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235</v>
      </c>
      <c r="AW378" s="8" t="s">
        <v>235</v>
      </c>
      <c r="AX378" s="4" t="s">
        <v>235</v>
      </c>
      <c r="AY378" s="8" t="s">
        <v>235</v>
      </c>
      <c r="AZ378" s="7" t="s">
        <v>235</v>
      </c>
      <c r="BA378" s="7" t="s">
        <v>235</v>
      </c>
      <c r="BB378" s="7"/>
      <c r="BC378" s="4" t="s">
        <v>235</v>
      </c>
      <c r="BD378" s="8" t="s">
        <v>235</v>
      </c>
      <c r="BE378" s="4" t="s">
        <v>235</v>
      </c>
      <c r="BF378" s="8" t="s">
        <v>235</v>
      </c>
      <c r="BG378" s="7" t="s">
        <v>235</v>
      </c>
      <c r="BH378" s="7" t="s">
        <v>235</v>
      </c>
      <c r="BI378" s="7"/>
      <c r="BJ378" s="4">
        <v>2</v>
      </c>
      <c r="BK378" s="8">
        <v>117.6</v>
      </c>
      <c r="BL378" s="2" t="s">
        <v>1800</v>
      </c>
      <c r="BM378" s="7"/>
      <c r="BN378" s="7"/>
      <c r="BO378" s="4"/>
      <c r="BP378" s="8"/>
      <c r="BQ378" s="4"/>
      <c r="BR378" s="8"/>
      <c r="BS378" s="7"/>
      <c r="BT378" s="7"/>
      <c r="BU378" s="2" t="s">
        <v>1801</v>
      </c>
      <c r="BV378" s="2" t="s">
        <v>243</v>
      </c>
      <c r="BW378" s="2" t="s">
        <v>235</v>
      </c>
      <c r="BX378" s="2" t="s">
        <v>414</v>
      </c>
      <c r="BY378" s="2" t="s">
        <v>245</v>
      </c>
      <c r="BZ378" s="2" t="s">
        <v>232</v>
      </c>
      <c r="CA378" s="2" t="s">
        <v>1802</v>
      </c>
      <c r="CB378" s="2" t="s">
        <v>1803</v>
      </c>
      <c r="CC378" s="2" t="s">
        <v>248</v>
      </c>
      <c r="CD378" s="2" t="s">
        <v>248</v>
      </c>
      <c r="CE378" s="2" t="s">
        <v>235</v>
      </c>
      <c r="CF378" s="4"/>
      <c r="CG378" s="4"/>
      <c r="CH378" s="4"/>
      <c r="CI378" s="4">
        <v>293</v>
      </c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</row>
    <row r="379">
      <c r="A379" s="2" t="s">
        <v>1804</v>
      </c>
      <c r="B379" s="2" t="s">
        <v>905</v>
      </c>
      <c r="C379" s="2" t="s">
        <v>980</v>
      </c>
      <c r="D379" s="2" t="s">
        <v>361</v>
      </c>
      <c r="E379" s="2" t="s">
        <v>924</v>
      </c>
      <c r="F379" s="2" t="s">
        <v>1794</v>
      </c>
      <c r="G379" s="2" t="s">
        <v>1794</v>
      </c>
      <c r="H379" s="2" t="s">
        <v>1794</v>
      </c>
      <c r="I379" s="2" t="s">
        <v>1795</v>
      </c>
      <c r="J379" s="2" t="s">
        <v>372</v>
      </c>
      <c r="K379" s="2" t="s">
        <v>1796</v>
      </c>
      <c r="L379" s="3">
        <v>62.2</v>
      </c>
      <c r="M379" s="3">
        <v>65.31</v>
      </c>
      <c r="N379" s="3">
        <v>129.99</v>
      </c>
      <c r="O379" s="2" t="s">
        <v>407</v>
      </c>
      <c r="P379" s="2" t="s">
        <v>408</v>
      </c>
      <c r="Q379" s="2" t="s">
        <v>234</v>
      </c>
      <c r="R379" s="2" t="s">
        <v>235</v>
      </c>
      <c r="S379" s="2" t="s">
        <v>1797</v>
      </c>
      <c r="T379" s="2" t="s">
        <v>912</v>
      </c>
      <c r="U379" s="2" t="s">
        <v>552</v>
      </c>
      <c r="V379" s="2" t="s">
        <v>1222</v>
      </c>
      <c r="W379" s="2" t="s">
        <v>1798</v>
      </c>
      <c r="X379" s="2" t="s">
        <v>239</v>
      </c>
      <c r="Y379" s="2" t="s">
        <v>1799</v>
      </c>
      <c r="Z379" s="4">
        <v>152</v>
      </c>
      <c r="AA379" s="4">
        <f>=ROUNDDOWN(126.666666666667,0)</f>
      </c>
      <c r="AB379" s="5">
        <v>1.2</v>
      </c>
      <c r="AC379" s="2" t="s">
        <v>235</v>
      </c>
      <c r="AD379" s="4"/>
      <c r="AE379" s="4"/>
      <c r="AF379" s="6"/>
      <c r="AG379" s="6"/>
      <c r="AH379" s="7">
        <v>1</v>
      </c>
      <c r="AI379" s="4"/>
      <c r="AJ379" s="4">
        <f>=ROUNDDOWN({0},0)</f>
      </c>
      <c r="AK379" s="5"/>
      <c r="AL379" s="2" t="s">
        <v>235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235</v>
      </c>
      <c r="AW379" s="8" t="s">
        <v>235</v>
      </c>
      <c r="AX379" s="4" t="s">
        <v>235</v>
      </c>
      <c r="AY379" s="8" t="s">
        <v>235</v>
      </c>
      <c r="AZ379" s="7" t="s">
        <v>235</v>
      </c>
      <c r="BA379" s="7" t="s">
        <v>235</v>
      </c>
      <c r="BB379" s="7"/>
      <c r="BC379" s="4" t="s">
        <v>235</v>
      </c>
      <c r="BD379" s="8" t="s">
        <v>235</v>
      </c>
      <c r="BE379" s="4" t="s">
        <v>235</v>
      </c>
      <c r="BF379" s="8" t="s">
        <v>235</v>
      </c>
      <c r="BG379" s="7" t="s">
        <v>235</v>
      </c>
      <c r="BH379" s="7" t="s">
        <v>235</v>
      </c>
      <c r="BI379" s="7"/>
      <c r="BJ379" s="4">
        <v>1</v>
      </c>
      <c r="BK379" s="8">
        <v>65.31</v>
      </c>
      <c r="BL379" s="2" t="s">
        <v>1805</v>
      </c>
      <c r="BM379" s="7"/>
      <c r="BN379" s="7"/>
      <c r="BO379" s="4"/>
      <c r="BP379" s="8"/>
      <c r="BQ379" s="4"/>
      <c r="BR379" s="8"/>
      <c r="BS379" s="7"/>
      <c r="BT379" s="7"/>
      <c r="BU379" s="2" t="s">
        <v>1801</v>
      </c>
      <c r="BV379" s="2" t="s">
        <v>243</v>
      </c>
      <c r="BW379" s="2" t="s">
        <v>235</v>
      </c>
      <c r="BX379" s="2" t="s">
        <v>414</v>
      </c>
      <c r="BY379" s="2" t="s">
        <v>245</v>
      </c>
      <c r="BZ379" s="2" t="s">
        <v>232</v>
      </c>
      <c r="CA379" s="2" t="s">
        <v>1802</v>
      </c>
      <c r="CB379" s="2" t="s">
        <v>1709</v>
      </c>
      <c r="CC379" s="2" t="s">
        <v>248</v>
      </c>
      <c r="CD379" s="2" t="s">
        <v>248</v>
      </c>
      <c r="CE379" s="2" t="s">
        <v>235</v>
      </c>
      <c r="CF379" s="4"/>
      <c r="CG379" s="4"/>
      <c r="CH379" s="4"/>
      <c r="CI379" s="4">
        <v>152</v>
      </c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</row>
    <row r="380">
      <c r="A380" s="2" t="s">
        <v>1806</v>
      </c>
      <c r="B380" s="2" t="s">
        <v>905</v>
      </c>
      <c r="C380" s="2" t="s">
        <v>980</v>
      </c>
      <c r="D380" s="2" t="s">
        <v>361</v>
      </c>
      <c r="E380" s="2" t="s">
        <v>924</v>
      </c>
      <c r="F380" s="2" t="s">
        <v>1794</v>
      </c>
      <c r="G380" s="2" t="s">
        <v>1794</v>
      </c>
      <c r="H380" s="2" t="s">
        <v>1794</v>
      </c>
      <c r="I380" s="2" t="s">
        <v>1795</v>
      </c>
      <c r="J380" s="2" t="s">
        <v>365</v>
      </c>
      <c r="K380" s="2" t="s">
        <v>1807</v>
      </c>
      <c r="L380" s="3">
        <v>53.33</v>
      </c>
      <c r="M380" s="3">
        <v>56</v>
      </c>
      <c r="N380" s="3">
        <v>109.99</v>
      </c>
      <c r="O380" s="2" t="s">
        <v>485</v>
      </c>
      <c r="P380" s="2" t="s">
        <v>408</v>
      </c>
      <c r="Q380" s="2" t="s">
        <v>234</v>
      </c>
      <c r="R380" s="2" t="s">
        <v>235</v>
      </c>
      <c r="S380" s="2" t="s">
        <v>1808</v>
      </c>
      <c r="T380" s="2" t="s">
        <v>912</v>
      </c>
      <c r="U380" s="2" t="s">
        <v>552</v>
      </c>
      <c r="V380" s="2" t="s">
        <v>1222</v>
      </c>
      <c r="W380" s="2" t="s">
        <v>1798</v>
      </c>
      <c r="X380" s="2" t="s">
        <v>239</v>
      </c>
      <c r="Y380" s="2" t="s">
        <v>1809</v>
      </c>
      <c r="Z380" s="4">
        <v>307</v>
      </c>
      <c r="AA380" s="4">
        <f>=ROUNDDOWN(1535,0)</f>
      </c>
      <c r="AB380" s="5">
        <v>0.2</v>
      </c>
      <c r="AC380" s="2" t="s">
        <v>235</v>
      </c>
      <c r="AD380" s="4"/>
      <c r="AE380" s="4"/>
      <c r="AF380" s="6"/>
      <c r="AG380" s="6"/>
      <c r="AH380" s="7">
        <v>1</v>
      </c>
      <c r="AI380" s="4"/>
      <c r="AJ380" s="4">
        <f>=ROUNDDOWN({0},0)</f>
      </c>
      <c r="AK380" s="5"/>
      <c r="AL380" s="2" t="s">
        <v>235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235</v>
      </c>
      <c r="AW380" s="8" t="s">
        <v>235</v>
      </c>
      <c r="AX380" s="4" t="s">
        <v>235</v>
      </c>
      <c r="AY380" s="8" t="s">
        <v>235</v>
      </c>
      <c r="AZ380" s="7" t="s">
        <v>235</v>
      </c>
      <c r="BA380" s="7" t="s">
        <v>235</v>
      </c>
      <c r="BB380" s="7"/>
      <c r="BC380" s="4" t="s">
        <v>235</v>
      </c>
      <c r="BD380" s="8" t="s">
        <v>235</v>
      </c>
      <c r="BE380" s="4" t="s">
        <v>235</v>
      </c>
      <c r="BF380" s="8" t="s">
        <v>235</v>
      </c>
      <c r="BG380" s="7" t="s">
        <v>235</v>
      </c>
      <c r="BH380" s="7" t="s">
        <v>235</v>
      </c>
      <c r="BI380" s="7"/>
      <c r="BJ380" s="4">
        <v>1</v>
      </c>
      <c r="BK380" s="8">
        <v>42.34</v>
      </c>
      <c r="BL380" s="2" t="s">
        <v>1810</v>
      </c>
      <c r="BM380" s="7"/>
      <c r="BN380" s="7"/>
      <c r="BO380" s="4"/>
      <c r="BP380" s="8"/>
      <c r="BQ380" s="4"/>
      <c r="BR380" s="8"/>
      <c r="BS380" s="7"/>
      <c r="BT380" s="7"/>
      <c r="BU380" s="2" t="s">
        <v>1801</v>
      </c>
      <c r="BV380" s="2" t="s">
        <v>243</v>
      </c>
      <c r="BW380" s="2" t="s">
        <v>235</v>
      </c>
      <c r="BX380" s="2" t="s">
        <v>414</v>
      </c>
      <c r="BY380" s="2" t="s">
        <v>245</v>
      </c>
      <c r="BZ380" s="2" t="s">
        <v>232</v>
      </c>
      <c r="CA380" s="2" t="s">
        <v>1802</v>
      </c>
      <c r="CB380" s="2" t="s">
        <v>1803</v>
      </c>
      <c r="CC380" s="2" t="s">
        <v>248</v>
      </c>
      <c r="CD380" s="2" t="s">
        <v>248</v>
      </c>
      <c r="CE380" s="2" t="s">
        <v>235</v>
      </c>
      <c r="CF380" s="4"/>
      <c r="CG380" s="4"/>
      <c r="CH380" s="4"/>
      <c r="CI380" s="4">
        <v>307</v>
      </c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</row>
    <row r="381">
      <c r="A381" s="2" t="s">
        <v>1811</v>
      </c>
      <c r="B381" s="2" t="s">
        <v>905</v>
      </c>
      <c r="C381" s="2" t="s">
        <v>980</v>
      </c>
      <c r="D381" s="2" t="s">
        <v>361</v>
      </c>
      <c r="E381" s="2" t="s">
        <v>924</v>
      </c>
      <c r="F381" s="2" t="s">
        <v>1794</v>
      </c>
      <c r="G381" s="2" t="s">
        <v>1794</v>
      </c>
      <c r="H381" s="2" t="s">
        <v>1794</v>
      </c>
      <c r="I381" s="2" t="s">
        <v>1795</v>
      </c>
      <c r="J381" s="2" t="s">
        <v>372</v>
      </c>
      <c r="K381" s="2" t="s">
        <v>1807</v>
      </c>
      <c r="L381" s="3">
        <v>62.2</v>
      </c>
      <c r="M381" s="3">
        <v>65.31</v>
      </c>
      <c r="N381" s="3">
        <v>129.99</v>
      </c>
      <c r="O381" s="2" t="s">
        <v>407</v>
      </c>
      <c r="P381" s="2" t="s">
        <v>408</v>
      </c>
      <c r="Q381" s="2" t="s">
        <v>234</v>
      </c>
      <c r="R381" s="2" t="s">
        <v>235</v>
      </c>
      <c r="S381" s="2" t="s">
        <v>1808</v>
      </c>
      <c r="T381" s="2" t="s">
        <v>912</v>
      </c>
      <c r="U381" s="2" t="s">
        <v>552</v>
      </c>
      <c r="V381" s="2" t="s">
        <v>1222</v>
      </c>
      <c r="W381" s="2" t="s">
        <v>1798</v>
      </c>
      <c r="X381" s="2" t="s">
        <v>239</v>
      </c>
      <c r="Y381" s="2" t="s">
        <v>1799</v>
      </c>
      <c r="Z381" s="4">
        <v>156</v>
      </c>
      <c r="AA381" s="4">
        <f>=ROUNDDOWN({0},0)</f>
      </c>
      <c r="AB381" s="5"/>
      <c r="AC381" s="2" t="s">
        <v>235</v>
      </c>
      <c r="AD381" s="4"/>
      <c r="AE381" s="4"/>
      <c r="AF381" s="6"/>
      <c r="AG381" s="6"/>
      <c r="AH381" s="7">
        <v>1</v>
      </c>
      <c r="AI381" s="4"/>
      <c r="AJ381" s="4">
        <f>=ROUNDDOWN({0},0)</f>
      </c>
      <c r="AK381" s="5"/>
      <c r="AL381" s="2" t="s">
        <v>235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235</v>
      </c>
      <c r="AW381" s="8" t="s">
        <v>235</v>
      </c>
      <c r="AX381" s="4" t="s">
        <v>235</v>
      </c>
      <c r="AY381" s="8" t="s">
        <v>235</v>
      </c>
      <c r="AZ381" s="7" t="s">
        <v>235</v>
      </c>
      <c r="BA381" s="7" t="s">
        <v>235</v>
      </c>
      <c r="BB381" s="7"/>
      <c r="BC381" s="4" t="s">
        <v>235</v>
      </c>
      <c r="BD381" s="8" t="s">
        <v>235</v>
      </c>
      <c r="BE381" s="4" t="s">
        <v>235</v>
      </c>
      <c r="BF381" s="8" t="s">
        <v>235</v>
      </c>
      <c r="BG381" s="7" t="s">
        <v>235</v>
      </c>
      <c r="BH381" s="7" t="s">
        <v>235</v>
      </c>
      <c r="BI381" s="7"/>
      <c r="BJ381" s="4">
        <v>1</v>
      </c>
      <c r="BK381" s="8">
        <v>48.01</v>
      </c>
      <c r="BL381" s="2" t="s">
        <v>1461</v>
      </c>
      <c r="BM381" s="7"/>
      <c r="BN381" s="7"/>
      <c r="BO381" s="4"/>
      <c r="BP381" s="8"/>
      <c r="BQ381" s="4"/>
      <c r="BR381" s="8"/>
      <c r="BS381" s="7"/>
      <c r="BT381" s="7"/>
      <c r="BU381" s="2" t="s">
        <v>1801</v>
      </c>
      <c r="BV381" s="2" t="s">
        <v>243</v>
      </c>
      <c r="BW381" s="2" t="s">
        <v>235</v>
      </c>
      <c r="BX381" s="2" t="s">
        <v>414</v>
      </c>
      <c r="BY381" s="2" t="s">
        <v>245</v>
      </c>
      <c r="BZ381" s="2" t="s">
        <v>232</v>
      </c>
      <c r="CA381" s="2" t="s">
        <v>1802</v>
      </c>
      <c r="CB381" s="2" t="s">
        <v>1812</v>
      </c>
      <c r="CC381" s="2" t="s">
        <v>248</v>
      </c>
      <c r="CD381" s="2" t="s">
        <v>248</v>
      </c>
      <c r="CE381" s="2" t="s">
        <v>235</v>
      </c>
      <c r="CF381" s="4"/>
      <c r="CG381" s="4"/>
      <c r="CH381" s="4"/>
      <c r="CI381" s="4">
        <v>156</v>
      </c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</row>
    <row r="382">
      <c r="A382" s="2" t="s">
        <v>1813</v>
      </c>
      <c r="B382" s="2" t="s">
        <v>905</v>
      </c>
      <c r="C382" s="2" t="s">
        <v>980</v>
      </c>
      <c r="D382" s="2" t="s">
        <v>361</v>
      </c>
      <c r="E382" s="2" t="s">
        <v>924</v>
      </c>
      <c r="F382" s="2" t="s">
        <v>1794</v>
      </c>
      <c r="G382" s="2" t="s">
        <v>1794</v>
      </c>
      <c r="H382" s="2" t="s">
        <v>1794</v>
      </c>
      <c r="I382" s="2" t="s">
        <v>1795</v>
      </c>
      <c r="J382" s="2" t="s">
        <v>365</v>
      </c>
      <c r="K382" s="2" t="s">
        <v>1814</v>
      </c>
      <c r="L382" s="3">
        <v>53.33</v>
      </c>
      <c r="M382" s="3">
        <v>56</v>
      </c>
      <c r="N382" s="3">
        <v>109.99</v>
      </c>
      <c r="O382" s="2" t="s">
        <v>485</v>
      </c>
      <c r="P382" s="2" t="s">
        <v>408</v>
      </c>
      <c r="Q382" s="2" t="s">
        <v>234</v>
      </c>
      <c r="R382" s="2" t="s">
        <v>235</v>
      </c>
      <c r="S382" s="2" t="s">
        <v>1815</v>
      </c>
      <c r="T382" s="2" t="s">
        <v>912</v>
      </c>
      <c r="U382" s="2" t="s">
        <v>552</v>
      </c>
      <c r="V382" s="2" t="s">
        <v>1222</v>
      </c>
      <c r="W382" s="2" t="s">
        <v>1798</v>
      </c>
      <c r="X382" s="2" t="s">
        <v>239</v>
      </c>
      <c r="Y382" s="2" t="s">
        <v>1799</v>
      </c>
      <c r="Z382" s="4">
        <v>324</v>
      </c>
      <c r="AA382" s="4">
        <f>=ROUNDDOWN({0},0)</f>
      </c>
      <c r="AB382" s="5"/>
      <c r="AC382" s="2" t="s">
        <v>235</v>
      </c>
      <c r="AD382" s="4"/>
      <c r="AE382" s="4"/>
      <c r="AF382" s="6"/>
      <c r="AG382" s="6"/>
      <c r="AH382" s="7">
        <v>1</v>
      </c>
      <c r="AI382" s="4"/>
      <c r="AJ382" s="4">
        <f>=ROUNDDOWN({0},0)</f>
      </c>
      <c r="AK382" s="5"/>
      <c r="AL382" s="2" t="s">
        <v>235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235</v>
      </c>
      <c r="AW382" s="8" t="s">
        <v>235</v>
      </c>
      <c r="AX382" s="4" t="s">
        <v>235</v>
      </c>
      <c r="AY382" s="8" t="s">
        <v>235</v>
      </c>
      <c r="AZ382" s="7" t="s">
        <v>235</v>
      </c>
      <c r="BA382" s="7" t="s">
        <v>235</v>
      </c>
      <c r="BB382" s="7"/>
      <c r="BC382" s="4" t="s">
        <v>235</v>
      </c>
      <c r="BD382" s="8" t="s">
        <v>235</v>
      </c>
      <c r="BE382" s="4" t="s">
        <v>235</v>
      </c>
      <c r="BF382" s="8" t="s">
        <v>235</v>
      </c>
      <c r="BG382" s="7" t="s">
        <v>235</v>
      </c>
      <c r="BH382" s="7" t="s">
        <v>235</v>
      </c>
      <c r="BI382" s="7"/>
      <c r="BJ382" s="4"/>
      <c r="BK382" s="8"/>
      <c r="BL382" s="2" t="s">
        <v>1810</v>
      </c>
      <c r="BM382" s="7"/>
      <c r="BN382" s="7"/>
      <c r="BO382" s="4"/>
      <c r="BP382" s="8"/>
      <c r="BQ382" s="4"/>
      <c r="BR382" s="8"/>
      <c r="BS382" s="7"/>
      <c r="BT382" s="7"/>
      <c r="BU382" s="2" t="s">
        <v>1801</v>
      </c>
      <c r="BV382" s="2" t="s">
        <v>243</v>
      </c>
      <c r="BW382" s="2" t="s">
        <v>235</v>
      </c>
      <c r="BX382" s="2" t="s">
        <v>414</v>
      </c>
      <c r="BY382" s="2" t="s">
        <v>245</v>
      </c>
      <c r="BZ382" s="2" t="s">
        <v>232</v>
      </c>
      <c r="CA382" s="2" t="s">
        <v>1802</v>
      </c>
      <c r="CB382" s="2" t="s">
        <v>1321</v>
      </c>
      <c r="CC382" s="2" t="s">
        <v>248</v>
      </c>
      <c r="CD382" s="2" t="s">
        <v>248</v>
      </c>
      <c r="CE382" s="2" t="s">
        <v>235</v>
      </c>
      <c r="CF382" s="4"/>
      <c r="CG382" s="4"/>
      <c r="CH382" s="4"/>
      <c r="CI382" s="4">
        <v>324</v>
      </c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</row>
    <row r="383">
      <c r="A383" s="2" t="s">
        <v>1816</v>
      </c>
      <c r="B383" s="2" t="s">
        <v>905</v>
      </c>
      <c r="C383" s="2" t="s">
        <v>980</v>
      </c>
      <c r="D383" s="2" t="s">
        <v>361</v>
      </c>
      <c r="E383" s="2" t="s">
        <v>924</v>
      </c>
      <c r="F383" s="2" t="s">
        <v>1794</v>
      </c>
      <c r="G383" s="2" t="s">
        <v>1794</v>
      </c>
      <c r="H383" s="2" t="s">
        <v>1794</v>
      </c>
      <c r="I383" s="2" t="s">
        <v>1795</v>
      </c>
      <c r="J383" s="2" t="s">
        <v>372</v>
      </c>
      <c r="K383" s="2" t="s">
        <v>1814</v>
      </c>
      <c r="L383" s="3">
        <v>62.2</v>
      </c>
      <c r="M383" s="3">
        <v>65.31</v>
      </c>
      <c r="N383" s="3">
        <v>129.99</v>
      </c>
      <c r="O383" s="2" t="s">
        <v>407</v>
      </c>
      <c r="P383" s="2" t="s">
        <v>408</v>
      </c>
      <c r="Q383" s="2" t="s">
        <v>234</v>
      </c>
      <c r="R383" s="2" t="s">
        <v>235</v>
      </c>
      <c r="S383" s="2" t="s">
        <v>1815</v>
      </c>
      <c r="T383" s="2" t="s">
        <v>912</v>
      </c>
      <c r="U383" s="2" t="s">
        <v>552</v>
      </c>
      <c r="V383" s="2" t="s">
        <v>1222</v>
      </c>
      <c r="W383" s="2" t="s">
        <v>1798</v>
      </c>
      <c r="X383" s="2" t="s">
        <v>239</v>
      </c>
      <c r="Y383" s="2" t="s">
        <v>1799</v>
      </c>
      <c r="Z383" s="4">
        <v>146</v>
      </c>
      <c r="AA383" s="4">
        <f>=ROUNDDOWN(730,0)</f>
      </c>
      <c r="AB383" s="5">
        <v>0.2</v>
      </c>
      <c r="AC383" s="2" t="s">
        <v>235</v>
      </c>
      <c r="AD383" s="4"/>
      <c r="AE383" s="4"/>
      <c r="AF383" s="6"/>
      <c r="AG383" s="6"/>
      <c r="AH383" s="7">
        <v>1</v>
      </c>
      <c r="AI383" s="4"/>
      <c r="AJ383" s="4">
        <f>=ROUNDDOWN({0},0)</f>
      </c>
      <c r="AK383" s="5"/>
      <c r="AL383" s="2" t="s">
        <v>235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235</v>
      </c>
      <c r="AW383" s="8" t="s">
        <v>235</v>
      </c>
      <c r="AX383" s="4" t="s">
        <v>235</v>
      </c>
      <c r="AY383" s="8" t="s">
        <v>235</v>
      </c>
      <c r="AZ383" s="7" t="s">
        <v>235</v>
      </c>
      <c r="BA383" s="7" t="s">
        <v>235</v>
      </c>
      <c r="BB383" s="7"/>
      <c r="BC383" s="4" t="s">
        <v>235</v>
      </c>
      <c r="BD383" s="8" t="s">
        <v>235</v>
      </c>
      <c r="BE383" s="4" t="s">
        <v>235</v>
      </c>
      <c r="BF383" s="8" t="s">
        <v>235</v>
      </c>
      <c r="BG383" s="7" t="s">
        <v>235</v>
      </c>
      <c r="BH383" s="7" t="s">
        <v>235</v>
      </c>
      <c r="BI383" s="7"/>
      <c r="BJ383" s="4">
        <v>1</v>
      </c>
      <c r="BK383" s="8">
        <v>68.58</v>
      </c>
      <c r="BL383" s="2" t="s">
        <v>1810</v>
      </c>
      <c r="BM383" s="7"/>
      <c r="BN383" s="7"/>
      <c r="BO383" s="4"/>
      <c r="BP383" s="8"/>
      <c r="BQ383" s="4"/>
      <c r="BR383" s="8"/>
      <c r="BS383" s="7"/>
      <c r="BT383" s="7"/>
      <c r="BU383" s="2" t="s">
        <v>1801</v>
      </c>
      <c r="BV383" s="2" t="s">
        <v>243</v>
      </c>
      <c r="BW383" s="2" t="s">
        <v>235</v>
      </c>
      <c r="BX383" s="2" t="s">
        <v>414</v>
      </c>
      <c r="BY383" s="2" t="s">
        <v>245</v>
      </c>
      <c r="BZ383" s="2" t="s">
        <v>232</v>
      </c>
      <c r="CA383" s="2" t="s">
        <v>1802</v>
      </c>
      <c r="CB383" s="2" t="s">
        <v>1812</v>
      </c>
      <c r="CC383" s="2" t="s">
        <v>248</v>
      </c>
      <c r="CD383" s="2" t="s">
        <v>248</v>
      </c>
      <c r="CE383" s="2" t="s">
        <v>235</v>
      </c>
      <c r="CF383" s="4"/>
      <c r="CG383" s="4"/>
      <c r="CH383" s="4"/>
      <c r="CI383" s="4">
        <v>146</v>
      </c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</row>
    <row r="384">
      <c r="A384" s="2" t="s">
        <v>1817</v>
      </c>
      <c r="B384" s="2" t="s">
        <v>1071</v>
      </c>
      <c r="C384" s="2" t="s">
        <v>324</v>
      </c>
      <c r="D384" s="2" t="s">
        <v>1818</v>
      </c>
      <c r="E384" s="2" t="s">
        <v>1819</v>
      </c>
      <c r="F384" s="2" t="s">
        <v>1820</v>
      </c>
      <c r="G384" s="2" t="s">
        <v>1821</v>
      </c>
      <c r="H384" s="2" t="s">
        <v>1822</v>
      </c>
      <c r="I384" s="2" t="s">
        <v>1823</v>
      </c>
      <c r="J384" s="2" t="s">
        <v>806</v>
      </c>
      <c r="K384" s="2" t="s">
        <v>1169</v>
      </c>
      <c r="L384" s="3">
        <v>125.4</v>
      </c>
      <c r="M384" s="3">
        <v>131.67</v>
      </c>
      <c r="N384" s="3">
        <v>259</v>
      </c>
      <c r="O384" s="2" t="s">
        <v>407</v>
      </c>
      <c r="P384" s="2" t="s">
        <v>408</v>
      </c>
      <c r="Q384" s="2" t="s">
        <v>234</v>
      </c>
      <c r="R384" s="2" t="s">
        <v>235</v>
      </c>
      <c r="S384" s="2" t="s">
        <v>1824</v>
      </c>
      <c r="T384" s="2" t="s">
        <v>235</v>
      </c>
      <c r="U384" s="2" t="s">
        <v>235</v>
      </c>
      <c r="V384" s="2" t="s">
        <v>238</v>
      </c>
      <c r="W384" s="2" t="s">
        <v>682</v>
      </c>
      <c r="X384" s="2" t="s">
        <v>235</v>
      </c>
      <c r="Y384" s="2" t="s">
        <v>240</v>
      </c>
      <c r="Z384" s="4">
        <v>100</v>
      </c>
      <c r="AA384" s="4">
        <f>=ROUNDDOWN(9.34579439252336,0)</f>
      </c>
      <c r="AB384" s="5">
        <v>10.7</v>
      </c>
      <c r="AC384" s="2" t="s">
        <v>235</v>
      </c>
      <c r="AD384" s="4"/>
      <c r="AE384" s="4"/>
      <c r="AF384" s="6">
        <v>69</v>
      </c>
      <c r="AG384" s="6">
        <v>52</v>
      </c>
      <c r="AH384" s="7">
        <v>1</v>
      </c>
      <c r="AI384" s="4"/>
      <c r="AJ384" s="4">
        <f>=ROUNDDOWN({0},0)</f>
      </c>
      <c r="AK384" s="5"/>
      <c r="AL384" s="2" t="s">
        <v>235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>
        <v>61</v>
      </c>
      <c r="BK384" s="8">
        <v>7580.19</v>
      </c>
      <c r="BL384" s="2" t="s">
        <v>1825</v>
      </c>
      <c r="BM384" s="7"/>
      <c r="BN384" s="7"/>
      <c r="BO384" s="4"/>
      <c r="BP384" s="8"/>
      <c r="BQ384" s="4"/>
      <c r="BR384" s="8"/>
      <c r="BS384" s="7"/>
      <c r="BT384" s="7"/>
      <c r="BU384" s="2" t="s">
        <v>1826</v>
      </c>
      <c r="BV384" s="2" t="s">
        <v>1488</v>
      </c>
      <c r="BW384" s="2" t="s">
        <v>235</v>
      </c>
      <c r="BX384" s="2" t="s">
        <v>414</v>
      </c>
      <c r="BY384" s="2" t="s">
        <v>245</v>
      </c>
      <c r="BZ384" s="2" t="s">
        <v>232</v>
      </c>
      <c r="CA384" s="2" t="s">
        <v>253</v>
      </c>
      <c r="CB384" s="2" t="s">
        <v>1827</v>
      </c>
      <c r="CC384" s="2" t="s">
        <v>248</v>
      </c>
      <c r="CD384" s="2" t="s">
        <v>248</v>
      </c>
      <c r="CE384" s="2" t="s">
        <v>235</v>
      </c>
      <c r="CF384" s="4"/>
      <c r="CG384" s="4">
        <v>100</v>
      </c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>
        <v>127</v>
      </c>
      <c r="GE384" s="4">
        <v>95</v>
      </c>
      <c r="GF384" s="4">
        <v>84</v>
      </c>
      <c r="GG384" s="4">
        <v>72</v>
      </c>
      <c r="GH384" s="4">
        <v>60</v>
      </c>
      <c r="GI384" s="4">
        <v>49</v>
      </c>
      <c r="GJ384" s="4">
        <v>38</v>
      </c>
      <c r="GK384" s="4">
        <v>27</v>
      </c>
      <c r="GL384" s="4">
        <v>16</v>
      </c>
      <c r="GM384" s="4">
        <v>3</v>
      </c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19">
        <v>3.8</v>
      </c>
      <c r="HE384" s="19">
        <v>4</v>
      </c>
      <c r="HF384" s="19">
        <v>3.5</v>
      </c>
      <c r="HG384" s="19">
        <v>3.3</v>
      </c>
      <c r="HH384" s="19">
        <v>2.8</v>
      </c>
      <c r="HI384" s="19">
        <v>2.1</v>
      </c>
      <c r="HJ384" s="19">
        <v>1.6</v>
      </c>
      <c r="HK384" s="19">
        <v>1.1</v>
      </c>
      <c r="HL384" s="19">
        <v>0.7</v>
      </c>
      <c r="HM384" s="19">
        <v>0.1</v>
      </c>
      <c r="HN384" s="20">
        <v>0</v>
      </c>
      <c r="HO384" s="20">
        <v>0</v>
      </c>
      <c r="HP384" s="20">
        <v>0</v>
      </c>
      <c r="HQ384" s="20">
        <v>0</v>
      </c>
      <c r="HR384" s="20">
        <v>0</v>
      </c>
      <c r="HS384" s="20">
        <v>0</v>
      </c>
      <c r="HT384" s="20">
        <v>0</v>
      </c>
      <c r="HU384" s="20">
        <v>0</v>
      </c>
      <c r="HV384" s="20">
        <v>0</v>
      </c>
      <c r="HW384" s="20">
        <v>0</v>
      </c>
      <c r="HX384" s="20">
        <v>0</v>
      </c>
      <c r="HY384" s="20">
        <v>0</v>
      </c>
      <c r="HZ384" s="20">
        <v>0</v>
      </c>
      <c r="IA384" s="20">
        <v>0</v>
      </c>
      <c r="IB384" s="20">
        <v>0</v>
      </c>
      <c r="IC384" s="20">
        <v>0</v>
      </c>
    </row>
    <row r="385">
      <c r="A385" s="2" t="s">
        <v>1828</v>
      </c>
      <c r="B385" s="2" t="s">
        <v>871</v>
      </c>
      <c r="C385" s="2" t="s">
        <v>324</v>
      </c>
      <c r="D385" s="2" t="s">
        <v>361</v>
      </c>
      <c r="E385" s="2" t="s">
        <v>872</v>
      </c>
      <c r="F385" s="2" t="s">
        <v>1829</v>
      </c>
      <c r="G385" s="2" t="s">
        <v>1830</v>
      </c>
      <c r="H385" s="2" t="s">
        <v>1831</v>
      </c>
      <c r="I385" s="2" t="s">
        <v>1832</v>
      </c>
      <c r="J385" s="2" t="s">
        <v>272</v>
      </c>
      <c r="K385" s="2" t="s">
        <v>550</v>
      </c>
      <c r="L385" s="3">
        <v>83.72</v>
      </c>
      <c r="M385" s="3">
        <v>87.91</v>
      </c>
      <c r="N385" s="3">
        <v>179.99</v>
      </c>
      <c r="O385" s="2" t="s">
        <v>232</v>
      </c>
      <c r="P385" s="2" t="s">
        <v>233</v>
      </c>
      <c r="Q385" s="2" t="s">
        <v>234</v>
      </c>
      <c r="R385" s="2" t="s">
        <v>235</v>
      </c>
      <c r="S385" s="2" t="s">
        <v>1833</v>
      </c>
      <c r="T385" s="2" t="s">
        <v>1298</v>
      </c>
      <c r="U385" s="2" t="s">
        <v>742</v>
      </c>
      <c r="V385" s="2" t="s">
        <v>863</v>
      </c>
      <c r="W385" s="2" t="s">
        <v>671</v>
      </c>
      <c r="X385" s="2" t="s">
        <v>1834</v>
      </c>
      <c r="Y385" s="2" t="s">
        <v>240</v>
      </c>
      <c r="Z385" s="4">
        <v>117</v>
      </c>
      <c r="AA385" s="4">
        <f>=ROUNDDOWN(46.8,0)</f>
      </c>
      <c r="AB385" s="5">
        <v>2.5</v>
      </c>
      <c r="AC385" s="2" t="s">
        <v>235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235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>
        <v>9</v>
      </c>
      <c r="BK385" s="8">
        <v>732.86</v>
      </c>
      <c r="BL385" s="2" t="s">
        <v>1835</v>
      </c>
      <c r="BM385" s="7"/>
      <c r="BN385" s="7"/>
      <c r="BO385" s="4"/>
      <c r="BP385" s="8"/>
      <c r="BQ385" s="4"/>
      <c r="BR385" s="8"/>
      <c r="BS385" s="7"/>
      <c r="BT385" s="7"/>
      <c r="BU385" s="2" t="s">
        <v>1836</v>
      </c>
      <c r="BV385" s="2" t="s">
        <v>243</v>
      </c>
      <c r="BW385" s="2" t="s">
        <v>235</v>
      </c>
      <c r="BX385" s="2" t="s">
        <v>244</v>
      </c>
      <c r="BY385" s="2" t="s">
        <v>245</v>
      </c>
      <c r="BZ385" s="2" t="s">
        <v>232</v>
      </c>
      <c r="CA385" s="2" t="s">
        <v>252</v>
      </c>
      <c r="CB385" s="2" t="s">
        <v>1837</v>
      </c>
      <c r="CC385" s="2" t="s">
        <v>248</v>
      </c>
      <c r="CD385" s="2" t="s">
        <v>248</v>
      </c>
      <c r="CE385" s="2" t="s">
        <v>235</v>
      </c>
      <c r="CF385" s="4">
        <v>90</v>
      </c>
      <c r="CG385" s="4"/>
      <c r="CH385" s="4"/>
      <c r="CI385" s="4">
        <v>27</v>
      </c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>
        <v>117</v>
      </c>
      <c r="GE385" s="4">
        <v>115</v>
      </c>
      <c r="GF385" s="4">
        <v>113</v>
      </c>
      <c r="GG385" s="4">
        <v>111</v>
      </c>
      <c r="GH385" s="4">
        <v>109</v>
      </c>
      <c r="GI385" s="4">
        <v>107</v>
      </c>
      <c r="GJ385" s="4">
        <v>105</v>
      </c>
      <c r="GK385" s="4">
        <v>103</v>
      </c>
      <c r="GL385" s="4">
        <v>101</v>
      </c>
      <c r="GM385" s="4">
        <v>99</v>
      </c>
      <c r="GN385" s="4">
        <v>97</v>
      </c>
      <c r="GO385" s="4">
        <v>94</v>
      </c>
      <c r="GP385" s="4">
        <v>91</v>
      </c>
      <c r="GQ385" s="4">
        <v>85</v>
      </c>
      <c r="GR385" s="4">
        <v>82</v>
      </c>
      <c r="GS385" s="4">
        <v>79</v>
      </c>
      <c r="GT385" s="4">
        <v>77</v>
      </c>
      <c r="GU385" s="4">
        <v>76</v>
      </c>
      <c r="GV385" s="4">
        <v>74</v>
      </c>
      <c r="GW385" s="4">
        <v>72</v>
      </c>
      <c r="GX385" s="4">
        <v>70</v>
      </c>
      <c r="GY385" s="4">
        <v>68</v>
      </c>
      <c r="GZ385" s="4">
        <v>66</v>
      </c>
      <c r="HA385" s="4">
        <v>64</v>
      </c>
      <c r="HB385" s="4">
        <v>62</v>
      </c>
      <c r="HC385" s="4">
        <v>60</v>
      </c>
      <c r="HD385" s="19">
        <v>58.5</v>
      </c>
      <c r="HE385" s="19">
        <v>57.5</v>
      </c>
      <c r="HF385" s="19">
        <v>56.5</v>
      </c>
      <c r="HG385" s="19">
        <v>55.5</v>
      </c>
      <c r="HH385" s="19">
        <v>54.5</v>
      </c>
      <c r="HI385" s="19">
        <v>53.5</v>
      </c>
      <c r="HJ385" s="19">
        <v>52.5</v>
      </c>
      <c r="HK385" s="19">
        <v>51.5</v>
      </c>
      <c r="HL385" s="19">
        <v>50.5</v>
      </c>
      <c r="HM385" s="19">
        <v>24.8</v>
      </c>
      <c r="HN385" s="19">
        <v>24.3</v>
      </c>
      <c r="HO385" s="19">
        <v>23.5</v>
      </c>
      <c r="HP385" s="19">
        <v>22.8</v>
      </c>
      <c r="HQ385" s="19">
        <v>42.5</v>
      </c>
      <c r="HR385" s="19">
        <v>41</v>
      </c>
      <c r="HS385" s="19">
        <v>39.5</v>
      </c>
      <c r="HT385" s="19">
        <v>38.5</v>
      </c>
      <c r="HU385" s="19">
        <v>38</v>
      </c>
      <c r="HV385" s="19">
        <v>37</v>
      </c>
      <c r="HW385" s="19">
        <v>36</v>
      </c>
      <c r="HX385" s="19">
        <v>35</v>
      </c>
      <c r="HY385" s="19">
        <v>34</v>
      </c>
      <c r="HZ385" s="19">
        <v>33</v>
      </c>
      <c r="IA385" s="19">
        <v>32</v>
      </c>
      <c r="IB385" s="19">
        <v>31</v>
      </c>
      <c r="IC385" s="19">
        <v>30</v>
      </c>
    </row>
    <row r="386">
      <c r="A386" s="2" t="s">
        <v>1838</v>
      </c>
      <c r="B386" s="2" t="s">
        <v>871</v>
      </c>
      <c r="C386" s="2" t="s">
        <v>1561</v>
      </c>
      <c r="D386" s="2" t="s">
        <v>1539</v>
      </c>
      <c r="E386" s="2" t="s">
        <v>1839</v>
      </c>
      <c r="F386" s="2" t="s">
        <v>1840</v>
      </c>
      <c r="G386" s="2" t="s">
        <v>1840</v>
      </c>
      <c r="H386" s="2" t="s">
        <v>1840</v>
      </c>
      <c r="I386" s="2" t="s">
        <v>1841</v>
      </c>
      <c r="J386" s="2" t="s">
        <v>1842</v>
      </c>
      <c r="K386" s="2" t="s">
        <v>735</v>
      </c>
      <c r="L386" s="3">
        <v>27.69</v>
      </c>
      <c r="M386" s="3">
        <v>29.07</v>
      </c>
      <c r="N386" s="3">
        <v>84.99</v>
      </c>
      <c r="O386" s="2" t="s">
        <v>232</v>
      </c>
      <c r="P386" s="2" t="s">
        <v>233</v>
      </c>
      <c r="Q386" s="2" t="s">
        <v>234</v>
      </c>
      <c r="R386" s="2" t="s">
        <v>235</v>
      </c>
      <c r="S386" s="2" t="s">
        <v>235</v>
      </c>
      <c r="T386" s="2" t="s">
        <v>235</v>
      </c>
      <c r="U386" s="2" t="s">
        <v>807</v>
      </c>
      <c r="V386" s="2" t="s">
        <v>1843</v>
      </c>
      <c r="W386" s="2" t="s">
        <v>671</v>
      </c>
      <c r="X386" s="2" t="s">
        <v>235</v>
      </c>
      <c r="Y386" s="2" t="s">
        <v>1844</v>
      </c>
      <c r="Z386" s="4">
        <v>191</v>
      </c>
      <c r="AA386" s="4">
        <f>=ROUNDDOWN(61.6129032258065,0)</f>
      </c>
      <c r="AB386" s="5">
        <v>3.1</v>
      </c>
      <c r="AC386" s="2" t="s">
        <v>235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235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>
        <v>9</v>
      </c>
      <c r="BK386" s="8">
        <v>345.29</v>
      </c>
      <c r="BL386" s="2" t="s">
        <v>1845</v>
      </c>
      <c r="BM386" s="7"/>
      <c r="BN386" s="7"/>
      <c r="BO386" s="4"/>
      <c r="BP386" s="8"/>
      <c r="BQ386" s="4"/>
      <c r="BR386" s="8"/>
      <c r="BS386" s="7"/>
      <c r="BT386" s="7"/>
      <c r="BU386" s="2" t="s">
        <v>1846</v>
      </c>
      <c r="BV386" s="2" t="s">
        <v>243</v>
      </c>
      <c r="BW386" s="2" t="s">
        <v>235</v>
      </c>
      <c r="BX386" s="2" t="s">
        <v>244</v>
      </c>
      <c r="BY386" s="2" t="s">
        <v>245</v>
      </c>
      <c r="BZ386" s="2" t="s">
        <v>232</v>
      </c>
      <c r="CA386" s="2" t="s">
        <v>1577</v>
      </c>
      <c r="CB386" s="2" t="s">
        <v>1847</v>
      </c>
      <c r="CC386" s="2" t="s">
        <v>248</v>
      </c>
      <c r="CD386" s="2" t="s">
        <v>248</v>
      </c>
      <c r="CE386" s="2" t="s">
        <v>235</v>
      </c>
      <c r="CF386" s="4">
        <v>191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>
        <v>193</v>
      </c>
      <c r="GE386" s="4">
        <v>188</v>
      </c>
      <c r="GF386" s="4">
        <v>185</v>
      </c>
      <c r="GG386" s="4">
        <v>182</v>
      </c>
      <c r="GH386" s="4">
        <v>179</v>
      </c>
      <c r="GI386" s="4">
        <v>176</v>
      </c>
      <c r="GJ386" s="4">
        <v>173</v>
      </c>
      <c r="GK386" s="4">
        <v>170</v>
      </c>
      <c r="GL386" s="4">
        <v>167</v>
      </c>
      <c r="GM386" s="4">
        <v>164</v>
      </c>
      <c r="GN386" s="4">
        <v>160</v>
      </c>
      <c r="GO386" s="4">
        <v>155</v>
      </c>
      <c r="GP386" s="4">
        <v>150</v>
      </c>
      <c r="GQ386" s="4">
        <v>140</v>
      </c>
      <c r="GR386" s="4">
        <v>135</v>
      </c>
      <c r="GS386" s="4">
        <v>130</v>
      </c>
      <c r="GT386" s="4">
        <v>127</v>
      </c>
      <c r="GU386" s="4">
        <v>125</v>
      </c>
      <c r="GV386" s="4">
        <v>122</v>
      </c>
      <c r="GW386" s="4">
        <v>119</v>
      </c>
      <c r="GX386" s="4">
        <v>116</v>
      </c>
      <c r="GY386" s="4">
        <v>113</v>
      </c>
      <c r="GZ386" s="4">
        <v>110</v>
      </c>
      <c r="HA386" s="4">
        <v>107</v>
      </c>
      <c r="HB386" s="4">
        <v>104</v>
      </c>
      <c r="HC386" s="4">
        <v>101</v>
      </c>
      <c r="HD386" s="19">
        <v>48.3</v>
      </c>
      <c r="HE386" s="19">
        <v>62.7</v>
      </c>
      <c r="HF386" s="19">
        <v>61.7</v>
      </c>
      <c r="HG386" s="19">
        <v>60.7</v>
      </c>
      <c r="HH386" s="19">
        <v>59.7</v>
      </c>
      <c r="HI386" s="19">
        <v>58.7</v>
      </c>
      <c r="HJ386" s="19">
        <v>57.7</v>
      </c>
      <c r="HK386" s="19">
        <v>42.5</v>
      </c>
      <c r="HL386" s="19">
        <v>41.8</v>
      </c>
      <c r="HM386" s="19">
        <v>27.3</v>
      </c>
      <c r="HN386" s="19">
        <v>26.7</v>
      </c>
      <c r="HO386" s="19">
        <v>25.8</v>
      </c>
      <c r="HP386" s="19">
        <v>25</v>
      </c>
      <c r="HQ386" s="19">
        <v>35</v>
      </c>
      <c r="HR386" s="19">
        <v>45</v>
      </c>
      <c r="HS386" s="19">
        <v>43.3</v>
      </c>
      <c r="HT386" s="19">
        <v>42.3</v>
      </c>
      <c r="HU386" s="19">
        <v>41.7</v>
      </c>
      <c r="HV386" s="19">
        <v>40.7</v>
      </c>
      <c r="HW386" s="19">
        <v>39.7</v>
      </c>
      <c r="HX386" s="19">
        <v>38.7</v>
      </c>
      <c r="HY386" s="19">
        <v>37.7</v>
      </c>
      <c r="HZ386" s="19">
        <v>36.7</v>
      </c>
      <c r="IA386" s="19">
        <v>35.7</v>
      </c>
      <c r="IB386" s="19">
        <v>34.7</v>
      </c>
      <c r="IC386" s="19">
        <v>33.7</v>
      </c>
    </row>
    <row r="387">
      <c r="A387" s="2" t="s">
        <v>1848</v>
      </c>
      <c r="B387" s="2" t="s">
        <v>905</v>
      </c>
      <c r="C387" s="2" t="s">
        <v>324</v>
      </c>
      <c r="D387" s="2" t="s">
        <v>361</v>
      </c>
      <c r="E387" s="2" t="s">
        <v>924</v>
      </c>
      <c r="F387" s="2" t="s">
        <v>1849</v>
      </c>
      <c r="G387" s="2" t="s">
        <v>1850</v>
      </c>
      <c r="H387" s="2" t="s">
        <v>1850</v>
      </c>
      <c r="I387" s="2" t="s">
        <v>1851</v>
      </c>
      <c r="J387" s="2" t="s">
        <v>372</v>
      </c>
      <c r="K387" s="2" t="s">
        <v>292</v>
      </c>
      <c r="L387" s="3">
        <v>68.37</v>
      </c>
      <c r="M387" s="3">
        <v>71.79</v>
      </c>
      <c r="N387" s="3">
        <v>139.99</v>
      </c>
      <c r="O387" s="2" t="s">
        <v>232</v>
      </c>
      <c r="P387" s="2" t="s">
        <v>233</v>
      </c>
      <c r="Q387" s="2" t="s">
        <v>234</v>
      </c>
      <c r="R387" s="2" t="s">
        <v>235</v>
      </c>
      <c r="S387" s="2" t="s">
        <v>1852</v>
      </c>
      <c r="T387" s="2" t="s">
        <v>912</v>
      </c>
      <c r="U387" s="2" t="s">
        <v>552</v>
      </c>
      <c r="V387" s="2" t="s">
        <v>238</v>
      </c>
      <c r="W387" s="2" t="s">
        <v>329</v>
      </c>
      <c r="X387" s="2" t="s">
        <v>239</v>
      </c>
      <c r="Y387" s="2" t="s">
        <v>1853</v>
      </c>
      <c r="Z387" s="4">
        <v>215</v>
      </c>
      <c r="AA387" s="4">
        <f>=ROUNDDOWN(165.384615384615,0)</f>
      </c>
      <c r="AB387" s="5">
        <v>1.3</v>
      </c>
      <c r="AC387" s="2" t="s">
        <v>235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235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>
        <v>4</v>
      </c>
      <c r="BK387" s="8">
        <v>306.96</v>
      </c>
      <c r="BL387" s="2" t="s">
        <v>1854</v>
      </c>
      <c r="BM387" s="7"/>
      <c r="BN387" s="7"/>
      <c r="BO387" s="4"/>
      <c r="BP387" s="8"/>
      <c r="BQ387" s="4"/>
      <c r="BR387" s="8"/>
      <c r="BS387" s="7"/>
      <c r="BT387" s="7"/>
      <c r="BU387" s="2" t="s">
        <v>1855</v>
      </c>
      <c r="BV387" s="2" t="s">
        <v>243</v>
      </c>
      <c r="BW387" s="2" t="s">
        <v>235</v>
      </c>
      <c r="BX387" s="2" t="s">
        <v>383</v>
      </c>
      <c r="BY387" s="2" t="s">
        <v>245</v>
      </c>
      <c r="BZ387" s="2" t="s">
        <v>232</v>
      </c>
      <c r="CA387" s="2" t="s">
        <v>1856</v>
      </c>
      <c r="CB387" s="2" t="s">
        <v>1857</v>
      </c>
      <c r="CC387" s="2" t="s">
        <v>248</v>
      </c>
      <c r="CD387" s="2" t="s">
        <v>248</v>
      </c>
      <c r="CE387" s="2" t="s">
        <v>235</v>
      </c>
      <c r="CF387" s="4">
        <v>215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>
        <v>215</v>
      </c>
      <c r="GE387" s="4">
        <v>214</v>
      </c>
      <c r="GF387" s="4">
        <v>213</v>
      </c>
      <c r="GG387" s="4">
        <v>212</v>
      </c>
      <c r="GH387" s="4">
        <v>211</v>
      </c>
      <c r="GI387" s="4">
        <v>207</v>
      </c>
      <c r="GJ387" s="4">
        <v>203</v>
      </c>
      <c r="GK387" s="4">
        <v>199</v>
      </c>
      <c r="GL387" s="4">
        <v>195</v>
      </c>
      <c r="GM387" s="4">
        <v>191</v>
      </c>
      <c r="GN387" s="4">
        <v>188</v>
      </c>
      <c r="GO387" s="4">
        <v>183</v>
      </c>
      <c r="GP387" s="4">
        <v>177</v>
      </c>
      <c r="GQ387" s="4">
        <v>164</v>
      </c>
      <c r="GR387" s="4">
        <v>155</v>
      </c>
      <c r="GS387" s="4">
        <v>146</v>
      </c>
      <c r="GT387" s="4">
        <v>141</v>
      </c>
      <c r="GU387" s="4">
        <v>138</v>
      </c>
      <c r="GV387" s="4">
        <v>135</v>
      </c>
      <c r="GW387" s="4">
        <v>132</v>
      </c>
      <c r="GX387" s="4">
        <v>129</v>
      </c>
      <c r="GY387" s="4">
        <v>126</v>
      </c>
      <c r="GZ387" s="4">
        <v>124</v>
      </c>
      <c r="HA387" s="4">
        <v>123</v>
      </c>
      <c r="HB387" s="4">
        <v>122</v>
      </c>
      <c r="HC387" s="4">
        <v>121</v>
      </c>
      <c r="HD387" s="19">
        <v>215</v>
      </c>
      <c r="HE387" s="19">
        <v>107</v>
      </c>
      <c r="HF387" s="19">
        <v>106.5</v>
      </c>
      <c r="HG387" s="19">
        <v>70.7</v>
      </c>
      <c r="HH387" s="19">
        <v>52.8</v>
      </c>
      <c r="HI387" s="19">
        <v>51.8</v>
      </c>
      <c r="HJ387" s="19">
        <v>50.8</v>
      </c>
      <c r="HK387" s="19">
        <v>49.8</v>
      </c>
      <c r="HL387" s="19">
        <v>48.8</v>
      </c>
      <c r="HM387" s="19">
        <v>27.3</v>
      </c>
      <c r="HN387" s="19">
        <v>23.5</v>
      </c>
      <c r="HO387" s="19">
        <v>20.3</v>
      </c>
      <c r="HP387" s="19">
        <v>19.7</v>
      </c>
      <c r="HQ387" s="19">
        <v>27.3</v>
      </c>
      <c r="HR387" s="19">
        <v>31</v>
      </c>
      <c r="HS387" s="19">
        <v>36.5</v>
      </c>
      <c r="HT387" s="19">
        <v>47</v>
      </c>
      <c r="HU387" s="19">
        <v>46</v>
      </c>
      <c r="HV387" s="19">
        <v>45</v>
      </c>
      <c r="HW387" s="19">
        <v>66</v>
      </c>
      <c r="HX387" s="19">
        <v>64.5</v>
      </c>
      <c r="HY387" s="19">
        <v>126</v>
      </c>
      <c r="HZ387" s="19">
        <v>124</v>
      </c>
      <c r="IA387" s="19">
        <v>123</v>
      </c>
      <c r="IB387" s="19">
        <v>122</v>
      </c>
      <c r="IC387" s="19">
        <v>121</v>
      </c>
    </row>
    <row r="388">
      <c r="A388" s="2" t="s">
        <v>1858</v>
      </c>
      <c r="B388" s="2" t="s">
        <v>871</v>
      </c>
      <c r="C388" s="2" t="s">
        <v>324</v>
      </c>
      <c r="D388" s="2" t="s">
        <v>361</v>
      </c>
      <c r="E388" s="2" t="s">
        <v>872</v>
      </c>
      <c r="F388" s="2" t="s">
        <v>926</v>
      </c>
      <c r="G388" s="2" t="s">
        <v>1859</v>
      </c>
      <c r="H388" s="2" t="s">
        <v>1860</v>
      </c>
      <c r="I388" s="2" t="s">
        <v>1861</v>
      </c>
      <c r="J388" s="2" t="s">
        <v>272</v>
      </c>
      <c r="K388" s="2" t="s">
        <v>292</v>
      </c>
      <c r="L388" s="3">
        <v>78.8</v>
      </c>
      <c r="M388" s="3">
        <v>82.74</v>
      </c>
      <c r="N388" s="3">
        <v>164.99</v>
      </c>
      <c r="O388" s="2" t="s">
        <v>232</v>
      </c>
      <c r="P388" s="2" t="s">
        <v>233</v>
      </c>
      <c r="Q388" s="2" t="s">
        <v>234</v>
      </c>
      <c r="R388" s="2" t="s">
        <v>235</v>
      </c>
      <c r="S388" s="2" t="s">
        <v>1862</v>
      </c>
      <c r="T388" s="2" t="s">
        <v>1863</v>
      </c>
      <c r="U388" s="2" t="s">
        <v>742</v>
      </c>
      <c r="V388" s="2" t="s">
        <v>420</v>
      </c>
      <c r="W388" s="2" t="s">
        <v>1029</v>
      </c>
      <c r="X388" s="2" t="s">
        <v>1864</v>
      </c>
      <c r="Y388" s="2" t="s">
        <v>240</v>
      </c>
      <c r="Z388" s="4">
        <v>113</v>
      </c>
      <c r="AA388" s="4">
        <f>=ROUNDDOWN(32.2857142857143,0)</f>
      </c>
      <c r="AB388" s="5">
        <v>3.5</v>
      </c>
      <c r="AC388" s="2" t="s">
        <v>235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235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>
        <v>6</v>
      </c>
      <c r="BK388" s="8">
        <v>536.75</v>
      </c>
      <c r="BL388" s="2" t="s">
        <v>1603</v>
      </c>
      <c r="BM388" s="7"/>
      <c r="BN388" s="7"/>
      <c r="BO388" s="4"/>
      <c r="BP388" s="8"/>
      <c r="BQ388" s="4"/>
      <c r="BR388" s="8"/>
      <c r="BS388" s="7"/>
      <c r="BT388" s="7"/>
      <c r="BU388" s="2" t="s">
        <v>1865</v>
      </c>
      <c r="BV388" s="2" t="s">
        <v>243</v>
      </c>
      <c r="BW388" s="2" t="s">
        <v>235</v>
      </c>
      <c r="BX388" s="2" t="s">
        <v>244</v>
      </c>
      <c r="BY388" s="2" t="s">
        <v>245</v>
      </c>
      <c r="BZ388" s="2" t="s">
        <v>232</v>
      </c>
      <c r="CA388" s="2" t="s">
        <v>252</v>
      </c>
      <c r="CB388" s="2" t="s">
        <v>1866</v>
      </c>
      <c r="CC388" s="2" t="s">
        <v>248</v>
      </c>
      <c r="CD388" s="2" t="s">
        <v>248</v>
      </c>
      <c r="CE388" s="2" t="s">
        <v>235</v>
      </c>
      <c r="CF388" s="4">
        <v>113</v>
      </c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>
        <v>114</v>
      </c>
      <c r="GE388" s="4">
        <v>103</v>
      </c>
      <c r="GF388" s="4">
        <v>99</v>
      </c>
      <c r="GG388" s="4">
        <v>95</v>
      </c>
      <c r="GH388" s="4">
        <v>90</v>
      </c>
      <c r="GI388" s="4">
        <v>85</v>
      </c>
      <c r="GJ388" s="4">
        <v>79</v>
      </c>
      <c r="GK388" s="4">
        <v>74</v>
      </c>
      <c r="GL388" s="4">
        <v>69</v>
      </c>
      <c r="GM388" s="4">
        <v>65</v>
      </c>
      <c r="GN388" s="4">
        <v>60</v>
      </c>
      <c r="GO388" s="4">
        <v>54</v>
      </c>
      <c r="GP388" s="4">
        <v>48</v>
      </c>
      <c r="GQ388" s="4">
        <v>37</v>
      </c>
      <c r="GR388" s="4">
        <v>31</v>
      </c>
      <c r="GS388" s="4">
        <v>25</v>
      </c>
      <c r="GT388" s="4">
        <v>21</v>
      </c>
      <c r="GU388" s="4">
        <v>18</v>
      </c>
      <c r="GV388" s="4">
        <v>174</v>
      </c>
      <c r="GW388" s="4">
        <v>170</v>
      </c>
      <c r="GX388" s="4">
        <v>166</v>
      </c>
      <c r="GY388" s="4">
        <v>162</v>
      </c>
      <c r="GZ388" s="4">
        <v>158</v>
      </c>
      <c r="HA388" s="4">
        <v>154</v>
      </c>
      <c r="HB388" s="4">
        <v>150</v>
      </c>
      <c r="HC388" s="4">
        <v>146</v>
      </c>
      <c r="HD388" s="19">
        <v>19</v>
      </c>
      <c r="HE388" s="19">
        <v>25.8</v>
      </c>
      <c r="HF388" s="19">
        <v>19.8</v>
      </c>
      <c r="HG388" s="19">
        <v>19</v>
      </c>
      <c r="HH388" s="19">
        <v>18</v>
      </c>
      <c r="HI388" s="19">
        <v>17</v>
      </c>
      <c r="HJ388" s="19">
        <v>15.8</v>
      </c>
      <c r="HK388" s="19">
        <v>14.8</v>
      </c>
      <c r="HL388" s="19">
        <v>13.8</v>
      </c>
      <c r="HM388" s="19">
        <v>9.3</v>
      </c>
      <c r="HN388" s="19">
        <v>8.6</v>
      </c>
      <c r="HO388" s="19">
        <v>7.7</v>
      </c>
      <c r="HP388" s="19">
        <v>6.9</v>
      </c>
      <c r="HQ388" s="19">
        <v>7.4</v>
      </c>
      <c r="HR388" s="19">
        <v>7.8</v>
      </c>
      <c r="HS388" s="19">
        <v>6.3</v>
      </c>
      <c r="HT388" s="19">
        <v>5.3</v>
      </c>
      <c r="HU388" s="19">
        <v>4.5</v>
      </c>
      <c r="HV388" s="19">
        <v>43.5</v>
      </c>
      <c r="HW388" s="19">
        <v>42.5</v>
      </c>
      <c r="HX388" s="19">
        <v>41.5</v>
      </c>
      <c r="HY388" s="19">
        <v>40.5</v>
      </c>
      <c r="HZ388" s="19">
        <v>39.5</v>
      </c>
      <c r="IA388" s="19">
        <v>38.5</v>
      </c>
      <c r="IB388" s="19">
        <v>37.5</v>
      </c>
      <c r="IC388" s="19">
        <v>36.5</v>
      </c>
    </row>
    <row r="389">
      <c r="A389" s="2" t="s">
        <v>1867</v>
      </c>
      <c r="B389" s="2" t="s">
        <v>1071</v>
      </c>
      <c r="C389" s="2" t="s">
        <v>893</v>
      </c>
      <c r="D389" s="2" t="s">
        <v>1086</v>
      </c>
      <c r="E389" s="2" t="s">
        <v>1868</v>
      </c>
      <c r="F389" s="2" t="s">
        <v>1869</v>
      </c>
      <c r="G389" s="2" t="s">
        <v>1869</v>
      </c>
      <c r="H389" s="2" t="s">
        <v>1869</v>
      </c>
      <c r="I389" s="2" t="s">
        <v>1870</v>
      </c>
      <c r="J389" s="2" t="s">
        <v>806</v>
      </c>
      <c r="K389" s="2" t="s">
        <v>1169</v>
      </c>
      <c r="L389" s="3">
        <v>262.38</v>
      </c>
      <c r="M389" s="3">
        <v>275.5</v>
      </c>
      <c r="N389" s="3">
        <v>549</v>
      </c>
      <c r="O389" s="2" t="s">
        <v>485</v>
      </c>
      <c r="P389" s="2" t="s">
        <v>408</v>
      </c>
      <c r="Q389" s="2" t="s">
        <v>234</v>
      </c>
      <c r="R389" s="2" t="s">
        <v>235</v>
      </c>
      <c r="S389" s="2" t="s">
        <v>235</v>
      </c>
      <c r="T389" s="2" t="s">
        <v>235</v>
      </c>
      <c r="U389" s="2" t="s">
        <v>807</v>
      </c>
      <c r="V389" s="2" t="s">
        <v>238</v>
      </c>
      <c r="W389" s="2" t="s">
        <v>682</v>
      </c>
      <c r="X389" s="2" t="s">
        <v>1681</v>
      </c>
      <c r="Y389" s="2" t="s">
        <v>1802</v>
      </c>
      <c r="Z389" s="4"/>
      <c r="AA389" s="4">
        <f>=ROUNDDOWN({0},0)</f>
      </c>
      <c r="AB389" s="5">
        <v>0.6</v>
      </c>
      <c r="AC389" s="2" t="s">
        <v>235</v>
      </c>
      <c r="AD389" s="4"/>
      <c r="AE389" s="4"/>
      <c r="AF389" s="6">
        <v>83</v>
      </c>
      <c r="AG389" s="6"/>
      <c r="AH389" s="7">
        <v>0</v>
      </c>
      <c r="AI389" s="4"/>
      <c r="AJ389" s="4">
        <f>=ROUNDDOWN({0},0)</f>
      </c>
      <c r="AK389" s="5"/>
      <c r="AL389" s="2" t="s">
        <v>235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235</v>
      </c>
      <c r="BD389" s="8" t="s">
        <v>235</v>
      </c>
      <c r="BE389" s="4" t="s">
        <v>235</v>
      </c>
      <c r="BF389" s="8" t="s">
        <v>235</v>
      </c>
      <c r="BG389" s="7" t="s">
        <v>235</v>
      </c>
      <c r="BH389" s="7" t="s">
        <v>235</v>
      </c>
      <c r="BI389" s="7"/>
      <c r="BJ389" s="4"/>
      <c r="BK389" s="8"/>
      <c r="BL389" s="2" t="s">
        <v>900</v>
      </c>
      <c r="BM389" s="7"/>
      <c r="BN389" s="7"/>
      <c r="BO389" s="4"/>
      <c r="BP389" s="8"/>
      <c r="BQ389" s="4"/>
      <c r="BR389" s="8"/>
      <c r="BS389" s="7"/>
      <c r="BT389" s="7"/>
      <c r="BU389" s="2" t="s">
        <v>1871</v>
      </c>
      <c r="BV389" s="2" t="s">
        <v>1424</v>
      </c>
      <c r="BW389" s="2" t="s">
        <v>235</v>
      </c>
      <c r="BX389" s="2" t="s">
        <v>414</v>
      </c>
      <c r="BY389" s="2" t="s">
        <v>245</v>
      </c>
      <c r="BZ389" s="2" t="s">
        <v>232</v>
      </c>
      <c r="CA389" s="2" t="s">
        <v>1872</v>
      </c>
      <c r="CB389" s="2" t="s">
        <v>1873</v>
      </c>
      <c r="CC389" s="2" t="s">
        <v>248</v>
      </c>
      <c r="CD389" s="2" t="s">
        <v>248</v>
      </c>
      <c r="CE389" s="2" t="s">
        <v>235</v>
      </c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20">
        <v>0</v>
      </c>
      <c r="HE389" s="20">
        <v>0</v>
      </c>
      <c r="HF389" s="20">
        <v>0</v>
      </c>
      <c r="HG389" s="20">
        <v>0</v>
      </c>
      <c r="HH389" s="20">
        <v>0</v>
      </c>
      <c r="HI389" s="20">
        <v>0</v>
      </c>
      <c r="HJ389" s="20">
        <v>0</v>
      </c>
      <c r="HK389" s="20">
        <v>0</v>
      </c>
      <c r="HL389" s="20">
        <v>0</v>
      </c>
      <c r="HM389" s="20">
        <v>0</v>
      </c>
      <c r="HN389" s="20">
        <v>0</v>
      </c>
      <c r="HO389" s="20">
        <v>0</v>
      </c>
      <c r="HP389" s="20">
        <v>0</v>
      </c>
      <c r="HQ389" s="20">
        <v>0</v>
      </c>
      <c r="HR389" s="20">
        <v>0</v>
      </c>
      <c r="HS389" s="20">
        <v>0</v>
      </c>
      <c r="HT389" s="20">
        <v>0</v>
      </c>
      <c r="HU389" s="20">
        <v>0</v>
      </c>
      <c r="HV389" s="20">
        <v>0</v>
      </c>
      <c r="HW389" s="20">
        <v>0</v>
      </c>
      <c r="HX389" s="20">
        <v>0</v>
      </c>
      <c r="HY389" s="20">
        <v>0</v>
      </c>
      <c r="HZ389" s="20">
        <v>0</v>
      </c>
      <c r="IA389" s="20">
        <v>0</v>
      </c>
      <c r="IB389" s="20">
        <v>0</v>
      </c>
      <c r="IC389" s="20">
        <v>0</v>
      </c>
    </row>
    <row r="390">
      <c r="A390" s="2" t="s">
        <v>1874</v>
      </c>
      <c r="B390" s="2" t="s">
        <v>871</v>
      </c>
      <c r="C390" s="2" t="s">
        <v>606</v>
      </c>
      <c r="D390" s="2" t="s">
        <v>361</v>
      </c>
      <c r="E390" s="2" t="s">
        <v>924</v>
      </c>
      <c r="F390" s="2" t="s">
        <v>1869</v>
      </c>
      <c r="G390" s="2" t="s">
        <v>1875</v>
      </c>
      <c r="H390" s="2" t="s">
        <v>1876</v>
      </c>
      <c r="I390" s="2" t="s">
        <v>1877</v>
      </c>
      <c r="J390" s="2" t="s">
        <v>877</v>
      </c>
      <c r="K390" s="2" t="s">
        <v>1878</v>
      </c>
      <c r="L390" s="3">
        <v>20.72</v>
      </c>
      <c r="M390" s="3">
        <v>21.76</v>
      </c>
      <c r="N390" s="3">
        <v>44.99</v>
      </c>
      <c r="O390" s="2" t="s">
        <v>407</v>
      </c>
      <c r="P390" s="2" t="s">
        <v>408</v>
      </c>
      <c r="Q390" s="2" t="s">
        <v>234</v>
      </c>
      <c r="R390" s="2" t="s">
        <v>235</v>
      </c>
      <c r="S390" s="2" t="s">
        <v>1879</v>
      </c>
      <c r="T390" s="2" t="s">
        <v>501</v>
      </c>
      <c r="U390" s="2" t="s">
        <v>278</v>
      </c>
      <c r="V390" s="2" t="s">
        <v>420</v>
      </c>
      <c r="W390" s="2" t="s">
        <v>682</v>
      </c>
      <c r="X390" s="2" t="s">
        <v>239</v>
      </c>
      <c r="Y390" s="2" t="s">
        <v>1880</v>
      </c>
      <c r="Z390" s="4">
        <v>107</v>
      </c>
      <c r="AA390" s="4">
        <f>=ROUNDDOWN(4.49579831932773,0)</f>
      </c>
      <c r="AB390" s="5">
        <v>23.8</v>
      </c>
      <c r="AC390" s="2" t="s">
        <v>235</v>
      </c>
      <c r="AD390" s="4"/>
      <c r="AE390" s="4"/>
      <c r="AF390" s="6">
        <v>63</v>
      </c>
      <c r="AG390" s="6"/>
      <c r="AH390" s="7">
        <v>1</v>
      </c>
      <c r="AI390" s="4"/>
      <c r="AJ390" s="4">
        <f>=ROUNDDOWN({0},0)</f>
      </c>
      <c r="AK390" s="5"/>
      <c r="AL390" s="2" t="s">
        <v>235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235</v>
      </c>
      <c r="BD390" s="8" t="s">
        <v>235</v>
      </c>
      <c r="BE390" s="4" t="s">
        <v>235</v>
      </c>
      <c r="BF390" s="8" t="s">
        <v>235</v>
      </c>
      <c r="BG390" s="7" t="s">
        <v>235</v>
      </c>
      <c r="BH390" s="7" t="s">
        <v>235</v>
      </c>
      <c r="BI390" s="7"/>
      <c r="BJ390" s="4">
        <v>95</v>
      </c>
      <c r="BK390" s="8">
        <v>2166.9</v>
      </c>
      <c r="BL390" s="2" t="s">
        <v>1881</v>
      </c>
      <c r="BM390" s="7"/>
      <c r="BN390" s="7"/>
      <c r="BO390" s="4"/>
      <c r="BP390" s="8"/>
      <c r="BQ390" s="4"/>
      <c r="BR390" s="8"/>
      <c r="BS390" s="7"/>
      <c r="BT390" s="7"/>
      <c r="BU390" s="2" t="s">
        <v>1882</v>
      </c>
      <c r="BV390" s="2" t="s">
        <v>243</v>
      </c>
      <c r="BW390" s="2" t="s">
        <v>235</v>
      </c>
      <c r="BX390" s="2" t="s">
        <v>414</v>
      </c>
      <c r="BY390" s="2" t="s">
        <v>245</v>
      </c>
      <c r="BZ390" s="2" t="s">
        <v>232</v>
      </c>
      <c r="CA390" s="2" t="s">
        <v>1883</v>
      </c>
      <c r="CB390" s="2" t="s">
        <v>1884</v>
      </c>
      <c r="CC390" s="2" t="s">
        <v>248</v>
      </c>
      <c r="CD390" s="2" t="s">
        <v>248</v>
      </c>
      <c r="CE390" s="2" t="s">
        <v>235</v>
      </c>
      <c r="CF390" s="4">
        <v>19</v>
      </c>
      <c r="CG390" s="4"/>
      <c r="CH390" s="4"/>
      <c r="CI390" s="4">
        <v>88</v>
      </c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>
        <v>111</v>
      </c>
      <c r="GE390" s="4">
        <v>81</v>
      </c>
      <c r="GF390" s="4">
        <v>57</v>
      </c>
      <c r="GG390" s="4">
        <v>33</v>
      </c>
      <c r="GH390" s="4">
        <v>9</v>
      </c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19">
        <v>4.3</v>
      </c>
      <c r="HE390" s="19">
        <v>3.4</v>
      </c>
      <c r="HF390" s="19">
        <v>2.4</v>
      </c>
      <c r="HG390" s="19">
        <v>1.4</v>
      </c>
      <c r="HH390" s="19">
        <v>0.4</v>
      </c>
      <c r="HI390" s="20">
        <v>0</v>
      </c>
      <c r="HJ390" s="20">
        <v>0</v>
      </c>
      <c r="HK390" s="20">
        <v>0</v>
      </c>
      <c r="HL390" s="20">
        <v>0</v>
      </c>
      <c r="HM390" s="20">
        <v>0</v>
      </c>
      <c r="HN390" s="20">
        <v>0</v>
      </c>
      <c r="HO390" s="20">
        <v>0</v>
      </c>
      <c r="HP390" s="20">
        <v>0</v>
      </c>
      <c r="HQ390" s="20">
        <v>0</v>
      </c>
      <c r="HR390" s="20">
        <v>0</v>
      </c>
      <c r="HS390" s="20">
        <v>0</v>
      </c>
      <c r="HT390" s="20">
        <v>0</v>
      </c>
      <c r="HU390" s="20">
        <v>0</v>
      </c>
      <c r="HV390" s="20">
        <v>0</v>
      </c>
      <c r="HW390" s="20">
        <v>0</v>
      </c>
      <c r="HX390" s="20">
        <v>0</v>
      </c>
      <c r="HY390" s="20">
        <v>0</v>
      </c>
      <c r="HZ390" s="20">
        <v>0</v>
      </c>
      <c r="IA390" s="20">
        <v>0</v>
      </c>
      <c r="IB390" s="20">
        <v>0</v>
      </c>
      <c r="IC390" s="20">
        <v>0</v>
      </c>
    </row>
    <row r="391">
      <c r="A391" s="2" t="s">
        <v>1885</v>
      </c>
      <c r="B391" s="2" t="s">
        <v>871</v>
      </c>
      <c r="C391" s="2" t="s">
        <v>853</v>
      </c>
      <c r="D391" s="2" t="s">
        <v>906</v>
      </c>
      <c r="E391" s="2" t="s">
        <v>907</v>
      </c>
      <c r="F391" s="2" t="s">
        <v>1869</v>
      </c>
      <c r="G391" s="2" t="s">
        <v>1886</v>
      </c>
      <c r="H391" s="2" t="s">
        <v>1887</v>
      </c>
      <c r="I391" s="2" t="s">
        <v>1888</v>
      </c>
      <c r="J391" s="2" t="s">
        <v>877</v>
      </c>
      <c r="K391" s="2" t="s">
        <v>1889</v>
      </c>
      <c r="L391" s="3">
        <v>15.65</v>
      </c>
      <c r="M391" s="3">
        <v>16.43</v>
      </c>
      <c r="N391" s="3">
        <v>34.99</v>
      </c>
      <c r="O391" s="2" t="s">
        <v>232</v>
      </c>
      <c r="P391" s="2" t="s">
        <v>233</v>
      </c>
      <c r="Q391" s="2" t="s">
        <v>234</v>
      </c>
      <c r="R391" s="2" t="s">
        <v>235</v>
      </c>
      <c r="S391" s="2" t="s">
        <v>1890</v>
      </c>
      <c r="T391" s="2" t="s">
        <v>501</v>
      </c>
      <c r="U391" s="2" t="s">
        <v>278</v>
      </c>
      <c r="V391" s="2" t="s">
        <v>1222</v>
      </c>
      <c r="W391" s="2" t="s">
        <v>239</v>
      </c>
      <c r="X391" s="2" t="s">
        <v>1798</v>
      </c>
      <c r="Y391" s="2" t="s">
        <v>1891</v>
      </c>
      <c r="Z391" s="4">
        <v>95</v>
      </c>
      <c r="AA391" s="4">
        <f>=ROUNDDOWN(23.75,0)</f>
      </c>
      <c r="AB391" s="5">
        <v>4</v>
      </c>
      <c r="AC391" s="2" t="s">
        <v>235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235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235</v>
      </c>
      <c r="BD391" s="8" t="s">
        <v>235</v>
      </c>
      <c r="BE391" s="4" t="s">
        <v>235</v>
      </c>
      <c r="BF391" s="8" t="s">
        <v>235</v>
      </c>
      <c r="BG391" s="7" t="s">
        <v>235</v>
      </c>
      <c r="BH391" s="7" t="s">
        <v>235</v>
      </c>
      <c r="BI391" s="7"/>
      <c r="BJ391" s="4">
        <v>31</v>
      </c>
      <c r="BK391" s="8">
        <v>540.63</v>
      </c>
      <c r="BL391" s="2" t="s">
        <v>422</v>
      </c>
      <c r="BM391" s="7"/>
      <c r="BN391" s="7"/>
      <c r="BO391" s="4"/>
      <c r="BP391" s="8"/>
      <c r="BQ391" s="4"/>
      <c r="BR391" s="8"/>
      <c r="BS391" s="7"/>
      <c r="BT391" s="7"/>
      <c r="BU391" s="2" t="s">
        <v>1892</v>
      </c>
      <c r="BV391" s="2" t="s">
        <v>243</v>
      </c>
      <c r="BW391" s="2" t="s">
        <v>235</v>
      </c>
      <c r="BX391" s="2" t="s">
        <v>244</v>
      </c>
      <c r="BY391" s="2" t="s">
        <v>245</v>
      </c>
      <c r="BZ391" s="2" t="s">
        <v>232</v>
      </c>
      <c r="CA391" s="2" t="s">
        <v>415</v>
      </c>
      <c r="CB391" s="2" t="s">
        <v>1893</v>
      </c>
      <c r="CC391" s="2" t="s">
        <v>248</v>
      </c>
      <c r="CD391" s="2" t="s">
        <v>248</v>
      </c>
      <c r="CE391" s="2" t="s">
        <v>235</v>
      </c>
      <c r="CF391" s="4">
        <v>95</v>
      </c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>
        <v>100</v>
      </c>
      <c r="GE391" s="4">
        <v>94</v>
      </c>
      <c r="GF391" s="4">
        <v>92</v>
      </c>
      <c r="GG391" s="4">
        <v>90</v>
      </c>
      <c r="GH391" s="4">
        <v>88</v>
      </c>
      <c r="GI391" s="4">
        <v>86</v>
      </c>
      <c r="GJ391" s="4">
        <v>84</v>
      </c>
      <c r="GK391" s="4">
        <v>82</v>
      </c>
      <c r="GL391" s="4">
        <v>76</v>
      </c>
      <c r="GM391" s="4">
        <v>71</v>
      </c>
      <c r="GN391" s="4">
        <v>67</v>
      </c>
      <c r="GO391" s="4">
        <v>62</v>
      </c>
      <c r="GP391" s="4">
        <v>57</v>
      </c>
      <c r="GQ391" s="4">
        <v>52</v>
      </c>
      <c r="GR391" s="4">
        <v>45</v>
      </c>
      <c r="GS391" s="4">
        <v>39</v>
      </c>
      <c r="GT391" s="4">
        <v>34</v>
      </c>
      <c r="GU391" s="4">
        <v>30</v>
      </c>
      <c r="GV391" s="4">
        <v>146</v>
      </c>
      <c r="GW391" s="4">
        <v>142</v>
      </c>
      <c r="GX391" s="4">
        <v>138</v>
      </c>
      <c r="GY391" s="4">
        <v>134</v>
      </c>
      <c r="GZ391" s="4">
        <v>130</v>
      </c>
      <c r="HA391" s="4">
        <v>126</v>
      </c>
      <c r="HB391" s="4">
        <v>122</v>
      </c>
      <c r="HC391" s="4">
        <v>118</v>
      </c>
      <c r="HD391" s="19">
        <v>33.3</v>
      </c>
      <c r="HE391" s="19">
        <v>47</v>
      </c>
      <c r="HF391" s="19">
        <v>46</v>
      </c>
      <c r="HG391" s="19">
        <v>45</v>
      </c>
      <c r="HH391" s="19">
        <v>29.3</v>
      </c>
      <c r="HI391" s="19">
        <v>21.5</v>
      </c>
      <c r="HJ391" s="19">
        <v>21</v>
      </c>
      <c r="HK391" s="19">
        <v>16.4</v>
      </c>
      <c r="HL391" s="19">
        <v>15.2</v>
      </c>
      <c r="HM391" s="19">
        <v>14.2</v>
      </c>
      <c r="HN391" s="19">
        <v>11.2</v>
      </c>
      <c r="HO391" s="19">
        <v>10.3</v>
      </c>
      <c r="HP391" s="19">
        <v>9.5</v>
      </c>
      <c r="HQ391" s="19">
        <v>8.7</v>
      </c>
      <c r="HR391" s="19">
        <v>9</v>
      </c>
      <c r="HS391" s="19">
        <v>9.8</v>
      </c>
      <c r="HT391" s="19">
        <v>8.5</v>
      </c>
      <c r="HU391" s="19">
        <v>7.5</v>
      </c>
      <c r="HV391" s="19">
        <v>36.5</v>
      </c>
      <c r="HW391" s="19">
        <v>35.5</v>
      </c>
      <c r="HX391" s="19">
        <v>34.5</v>
      </c>
      <c r="HY391" s="19">
        <v>33.5</v>
      </c>
      <c r="HZ391" s="19">
        <v>32.5</v>
      </c>
      <c r="IA391" s="19">
        <v>31.5</v>
      </c>
      <c r="IB391" s="19">
        <v>30.5</v>
      </c>
      <c r="IC391" s="19">
        <v>29.5</v>
      </c>
    </row>
    <row r="392">
      <c r="A392" s="2" t="s">
        <v>1894</v>
      </c>
      <c r="B392" s="2" t="s">
        <v>871</v>
      </c>
      <c r="C392" s="2" t="s">
        <v>324</v>
      </c>
      <c r="D392" s="2" t="s">
        <v>1452</v>
      </c>
      <c r="E392" s="2" t="s">
        <v>1895</v>
      </c>
      <c r="F392" s="2" t="s">
        <v>1869</v>
      </c>
      <c r="G392" s="2" t="s">
        <v>1896</v>
      </c>
      <c r="H392" s="2" t="s">
        <v>1897</v>
      </c>
      <c r="I392" s="2" t="s">
        <v>1898</v>
      </c>
      <c r="J392" s="2" t="s">
        <v>365</v>
      </c>
      <c r="K392" s="2" t="s">
        <v>1899</v>
      </c>
      <c r="L392" s="3">
        <v>38.09</v>
      </c>
      <c r="M392" s="3">
        <v>39.99</v>
      </c>
      <c r="N392" s="3">
        <v>79.99</v>
      </c>
      <c r="O392" s="2" t="s">
        <v>407</v>
      </c>
      <c r="P392" s="2" t="s">
        <v>408</v>
      </c>
      <c r="Q392" s="2" t="s">
        <v>234</v>
      </c>
      <c r="R392" s="2" t="s">
        <v>235</v>
      </c>
      <c r="S392" s="2" t="s">
        <v>1900</v>
      </c>
      <c r="T392" s="2" t="s">
        <v>501</v>
      </c>
      <c r="U392" s="2" t="s">
        <v>552</v>
      </c>
      <c r="V392" s="2" t="s">
        <v>1156</v>
      </c>
      <c r="W392" s="2" t="s">
        <v>239</v>
      </c>
      <c r="X392" s="2" t="s">
        <v>1354</v>
      </c>
      <c r="Y392" s="2" t="s">
        <v>1901</v>
      </c>
      <c r="Z392" s="4">
        <v>63</v>
      </c>
      <c r="AA392" s="4">
        <f>=ROUNDDOWN(31.5,0)</f>
      </c>
      <c r="AB392" s="5">
        <v>2</v>
      </c>
      <c r="AC392" s="2" t="s">
        <v>235</v>
      </c>
      <c r="AD392" s="4"/>
      <c r="AE392" s="4"/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235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235</v>
      </c>
      <c r="AW392" s="8" t="s">
        <v>235</v>
      </c>
      <c r="AX392" s="4" t="s">
        <v>235</v>
      </c>
      <c r="AY392" s="8" t="s">
        <v>235</v>
      </c>
      <c r="AZ392" s="7" t="s">
        <v>235</v>
      </c>
      <c r="BA392" s="7" t="s">
        <v>235</v>
      </c>
      <c r="BB392" s="7"/>
      <c r="BC392" s="4" t="s">
        <v>235</v>
      </c>
      <c r="BD392" s="8" t="s">
        <v>235</v>
      </c>
      <c r="BE392" s="4" t="s">
        <v>235</v>
      </c>
      <c r="BF392" s="8" t="s">
        <v>235</v>
      </c>
      <c r="BG392" s="7" t="s">
        <v>235</v>
      </c>
      <c r="BH392" s="7" t="s">
        <v>235</v>
      </c>
      <c r="BI392" s="7"/>
      <c r="BJ392" s="4">
        <v>9</v>
      </c>
      <c r="BK392" s="8">
        <v>325.29</v>
      </c>
      <c r="BL392" s="2" t="s">
        <v>1902</v>
      </c>
      <c r="BM392" s="7"/>
      <c r="BN392" s="7"/>
      <c r="BO392" s="4"/>
      <c r="BP392" s="8"/>
      <c r="BQ392" s="4"/>
      <c r="BR392" s="8"/>
      <c r="BS392" s="7"/>
      <c r="BT392" s="7"/>
      <c r="BU392" s="2" t="s">
        <v>1903</v>
      </c>
      <c r="BV392" s="2" t="s">
        <v>243</v>
      </c>
      <c r="BW392" s="2" t="s">
        <v>235</v>
      </c>
      <c r="BX392" s="2" t="s">
        <v>414</v>
      </c>
      <c r="BY392" s="2" t="s">
        <v>245</v>
      </c>
      <c r="BZ392" s="2" t="s">
        <v>232</v>
      </c>
      <c r="CA392" s="2" t="s">
        <v>1904</v>
      </c>
      <c r="CB392" s="2" t="s">
        <v>1905</v>
      </c>
      <c r="CC392" s="2" t="s">
        <v>492</v>
      </c>
      <c r="CD392" s="2" t="s">
        <v>248</v>
      </c>
      <c r="CE392" s="2" t="s">
        <v>235</v>
      </c>
      <c r="CF392" s="4">
        <v>63</v>
      </c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>
        <v>63</v>
      </c>
      <c r="GE392" s="4">
        <v>61</v>
      </c>
      <c r="GF392" s="4">
        <v>59</v>
      </c>
      <c r="GG392" s="4">
        <v>57</v>
      </c>
      <c r="GH392" s="4">
        <v>55</v>
      </c>
      <c r="GI392" s="4">
        <v>53</v>
      </c>
      <c r="GJ392" s="4">
        <v>51</v>
      </c>
      <c r="GK392" s="4">
        <v>49</v>
      </c>
      <c r="GL392" s="4">
        <v>47</v>
      </c>
      <c r="GM392" s="4">
        <v>45</v>
      </c>
      <c r="GN392" s="4">
        <v>43</v>
      </c>
      <c r="GO392" s="4">
        <v>41</v>
      </c>
      <c r="GP392" s="4">
        <v>38</v>
      </c>
      <c r="GQ392" s="4">
        <v>33</v>
      </c>
      <c r="GR392" s="4">
        <v>30</v>
      </c>
      <c r="GS392" s="4">
        <v>27</v>
      </c>
      <c r="GT392" s="4">
        <v>25</v>
      </c>
      <c r="GU392" s="4">
        <v>24</v>
      </c>
      <c r="GV392" s="4">
        <v>22</v>
      </c>
      <c r="GW392" s="4">
        <v>20</v>
      </c>
      <c r="GX392" s="4">
        <v>18</v>
      </c>
      <c r="GY392" s="4">
        <v>16</v>
      </c>
      <c r="GZ392" s="4">
        <v>14</v>
      </c>
      <c r="HA392" s="4">
        <v>12</v>
      </c>
      <c r="HB392" s="4">
        <v>10</v>
      </c>
      <c r="HC392" s="4">
        <v>8</v>
      </c>
      <c r="HD392" s="19">
        <v>31.5</v>
      </c>
      <c r="HE392" s="19">
        <v>30.5</v>
      </c>
      <c r="HF392" s="19">
        <v>29.5</v>
      </c>
      <c r="HG392" s="19">
        <v>28.5</v>
      </c>
      <c r="HH392" s="19">
        <v>27.5</v>
      </c>
      <c r="HI392" s="19">
        <v>26.5</v>
      </c>
      <c r="HJ392" s="19">
        <v>25.5</v>
      </c>
      <c r="HK392" s="19">
        <v>24.5</v>
      </c>
      <c r="HL392" s="19">
        <v>23.5</v>
      </c>
      <c r="HM392" s="19">
        <v>15</v>
      </c>
      <c r="HN392" s="19">
        <v>14.3</v>
      </c>
      <c r="HO392" s="19">
        <v>10.3</v>
      </c>
      <c r="HP392" s="19">
        <v>12.7</v>
      </c>
      <c r="HQ392" s="19">
        <v>16.5</v>
      </c>
      <c r="HR392" s="19">
        <v>15</v>
      </c>
      <c r="HS392" s="19">
        <v>13.5</v>
      </c>
      <c r="HT392" s="19">
        <v>12.5</v>
      </c>
      <c r="HU392" s="19">
        <v>12</v>
      </c>
      <c r="HV392" s="19">
        <v>11</v>
      </c>
      <c r="HW392" s="19">
        <v>10</v>
      </c>
      <c r="HX392" s="19">
        <v>9</v>
      </c>
      <c r="HY392" s="19">
        <v>8</v>
      </c>
      <c r="HZ392" s="19">
        <v>7</v>
      </c>
      <c r="IA392" s="19">
        <v>6</v>
      </c>
      <c r="IB392" s="19">
        <v>5</v>
      </c>
      <c r="IC392" s="19">
        <v>4</v>
      </c>
    </row>
    <row r="393">
      <c r="A393" s="2" t="s">
        <v>1906</v>
      </c>
      <c r="B393" s="2" t="s">
        <v>871</v>
      </c>
      <c r="C393" s="2" t="s">
        <v>324</v>
      </c>
      <c r="D393" s="2" t="s">
        <v>1452</v>
      </c>
      <c r="E393" s="2" t="s">
        <v>1895</v>
      </c>
      <c r="F393" s="2" t="s">
        <v>1869</v>
      </c>
      <c r="G393" s="2" t="s">
        <v>1896</v>
      </c>
      <c r="H393" s="2" t="s">
        <v>1897</v>
      </c>
      <c r="I393" s="2" t="s">
        <v>1898</v>
      </c>
      <c r="J393" s="2" t="s">
        <v>372</v>
      </c>
      <c r="K393" s="2" t="s">
        <v>1899</v>
      </c>
      <c r="L393" s="3">
        <v>42.85</v>
      </c>
      <c r="M393" s="3">
        <v>44.99</v>
      </c>
      <c r="N393" s="3">
        <v>89.99</v>
      </c>
      <c r="O393" s="2" t="s">
        <v>407</v>
      </c>
      <c r="P393" s="2" t="s">
        <v>408</v>
      </c>
      <c r="Q393" s="2" t="s">
        <v>234</v>
      </c>
      <c r="R393" s="2" t="s">
        <v>235</v>
      </c>
      <c r="S393" s="2" t="s">
        <v>1900</v>
      </c>
      <c r="T393" s="2" t="s">
        <v>501</v>
      </c>
      <c r="U393" s="2" t="s">
        <v>552</v>
      </c>
      <c r="V393" s="2" t="s">
        <v>1156</v>
      </c>
      <c r="W393" s="2" t="s">
        <v>239</v>
      </c>
      <c r="X393" s="2" t="s">
        <v>1354</v>
      </c>
      <c r="Y393" s="2" t="s">
        <v>1901</v>
      </c>
      <c r="Z393" s="4">
        <v>111</v>
      </c>
      <c r="AA393" s="4">
        <f>=ROUNDDOWN(55.5,0)</f>
      </c>
      <c r="AB393" s="5">
        <v>2</v>
      </c>
      <c r="AC393" s="2" t="s">
        <v>235</v>
      </c>
      <c r="AD393" s="4"/>
      <c r="AE393" s="4"/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235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235</v>
      </c>
      <c r="AW393" s="8" t="s">
        <v>235</v>
      </c>
      <c r="AX393" s="4" t="s">
        <v>235</v>
      </c>
      <c r="AY393" s="8" t="s">
        <v>235</v>
      </c>
      <c r="AZ393" s="7" t="s">
        <v>235</v>
      </c>
      <c r="BA393" s="7" t="s">
        <v>235</v>
      </c>
      <c r="BB393" s="7"/>
      <c r="BC393" s="4" t="s">
        <v>235</v>
      </c>
      <c r="BD393" s="8" t="s">
        <v>235</v>
      </c>
      <c r="BE393" s="4" t="s">
        <v>235</v>
      </c>
      <c r="BF393" s="8" t="s">
        <v>235</v>
      </c>
      <c r="BG393" s="7" t="s">
        <v>235</v>
      </c>
      <c r="BH393" s="7" t="s">
        <v>235</v>
      </c>
      <c r="BI393" s="7"/>
      <c r="BJ393" s="4">
        <v>2</v>
      </c>
      <c r="BK393" s="8">
        <v>94.48</v>
      </c>
      <c r="BL393" s="2" t="s">
        <v>1907</v>
      </c>
      <c r="BM393" s="7"/>
      <c r="BN393" s="7"/>
      <c r="BO393" s="4"/>
      <c r="BP393" s="8"/>
      <c r="BQ393" s="4"/>
      <c r="BR393" s="8"/>
      <c r="BS393" s="7"/>
      <c r="BT393" s="7"/>
      <c r="BU393" s="2" t="s">
        <v>1903</v>
      </c>
      <c r="BV393" s="2" t="s">
        <v>243</v>
      </c>
      <c r="BW393" s="2" t="s">
        <v>235</v>
      </c>
      <c r="BX393" s="2" t="s">
        <v>414</v>
      </c>
      <c r="BY393" s="2" t="s">
        <v>245</v>
      </c>
      <c r="BZ393" s="2" t="s">
        <v>232</v>
      </c>
      <c r="CA393" s="2" t="s">
        <v>1904</v>
      </c>
      <c r="CB393" s="2" t="s">
        <v>1908</v>
      </c>
      <c r="CC393" s="2" t="s">
        <v>492</v>
      </c>
      <c r="CD393" s="2" t="s">
        <v>248</v>
      </c>
      <c r="CE393" s="2" t="s">
        <v>235</v>
      </c>
      <c r="CF393" s="4">
        <v>111</v>
      </c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>
        <v>112</v>
      </c>
      <c r="GE393" s="4">
        <v>109</v>
      </c>
      <c r="GF393" s="4">
        <v>107</v>
      </c>
      <c r="GG393" s="4">
        <v>105</v>
      </c>
      <c r="GH393" s="4">
        <v>103</v>
      </c>
      <c r="GI393" s="4">
        <v>101</v>
      </c>
      <c r="GJ393" s="4">
        <v>99</v>
      </c>
      <c r="GK393" s="4">
        <v>97</v>
      </c>
      <c r="GL393" s="4">
        <v>95</v>
      </c>
      <c r="GM393" s="4">
        <v>93</v>
      </c>
      <c r="GN393" s="4">
        <v>91</v>
      </c>
      <c r="GO393" s="4">
        <v>89</v>
      </c>
      <c r="GP393" s="4">
        <v>87</v>
      </c>
      <c r="GQ393" s="4">
        <v>83</v>
      </c>
      <c r="GR393" s="4">
        <v>80</v>
      </c>
      <c r="GS393" s="4">
        <v>77</v>
      </c>
      <c r="GT393" s="4">
        <v>75</v>
      </c>
      <c r="GU393" s="4">
        <v>74</v>
      </c>
      <c r="GV393" s="4">
        <v>72</v>
      </c>
      <c r="GW393" s="4">
        <v>70</v>
      </c>
      <c r="GX393" s="4">
        <v>68</v>
      </c>
      <c r="GY393" s="4">
        <v>66</v>
      </c>
      <c r="GZ393" s="4">
        <v>64</v>
      </c>
      <c r="HA393" s="4">
        <v>62</v>
      </c>
      <c r="HB393" s="4">
        <v>60</v>
      </c>
      <c r="HC393" s="4">
        <v>58</v>
      </c>
      <c r="HD393" s="19">
        <v>56</v>
      </c>
      <c r="HE393" s="19">
        <v>54.5</v>
      </c>
      <c r="HF393" s="19">
        <v>53.5</v>
      </c>
      <c r="HG393" s="19">
        <v>52.5</v>
      </c>
      <c r="HH393" s="19">
        <v>51.5</v>
      </c>
      <c r="HI393" s="19">
        <v>50.5</v>
      </c>
      <c r="HJ393" s="19">
        <v>49.5</v>
      </c>
      <c r="HK393" s="19">
        <v>48.5</v>
      </c>
      <c r="HL393" s="19">
        <v>47.5</v>
      </c>
      <c r="HM393" s="19">
        <v>46.5</v>
      </c>
      <c r="HN393" s="19">
        <v>30.3</v>
      </c>
      <c r="HO393" s="19">
        <v>29.7</v>
      </c>
      <c r="HP393" s="19">
        <v>29</v>
      </c>
      <c r="HQ393" s="19">
        <v>41.5</v>
      </c>
      <c r="HR393" s="19">
        <v>40</v>
      </c>
      <c r="HS393" s="19">
        <v>38.5</v>
      </c>
      <c r="HT393" s="19">
        <v>37.5</v>
      </c>
      <c r="HU393" s="19">
        <v>37</v>
      </c>
      <c r="HV393" s="19">
        <v>36</v>
      </c>
      <c r="HW393" s="19">
        <v>35</v>
      </c>
      <c r="HX393" s="19">
        <v>34</v>
      </c>
      <c r="HY393" s="19">
        <v>33</v>
      </c>
      <c r="HZ393" s="19">
        <v>32</v>
      </c>
      <c r="IA393" s="19">
        <v>31</v>
      </c>
      <c r="IB393" s="19">
        <v>30</v>
      </c>
      <c r="IC393" s="19">
        <v>29</v>
      </c>
    </row>
    <row r="394">
      <c r="A394" s="2" t="s">
        <v>1909</v>
      </c>
      <c r="B394" s="2" t="s">
        <v>817</v>
      </c>
      <c r="C394" s="2" t="s">
        <v>324</v>
      </c>
      <c r="D394" s="2" t="s">
        <v>818</v>
      </c>
      <c r="E394" s="2" t="s">
        <v>819</v>
      </c>
      <c r="F394" s="2" t="s">
        <v>1910</v>
      </c>
      <c r="G394" s="2" t="s">
        <v>1910</v>
      </c>
      <c r="H394" s="2" t="s">
        <v>1910</v>
      </c>
      <c r="I394" s="2" t="s">
        <v>1911</v>
      </c>
      <c r="J394" s="2" t="s">
        <v>806</v>
      </c>
      <c r="K394" s="2" t="s">
        <v>1912</v>
      </c>
      <c r="L394" s="3">
        <v>69.19</v>
      </c>
      <c r="M394" s="3">
        <v>72.65</v>
      </c>
      <c r="N394" s="3">
        <v>135.99</v>
      </c>
      <c r="O394" s="2" t="s">
        <v>485</v>
      </c>
      <c r="P394" s="2" t="s">
        <v>408</v>
      </c>
      <c r="Q394" s="2" t="s">
        <v>234</v>
      </c>
      <c r="R394" s="2" t="s">
        <v>235</v>
      </c>
      <c r="S394" s="2" t="s">
        <v>1913</v>
      </c>
      <c r="T394" s="2" t="s">
        <v>235</v>
      </c>
      <c r="U394" s="2" t="s">
        <v>282</v>
      </c>
      <c r="V394" s="2" t="s">
        <v>824</v>
      </c>
      <c r="W394" s="2" t="s">
        <v>682</v>
      </c>
      <c r="X394" s="2" t="s">
        <v>1914</v>
      </c>
      <c r="Y394" s="2" t="s">
        <v>1915</v>
      </c>
      <c r="Z394" s="4"/>
      <c r="AA394" s="4">
        <f>=ROUNDDOWN({0},0)</f>
      </c>
      <c r="AB394" s="5">
        <v>1.4</v>
      </c>
      <c r="AC394" s="2" t="s">
        <v>235</v>
      </c>
      <c r="AD394" s="4"/>
      <c r="AE394" s="4"/>
      <c r="AF394" s="6">
        <v>61</v>
      </c>
      <c r="AG394" s="6">
        <v>44</v>
      </c>
      <c r="AH394" s="7">
        <v>0.7742</v>
      </c>
      <c r="AI394" s="4"/>
      <c r="AJ394" s="4">
        <f>=ROUNDDOWN({0},0)</f>
      </c>
      <c r="AK394" s="5"/>
      <c r="AL394" s="2" t="s">
        <v>235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>
        <v>4</v>
      </c>
      <c r="BK394" s="8">
        <v>361.34</v>
      </c>
      <c r="BL394" s="2" t="s">
        <v>1916</v>
      </c>
      <c r="BM394" s="7"/>
      <c r="BN394" s="7"/>
      <c r="BO394" s="4"/>
      <c r="BP394" s="8"/>
      <c r="BQ394" s="4"/>
      <c r="BR394" s="8"/>
      <c r="BS394" s="7"/>
      <c r="BT394" s="7"/>
      <c r="BU394" s="2" t="s">
        <v>1917</v>
      </c>
      <c r="BV394" s="2" t="s">
        <v>828</v>
      </c>
      <c r="BW394" s="2" t="s">
        <v>235</v>
      </c>
      <c r="BX394" s="2" t="s">
        <v>414</v>
      </c>
      <c r="BY394" s="2" t="s">
        <v>245</v>
      </c>
      <c r="BZ394" s="2" t="s">
        <v>232</v>
      </c>
      <c r="CA394" s="2" t="s">
        <v>1918</v>
      </c>
      <c r="CB394" s="2" t="s">
        <v>1919</v>
      </c>
      <c r="CC394" s="2" t="s">
        <v>248</v>
      </c>
      <c r="CD394" s="2" t="s">
        <v>248</v>
      </c>
      <c r="CE394" s="2" t="s">
        <v>235</v>
      </c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>
        <v>2</v>
      </c>
      <c r="GE394" s="4">
        <v>1</v>
      </c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19">
        <v>0.3</v>
      </c>
      <c r="HE394" s="19">
        <v>0.2</v>
      </c>
      <c r="HF394" s="20">
        <v>0</v>
      </c>
      <c r="HG394" s="20">
        <v>0</v>
      </c>
      <c r="HH394" s="20">
        <v>0</v>
      </c>
      <c r="HI394" s="20">
        <v>0</v>
      </c>
      <c r="HJ394" s="20">
        <v>0</v>
      </c>
      <c r="HK394" s="20">
        <v>0</v>
      </c>
      <c r="HL394" s="20">
        <v>0</v>
      </c>
      <c r="HM394" s="20">
        <v>0</v>
      </c>
      <c r="HN394" s="20">
        <v>0</v>
      </c>
      <c r="HO394" s="20">
        <v>0</v>
      </c>
      <c r="HP394" s="20">
        <v>0</v>
      </c>
      <c r="HQ394" s="20">
        <v>0</v>
      </c>
      <c r="HR394" s="20">
        <v>0</v>
      </c>
      <c r="HS394" s="20">
        <v>0</v>
      </c>
      <c r="HT394" s="20">
        <v>0</v>
      </c>
      <c r="HU394" s="20">
        <v>0</v>
      </c>
      <c r="HV394" s="20">
        <v>0</v>
      </c>
      <c r="HW394" s="20">
        <v>0</v>
      </c>
      <c r="HX394" s="20">
        <v>0</v>
      </c>
      <c r="HY394" s="20">
        <v>0</v>
      </c>
      <c r="HZ394" s="20">
        <v>0</v>
      </c>
      <c r="IA394" s="20">
        <v>0</v>
      </c>
      <c r="IB394" s="20">
        <v>0</v>
      </c>
      <c r="IC394" s="20">
        <v>0</v>
      </c>
    </row>
    <row r="395">
      <c r="A395" s="2" t="s">
        <v>1920</v>
      </c>
      <c r="B395" s="2" t="s">
        <v>817</v>
      </c>
      <c r="C395" s="2" t="s">
        <v>324</v>
      </c>
      <c r="D395" s="2" t="s">
        <v>818</v>
      </c>
      <c r="E395" s="2" t="s">
        <v>819</v>
      </c>
      <c r="F395" s="2" t="s">
        <v>1921</v>
      </c>
      <c r="G395" s="2" t="s">
        <v>1921</v>
      </c>
      <c r="H395" s="2" t="s">
        <v>1921</v>
      </c>
      <c r="I395" s="2" t="s">
        <v>1922</v>
      </c>
      <c r="J395" s="2" t="s">
        <v>806</v>
      </c>
      <c r="K395" s="2" t="s">
        <v>231</v>
      </c>
      <c r="L395" s="3">
        <v>46.22</v>
      </c>
      <c r="M395" s="3">
        <v>48.53</v>
      </c>
      <c r="N395" s="3">
        <v>89.24</v>
      </c>
      <c r="O395" s="2" t="s">
        <v>407</v>
      </c>
      <c r="P395" s="2" t="s">
        <v>408</v>
      </c>
      <c r="Q395" s="2" t="s">
        <v>234</v>
      </c>
      <c r="R395" s="2" t="s">
        <v>235</v>
      </c>
      <c r="S395" s="2" t="s">
        <v>1923</v>
      </c>
      <c r="T395" s="2" t="s">
        <v>235</v>
      </c>
      <c r="U395" s="2" t="s">
        <v>278</v>
      </c>
      <c r="V395" s="2" t="s">
        <v>824</v>
      </c>
      <c r="W395" s="2" t="s">
        <v>682</v>
      </c>
      <c r="X395" s="2" t="s">
        <v>235</v>
      </c>
      <c r="Y395" s="2" t="s">
        <v>1924</v>
      </c>
      <c r="Z395" s="4">
        <v>51</v>
      </c>
      <c r="AA395" s="4">
        <f>=ROUNDDOWN(21.25,0)</f>
      </c>
      <c r="AB395" s="5">
        <v>2.4</v>
      </c>
      <c r="AC395" s="2" t="s">
        <v>235</v>
      </c>
      <c r="AD395" s="4"/>
      <c r="AE395" s="4"/>
      <c r="AF395" s="6">
        <v>61</v>
      </c>
      <c r="AG395" s="6"/>
      <c r="AH395" s="7">
        <v>1</v>
      </c>
      <c r="AI395" s="4"/>
      <c r="AJ395" s="4">
        <f>=ROUNDDOWN({0},0)</f>
      </c>
      <c r="AK395" s="5"/>
      <c r="AL395" s="2" t="s">
        <v>235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>
        <v>11</v>
      </c>
      <c r="BK395" s="8">
        <v>608.56</v>
      </c>
      <c r="BL395" s="2" t="s">
        <v>1925</v>
      </c>
      <c r="BM395" s="7"/>
      <c r="BN395" s="7"/>
      <c r="BO395" s="4"/>
      <c r="BP395" s="8"/>
      <c r="BQ395" s="4"/>
      <c r="BR395" s="8"/>
      <c r="BS395" s="7"/>
      <c r="BT395" s="7"/>
      <c r="BU395" s="2" t="s">
        <v>1926</v>
      </c>
      <c r="BV395" s="2" t="s">
        <v>828</v>
      </c>
      <c r="BW395" s="2" t="s">
        <v>235</v>
      </c>
      <c r="BX395" s="2" t="s">
        <v>414</v>
      </c>
      <c r="BY395" s="2" t="s">
        <v>245</v>
      </c>
      <c r="BZ395" s="2" t="s">
        <v>232</v>
      </c>
      <c r="CA395" s="2" t="s">
        <v>1927</v>
      </c>
      <c r="CB395" s="2" t="s">
        <v>1928</v>
      </c>
      <c r="CC395" s="2" t="s">
        <v>248</v>
      </c>
      <c r="CD395" s="2" t="s">
        <v>248</v>
      </c>
      <c r="CE395" s="2" t="s">
        <v>235</v>
      </c>
      <c r="CF395" s="4"/>
      <c r="CG395" s="4">
        <v>51</v>
      </c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>
        <v>53</v>
      </c>
      <c r="GE395" s="4">
        <v>42</v>
      </c>
      <c r="GF395" s="4">
        <v>39</v>
      </c>
      <c r="GG395" s="4">
        <v>36</v>
      </c>
      <c r="GH395" s="4">
        <v>33</v>
      </c>
      <c r="GI395" s="4">
        <v>30</v>
      </c>
      <c r="GJ395" s="4">
        <v>27</v>
      </c>
      <c r="GK395" s="4">
        <v>24</v>
      </c>
      <c r="GL395" s="4">
        <v>21</v>
      </c>
      <c r="GM395" s="4">
        <v>18</v>
      </c>
      <c r="GN395" s="4">
        <v>15</v>
      </c>
      <c r="GO395" s="4">
        <v>12</v>
      </c>
      <c r="GP395" s="4">
        <v>9</v>
      </c>
      <c r="GQ395" s="4">
        <v>6</v>
      </c>
      <c r="GR395" s="4">
        <v>3</v>
      </c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19">
        <v>10.6</v>
      </c>
      <c r="HE395" s="19">
        <v>14</v>
      </c>
      <c r="HF395" s="19">
        <v>13</v>
      </c>
      <c r="HG395" s="19">
        <v>12</v>
      </c>
      <c r="HH395" s="19">
        <v>11</v>
      </c>
      <c r="HI395" s="19">
        <v>10</v>
      </c>
      <c r="HJ395" s="19">
        <v>9</v>
      </c>
      <c r="HK395" s="19">
        <v>8</v>
      </c>
      <c r="HL395" s="19">
        <v>7</v>
      </c>
      <c r="HM395" s="19">
        <v>6</v>
      </c>
      <c r="HN395" s="19">
        <v>5</v>
      </c>
      <c r="HO395" s="19">
        <v>4</v>
      </c>
      <c r="HP395" s="19">
        <v>3</v>
      </c>
      <c r="HQ395" s="19">
        <v>2</v>
      </c>
      <c r="HR395" s="19">
        <v>1</v>
      </c>
      <c r="HS395" s="20">
        <v>0</v>
      </c>
      <c r="HT395" s="20">
        <v>0</v>
      </c>
      <c r="HU395" s="20">
        <v>0</v>
      </c>
      <c r="HV395" s="20">
        <v>0</v>
      </c>
      <c r="HW395" s="20">
        <v>0</v>
      </c>
      <c r="HX395" s="20">
        <v>0</v>
      </c>
      <c r="HY395" s="20">
        <v>0</v>
      </c>
      <c r="HZ395" s="20">
        <v>0</v>
      </c>
      <c r="IA395" s="20">
        <v>0</v>
      </c>
      <c r="IB395" s="20">
        <v>0</v>
      </c>
      <c r="IC395" s="20">
        <v>0</v>
      </c>
    </row>
    <row r="396">
      <c r="A396" s="2" t="s">
        <v>1929</v>
      </c>
      <c r="B396" s="2" t="s">
        <v>1071</v>
      </c>
      <c r="C396" s="2" t="s">
        <v>893</v>
      </c>
      <c r="D396" s="2" t="s">
        <v>1417</v>
      </c>
      <c r="E396" s="2" t="s">
        <v>1418</v>
      </c>
      <c r="F396" s="2" t="s">
        <v>1930</v>
      </c>
      <c r="G396" s="2" t="s">
        <v>1930</v>
      </c>
      <c r="H396" s="2" t="s">
        <v>1930</v>
      </c>
      <c r="I396" s="2" t="s">
        <v>1931</v>
      </c>
      <c r="J396" s="2" t="s">
        <v>897</v>
      </c>
      <c r="K396" s="2" t="s">
        <v>612</v>
      </c>
      <c r="L396" s="3">
        <v>213.75</v>
      </c>
      <c r="M396" s="3">
        <v>224.44</v>
      </c>
      <c r="N396" s="3">
        <v>449</v>
      </c>
      <c r="O396" s="2" t="s">
        <v>232</v>
      </c>
      <c r="P396" s="2" t="s">
        <v>965</v>
      </c>
      <c r="Q396" s="2" t="s">
        <v>234</v>
      </c>
      <c r="R396" s="2" t="s">
        <v>235</v>
      </c>
      <c r="S396" s="2" t="s">
        <v>235</v>
      </c>
      <c r="T396" s="2" t="s">
        <v>235</v>
      </c>
      <c r="U396" s="2" t="s">
        <v>807</v>
      </c>
      <c r="V396" s="2" t="s">
        <v>808</v>
      </c>
      <c r="W396" s="2" t="s">
        <v>1157</v>
      </c>
      <c r="X396" s="2" t="s">
        <v>239</v>
      </c>
      <c r="Y396" s="2" t="s">
        <v>1932</v>
      </c>
      <c r="Z396" s="4">
        <v>175</v>
      </c>
      <c r="AA396" s="4">
        <f>=ROUNDDOWN(87.5,0)</f>
      </c>
      <c r="AB396" s="5">
        <v>2</v>
      </c>
      <c r="AC396" s="2" t="s">
        <v>235</v>
      </c>
      <c r="AD396" s="4"/>
      <c r="AE396" s="4"/>
      <c r="AF396" s="6">
        <v>76</v>
      </c>
      <c r="AG396" s="6"/>
      <c r="AH396" s="7">
        <v>1</v>
      </c>
      <c r="AI396" s="4"/>
      <c r="AJ396" s="4">
        <f>=ROUNDDOWN({0},0)</f>
      </c>
      <c r="AK396" s="5"/>
      <c r="AL396" s="2" t="s">
        <v>235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235</v>
      </c>
      <c r="BD396" s="8" t="s">
        <v>235</v>
      </c>
      <c r="BE396" s="4" t="s">
        <v>235</v>
      </c>
      <c r="BF396" s="8" t="s">
        <v>235</v>
      </c>
      <c r="BG396" s="7" t="s">
        <v>235</v>
      </c>
      <c r="BH396" s="7" t="s">
        <v>235</v>
      </c>
      <c r="BI396" s="7"/>
      <c r="BJ396" s="4">
        <v>5</v>
      </c>
      <c r="BK396" s="8">
        <v>1397.21</v>
      </c>
      <c r="BL396" s="2" t="s">
        <v>1933</v>
      </c>
      <c r="BM396" s="7"/>
      <c r="BN396" s="7"/>
      <c r="BO396" s="4"/>
      <c r="BP396" s="8"/>
      <c r="BQ396" s="4"/>
      <c r="BR396" s="8"/>
      <c r="BS396" s="7"/>
      <c r="BT396" s="7"/>
      <c r="BU396" s="2" t="s">
        <v>1934</v>
      </c>
      <c r="BV396" s="2" t="s">
        <v>1424</v>
      </c>
      <c r="BW396" s="2" t="s">
        <v>235</v>
      </c>
      <c r="BX396" s="2" t="s">
        <v>244</v>
      </c>
      <c r="BY396" s="2" t="s">
        <v>245</v>
      </c>
      <c r="BZ396" s="2" t="s">
        <v>232</v>
      </c>
      <c r="CA396" s="2" t="s">
        <v>1935</v>
      </c>
      <c r="CB396" s="2" t="s">
        <v>1936</v>
      </c>
      <c r="CC396" s="2" t="s">
        <v>248</v>
      </c>
      <c r="CD396" s="2" t="s">
        <v>248</v>
      </c>
      <c r="CE396" s="2" t="s">
        <v>235</v>
      </c>
      <c r="CF396" s="4"/>
      <c r="CG396" s="4">
        <v>175</v>
      </c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>
        <v>175</v>
      </c>
      <c r="GE396" s="4">
        <v>173</v>
      </c>
      <c r="GF396" s="4">
        <v>171</v>
      </c>
      <c r="GG396" s="4">
        <v>169</v>
      </c>
      <c r="GH396" s="4">
        <v>167</v>
      </c>
      <c r="GI396" s="4">
        <v>165</v>
      </c>
      <c r="GJ396" s="4">
        <v>163</v>
      </c>
      <c r="GK396" s="4">
        <v>161</v>
      </c>
      <c r="GL396" s="4">
        <v>159</v>
      </c>
      <c r="GM396" s="4">
        <v>157</v>
      </c>
      <c r="GN396" s="4">
        <v>155</v>
      </c>
      <c r="GO396" s="4">
        <v>152</v>
      </c>
      <c r="GP396" s="4">
        <v>150</v>
      </c>
      <c r="GQ396" s="4">
        <v>146</v>
      </c>
      <c r="GR396" s="4">
        <v>143</v>
      </c>
      <c r="GS396" s="4">
        <v>141</v>
      </c>
      <c r="GT396" s="4">
        <v>140</v>
      </c>
      <c r="GU396" s="4">
        <v>139</v>
      </c>
      <c r="GV396" s="4">
        <v>137</v>
      </c>
      <c r="GW396" s="4">
        <v>136</v>
      </c>
      <c r="GX396" s="4">
        <v>134</v>
      </c>
      <c r="GY396" s="4">
        <v>133</v>
      </c>
      <c r="GZ396" s="4">
        <v>131</v>
      </c>
      <c r="HA396" s="4">
        <v>129</v>
      </c>
      <c r="HB396" s="4">
        <v>127</v>
      </c>
      <c r="HC396" s="4">
        <v>125</v>
      </c>
      <c r="HD396" s="19">
        <v>87.5</v>
      </c>
      <c r="HE396" s="19">
        <v>86.5</v>
      </c>
      <c r="HF396" s="19">
        <v>85.5</v>
      </c>
      <c r="HG396" s="19">
        <v>84.5</v>
      </c>
      <c r="HH396" s="19">
        <v>83.5</v>
      </c>
      <c r="HI396" s="19">
        <v>82.5</v>
      </c>
      <c r="HJ396" s="19">
        <v>81.5</v>
      </c>
      <c r="HK396" s="19">
        <v>80.5</v>
      </c>
      <c r="HL396" s="19">
        <v>79.5</v>
      </c>
      <c r="HM396" s="19">
        <v>52.3</v>
      </c>
      <c r="HN396" s="19">
        <v>51.7</v>
      </c>
      <c r="HO396" s="19">
        <v>50.7</v>
      </c>
      <c r="HP396" s="19">
        <v>75</v>
      </c>
      <c r="HQ396" s="19">
        <v>73</v>
      </c>
      <c r="HR396" s="19">
        <v>71.5</v>
      </c>
      <c r="HS396" s="19">
        <v>141</v>
      </c>
      <c r="HT396" s="19">
        <v>70</v>
      </c>
      <c r="HU396" s="19">
        <v>69.5</v>
      </c>
      <c r="HV396" s="19">
        <v>68.5</v>
      </c>
      <c r="HW396" s="19">
        <v>68</v>
      </c>
      <c r="HX396" s="19">
        <v>67</v>
      </c>
      <c r="HY396" s="19">
        <v>66.5</v>
      </c>
      <c r="HZ396" s="19">
        <v>65.5</v>
      </c>
      <c r="IA396" s="19">
        <v>64.5</v>
      </c>
      <c r="IB396" s="19">
        <v>63.5</v>
      </c>
      <c r="IC396" s="19">
        <v>62.5</v>
      </c>
    </row>
    <row r="397">
      <c r="A397" s="2" t="s">
        <v>1937</v>
      </c>
      <c r="B397" s="2" t="s">
        <v>1071</v>
      </c>
      <c r="C397" s="2" t="s">
        <v>893</v>
      </c>
      <c r="D397" s="2" t="s">
        <v>1417</v>
      </c>
      <c r="E397" s="2" t="s">
        <v>1418</v>
      </c>
      <c r="F397" s="2" t="s">
        <v>1930</v>
      </c>
      <c r="G397" s="2" t="s">
        <v>1930</v>
      </c>
      <c r="H397" s="2" t="s">
        <v>1930</v>
      </c>
      <c r="I397" s="2" t="s">
        <v>1931</v>
      </c>
      <c r="J397" s="2" t="s">
        <v>897</v>
      </c>
      <c r="K397" s="2" t="s">
        <v>1333</v>
      </c>
      <c r="L397" s="3">
        <v>213.75</v>
      </c>
      <c r="M397" s="3">
        <v>224.44</v>
      </c>
      <c r="N397" s="3">
        <v>449</v>
      </c>
      <c r="O397" s="2" t="s">
        <v>232</v>
      </c>
      <c r="P397" s="2" t="s">
        <v>878</v>
      </c>
      <c r="Q397" s="2" t="s">
        <v>234</v>
      </c>
      <c r="R397" s="2" t="s">
        <v>235</v>
      </c>
      <c r="S397" s="2" t="s">
        <v>235</v>
      </c>
      <c r="T397" s="2" t="s">
        <v>235</v>
      </c>
      <c r="U397" s="2" t="s">
        <v>807</v>
      </c>
      <c r="V397" s="2" t="s">
        <v>808</v>
      </c>
      <c r="W397" s="2" t="s">
        <v>1157</v>
      </c>
      <c r="X397" s="2" t="s">
        <v>239</v>
      </c>
      <c r="Y397" s="2" t="s">
        <v>1938</v>
      </c>
      <c r="Z397" s="4">
        <v>101</v>
      </c>
      <c r="AA397" s="4">
        <f>=ROUNDDOWN(50.5,0)</f>
      </c>
      <c r="AB397" s="5">
        <v>2</v>
      </c>
      <c r="AC397" s="2" t="s">
        <v>235</v>
      </c>
      <c r="AD397" s="4"/>
      <c r="AE397" s="4"/>
      <c r="AF397" s="6">
        <v>76</v>
      </c>
      <c r="AG397" s="6"/>
      <c r="AH397" s="7">
        <v>1</v>
      </c>
      <c r="AI397" s="4"/>
      <c r="AJ397" s="4">
        <f>=ROUNDDOWN({0},0)</f>
      </c>
      <c r="AK397" s="5"/>
      <c r="AL397" s="2" t="s">
        <v>235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235</v>
      </c>
      <c r="BD397" s="8" t="s">
        <v>235</v>
      </c>
      <c r="BE397" s="4" t="s">
        <v>235</v>
      </c>
      <c r="BF397" s="8" t="s">
        <v>235</v>
      </c>
      <c r="BG397" s="7" t="s">
        <v>235</v>
      </c>
      <c r="BH397" s="7" t="s">
        <v>235</v>
      </c>
      <c r="BI397" s="7"/>
      <c r="BJ397" s="4">
        <v>6</v>
      </c>
      <c r="BK397" s="8">
        <v>1364.59</v>
      </c>
      <c r="BL397" s="2" t="s">
        <v>1939</v>
      </c>
      <c r="BM397" s="7"/>
      <c r="BN397" s="7"/>
      <c r="BO397" s="4"/>
      <c r="BP397" s="8"/>
      <c r="BQ397" s="4"/>
      <c r="BR397" s="8"/>
      <c r="BS397" s="7"/>
      <c r="BT397" s="7"/>
      <c r="BU397" s="2" t="s">
        <v>1934</v>
      </c>
      <c r="BV397" s="2" t="s">
        <v>1424</v>
      </c>
      <c r="BW397" s="2" t="s">
        <v>235</v>
      </c>
      <c r="BX397" s="2" t="s">
        <v>244</v>
      </c>
      <c r="BY397" s="2" t="s">
        <v>245</v>
      </c>
      <c r="BZ397" s="2" t="s">
        <v>232</v>
      </c>
      <c r="CA397" s="2" t="s">
        <v>1940</v>
      </c>
      <c r="CB397" s="2" t="s">
        <v>1941</v>
      </c>
      <c r="CC397" s="2" t="s">
        <v>248</v>
      </c>
      <c r="CD397" s="2" t="s">
        <v>248</v>
      </c>
      <c r="CE397" s="2" t="s">
        <v>235</v>
      </c>
      <c r="CF397" s="4"/>
      <c r="CG397" s="4">
        <v>101</v>
      </c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>
        <v>101</v>
      </c>
      <c r="GE397" s="4">
        <v>92</v>
      </c>
      <c r="GF397" s="4">
        <v>90</v>
      </c>
      <c r="GG397" s="4">
        <v>88</v>
      </c>
      <c r="GH397" s="4">
        <v>86</v>
      </c>
      <c r="GI397" s="4">
        <v>84</v>
      </c>
      <c r="GJ397" s="4">
        <v>81</v>
      </c>
      <c r="GK397" s="4">
        <v>78</v>
      </c>
      <c r="GL397" s="4">
        <v>76</v>
      </c>
      <c r="GM397" s="4">
        <v>74</v>
      </c>
      <c r="GN397" s="4">
        <v>72</v>
      </c>
      <c r="GO397" s="4">
        <v>70</v>
      </c>
      <c r="GP397" s="4">
        <v>68</v>
      </c>
      <c r="GQ397" s="4">
        <v>65</v>
      </c>
      <c r="GR397" s="4">
        <v>62</v>
      </c>
      <c r="GS397" s="4">
        <v>60</v>
      </c>
      <c r="GT397" s="4">
        <v>58</v>
      </c>
      <c r="GU397" s="4">
        <v>56</v>
      </c>
      <c r="GV397" s="4">
        <v>54</v>
      </c>
      <c r="GW397" s="4">
        <v>52</v>
      </c>
      <c r="GX397" s="4">
        <v>50</v>
      </c>
      <c r="GY397" s="4">
        <v>48</v>
      </c>
      <c r="GZ397" s="4">
        <v>46</v>
      </c>
      <c r="HA397" s="4">
        <v>44</v>
      </c>
      <c r="HB397" s="4">
        <v>42</v>
      </c>
      <c r="HC397" s="4">
        <v>40</v>
      </c>
      <c r="HD397" s="19">
        <v>25.3</v>
      </c>
      <c r="HE397" s="19">
        <v>46</v>
      </c>
      <c r="HF397" s="19">
        <v>45</v>
      </c>
      <c r="HG397" s="19">
        <v>44</v>
      </c>
      <c r="HH397" s="19">
        <v>43</v>
      </c>
      <c r="HI397" s="19">
        <v>42</v>
      </c>
      <c r="HJ397" s="19">
        <v>40.5</v>
      </c>
      <c r="HK397" s="19">
        <v>39</v>
      </c>
      <c r="HL397" s="19">
        <v>38</v>
      </c>
      <c r="HM397" s="19">
        <v>37</v>
      </c>
      <c r="HN397" s="19">
        <v>36</v>
      </c>
      <c r="HO397" s="19">
        <v>35</v>
      </c>
      <c r="HP397" s="19">
        <v>34</v>
      </c>
      <c r="HQ397" s="19">
        <v>32.5</v>
      </c>
      <c r="HR397" s="19">
        <v>31</v>
      </c>
      <c r="HS397" s="19">
        <v>30</v>
      </c>
      <c r="HT397" s="19">
        <v>29</v>
      </c>
      <c r="HU397" s="19">
        <v>28</v>
      </c>
      <c r="HV397" s="19">
        <v>27</v>
      </c>
      <c r="HW397" s="19">
        <v>26</v>
      </c>
      <c r="HX397" s="19">
        <v>25</v>
      </c>
      <c r="HY397" s="19">
        <v>24</v>
      </c>
      <c r="HZ397" s="19">
        <v>23</v>
      </c>
      <c r="IA397" s="19">
        <v>22</v>
      </c>
      <c r="IB397" s="19">
        <v>21</v>
      </c>
      <c r="IC397" s="19">
        <v>20</v>
      </c>
    </row>
    <row r="398">
      <c r="A398" s="2" t="s">
        <v>1942</v>
      </c>
      <c r="B398" s="2" t="s">
        <v>1071</v>
      </c>
      <c r="C398" s="2" t="s">
        <v>893</v>
      </c>
      <c r="D398" s="2" t="s">
        <v>1417</v>
      </c>
      <c r="E398" s="2" t="s">
        <v>1418</v>
      </c>
      <c r="F398" s="2" t="s">
        <v>1930</v>
      </c>
      <c r="G398" s="2" t="s">
        <v>1930</v>
      </c>
      <c r="H398" s="2" t="s">
        <v>1930</v>
      </c>
      <c r="I398" s="2" t="s">
        <v>1931</v>
      </c>
      <c r="J398" s="2" t="s">
        <v>897</v>
      </c>
      <c r="K398" s="2" t="s">
        <v>975</v>
      </c>
      <c r="L398" s="3">
        <v>213.75</v>
      </c>
      <c r="M398" s="3">
        <v>224.44</v>
      </c>
      <c r="N398" s="3">
        <v>449</v>
      </c>
      <c r="O398" s="2" t="s">
        <v>232</v>
      </c>
      <c r="P398" s="2" t="s">
        <v>965</v>
      </c>
      <c r="Q398" s="2" t="s">
        <v>234</v>
      </c>
      <c r="R398" s="2" t="s">
        <v>235</v>
      </c>
      <c r="S398" s="2" t="s">
        <v>235</v>
      </c>
      <c r="T398" s="2" t="s">
        <v>235</v>
      </c>
      <c r="U398" s="2" t="s">
        <v>807</v>
      </c>
      <c r="V398" s="2" t="s">
        <v>808</v>
      </c>
      <c r="W398" s="2" t="s">
        <v>1157</v>
      </c>
      <c r="X398" s="2" t="s">
        <v>239</v>
      </c>
      <c r="Y398" s="2" t="s">
        <v>1421</v>
      </c>
      <c r="Z398" s="4">
        <v>25</v>
      </c>
      <c r="AA398" s="4">
        <f>=ROUNDDOWN(8.33333333333333,0)</f>
      </c>
      <c r="AB398" s="5">
        <v>3</v>
      </c>
      <c r="AC398" s="2" t="s">
        <v>159</v>
      </c>
      <c r="AD398" s="4">
        <v>55</v>
      </c>
      <c r="AE398" s="4">
        <v>100</v>
      </c>
      <c r="AF398" s="6">
        <v>76</v>
      </c>
      <c r="AG398" s="6"/>
      <c r="AH398" s="7">
        <v>1</v>
      </c>
      <c r="AI398" s="4"/>
      <c r="AJ398" s="4">
        <f>=ROUNDDOWN({0},0)</f>
      </c>
      <c r="AK398" s="5"/>
      <c r="AL398" s="2" t="s">
        <v>235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235</v>
      </c>
      <c r="BD398" s="8" t="s">
        <v>235</v>
      </c>
      <c r="BE398" s="4" t="s">
        <v>235</v>
      </c>
      <c r="BF398" s="8" t="s">
        <v>235</v>
      </c>
      <c r="BG398" s="7" t="s">
        <v>235</v>
      </c>
      <c r="BH398" s="7" t="s">
        <v>235</v>
      </c>
      <c r="BI398" s="7"/>
      <c r="BJ398" s="4">
        <v>10</v>
      </c>
      <c r="BK398" s="8">
        <v>2313.94</v>
      </c>
      <c r="BL398" s="2" t="s">
        <v>1943</v>
      </c>
      <c r="BM398" s="7"/>
      <c r="BN398" s="7"/>
      <c r="BO398" s="4"/>
      <c r="BP398" s="8"/>
      <c r="BQ398" s="4"/>
      <c r="BR398" s="8"/>
      <c r="BS398" s="7"/>
      <c r="BT398" s="7"/>
      <c r="BU398" s="2" t="s">
        <v>1934</v>
      </c>
      <c r="BV398" s="2" t="s">
        <v>1424</v>
      </c>
      <c r="BW398" s="2" t="s">
        <v>235</v>
      </c>
      <c r="BX398" s="2" t="s">
        <v>244</v>
      </c>
      <c r="BY398" s="2" t="s">
        <v>245</v>
      </c>
      <c r="BZ398" s="2" t="s">
        <v>232</v>
      </c>
      <c r="CA398" s="2" t="s">
        <v>1940</v>
      </c>
      <c r="CB398" s="2" t="s">
        <v>1944</v>
      </c>
      <c r="CC398" s="2" t="s">
        <v>248</v>
      </c>
      <c r="CD398" s="2" t="s">
        <v>248</v>
      </c>
      <c r="CE398" s="2" t="s">
        <v>235</v>
      </c>
      <c r="CF398" s="4"/>
      <c r="CG398" s="4">
        <v>25</v>
      </c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>
        <v>55</v>
      </c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>
        <v>45</v>
      </c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>
        <v>26</v>
      </c>
      <c r="GE398" s="4">
        <v>17</v>
      </c>
      <c r="GF398" s="4">
        <v>14</v>
      </c>
      <c r="GG398" s="4">
        <v>11</v>
      </c>
      <c r="GH398" s="4">
        <v>8</v>
      </c>
      <c r="GI398" s="4">
        <v>5</v>
      </c>
      <c r="GJ398" s="4">
        <v>56</v>
      </c>
      <c r="GK398" s="4">
        <v>52</v>
      </c>
      <c r="GL398" s="4">
        <v>49</v>
      </c>
      <c r="GM398" s="4">
        <v>46</v>
      </c>
      <c r="GN398" s="4">
        <v>88</v>
      </c>
      <c r="GO398" s="4">
        <v>84</v>
      </c>
      <c r="GP398" s="4">
        <v>81</v>
      </c>
      <c r="GQ398" s="4">
        <v>76</v>
      </c>
      <c r="GR398" s="4">
        <v>72</v>
      </c>
      <c r="GS398" s="4">
        <v>69</v>
      </c>
      <c r="GT398" s="4">
        <v>67</v>
      </c>
      <c r="GU398" s="4">
        <v>65</v>
      </c>
      <c r="GV398" s="4">
        <v>62</v>
      </c>
      <c r="GW398" s="4">
        <v>60</v>
      </c>
      <c r="GX398" s="4">
        <v>57</v>
      </c>
      <c r="GY398" s="4">
        <v>55</v>
      </c>
      <c r="GZ398" s="4">
        <v>52</v>
      </c>
      <c r="HA398" s="4">
        <v>49</v>
      </c>
      <c r="HB398" s="4">
        <v>46</v>
      </c>
      <c r="HC398" s="4">
        <v>43</v>
      </c>
      <c r="HD398" s="19">
        <v>6.5</v>
      </c>
      <c r="HE398" s="19">
        <v>5.7</v>
      </c>
      <c r="HF398" s="19">
        <v>4.7</v>
      </c>
      <c r="HG398" s="19">
        <v>2.8</v>
      </c>
      <c r="HH398" s="19">
        <v>2</v>
      </c>
      <c r="HI398" s="19">
        <v>1.3</v>
      </c>
      <c r="HJ398" s="19">
        <v>18.7</v>
      </c>
      <c r="HK398" s="19">
        <v>17.3</v>
      </c>
      <c r="HL398" s="19">
        <v>16.3</v>
      </c>
      <c r="HM398" s="19">
        <v>11.5</v>
      </c>
      <c r="HN398" s="19">
        <v>22</v>
      </c>
      <c r="HO398" s="19">
        <v>21</v>
      </c>
      <c r="HP398" s="19">
        <v>20.3</v>
      </c>
      <c r="HQ398" s="19">
        <v>25.3</v>
      </c>
      <c r="HR398" s="19">
        <v>36</v>
      </c>
      <c r="HS398" s="19">
        <v>34.5</v>
      </c>
      <c r="HT398" s="19">
        <v>33.5</v>
      </c>
      <c r="HU398" s="19">
        <v>32.5</v>
      </c>
      <c r="HV398" s="19">
        <v>31</v>
      </c>
      <c r="HW398" s="19">
        <v>20</v>
      </c>
      <c r="HX398" s="19">
        <v>19</v>
      </c>
      <c r="HY398" s="19">
        <v>18.3</v>
      </c>
      <c r="HZ398" s="19">
        <v>17.3</v>
      </c>
      <c r="IA398" s="19">
        <v>16.3</v>
      </c>
      <c r="IB398" s="19">
        <v>15.3</v>
      </c>
      <c r="IC398" s="19">
        <v>14.3</v>
      </c>
    </row>
    <row r="399">
      <c r="A399" s="2" t="s">
        <v>1945</v>
      </c>
      <c r="B399" s="2" t="s">
        <v>255</v>
      </c>
      <c r="C399" s="2" t="s">
        <v>256</v>
      </c>
      <c r="D399" s="2" t="s">
        <v>906</v>
      </c>
      <c r="E399" s="2" t="s">
        <v>1301</v>
      </c>
      <c r="F399" s="2" t="s">
        <v>930</v>
      </c>
      <c r="G399" s="2" t="s">
        <v>930</v>
      </c>
      <c r="H399" s="2" t="s">
        <v>930</v>
      </c>
      <c r="I399" s="2" t="s">
        <v>1946</v>
      </c>
      <c r="J399" s="2" t="s">
        <v>365</v>
      </c>
      <c r="K399" s="2" t="s">
        <v>1878</v>
      </c>
      <c r="L399" s="3">
        <v>112</v>
      </c>
      <c r="M399" s="3">
        <v>117.6</v>
      </c>
      <c r="N399" s="3">
        <v>279.99</v>
      </c>
      <c r="O399" s="2" t="s">
        <v>232</v>
      </c>
      <c r="P399" s="2" t="s">
        <v>262</v>
      </c>
      <c r="Q399" s="2" t="s">
        <v>234</v>
      </c>
      <c r="R399" s="2" t="s">
        <v>235</v>
      </c>
      <c r="S399" s="2" t="s">
        <v>235</v>
      </c>
      <c r="T399" s="2" t="s">
        <v>263</v>
      </c>
      <c r="U399" s="2" t="s">
        <v>552</v>
      </c>
      <c r="V399" s="2" t="s">
        <v>410</v>
      </c>
      <c r="W399" s="2" t="s">
        <v>329</v>
      </c>
      <c r="X399" s="2" t="s">
        <v>235</v>
      </c>
      <c r="Y399" s="2" t="s">
        <v>644</v>
      </c>
      <c r="Z399" s="4">
        <v>198</v>
      </c>
      <c r="AA399" s="4">
        <f>=ROUNDDOWN(49.5,0)</f>
      </c>
      <c r="AB399" s="5">
        <v>4</v>
      </c>
      <c r="AC399" s="2" t="s">
        <v>235</v>
      </c>
      <c r="AD399" s="4"/>
      <c r="AE399" s="4"/>
      <c r="AF399" s="6"/>
      <c r="AG399" s="6">
        <v>50</v>
      </c>
      <c r="AH399" s="7">
        <v>1</v>
      </c>
      <c r="AI399" s="4"/>
      <c r="AJ399" s="4">
        <f>=ROUNDDOWN({0},0)</f>
      </c>
      <c r="AK399" s="5"/>
      <c r="AL399" s="2" t="s">
        <v>235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235</v>
      </c>
      <c r="AW399" s="8" t="s">
        <v>235</v>
      </c>
      <c r="AX399" s="4" t="s">
        <v>235</v>
      </c>
      <c r="AY399" s="8" t="s">
        <v>235</v>
      </c>
      <c r="AZ399" s="7" t="s">
        <v>235</v>
      </c>
      <c r="BA399" s="7" t="s">
        <v>235</v>
      </c>
      <c r="BB399" s="7"/>
      <c r="BC399" s="4" t="s">
        <v>235</v>
      </c>
      <c r="BD399" s="8" t="s">
        <v>235</v>
      </c>
      <c r="BE399" s="4" t="s">
        <v>235</v>
      </c>
      <c r="BF399" s="8" t="s">
        <v>235</v>
      </c>
      <c r="BG399" s="7" t="s">
        <v>235</v>
      </c>
      <c r="BH399" s="7" t="s">
        <v>235</v>
      </c>
      <c r="BI399" s="7"/>
      <c r="BJ399" s="4"/>
      <c r="BK399" s="8"/>
      <c r="BL399" s="2" t="s">
        <v>235</v>
      </c>
      <c r="BM399" s="7"/>
      <c r="BN399" s="7"/>
      <c r="BO399" s="4"/>
      <c r="BP399" s="8"/>
      <c r="BQ399" s="4"/>
      <c r="BR399" s="8"/>
      <c r="BS399" s="7"/>
      <c r="BT399" s="7"/>
      <c r="BU399" s="2" t="s">
        <v>1947</v>
      </c>
      <c r="BV399" s="2" t="s">
        <v>235</v>
      </c>
      <c r="BW399" s="2" t="s">
        <v>235</v>
      </c>
      <c r="BX399" s="2" t="s">
        <v>244</v>
      </c>
      <c r="BY399" s="2" t="s">
        <v>245</v>
      </c>
      <c r="BZ399" s="2" t="s">
        <v>232</v>
      </c>
      <c r="CA399" s="2" t="s">
        <v>235</v>
      </c>
      <c r="CB399" s="2" t="s">
        <v>235</v>
      </c>
      <c r="CC399" s="2" t="s">
        <v>248</v>
      </c>
      <c r="CD399" s="2" t="s">
        <v>248</v>
      </c>
      <c r="CE399" s="2" t="s">
        <v>235</v>
      </c>
      <c r="CF399" s="4"/>
      <c r="CG399" s="4"/>
      <c r="CH399" s="4"/>
      <c r="CI399" s="4">
        <v>198</v>
      </c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>
        <v>202</v>
      </c>
      <c r="GE399" s="4">
        <v>191</v>
      </c>
      <c r="GF399" s="4">
        <v>187</v>
      </c>
      <c r="GG399" s="4">
        <v>183</v>
      </c>
      <c r="GH399" s="4">
        <v>179</v>
      </c>
      <c r="GI399" s="4">
        <v>174</v>
      </c>
      <c r="GJ399" s="4">
        <v>168</v>
      </c>
      <c r="GK399" s="4">
        <v>163</v>
      </c>
      <c r="GL399" s="4">
        <v>158</v>
      </c>
      <c r="GM399" s="4">
        <v>154</v>
      </c>
      <c r="GN399" s="4">
        <v>150</v>
      </c>
      <c r="GO399" s="4">
        <v>145</v>
      </c>
      <c r="GP399" s="4">
        <v>139</v>
      </c>
      <c r="GQ399" s="4">
        <v>129</v>
      </c>
      <c r="GR399" s="4">
        <v>123</v>
      </c>
      <c r="GS399" s="4">
        <v>117</v>
      </c>
      <c r="GT399" s="4">
        <v>113</v>
      </c>
      <c r="GU399" s="4">
        <v>110</v>
      </c>
      <c r="GV399" s="4">
        <v>106</v>
      </c>
      <c r="GW399" s="4">
        <v>102</v>
      </c>
      <c r="GX399" s="4">
        <v>98</v>
      </c>
      <c r="GY399" s="4">
        <v>94</v>
      </c>
      <c r="GZ399" s="4">
        <v>90</v>
      </c>
      <c r="HA399" s="4">
        <v>86</v>
      </c>
      <c r="HB399" s="4">
        <v>82</v>
      </c>
      <c r="HC399" s="4">
        <v>78</v>
      </c>
      <c r="HD399" s="19">
        <v>33.7</v>
      </c>
      <c r="HE399" s="19">
        <v>47.8</v>
      </c>
      <c r="HF399" s="19">
        <v>37.4</v>
      </c>
      <c r="HG399" s="19">
        <v>36.6</v>
      </c>
      <c r="HH399" s="19">
        <v>35.8</v>
      </c>
      <c r="HI399" s="19">
        <v>34.8</v>
      </c>
      <c r="HJ399" s="19">
        <v>42</v>
      </c>
      <c r="HK399" s="19">
        <v>40.8</v>
      </c>
      <c r="HL399" s="19">
        <v>31.6</v>
      </c>
      <c r="HM399" s="19">
        <v>25.7</v>
      </c>
      <c r="HN399" s="19">
        <v>21.4</v>
      </c>
      <c r="HO399" s="19">
        <v>20.7</v>
      </c>
      <c r="HP399" s="19">
        <v>23.2</v>
      </c>
      <c r="HQ399" s="19">
        <v>25.8</v>
      </c>
      <c r="HR399" s="19">
        <v>30.8</v>
      </c>
      <c r="HS399" s="19">
        <v>29.3</v>
      </c>
      <c r="HT399" s="19">
        <v>28.3</v>
      </c>
      <c r="HU399" s="19">
        <v>27.5</v>
      </c>
      <c r="HV399" s="19">
        <v>26.5</v>
      </c>
      <c r="HW399" s="19">
        <v>25.5</v>
      </c>
      <c r="HX399" s="19">
        <v>24.5</v>
      </c>
      <c r="HY399" s="19">
        <v>23.5</v>
      </c>
      <c r="HZ399" s="19">
        <v>22.5</v>
      </c>
      <c r="IA399" s="19">
        <v>21.5</v>
      </c>
      <c r="IB399" s="19">
        <v>20.5</v>
      </c>
      <c r="IC399" s="19">
        <v>19.5</v>
      </c>
    </row>
    <row r="400">
      <c r="A400" s="2" t="s">
        <v>1948</v>
      </c>
      <c r="B400" s="2" t="s">
        <v>255</v>
      </c>
      <c r="C400" s="2" t="s">
        <v>256</v>
      </c>
      <c r="D400" s="2" t="s">
        <v>906</v>
      </c>
      <c r="E400" s="2" t="s">
        <v>1301</v>
      </c>
      <c r="F400" s="2" t="s">
        <v>930</v>
      </c>
      <c r="G400" s="2" t="s">
        <v>930</v>
      </c>
      <c r="H400" s="2" t="s">
        <v>930</v>
      </c>
      <c r="I400" s="2" t="s">
        <v>1946</v>
      </c>
      <c r="J400" s="2" t="s">
        <v>270</v>
      </c>
      <c r="K400" s="2" t="s">
        <v>1878</v>
      </c>
      <c r="L400" s="3">
        <v>120</v>
      </c>
      <c r="M400" s="3">
        <v>126</v>
      </c>
      <c r="N400" s="3">
        <v>299.99</v>
      </c>
      <c r="O400" s="2" t="s">
        <v>232</v>
      </c>
      <c r="P400" s="2" t="s">
        <v>262</v>
      </c>
      <c r="Q400" s="2" t="s">
        <v>234</v>
      </c>
      <c r="R400" s="2" t="s">
        <v>235</v>
      </c>
      <c r="S400" s="2" t="s">
        <v>235</v>
      </c>
      <c r="T400" s="2" t="s">
        <v>263</v>
      </c>
      <c r="U400" s="2" t="s">
        <v>552</v>
      </c>
      <c r="V400" s="2" t="s">
        <v>410</v>
      </c>
      <c r="W400" s="2" t="s">
        <v>329</v>
      </c>
      <c r="X400" s="2" t="s">
        <v>235</v>
      </c>
      <c r="Y400" s="2" t="s">
        <v>644</v>
      </c>
      <c r="Z400" s="4">
        <v>300</v>
      </c>
      <c r="AA400" s="4">
        <f>=ROUNDDOWN(50,0)</f>
      </c>
      <c r="AB400" s="5">
        <v>6</v>
      </c>
      <c r="AC400" s="2" t="s">
        <v>235</v>
      </c>
      <c r="AD400" s="4"/>
      <c r="AE400" s="4"/>
      <c r="AF400" s="6"/>
      <c r="AG400" s="6">
        <v>50</v>
      </c>
      <c r="AH400" s="7">
        <v>1</v>
      </c>
      <c r="AI400" s="4"/>
      <c r="AJ400" s="4">
        <f>=ROUNDDOWN({0},0)</f>
      </c>
      <c r="AK400" s="5"/>
      <c r="AL400" s="2" t="s">
        <v>235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235</v>
      </c>
      <c r="AW400" s="8" t="s">
        <v>235</v>
      </c>
      <c r="AX400" s="4" t="s">
        <v>235</v>
      </c>
      <c r="AY400" s="8" t="s">
        <v>235</v>
      </c>
      <c r="AZ400" s="7" t="s">
        <v>235</v>
      </c>
      <c r="BA400" s="7" t="s">
        <v>235</v>
      </c>
      <c r="BB400" s="7"/>
      <c r="BC400" s="4" t="s">
        <v>235</v>
      </c>
      <c r="BD400" s="8" t="s">
        <v>235</v>
      </c>
      <c r="BE400" s="4" t="s">
        <v>235</v>
      </c>
      <c r="BF400" s="8" t="s">
        <v>235</v>
      </c>
      <c r="BG400" s="7" t="s">
        <v>235</v>
      </c>
      <c r="BH400" s="7" t="s">
        <v>235</v>
      </c>
      <c r="BI400" s="7"/>
      <c r="BJ400" s="4">
        <v>3</v>
      </c>
      <c r="BK400" s="8"/>
      <c r="BL400" s="2" t="s">
        <v>1949</v>
      </c>
      <c r="BM400" s="7"/>
      <c r="BN400" s="7"/>
      <c r="BO400" s="4"/>
      <c r="BP400" s="8"/>
      <c r="BQ400" s="4"/>
      <c r="BR400" s="8"/>
      <c r="BS400" s="7"/>
      <c r="BT400" s="7"/>
      <c r="BU400" s="2" t="s">
        <v>1947</v>
      </c>
      <c r="BV400" s="2" t="s">
        <v>235</v>
      </c>
      <c r="BW400" s="2" t="s">
        <v>235</v>
      </c>
      <c r="BX400" s="2" t="s">
        <v>244</v>
      </c>
      <c r="BY400" s="2" t="s">
        <v>245</v>
      </c>
      <c r="BZ400" s="2" t="s">
        <v>232</v>
      </c>
      <c r="CA400" s="2" t="s">
        <v>235</v>
      </c>
      <c r="CB400" s="2" t="s">
        <v>235</v>
      </c>
      <c r="CC400" s="2" t="s">
        <v>248</v>
      </c>
      <c r="CD400" s="2" t="s">
        <v>248</v>
      </c>
      <c r="CE400" s="2" t="s">
        <v>235</v>
      </c>
      <c r="CF400" s="4"/>
      <c r="CG400" s="4"/>
      <c r="CH400" s="4"/>
      <c r="CI400" s="4">
        <v>300</v>
      </c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>
        <v>300</v>
      </c>
      <c r="GE400" s="4">
        <v>286</v>
      </c>
      <c r="GF400" s="4">
        <v>280</v>
      </c>
      <c r="GG400" s="4">
        <v>274</v>
      </c>
      <c r="GH400" s="4">
        <v>268</v>
      </c>
      <c r="GI400" s="4">
        <v>261</v>
      </c>
      <c r="GJ400" s="4">
        <v>252</v>
      </c>
      <c r="GK400" s="4">
        <v>244</v>
      </c>
      <c r="GL400" s="4">
        <v>236</v>
      </c>
      <c r="GM400" s="4">
        <v>229</v>
      </c>
      <c r="GN400" s="4">
        <v>222</v>
      </c>
      <c r="GO400" s="4">
        <v>214</v>
      </c>
      <c r="GP400" s="4">
        <v>205</v>
      </c>
      <c r="GQ400" s="4">
        <v>189</v>
      </c>
      <c r="GR400" s="4">
        <v>179</v>
      </c>
      <c r="GS400" s="4">
        <v>170</v>
      </c>
      <c r="GT400" s="4">
        <v>164</v>
      </c>
      <c r="GU400" s="4">
        <v>159</v>
      </c>
      <c r="GV400" s="4">
        <v>152</v>
      </c>
      <c r="GW400" s="4">
        <v>146</v>
      </c>
      <c r="GX400" s="4">
        <v>140</v>
      </c>
      <c r="GY400" s="4">
        <v>134</v>
      </c>
      <c r="GZ400" s="4">
        <v>128</v>
      </c>
      <c r="HA400" s="4">
        <v>122</v>
      </c>
      <c r="HB400" s="4">
        <v>116</v>
      </c>
      <c r="HC400" s="4">
        <v>109</v>
      </c>
      <c r="HD400" s="19">
        <v>37.5</v>
      </c>
      <c r="HE400" s="19">
        <v>47.7</v>
      </c>
      <c r="HF400" s="19">
        <v>40</v>
      </c>
      <c r="HG400" s="19">
        <v>34.3</v>
      </c>
      <c r="HH400" s="19">
        <v>33.5</v>
      </c>
      <c r="HI400" s="19">
        <v>32.6</v>
      </c>
      <c r="HJ400" s="19">
        <v>31.5</v>
      </c>
      <c r="HK400" s="19">
        <v>30.5</v>
      </c>
      <c r="HL400" s="19">
        <v>29.5</v>
      </c>
      <c r="HM400" s="19">
        <v>22.9</v>
      </c>
      <c r="HN400" s="19">
        <v>20.2</v>
      </c>
      <c r="HO400" s="19">
        <v>19.5</v>
      </c>
      <c r="HP400" s="19">
        <v>20.5</v>
      </c>
      <c r="HQ400" s="19">
        <v>23.6</v>
      </c>
      <c r="HR400" s="19">
        <v>25.6</v>
      </c>
      <c r="HS400" s="19">
        <v>28.3</v>
      </c>
      <c r="HT400" s="19">
        <v>27.3</v>
      </c>
      <c r="HU400" s="19">
        <v>26.5</v>
      </c>
      <c r="HV400" s="19">
        <v>25.3</v>
      </c>
      <c r="HW400" s="19">
        <v>24.3</v>
      </c>
      <c r="HX400" s="19">
        <v>23.3</v>
      </c>
      <c r="HY400" s="19">
        <v>22.3</v>
      </c>
      <c r="HZ400" s="19">
        <v>21.3</v>
      </c>
      <c r="IA400" s="19">
        <v>20.3</v>
      </c>
      <c r="IB400" s="19">
        <v>19.3</v>
      </c>
      <c r="IC400" s="19">
        <v>18.2</v>
      </c>
    </row>
    <row r="401">
      <c r="A401" s="2" t="s">
        <v>1950</v>
      </c>
      <c r="B401" s="2" t="s">
        <v>255</v>
      </c>
      <c r="C401" s="2" t="s">
        <v>256</v>
      </c>
      <c r="D401" s="2" t="s">
        <v>906</v>
      </c>
      <c r="E401" s="2" t="s">
        <v>1301</v>
      </c>
      <c r="F401" s="2" t="s">
        <v>930</v>
      </c>
      <c r="G401" s="2" t="s">
        <v>930</v>
      </c>
      <c r="H401" s="2" t="s">
        <v>930</v>
      </c>
      <c r="I401" s="2" t="s">
        <v>1946</v>
      </c>
      <c r="J401" s="2" t="s">
        <v>365</v>
      </c>
      <c r="K401" s="2" t="s">
        <v>1951</v>
      </c>
      <c r="L401" s="3">
        <v>112</v>
      </c>
      <c r="M401" s="3">
        <v>117.6</v>
      </c>
      <c r="N401" s="3">
        <v>279.99</v>
      </c>
      <c r="O401" s="2" t="s">
        <v>232</v>
      </c>
      <c r="P401" s="2" t="s">
        <v>262</v>
      </c>
      <c r="Q401" s="2" t="s">
        <v>234</v>
      </c>
      <c r="R401" s="2" t="s">
        <v>235</v>
      </c>
      <c r="S401" s="2" t="s">
        <v>235</v>
      </c>
      <c r="T401" s="2" t="s">
        <v>263</v>
      </c>
      <c r="U401" s="2" t="s">
        <v>552</v>
      </c>
      <c r="V401" s="2" t="s">
        <v>410</v>
      </c>
      <c r="W401" s="2" t="s">
        <v>329</v>
      </c>
      <c r="X401" s="2" t="s">
        <v>235</v>
      </c>
      <c r="Y401" s="2" t="s">
        <v>644</v>
      </c>
      <c r="Z401" s="4">
        <v>196</v>
      </c>
      <c r="AA401" s="4">
        <f>=ROUNDDOWN(49,0)</f>
      </c>
      <c r="AB401" s="5">
        <v>4</v>
      </c>
      <c r="AC401" s="2" t="s">
        <v>235</v>
      </c>
      <c r="AD401" s="4"/>
      <c r="AE401" s="4"/>
      <c r="AF401" s="6"/>
      <c r="AG401" s="6">
        <v>50</v>
      </c>
      <c r="AH401" s="7">
        <v>1</v>
      </c>
      <c r="AI401" s="4"/>
      <c r="AJ401" s="4">
        <f>=ROUNDDOWN({0},0)</f>
      </c>
      <c r="AK401" s="5"/>
      <c r="AL401" s="2" t="s">
        <v>235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235</v>
      </c>
      <c r="BD401" s="8" t="s">
        <v>235</v>
      </c>
      <c r="BE401" s="4" t="s">
        <v>235</v>
      </c>
      <c r="BF401" s="8" t="s">
        <v>235</v>
      </c>
      <c r="BG401" s="7" t="s">
        <v>235</v>
      </c>
      <c r="BH401" s="7" t="s">
        <v>235</v>
      </c>
      <c r="BI401" s="7"/>
      <c r="BJ401" s="4">
        <v>2</v>
      </c>
      <c r="BK401" s="8"/>
      <c r="BL401" s="2" t="s">
        <v>1949</v>
      </c>
      <c r="BM401" s="7"/>
      <c r="BN401" s="7"/>
      <c r="BO401" s="4"/>
      <c r="BP401" s="8"/>
      <c r="BQ401" s="4"/>
      <c r="BR401" s="8"/>
      <c r="BS401" s="7"/>
      <c r="BT401" s="7"/>
      <c r="BU401" s="2" t="s">
        <v>1947</v>
      </c>
      <c r="BV401" s="2" t="s">
        <v>235</v>
      </c>
      <c r="BW401" s="2" t="s">
        <v>235</v>
      </c>
      <c r="BX401" s="2" t="s">
        <v>244</v>
      </c>
      <c r="BY401" s="2" t="s">
        <v>245</v>
      </c>
      <c r="BZ401" s="2" t="s">
        <v>232</v>
      </c>
      <c r="CA401" s="2" t="s">
        <v>235</v>
      </c>
      <c r="CB401" s="2" t="s">
        <v>235</v>
      </c>
      <c r="CC401" s="2" t="s">
        <v>248</v>
      </c>
      <c r="CD401" s="2" t="s">
        <v>248</v>
      </c>
      <c r="CE401" s="2" t="s">
        <v>235</v>
      </c>
      <c r="CF401" s="4"/>
      <c r="CG401" s="4"/>
      <c r="CH401" s="4"/>
      <c r="CI401" s="4">
        <v>196</v>
      </c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>
        <v>200</v>
      </c>
      <c r="GE401" s="4">
        <v>189</v>
      </c>
      <c r="GF401" s="4">
        <v>185</v>
      </c>
      <c r="GG401" s="4">
        <v>181</v>
      </c>
      <c r="GH401" s="4">
        <v>177</v>
      </c>
      <c r="GI401" s="4">
        <v>172</v>
      </c>
      <c r="GJ401" s="4">
        <v>166</v>
      </c>
      <c r="GK401" s="4">
        <v>161</v>
      </c>
      <c r="GL401" s="4">
        <v>156</v>
      </c>
      <c r="GM401" s="4">
        <v>152</v>
      </c>
      <c r="GN401" s="4">
        <v>148</v>
      </c>
      <c r="GO401" s="4">
        <v>143</v>
      </c>
      <c r="GP401" s="4">
        <v>137</v>
      </c>
      <c r="GQ401" s="4">
        <v>127</v>
      </c>
      <c r="GR401" s="4">
        <v>121</v>
      </c>
      <c r="GS401" s="4">
        <v>115</v>
      </c>
      <c r="GT401" s="4">
        <v>111</v>
      </c>
      <c r="GU401" s="4">
        <v>108</v>
      </c>
      <c r="GV401" s="4">
        <v>104</v>
      </c>
      <c r="GW401" s="4">
        <v>100</v>
      </c>
      <c r="GX401" s="4">
        <v>96</v>
      </c>
      <c r="GY401" s="4">
        <v>92</v>
      </c>
      <c r="GZ401" s="4">
        <v>88</v>
      </c>
      <c r="HA401" s="4">
        <v>84</v>
      </c>
      <c r="HB401" s="4">
        <v>80</v>
      </c>
      <c r="HC401" s="4">
        <v>76</v>
      </c>
      <c r="HD401" s="19">
        <v>33.3</v>
      </c>
      <c r="HE401" s="19">
        <v>47.3</v>
      </c>
      <c r="HF401" s="19">
        <v>37</v>
      </c>
      <c r="HG401" s="19">
        <v>36.2</v>
      </c>
      <c r="HH401" s="19">
        <v>35.4</v>
      </c>
      <c r="HI401" s="19">
        <v>34.4</v>
      </c>
      <c r="HJ401" s="19">
        <v>41.5</v>
      </c>
      <c r="HK401" s="19">
        <v>40.3</v>
      </c>
      <c r="HL401" s="19">
        <v>31.2</v>
      </c>
      <c r="HM401" s="19">
        <v>25.3</v>
      </c>
      <c r="HN401" s="19">
        <v>21.1</v>
      </c>
      <c r="HO401" s="19">
        <v>20.4</v>
      </c>
      <c r="HP401" s="19">
        <v>22.8</v>
      </c>
      <c r="HQ401" s="19">
        <v>25.4</v>
      </c>
      <c r="HR401" s="19">
        <v>30.3</v>
      </c>
      <c r="HS401" s="19">
        <v>28.8</v>
      </c>
      <c r="HT401" s="19">
        <v>27.8</v>
      </c>
      <c r="HU401" s="19">
        <v>27</v>
      </c>
      <c r="HV401" s="19">
        <v>26</v>
      </c>
      <c r="HW401" s="19">
        <v>25</v>
      </c>
      <c r="HX401" s="19">
        <v>24</v>
      </c>
      <c r="HY401" s="19">
        <v>23</v>
      </c>
      <c r="HZ401" s="19">
        <v>22</v>
      </c>
      <c r="IA401" s="19">
        <v>21</v>
      </c>
      <c r="IB401" s="19">
        <v>20</v>
      </c>
      <c r="IC401" s="19">
        <v>19</v>
      </c>
    </row>
    <row r="402">
      <c r="A402" s="2" t="s">
        <v>1952</v>
      </c>
      <c r="B402" s="2" t="s">
        <v>255</v>
      </c>
      <c r="C402" s="2" t="s">
        <v>256</v>
      </c>
      <c r="D402" s="2" t="s">
        <v>990</v>
      </c>
      <c r="E402" s="2" t="s">
        <v>991</v>
      </c>
      <c r="F402" s="2" t="s">
        <v>1953</v>
      </c>
      <c r="G402" s="2" t="s">
        <v>1953</v>
      </c>
      <c r="H402" s="2" t="s">
        <v>1953</v>
      </c>
      <c r="I402" s="2" t="s">
        <v>1954</v>
      </c>
      <c r="J402" s="2" t="s">
        <v>1955</v>
      </c>
      <c r="K402" s="2" t="s">
        <v>1956</v>
      </c>
      <c r="L402" s="3">
        <v>200</v>
      </c>
      <c r="M402" s="3">
        <v>210</v>
      </c>
      <c r="N402" s="3">
        <v>499.99</v>
      </c>
      <c r="O402" s="2" t="s">
        <v>232</v>
      </c>
      <c r="P402" s="2" t="s">
        <v>262</v>
      </c>
      <c r="Q402" s="2" t="s">
        <v>234</v>
      </c>
      <c r="R402" s="2" t="s">
        <v>235</v>
      </c>
      <c r="S402" s="2" t="s">
        <v>235</v>
      </c>
      <c r="T402" s="2" t="s">
        <v>879</v>
      </c>
      <c r="U402" s="2" t="s">
        <v>807</v>
      </c>
      <c r="V402" s="2" t="s">
        <v>1693</v>
      </c>
      <c r="W402" s="2" t="s">
        <v>329</v>
      </c>
      <c r="X402" s="2" t="s">
        <v>235</v>
      </c>
      <c r="Y402" s="2" t="s">
        <v>644</v>
      </c>
      <c r="Z402" s="4">
        <v>468</v>
      </c>
      <c r="AA402" s="4">
        <f>=ROUNDDOWN(52,0)</f>
      </c>
      <c r="AB402" s="5">
        <v>9</v>
      </c>
      <c r="AC402" s="2" t="s">
        <v>235</v>
      </c>
      <c r="AD402" s="4"/>
      <c r="AE402" s="4"/>
      <c r="AF402" s="6"/>
      <c r="AG402" s="6">
        <v>48</v>
      </c>
      <c r="AH402" s="7">
        <v>1</v>
      </c>
      <c r="AI402" s="4"/>
      <c r="AJ402" s="4">
        <f>=ROUNDDOWN({0},0)</f>
      </c>
      <c r="AK402" s="5"/>
      <c r="AL402" s="2" t="s">
        <v>235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235</v>
      </c>
      <c r="BD402" s="8" t="s">
        <v>235</v>
      </c>
      <c r="BE402" s="4" t="s">
        <v>235</v>
      </c>
      <c r="BF402" s="8" t="s">
        <v>235</v>
      </c>
      <c r="BG402" s="7" t="s">
        <v>235</v>
      </c>
      <c r="BH402" s="7" t="s">
        <v>235</v>
      </c>
      <c r="BI402" s="7"/>
      <c r="BJ402" s="4">
        <v>10</v>
      </c>
      <c r="BK402" s="8"/>
      <c r="BL402" s="2" t="s">
        <v>1949</v>
      </c>
      <c r="BM402" s="7"/>
      <c r="BN402" s="7"/>
      <c r="BO402" s="4"/>
      <c r="BP402" s="8"/>
      <c r="BQ402" s="4"/>
      <c r="BR402" s="8"/>
      <c r="BS402" s="7"/>
      <c r="BT402" s="7"/>
      <c r="BU402" s="2" t="s">
        <v>1957</v>
      </c>
      <c r="BV402" s="2" t="s">
        <v>235</v>
      </c>
      <c r="BW402" s="2" t="s">
        <v>235</v>
      </c>
      <c r="BX402" s="2" t="s">
        <v>244</v>
      </c>
      <c r="BY402" s="2" t="s">
        <v>245</v>
      </c>
      <c r="BZ402" s="2" t="s">
        <v>232</v>
      </c>
      <c r="CA402" s="2" t="s">
        <v>235</v>
      </c>
      <c r="CB402" s="2" t="s">
        <v>235</v>
      </c>
      <c r="CC402" s="2" t="s">
        <v>248</v>
      </c>
      <c r="CD402" s="2" t="s">
        <v>248</v>
      </c>
      <c r="CE402" s="2" t="s">
        <v>235</v>
      </c>
      <c r="CF402" s="4"/>
      <c r="CG402" s="4"/>
      <c r="CH402" s="4"/>
      <c r="CI402" s="4">
        <v>468</v>
      </c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>
        <v>468</v>
      </c>
      <c r="GE402" s="4">
        <v>451</v>
      </c>
      <c r="GF402" s="4">
        <v>442</v>
      </c>
      <c r="GG402" s="4">
        <v>433</v>
      </c>
      <c r="GH402" s="4">
        <v>424</v>
      </c>
      <c r="GI402" s="4">
        <v>415</v>
      </c>
      <c r="GJ402" s="4">
        <v>404</v>
      </c>
      <c r="GK402" s="4">
        <v>393</v>
      </c>
      <c r="GL402" s="4">
        <v>383</v>
      </c>
      <c r="GM402" s="4">
        <v>373</v>
      </c>
      <c r="GN402" s="4">
        <v>365</v>
      </c>
      <c r="GO402" s="4">
        <v>355</v>
      </c>
      <c r="GP402" s="4">
        <v>344</v>
      </c>
      <c r="GQ402" s="4">
        <v>324</v>
      </c>
      <c r="GR402" s="4">
        <v>310</v>
      </c>
      <c r="GS402" s="4">
        <v>298</v>
      </c>
      <c r="GT402" s="4">
        <v>291</v>
      </c>
      <c r="GU402" s="4">
        <v>285</v>
      </c>
      <c r="GV402" s="4">
        <v>275</v>
      </c>
      <c r="GW402" s="4">
        <v>266</v>
      </c>
      <c r="GX402" s="4">
        <v>257</v>
      </c>
      <c r="GY402" s="4">
        <v>248</v>
      </c>
      <c r="GZ402" s="4">
        <v>239</v>
      </c>
      <c r="HA402" s="4">
        <v>230</v>
      </c>
      <c r="HB402" s="4">
        <v>221</v>
      </c>
      <c r="HC402" s="4">
        <v>211</v>
      </c>
      <c r="HD402" s="19">
        <v>42.5</v>
      </c>
      <c r="HE402" s="19">
        <v>50.1</v>
      </c>
      <c r="HF402" s="19">
        <v>44.2</v>
      </c>
      <c r="HG402" s="19">
        <v>43.3</v>
      </c>
      <c r="HH402" s="19">
        <v>42.4</v>
      </c>
      <c r="HI402" s="19">
        <v>41.5</v>
      </c>
      <c r="HJ402" s="19">
        <v>40.4</v>
      </c>
      <c r="HK402" s="19">
        <v>39.3</v>
      </c>
      <c r="HL402" s="19">
        <v>38.3</v>
      </c>
      <c r="HM402" s="19">
        <v>31.1</v>
      </c>
      <c r="HN402" s="19">
        <v>26.1</v>
      </c>
      <c r="HO402" s="19">
        <v>25.4</v>
      </c>
      <c r="HP402" s="19">
        <v>26.5</v>
      </c>
      <c r="HQ402" s="19">
        <v>32.4</v>
      </c>
      <c r="HR402" s="19">
        <v>34.4</v>
      </c>
      <c r="HS402" s="19">
        <v>37.3</v>
      </c>
      <c r="HT402" s="19">
        <v>36.4</v>
      </c>
      <c r="HU402" s="19">
        <v>31.7</v>
      </c>
      <c r="HV402" s="19">
        <v>30.6</v>
      </c>
      <c r="HW402" s="19">
        <v>29.6</v>
      </c>
      <c r="HX402" s="19">
        <v>28.6</v>
      </c>
      <c r="HY402" s="19">
        <v>27.6</v>
      </c>
      <c r="HZ402" s="19">
        <v>26.6</v>
      </c>
      <c r="IA402" s="19">
        <v>25.6</v>
      </c>
      <c r="IB402" s="19">
        <v>24.6</v>
      </c>
      <c r="IC402" s="19">
        <v>23.4</v>
      </c>
    </row>
    <row r="403">
      <c r="A403" s="2" t="s">
        <v>1958</v>
      </c>
      <c r="B403" s="2" t="s">
        <v>255</v>
      </c>
      <c r="C403" s="2" t="s">
        <v>256</v>
      </c>
      <c r="D403" s="2" t="s">
        <v>990</v>
      </c>
      <c r="E403" s="2" t="s">
        <v>991</v>
      </c>
      <c r="F403" s="2" t="s">
        <v>1953</v>
      </c>
      <c r="G403" s="2" t="s">
        <v>1953</v>
      </c>
      <c r="H403" s="2" t="s">
        <v>1953</v>
      </c>
      <c r="I403" s="2" t="s">
        <v>1954</v>
      </c>
      <c r="J403" s="2" t="s">
        <v>1955</v>
      </c>
      <c r="K403" s="2" t="s">
        <v>1959</v>
      </c>
      <c r="L403" s="3">
        <v>200</v>
      </c>
      <c r="M403" s="3">
        <v>210</v>
      </c>
      <c r="N403" s="3">
        <v>499.99</v>
      </c>
      <c r="O403" s="2" t="s">
        <v>232</v>
      </c>
      <c r="P403" s="2" t="s">
        <v>262</v>
      </c>
      <c r="Q403" s="2" t="s">
        <v>234</v>
      </c>
      <c r="R403" s="2" t="s">
        <v>235</v>
      </c>
      <c r="S403" s="2" t="s">
        <v>235</v>
      </c>
      <c r="T403" s="2" t="s">
        <v>879</v>
      </c>
      <c r="U403" s="2" t="s">
        <v>807</v>
      </c>
      <c r="V403" s="2" t="s">
        <v>1693</v>
      </c>
      <c r="W403" s="2" t="s">
        <v>329</v>
      </c>
      <c r="X403" s="2" t="s">
        <v>235</v>
      </c>
      <c r="Y403" s="2" t="s">
        <v>644</v>
      </c>
      <c r="Z403" s="4">
        <v>233</v>
      </c>
      <c r="AA403" s="4">
        <f>=ROUNDDOWN(25.8888888888889,0)</f>
      </c>
      <c r="AB403" s="5">
        <v>9</v>
      </c>
      <c r="AC403" s="2" t="s">
        <v>235</v>
      </c>
      <c r="AD403" s="4"/>
      <c r="AE403" s="4"/>
      <c r="AF403" s="6"/>
      <c r="AG403" s="6">
        <v>48</v>
      </c>
      <c r="AH403" s="7">
        <v>1</v>
      </c>
      <c r="AI403" s="4"/>
      <c r="AJ403" s="4">
        <f>=ROUNDDOWN({0},0)</f>
      </c>
      <c r="AK403" s="5"/>
      <c r="AL403" s="2" t="s">
        <v>235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235</v>
      </c>
      <c r="BD403" s="8" t="s">
        <v>235</v>
      </c>
      <c r="BE403" s="4" t="s">
        <v>235</v>
      </c>
      <c r="BF403" s="8" t="s">
        <v>235</v>
      </c>
      <c r="BG403" s="7" t="s">
        <v>235</v>
      </c>
      <c r="BH403" s="7" t="s">
        <v>235</v>
      </c>
      <c r="BI403" s="7"/>
      <c r="BJ403" s="4">
        <v>3</v>
      </c>
      <c r="BK403" s="8">
        <v>226.8</v>
      </c>
      <c r="BL403" s="2" t="s">
        <v>1960</v>
      </c>
      <c r="BM403" s="7"/>
      <c r="BN403" s="7"/>
      <c r="BO403" s="4"/>
      <c r="BP403" s="8"/>
      <c r="BQ403" s="4"/>
      <c r="BR403" s="8"/>
      <c r="BS403" s="7"/>
      <c r="BT403" s="7"/>
      <c r="BU403" s="2" t="s">
        <v>1957</v>
      </c>
      <c r="BV403" s="2" t="s">
        <v>235</v>
      </c>
      <c r="BW403" s="2" t="s">
        <v>235</v>
      </c>
      <c r="BX403" s="2" t="s">
        <v>244</v>
      </c>
      <c r="BY403" s="2" t="s">
        <v>245</v>
      </c>
      <c r="BZ403" s="2" t="s">
        <v>232</v>
      </c>
      <c r="CA403" s="2" t="s">
        <v>235</v>
      </c>
      <c r="CB403" s="2" t="s">
        <v>235</v>
      </c>
      <c r="CC403" s="2" t="s">
        <v>248</v>
      </c>
      <c r="CD403" s="2" t="s">
        <v>248</v>
      </c>
      <c r="CE403" s="2" t="s">
        <v>235</v>
      </c>
      <c r="CF403" s="4"/>
      <c r="CG403" s="4"/>
      <c r="CH403" s="4"/>
      <c r="CI403" s="4">
        <v>233</v>
      </c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>
        <v>233</v>
      </c>
      <c r="GE403" s="4">
        <v>216</v>
      </c>
      <c r="GF403" s="4">
        <v>207</v>
      </c>
      <c r="GG403" s="4">
        <v>198</v>
      </c>
      <c r="GH403" s="4">
        <v>189</v>
      </c>
      <c r="GI403" s="4">
        <v>180</v>
      </c>
      <c r="GJ403" s="4">
        <v>169</v>
      </c>
      <c r="GK403" s="4">
        <v>158</v>
      </c>
      <c r="GL403" s="4">
        <v>148</v>
      </c>
      <c r="GM403" s="4">
        <v>138</v>
      </c>
      <c r="GN403" s="4">
        <v>130</v>
      </c>
      <c r="GO403" s="4">
        <v>120</v>
      </c>
      <c r="GP403" s="4">
        <v>109</v>
      </c>
      <c r="GQ403" s="4">
        <v>89</v>
      </c>
      <c r="GR403" s="4">
        <v>75</v>
      </c>
      <c r="GS403" s="4">
        <v>63</v>
      </c>
      <c r="GT403" s="4">
        <v>56</v>
      </c>
      <c r="GU403" s="4">
        <v>50</v>
      </c>
      <c r="GV403" s="4">
        <v>40</v>
      </c>
      <c r="GW403" s="4">
        <v>31</v>
      </c>
      <c r="GX403" s="4">
        <v>22</v>
      </c>
      <c r="GY403" s="4">
        <v>13</v>
      </c>
      <c r="GZ403" s="4">
        <v>4</v>
      </c>
      <c r="HA403" s="4"/>
      <c r="HB403" s="4">
        <v>145</v>
      </c>
      <c r="HC403" s="4">
        <v>135</v>
      </c>
      <c r="HD403" s="19">
        <v>21.2</v>
      </c>
      <c r="HE403" s="19">
        <v>24</v>
      </c>
      <c r="HF403" s="19">
        <v>20.7</v>
      </c>
      <c r="HG403" s="19">
        <v>19.8</v>
      </c>
      <c r="HH403" s="19">
        <v>18.9</v>
      </c>
      <c r="HI403" s="19">
        <v>18</v>
      </c>
      <c r="HJ403" s="19">
        <v>16.9</v>
      </c>
      <c r="HK403" s="19">
        <v>15.8</v>
      </c>
      <c r="HL403" s="19">
        <v>14.8</v>
      </c>
      <c r="HM403" s="19">
        <v>11.5</v>
      </c>
      <c r="HN403" s="19">
        <v>9.3</v>
      </c>
      <c r="HO403" s="19">
        <v>8.6</v>
      </c>
      <c r="HP403" s="19">
        <v>8.4</v>
      </c>
      <c r="HQ403" s="19">
        <v>8.9</v>
      </c>
      <c r="HR403" s="19">
        <v>8.3</v>
      </c>
      <c r="HS403" s="19">
        <v>7.9</v>
      </c>
      <c r="HT403" s="19">
        <v>7</v>
      </c>
      <c r="HU403" s="19">
        <v>5.6</v>
      </c>
      <c r="HV403" s="19">
        <v>4.4</v>
      </c>
      <c r="HW403" s="19">
        <v>3.4</v>
      </c>
      <c r="HX403" s="19">
        <v>2.4</v>
      </c>
      <c r="HY403" s="19">
        <v>1.4</v>
      </c>
      <c r="HZ403" s="19">
        <v>0.4</v>
      </c>
      <c r="IA403" s="20">
        <v>0</v>
      </c>
      <c r="IB403" s="19">
        <v>16.1</v>
      </c>
      <c r="IC403" s="19">
        <v>15</v>
      </c>
    </row>
    <row r="404">
      <c r="A404" s="2" t="s">
        <v>1961</v>
      </c>
      <c r="B404" s="2" t="s">
        <v>255</v>
      </c>
      <c r="C404" s="2" t="s">
        <v>256</v>
      </c>
      <c r="D404" s="2" t="s">
        <v>990</v>
      </c>
      <c r="E404" s="2" t="s">
        <v>991</v>
      </c>
      <c r="F404" s="2" t="s">
        <v>1953</v>
      </c>
      <c r="G404" s="2" t="s">
        <v>1953</v>
      </c>
      <c r="H404" s="2" t="s">
        <v>1953</v>
      </c>
      <c r="I404" s="2" t="s">
        <v>1954</v>
      </c>
      <c r="J404" s="2" t="s">
        <v>1955</v>
      </c>
      <c r="K404" s="2" t="s">
        <v>1962</v>
      </c>
      <c r="L404" s="3">
        <v>200</v>
      </c>
      <c r="M404" s="3">
        <v>210</v>
      </c>
      <c r="N404" s="3">
        <v>499.99</v>
      </c>
      <c r="O404" s="2" t="s">
        <v>232</v>
      </c>
      <c r="P404" s="2" t="s">
        <v>262</v>
      </c>
      <c r="Q404" s="2" t="s">
        <v>234</v>
      </c>
      <c r="R404" s="2" t="s">
        <v>235</v>
      </c>
      <c r="S404" s="2" t="s">
        <v>235</v>
      </c>
      <c r="T404" s="2" t="s">
        <v>879</v>
      </c>
      <c r="U404" s="2" t="s">
        <v>807</v>
      </c>
      <c r="V404" s="2" t="s">
        <v>1693</v>
      </c>
      <c r="W404" s="2" t="s">
        <v>329</v>
      </c>
      <c r="X404" s="2" t="s">
        <v>235</v>
      </c>
      <c r="Y404" s="2" t="s">
        <v>644</v>
      </c>
      <c r="Z404" s="4">
        <v>419</v>
      </c>
      <c r="AA404" s="4">
        <f>=ROUNDDOWN(46.5555555555556,0)</f>
      </c>
      <c r="AB404" s="5">
        <v>9</v>
      </c>
      <c r="AC404" s="2" t="s">
        <v>235</v>
      </c>
      <c r="AD404" s="4"/>
      <c r="AE404" s="4"/>
      <c r="AF404" s="6"/>
      <c r="AG404" s="6">
        <v>48</v>
      </c>
      <c r="AH404" s="7">
        <v>1</v>
      </c>
      <c r="AI404" s="4"/>
      <c r="AJ404" s="4">
        <f>=ROUNDDOWN({0},0)</f>
      </c>
      <c r="AK404" s="5"/>
      <c r="AL404" s="2" t="s">
        <v>235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235</v>
      </c>
      <c r="BD404" s="8" t="s">
        <v>235</v>
      </c>
      <c r="BE404" s="4" t="s">
        <v>235</v>
      </c>
      <c r="BF404" s="8" t="s">
        <v>235</v>
      </c>
      <c r="BG404" s="7" t="s">
        <v>235</v>
      </c>
      <c r="BH404" s="7" t="s">
        <v>235</v>
      </c>
      <c r="BI404" s="7"/>
      <c r="BJ404" s="4">
        <v>10</v>
      </c>
      <c r="BK404" s="8"/>
      <c r="BL404" s="2" t="s">
        <v>1949</v>
      </c>
      <c r="BM404" s="7"/>
      <c r="BN404" s="7"/>
      <c r="BO404" s="4"/>
      <c r="BP404" s="8"/>
      <c r="BQ404" s="4"/>
      <c r="BR404" s="8"/>
      <c r="BS404" s="7"/>
      <c r="BT404" s="7"/>
      <c r="BU404" s="2" t="s">
        <v>1957</v>
      </c>
      <c r="BV404" s="2" t="s">
        <v>235</v>
      </c>
      <c r="BW404" s="2" t="s">
        <v>235</v>
      </c>
      <c r="BX404" s="2" t="s">
        <v>244</v>
      </c>
      <c r="BY404" s="2" t="s">
        <v>245</v>
      </c>
      <c r="BZ404" s="2" t="s">
        <v>232</v>
      </c>
      <c r="CA404" s="2" t="s">
        <v>235</v>
      </c>
      <c r="CB404" s="2" t="s">
        <v>235</v>
      </c>
      <c r="CC404" s="2" t="s">
        <v>248</v>
      </c>
      <c r="CD404" s="2" t="s">
        <v>248</v>
      </c>
      <c r="CE404" s="2" t="s">
        <v>235</v>
      </c>
      <c r="CF404" s="4"/>
      <c r="CG404" s="4"/>
      <c r="CH404" s="4"/>
      <c r="CI404" s="4">
        <v>419</v>
      </c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>
        <v>419</v>
      </c>
      <c r="GE404" s="4">
        <v>402</v>
      </c>
      <c r="GF404" s="4">
        <v>393</v>
      </c>
      <c r="GG404" s="4">
        <v>384</v>
      </c>
      <c r="GH404" s="4">
        <v>375</v>
      </c>
      <c r="GI404" s="4">
        <v>366</v>
      </c>
      <c r="GJ404" s="4">
        <v>355</v>
      </c>
      <c r="GK404" s="4">
        <v>344</v>
      </c>
      <c r="GL404" s="4">
        <v>334</v>
      </c>
      <c r="GM404" s="4">
        <v>324</v>
      </c>
      <c r="GN404" s="4">
        <v>316</v>
      </c>
      <c r="GO404" s="4">
        <v>306</v>
      </c>
      <c r="GP404" s="4">
        <v>295</v>
      </c>
      <c r="GQ404" s="4">
        <v>275</v>
      </c>
      <c r="GR404" s="4">
        <v>261</v>
      </c>
      <c r="GS404" s="4">
        <v>249</v>
      </c>
      <c r="GT404" s="4">
        <v>242</v>
      </c>
      <c r="GU404" s="4">
        <v>236</v>
      </c>
      <c r="GV404" s="4">
        <v>226</v>
      </c>
      <c r="GW404" s="4">
        <v>217</v>
      </c>
      <c r="GX404" s="4">
        <v>208</v>
      </c>
      <c r="GY404" s="4">
        <v>199</v>
      </c>
      <c r="GZ404" s="4">
        <v>190</v>
      </c>
      <c r="HA404" s="4">
        <v>181</v>
      </c>
      <c r="HB404" s="4">
        <v>172</v>
      </c>
      <c r="HC404" s="4">
        <v>162</v>
      </c>
      <c r="HD404" s="19">
        <v>38.1</v>
      </c>
      <c r="HE404" s="19">
        <v>44.7</v>
      </c>
      <c r="HF404" s="19">
        <v>39.3</v>
      </c>
      <c r="HG404" s="19">
        <v>38.4</v>
      </c>
      <c r="HH404" s="19">
        <v>37.5</v>
      </c>
      <c r="HI404" s="19">
        <v>36.6</v>
      </c>
      <c r="HJ404" s="19">
        <v>35.5</v>
      </c>
      <c r="HK404" s="19">
        <v>34.4</v>
      </c>
      <c r="HL404" s="19">
        <v>33.4</v>
      </c>
      <c r="HM404" s="19">
        <v>27</v>
      </c>
      <c r="HN404" s="19">
        <v>22.6</v>
      </c>
      <c r="HO404" s="19">
        <v>21.9</v>
      </c>
      <c r="HP404" s="19">
        <v>22.7</v>
      </c>
      <c r="HQ404" s="19">
        <v>27.5</v>
      </c>
      <c r="HR404" s="19">
        <v>29</v>
      </c>
      <c r="HS404" s="19">
        <v>31.1</v>
      </c>
      <c r="HT404" s="19">
        <v>30.3</v>
      </c>
      <c r="HU404" s="19">
        <v>26.2</v>
      </c>
      <c r="HV404" s="19">
        <v>25.1</v>
      </c>
      <c r="HW404" s="19">
        <v>24.1</v>
      </c>
      <c r="HX404" s="19">
        <v>23.1</v>
      </c>
      <c r="HY404" s="19">
        <v>22.1</v>
      </c>
      <c r="HZ404" s="19">
        <v>21.1</v>
      </c>
      <c r="IA404" s="19">
        <v>20.1</v>
      </c>
      <c r="IB404" s="19">
        <v>19.1</v>
      </c>
      <c r="IC404" s="19">
        <v>18</v>
      </c>
    </row>
    <row r="405">
      <c r="A405" s="2" t="s">
        <v>1963</v>
      </c>
      <c r="B405" s="2" t="s">
        <v>255</v>
      </c>
      <c r="C405" s="2" t="s">
        <v>256</v>
      </c>
      <c r="D405" s="2" t="s">
        <v>990</v>
      </c>
      <c r="E405" s="2" t="s">
        <v>991</v>
      </c>
      <c r="F405" s="2" t="s">
        <v>1953</v>
      </c>
      <c r="G405" s="2" t="s">
        <v>1953</v>
      </c>
      <c r="H405" s="2" t="s">
        <v>1953</v>
      </c>
      <c r="I405" s="2" t="s">
        <v>1954</v>
      </c>
      <c r="J405" s="2" t="s">
        <v>1955</v>
      </c>
      <c r="K405" s="2" t="s">
        <v>1964</v>
      </c>
      <c r="L405" s="3">
        <v>200</v>
      </c>
      <c r="M405" s="3">
        <v>210</v>
      </c>
      <c r="N405" s="3">
        <v>499.99</v>
      </c>
      <c r="O405" s="2" t="s">
        <v>232</v>
      </c>
      <c r="P405" s="2" t="s">
        <v>262</v>
      </c>
      <c r="Q405" s="2" t="s">
        <v>234</v>
      </c>
      <c r="R405" s="2" t="s">
        <v>235</v>
      </c>
      <c r="S405" s="2" t="s">
        <v>235</v>
      </c>
      <c r="T405" s="2" t="s">
        <v>879</v>
      </c>
      <c r="U405" s="2" t="s">
        <v>807</v>
      </c>
      <c r="V405" s="2" t="s">
        <v>1693</v>
      </c>
      <c r="W405" s="2" t="s">
        <v>329</v>
      </c>
      <c r="X405" s="2" t="s">
        <v>235</v>
      </c>
      <c r="Y405" s="2" t="s">
        <v>644</v>
      </c>
      <c r="Z405" s="4">
        <v>490</v>
      </c>
      <c r="AA405" s="4">
        <f>=ROUNDDOWN(54.4444444444444,0)</f>
      </c>
      <c r="AB405" s="5">
        <v>9</v>
      </c>
      <c r="AC405" s="2" t="s">
        <v>235</v>
      </c>
      <c r="AD405" s="4"/>
      <c r="AE405" s="4"/>
      <c r="AF405" s="6"/>
      <c r="AG405" s="6">
        <v>48</v>
      </c>
      <c r="AH405" s="7">
        <v>1</v>
      </c>
      <c r="AI405" s="4"/>
      <c r="AJ405" s="4">
        <f>=ROUNDDOWN({0},0)</f>
      </c>
      <c r="AK405" s="5"/>
      <c r="AL405" s="2" t="s">
        <v>235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235</v>
      </c>
      <c r="BD405" s="8" t="s">
        <v>235</v>
      </c>
      <c r="BE405" s="4" t="s">
        <v>235</v>
      </c>
      <c r="BF405" s="8" t="s">
        <v>235</v>
      </c>
      <c r="BG405" s="7" t="s">
        <v>235</v>
      </c>
      <c r="BH405" s="7" t="s">
        <v>235</v>
      </c>
      <c r="BI405" s="7"/>
      <c r="BJ405" s="4">
        <v>6</v>
      </c>
      <c r="BK405" s="8"/>
      <c r="BL405" s="2" t="s">
        <v>1949</v>
      </c>
      <c r="BM405" s="7"/>
      <c r="BN405" s="7"/>
      <c r="BO405" s="4"/>
      <c r="BP405" s="8"/>
      <c r="BQ405" s="4"/>
      <c r="BR405" s="8"/>
      <c r="BS405" s="7"/>
      <c r="BT405" s="7"/>
      <c r="BU405" s="2" t="s">
        <v>1957</v>
      </c>
      <c r="BV405" s="2" t="s">
        <v>235</v>
      </c>
      <c r="BW405" s="2" t="s">
        <v>235</v>
      </c>
      <c r="BX405" s="2" t="s">
        <v>244</v>
      </c>
      <c r="BY405" s="2" t="s">
        <v>245</v>
      </c>
      <c r="BZ405" s="2" t="s">
        <v>232</v>
      </c>
      <c r="CA405" s="2" t="s">
        <v>235</v>
      </c>
      <c r="CB405" s="2" t="s">
        <v>235</v>
      </c>
      <c r="CC405" s="2" t="s">
        <v>248</v>
      </c>
      <c r="CD405" s="2" t="s">
        <v>248</v>
      </c>
      <c r="CE405" s="2" t="s">
        <v>235</v>
      </c>
      <c r="CF405" s="4"/>
      <c r="CG405" s="4"/>
      <c r="CH405" s="4"/>
      <c r="CI405" s="4">
        <v>490</v>
      </c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>
        <v>490</v>
      </c>
      <c r="GE405" s="4">
        <v>473</v>
      </c>
      <c r="GF405" s="4">
        <v>464</v>
      </c>
      <c r="GG405" s="4">
        <v>455</v>
      </c>
      <c r="GH405" s="4">
        <v>446</v>
      </c>
      <c r="GI405" s="4">
        <v>437</v>
      </c>
      <c r="GJ405" s="4">
        <v>426</v>
      </c>
      <c r="GK405" s="4">
        <v>415</v>
      </c>
      <c r="GL405" s="4">
        <v>405</v>
      </c>
      <c r="GM405" s="4">
        <v>395</v>
      </c>
      <c r="GN405" s="4">
        <v>387</v>
      </c>
      <c r="GO405" s="4">
        <v>377</v>
      </c>
      <c r="GP405" s="4">
        <v>366</v>
      </c>
      <c r="GQ405" s="4">
        <v>346</v>
      </c>
      <c r="GR405" s="4">
        <v>332</v>
      </c>
      <c r="GS405" s="4">
        <v>320</v>
      </c>
      <c r="GT405" s="4">
        <v>313</v>
      </c>
      <c r="GU405" s="4">
        <v>307</v>
      </c>
      <c r="GV405" s="4">
        <v>297</v>
      </c>
      <c r="GW405" s="4">
        <v>288</v>
      </c>
      <c r="GX405" s="4">
        <v>279</v>
      </c>
      <c r="GY405" s="4">
        <v>270</v>
      </c>
      <c r="GZ405" s="4">
        <v>261</v>
      </c>
      <c r="HA405" s="4">
        <v>252</v>
      </c>
      <c r="HB405" s="4">
        <v>243</v>
      </c>
      <c r="HC405" s="4">
        <v>233</v>
      </c>
      <c r="HD405" s="19">
        <v>44.5</v>
      </c>
      <c r="HE405" s="19">
        <v>52.6</v>
      </c>
      <c r="HF405" s="19">
        <v>46.4</v>
      </c>
      <c r="HG405" s="19">
        <v>45.5</v>
      </c>
      <c r="HH405" s="19">
        <v>44.6</v>
      </c>
      <c r="HI405" s="19">
        <v>43.7</v>
      </c>
      <c r="HJ405" s="19">
        <v>42.6</v>
      </c>
      <c r="HK405" s="19">
        <v>41.5</v>
      </c>
      <c r="HL405" s="19">
        <v>40.5</v>
      </c>
      <c r="HM405" s="19">
        <v>32.9</v>
      </c>
      <c r="HN405" s="19">
        <v>27.6</v>
      </c>
      <c r="HO405" s="19">
        <v>26.9</v>
      </c>
      <c r="HP405" s="19">
        <v>28.2</v>
      </c>
      <c r="HQ405" s="19">
        <v>34.6</v>
      </c>
      <c r="HR405" s="19">
        <v>36.9</v>
      </c>
      <c r="HS405" s="19">
        <v>40</v>
      </c>
      <c r="HT405" s="19">
        <v>39.1</v>
      </c>
      <c r="HU405" s="19">
        <v>34.1</v>
      </c>
      <c r="HV405" s="19">
        <v>33</v>
      </c>
      <c r="HW405" s="19">
        <v>32</v>
      </c>
      <c r="HX405" s="19">
        <v>31</v>
      </c>
      <c r="HY405" s="19">
        <v>30</v>
      </c>
      <c r="HZ405" s="19">
        <v>29</v>
      </c>
      <c r="IA405" s="19">
        <v>28</v>
      </c>
      <c r="IB405" s="19">
        <v>27</v>
      </c>
      <c r="IC405" s="19">
        <v>25.9</v>
      </c>
    </row>
    <row r="406">
      <c r="A406" s="2" t="s">
        <v>1965</v>
      </c>
      <c r="B406" s="2" t="s">
        <v>871</v>
      </c>
      <c r="C406" s="2" t="s">
        <v>606</v>
      </c>
      <c r="D406" s="2" t="s">
        <v>361</v>
      </c>
      <c r="E406" s="2" t="s">
        <v>924</v>
      </c>
      <c r="F406" s="2" t="s">
        <v>1966</v>
      </c>
      <c r="G406" s="2" t="s">
        <v>1967</v>
      </c>
      <c r="H406" s="2" t="s">
        <v>1968</v>
      </c>
      <c r="I406" s="2" t="s">
        <v>1969</v>
      </c>
      <c r="J406" s="2" t="s">
        <v>877</v>
      </c>
      <c r="K406" s="2" t="s">
        <v>1970</v>
      </c>
      <c r="L406" s="3">
        <v>26.39</v>
      </c>
      <c r="M406" s="3">
        <v>27.71</v>
      </c>
      <c r="N406" s="3">
        <v>54.99</v>
      </c>
      <c r="O406" s="2" t="s">
        <v>232</v>
      </c>
      <c r="P406" s="2" t="s">
        <v>233</v>
      </c>
      <c r="Q406" s="2" t="s">
        <v>234</v>
      </c>
      <c r="R406" s="2" t="s">
        <v>235</v>
      </c>
      <c r="S406" s="2" t="s">
        <v>1971</v>
      </c>
      <c r="T406" s="2" t="s">
        <v>1972</v>
      </c>
      <c r="U406" s="2" t="s">
        <v>278</v>
      </c>
      <c r="V406" s="2" t="s">
        <v>420</v>
      </c>
      <c r="W406" s="2" t="s">
        <v>682</v>
      </c>
      <c r="X406" s="2" t="s">
        <v>239</v>
      </c>
      <c r="Y406" s="2" t="s">
        <v>1973</v>
      </c>
      <c r="Z406" s="4">
        <v>139</v>
      </c>
      <c r="AA406" s="4">
        <f>=ROUNDDOWN(35.6410256410256,0)</f>
      </c>
      <c r="AB406" s="5">
        <v>3.9</v>
      </c>
      <c r="AC406" s="2" t="s">
        <v>235</v>
      </c>
      <c r="AD406" s="4"/>
      <c r="AE406" s="4"/>
      <c r="AF406" s="6">
        <v>63</v>
      </c>
      <c r="AG406" s="6">
        <v>46</v>
      </c>
      <c r="AH406" s="7">
        <v>1</v>
      </c>
      <c r="AI406" s="4"/>
      <c r="AJ406" s="4">
        <f>=ROUNDDOWN({0},0)</f>
      </c>
      <c r="AK406" s="5"/>
      <c r="AL406" s="2" t="s">
        <v>235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235</v>
      </c>
      <c r="AW406" s="8" t="s">
        <v>235</v>
      </c>
      <c r="AX406" s="4" t="s">
        <v>235</v>
      </c>
      <c r="AY406" s="8" t="s">
        <v>235</v>
      </c>
      <c r="AZ406" s="7" t="s">
        <v>235</v>
      </c>
      <c r="BA406" s="7" t="s">
        <v>235</v>
      </c>
      <c r="BB406" s="7"/>
      <c r="BC406" s="4" t="s">
        <v>235</v>
      </c>
      <c r="BD406" s="8" t="s">
        <v>235</v>
      </c>
      <c r="BE406" s="4" t="s">
        <v>235</v>
      </c>
      <c r="BF406" s="8" t="s">
        <v>235</v>
      </c>
      <c r="BG406" s="7" t="s">
        <v>235</v>
      </c>
      <c r="BH406" s="7" t="s">
        <v>235</v>
      </c>
      <c r="BI406" s="7"/>
      <c r="BJ406" s="4">
        <v>19</v>
      </c>
      <c r="BK406" s="8">
        <v>517.02</v>
      </c>
      <c r="BL406" s="2" t="s">
        <v>1974</v>
      </c>
      <c r="BM406" s="7"/>
      <c r="BN406" s="7"/>
      <c r="BO406" s="4"/>
      <c r="BP406" s="8"/>
      <c r="BQ406" s="4"/>
      <c r="BR406" s="8"/>
      <c r="BS406" s="7"/>
      <c r="BT406" s="7"/>
      <c r="BU406" s="2" t="s">
        <v>1975</v>
      </c>
      <c r="BV406" s="2" t="s">
        <v>243</v>
      </c>
      <c r="BW406" s="2" t="s">
        <v>235</v>
      </c>
      <c r="BX406" s="2" t="s">
        <v>619</v>
      </c>
      <c r="BY406" s="2" t="s">
        <v>245</v>
      </c>
      <c r="BZ406" s="2" t="s">
        <v>232</v>
      </c>
      <c r="CA406" s="2" t="s">
        <v>1976</v>
      </c>
      <c r="CB406" s="2" t="s">
        <v>1977</v>
      </c>
      <c r="CC406" s="2" t="s">
        <v>248</v>
      </c>
      <c r="CD406" s="2" t="s">
        <v>248</v>
      </c>
      <c r="CE406" s="2" t="s">
        <v>235</v>
      </c>
      <c r="CF406" s="4"/>
      <c r="CG406" s="4"/>
      <c r="CH406" s="4"/>
      <c r="CI406" s="4">
        <v>139</v>
      </c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>
        <v>140</v>
      </c>
      <c r="GE406" s="4">
        <v>129</v>
      </c>
      <c r="GF406" s="4">
        <v>125</v>
      </c>
      <c r="GG406" s="4">
        <v>119</v>
      </c>
      <c r="GH406" s="4">
        <v>113</v>
      </c>
      <c r="GI406" s="4">
        <v>107</v>
      </c>
      <c r="GJ406" s="4">
        <v>101</v>
      </c>
      <c r="GK406" s="4">
        <v>95</v>
      </c>
      <c r="GL406" s="4">
        <v>89</v>
      </c>
      <c r="GM406" s="4">
        <v>83</v>
      </c>
      <c r="GN406" s="4">
        <v>73</v>
      </c>
      <c r="GO406" s="4">
        <v>63</v>
      </c>
      <c r="GP406" s="4">
        <v>53</v>
      </c>
      <c r="GQ406" s="4">
        <v>43</v>
      </c>
      <c r="GR406" s="4">
        <v>218</v>
      </c>
      <c r="GS406" s="4">
        <v>208</v>
      </c>
      <c r="GT406" s="4">
        <v>198</v>
      </c>
      <c r="GU406" s="4">
        <v>245</v>
      </c>
      <c r="GV406" s="4">
        <v>241</v>
      </c>
      <c r="GW406" s="4">
        <v>237</v>
      </c>
      <c r="GX406" s="4">
        <v>233</v>
      </c>
      <c r="GY406" s="4">
        <v>229</v>
      </c>
      <c r="GZ406" s="4">
        <v>225</v>
      </c>
      <c r="HA406" s="4">
        <v>221</v>
      </c>
      <c r="HB406" s="4">
        <v>217</v>
      </c>
      <c r="HC406" s="4">
        <v>212</v>
      </c>
      <c r="HD406" s="19">
        <v>10</v>
      </c>
      <c r="HE406" s="19">
        <v>10.8</v>
      </c>
      <c r="HF406" s="19">
        <v>10.4</v>
      </c>
      <c r="HG406" s="19">
        <v>9.9</v>
      </c>
      <c r="HH406" s="19">
        <v>9.4</v>
      </c>
      <c r="HI406" s="19">
        <v>8.9</v>
      </c>
      <c r="HJ406" s="19">
        <v>7.2</v>
      </c>
      <c r="HK406" s="19">
        <v>6</v>
      </c>
      <c r="HL406" s="19">
        <v>5</v>
      </c>
      <c r="HM406" s="19">
        <v>4.2</v>
      </c>
      <c r="HN406" s="19">
        <v>3.7</v>
      </c>
      <c r="HO406" s="19">
        <v>3.2</v>
      </c>
      <c r="HP406" s="19">
        <v>2.7</v>
      </c>
      <c r="HQ406" s="19">
        <v>2.7</v>
      </c>
      <c r="HR406" s="19">
        <v>15.6</v>
      </c>
      <c r="HS406" s="19">
        <v>20.8</v>
      </c>
      <c r="HT406" s="19">
        <v>33</v>
      </c>
      <c r="HU406" s="19">
        <v>57.9</v>
      </c>
      <c r="HV406" s="19">
        <v>56.9</v>
      </c>
      <c r="HW406" s="19">
        <v>55.9</v>
      </c>
      <c r="HX406" s="19">
        <v>54.9</v>
      </c>
      <c r="HY406" s="19">
        <v>53.9</v>
      </c>
      <c r="HZ406" s="19">
        <v>52.9</v>
      </c>
      <c r="IA406" s="19">
        <v>51.9</v>
      </c>
      <c r="IB406" s="19">
        <v>50.9</v>
      </c>
      <c r="IC406" s="19">
        <v>49.7</v>
      </c>
    </row>
    <row r="407">
      <c r="A407" s="2" t="s">
        <v>1978</v>
      </c>
      <c r="B407" s="2" t="s">
        <v>871</v>
      </c>
      <c r="C407" s="2" t="s">
        <v>606</v>
      </c>
      <c r="D407" s="2" t="s">
        <v>361</v>
      </c>
      <c r="E407" s="2" t="s">
        <v>924</v>
      </c>
      <c r="F407" s="2" t="s">
        <v>1966</v>
      </c>
      <c r="G407" s="2" t="s">
        <v>1967</v>
      </c>
      <c r="H407" s="2" t="s">
        <v>1968</v>
      </c>
      <c r="I407" s="2" t="s">
        <v>1969</v>
      </c>
      <c r="J407" s="2" t="s">
        <v>365</v>
      </c>
      <c r="K407" s="2" t="s">
        <v>1970</v>
      </c>
      <c r="L407" s="3">
        <v>34.44</v>
      </c>
      <c r="M407" s="3">
        <v>36.16</v>
      </c>
      <c r="N407" s="3">
        <v>69.99</v>
      </c>
      <c r="O407" s="2" t="s">
        <v>232</v>
      </c>
      <c r="P407" s="2" t="s">
        <v>233</v>
      </c>
      <c r="Q407" s="2" t="s">
        <v>234</v>
      </c>
      <c r="R407" s="2" t="s">
        <v>235</v>
      </c>
      <c r="S407" s="2" t="s">
        <v>1971</v>
      </c>
      <c r="T407" s="2" t="s">
        <v>1972</v>
      </c>
      <c r="U407" s="2" t="s">
        <v>552</v>
      </c>
      <c r="V407" s="2" t="s">
        <v>420</v>
      </c>
      <c r="W407" s="2" t="s">
        <v>682</v>
      </c>
      <c r="X407" s="2" t="s">
        <v>239</v>
      </c>
      <c r="Y407" s="2" t="s">
        <v>1973</v>
      </c>
      <c r="Z407" s="4">
        <v>576</v>
      </c>
      <c r="AA407" s="4">
        <f>=ROUNDDOWN(57.029702970297,0)</f>
      </c>
      <c r="AB407" s="5">
        <v>10.1</v>
      </c>
      <c r="AC407" s="2" t="s">
        <v>235</v>
      </c>
      <c r="AD407" s="4"/>
      <c r="AE407" s="4"/>
      <c r="AF407" s="6">
        <v>63</v>
      </c>
      <c r="AG407" s="6">
        <v>46</v>
      </c>
      <c r="AH407" s="7">
        <v>1</v>
      </c>
      <c r="AI407" s="4"/>
      <c r="AJ407" s="4">
        <f>=ROUNDDOWN({0},0)</f>
      </c>
      <c r="AK407" s="5"/>
      <c r="AL407" s="2" t="s">
        <v>235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235</v>
      </c>
      <c r="AW407" s="8" t="s">
        <v>235</v>
      </c>
      <c r="AX407" s="4" t="s">
        <v>235</v>
      </c>
      <c r="AY407" s="8" t="s">
        <v>235</v>
      </c>
      <c r="AZ407" s="7" t="s">
        <v>235</v>
      </c>
      <c r="BA407" s="7" t="s">
        <v>235</v>
      </c>
      <c r="BB407" s="7"/>
      <c r="BC407" s="4" t="s">
        <v>235</v>
      </c>
      <c r="BD407" s="8" t="s">
        <v>235</v>
      </c>
      <c r="BE407" s="4" t="s">
        <v>235</v>
      </c>
      <c r="BF407" s="8" t="s">
        <v>235</v>
      </c>
      <c r="BG407" s="7" t="s">
        <v>235</v>
      </c>
      <c r="BH407" s="7" t="s">
        <v>235</v>
      </c>
      <c r="BI407" s="7"/>
      <c r="BJ407" s="4">
        <v>54</v>
      </c>
      <c r="BK407" s="8">
        <v>1955.13</v>
      </c>
      <c r="BL407" s="2" t="s">
        <v>1979</v>
      </c>
      <c r="BM407" s="7"/>
      <c r="BN407" s="7"/>
      <c r="BO407" s="4"/>
      <c r="BP407" s="8"/>
      <c r="BQ407" s="4"/>
      <c r="BR407" s="8"/>
      <c r="BS407" s="7"/>
      <c r="BT407" s="7"/>
      <c r="BU407" s="2" t="s">
        <v>1975</v>
      </c>
      <c r="BV407" s="2" t="s">
        <v>243</v>
      </c>
      <c r="BW407" s="2" t="s">
        <v>235</v>
      </c>
      <c r="BX407" s="2" t="s">
        <v>619</v>
      </c>
      <c r="BY407" s="2" t="s">
        <v>245</v>
      </c>
      <c r="BZ407" s="2" t="s">
        <v>232</v>
      </c>
      <c r="CA407" s="2" t="s">
        <v>1976</v>
      </c>
      <c r="CB407" s="2" t="s">
        <v>1034</v>
      </c>
      <c r="CC407" s="2" t="s">
        <v>248</v>
      </c>
      <c r="CD407" s="2" t="s">
        <v>248</v>
      </c>
      <c r="CE407" s="2" t="s">
        <v>235</v>
      </c>
      <c r="CF407" s="4">
        <v>496</v>
      </c>
      <c r="CG407" s="4"/>
      <c r="CH407" s="4"/>
      <c r="CI407" s="4">
        <v>80</v>
      </c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>
        <v>588</v>
      </c>
      <c r="GE407" s="4">
        <v>558</v>
      </c>
      <c r="GF407" s="4">
        <v>547</v>
      </c>
      <c r="GG407" s="4">
        <v>534</v>
      </c>
      <c r="GH407" s="4">
        <v>521</v>
      </c>
      <c r="GI407" s="4">
        <v>508</v>
      </c>
      <c r="GJ407" s="4">
        <v>495</v>
      </c>
      <c r="GK407" s="4">
        <v>482</v>
      </c>
      <c r="GL407" s="4">
        <v>469</v>
      </c>
      <c r="GM407" s="4">
        <v>456</v>
      </c>
      <c r="GN407" s="4">
        <v>425</v>
      </c>
      <c r="GO407" s="4">
        <v>394</v>
      </c>
      <c r="GP407" s="4">
        <v>363</v>
      </c>
      <c r="GQ407" s="4">
        <v>332</v>
      </c>
      <c r="GR407" s="4">
        <v>327</v>
      </c>
      <c r="GS407" s="4">
        <v>296</v>
      </c>
      <c r="GT407" s="4">
        <v>265</v>
      </c>
      <c r="GU407" s="4">
        <v>726</v>
      </c>
      <c r="GV407" s="4">
        <v>715</v>
      </c>
      <c r="GW407" s="4">
        <v>704</v>
      </c>
      <c r="GX407" s="4">
        <v>693</v>
      </c>
      <c r="GY407" s="4">
        <v>682</v>
      </c>
      <c r="GZ407" s="4">
        <v>671</v>
      </c>
      <c r="HA407" s="4">
        <v>660</v>
      </c>
      <c r="HB407" s="4">
        <v>649</v>
      </c>
      <c r="HC407" s="4">
        <v>636</v>
      </c>
      <c r="HD407" s="19">
        <v>38.6</v>
      </c>
      <c r="HE407" s="19">
        <v>41.1</v>
      </c>
      <c r="HF407" s="19">
        <v>40.4</v>
      </c>
      <c r="HG407" s="19">
        <v>39.4</v>
      </c>
      <c r="HH407" s="19">
        <v>38.4</v>
      </c>
      <c r="HI407" s="19">
        <v>37.4</v>
      </c>
      <c r="HJ407" s="19">
        <v>31.3</v>
      </c>
      <c r="HK407" s="19">
        <v>26.9</v>
      </c>
      <c r="HL407" s="19">
        <v>19.1</v>
      </c>
      <c r="HM407" s="19">
        <v>17.4</v>
      </c>
      <c r="HN407" s="19">
        <v>16.4</v>
      </c>
      <c r="HO407" s="19">
        <v>15.4</v>
      </c>
      <c r="HP407" s="19">
        <v>14.4</v>
      </c>
      <c r="HQ407" s="19">
        <v>18.4</v>
      </c>
      <c r="HR407" s="19">
        <v>25</v>
      </c>
      <c r="HS407" s="19">
        <v>25.6</v>
      </c>
      <c r="HT407" s="19">
        <v>43.4</v>
      </c>
      <c r="HU407" s="19">
        <v>66</v>
      </c>
      <c r="HV407" s="19">
        <v>65</v>
      </c>
      <c r="HW407" s="19">
        <v>64</v>
      </c>
      <c r="HX407" s="19">
        <v>63</v>
      </c>
      <c r="HY407" s="19">
        <v>62</v>
      </c>
      <c r="HZ407" s="19">
        <v>61</v>
      </c>
      <c r="IA407" s="19">
        <v>60</v>
      </c>
      <c r="IB407" s="19">
        <v>59</v>
      </c>
      <c r="IC407" s="19">
        <v>57.9</v>
      </c>
    </row>
    <row r="408">
      <c r="A408" s="2" t="s">
        <v>1980</v>
      </c>
      <c r="B408" s="2" t="s">
        <v>871</v>
      </c>
      <c r="C408" s="2" t="s">
        <v>606</v>
      </c>
      <c r="D408" s="2" t="s">
        <v>361</v>
      </c>
      <c r="E408" s="2" t="s">
        <v>924</v>
      </c>
      <c r="F408" s="2" t="s">
        <v>1966</v>
      </c>
      <c r="G408" s="2" t="s">
        <v>1967</v>
      </c>
      <c r="H408" s="2" t="s">
        <v>1968</v>
      </c>
      <c r="I408" s="2" t="s">
        <v>1969</v>
      </c>
      <c r="J408" s="2" t="s">
        <v>372</v>
      </c>
      <c r="K408" s="2" t="s">
        <v>1970</v>
      </c>
      <c r="L408" s="3">
        <v>37.26</v>
      </c>
      <c r="M408" s="3">
        <v>39.12</v>
      </c>
      <c r="N408" s="3">
        <v>77.49</v>
      </c>
      <c r="O408" s="2" t="s">
        <v>232</v>
      </c>
      <c r="P408" s="2" t="s">
        <v>233</v>
      </c>
      <c r="Q408" s="2" t="s">
        <v>234</v>
      </c>
      <c r="R408" s="2" t="s">
        <v>235</v>
      </c>
      <c r="S408" s="2" t="s">
        <v>1971</v>
      </c>
      <c r="T408" s="2" t="s">
        <v>1972</v>
      </c>
      <c r="U408" s="2" t="s">
        <v>552</v>
      </c>
      <c r="V408" s="2" t="s">
        <v>420</v>
      </c>
      <c r="W408" s="2" t="s">
        <v>682</v>
      </c>
      <c r="X408" s="2" t="s">
        <v>239</v>
      </c>
      <c r="Y408" s="2" t="s">
        <v>1973</v>
      </c>
      <c r="Z408" s="4">
        <v>515</v>
      </c>
      <c r="AA408" s="4">
        <f>=ROUNDDOWN(44.7826086956522,0)</f>
      </c>
      <c r="AB408" s="5">
        <v>11.5</v>
      </c>
      <c r="AC408" s="2" t="s">
        <v>235</v>
      </c>
      <c r="AD408" s="4"/>
      <c r="AE408" s="4"/>
      <c r="AF408" s="6">
        <v>63</v>
      </c>
      <c r="AG408" s="6">
        <v>46</v>
      </c>
      <c r="AH408" s="7">
        <v>1</v>
      </c>
      <c r="AI408" s="4"/>
      <c r="AJ408" s="4">
        <f>=ROUNDDOWN({0},0)</f>
      </c>
      <c r="AK408" s="5"/>
      <c r="AL408" s="2" t="s">
        <v>235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235</v>
      </c>
      <c r="AW408" s="8" t="s">
        <v>235</v>
      </c>
      <c r="AX408" s="4" t="s">
        <v>235</v>
      </c>
      <c r="AY408" s="8" t="s">
        <v>235</v>
      </c>
      <c r="AZ408" s="7" t="s">
        <v>235</v>
      </c>
      <c r="BA408" s="7" t="s">
        <v>235</v>
      </c>
      <c r="BB408" s="7"/>
      <c r="BC408" s="4" t="s">
        <v>235</v>
      </c>
      <c r="BD408" s="8" t="s">
        <v>235</v>
      </c>
      <c r="BE408" s="4" t="s">
        <v>235</v>
      </c>
      <c r="BF408" s="8" t="s">
        <v>235</v>
      </c>
      <c r="BG408" s="7" t="s">
        <v>235</v>
      </c>
      <c r="BH408" s="7" t="s">
        <v>235</v>
      </c>
      <c r="BI408" s="7"/>
      <c r="BJ408" s="4">
        <v>61</v>
      </c>
      <c r="BK408" s="8">
        <v>2536.61</v>
      </c>
      <c r="BL408" s="2" t="s">
        <v>1981</v>
      </c>
      <c r="BM408" s="7"/>
      <c r="BN408" s="7"/>
      <c r="BO408" s="4"/>
      <c r="BP408" s="8"/>
      <c r="BQ408" s="4"/>
      <c r="BR408" s="8"/>
      <c r="BS408" s="7"/>
      <c r="BT408" s="7"/>
      <c r="BU408" s="2" t="s">
        <v>1975</v>
      </c>
      <c r="BV408" s="2" t="s">
        <v>243</v>
      </c>
      <c r="BW408" s="2" t="s">
        <v>235</v>
      </c>
      <c r="BX408" s="2" t="s">
        <v>619</v>
      </c>
      <c r="BY408" s="2" t="s">
        <v>245</v>
      </c>
      <c r="BZ408" s="2" t="s">
        <v>232</v>
      </c>
      <c r="CA408" s="2" t="s">
        <v>1976</v>
      </c>
      <c r="CB408" s="2" t="s">
        <v>1982</v>
      </c>
      <c r="CC408" s="2" t="s">
        <v>248</v>
      </c>
      <c r="CD408" s="2" t="s">
        <v>248</v>
      </c>
      <c r="CE408" s="2" t="s">
        <v>235</v>
      </c>
      <c r="CF408" s="4">
        <v>216</v>
      </c>
      <c r="CG408" s="4"/>
      <c r="CH408" s="4"/>
      <c r="CI408" s="4">
        <v>299</v>
      </c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>
        <v>520</v>
      </c>
      <c r="GE408" s="4">
        <v>502</v>
      </c>
      <c r="GF408" s="4">
        <v>490</v>
      </c>
      <c r="GG408" s="4">
        <v>478</v>
      </c>
      <c r="GH408" s="4">
        <v>466</v>
      </c>
      <c r="GI408" s="4">
        <v>454</v>
      </c>
      <c r="GJ408" s="4">
        <v>442</v>
      </c>
      <c r="GK408" s="4">
        <v>430</v>
      </c>
      <c r="GL408" s="4">
        <v>418</v>
      </c>
      <c r="GM408" s="4">
        <v>406</v>
      </c>
      <c r="GN408" s="4">
        <v>370</v>
      </c>
      <c r="GO408" s="4">
        <v>334</v>
      </c>
      <c r="GP408" s="4">
        <v>298</v>
      </c>
      <c r="GQ408" s="4">
        <v>262</v>
      </c>
      <c r="GR408" s="4">
        <v>397</v>
      </c>
      <c r="GS408" s="4">
        <v>361</v>
      </c>
      <c r="GT408" s="4">
        <v>325</v>
      </c>
      <c r="GU408" s="4">
        <v>787</v>
      </c>
      <c r="GV408" s="4">
        <v>775</v>
      </c>
      <c r="GW408" s="4">
        <v>763</v>
      </c>
      <c r="GX408" s="4">
        <v>751</v>
      </c>
      <c r="GY408" s="4">
        <v>739</v>
      </c>
      <c r="GZ408" s="4">
        <v>727</v>
      </c>
      <c r="HA408" s="4">
        <v>715</v>
      </c>
      <c r="HB408" s="4">
        <v>703</v>
      </c>
      <c r="HC408" s="4">
        <v>689</v>
      </c>
      <c r="HD408" s="19">
        <v>38.8</v>
      </c>
      <c r="HE408" s="19">
        <v>44.3</v>
      </c>
      <c r="HF408" s="19">
        <v>43.3</v>
      </c>
      <c r="HG408" s="19">
        <v>42.3</v>
      </c>
      <c r="HH408" s="19">
        <v>41.3</v>
      </c>
      <c r="HI408" s="19">
        <v>40.3</v>
      </c>
      <c r="HJ408" s="19">
        <v>25.5</v>
      </c>
      <c r="HK408" s="19">
        <v>19.1</v>
      </c>
      <c r="HL408" s="19">
        <v>15.2</v>
      </c>
      <c r="HM408" s="19">
        <v>12.1</v>
      </c>
      <c r="HN408" s="19">
        <v>11.1</v>
      </c>
      <c r="HO408" s="19">
        <v>10.1</v>
      </c>
      <c r="HP408" s="19">
        <v>9.1</v>
      </c>
      <c r="HQ408" s="19">
        <v>9.5</v>
      </c>
      <c r="HR408" s="19">
        <v>19.2</v>
      </c>
      <c r="HS408" s="19">
        <v>22.3</v>
      </c>
      <c r="HT408" s="19">
        <v>32.4</v>
      </c>
      <c r="HU408" s="19">
        <v>65.2</v>
      </c>
      <c r="HV408" s="19">
        <v>64.2</v>
      </c>
      <c r="HW408" s="19">
        <v>63.2</v>
      </c>
      <c r="HX408" s="19">
        <v>62.2</v>
      </c>
      <c r="HY408" s="19">
        <v>61.2</v>
      </c>
      <c r="HZ408" s="19">
        <v>60.2</v>
      </c>
      <c r="IA408" s="19">
        <v>59.2</v>
      </c>
      <c r="IB408" s="19">
        <v>58.2</v>
      </c>
      <c r="IC408" s="19">
        <v>57</v>
      </c>
    </row>
    <row r="409">
      <c r="A409" s="2" t="s">
        <v>1983</v>
      </c>
      <c r="B409" s="2" t="s">
        <v>871</v>
      </c>
      <c r="C409" s="2" t="s">
        <v>606</v>
      </c>
      <c r="D409" s="2" t="s">
        <v>361</v>
      </c>
      <c r="E409" s="2" t="s">
        <v>924</v>
      </c>
      <c r="F409" s="2" t="s">
        <v>1966</v>
      </c>
      <c r="G409" s="2" t="s">
        <v>1967</v>
      </c>
      <c r="H409" s="2" t="s">
        <v>1968</v>
      </c>
      <c r="I409" s="2" t="s">
        <v>1969</v>
      </c>
      <c r="J409" s="2" t="s">
        <v>877</v>
      </c>
      <c r="K409" s="2" t="s">
        <v>550</v>
      </c>
      <c r="L409" s="3">
        <v>26.39</v>
      </c>
      <c r="M409" s="3">
        <v>27.71</v>
      </c>
      <c r="N409" s="3">
        <v>54.99</v>
      </c>
      <c r="O409" s="2" t="s">
        <v>232</v>
      </c>
      <c r="P409" s="2" t="s">
        <v>233</v>
      </c>
      <c r="Q409" s="2" t="s">
        <v>234</v>
      </c>
      <c r="R409" s="2" t="s">
        <v>235</v>
      </c>
      <c r="S409" s="2" t="s">
        <v>1984</v>
      </c>
      <c r="T409" s="2" t="s">
        <v>1972</v>
      </c>
      <c r="U409" s="2" t="s">
        <v>278</v>
      </c>
      <c r="V409" s="2" t="s">
        <v>420</v>
      </c>
      <c r="W409" s="2" t="s">
        <v>682</v>
      </c>
      <c r="X409" s="2" t="s">
        <v>239</v>
      </c>
      <c r="Y409" s="2" t="s">
        <v>1973</v>
      </c>
      <c r="Z409" s="4">
        <v>241</v>
      </c>
      <c r="AA409" s="4">
        <f>=ROUNDDOWN(65.1351351351351,0)</f>
      </c>
      <c r="AB409" s="5">
        <v>3.7</v>
      </c>
      <c r="AC409" s="2" t="s">
        <v>235</v>
      </c>
      <c r="AD409" s="4"/>
      <c r="AE409" s="4"/>
      <c r="AF409" s="6">
        <v>63</v>
      </c>
      <c r="AG409" s="6">
        <v>46</v>
      </c>
      <c r="AH409" s="7">
        <v>1</v>
      </c>
      <c r="AI409" s="4"/>
      <c r="AJ409" s="4">
        <f>=ROUNDDOWN({0},0)</f>
      </c>
      <c r="AK409" s="5"/>
      <c r="AL409" s="2" t="s">
        <v>235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235</v>
      </c>
      <c r="BD409" s="8" t="s">
        <v>235</v>
      </c>
      <c r="BE409" s="4" t="s">
        <v>235</v>
      </c>
      <c r="BF409" s="8" t="s">
        <v>235</v>
      </c>
      <c r="BG409" s="7" t="s">
        <v>235</v>
      </c>
      <c r="BH409" s="7" t="s">
        <v>235</v>
      </c>
      <c r="BI409" s="7"/>
      <c r="BJ409" s="4">
        <v>17</v>
      </c>
      <c r="BK409" s="8">
        <v>481.18</v>
      </c>
      <c r="BL409" s="2" t="s">
        <v>1675</v>
      </c>
      <c r="BM409" s="7"/>
      <c r="BN409" s="7"/>
      <c r="BO409" s="4"/>
      <c r="BP409" s="8"/>
      <c r="BQ409" s="4"/>
      <c r="BR409" s="8"/>
      <c r="BS409" s="7"/>
      <c r="BT409" s="7"/>
      <c r="BU409" s="2" t="s">
        <v>1975</v>
      </c>
      <c r="BV409" s="2" t="s">
        <v>243</v>
      </c>
      <c r="BW409" s="2" t="s">
        <v>235</v>
      </c>
      <c r="BX409" s="2" t="s">
        <v>619</v>
      </c>
      <c r="BY409" s="2" t="s">
        <v>245</v>
      </c>
      <c r="BZ409" s="2" t="s">
        <v>232</v>
      </c>
      <c r="CA409" s="2" t="s">
        <v>1976</v>
      </c>
      <c r="CB409" s="2" t="s">
        <v>1034</v>
      </c>
      <c r="CC409" s="2" t="s">
        <v>248</v>
      </c>
      <c r="CD409" s="2" t="s">
        <v>248</v>
      </c>
      <c r="CE409" s="2" t="s">
        <v>235</v>
      </c>
      <c r="CF409" s="4"/>
      <c r="CG409" s="4"/>
      <c r="CH409" s="4"/>
      <c r="CI409" s="4">
        <v>241</v>
      </c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>
        <v>251</v>
      </c>
      <c r="GE409" s="4">
        <v>236</v>
      </c>
      <c r="GF409" s="4">
        <v>232</v>
      </c>
      <c r="GG409" s="4">
        <v>228</v>
      </c>
      <c r="GH409" s="4">
        <v>224</v>
      </c>
      <c r="GI409" s="4">
        <v>220</v>
      </c>
      <c r="GJ409" s="4">
        <v>216</v>
      </c>
      <c r="GK409" s="4">
        <v>212</v>
      </c>
      <c r="GL409" s="4">
        <v>208</v>
      </c>
      <c r="GM409" s="4">
        <v>204</v>
      </c>
      <c r="GN409" s="4">
        <v>192</v>
      </c>
      <c r="GO409" s="4">
        <v>180</v>
      </c>
      <c r="GP409" s="4">
        <v>168</v>
      </c>
      <c r="GQ409" s="4">
        <v>156</v>
      </c>
      <c r="GR409" s="4">
        <v>144</v>
      </c>
      <c r="GS409" s="4">
        <v>132</v>
      </c>
      <c r="GT409" s="4">
        <v>120</v>
      </c>
      <c r="GU409" s="4">
        <v>116</v>
      </c>
      <c r="GV409" s="4">
        <v>112</v>
      </c>
      <c r="GW409" s="4">
        <v>108</v>
      </c>
      <c r="GX409" s="4">
        <v>104</v>
      </c>
      <c r="GY409" s="4">
        <v>100</v>
      </c>
      <c r="GZ409" s="4">
        <v>96</v>
      </c>
      <c r="HA409" s="4">
        <v>92</v>
      </c>
      <c r="HB409" s="4">
        <v>88</v>
      </c>
      <c r="HC409" s="4">
        <v>83</v>
      </c>
      <c r="HD409" s="19">
        <v>18</v>
      </c>
      <c r="HE409" s="19">
        <v>29.5</v>
      </c>
      <c r="HF409" s="19">
        <v>29</v>
      </c>
      <c r="HG409" s="19">
        <v>28.5</v>
      </c>
      <c r="HH409" s="19">
        <v>28</v>
      </c>
      <c r="HI409" s="19">
        <v>27.5</v>
      </c>
      <c r="HJ409" s="19">
        <v>18</v>
      </c>
      <c r="HK409" s="19">
        <v>13.3</v>
      </c>
      <c r="HL409" s="19">
        <v>10.4</v>
      </c>
      <c r="HM409" s="19">
        <v>8.5</v>
      </c>
      <c r="HN409" s="19">
        <v>8</v>
      </c>
      <c r="HO409" s="19">
        <v>7.5</v>
      </c>
      <c r="HP409" s="19">
        <v>7</v>
      </c>
      <c r="HQ409" s="19">
        <v>7.8</v>
      </c>
      <c r="HR409" s="19">
        <v>9</v>
      </c>
      <c r="HS409" s="19">
        <v>11</v>
      </c>
      <c r="HT409" s="19">
        <v>15</v>
      </c>
      <c r="HU409" s="19">
        <v>14.5</v>
      </c>
      <c r="HV409" s="19">
        <v>14</v>
      </c>
      <c r="HW409" s="19">
        <v>13.5</v>
      </c>
      <c r="HX409" s="19">
        <v>13</v>
      </c>
      <c r="HY409" s="19">
        <v>12.5</v>
      </c>
      <c r="HZ409" s="19">
        <v>12</v>
      </c>
      <c r="IA409" s="19">
        <v>11.5</v>
      </c>
      <c r="IB409" s="19">
        <v>11</v>
      </c>
      <c r="IC409" s="19">
        <v>10.4</v>
      </c>
    </row>
    <row r="410">
      <c r="A410" s="2" t="s">
        <v>1985</v>
      </c>
      <c r="B410" s="2" t="s">
        <v>905</v>
      </c>
      <c r="C410" s="2" t="s">
        <v>893</v>
      </c>
      <c r="D410" s="2" t="s">
        <v>274</v>
      </c>
      <c r="E410" s="2" t="s">
        <v>275</v>
      </c>
      <c r="F410" s="2" t="s">
        <v>1986</v>
      </c>
      <c r="G410" s="2" t="s">
        <v>1986</v>
      </c>
      <c r="H410" s="2" t="s">
        <v>1986</v>
      </c>
      <c r="I410" s="2" t="s">
        <v>1987</v>
      </c>
      <c r="J410" s="2" t="s">
        <v>1988</v>
      </c>
      <c r="K410" s="2" t="s">
        <v>1196</v>
      </c>
      <c r="L410" s="3">
        <v>10.58</v>
      </c>
      <c r="M410" s="3">
        <v>11.11</v>
      </c>
      <c r="N410" s="3">
        <v>22.99</v>
      </c>
      <c r="O410" s="2" t="s">
        <v>407</v>
      </c>
      <c r="P410" s="2" t="s">
        <v>408</v>
      </c>
      <c r="Q410" s="2" t="s">
        <v>234</v>
      </c>
      <c r="R410" s="2" t="s">
        <v>235</v>
      </c>
      <c r="S410" s="2" t="s">
        <v>1989</v>
      </c>
      <c r="T410" s="2" t="s">
        <v>1990</v>
      </c>
      <c r="U410" s="2" t="s">
        <v>807</v>
      </c>
      <c r="V410" s="2" t="s">
        <v>238</v>
      </c>
      <c r="W410" s="2" t="s">
        <v>239</v>
      </c>
      <c r="X410" s="2" t="s">
        <v>1596</v>
      </c>
      <c r="Y410" s="2" t="s">
        <v>1243</v>
      </c>
      <c r="Z410" s="4">
        <v>466</v>
      </c>
      <c r="AA410" s="4">
        <f>=ROUNDDOWN(466,0)</f>
      </c>
      <c r="AB410" s="5">
        <v>1</v>
      </c>
      <c r="AC410" s="2" t="s">
        <v>235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235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235</v>
      </c>
      <c r="AW410" s="8" t="s">
        <v>235</v>
      </c>
      <c r="AX410" s="4" t="s">
        <v>235</v>
      </c>
      <c r="AY410" s="8" t="s">
        <v>235</v>
      </c>
      <c r="AZ410" s="7" t="s">
        <v>235</v>
      </c>
      <c r="BA410" s="7" t="s">
        <v>235</v>
      </c>
      <c r="BB410" s="7"/>
      <c r="BC410" s="4" t="s">
        <v>235</v>
      </c>
      <c r="BD410" s="8" t="s">
        <v>235</v>
      </c>
      <c r="BE410" s="4" t="s">
        <v>235</v>
      </c>
      <c r="BF410" s="8" t="s">
        <v>235</v>
      </c>
      <c r="BG410" s="7" t="s">
        <v>235</v>
      </c>
      <c r="BH410" s="7" t="s">
        <v>235</v>
      </c>
      <c r="BI410" s="7"/>
      <c r="BJ410" s="4">
        <v>3</v>
      </c>
      <c r="BK410" s="8">
        <v>10.66</v>
      </c>
      <c r="BL410" s="2" t="s">
        <v>1991</v>
      </c>
      <c r="BM410" s="7"/>
      <c r="BN410" s="7"/>
      <c r="BO410" s="4"/>
      <c r="BP410" s="8"/>
      <c r="BQ410" s="4"/>
      <c r="BR410" s="8"/>
      <c r="BS410" s="7"/>
      <c r="BT410" s="7"/>
      <c r="BU410" s="2" t="s">
        <v>1992</v>
      </c>
      <c r="BV410" s="2" t="s">
        <v>243</v>
      </c>
      <c r="BW410" s="2" t="s">
        <v>235</v>
      </c>
      <c r="BX410" s="2" t="s">
        <v>414</v>
      </c>
      <c r="BY410" s="2" t="s">
        <v>245</v>
      </c>
      <c r="BZ410" s="2" t="s">
        <v>232</v>
      </c>
      <c r="CA410" s="2" t="s">
        <v>475</v>
      </c>
      <c r="CB410" s="2" t="s">
        <v>1993</v>
      </c>
      <c r="CC410" s="2" t="s">
        <v>248</v>
      </c>
      <c r="CD410" s="2" t="s">
        <v>248</v>
      </c>
      <c r="CE410" s="2" t="s">
        <v>235</v>
      </c>
      <c r="CF410" s="4">
        <v>466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>
        <v>466</v>
      </c>
      <c r="GE410" s="4">
        <v>464</v>
      </c>
      <c r="GF410" s="4">
        <v>462</v>
      </c>
      <c r="GG410" s="4">
        <v>460</v>
      </c>
      <c r="GH410" s="4">
        <v>458</v>
      </c>
      <c r="GI410" s="4">
        <v>456</v>
      </c>
      <c r="GJ410" s="4">
        <v>454</v>
      </c>
      <c r="GK410" s="4">
        <v>452</v>
      </c>
      <c r="GL410" s="4">
        <v>450</v>
      </c>
      <c r="GM410" s="4">
        <v>448</v>
      </c>
      <c r="GN410" s="4">
        <v>446</v>
      </c>
      <c r="GO410" s="4">
        <v>443</v>
      </c>
      <c r="GP410" s="4">
        <v>441</v>
      </c>
      <c r="GQ410" s="4">
        <v>435</v>
      </c>
      <c r="GR410" s="4">
        <v>430</v>
      </c>
      <c r="GS410" s="4">
        <v>426</v>
      </c>
      <c r="GT410" s="4">
        <v>424</v>
      </c>
      <c r="GU410" s="4">
        <v>423</v>
      </c>
      <c r="GV410" s="4">
        <v>421</v>
      </c>
      <c r="GW410" s="4">
        <v>419</v>
      </c>
      <c r="GX410" s="4">
        <v>417</v>
      </c>
      <c r="GY410" s="4">
        <v>415</v>
      </c>
      <c r="GZ410" s="4">
        <v>413</v>
      </c>
      <c r="HA410" s="4">
        <v>412</v>
      </c>
      <c r="HB410" s="4">
        <v>411</v>
      </c>
      <c r="HC410" s="4">
        <v>410</v>
      </c>
      <c r="HD410" s="19">
        <v>233</v>
      </c>
      <c r="HE410" s="19">
        <v>232</v>
      </c>
      <c r="HF410" s="19">
        <v>231</v>
      </c>
      <c r="HG410" s="19">
        <v>230</v>
      </c>
      <c r="HH410" s="19">
        <v>229</v>
      </c>
      <c r="HI410" s="19">
        <v>228</v>
      </c>
      <c r="HJ410" s="19">
        <v>227</v>
      </c>
      <c r="HK410" s="19">
        <v>226</v>
      </c>
      <c r="HL410" s="19">
        <v>225</v>
      </c>
      <c r="HM410" s="19">
        <v>149.3</v>
      </c>
      <c r="HN410" s="19">
        <v>111.5</v>
      </c>
      <c r="HO410" s="19">
        <v>110.8</v>
      </c>
      <c r="HP410" s="19">
        <v>110.3</v>
      </c>
      <c r="HQ410" s="19">
        <v>145</v>
      </c>
      <c r="HR410" s="19">
        <v>215</v>
      </c>
      <c r="HS410" s="19">
        <v>213</v>
      </c>
      <c r="HT410" s="19">
        <v>212</v>
      </c>
      <c r="HU410" s="19">
        <v>211.5</v>
      </c>
      <c r="HV410" s="19">
        <v>210.5</v>
      </c>
      <c r="HW410" s="19">
        <v>209.5</v>
      </c>
      <c r="HX410" s="19">
        <v>208.5</v>
      </c>
      <c r="HY410" s="19">
        <v>415</v>
      </c>
      <c r="HZ410" s="19">
        <v>413</v>
      </c>
      <c r="IA410" s="19">
        <v>412</v>
      </c>
      <c r="IB410" s="19">
        <v>205.5</v>
      </c>
      <c r="IC410" s="19">
        <v>205</v>
      </c>
    </row>
    <row r="411">
      <c r="A411" s="2" t="s">
        <v>1994</v>
      </c>
      <c r="B411" s="2" t="s">
        <v>905</v>
      </c>
      <c r="C411" s="2" t="s">
        <v>893</v>
      </c>
      <c r="D411" s="2" t="s">
        <v>274</v>
      </c>
      <c r="E411" s="2" t="s">
        <v>275</v>
      </c>
      <c r="F411" s="2" t="s">
        <v>1986</v>
      </c>
      <c r="G411" s="2" t="s">
        <v>1986</v>
      </c>
      <c r="H411" s="2" t="s">
        <v>1986</v>
      </c>
      <c r="I411" s="2" t="s">
        <v>1995</v>
      </c>
      <c r="J411" s="2" t="s">
        <v>1542</v>
      </c>
      <c r="K411" s="2" t="s">
        <v>1196</v>
      </c>
      <c r="L411" s="3">
        <v>12.96</v>
      </c>
      <c r="M411" s="3">
        <v>13.61</v>
      </c>
      <c r="N411" s="3">
        <v>26.99</v>
      </c>
      <c r="O411" s="2" t="s">
        <v>407</v>
      </c>
      <c r="P411" s="2" t="s">
        <v>408</v>
      </c>
      <c r="Q411" s="2" t="s">
        <v>234</v>
      </c>
      <c r="R411" s="2" t="s">
        <v>235</v>
      </c>
      <c r="S411" s="2" t="s">
        <v>1989</v>
      </c>
      <c r="T411" s="2" t="s">
        <v>1990</v>
      </c>
      <c r="U411" s="2" t="s">
        <v>807</v>
      </c>
      <c r="V411" s="2" t="s">
        <v>238</v>
      </c>
      <c r="W411" s="2" t="s">
        <v>239</v>
      </c>
      <c r="X411" s="2" t="s">
        <v>1596</v>
      </c>
      <c r="Y411" s="2" t="s">
        <v>1243</v>
      </c>
      <c r="Z411" s="4">
        <v>664</v>
      </c>
      <c r="AA411" s="4">
        <f>=ROUNDDOWN(332,0)</f>
      </c>
      <c r="AB411" s="5">
        <v>2</v>
      </c>
      <c r="AC411" s="2" t="s">
        <v>235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235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235</v>
      </c>
      <c r="AW411" s="8" t="s">
        <v>235</v>
      </c>
      <c r="AX411" s="4" t="s">
        <v>235</v>
      </c>
      <c r="AY411" s="8" t="s">
        <v>235</v>
      </c>
      <c r="AZ411" s="7" t="s">
        <v>235</v>
      </c>
      <c r="BA411" s="7" t="s">
        <v>235</v>
      </c>
      <c r="BB411" s="7"/>
      <c r="BC411" s="4" t="s">
        <v>235</v>
      </c>
      <c r="BD411" s="8" t="s">
        <v>235</v>
      </c>
      <c r="BE411" s="4" t="s">
        <v>235</v>
      </c>
      <c r="BF411" s="8" t="s">
        <v>235</v>
      </c>
      <c r="BG411" s="7" t="s">
        <v>235</v>
      </c>
      <c r="BH411" s="7" t="s">
        <v>235</v>
      </c>
      <c r="BI411" s="7"/>
      <c r="BJ411" s="4">
        <v>7</v>
      </c>
      <c r="BK411" s="8">
        <v>175.63</v>
      </c>
      <c r="BL411" s="2" t="s">
        <v>1991</v>
      </c>
      <c r="BM411" s="7"/>
      <c r="BN411" s="7"/>
      <c r="BO411" s="4"/>
      <c r="BP411" s="8"/>
      <c r="BQ411" s="4"/>
      <c r="BR411" s="8"/>
      <c r="BS411" s="7"/>
      <c r="BT411" s="7"/>
      <c r="BU411" s="2" t="s">
        <v>1996</v>
      </c>
      <c r="BV411" s="2" t="s">
        <v>243</v>
      </c>
      <c r="BW411" s="2" t="s">
        <v>235</v>
      </c>
      <c r="BX411" s="2" t="s">
        <v>414</v>
      </c>
      <c r="BY411" s="2" t="s">
        <v>245</v>
      </c>
      <c r="BZ411" s="2" t="s">
        <v>232</v>
      </c>
      <c r="CA411" s="2" t="s">
        <v>475</v>
      </c>
      <c r="CB411" s="2" t="s">
        <v>1997</v>
      </c>
      <c r="CC411" s="2" t="s">
        <v>248</v>
      </c>
      <c r="CD411" s="2" t="s">
        <v>248</v>
      </c>
      <c r="CE411" s="2" t="s">
        <v>235</v>
      </c>
      <c r="CF411" s="4">
        <v>664</v>
      </c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>
        <v>664</v>
      </c>
      <c r="GE411" s="4">
        <v>646</v>
      </c>
      <c r="GF411" s="4">
        <v>642</v>
      </c>
      <c r="GG411" s="4">
        <v>638</v>
      </c>
      <c r="GH411" s="4">
        <v>633</v>
      </c>
      <c r="GI411" s="4">
        <v>629</v>
      </c>
      <c r="GJ411" s="4">
        <v>621</v>
      </c>
      <c r="GK411" s="4">
        <v>614</v>
      </c>
      <c r="GL411" s="4">
        <v>608</v>
      </c>
      <c r="GM411" s="4">
        <v>604</v>
      </c>
      <c r="GN411" s="4">
        <v>601</v>
      </c>
      <c r="GO411" s="4">
        <v>596</v>
      </c>
      <c r="GP411" s="4">
        <v>592</v>
      </c>
      <c r="GQ411" s="4">
        <v>584</v>
      </c>
      <c r="GR411" s="4">
        <v>577</v>
      </c>
      <c r="GS411" s="4">
        <v>571</v>
      </c>
      <c r="GT411" s="4">
        <v>568</v>
      </c>
      <c r="GU411" s="4">
        <v>566</v>
      </c>
      <c r="GV411" s="4">
        <v>563</v>
      </c>
      <c r="GW411" s="4">
        <v>560</v>
      </c>
      <c r="GX411" s="4">
        <v>556</v>
      </c>
      <c r="GY411" s="4">
        <v>552</v>
      </c>
      <c r="GZ411" s="4">
        <v>548</v>
      </c>
      <c r="HA411" s="4">
        <v>545</v>
      </c>
      <c r="HB411" s="4">
        <v>542</v>
      </c>
      <c r="HC411" s="4">
        <v>539</v>
      </c>
      <c r="HD411" s="19">
        <v>83</v>
      </c>
      <c r="HE411" s="19">
        <v>161.5</v>
      </c>
      <c r="HF411" s="19">
        <v>128.4</v>
      </c>
      <c r="HG411" s="19">
        <v>106.3</v>
      </c>
      <c r="HH411" s="19">
        <v>105.5</v>
      </c>
      <c r="HI411" s="19">
        <v>104.8</v>
      </c>
      <c r="HJ411" s="19">
        <v>124.2</v>
      </c>
      <c r="HK411" s="19">
        <v>153.5</v>
      </c>
      <c r="HL411" s="19">
        <v>152</v>
      </c>
      <c r="HM411" s="19">
        <v>120.8</v>
      </c>
      <c r="HN411" s="19">
        <v>100.2</v>
      </c>
      <c r="HO411" s="19">
        <v>99.3</v>
      </c>
      <c r="HP411" s="19">
        <v>98.7</v>
      </c>
      <c r="HQ411" s="19">
        <v>146</v>
      </c>
      <c r="HR411" s="19">
        <v>144.3</v>
      </c>
      <c r="HS411" s="19">
        <v>190.3</v>
      </c>
      <c r="HT411" s="19">
        <v>189.3</v>
      </c>
      <c r="HU411" s="19">
        <v>141.5</v>
      </c>
      <c r="HV411" s="19">
        <v>140.8</v>
      </c>
      <c r="HW411" s="19">
        <v>140</v>
      </c>
      <c r="HX411" s="19">
        <v>139</v>
      </c>
      <c r="HY411" s="19">
        <v>184</v>
      </c>
      <c r="HZ411" s="19">
        <v>182.7</v>
      </c>
      <c r="IA411" s="19">
        <v>181.7</v>
      </c>
      <c r="IB411" s="19">
        <v>135.5</v>
      </c>
      <c r="IC411" s="19">
        <v>134.8</v>
      </c>
    </row>
    <row r="412">
      <c r="A412" s="2" t="s">
        <v>1998</v>
      </c>
      <c r="B412" s="2" t="s">
        <v>905</v>
      </c>
      <c r="C412" s="2" t="s">
        <v>893</v>
      </c>
      <c r="D412" s="2" t="s">
        <v>274</v>
      </c>
      <c r="E412" s="2" t="s">
        <v>275</v>
      </c>
      <c r="F412" s="2" t="s">
        <v>1986</v>
      </c>
      <c r="G412" s="2" t="s">
        <v>1986</v>
      </c>
      <c r="H412" s="2" t="s">
        <v>1986</v>
      </c>
      <c r="I412" s="2" t="s">
        <v>1999</v>
      </c>
      <c r="J412" s="2" t="s">
        <v>2000</v>
      </c>
      <c r="K412" s="2" t="s">
        <v>1196</v>
      </c>
      <c r="L412" s="3">
        <v>18.4</v>
      </c>
      <c r="M412" s="3">
        <v>19.32</v>
      </c>
      <c r="N412" s="3">
        <v>39.99</v>
      </c>
      <c r="O412" s="2" t="s">
        <v>407</v>
      </c>
      <c r="P412" s="2" t="s">
        <v>408</v>
      </c>
      <c r="Q412" s="2" t="s">
        <v>234</v>
      </c>
      <c r="R412" s="2" t="s">
        <v>235</v>
      </c>
      <c r="S412" s="2" t="s">
        <v>1989</v>
      </c>
      <c r="T412" s="2" t="s">
        <v>1990</v>
      </c>
      <c r="U412" s="2" t="s">
        <v>807</v>
      </c>
      <c r="V412" s="2" t="s">
        <v>238</v>
      </c>
      <c r="W412" s="2" t="s">
        <v>239</v>
      </c>
      <c r="X412" s="2" t="s">
        <v>1596</v>
      </c>
      <c r="Y412" s="2" t="s">
        <v>1243</v>
      </c>
      <c r="Z412" s="4">
        <v>304</v>
      </c>
      <c r="AA412" s="4">
        <f>=ROUNDDOWN(101.333333333333,0)</f>
      </c>
      <c r="AB412" s="5">
        <v>3</v>
      </c>
      <c r="AC412" s="2" t="s">
        <v>235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235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235</v>
      </c>
      <c r="AW412" s="8" t="s">
        <v>235</v>
      </c>
      <c r="AX412" s="4" t="s">
        <v>235</v>
      </c>
      <c r="AY412" s="8" t="s">
        <v>235</v>
      </c>
      <c r="AZ412" s="7" t="s">
        <v>235</v>
      </c>
      <c r="BA412" s="7" t="s">
        <v>235</v>
      </c>
      <c r="BB412" s="7"/>
      <c r="BC412" s="4" t="s">
        <v>235</v>
      </c>
      <c r="BD412" s="8" t="s">
        <v>235</v>
      </c>
      <c r="BE412" s="4" t="s">
        <v>235</v>
      </c>
      <c r="BF412" s="8" t="s">
        <v>235</v>
      </c>
      <c r="BG412" s="7" t="s">
        <v>235</v>
      </c>
      <c r="BH412" s="7" t="s">
        <v>235</v>
      </c>
      <c r="BI412" s="7"/>
      <c r="BJ412" s="4">
        <v>3</v>
      </c>
      <c r="BK412" s="8">
        <v>38.25</v>
      </c>
      <c r="BL412" s="2" t="s">
        <v>2001</v>
      </c>
      <c r="BM412" s="7"/>
      <c r="BN412" s="7"/>
      <c r="BO412" s="4"/>
      <c r="BP412" s="8"/>
      <c r="BQ412" s="4"/>
      <c r="BR412" s="8"/>
      <c r="BS412" s="7"/>
      <c r="BT412" s="7"/>
      <c r="BU412" s="2" t="s">
        <v>1996</v>
      </c>
      <c r="BV412" s="2" t="s">
        <v>243</v>
      </c>
      <c r="BW412" s="2" t="s">
        <v>235</v>
      </c>
      <c r="BX412" s="2" t="s">
        <v>414</v>
      </c>
      <c r="BY412" s="2" t="s">
        <v>245</v>
      </c>
      <c r="BZ412" s="2" t="s">
        <v>232</v>
      </c>
      <c r="CA412" s="2" t="s">
        <v>475</v>
      </c>
      <c r="CB412" s="2" t="s">
        <v>2002</v>
      </c>
      <c r="CC412" s="2" t="s">
        <v>248</v>
      </c>
      <c r="CD412" s="2" t="s">
        <v>248</v>
      </c>
      <c r="CE412" s="2" t="s">
        <v>235</v>
      </c>
      <c r="CF412" s="4">
        <v>304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>
        <v>304</v>
      </c>
      <c r="GE412" s="4">
        <v>285</v>
      </c>
      <c r="GF412" s="4">
        <v>280</v>
      </c>
      <c r="GG412" s="4">
        <v>275</v>
      </c>
      <c r="GH412" s="4">
        <v>269</v>
      </c>
      <c r="GI412" s="4">
        <v>264</v>
      </c>
      <c r="GJ412" s="4">
        <v>255</v>
      </c>
      <c r="GK412" s="4">
        <v>247</v>
      </c>
      <c r="GL412" s="4">
        <v>240</v>
      </c>
      <c r="GM412" s="4">
        <v>235</v>
      </c>
      <c r="GN412" s="4">
        <v>230</v>
      </c>
      <c r="GO412" s="4">
        <v>223</v>
      </c>
      <c r="GP412" s="4">
        <v>216</v>
      </c>
      <c r="GQ412" s="4">
        <v>203</v>
      </c>
      <c r="GR412" s="4">
        <v>192</v>
      </c>
      <c r="GS412" s="4">
        <v>181</v>
      </c>
      <c r="GT412" s="4">
        <v>176</v>
      </c>
      <c r="GU412" s="4">
        <v>173</v>
      </c>
      <c r="GV412" s="4">
        <v>169</v>
      </c>
      <c r="GW412" s="4">
        <v>165</v>
      </c>
      <c r="GX412" s="4">
        <v>160</v>
      </c>
      <c r="GY412" s="4">
        <v>155</v>
      </c>
      <c r="GZ412" s="4">
        <v>150</v>
      </c>
      <c r="HA412" s="4">
        <v>146</v>
      </c>
      <c r="HB412" s="4">
        <v>142</v>
      </c>
      <c r="HC412" s="4">
        <v>138</v>
      </c>
      <c r="HD412" s="19">
        <v>33.8</v>
      </c>
      <c r="HE412" s="19">
        <v>57</v>
      </c>
      <c r="HF412" s="19">
        <v>46.7</v>
      </c>
      <c r="HG412" s="19">
        <v>39.3</v>
      </c>
      <c r="HH412" s="19">
        <v>38.4</v>
      </c>
      <c r="HI412" s="19">
        <v>37.7</v>
      </c>
      <c r="HJ412" s="19">
        <v>42.5</v>
      </c>
      <c r="HK412" s="19">
        <v>41.2</v>
      </c>
      <c r="HL412" s="19">
        <v>40</v>
      </c>
      <c r="HM412" s="19">
        <v>29.4</v>
      </c>
      <c r="HN412" s="19">
        <v>23</v>
      </c>
      <c r="HO412" s="19">
        <v>22.3</v>
      </c>
      <c r="HP412" s="19">
        <v>21.6</v>
      </c>
      <c r="HQ412" s="19">
        <v>25.4</v>
      </c>
      <c r="HR412" s="19">
        <v>32</v>
      </c>
      <c r="HS412" s="19">
        <v>45.3</v>
      </c>
      <c r="HT412" s="19">
        <v>44</v>
      </c>
      <c r="HU412" s="19">
        <v>43.3</v>
      </c>
      <c r="HV412" s="19">
        <v>33.8</v>
      </c>
      <c r="HW412" s="19">
        <v>33</v>
      </c>
      <c r="HX412" s="19">
        <v>40</v>
      </c>
      <c r="HY412" s="19">
        <v>38.8</v>
      </c>
      <c r="HZ412" s="19">
        <v>37.5</v>
      </c>
      <c r="IA412" s="19">
        <v>36.5</v>
      </c>
      <c r="IB412" s="19">
        <v>28.4</v>
      </c>
      <c r="IC412" s="19">
        <v>23</v>
      </c>
    </row>
    <row r="413">
      <c r="A413" s="2" t="s">
        <v>2003</v>
      </c>
      <c r="B413" s="2" t="s">
        <v>905</v>
      </c>
      <c r="C413" s="2" t="s">
        <v>893</v>
      </c>
      <c r="D413" s="2" t="s">
        <v>274</v>
      </c>
      <c r="E413" s="2" t="s">
        <v>275</v>
      </c>
      <c r="F413" s="2" t="s">
        <v>1986</v>
      </c>
      <c r="G413" s="2" t="s">
        <v>1986</v>
      </c>
      <c r="H413" s="2" t="s">
        <v>1986</v>
      </c>
      <c r="I413" s="2" t="s">
        <v>1987</v>
      </c>
      <c r="J413" s="2" t="s">
        <v>1988</v>
      </c>
      <c r="K413" s="2" t="s">
        <v>292</v>
      </c>
      <c r="L413" s="3">
        <v>10.58</v>
      </c>
      <c r="M413" s="3">
        <v>11.11</v>
      </c>
      <c r="N413" s="3">
        <v>22.99</v>
      </c>
      <c r="O413" s="2" t="s">
        <v>407</v>
      </c>
      <c r="P413" s="2" t="s">
        <v>408</v>
      </c>
      <c r="Q413" s="2" t="s">
        <v>234</v>
      </c>
      <c r="R413" s="2" t="s">
        <v>235</v>
      </c>
      <c r="S413" s="2" t="s">
        <v>2004</v>
      </c>
      <c r="T413" s="2" t="s">
        <v>1990</v>
      </c>
      <c r="U413" s="2" t="s">
        <v>807</v>
      </c>
      <c r="V413" s="2" t="s">
        <v>238</v>
      </c>
      <c r="W413" s="2" t="s">
        <v>239</v>
      </c>
      <c r="X413" s="2" t="s">
        <v>1596</v>
      </c>
      <c r="Y413" s="2" t="s">
        <v>2005</v>
      </c>
      <c r="Z413" s="4">
        <v>235</v>
      </c>
      <c r="AA413" s="4">
        <f>=ROUNDDOWN(123.684210526316,0)</f>
      </c>
      <c r="AB413" s="5">
        <v>1.9</v>
      </c>
      <c r="AC413" s="2" t="s">
        <v>235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235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235</v>
      </c>
      <c r="AW413" s="8" t="s">
        <v>235</v>
      </c>
      <c r="AX413" s="4" t="s">
        <v>235</v>
      </c>
      <c r="AY413" s="8" t="s">
        <v>235</v>
      </c>
      <c r="AZ413" s="7" t="s">
        <v>235</v>
      </c>
      <c r="BA413" s="7" t="s">
        <v>235</v>
      </c>
      <c r="BB413" s="7"/>
      <c r="BC413" s="4" t="s">
        <v>235</v>
      </c>
      <c r="BD413" s="8" t="s">
        <v>235</v>
      </c>
      <c r="BE413" s="4" t="s">
        <v>235</v>
      </c>
      <c r="BF413" s="8" t="s">
        <v>235</v>
      </c>
      <c r="BG413" s="7" t="s">
        <v>235</v>
      </c>
      <c r="BH413" s="7" t="s">
        <v>235</v>
      </c>
      <c r="BI413" s="7"/>
      <c r="BJ413" s="4">
        <v>13</v>
      </c>
      <c r="BK413" s="8">
        <v>73.16</v>
      </c>
      <c r="BL413" s="2" t="s">
        <v>2006</v>
      </c>
      <c r="BM413" s="7"/>
      <c r="BN413" s="7"/>
      <c r="BO413" s="4"/>
      <c r="BP413" s="8"/>
      <c r="BQ413" s="4"/>
      <c r="BR413" s="8"/>
      <c r="BS413" s="7"/>
      <c r="BT413" s="7"/>
      <c r="BU413" s="2" t="s">
        <v>1992</v>
      </c>
      <c r="BV413" s="2" t="s">
        <v>243</v>
      </c>
      <c r="BW413" s="2" t="s">
        <v>235</v>
      </c>
      <c r="BX413" s="2" t="s">
        <v>414</v>
      </c>
      <c r="BY413" s="2" t="s">
        <v>245</v>
      </c>
      <c r="BZ413" s="2" t="s">
        <v>232</v>
      </c>
      <c r="CA413" s="2" t="s">
        <v>2007</v>
      </c>
      <c r="CB413" s="2" t="s">
        <v>2008</v>
      </c>
      <c r="CC413" s="2" t="s">
        <v>492</v>
      </c>
      <c r="CD413" s="2" t="s">
        <v>248</v>
      </c>
      <c r="CE413" s="2" t="s">
        <v>235</v>
      </c>
      <c r="CF413" s="4">
        <v>139</v>
      </c>
      <c r="CG413" s="4"/>
      <c r="CH413" s="4"/>
      <c r="CI413" s="4">
        <v>96</v>
      </c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>
        <v>238</v>
      </c>
      <c r="GE413" s="4">
        <v>233</v>
      </c>
      <c r="GF413" s="4">
        <v>230</v>
      </c>
      <c r="GG413" s="4">
        <v>227</v>
      </c>
      <c r="GH413" s="4">
        <v>224</v>
      </c>
      <c r="GI413" s="4">
        <v>221</v>
      </c>
      <c r="GJ413" s="4">
        <v>218</v>
      </c>
      <c r="GK413" s="4">
        <v>215</v>
      </c>
      <c r="GL413" s="4">
        <v>212</v>
      </c>
      <c r="GM413" s="4">
        <v>209</v>
      </c>
      <c r="GN413" s="4">
        <v>205</v>
      </c>
      <c r="GO413" s="4">
        <v>200</v>
      </c>
      <c r="GP413" s="4">
        <v>195</v>
      </c>
      <c r="GQ413" s="4">
        <v>184</v>
      </c>
      <c r="GR413" s="4">
        <v>175</v>
      </c>
      <c r="GS413" s="4">
        <v>166</v>
      </c>
      <c r="GT413" s="4">
        <v>162</v>
      </c>
      <c r="GU413" s="4">
        <v>160</v>
      </c>
      <c r="GV413" s="4">
        <v>157</v>
      </c>
      <c r="GW413" s="4">
        <v>154</v>
      </c>
      <c r="GX413" s="4">
        <v>151</v>
      </c>
      <c r="GY413" s="4">
        <v>148</v>
      </c>
      <c r="GZ413" s="4">
        <v>145</v>
      </c>
      <c r="HA413" s="4">
        <v>143</v>
      </c>
      <c r="HB413" s="4">
        <v>141</v>
      </c>
      <c r="HC413" s="4">
        <v>139</v>
      </c>
      <c r="HD413" s="19">
        <v>59.5</v>
      </c>
      <c r="HE413" s="19">
        <v>77.7</v>
      </c>
      <c r="HF413" s="19">
        <v>76.7</v>
      </c>
      <c r="HG413" s="19">
        <v>75.7</v>
      </c>
      <c r="HH413" s="19">
        <v>74.7</v>
      </c>
      <c r="HI413" s="19">
        <v>73.7</v>
      </c>
      <c r="HJ413" s="19">
        <v>72.7</v>
      </c>
      <c r="HK413" s="19">
        <v>53.8</v>
      </c>
      <c r="HL413" s="19">
        <v>53</v>
      </c>
      <c r="HM413" s="19">
        <v>34.8</v>
      </c>
      <c r="HN413" s="19">
        <v>25.6</v>
      </c>
      <c r="HO413" s="19">
        <v>25</v>
      </c>
      <c r="HP413" s="19">
        <v>24.4</v>
      </c>
      <c r="HQ413" s="19">
        <v>30.7</v>
      </c>
      <c r="HR413" s="19">
        <v>43.8</v>
      </c>
      <c r="HS413" s="19">
        <v>55.3</v>
      </c>
      <c r="HT413" s="19">
        <v>54</v>
      </c>
      <c r="HU413" s="19">
        <v>53.3</v>
      </c>
      <c r="HV413" s="19">
        <v>52.3</v>
      </c>
      <c r="HW413" s="19">
        <v>51.3</v>
      </c>
      <c r="HX413" s="19">
        <v>75.5</v>
      </c>
      <c r="HY413" s="19">
        <v>74</v>
      </c>
      <c r="HZ413" s="19">
        <v>72.5</v>
      </c>
      <c r="IA413" s="19">
        <v>71.5</v>
      </c>
      <c r="IB413" s="19">
        <v>47</v>
      </c>
      <c r="IC413" s="19">
        <v>34.8</v>
      </c>
    </row>
    <row r="414">
      <c r="A414" s="2" t="s">
        <v>2009</v>
      </c>
      <c r="B414" s="2" t="s">
        <v>905</v>
      </c>
      <c r="C414" s="2" t="s">
        <v>893</v>
      </c>
      <c r="D414" s="2" t="s">
        <v>274</v>
      </c>
      <c r="E414" s="2" t="s">
        <v>275</v>
      </c>
      <c r="F414" s="2" t="s">
        <v>1986</v>
      </c>
      <c r="G414" s="2" t="s">
        <v>1986</v>
      </c>
      <c r="H414" s="2" t="s">
        <v>1986</v>
      </c>
      <c r="I414" s="2" t="s">
        <v>1995</v>
      </c>
      <c r="J414" s="2" t="s">
        <v>1542</v>
      </c>
      <c r="K414" s="2" t="s">
        <v>292</v>
      </c>
      <c r="L414" s="3">
        <v>14.4</v>
      </c>
      <c r="M414" s="3">
        <v>15.12</v>
      </c>
      <c r="N414" s="3">
        <v>29.99</v>
      </c>
      <c r="O414" s="2" t="s">
        <v>407</v>
      </c>
      <c r="P414" s="2" t="s">
        <v>408</v>
      </c>
      <c r="Q414" s="2" t="s">
        <v>234</v>
      </c>
      <c r="R414" s="2" t="s">
        <v>235</v>
      </c>
      <c r="S414" s="2" t="s">
        <v>2004</v>
      </c>
      <c r="T414" s="2" t="s">
        <v>1990</v>
      </c>
      <c r="U414" s="2" t="s">
        <v>807</v>
      </c>
      <c r="V414" s="2" t="s">
        <v>238</v>
      </c>
      <c r="W414" s="2" t="s">
        <v>239</v>
      </c>
      <c r="X414" s="2" t="s">
        <v>1596</v>
      </c>
      <c r="Y414" s="2" t="s">
        <v>2010</v>
      </c>
      <c r="Z414" s="4">
        <v>212</v>
      </c>
      <c r="AA414" s="4">
        <f>=ROUNDDOWN(106,0)</f>
      </c>
      <c r="AB414" s="5">
        <v>2</v>
      </c>
      <c r="AC414" s="2" t="s">
        <v>235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235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235</v>
      </c>
      <c r="AW414" s="8" t="s">
        <v>235</v>
      </c>
      <c r="AX414" s="4" t="s">
        <v>235</v>
      </c>
      <c r="AY414" s="8" t="s">
        <v>235</v>
      </c>
      <c r="AZ414" s="7" t="s">
        <v>235</v>
      </c>
      <c r="BA414" s="7" t="s">
        <v>235</v>
      </c>
      <c r="BB414" s="7"/>
      <c r="BC414" s="4" t="s">
        <v>235</v>
      </c>
      <c r="BD414" s="8" t="s">
        <v>235</v>
      </c>
      <c r="BE414" s="4" t="s">
        <v>235</v>
      </c>
      <c r="BF414" s="8" t="s">
        <v>235</v>
      </c>
      <c r="BG414" s="7" t="s">
        <v>235</v>
      </c>
      <c r="BH414" s="7" t="s">
        <v>235</v>
      </c>
      <c r="BI414" s="7"/>
      <c r="BJ414" s="4">
        <v>11</v>
      </c>
      <c r="BK414" s="8">
        <v>169.72</v>
      </c>
      <c r="BL414" s="2" t="s">
        <v>1991</v>
      </c>
      <c r="BM414" s="7"/>
      <c r="BN414" s="7"/>
      <c r="BO414" s="4"/>
      <c r="BP414" s="8"/>
      <c r="BQ414" s="4"/>
      <c r="BR414" s="8"/>
      <c r="BS414" s="7"/>
      <c r="BT414" s="7"/>
      <c r="BU414" s="2" t="s">
        <v>1996</v>
      </c>
      <c r="BV414" s="2" t="s">
        <v>243</v>
      </c>
      <c r="BW414" s="2" t="s">
        <v>235</v>
      </c>
      <c r="BX414" s="2" t="s">
        <v>414</v>
      </c>
      <c r="BY414" s="2" t="s">
        <v>245</v>
      </c>
      <c r="BZ414" s="2" t="s">
        <v>232</v>
      </c>
      <c r="CA414" s="2" t="s">
        <v>2011</v>
      </c>
      <c r="CB414" s="2" t="s">
        <v>2012</v>
      </c>
      <c r="CC414" s="2" t="s">
        <v>248</v>
      </c>
      <c r="CD414" s="2" t="s">
        <v>248</v>
      </c>
      <c r="CE414" s="2" t="s">
        <v>235</v>
      </c>
      <c r="CF414" s="4">
        <v>212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>
        <v>212</v>
      </c>
      <c r="GE414" s="4">
        <v>209</v>
      </c>
      <c r="GF414" s="4">
        <v>206</v>
      </c>
      <c r="GG414" s="4">
        <v>203</v>
      </c>
      <c r="GH414" s="4">
        <v>200</v>
      </c>
      <c r="GI414" s="4">
        <v>197</v>
      </c>
      <c r="GJ414" s="4">
        <v>194</v>
      </c>
      <c r="GK414" s="4">
        <v>191</v>
      </c>
      <c r="GL414" s="4">
        <v>188</v>
      </c>
      <c r="GM414" s="4">
        <v>185</v>
      </c>
      <c r="GN414" s="4">
        <v>181</v>
      </c>
      <c r="GO414" s="4">
        <v>176</v>
      </c>
      <c r="GP414" s="4">
        <v>171</v>
      </c>
      <c r="GQ414" s="4">
        <v>160</v>
      </c>
      <c r="GR414" s="4">
        <v>151</v>
      </c>
      <c r="GS414" s="4">
        <v>142</v>
      </c>
      <c r="GT414" s="4">
        <v>138</v>
      </c>
      <c r="GU414" s="4">
        <v>136</v>
      </c>
      <c r="GV414" s="4">
        <v>133</v>
      </c>
      <c r="GW414" s="4">
        <v>130</v>
      </c>
      <c r="GX414" s="4">
        <v>127</v>
      </c>
      <c r="GY414" s="4">
        <v>124</v>
      </c>
      <c r="GZ414" s="4">
        <v>121</v>
      </c>
      <c r="HA414" s="4">
        <v>119</v>
      </c>
      <c r="HB414" s="4">
        <v>117</v>
      </c>
      <c r="HC414" s="4">
        <v>115</v>
      </c>
      <c r="HD414" s="19">
        <v>70.7</v>
      </c>
      <c r="HE414" s="19">
        <v>69.7</v>
      </c>
      <c r="HF414" s="19">
        <v>68.7</v>
      </c>
      <c r="HG414" s="19">
        <v>67.7</v>
      </c>
      <c r="HH414" s="19">
        <v>66.7</v>
      </c>
      <c r="HI414" s="19">
        <v>65.7</v>
      </c>
      <c r="HJ414" s="19">
        <v>64.7</v>
      </c>
      <c r="HK414" s="19">
        <v>47.8</v>
      </c>
      <c r="HL414" s="19">
        <v>47</v>
      </c>
      <c r="HM414" s="19">
        <v>30.8</v>
      </c>
      <c r="HN414" s="19">
        <v>22.6</v>
      </c>
      <c r="HO414" s="19">
        <v>22</v>
      </c>
      <c r="HP414" s="19">
        <v>21.4</v>
      </c>
      <c r="HQ414" s="19">
        <v>26.7</v>
      </c>
      <c r="HR414" s="19">
        <v>37.8</v>
      </c>
      <c r="HS414" s="19">
        <v>47.3</v>
      </c>
      <c r="HT414" s="19">
        <v>46</v>
      </c>
      <c r="HU414" s="19">
        <v>45.3</v>
      </c>
      <c r="HV414" s="19">
        <v>44.3</v>
      </c>
      <c r="HW414" s="19">
        <v>43.3</v>
      </c>
      <c r="HX414" s="19">
        <v>63.5</v>
      </c>
      <c r="HY414" s="19">
        <v>62</v>
      </c>
      <c r="HZ414" s="19">
        <v>60.5</v>
      </c>
      <c r="IA414" s="19">
        <v>59.5</v>
      </c>
      <c r="IB414" s="19">
        <v>39</v>
      </c>
      <c r="IC414" s="19">
        <v>28.8</v>
      </c>
    </row>
    <row r="415">
      <c r="A415" s="2" t="s">
        <v>2013</v>
      </c>
      <c r="B415" s="2" t="s">
        <v>905</v>
      </c>
      <c r="C415" s="2" t="s">
        <v>893</v>
      </c>
      <c r="D415" s="2" t="s">
        <v>274</v>
      </c>
      <c r="E415" s="2" t="s">
        <v>275</v>
      </c>
      <c r="F415" s="2" t="s">
        <v>1986</v>
      </c>
      <c r="G415" s="2" t="s">
        <v>1986</v>
      </c>
      <c r="H415" s="2" t="s">
        <v>1986</v>
      </c>
      <c r="I415" s="2" t="s">
        <v>1995</v>
      </c>
      <c r="J415" s="2" t="s">
        <v>1542</v>
      </c>
      <c r="K415" s="2" t="s">
        <v>295</v>
      </c>
      <c r="L415" s="3">
        <v>12.96</v>
      </c>
      <c r="M415" s="3">
        <v>13.61</v>
      </c>
      <c r="N415" s="3">
        <v>26.99</v>
      </c>
      <c r="O415" s="2" t="s">
        <v>407</v>
      </c>
      <c r="P415" s="2" t="s">
        <v>408</v>
      </c>
      <c r="Q415" s="2" t="s">
        <v>234</v>
      </c>
      <c r="R415" s="2" t="s">
        <v>235</v>
      </c>
      <c r="S415" s="2" t="s">
        <v>2014</v>
      </c>
      <c r="T415" s="2" t="s">
        <v>1990</v>
      </c>
      <c r="U415" s="2" t="s">
        <v>235</v>
      </c>
      <c r="V415" s="2" t="s">
        <v>238</v>
      </c>
      <c r="W415" s="2" t="s">
        <v>239</v>
      </c>
      <c r="X415" s="2" t="s">
        <v>1596</v>
      </c>
      <c r="Y415" s="2" t="s">
        <v>240</v>
      </c>
      <c r="Z415" s="4">
        <v>405</v>
      </c>
      <c r="AA415" s="4">
        <f>=ROUNDDOWN(45,0)</f>
      </c>
      <c r="AB415" s="5">
        <v>9</v>
      </c>
      <c r="AC415" s="2" t="s">
        <v>235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235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235</v>
      </c>
      <c r="AW415" s="8" t="s">
        <v>235</v>
      </c>
      <c r="AX415" s="4" t="s">
        <v>235</v>
      </c>
      <c r="AY415" s="8" t="s">
        <v>235</v>
      </c>
      <c r="AZ415" s="7" t="s">
        <v>235</v>
      </c>
      <c r="BA415" s="7" t="s">
        <v>235</v>
      </c>
      <c r="BB415" s="7"/>
      <c r="BC415" s="4" t="s">
        <v>235</v>
      </c>
      <c r="BD415" s="8" t="s">
        <v>235</v>
      </c>
      <c r="BE415" s="4" t="s">
        <v>235</v>
      </c>
      <c r="BF415" s="8" t="s">
        <v>235</v>
      </c>
      <c r="BG415" s="7" t="s">
        <v>235</v>
      </c>
      <c r="BH415" s="7" t="s">
        <v>235</v>
      </c>
      <c r="BI415" s="7"/>
      <c r="BJ415" s="4">
        <v>15</v>
      </c>
      <c r="BK415" s="8">
        <v>220.5</v>
      </c>
      <c r="BL415" s="2" t="s">
        <v>597</v>
      </c>
      <c r="BM415" s="7"/>
      <c r="BN415" s="7"/>
      <c r="BO415" s="4"/>
      <c r="BP415" s="8"/>
      <c r="BQ415" s="4"/>
      <c r="BR415" s="8"/>
      <c r="BS415" s="7"/>
      <c r="BT415" s="7"/>
      <c r="BU415" s="2" t="s">
        <v>1996</v>
      </c>
      <c r="BV415" s="2" t="s">
        <v>243</v>
      </c>
      <c r="BW415" s="2" t="s">
        <v>235</v>
      </c>
      <c r="BX415" s="2" t="s">
        <v>414</v>
      </c>
      <c r="BY415" s="2" t="s">
        <v>245</v>
      </c>
      <c r="BZ415" s="2" t="s">
        <v>232</v>
      </c>
      <c r="CA415" s="2" t="s">
        <v>252</v>
      </c>
      <c r="CB415" s="2" t="s">
        <v>2015</v>
      </c>
      <c r="CC415" s="2" t="s">
        <v>248</v>
      </c>
      <c r="CD415" s="2" t="s">
        <v>248</v>
      </c>
      <c r="CE415" s="2" t="s">
        <v>235</v>
      </c>
      <c r="CF415" s="4">
        <v>405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>
        <v>409</v>
      </c>
      <c r="GE415" s="4">
        <v>390</v>
      </c>
      <c r="GF415" s="4">
        <v>376</v>
      </c>
      <c r="GG415" s="4">
        <v>362</v>
      </c>
      <c r="GH415" s="4">
        <v>348</v>
      </c>
      <c r="GI415" s="4">
        <v>334</v>
      </c>
      <c r="GJ415" s="4">
        <v>320</v>
      </c>
      <c r="GK415" s="4">
        <v>306</v>
      </c>
      <c r="GL415" s="4">
        <v>292</v>
      </c>
      <c r="GM415" s="4">
        <v>278</v>
      </c>
      <c r="GN415" s="4">
        <v>260</v>
      </c>
      <c r="GO415" s="4">
        <v>237</v>
      </c>
      <c r="GP415" s="4">
        <v>215</v>
      </c>
      <c r="GQ415" s="4">
        <v>164</v>
      </c>
      <c r="GR415" s="4">
        <v>123</v>
      </c>
      <c r="GS415" s="4">
        <v>83</v>
      </c>
      <c r="GT415" s="4">
        <v>64</v>
      </c>
      <c r="GU415" s="4">
        <v>55</v>
      </c>
      <c r="GV415" s="4">
        <v>40</v>
      </c>
      <c r="GW415" s="4">
        <v>26</v>
      </c>
      <c r="GX415" s="4">
        <v>12</v>
      </c>
      <c r="GY415" s="4"/>
      <c r="GZ415" s="4"/>
      <c r="HA415" s="4"/>
      <c r="HB415" s="4"/>
      <c r="HC415" s="4"/>
      <c r="HD415" s="19">
        <v>27.3</v>
      </c>
      <c r="HE415" s="19">
        <v>27.9</v>
      </c>
      <c r="HF415" s="19">
        <v>26.9</v>
      </c>
      <c r="HG415" s="19">
        <v>25.9</v>
      </c>
      <c r="HH415" s="19">
        <v>24.9</v>
      </c>
      <c r="HI415" s="19">
        <v>23.9</v>
      </c>
      <c r="HJ415" s="19">
        <v>21.3</v>
      </c>
      <c r="HK415" s="19">
        <v>18</v>
      </c>
      <c r="HL415" s="19">
        <v>15.4</v>
      </c>
      <c r="HM415" s="19">
        <v>9.9</v>
      </c>
      <c r="HN415" s="19">
        <v>7.6</v>
      </c>
      <c r="HO415" s="19">
        <v>6.2</v>
      </c>
      <c r="HP415" s="19">
        <v>5.7</v>
      </c>
      <c r="HQ415" s="19">
        <v>6.1</v>
      </c>
      <c r="HR415" s="19">
        <v>5.9</v>
      </c>
      <c r="HS415" s="19">
        <v>5.9</v>
      </c>
      <c r="HT415" s="19">
        <v>4.9</v>
      </c>
      <c r="HU415" s="19">
        <v>3.9</v>
      </c>
      <c r="HV415" s="19">
        <v>2.9</v>
      </c>
      <c r="HW415" s="19">
        <v>2</v>
      </c>
      <c r="HX415" s="19">
        <v>1</v>
      </c>
      <c r="HY415" s="20">
        <v>0</v>
      </c>
      <c r="HZ415" s="20">
        <v>0</v>
      </c>
      <c r="IA415" s="20">
        <v>0</v>
      </c>
      <c r="IB415" s="20">
        <v>0</v>
      </c>
      <c r="IC415" s="20">
        <v>0</v>
      </c>
    </row>
    <row r="416">
      <c r="A416" s="2" t="s">
        <v>2016</v>
      </c>
      <c r="B416" s="2" t="s">
        <v>905</v>
      </c>
      <c r="C416" s="2" t="s">
        <v>893</v>
      </c>
      <c r="D416" s="2" t="s">
        <v>274</v>
      </c>
      <c r="E416" s="2" t="s">
        <v>275</v>
      </c>
      <c r="F416" s="2" t="s">
        <v>1986</v>
      </c>
      <c r="G416" s="2" t="s">
        <v>1986</v>
      </c>
      <c r="H416" s="2" t="s">
        <v>1986</v>
      </c>
      <c r="I416" s="2" t="s">
        <v>1999</v>
      </c>
      <c r="J416" s="2" t="s">
        <v>2000</v>
      </c>
      <c r="K416" s="2" t="s">
        <v>295</v>
      </c>
      <c r="L416" s="3">
        <v>18.4</v>
      </c>
      <c r="M416" s="3">
        <v>19.32</v>
      </c>
      <c r="N416" s="3">
        <v>39.99</v>
      </c>
      <c r="O416" s="2" t="s">
        <v>485</v>
      </c>
      <c r="P416" s="2" t="s">
        <v>408</v>
      </c>
      <c r="Q416" s="2" t="s">
        <v>234</v>
      </c>
      <c r="R416" s="2" t="s">
        <v>235</v>
      </c>
      <c r="S416" s="2" t="s">
        <v>2014</v>
      </c>
      <c r="T416" s="2" t="s">
        <v>1990</v>
      </c>
      <c r="U416" s="2" t="s">
        <v>807</v>
      </c>
      <c r="V416" s="2" t="s">
        <v>238</v>
      </c>
      <c r="W416" s="2" t="s">
        <v>239</v>
      </c>
      <c r="X416" s="2" t="s">
        <v>1596</v>
      </c>
      <c r="Y416" s="2" t="s">
        <v>240</v>
      </c>
      <c r="Z416" s="4">
        <v>335</v>
      </c>
      <c r="AA416" s="4">
        <f>=ROUNDDOWN(478.571428571429,0)</f>
      </c>
      <c r="AB416" s="5">
        <v>0.7</v>
      </c>
      <c r="AC416" s="2" t="s">
        <v>235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235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235</v>
      </c>
      <c r="AW416" s="8" t="s">
        <v>235</v>
      </c>
      <c r="AX416" s="4" t="s">
        <v>235</v>
      </c>
      <c r="AY416" s="8" t="s">
        <v>235</v>
      </c>
      <c r="AZ416" s="7" t="s">
        <v>235</v>
      </c>
      <c r="BA416" s="7" t="s">
        <v>235</v>
      </c>
      <c r="BB416" s="7"/>
      <c r="BC416" s="4" t="s">
        <v>235</v>
      </c>
      <c r="BD416" s="8" t="s">
        <v>235</v>
      </c>
      <c r="BE416" s="4" t="s">
        <v>235</v>
      </c>
      <c r="BF416" s="8" t="s">
        <v>235</v>
      </c>
      <c r="BG416" s="7" t="s">
        <v>235</v>
      </c>
      <c r="BH416" s="7" t="s">
        <v>235</v>
      </c>
      <c r="BI416" s="7"/>
      <c r="BJ416" s="4"/>
      <c r="BK416" s="8"/>
      <c r="BL416" s="2" t="s">
        <v>2017</v>
      </c>
      <c r="BM416" s="7"/>
      <c r="BN416" s="7"/>
      <c r="BO416" s="4"/>
      <c r="BP416" s="8"/>
      <c r="BQ416" s="4"/>
      <c r="BR416" s="8"/>
      <c r="BS416" s="7"/>
      <c r="BT416" s="7"/>
      <c r="BU416" s="2" t="s">
        <v>1996</v>
      </c>
      <c r="BV416" s="2" t="s">
        <v>243</v>
      </c>
      <c r="BW416" s="2" t="s">
        <v>235</v>
      </c>
      <c r="BX416" s="2" t="s">
        <v>414</v>
      </c>
      <c r="BY416" s="2" t="s">
        <v>245</v>
      </c>
      <c r="BZ416" s="2" t="s">
        <v>232</v>
      </c>
      <c r="CA416" s="2" t="s">
        <v>2018</v>
      </c>
      <c r="CB416" s="2" t="s">
        <v>2019</v>
      </c>
      <c r="CC416" s="2" t="s">
        <v>248</v>
      </c>
      <c r="CD416" s="2" t="s">
        <v>248</v>
      </c>
      <c r="CE416" s="2" t="s">
        <v>235</v>
      </c>
      <c r="CF416" s="4">
        <v>335</v>
      </c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>
        <v>335</v>
      </c>
      <c r="GE416" s="4">
        <v>333</v>
      </c>
      <c r="GF416" s="4">
        <v>331</v>
      </c>
      <c r="GG416" s="4">
        <v>329</v>
      </c>
      <c r="GH416" s="4">
        <v>327</v>
      </c>
      <c r="GI416" s="4">
        <v>325</v>
      </c>
      <c r="GJ416" s="4">
        <v>323</v>
      </c>
      <c r="GK416" s="4">
        <v>321</v>
      </c>
      <c r="GL416" s="4">
        <v>319</v>
      </c>
      <c r="GM416" s="4">
        <v>317</v>
      </c>
      <c r="GN416" s="4">
        <v>315</v>
      </c>
      <c r="GO416" s="4">
        <v>312</v>
      </c>
      <c r="GP416" s="4">
        <v>310</v>
      </c>
      <c r="GQ416" s="4">
        <v>304</v>
      </c>
      <c r="GR416" s="4">
        <v>299</v>
      </c>
      <c r="GS416" s="4">
        <v>295</v>
      </c>
      <c r="GT416" s="4">
        <v>293</v>
      </c>
      <c r="GU416" s="4">
        <v>292</v>
      </c>
      <c r="GV416" s="4">
        <v>290</v>
      </c>
      <c r="GW416" s="4">
        <v>288</v>
      </c>
      <c r="GX416" s="4">
        <v>286</v>
      </c>
      <c r="GY416" s="4">
        <v>284</v>
      </c>
      <c r="GZ416" s="4">
        <v>282</v>
      </c>
      <c r="HA416" s="4">
        <v>281</v>
      </c>
      <c r="HB416" s="4">
        <v>280</v>
      </c>
      <c r="HC416" s="4">
        <v>279</v>
      </c>
      <c r="HD416" s="19">
        <v>167.5</v>
      </c>
      <c r="HE416" s="19">
        <v>166.5</v>
      </c>
      <c r="HF416" s="19">
        <v>165.5</v>
      </c>
      <c r="HG416" s="19">
        <v>164.5</v>
      </c>
      <c r="HH416" s="19">
        <v>163.5</v>
      </c>
      <c r="HI416" s="19">
        <v>162.5</v>
      </c>
      <c r="HJ416" s="19">
        <v>161.5</v>
      </c>
      <c r="HK416" s="19">
        <v>160.5</v>
      </c>
      <c r="HL416" s="19">
        <v>159.5</v>
      </c>
      <c r="HM416" s="19">
        <v>105.7</v>
      </c>
      <c r="HN416" s="19">
        <v>78.8</v>
      </c>
      <c r="HO416" s="19">
        <v>78</v>
      </c>
      <c r="HP416" s="19">
        <v>77.5</v>
      </c>
      <c r="HQ416" s="19">
        <v>101.3</v>
      </c>
      <c r="HR416" s="19">
        <v>149.5</v>
      </c>
      <c r="HS416" s="19">
        <v>147.5</v>
      </c>
      <c r="HT416" s="19">
        <v>146.5</v>
      </c>
      <c r="HU416" s="19">
        <v>146</v>
      </c>
      <c r="HV416" s="19">
        <v>145</v>
      </c>
      <c r="HW416" s="19">
        <v>144</v>
      </c>
      <c r="HX416" s="19">
        <v>143</v>
      </c>
      <c r="HY416" s="19">
        <v>284</v>
      </c>
      <c r="HZ416" s="19">
        <v>282</v>
      </c>
      <c r="IA416" s="19">
        <v>281</v>
      </c>
      <c r="IB416" s="19">
        <v>140</v>
      </c>
      <c r="IC416" s="19">
        <v>139.5</v>
      </c>
    </row>
    <row r="417">
      <c r="A417" s="2" t="s">
        <v>2020</v>
      </c>
      <c r="B417" s="2" t="s">
        <v>905</v>
      </c>
      <c r="C417" s="2" t="s">
        <v>893</v>
      </c>
      <c r="D417" s="2" t="s">
        <v>274</v>
      </c>
      <c r="E417" s="2" t="s">
        <v>275</v>
      </c>
      <c r="F417" s="2" t="s">
        <v>1986</v>
      </c>
      <c r="G417" s="2" t="s">
        <v>1986</v>
      </c>
      <c r="H417" s="2" t="s">
        <v>1986</v>
      </c>
      <c r="I417" s="2" t="s">
        <v>1999</v>
      </c>
      <c r="J417" s="2" t="s">
        <v>2000</v>
      </c>
      <c r="K417" s="2" t="s">
        <v>1667</v>
      </c>
      <c r="L417" s="3">
        <v>18.4</v>
      </c>
      <c r="M417" s="3">
        <v>19.32</v>
      </c>
      <c r="N417" s="3">
        <v>39.99</v>
      </c>
      <c r="O417" s="2" t="s">
        <v>407</v>
      </c>
      <c r="P417" s="2" t="s">
        <v>408</v>
      </c>
      <c r="Q417" s="2" t="s">
        <v>234</v>
      </c>
      <c r="R417" s="2" t="s">
        <v>235</v>
      </c>
      <c r="S417" s="2" t="s">
        <v>2021</v>
      </c>
      <c r="T417" s="2" t="s">
        <v>1990</v>
      </c>
      <c r="U417" s="2" t="s">
        <v>807</v>
      </c>
      <c r="V417" s="2" t="s">
        <v>238</v>
      </c>
      <c r="W417" s="2" t="s">
        <v>239</v>
      </c>
      <c r="X417" s="2" t="s">
        <v>1596</v>
      </c>
      <c r="Y417" s="2" t="s">
        <v>1243</v>
      </c>
      <c r="Z417" s="4">
        <v>65</v>
      </c>
      <c r="AA417" s="4">
        <f>=ROUNDDOWN(27.0833333333333,0)</f>
      </c>
      <c r="AB417" s="5">
        <v>2.4</v>
      </c>
      <c r="AC417" s="2" t="s">
        <v>235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235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235</v>
      </c>
      <c r="BD417" s="8" t="s">
        <v>235</v>
      </c>
      <c r="BE417" s="4" t="s">
        <v>235</v>
      </c>
      <c r="BF417" s="8" t="s">
        <v>235</v>
      </c>
      <c r="BG417" s="7" t="s">
        <v>235</v>
      </c>
      <c r="BH417" s="7" t="s">
        <v>235</v>
      </c>
      <c r="BI417" s="7"/>
      <c r="BJ417" s="4"/>
      <c r="BK417" s="8"/>
      <c r="BL417" s="2" t="s">
        <v>396</v>
      </c>
      <c r="BM417" s="7"/>
      <c r="BN417" s="7"/>
      <c r="BO417" s="4"/>
      <c r="BP417" s="8"/>
      <c r="BQ417" s="4"/>
      <c r="BR417" s="8"/>
      <c r="BS417" s="7"/>
      <c r="BT417" s="7"/>
      <c r="BU417" s="2" t="s">
        <v>1996</v>
      </c>
      <c r="BV417" s="2" t="s">
        <v>243</v>
      </c>
      <c r="BW417" s="2" t="s">
        <v>235</v>
      </c>
      <c r="BX417" s="2" t="s">
        <v>414</v>
      </c>
      <c r="BY417" s="2" t="s">
        <v>245</v>
      </c>
      <c r="BZ417" s="2" t="s">
        <v>232</v>
      </c>
      <c r="CA417" s="2" t="s">
        <v>475</v>
      </c>
      <c r="CB417" s="2" t="s">
        <v>1198</v>
      </c>
      <c r="CC417" s="2" t="s">
        <v>248</v>
      </c>
      <c r="CD417" s="2" t="s">
        <v>248</v>
      </c>
      <c r="CE417" s="2" t="s">
        <v>235</v>
      </c>
      <c r="CF417" s="4">
        <v>65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>
        <v>67</v>
      </c>
      <c r="GE417" s="4">
        <v>48</v>
      </c>
      <c r="GF417" s="4">
        <v>43</v>
      </c>
      <c r="GG417" s="4">
        <v>38</v>
      </c>
      <c r="GH417" s="4">
        <v>32</v>
      </c>
      <c r="GI417" s="4">
        <v>27</v>
      </c>
      <c r="GJ417" s="4">
        <v>18</v>
      </c>
      <c r="GK417" s="4">
        <v>10</v>
      </c>
      <c r="GL417" s="4">
        <v>3</v>
      </c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19">
        <v>7.4</v>
      </c>
      <c r="HE417" s="19">
        <v>9.6</v>
      </c>
      <c r="HF417" s="19">
        <v>7.2</v>
      </c>
      <c r="HG417" s="19">
        <v>5.4</v>
      </c>
      <c r="HH417" s="19">
        <v>4.6</v>
      </c>
      <c r="HI417" s="19">
        <v>3.9</v>
      </c>
      <c r="HJ417" s="19">
        <v>3</v>
      </c>
      <c r="HK417" s="19">
        <v>2</v>
      </c>
      <c r="HL417" s="19">
        <v>0.8</v>
      </c>
      <c r="HM417" s="20">
        <v>0</v>
      </c>
      <c r="HN417" s="20">
        <v>0</v>
      </c>
      <c r="HO417" s="20">
        <v>0</v>
      </c>
      <c r="HP417" s="20">
        <v>0</v>
      </c>
      <c r="HQ417" s="20">
        <v>0</v>
      </c>
      <c r="HR417" s="20">
        <v>0</v>
      </c>
      <c r="HS417" s="20">
        <v>0</v>
      </c>
      <c r="HT417" s="20">
        <v>0</v>
      </c>
      <c r="HU417" s="20">
        <v>0</v>
      </c>
      <c r="HV417" s="20">
        <v>0</v>
      </c>
      <c r="HW417" s="20">
        <v>0</v>
      </c>
      <c r="HX417" s="20">
        <v>0</v>
      </c>
      <c r="HY417" s="20">
        <v>0</v>
      </c>
      <c r="HZ417" s="20">
        <v>0</v>
      </c>
      <c r="IA417" s="20">
        <v>0</v>
      </c>
      <c r="IB417" s="20">
        <v>0</v>
      </c>
      <c r="IC417" s="20">
        <v>0</v>
      </c>
    </row>
    <row r="418">
      <c r="A418" s="2" t="s">
        <v>2022</v>
      </c>
      <c r="B418" s="2" t="s">
        <v>255</v>
      </c>
      <c r="C418" s="2" t="s">
        <v>2023</v>
      </c>
      <c r="D418" s="2" t="s">
        <v>1452</v>
      </c>
      <c r="E418" s="2" t="s">
        <v>1453</v>
      </c>
      <c r="F418" s="2" t="s">
        <v>2024</v>
      </c>
      <c r="G418" s="2" t="s">
        <v>2024</v>
      </c>
      <c r="H418" s="2" t="s">
        <v>2024</v>
      </c>
      <c r="I418" s="2" t="s">
        <v>2025</v>
      </c>
      <c r="J418" s="2" t="s">
        <v>270</v>
      </c>
      <c r="K418" s="2" t="s">
        <v>231</v>
      </c>
      <c r="L418" s="3">
        <v>104</v>
      </c>
      <c r="M418" s="3">
        <v>109.2</v>
      </c>
      <c r="N418" s="3">
        <v>169.99</v>
      </c>
      <c r="O418" s="2" t="s">
        <v>232</v>
      </c>
      <c r="P418" s="2" t="s">
        <v>878</v>
      </c>
      <c r="Q418" s="2" t="s">
        <v>234</v>
      </c>
      <c r="R418" s="2" t="s">
        <v>235</v>
      </c>
      <c r="S418" s="2" t="s">
        <v>235</v>
      </c>
      <c r="T418" s="2" t="s">
        <v>263</v>
      </c>
      <c r="U418" s="2" t="s">
        <v>552</v>
      </c>
      <c r="V418" s="2" t="s">
        <v>238</v>
      </c>
      <c r="W418" s="2" t="s">
        <v>1299</v>
      </c>
      <c r="X418" s="2" t="s">
        <v>235</v>
      </c>
      <c r="Y418" s="2" t="s">
        <v>1187</v>
      </c>
      <c r="Z418" s="4">
        <v>389</v>
      </c>
      <c r="AA418" s="4">
        <f>=ROUNDDOWN(105.135135135135,0)</f>
      </c>
      <c r="AB418" s="5">
        <v>3.7</v>
      </c>
      <c r="AC418" s="2" t="s">
        <v>235</v>
      </c>
      <c r="AD418" s="4"/>
      <c r="AE418" s="4"/>
      <c r="AF418" s="6">
        <v>71</v>
      </c>
      <c r="AG418" s="6"/>
      <c r="AH418" s="7">
        <v>1</v>
      </c>
      <c r="AI418" s="4"/>
      <c r="AJ418" s="4">
        <f>=ROUNDDOWN({0},0)</f>
      </c>
      <c r="AK418" s="5"/>
      <c r="AL418" s="2" t="s">
        <v>235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235</v>
      </c>
      <c r="BD418" s="8" t="s">
        <v>235</v>
      </c>
      <c r="BE418" s="4" t="s">
        <v>235</v>
      </c>
      <c r="BF418" s="8" t="s">
        <v>235</v>
      </c>
      <c r="BG418" s="7" t="s">
        <v>235</v>
      </c>
      <c r="BH418" s="7" t="s">
        <v>235</v>
      </c>
      <c r="BI418" s="7"/>
      <c r="BJ418" s="4">
        <v>3</v>
      </c>
      <c r="BK418" s="8">
        <v>371.88</v>
      </c>
      <c r="BL418" s="2" t="s">
        <v>2026</v>
      </c>
      <c r="BM418" s="7"/>
      <c r="BN418" s="7"/>
      <c r="BO418" s="4"/>
      <c r="BP418" s="8"/>
      <c r="BQ418" s="4"/>
      <c r="BR418" s="8"/>
      <c r="BS418" s="7"/>
      <c r="BT418" s="7"/>
      <c r="BU418" s="2" t="s">
        <v>2027</v>
      </c>
      <c r="BV418" s="2" t="s">
        <v>235</v>
      </c>
      <c r="BW418" s="2" t="s">
        <v>235</v>
      </c>
      <c r="BX418" s="2" t="s">
        <v>244</v>
      </c>
      <c r="BY418" s="2" t="s">
        <v>245</v>
      </c>
      <c r="BZ418" s="2" t="s">
        <v>232</v>
      </c>
      <c r="CA418" s="2" t="s">
        <v>235</v>
      </c>
      <c r="CB418" s="2" t="s">
        <v>1235</v>
      </c>
      <c r="CC418" s="2" t="s">
        <v>248</v>
      </c>
      <c r="CD418" s="2" t="s">
        <v>248</v>
      </c>
      <c r="CE418" s="2" t="s">
        <v>235</v>
      </c>
      <c r="CF418" s="4">
        <v>203</v>
      </c>
      <c r="CG418" s="4"/>
      <c r="CH418" s="4"/>
      <c r="CI418" s="4">
        <v>186</v>
      </c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>
        <v>389</v>
      </c>
      <c r="GE418" s="4">
        <v>386</v>
      </c>
      <c r="GF418" s="4">
        <v>381</v>
      </c>
      <c r="GG418" s="4">
        <v>378</v>
      </c>
      <c r="GH418" s="4">
        <v>376</v>
      </c>
      <c r="GI418" s="4">
        <v>375</v>
      </c>
      <c r="GJ418" s="4">
        <v>370</v>
      </c>
      <c r="GK418" s="4">
        <v>368</v>
      </c>
      <c r="GL418" s="4">
        <v>365</v>
      </c>
      <c r="GM418" s="4">
        <v>359</v>
      </c>
      <c r="GN418" s="4">
        <v>357</v>
      </c>
      <c r="GO418" s="4">
        <v>354</v>
      </c>
      <c r="GP418" s="4">
        <v>351</v>
      </c>
      <c r="GQ418" s="4">
        <v>346</v>
      </c>
      <c r="GR418" s="4">
        <v>340</v>
      </c>
      <c r="GS418" s="4">
        <v>337</v>
      </c>
      <c r="GT418" s="4">
        <v>334</v>
      </c>
      <c r="GU418" s="4">
        <v>332</v>
      </c>
      <c r="GV418" s="4">
        <v>329</v>
      </c>
      <c r="GW418" s="4">
        <v>325</v>
      </c>
      <c r="GX418" s="4">
        <v>324</v>
      </c>
      <c r="GY418" s="4">
        <v>322</v>
      </c>
      <c r="GZ418" s="4">
        <v>315</v>
      </c>
      <c r="HA418" s="4">
        <v>312</v>
      </c>
      <c r="HB418" s="4">
        <v>309</v>
      </c>
      <c r="HC418" s="4">
        <v>305</v>
      </c>
      <c r="HD418" s="19">
        <v>129.7</v>
      </c>
      <c r="HE418" s="19">
        <v>128.7</v>
      </c>
      <c r="HF418" s="19">
        <v>127</v>
      </c>
      <c r="HG418" s="19">
        <v>189</v>
      </c>
      <c r="HH418" s="19">
        <v>125.3</v>
      </c>
      <c r="HI418" s="19">
        <v>93.8</v>
      </c>
      <c r="HJ418" s="19">
        <v>123.3</v>
      </c>
      <c r="HK418" s="19">
        <v>92</v>
      </c>
      <c r="HL418" s="19">
        <v>91.3</v>
      </c>
      <c r="HM418" s="19">
        <v>119.7</v>
      </c>
      <c r="HN418" s="19">
        <v>89.3</v>
      </c>
      <c r="HO418" s="19">
        <v>88.5</v>
      </c>
      <c r="HP418" s="19">
        <v>87.8</v>
      </c>
      <c r="HQ418" s="19">
        <v>86.5</v>
      </c>
      <c r="HR418" s="19">
        <v>113.3</v>
      </c>
      <c r="HS418" s="19">
        <v>112.3</v>
      </c>
      <c r="HT418" s="19">
        <v>167</v>
      </c>
      <c r="HU418" s="19">
        <v>166</v>
      </c>
      <c r="HV418" s="19">
        <v>82.3</v>
      </c>
      <c r="HW418" s="19">
        <v>108.3</v>
      </c>
      <c r="HX418" s="19">
        <v>81</v>
      </c>
      <c r="HY418" s="19">
        <v>80.5</v>
      </c>
      <c r="HZ418" s="19">
        <v>78.8</v>
      </c>
      <c r="IA418" s="19">
        <v>78</v>
      </c>
      <c r="IB418" s="19">
        <v>77.3</v>
      </c>
      <c r="IC418" s="19">
        <v>76.3</v>
      </c>
    </row>
    <row r="419">
      <c r="A419" s="2" t="s">
        <v>2028</v>
      </c>
      <c r="B419" s="2" t="s">
        <v>255</v>
      </c>
      <c r="C419" s="2" t="s">
        <v>2023</v>
      </c>
      <c r="D419" s="2" t="s">
        <v>1452</v>
      </c>
      <c r="E419" s="2" t="s">
        <v>1453</v>
      </c>
      <c r="F419" s="2" t="s">
        <v>2024</v>
      </c>
      <c r="G419" s="2" t="s">
        <v>2024</v>
      </c>
      <c r="H419" s="2" t="s">
        <v>2024</v>
      </c>
      <c r="I419" s="2" t="s">
        <v>2025</v>
      </c>
      <c r="J419" s="2" t="s">
        <v>365</v>
      </c>
      <c r="K419" s="2" t="s">
        <v>2029</v>
      </c>
      <c r="L419" s="3">
        <v>88</v>
      </c>
      <c r="M419" s="3">
        <v>92.4</v>
      </c>
      <c r="N419" s="3">
        <v>149.99</v>
      </c>
      <c r="O419" s="2" t="s">
        <v>232</v>
      </c>
      <c r="P419" s="2" t="s">
        <v>878</v>
      </c>
      <c r="Q419" s="2" t="s">
        <v>234</v>
      </c>
      <c r="R419" s="2" t="s">
        <v>235</v>
      </c>
      <c r="S419" s="2" t="s">
        <v>235</v>
      </c>
      <c r="T419" s="2" t="s">
        <v>263</v>
      </c>
      <c r="U419" s="2" t="s">
        <v>552</v>
      </c>
      <c r="V419" s="2" t="s">
        <v>238</v>
      </c>
      <c r="W419" s="2" t="s">
        <v>1299</v>
      </c>
      <c r="X419" s="2" t="s">
        <v>235</v>
      </c>
      <c r="Y419" s="2" t="s">
        <v>1187</v>
      </c>
      <c r="Z419" s="4">
        <v>352</v>
      </c>
      <c r="AA419" s="4">
        <f>=ROUNDDOWN(81.8604651162791,0)</f>
      </c>
      <c r="AB419" s="5">
        <v>4.3</v>
      </c>
      <c r="AC419" s="2" t="s">
        <v>235</v>
      </c>
      <c r="AD419" s="4"/>
      <c r="AE419" s="4"/>
      <c r="AF419" s="6">
        <v>71</v>
      </c>
      <c r="AG419" s="6"/>
      <c r="AH419" s="7">
        <v>1</v>
      </c>
      <c r="AI419" s="4"/>
      <c r="AJ419" s="4">
        <f>=ROUNDDOWN({0},0)</f>
      </c>
      <c r="AK419" s="5"/>
      <c r="AL419" s="2" t="s">
        <v>235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235</v>
      </c>
      <c r="BD419" s="8" t="s">
        <v>235</v>
      </c>
      <c r="BE419" s="4" t="s">
        <v>235</v>
      </c>
      <c r="BF419" s="8" t="s">
        <v>235</v>
      </c>
      <c r="BG419" s="7" t="s">
        <v>235</v>
      </c>
      <c r="BH419" s="7" t="s">
        <v>235</v>
      </c>
      <c r="BI419" s="7"/>
      <c r="BJ419" s="4">
        <v>24</v>
      </c>
      <c r="BK419" s="8">
        <v>1980</v>
      </c>
      <c r="BL419" s="2" t="s">
        <v>900</v>
      </c>
      <c r="BM419" s="7"/>
      <c r="BN419" s="7"/>
      <c r="BO419" s="4"/>
      <c r="BP419" s="8"/>
      <c r="BQ419" s="4"/>
      <c r="BR419" s="8"/>
      <c r="BS419" s="7"/>
      <c r="BT419" s="7"/>
      <c r="BU419" s="2" t="s">
        <v>2027</v>
      </c>
      <c r="BV419" s="2" t="s">
        <v>235</v>
      </c>
      <c r="BW419" s="2" t="s">
        <v>235</v>
      </c>
      <c r="BX419" s="2" t="s">
        <v>244</v>
      </c>
      <c r="BY419" s="2" t="s">
        <v>245</v>
      </c>
      <c r="BZ419" s="2" t="s">
        <v>232</v>
      </c>
      <c r="CA419" s="2" t="s">
        <v>235</v>
      </c>
      <c r="CB419" s="2" t="s">
        <v>266</v>
      </c>
      <c r="CC419" s="2" t="s">
        <v>248</v>
      </c>
      <c r="CD419" s="2" t="s">
        <v>248</v>
      </c>
      <c r="CE419" s="2" t="s">
        <v>235</v>
      </c>
      <c r="CF419" s="4">
        <v>162</v>
      </c>
      <c r="CG419" s="4"/>
      <c r="CH419" s="4"/>
      <c r="CI419" s="4">
        <v>190</v>
      </c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>
        <v>352</v>
      </c>
      <c r="GE419" s="4">
        <v>350</v>
      </c>
      <c r="GF419" s="4">
        <v>346</v>
      </c>
      <c r="GG419" s="4">
        <v>342</v>
      </c>
      <c r="GH419" s="4">
        <v>339</v>
      </c>
      <c r="GI419" s="4">
        <v>337</v>
      </c>
      <c r="GJ419" s="4">
        <v>335</v>
      </c>
      <c r="GK419" s="4">
        <v>331</v>
      </c>
      <c r="GL419" s="4">
        <v>325</v>
      </c>
      <c r="GM419" s="4">
        <v>323</v>
      </c>
      <c r="GN419" s="4">
        <v>321</v>
      </c>
      <c r="GO419" s="4">
        <v>318</v>
      </c>
      <c r="GP419" s="4">
        <v>314</v>
      </c>
      <c r="GQ419" s="4">
        <v>310</v>
      </c>
      <c r="GR419" s="4">
        <v>304</v>
      </c>
      <c r="GS419" s="4">
        <v>301</v>
      </c>
      <c r="GT419" s="4">
        <v>300</v>
      </c>
      <c r="GU419" s="4">
        <v>298</v>
      </c>
      <c r="GV419" s="4">
        <v>297</v>
      </c>
      <c r="GW419" s="4">
        <v>293</v>
      </c>
      <c r="GX419" s="4">
        <v>289</v>
      </c>
      <c r="GY419" s="4">
        <v>286</v>
      </c>
      <c r="GZ419" s="4">
        <v>281</v>
      </c>
      <c r="HA419" s="4">
        <v>279</v>
      </c>
      <c r="HB419" s="4">
        <v>277</v>
      </c>
      <c r="HC419" s="4">
        <v>273</v>
      </c>
      <c r="HD419" s="19">
        <v>117.3</v>
      </c>
      <c r="HE419" s="19">
        <v>116.7</v>
      </c>
      <c r="HF419" s="19">
        <v>115.3</v>
      </c>
      <c r="HG419" s="19">
        <v>114</v>
      </c>
      <c r="HH419" s="19">
        <v>84.8</v>
      </c>
      <c r="HI419" s="19">
        <v>84.3</v>
      </c>
      <c r="HJ419" s="19">
        <v>83.8</v>
      </c>
      <c r="HK419" s="19">
        <v>110.3</v>
      </c>
      <c r="HL419" s="19">
        <v>108.3</v>
      </c>
      <c r="HM419" s="19">
        <v>107.7</v>
      </c>
      <c r="HN419" s="19">
        <v>80.3</v>
      </c>
      <c r="HO419" s="19">
        <v>79.5</v>
      </c>
      <c r="HP419" s="19">
        <v>78.5</v>
      </c>
      <c r="HQ419" s="19">
        <v>103.3</v>
      </c>
      <c r="HR419" s="19">
        <v>152</v>
      </c>
      <c r="HS419" s="19">
        <v>150.5</v>
      </c>
      <c r="HT419" s="19">
        <v>100</v>
      </c>
      <c r="HU419" s="19">
        <v>99.3</v>
      </c>
      <c r="HV419" s="19">
        <v>74.3</v>
      </c>
      <c r="HW419" s="19">
        <v>73.3</v>
      </c>
      <c r="HX419" s="19">
        <v>96.3</v>
      </c>
      <c r="HY419" s="19">
        <v>95.3</v>
      </c>
      <c r="HZ419" s="19">
        <v>93.7</v>
      </c>
      <c r="IA419" s="19">
        <v>69.8</v>
      </c>
      <c r="IB419" s="19">
        <v>69.3</v>
      </c>
      <c r="IC419" s="19">
        <v>68.3</v>
      </c>
    </row>
    <row r="420">
      <c r="A420" s="2" t="s">
        <v>2030</v>
      </c>
      <c r="B420" s="2" t="s">
        <v>255</v>
      </c>
      <c r="C420" s="2" t="s">
        <v>2023</v>
      </c>
      <c r="D420" s="2" t="s">
        <v>1452</v>
      </c>
      <c r="E420" s="2" t="s">
        <v>1453</v>
      </c>
      <c r="F420" s="2" t="s">
        <v>2024</v>
      </c>
      <c r="G420" s="2" t="s">
        <v>2024</v>
      </c>
      <c r="H420" s="2" t="s">
        <v>2024</v>
      </c>
      <c r="I420" s="2" t="s">
        <v>2025</v>
      </c>
      <c r="J420" s="2" t="s">
        <v>365</v>
      </c>
      <c r="K420" s="2" t="s">
        <v>316</v>
      </c>
      <c r="L420" s="3">
        <v>88</v>
      </c>
      <c r="M420" s="3">
        <v>92.4</v>
      </c>
      <c r="N420" s="3">
        <v>149.99</v>
      </c>
      <c r="O420" s="2" t="s">
        <v>232</v>
      </c>
      <c r="P420" s="2" t="s">
        <v>878</v>
      </c>
      <c r="Q420" s="2" t="s">
        <v>234</v>
      </c>
      <c r="R420" s="2" t="s">
        <v>235</v>
      </c>
      <c r="S420" s="2" t="s">
        <v>235</v>
      </c>
      <c r="T420" s="2" t="s">
        <v>263</v>
      </c>
      <c r="U420" s="2" t="s">
        <v>552</v>
      </c>
      <c r="V420" s="2" t="s">
        <v>238</v>
      </c>
      <c r="W420" s="2" t="s">
        <v>1299</v>
      </c>
      <c r="X420" s="2" t="s">
        <v>235</v>
      </c>
      <c r="Y420" s="2" t="s">
        <v>1187</v>
      </c>
      <c r="Z420" s="4">
        <v>377</v>
      </c>
      <c r="AA420" s="4">
        <f>=ROUNDDOWN(471.25,0)</f>
      </c>
      <c r="AB420" s="5">
        <v>0.8</v>
      </c>
      <c r="AC420" s="2" t="s">
        <v>235</v>
      </c>
      <c r="AD420" s="4"/>
      <c r="AE420" s="4"/>
      <c r="AF420" s="6">
        <v>71</v>
      </c>
      <c r="AG420" s="6"/>
      <c r="AH420" s="7">
        <v>1</v>
      </c>
      <c r="AI420" s="4"/>
      <c r="AJ420" s="4">
        <f>=ROUNDDOWN({0},0)</f>
      </c>
      <c r="AK420" s="5"/>
      <c r="AL420" s="2" t="s">
        <v>235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235</v>
      </c>
      <c r="AW420" s="8" t="s">
        <v>235</v>
      </c>
      <c r="AX420" s="4" t="s">
        <v>235</v>
      </c>
      <c r="AY420" s="8" t="s">
        <v>235</v>
      </c>
      <c r="AZ420" s="7" t="s">
        <v>235</v>
      </c>
      <c r="BA420" s="7" t="s">
        <v>235</v>
      </c>
      <c r="BB420" s="7"/>
      <c r="BC420" s="4" t="s">
        <v>235</v>
      </c>
      <c r="BD420" s="8" t="s">
        <v>235</v>
      </c>
      <c r="BE420" s="4" t="s">
        <v>235</v>
      </c>
      <c r="BF420" s="8" t="s">
        <v>235</v>
      </c>
      <c r="BG420" s="7" t="s">
        <v>235</v>
      </c>
      <c r="BH420" s="7" t="s">
        <v>235</v>
      </c>
      <c r="BI420" s="7"/>
      <c r="BJ420" s="4">
        <v>3</v>
      </c>
      <c r="BK420" s="8">
        <v>311.64</v>
      </c>
      <c r="BL420" s="2" t="s">
        <v>2031</v>
      </c>
      <c r="BM420" s="7"/>
      <c r="BN420" s="7"/>
      <c r="BO420" s="4"/>
      <c r="BP420" s="8"/>
      <c r="BQ420" s="4"/>
      <c r="BR420" s="8"/>
      <c r="BS420" s="7"/>
      <c r="BT420" s="7"/>
      <c r="BU420" s="2" t="s">
        <v>2027</v>
      </c>
      <c r="BV420" s="2" t="s">
        <v>235</v>
      </c>
      <c r="BW420" s="2" t="s">
        <v>235</v>
      </c>
      <c r="BX420" s="2" t="s">
        <v>244</v>
      </c>
      <c r="BY420" s="2" t="s">
        <v>245</v>
      </c>
      <c r="BZ420" s="2" t="s">
        <v>232</v>
      </c>
      <c r="CA420" s="2" t="s">
        <v>235</v>
      </c>
      <c r="CB420" s="2" t="s">
        <v>235</v>
      </c>
      <c r="CC420" s="2" t="s">
        <v>248</v>
      </c>
      <c r="CD420" s="2" t="s">
        <v>248</v>
      </c>
      <c r="CE420" s="2" t="s">
        <v>235</v>
      </c>
      <c r="CF420" s="4">
        <v>187</v>
      </c>
      <c r="CG420" s="4"/>
      <c r="CH420" s="4"/>
      <c r="CI420" s="4">
        <v>190</v>
      </c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>
        <v>377</v>
      </c>
      <c r="GE420" s="4">
        <v>376</v>
      </c>
      <c r="GF420" s="4">
        <v>375</v>
      </c>
      <c r="GG420" s="4">
        <v>374</v>
      </c>
      <c r="GH420" s="4">
        <v>373</v>
      </c>
      <c r="GI420" s="4">
        <v>372</v>
      </c>
      <c r="GJ420" s="4">
        <v>371</v>
      </c>
      <c r="GK420" s="4">
        <v>370</v>
      </c>
      <c r="GL420" s="4">
        <v>368</v>
      </c>
      <c r="GM420" s="4">
        <v>368</v>
      </c>
      <c r="GN420" s="4">
        <v>367</v>
      </c>
      <c r="GO420" s="4">
        <v>366</v>
      </c>
      <c r="GP420" s="4">
        <v>365</v>
      </c>
      <c r="GQ420" s="4">
        <v>364</v>
      </c>
      <c r="GR420" s="4">
        <v>362</v>
      </c>
      <c r="GS420" s="4">
        <v>361</v>
      </c>
      <c r="GT420" s="4">
        <v>361</v>
      </c>
      <c r="GU420" s="4">
        <v>360</v>
      </c>
      <c r="GV420" s="4">
        <v>360</v>
      </c>
      <c r="GW420" s="4">
        <v>359</v>
      </c>
      <c r="GX420" s="4">
        <v>358</v>
      </c>
      <c r="GY420" s="4">
        <v>357</v>
      </c>
      <c r="GZ420" s="4">
        <v>356</v>
      </c>
      <c r="HA420" s="4">
        <v>355</v>
      </c>
      <c r="HB420" s="4">
        <v>355</v>
      </c>
      <c r="HC420" s="4">
        <v>354</v>
      </c>
      <c r="HD420" s="19">
        <v>377</v>
      </c>
      <c r="HE420" s="19">
        <v>376</v>
      </c>
      <c r="HF420" s="19">
        <v>375</v>
      </c>
      <c r="HG420" s="19">
        <v>374</v>
      </c>
      <c r="HH420" s="19">
        <v>373</v>
      </c>
      <c r="HI420" s="19">
        <v>372</v>
      </c>
      <c r="HJ420" s="19">
        <v>371</v>
      </c>
      <c r="HK420" s="19">
        <v>370</v>
      </c>
      <c r="HL420" s="19">
        <v>368</v>
      </c>
      <c r="HM420" s="19">
        <v>368</v>
      </c>
      <c r="HN420" s="19">
        <v>367</v>
      </c>
      <c r="HO420" s="19">
        <v>366</v>
      </c>
      <c r="HP420" s="19">
        <v>365</v>
      </c>
      <c r="HQ420" s="19">
        <v>364</v>
      </c>
      <c r="HR420" s="20">
        <v>0</v>
      </c>
      <c r="HS420" s="9"/>
      <c r="HT420" s="19">
        <v>361</v>
      </c>
      <c r="HU420" s="19">
        <v>360</v>
      </c>
      <c r="HV420" s="19">
        <v>360</v>
      </c>
      <c r="HW420" s="19">
        <v>359</v>
      </c>
      <c r="HX420" s="19">
        <v>358</v>
      </c>
      <c r="HY420" s="19">
        <v>357</v>
      </c>
      <c r="HZ420" s="19">
        <v>356</v>
      </c>
      <c r="IA420" s="19">
        <v>355</v>
      </c>
      <c r="IB420" s="19">
        <v>355</v>
      </c>
      <c r="IC420" s="19">
        <v>354</v>
      </c>
    </row>
    <row r="421">
      <c r="A421" s="2" t="s">
        <v>2032</v>
      </c>
      <c r="B421" s="2" t="s">
        <v>255</v>
      </c>
      <c r="C421" s="2" t="s">
        <v>2023</v>
      </c>
      <c r="D421" s="2" t="s">
        <v>2033</v>
      </c>
      <c r="E421" s="2" t="s">
        <v>2034</v>
      </c>
      <c r="F421" s="2" t="s">
        <v>2024</v>
      </c>
      <c r="G421" s="2" t="s">
        <v>2024</v>
      </c>
      <c r="H421" s="2" t="s">
        <v>2024</v>
      </c>
      <c r="I421" s="2" t="s">
        <v>2035</v>
      </c>
      <c r="J421" s="2" t="s">
        <v>2036</v>
      </c>
      <c r="K421" s="2" t="s">
        <v>316</v>
      </c>
      <c r="L421" s="3">
        <v>20</v>
      </c>
      <c r="M421" s="3">
        <v>21</v>
      </c>
      <c r="N421" s="3">
        <v>24.99</v>
      </c>
      <c r="O421" s="2" t="s">
        <v>232</v>
      </c>
      <c r="P421" s="2" t="s">
        <v>878</v>
      </c>
      <c r="Q421" s="2" t="s">
        <v>234</v>
      </c>
      <c r="R421" s="2" t="s">
        <v>235</v>
      </c>
      <c r="S421" s="2" t="s">
        <v>235</v>
      </c>
      <c r="T421" s="2" t="s">
        <v>263</v>
      </c>
      <c r="U421" s="2" t="s">
        <v>807</v>
      </c>
      <c r="V421" s="2" t="s">
        <v>238</v>
      </c>
      <c r="W421" s="2" t="s">
        <v>1299</v>
      </c>
      <c r="X421" s="2" t="s">
        <v>235</v>
      </c>
      <c r="Y421" s="2" t="s">
        <v>1187</v>
      </c>
      <c r="Z421" s="4">
        <v>403</v>
      </c>
      <c r="AA421" s="4">
        <f>=ROUNDDOWN(251.875,0)</f>
      </c>
      <c r="AB421" s="5">
        <v>1.6</v>
      </c>
      <c r="AC421" s="2" t="s">
        <v>235</v>
      </c>
      <c r="AD421" s="4"/>
      <c r="AE421" s="4"/>
      <c r="AF421" s="6">
        <v>71</v>
      </c>
      <c r="AG421" s="6"/>
      <c r="AH421" s="7">
        <v>1</v>
      </c>
      <c r="AI421" s="4"/>
      <c r="AJ421" s="4">
        <f>=ROUNDDOWN({0},0)</f>
      </c>
      <c r="AK421" s="5"/>
      <c r="AL421" s="2" t="s">
        <v>235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235</v>
      </c>
      <c r="AW421" s="8" t="s">
        <v>235</v>
      </c>
      <c r="AX421" s="4" t="s">
        <v>235</v>
      </c>
      <c r="AY421" s="8" t="s">
        <v>235</v>
      </c>
      <c r="AZ421" s="7" t="s">
        <v>235</v>
      </c>
      <c r="BA421" s="7" t="s">
        <v>235</v>
      </c>
      <c r="BB421" s="7"/>
      <c r="BC421" s="4" t="s">
        <v>235</v>
      </c>
      <c r="BD421" s="8" t="s">
        <v>235</v>
      </c>
      <c r="BE421" s="4" t="s">
        <v>235</v>
      </c>
      <c r="BF421" s="8" t="s">
        <v>235</v>
      </c>
      <c r="BG421" s="7" t="s">
        <v>235</v>
      </c>
      <c r="BH421" s="7" t="s">
        <v>235</v>
      </c>
      <c r="BI421" s="7"/>
      <c r="BJ421" s="4">
        <v>7</v>
      </c>
      <c r="BK421" s="8">
        <v>102</v>
      </c>
      <c r="BL421" s="2" t="s">
        <v>900</v>
      </c>
      <c r="BM421" s="7"/>
      <c r="BN421" s="7"/>
      <c r="BO421" s="4"/>
      <c r="BP421" s="8"/>
      <c r="BQ421" s="4"/>
      <c r="BR421" s="8"/>
      <c r="BS421" s="7"/>
      <c r="BT421" s="7"/>
      <c r="BU421" s="2" t="s">
        <v>2037</v>
      </c>
      <c r="BV421" s="2" t="s">
        <v>235</v>
      </c>
      <c r="BW421" s="2" t="s">
        <v>235</v>
      </c>
      <c r="BX421" s="2" t="s">
        <v>244</v>
      </c>
      <c r="BY421" s="2" t="s">
        <v>245</v>
      </c>
      <c r="BZ421" s="2" t="s">
        <v>232</v>
      </c>
      <c r="CA421" s="2" t="s">
        <v>235</v>
      </c>
      <c r="CB421" s="2" t="s">
        <v>235</v>
      </c>
      <c r="CC421" s="2" t="s">
        <v>248</v>
      </c>
      <c r="CD421" s="2" t="s">
        <v>248</v>
      </c>
      <c r="CE421" s="2" t="s">
        <v>235</v>
      </c>
      <c r="CF421" s="4">
        <v>206</v>
      </c>
      <c r="CG421" s="4"/>
      <c r="CH421" s="4"/>
      <c r="CI421" s="4">
        <v>197</v>
      </c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>
        <v>406</v>
      </c>
      <c r="GE421" s="4">
        <v>400</v>
      </c>
      <c r="GF421" s="4">
        <v>398</v>
      </c>
      <c r="GG421" s="4">
        <v>396</v>
      </c>
      <c r="GH421" s="4">
        <v>395</v>
      </c>
      <c r="GI421" s="4">
        <v>393</v>
      </c>
      <c r="GJ421" s="4">
        <v>391</v>
      </c>
      <c r="GK421" s="4">
        <v>389</v>
      </c>
      <c r="GL421" s="4">
        <v>387</v>
      </c>
      <c r="GM421" s="4">
        <v>385</v>
      </c>
      <c r="GN421" s="4">
        <v>382</v>
      </c>
      <c r="GO421" s="4">
        <v>380</v>
      </c>
      <c r="GP421" s="4">
        <v>379</v>
      </c>
      <c r="GQ421" s="4">
        <v>377</v>
      </c>
      <c r="GR421" s="4">
        <v>373</v>
      </c>
      <c r="GS421" s="4">
        <v>372</v>
      </c>
      <c r="GT421" s="4">
        <v>371</v>
      </c>
      <c r="GU421" s="4">
        <v>370</v>
      </c>
      <c r="GV421" s="4">
        <v>368</v>
      </c>
      <c r="GW421" s="4">
        <v>367</v>
      </c>
      <c r="GX421" s="4">
        <v>365</v>
      </c>
      <c r="GY421" s="4">
        <v>363</v>
      </c>
      <c r="GZ421" s="4">
        <v>361</v>
      </c>
      <c r="HA421" s="4">
        <v>358</v>
      </c>
      <c r="HB421" s="4">
        <v>357</v>
      </c>
      <c r="HC421" s="4">
        <v>355</v>
      </c>
      <c r="HD421" s="19">
        <v>135.3</v>
      </c>
      <c r="HE421" s="19">
        <v>200</v>
      </c>
      <c r="HF421" s="19">
        <v>199</v>
      </c>
      <c r="HG421" s="19">
        <v>198</v>
      </c>
      <c r="HH421" s="19">
        <v>197.5</v>
      </c>
      <c r="HI421" s="19">
        <v>196.5</v>
      </c>
      <c r="HJ421" s="19">
        <v>195.5</v>
      </c>
      <c r="HK421" s="19">
        <v>194.5</v>
      </c>
      <c r="HL421" s="19">
        <v>193.5</v>
      </c>
      <c r="HM421" s="19">
        <v>192.5</v>
      </c>
      <c r="HN421" s="19">
        <v>191</v>
      </c>
      <c r="HO421" s="19">
        <v>190</v>
      </c>
      <c r="HP421" s="19">
        <v>189.5</v>
      </c>
      <c r="HQ421" s="19">
        <v>188.5</v>
      </c>
      <c r="HR421" s="19">
        <v>373</v>
      </c>
      <c r="HS421" s="19">
        <v>372</v>
      </c>
      <c r="HT421" s="19">
        <v>185.5</v>
      </c>
      <c r="HU421" s="19">
        <v>185</v>
      </c>
      <c r="HV421" s="19">
        <v>184</v>
      </c>
      <c r="HW421" s="19">
        <v>183.5</v>
      </c>
      <c r="HX421" s="19">
        <v>182.5</v>
      </c>
      <c r="HY421" s="19">
        <v>181.5</v>
      </c>
      <c r="HZ421" s="19">
        <v>180.5</v>
      </c>
      <c r="IA421" s="19">
        <v>179</v>
      </c>
      <c r="IB421" s="19">
        <v>119</v>
      </c>
      <c r="IC421" s="19">
        <v>88.8</v>
      </c>
    </row>
    <row r="422">
      <c r="A422" s="2" t="s">
        <v>2038</v>
      </c>
      <c r="B422" s="2" t="s">
        <v>905</v>
      </c>
      <c r="C422" s="2" t="s">
        <v>980</v>
      </c>
      <c r="D422" s="2" t="s">
        <v>990</v>
      </c>
      <c r="E422" s="2" t="s">
        <v>1329</v>
      </c>
      <c r="F422" s="2" t="s">
        <v>2039</v>
      </c>
      <c r="G422" s="2" t="s">
        <v>2039</v>
      </c>
      <c r="H422" s="2" t="s">
        <v>2039</v>
      </c>
      <c r="I422" s="2" t="s">
        <v>2040</v>
      </c>
      <c r="J422" s="2" t="s">
        <v>2041</v>
      </c>
      <c r="K422" s="2" t="s">
        <v>231</v>
      </c>
      <c r="L422" s="3">
        <v>16.1</v>
      </c>
      <c r="M422" s="3">
        <v>16.9</v>
      </c>
      <c r="N422" s="3">
        <v>34.99</v>
      </c>
      <c r="O422" s="2" t="s">
        <v>407</v>
      </c>
      <c r="P422" s="2" t="s">
        <v>408</v>
      </c>
      <c r="Q422" s="2" t="s">
        <v>234</v>
      </c>
      <c r="R422" s="2" t="s">
        <v>235</v>
      </c>
      <c r="S422" s="2" t="s">
        <v>2042</v>
      </c>
      <c r="T422" s="2" t="s">
        <v>1081</v>
      </c>
      <c r="U422" s="2" t="s">
        <v>235</v>
      </c>
      <c r="V422" s="2" t="s">
        <v>1222</v>
      </c>
      <c r="W422" s="2" t="s">
        <v>1798</v>
      </c>
      <c r="X422" s="2" t="s">
        <v>1596</v>
      </c>
      <c r="Y422" s="2" t="s">
        <v>240</v>
      </c>
      <c r="Z422" s="4"/>
      <c r="AA422" s="4">
        <f>=ROUNDDOWN({0},0)</f>
      </c>
      <c r="AB422" s="5">
        <v>36</v>
      </c>
      <c r="AC422" s="2" t="s">
        <v>235</v>
      </c>
      <c r="AD422" s="4"/>
      <c r="AE422" s="4"/>
      <c r="AF422" s="6">
        <v>65</v>
      </c>
      <c r="AG422" s="6"/>
      <c r="AH422" s="7">
        <v>0</v>
      </c>
      <c r="AI422" s="4"/>
      <c r="AJ422" s="4">
        <f>=ROUNDDOWN({0},0)</f>
      </c>
      <c r="AK422" s="5"/>
      <c r="AL422" s="2" t="s">
        <v>235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529</v>
      </c>
      <c r="BM422" s="7"/>
      <c r="BN422" s="7"/>
      <c r="BO422" s="4"/>
      <c r="BP422" s="8"/>
      <c r="BQ422" s="4"/>
      <c r="BR422" s="8"/>
      <c r="BS422" s="7"/>
      <c r="BT422" s="7"/>
      <c r="BU422" s="2" t="s">
        <v>2043</v>
      </c>
      <c r="BV422" s="2" t="s">
        <v>243</v>
      </c>
      <c r="BW422" s="2" t="s">
        <v>235</v>
      </c>
      <c r="BX422" s="2" t="s">
        <v>414</v>
      </c>
      <c r="BY422" s="2" t="s">
        <v>245</v>
      </c>
      <c r="BZ422" s="2" t="s">
        <v>232</v>
      </c>
      <c r="CA422" s="2" t="s">
        <v>2044</v>
      </c>
      <c r="CB422" s="2" t="s">
        <v>2045</v>
      </c>
      <c r="CC422" s="2" t="s">
        <v>248</v>
      </c>
      <c r="CD422" s="2" t="s">
        <v>248</v>
      </c>
      <c r="CE422" s="2" t="s">
        <v>235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20">
        <v>0</v>
      </c>
      <c r="HE422" s="20">
        <v>0</v>
      </c>
      <c r="HF422" s="20">
        <v>0</v>
      </c>
      <c r="HG422" s="20">
        <v>0</v>
      </c>
      <c r="HH422" s="20">
        <v>0</v>
      </c>
      <c r="HI422" s="20">
        <v>0</v>
      </c>
      <c r="HJ422" s="20">
        <v>0</v>
      </c>
      <c r="HK422" s="20">
        <v>0</v>
      </c>
      <c r="HL422" s="20">
        <v>0</v>
      </c>
      <c r="HM422" s="20">
        <v>0</v>
      </c>
      <c r="HN422" s="20">
        <v>0</v>
      </c>
      <c r="HO422" s="20">
        <v>0</v>
      </c>
      <c r="HP422" s="20">
        <v>0</v>
      </c>
      <c r="HQ422" s="20">
        <v>0</v>
      </c>
      <c r="HR422" s="20">
        <v>0</v>
      </c>
      <c r="HS422" s="20">
        <v>0</v>
      </c>
      <c r="HT422" s="20">
        <v>0</v>
      </c>
      <c r="HU422" s="20">
        <v>0</v>
      </c>
      <c r="HV422" s="20">
        <v>0</v>
      </c>
      <c r="HW422" s="20">
        <v>0</v>
      </c>
      <c r="HX422" s="20">
        <v>0</v>
      </c>
      <c r="HY422" s="20">
        <v>0</v>
      </c>
      <c r="HZ422" s="20">
        <v>0</v>
      </c>
      <c r="IA422" s="20">
        <v>0</v>
      </c>
      <c r="IB422" s="20">
        <v>0</v>
      </c>
      <c r="IC422" s="20">
        <v>0</v>
      </c>
    </row>
    <row r="423">
      <c r="A423" s="2" t="s">
        <v>2046</v>
      </c>
      <c r="B423" s="2" t="s">
        <v>905</v>
      </c>
      <c r="C423" s="2" t="s">
        <v>324</v>
      </c>
      <c r="D423" s="2" t="s">
        <v>990</v>
      </c>
      <c r="E423" s="2" t="s">
        <v>991</v>
      </c>
      <c r="F423" s="2" t="s">
        <v>2047</v>
      </c>
      <c r="G423" s="2" t="s">
        <v>2048</v>
      </c>
      <c r="H423" s="2" t="s">
        <v>2048</v>
      </c>
      <c r="I423" s="2" t="s">
        <v>2049</v>
      </c>
      <c r="J423" s="2" t="s">
        <v>993</v>
      </c>
      <c r="K423" s="2" t="s">
        <v>292</v>
      </c>
      <c r="L423" s="3">
        <v>28.57</v>
      </c>
      <c r="M423" s="3">
        <v>30</v>
      </c>
      <c r="N423" s="3">
        <v>59.99</v>
      </c>
      <c r="O423" s="2" t="s">
        <v>407</v>
      </c>
      <c r="P423" s="2" t="s">
        <v>408</v>
      </c>
      <c r="Q423" s="2" t="s">
        <v>234</v>
      </c>
      <c r="R423" s="2" t="s">
        <v>235</v>
      </c>
      <c r="S423" s="2" t="s">
        <v>2050</v>
      </c>
      <c r="T423" s="2" t="s">
        <v>912</v>
      </c>
      <c r="U423" s="2" t="s">
        <v>807</v>
      </c>
      <c r="V423" s="2" t="s">
        <v>238</v>
      </c>
      <c r="W423" s="2" t="s">
        <v>329</v>
      </c>
      <c r="X423" s="2" t="s">
        <v>1157</v>
      </c>
      <c r="Y423" s="2" t="s">
        <v>2051</v>
      </c>
      <c r="Z423" s="4">
        <v>199</v>
      </c>
      <c r="AA423" s="4">
        <f>=ROUNDDOWN(132.666666666667,0)</f>
      </c>
      <c r="AB423" s="5">
        <v>1.5</v>
      </c>
      <c r="AC423" s="2" t="s">
        <v>235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235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>
        <v>5</v>
      </c>
      <c r="BK423" s="8">
        <v>122.85</v>
      </c>
      <c r="BL423" s="2" t="s">
        <v>2052</v>
      </c>
      <c r="BM423" s="7"/>
      <c r="BN423" s="7"/>
      <c r="BO423" s="4"/>
      <c r="BP423" s="8"/>
      <c r="BQ423" s="4"/>
      <c r="BR423" s="8"/>
      <c r="BS423" s="7"/>
      <c r="BT423" s="7"/>
      <c r="BU423" s="2" t="s">
        <v>2053</v>
      </c>
      <c r="BV423" s="2" t="s">
        <v>243</v>
      </c>
      <c r="BW423" s="2" t="s">
        <v>235</v>
      </c>
      <c r="BX423" s="2" t="s">
        <v>414</v>
      </c>
      <c r="BY423" s="2" t="s">
        <v>245</v>
      </c>
      <c r="BZ423" s="2" t="s">
        <v>232</v>
      </c>
      <c r="CA423" s="2" t="s">
        <v>1366</v>
      </c>
      <c r="CB423" s="2" t="s">
        <v>1376</v>
      </c>
      <c r="CC423" s="2" t="s">
        <v>248</v>
      </c>
      <c r="CD423" s="2" t="s">
        <v>248</v>
      </c>
      <c r="CE423" s="2" t="s">
        <v>235</v>
      </c>
      <c r="CF423" s="4">
        <v>199</v>
      </c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>
        <v>199</v>
      </c>
      <c r="GE423" s="4">
        <v>197</v>
      </c>
      <c r="GF423" s="4">
        <v>195</v>
      </c>
      <c r="GG423" s="4">
        <v>193</v>
      </c>
      <c r="GH423" s="4">
        <v>191</v>
      </c>
      <c r="GI423" s="4">
        <v>188</v>
      </c>
      <c r="GJ423" s="4">
        <v>185</v>
      </c>
      <c r="GK423" s="4">
        <v>182</v>
      </c>
      <c r="GL423" s="4">
        <v>179</v>
      </c>
      <c r="GM423" s="4">
        <v>176</v>
      </c>
      <c r="GN423" s="4">
        <v>173</v>
      </c>
      <c r="GO423" s="4">
        <v>167</v>
      </c>
      <c r="GP423" s="4">
        <v>161</v>
      </c>
      <c r="GQ423" s="4">
        <v>151</v>
      </c>
      <c r="GR423" s="4">
        <v>143</v>
      </c>
      <c r="GS423" s="4">
        <v>132</v>
      </c>
      <c r="GT423" s="4">
        <v>127</v>
      </c>
      <c r="GU423" s="4">
        <v>123</v>
      </c>
      <c r="GV423" s="4">
        <v>118</v>
      </c>
      <c r="GW423" s="4">
        <v>116</v>
      </c>
      <c r="GX423" s="4">
        <v>114</v>
      </c>
      <c r="GY423" s="4">
        <v>112</v>
      </c>
      <c r="GZ423" s="4">
        <v>110</v>
      </c>
      <c r="HA423" s="4">
        <v>108</v>
      </c>
      <c r="HB423" s="4">
        <v>106</v>
      </c>
      <c r="HC423" s="4">
        <v>104</v>
      </c>
      <c r="HD423" s="19">
        <v>99.5</v>
      </c>
      <c r="HE423" s="19">
        <v>98.5</v>
      </c>
      <c r="HF423" s="19">
        <v>97.5</v>
      </c>
      <c r="HG423" s="19">
        <v>64.3</v>
      </c>
      <c r="HH423" s="19">
        <v>63.7</v>
      </c>
      <c r="HI423" s="19">
        <v>62.7</v>
      </c>
      <c r="HJ423" s="19">
        <v>61.7</v>
      </c>
      <c r="HK423" s="19">
        <v>45.5</v>
      </c>
      <c r="HL423" s="19">
        <v>44.8</v>
      </c>
      <c r="HM423" s="19">
        <v>29.3</v>
      </c>
      <c r="HN423" s="19">
        <v>21.6</v>
      </c>
      <c r="HO423" s="19">
        <v>18.6</v>
      </c>
      <c r="HP423" s="19">
        <v>20.1</v>
      </c>
      <c r="HQ423" s="19">
        <v>21.6</v>
      </c>
      <c r="HR423" s="19">
        <v>23.8</v>
      </c>
      <c r="HS423" s="19">
        <v>33</v>
      </c>
      <c r="HT423" s="19">
        <v>42.3</v>
      </c>
      <c r="HU423" s="19">
        <v>41</v>
      </c>
      <c r="HV423" s="19">
        <v>59</v>
      </c>
      <c r="HW423" s="19">
        <v>58</v>
      </c>
      <c r="HX423" s="19">
        <v>57</v>
      </c>
      <c r="HY423" s="19">
        <v>56</v>
      </c>
      <c r="HZ423" s="19">
        <v>55</v>
      </c>
      <c r="IA423" s="19">
        <v>54</v>
      </c>
      <c r="IB423" s="19">
        <v>53</v>
      </c>
      <c r="IC423" s="19">
        <v>52</v>
      </c>
    </row>
    <row r="424">
      <c r="A424" s="2" t="s">
        <v>2054</v>
      </c>
      <c r="B424" s="2" t="s">
        <v>871</v>
      </c>
      <c r="C424" s="2" t="s">
        <v>853</v>
      </c>
      <c r="D424" s="2" t="s">
        <v>906</v>
      </c>
      <c r="E424" s="2" t="s">
        <v>1301</v>
      </c>
      <c r="F424" s="2" t="s">
        <v>2055</v>
      </c>
      <c r="G424" s="2" t="s">
        <v>2056</v>
      </c>
      <c r="H424" s="2" t="s">
        <v>2057</v>
      </c>
      <c r="I424" s="2" t="s">
        <v>2058</v>
      </c>
      <c r="J424" s="2" t="s">
        <v>877</v>
      </c>
      <c r="K424" s="2" t="s">
        <v>338</v>
      </c>
      <c r="L424" s="3">
        <v>52.66</v>
      </c>
      <c r="M424" s="3">
        <v>55.29</v>
      </c>
      <c r="N424" s="3">
        <v>99.99</v>
      </c>
      <c r="O424" s="2" t="s">
        <v>407</v>
      </c>
      <c r="P424" s="2" t="s">
        <v>408</v>
      </c>
      <c r="Q424" s="2" t="s">
        <v>234</v>
      </c>
      <c r="R424" s="2" t="s">
        <v>235</v>
      </c>
      <c r="S424" s="2" t="s">
        <v>2059</v>
      </c>
      <c r="T424" s="2" t="s">
        <v>263</v>
      </c>
      <c r="U424" s="2" t="s">
        <v>282</v>
      </c>
      <c r="V424" s="2" t="s">
        <v>238</v>
      </c>
      <c r="W424" s="2" t="s">
        <v>2060</v>
      </c>
      <c r="X424" s="2" t="s">
        <v>2061</v>
      </c>
      <c r="Y424" s="2" t="s">
        <v>2062</v>
      </c>
      <c r="Z424" s="4">
        <v>319</v>
      </c>
      <c r="AA424" s="4">
        <f>=ROUNDDOWN(319,0)</f>
      </c>
      <c r="AB424" s="5">
        <v>1</v>
      </c>
      <c r="AC424" s="2" t="s">
        <v>235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235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235</v>
      </c>
      <c r="AW424" s="8" t="s">
        <v>235</v>
      </c>
      <c r="AX424" s="4" t="s">
        <v>235</v>
      </c>
      <c r="AY424" s="8" t="s">
        <v>235</v>
      </c>
      <c r="AZ424" s="7" t="s">
        <v>235</v>
      </c>
      <c r="BA424" s="7" t="s">
        <v>235</v>
      </c>
      <c r="BB424" s="7"/>
      <c r="BC424" s="4" t="s">
        <v>235</v>
      </c>
      <c r="BD424" s="8" t="s">
        <v>235</v>
      </c>
      <c r="BE424" s="4" t="s">
        <v>235</v>
      </c>
      <c r="BF424" s="8" t="s">
        <v>235</v>
      </c>
      <c r="BG424" s="7" t="s">
        <v>235</v>
      </c>
      <c r="BH424" s="7" t="s">
        <v>235</v>
      </c>
      <c r="BI424" s="7"/>
      <c r="BJ424" s="4"/>
      <c r="BK424" s="8"/>
      <c r="BL424" s="2" t="s">
        <v>602</v>
      </c>
      <c r="BM424" s="7"/>
      <c r="BN424" s="7"/>
      <c r="BO424" s="4"/>
      <c r="BP424" s="8"/>
      <c r="BQ424" s="4"/>
      <c r="BR424" s="8"/>
      <c r="BS424" s="7"/>
      <c r="BT424" s="7"/>
      <c r="BU424" s="2" t="s">
        <v>2063</v>
      </c>
      <c r="BV424" s="2" t="s">
        <v>243</v>
      </c>
      <c r="BW424" s="2" t="s">
        <v>235</v>
      </c>
      <c r="BX424" s="2" t="s">
        <v>244</v>
      </c>
      <c r="BY424" s="2" t="s">
        <v>245</v>
      </c>
      <c r="BZ424" s="2" t="s">
        <v>232</v>
      </c>
      <c r="CA424" s="2" t="s">
        <v>2064</v>
      </c>
      <c r="CB424" s="2" t="s">
        <v>2065</v>
      </c>
      <c r="CC424" s="2" t="s">
        <v>248</v>
      </c>
      <c r="CD424" s="2" t="s">
        <v>248</v>
      </c>
      <c r="CE424" s="2" t="s">
        <v>235</v>
      </c>
      <c r="CF424" s="4">
        <v>319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>
        <v>319</v>
      </c>
      <c r="GE424" s="4">
        <v>318</v>
      </c>
      <c r="GF424" s="4">
        <v>317</v>
      </c>
      <c r="GG424" s="4">
        <v>316</v>
      </c>
      <c r="GH424" s="4">
        <v>315</v>
      </c>
      <c r="GI424" s="4">
        <v>314</v>
      </c>
      <c r="GJ424" s="4">
        <v>313</v>
      </c>
      <c r="GK424" s="4">
        <v>312</v>
      </c>
      <c r="GL424" s="4">
        <v>311</v>
      </c>
      <c r="GM424" s="4">
        <v>310</v>
      </c>
      <c r="GN424" s="4">
        <v>307</v>
      </c>
      <c r="GO424" s="4">
        <v>304</v>
      </c>
      <c r="GP424" s="4">
        <v>301</v>
      </c>
      <c r="GQ424" s="4">
        <v>298</v>
      </c>
      <c r="GR424" s="4">
        <v>295</v>
      </c>
      <c r="GS424" s="4">
        <v>292</v>
      </c>
      <c r="GT424" s="4">
        <v>289</v>
      </c>
      <c r="GU424" s="4">
        <v>286</v>
      </c>
      <c r="GV424" s="4">
        <v>285</v>
      </c>
      <c r="GW424" s="4">
        <v>284</v>
      </c>
      <c r="GX424" s="4">
        <v>283</v>
      </c>
      <c r="GY424" s="4">
        <v>282</v>
      </c>
      <c r="GZ424" s="4">
        <v>281</v>
      </c>
      <c r="HA424" s="4">
        <v>280</v>
      </c>
      <c r="HB424" s="4">
        <v>279</v>
      </c>
      <c r="HC424" s="4">
        <v>278</v>
      </c>
      <c r="HD424" s="19">
        <v>319</v>
      </c>
      <c r="HE424" s="19">
        <v>318</v>
      </c>
      <c r="HF424" s="19">
        <v>317</v>
      </c>
      <c r="HG424" s="19">
        <v>316</v>
      </c>
      <c r="HH424" s="19">
        <v>315</v>
      </c>
      <c r="HI424" s="19">
        <v>314</v>
      </c>
      <c r="HJ424" s="19">
        <v>156.5</v>
      </c>
      <c r="HK424" s="19">
        <v>156</v>
      </c>
      <c r="HL424" s="19">
        <v>155.5</v>
      </c>
      <c r="HM424" s="19">
        <v>103.3</v>
      </c>
      <c r="HN424" s="19">
        <v>102.3</v>
      </c>
      <c r="HO424" s="19">
        <v>101.3</v>
      </c>
      <c r="HP424" s="19">
        <v>100.3</v>
      </c>
      <c r="HQ424" s="19">
        <v>99.3</v>
      </c>
      <c r="HR424" s="19">
        <v>147.5</v>
      </c>
      <c r="HS424" s="19">
        <v>146</v>
      </c>
      <c r="HT424" s="19">
        <v>144.5</v>
      </c>
      <c r="HU424" s="19">
        <v>286</v>
      </c>
      <c r="HV424" s="19">
        <v>285</v>
      </c>
      <c r="HW424" s="19">
        <v>284</v>
      </c>
      <c r="HX424" s="19">
        <v>283</v>
      </c>
      <c r="HY424" s="19">
        <v>282</v>
      </c>
      <c r="HZ424" s="19">
        <v>281</v>
      </c>
      <c r="IA424" s="19">
        <v>280</v>
      </c>
      <c r="IB424" s="19">
        <v>279</v>
      </c>
      <c r="IC424" s="19">
        <v>278</v>
      </c>
    </row>
    <row r="425">
      <c r="A425" s="2" t="s">
        <v>2066</v>
      </c>
      <c r="B425" s="2" t="s">
        <v>871</v>
      </c>
      <c r="C425" s="2" t="s">
        <v>853</v>
      </c>
      <c r="D425" s="2" t="s">
        <v>906</v>
      </c>
      <c r="E425" s="2" t="s">
        <v>1301</v>
      </c>
      <c r="F425" s="2" t="s">
        <v>2055</v>
      </c>
      <c r="G425" s="2" t="s">
        <v>2056</v>
      </c>
      <c r="H425" s="2" t="s">
        <v>2057</v>
      </c>
      <c r="I425" s="2" t="s">
        <v>2058</v>
      </c>
      <c r="J425" s="2" t="s">
        <v>372</v>
      </c>
      <c r="K425" s="2" t="s">
        <v>338</v>
      </c>
      <c r="L425" s="3">
        <v>81.05</v>
      </c>
      <c r="M425" s="3">
        <v>85.1</v>
      </c>
      <c r="N425" s="3">
        <v>154.99</v>
      </c>
      <c r="O425" s="2" t="s">
        <v>407</v>
      </c>
      <c r="P425" s="2" t="s">
        <v>408</v>
      </c>
      <c r="Q425" s="2" t="s">
        <v>234</v>
      </c>
      <c r="R425" s="2" t="s">
        <v>235</v>
      </c>
      <c r="S425" s="2" t="s">
        <v>2059</v>
      </c>
      <c r="T425" s="2" t="s">
        <v>263</v>
      </c>
      <c r="U425" s="2" t="s">
        <v>742</v>
      </c>
      <c r="V425" s="2" t="s">
        <v>238</v>
      </c>
      <c r="W425" s="2" t="s">
        <v>2060</v>
      </c>
      <c r="X425" s="2" t="s">
        <v>2061</v>
      </c>
      <c r="Y425" s="2" t="s">
        <v>2062</v>
      </c>
      <c r="Z425" s="4">
        <v>89</v>
      </c>
      <c r="AA425" s="4">
        <f>=ROUNDDOWN(127.142857142857,0)</f>
      </c>
      <c r="AB425" s="5">
        <v>0.7</v>
      </c>
      <c r="AC425" s="2" t="s">
        <v>235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235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235</v>
      </c>
      <c r="AW425" s="8" t="s">
        <v>235</v>
      </c>
      <c r="AX425" s="4" t="s">
        <v>235</v>
      </c>
      <c r="AY425" s="8" t="s">
        <v>235</v>
      </c>
      <c r="AZ425" s="7" t="s">
        <v>235</v>
      </c>
      <c r="BA425" s="7" t="s">
        <v>235</v>
      </c>
      <c r="BB425" s="7"/>
      <c r="BC425" s="4" t="s">
        <v>235</v>
      </c>
      <c r="BD425" s="8" t="s">
        <v>235</v>
      </c>
      <c r="BE425" s="4" t="s">
        <v>235</v>
      </c>
      <c r="BF425" s="8" t="s">
        <v>235</v>
      </c>
      <c r="BG425" s="7" t="s">
        <v>235</v>
      </c>
      <c r="BH425" s="7" t="s">
        <v>235</v>
      </c>
      <c r="BI425" s="7"/>
      <c r="BJ425" s="4">
        <v>2</v>
      </c>
      <c r="BK425" s="8">
        <v>169.66</v>
      </c>
      <c r="BL425" s="2" t="s">
        <v>2067</v>
      </c>
      <c r="BM425" s="7"/>
      <c r="BN425" s="7"/>
      <c r="BO425" s="4"/>
      <c r="BP425" s="8"/>
      <c r="BQ425" s="4"/>
      <c r="BR425" s="8"/>
      <c r="BS425" s="7"/>
      <c r="BT425" s="7"/>
      <c r="BU425" s="2" t="s">
        <v>2063</v>
      </c>
      <c r="BV425" s="2" t="s">
        <v>243</v>
      </c>
      <c r="BW425" s="2" t="s">
        <v>235</v>
      </c>
      <c r="BX425" s="2" t="s">
        <v>244</v>
      </c>
      <c r="BY425" s="2" t="s">
        <v>245</v>
      </c>
      <c r="BZ425" s="2" t="s">
        <v>232</v>
      </c>
      <c r="CA425" s="2" t="s">
        <v>2064</v>
      </c>
      <c r="CB425" s="2" t="s">
        <v>2068</v>
      </c>
      <c r="CC425" s="2" t="s">
        <v>248</v>
      </c>
      <c r="CD425" s="2" t="s">
        <v>248</v>
      </c>
      <c r="CE425" s="2" t="s">
        <v>235</v>
      </c>
      <c r="CF425" s="4">
        <v>89</v>
      </c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>
        <v>89</v>
      </c>
      <c r="GE425" s="4">
        <v>88</v>
      </c>
      <c r="GF425" s="4">
        <v>87</v>
      </c>
      <c r="GG425" s="4">
        <v>86</v>
      </c>
      <c r="GH425" s="4">
        <v>85</v>
      </c>
      <c r="GI425" s="4">
        <v>84</v>
      </c>
      <c r="GJ425" s="4">
        <v>83</v>
      </c>
      <c r="GK425" s="4">
        <v>82</v>
      </c>
      <c r="GL425" s="4">
        <v>81</v>
      </c>
      <c r="GM425" s="4">
        <v>80</v>
      </c>
      <c r="GN425" s="4">
        <v>78</v>
      </c>
      <c r="GO425" s="4">
        <v>76</v>
      </c>
      <c r="GP425" s="4">
        <v>74</v>
      </c>
      <c r="GQ425" s="4">
        <v>72</v>
      </c>
      <c r="GR425" s="4">
        <v>70</v>
      </c>
      <c r="GS425" s="4">
        <v>68</v>
      </c>
      <c r="GT425" s="4">
        <v>66</v>
      </c>
      <c r="GU425" s="4">
        <v>64</v>
      </c>
      <c r="GV425" s="4">
        <v>63</v>
      </c>
      <c r="GW425" s="4">
        <v>62</v>
      </c>
      <c r="GX425" s="4">
        <v>61</v>
      </c>
      <c r="GY425" s="4">
        <v>60</v>
      </c>
      <c r="GZ425" s="4">
        <v>59</v>
      </c>
      <c r="HA425" s="4">
        <v>58</v>
      </c>
      <c r="HB425" s="4">
        <v>57</v>
      </c>
      <c r="HC425" s="4">
        <v>56</v>
      </c>
      <c r="HD425" s="19">
        <v>89</v>
      </c>
      <c r="HE425" s="19">
        <v>88</v>
      </c>
      <c r="HF425" s="19">
        <v>87</v>
      </c>
      <c r="HG425" s="19">
        <v>86</v>
      </c>
      <c r="HH425" s="19">
        <v>85</v>
      </c>
      <c r="HI425" s="19">
        <v>84</v>
      </c>
      <c r="HJ425" s="19">
        <v>83</v>
      </c>
      <c r="HK425" s="19">
        <v>41</v>
      </c>
      <c r="HL425" s="19">
        <v>40.5</v>
      </c>
      <c r="HM425" s="19">
        <v>40</v>
      </c>
      <c r="HN425" s="19">
        <v>39</v>
      </c>
      <c r="HO425" s="19">
        <v>38</v>
      </c>
      <c r="HP425" s="19">
        <v>37</v>
      </c>
      <c r="HQ425" s="19">
        <v>36</v>
      </c>
      <c r="HR425" s="19">
        <v>35</v>
      </c>
      <c r="HS425" s="19">
        <v>34</v>
      </c>
      <c r="HT425" s="19">
        <v>66</v>
      </c>
      <c r="HU425" s="19">
        <v>64</v>
      </c>
      <c r="HV425" s="19">
        <v>63</v>
      </c>
      <c r="HW425" s="19">
        <v>62</v>
      </c>
      <c r="HX425" s="19">
        <v>61</v>
      </c>
      <c r="HY425" s="19">
        <v>60</v>
      </c>
      <c r="HZ425" s="19">
        <v>59</v>
      </c>
      <c r="IA425" s="19">
        <v>58</v>
      </c>
      <c r="IB425" s="19">
        <v>57</v>
      </c>
      <c r="IC425" s="19">
        <v>56</v>
      </c>
    </row>
    <row r="426">
      <c r="A426" s="2" t="s">
        <v>2069</v>
      </c>
      <c r="B426" s="2" t="s">
        <v>871</v>
      </c>
      <c r="C426" s="2" t="s">
        <v>853</v>
      </c>
      <c r="D426" s="2" t="s">
        <v>906</v>
      </c>
      <c r="E426" s="2" t="s">
        <v>1301</v>
      </c>
      <c r="F426" s="2" t="s">
        <v>2055</v>
      </c>
      <c r="G426" s="2" t="s">
        <v>2056</v>
      </c>
      <c r="H426" s="2" t="s">
        <v>2057</v>
      </c>
      <c r="I426" s="2" t="s">
        <v>2058</v>
      </c>
      <c r="J426" s="2" t="s">
        <v>365</v>
      </c>
      <c r="K426" s="2" t="s">
        <v>292</v>
      </c>
      <c r="L426" s="3">
        <v>70.94</v>
      </c>
      <c r="M426" s="3">
        <v>74.49</v>
      </c>
      <c r="N426" s="3">
        <v>134.99</v>
      </c>
      <c r="O426" s="2" t="s">
        <v>485</v>
      </c>
      <c r="P426" s="2" t="s">
        <v>408</v>
      </c>
      <c r="Q426" s="2" t="s">
        <v>234</v>
      </c>
      <c r="R426" s="2" t="s">
        <v>235</v>
      </c>
      <c r="S426" s="2" t="s">
        <v>2070</v>
      </c>
      <c r="T426" s="2" t="s">
        <v>263</v>
      </c>
      <c r="U426" s="2" t="s">
        <v>742</v>
      </c>
      <c r="V426" s="2" t="s">
        <v>238</v>
      </c>
      <c r="W426" s="2" t="s">
        <v>2060</v>
      </c>
      <c r="X426" s="2" t="s">
        <v>2061</v>
      </c>
      <c r="Y426" s="2" t="s">
        <v>2071</v>
      </c>
      <c r="Z426" s="4">
        <v>216</v>
      </c>
      <c r="AA426" s="4">
        <f>=ROUNDDOWN(135,0)</f>
      </c>
      <c r="AB426" s="5">
        <v>1.6</v>
      </c>
      <c r="AC426" s="2" t="s">
        <v>235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235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235</v>
      </c>
      <c r="BD426" s="8" t="s">
        <v>235</v>
      </c>
      <c r="BE426" s="4" t="s">
        <v>235</v>
      </c>
      <c r="BF426" s="8" t="s">
        <v>235</v>
      </c>
      <c r="BG426" s="7" t="s">
        <v>235</v>
      </c>
      <c r="BH426" s="7" t="s">
        <v>235</v>
      </c>
      <c r="BI426" s="7"/>
      <c r="BJ426" s="4">
        <v>7</v>
      </c>
      <c r="BK426" s="8">
        <v>523.25</v>
      </c>
      <c r="BL426" s="2" t="s">
        <v>2072</v>
      </c>
      <c r="BM426" s="7"/>
      <c r="BN426" s="7"/>
      <c r="BO426" s="4"/>
      <c r="BP426" s="8"/>
      <c r="BQ426" s="4"/>
      <c r="BR426" s="8"/>
      <c r="BS426" s="7"/>
      <c r="BT426" s="7"/>
      <c r="BU426" s="2" t="s">
        <v>2063</v>
      </c>
      <c r="BV426" s="2" t="s">
        <v>243</v>
      </c>
      <c r="BW426" s="2" t="s">
        <v>235</v>
      </c>
      <c r="BX426" s="2" t="s">
        <v>244</v>
      </c>
      <c r="BY426" s="2" t="s">
        <v>245</v>
      </c>
      <c r="BZ426" s="2" t="s">
        <v>232</v>
      </c>
      <c r="CA426" s="2" t="s">
        <v>2073</v>
      </c>
      <c r="CB426" s="2" t="s">
        <v>514</v>
      </c>
      <c r="CC426" s="2" t="s">
        <v>248</v>
      </c>
      <c r="CD426" s="2" t="s">
        <v>248</v>
      </c>
      <c r="CE426" s="2" t="s">
        <v>235</v>
      </c>
      <c r="CF426" s="4">
        <v>171</v>
      </c>
      <c r="CG426" s="4">
        <v>45</v>
      </c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>
        <v>216</v>
      </c>
      <c r="GE426" s="4">
        <v>207</v>
      </c>
      <c r="GF426" s="4">
        <v>205</v>
      </c>
      <c r="GG426" s="4">
        <v>202</v>
      </c>
      <c r="GH426" s="4">
        <v>199</v>
      </c>
      <c r="GI426" s="4">
        <v>196</v>
      </c>
      <c r="GJ426" s="4">
        <v>193</v>
      </c>
      <c r="GK426" s="4">
        <v>190</v>
      </c>
      <c r="GL426" s="4">
        <v>187</v>
      </c>
      <c r="GM426" s="4">
        <v>184</v>
      </c>
      <c r="GN426" s="4">
        <v>180</v>
      </c>
      <c r="GO426" s="4">
        <v>177</v>
      </c>
      <c r="GP426" s="4">
        <v>174</v>
      </c>
      <c r="GQ426" s="4">
        <v>171</v>
      </c>
      <c r="GR426" s="4">
        <v>168</v>
      </c>
      <c r="GS426" s="4">
        <v>165</v>
      </c>
      <c r="GT426" s="4">
        <v>162</v>
      </c>
      <c r="GU426" s="4">
        <v>159</v>
      </c>
      <c r="GV426" s="4">
        <v>157</v>
      </c>
      <c r="GW426" s="4">
        <v>155</v>
      </c>
      <c r="GX426" s="4">
        <v>153</v>
      </c>
      <c r="GY426" s="4">
        <v>151</v>
      </c>
      <c r="GZ426" s="4">
        <v>149</v>
      </c>
      <c r="HA426" s="4">
        <v>147</v>
      </c>
      <c r="HB426" s="4">
        <v>145</v>
      </c>
      <c r="HC426" s="4">
        <v>143</v>
      </c>
      <c r="HD426" s="19">
        <v>54</v>
      </c>
      <c r="HE426" s="19">
        <v>69</v>
      </c>
      <c r="HF426" s="19">
        <v>68.3</v>
      </c>
      <c r="HG426" s="19">
        <v>67.3</v>
      </c>
      <c r="HH426" s="19">
        <v>66.3</v>
      </c>
      <c r="HI426" s="19">
        <v>65.3</v>
      </c>
      <c r="HJ426" s="19">
        <v>64.3</v>
      </c>
      <c r="HK426" s="19">
        <v>63.3</v>
      </c>
      <c r="HL426" s="19">
        <v>62.3</v>
      </c>
      <c r="HM426" s="19">
        <v>61.3</v>
      </c>
      <c r="HN426" s="19">
        <v>60</v>
      </c>
      <c r="HO426" s="19">
        <v>59</v>
      </c>
      <c r="HP426" s="19">
        <v>58</v>
      </c>
      <c r="HQ426" s="19">
        <v>57</v>
      </c>
      <c r="HR426" s="19">
        <v>56</v>
      </c>
      <c r="HS426" s="19">
        <v>82.5</v>
      </c>
      <c r="HT426" s="19">
        <v>81</v>
      </c>
      <c r="HU426" s="19">
        <v>79.5</v>
      </c>
      <c r="HV426" s="19">
        <v>78.5</v>
      </c>
      <c r="HW426" s="19">
        <v>77.5</v>
      </c>
      <c r="HX426" s="19">
        <v>76.5</v>
      </c>
      <c r="HY426" s="19">
        <v>75.5</v>
      </c>
      <c r="HZ426" s="19">
        <v>74.5</v>
      </c>
      <c r="IA426" s="19">
        <v>73.5</v>
      </c>
      <c r="IB426" s="19">
        <v>72.5</v>
      </c>
      <c r="IC426" s="19">
        <v>71.5</v>
      </c>
    </row>
    <row r="427">
      <c r="A427" s="2" t="s">
        <v>2074</v>
      </c>
      <c r="B427" s="2" t="s">
        <v>871</v>
      </c>
      <c r="C427" s="2" t="s">
        <v>853</v>
      </c>
      <c r="D427" s="2" t="s">
        <v>361</v>
      </c>
      <c r="E427" s="2" t="s">
        <v>872</v>
      </c>
      <c r="F427" s="2" t="s">
        <v>2055</v>
      </c>
      <c r="G427" s="2" t="s">
        <v>2056</v>
      </c>
      <c r="H427" s="2" t="s">
        <v>2057</v>
      </c>
      <c r="I427" s="2" t="s">
        <v>2075</v>
      </c>
      <c r="J427" s="2" t="s">
        <v>372</v>
      </c>
      <c r="K427" s="2" t="s">
        <v>295</v>
      </c>
      <c r="L427" s="3">
        <v>85.91</v>
      </c>
      <c r="M427" s="3">
        <v>90.21</v>
      </c>
      <c r="N427" s="3">
        <v>169.99</v>
      </c>
      <c r="O427" s="2" t="s">
        <v>232</v>
      </c>
      <c r="P427" s="2" t="s">
        <v>336</v>
      </c>
      <c r="Q427" s="2" t="s">
        <v>234</v>
      </c>
      <c r="R427" s="2" t="s">
        <v>235</v>
      </c>
      <c r="S427" s="2" t="s">
        <v>2076</v>
      </c>
      <c r="T427" s="2" t="s">
        <v>263</v>
      </c>
      <c r="U427" s="2" t="s">
        <v>742</v>
      </c>
      <c r="V427" s="2" t="s">
        <v>238</v>
      </c>
      <c r="W427" s="2" t="s">
        <v>2060</v>
      </c>
      <c r="X427" s="2" t="s">
        <v>2061</v>
      </c>
      <c r="Y427" s="2" t="s">
        <v>2077</v>
      </c>
      <c r="Z427" s="4">
        <v>172</v>
      </c>
      <c r="AA427" s="4">
        <f>=ROUNDDOWN(74.7826086956522,0)</f>
      </c>
      <c r="AB427" s="5">
        <v>2.3</v>
      </c>
      <c r="AC427" s="2" t="s">
        <v>235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235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235</v>
      </c>
      <c r="BD427" s="8" t="s">
        <v>235</v>
      </c>
      <c r="BE427" s="4" t="s">
        <v>235</v>
      </c>
      <c r="BF427" s="8" t="s">
        <v>235</v>
      </c>
      <c r="BG427" s="7" t="s">
        <v>235</v>
      </c>
      <c r="BH427" s="7" t="s">
        <v>235</v>
      </c>
      <c r="BI427" s="7"/>
      <c r="BJ427" s="4">
        <v>12</v>
      </c>
      <c r="BK427" s="8">
        <v>1270.18</v>
      </c>
      <c r="BL427" s="2" t="s">
        <v>2078</v>
      </c>
      <c r="BM427" s="7"/>
      <c r="BN427" s="7"/>
      <c r="BO427" s="4"/>
      <c r="BP427" s="8"/>
      <c r="BQ427" s="4"/>
      <c r="BR427" s="8"/>
      <c r="BS427" s="7"/>
      <c r="BT427" s="7"/>
      <c r="BU427" s="2" t="s">
        <v>2079</v>
      </c>
      <c r="BV427" s="2" t="s">
        <v>243</v>
      </c>
      <c r="BW427" s="2" t="s">
        <v>235</v>
      </c>
      <c r="BX427" s="2" t="s">
        <v>383</v>
      </c>
      <c r="BY427" s="2" t="s">
        <v>245</v>
      </c>
      <c r="BZ427" s="2" t="s">
        <v>232</v>
      </c>
      <c r="CA427" s="2" t="s">
        <v>510</v>
      </c>
      <c r="CB427" s="2" t="s">
        <v>2080</v>
      </c>
      <c r="CC427" s="2" t="s">
        <v>248</v>
      </c>
      <c r="CD427" s="2" t="s">
        <v>248</v>
      </c>
      <c r="CE427" s="2" t="s">
        <v>235</v>
      </c>
      <c r="CF427" s="4">
        <v>90</v>
      </c>
      <c r="CG427" s="4"/>
      <c r="CH427" s="4"/>
      <c r="CI427" s="4">
        <v>82</v>
      </c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>
        <v>173</v>
      </c>
      <c r="GE427" s="4">
        <v>170</v>
      </c>
      <c r="GF427" s="4">
        <v>168</v>
      </c>
      <c r="GG427" s="4">
        <v>166</v>
      </c>
      <c r="GH427" s="4">
        <v>164</v>
      </c>
      <c r="GI427" s="4">
        <v>162</v>
      </c>
      <c r="GJ427" s="4">
        <v>160</v>
      </c>
      <c r="GK427" s="4">
        <v>158</v>
      </c>
      <c r="GL427" s="4">
        <v>156</v>
      </c>
      <c r="GM427" s="4">
        <v>154</v>
      </c>
      <c r="GN427" s="4">
        <v>151</v>
      </c>
      <c r="GO427" s="4">
        <v>148</v>
      </c>
      <c r="GP427" s="4">
        <v>145</v>
      </c>
      <c r="GQ427" s="4">
        <v>142</v>
      </c>
      <c r="GR427" s="4">
        <v>139</v>
      </c>
      <c r="GS427" s="4">
        <v>136</v>
      </c>
      <c r="GT427" s="4">
        <v>133</v>
      </c>
      <c r="GU427" s="4">
        <v>130</v>
      </c>
      <c r="GV427" s="4">
        <v>128</v>
      </c>
      <c r="GW427" s="4">
        <v>126</v>
      </c>
      <c r="GX427" s="4">
        <v>124</v>
      </c>
      <c r="GY427" s="4">
        <v>122</v>
      </c>
      <c r="GZ427" s="4">
        <v>120</v>
      </c>
      <c r="HA427" s="4">
        <v>118</v>
      </c>
      <c r="HB427" s="4">
        <v>116</v>
      </c>
      <c r="HC427" s="4">
        <v>114</v>
      </c>
      <c r="HD427" s="19">
        <v>86.5</v>
      </c>
      <c r="HE427" s="19">
        <v>85</v>
      </c>
      <c r="HF427" s="19">
        <v>84</v>
      </c>
      <c r="HG427" s="19">
        <v>83</v>
      </c>
      <c r="HH427" s="19">
        <v>82</v>
      </c>
      <c r="HI427" s="19">
        <v>81</v>
      </c>
      <c r="HJ427" s="19">
        <v>80</v>
      </c>
      <c r="HK427" s="19">
        <v>79</v>
      </c>
      <c r="HL427" s="19">
        <v>52</v>
      </c>
      <c r="HM427" s="19">
        <v>51.3</v>
      </c>
      <c r="HN427" s="19">
        <v>50.3</v>
      </c>
      <c r="HO427" s="19">
        <v>49.3</v>
      </c>
      <c r="HP427" s="19">
        <v>48.3</v>
      </c>
      <c r="HQ427" s="19">
        <v>47.3</v>
      </c>
      <c r="HR427" s="19">
        <v>46.3</v>
      </c>
      <c r="HS427" s="19">
        <v>68</v>
      </c>
      <c r="HT427" s="19">
        <v>66.5</v>
      </c>
      <c r="HU427" s="19">
        <v>65</v>
      </c>
      <c r="HV427" s="19">
        <v>64</v>
      </c>
      <c r="HW427" s="19">
        <v>63</v>
      </c>
      <c r="HX427" s="19">
        <v>62</v>
      </c>
      <c r="HY427" s="19">
        <v>61</v>
      </c>
      <c r="HZ427" s="19">
        <v>60</v>
      </c>
      <c r="IA427" s="19">
        <v>59</v>
      </c>
      <c r="IB427" s="19">
        <v>58</v>
      </c>
      <c r="IC427" s="19">
        <v>57</v>
      </c>
    </row>
    <row r="428">
      <c r="A428" s="2" t="s">
        <v>2081</v>
      </c>
      <c r="B428" s="2" t="s">
        <v>871</v>
      </c>
      <c r="C428" s="2" t="s">
        <v>853</v>
      </c>
      <c r="D428" s="2" t="s">
        <v>361</v>
      </c>
      <c r="E428" s="2" t="s">
        <v>872</v>
      </c>
      <c r="F428" s="2" t="s">
        <v>2055</v>
      </c>
      <c r="G428" s="2" t="s">
        <v>2056</v>
      </c>
      <c r="H428" s="2" t="s">
        <v>2057</v>
      </c>
      <c r="I428" s="2" t="s">
        <v>2075</v>
      </c>
      <c r="J428" s="2" t="s">
        <v>372</v>
      </c>
      <c r="K428" s="2" t="s">
        <v>600</v>
      </c>
      <c r="L428" s="3">
        <v>85.91</v>
      </c>
      <c r="M428" s="3">
        <v>90.21</v>
      </c>
      <c r="N428" s="3">
        <v>169.99</v>
      </c>
      <c r="O428" s="2" t="s">
        <v>232</v>
      </c>
      <c r="P428" s="2" t="s">
        <v>233</v>
      </c>
      <c r="Q428" s="2" t="s">
        <v>234</v>
      </c>
      <c r="R428" s="2" t="s">
        <v>235</v>
      </c>
      <c r="S428" s="2" t="s">
        <v>2082</v>
      </c>
      <c r="T428" s="2" t="s">
        <v>263</v>
      </c>
      <c r="U428" s="2" t="s">
        <v>742</v>
      </c>
      <c r="V428" s="2" t="s">
        <v>238</v>
      </c>
      <c r="W428" s="2" t="s">
        <v>2060</v>
      </c>
      <c r="X428" s="2" t="s">
        <v>2061</v>
      </c>
      <c r="Y428" s="2" t="s">
        <v>2062</v>
      </c>
      <c r="Z428" s="4">
        <v>106</v>
      </c>
      <c r="AA428" s="4">
        <f>=ROUNDDOWN(81.5384615384615,0)</f>
      </c>
      <c r="AB428" s="5">
        <v>1.3</v>
      </c>
      <c r="AC428" s="2" t="s">
        <v>235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235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235</v>
      </c>
      <c r="BD428" s="8" t="s">
        <v>235</v>
      </c>
      <c r="BE428" s="4" t="s">
        <v>235</v>
      </c>
      <c r="BF428" s="8" t="s">
        <v>235</v>
      </c>
      <c r="BG428" s="7" t="s">
        <v>235</v>
      </c>
      <c r="BH428" s="7" t="s">
        <v>235</v>
      </c>
      <c r="BI428" s="7"/>
      <c r="BJ428" s="4">
        <v>5</v>
      </c>
      <c r="BK428" s="8">
        <v>529.35</v>
      </c>
      <c r="BL428" s="2" t="s">
        <v>2083</v>
      </c>
      <c r="BM428" s="7"/>
      <c r="BN428" s="7"/>
      <c r="BO428" s="4"/>
      <c r="BP428" s="8"/>
      <c r="BQ428" s="4"/>
      <c r="BR428" s="8"/>
      <c r="BS428" s="7"/>
      <c r="BT428" s="7"/>
      <c r="BU428" s="2" t="s">
        <v>2079</v>
      </c>
      <c r="BV428" s="2" t="s">
        <v>243</v>
      </c>
      <c r="BW428" s="2" t="s">
        <v>235</v>
      </c>
      <c r="BX428" s="2" t="s">
        <v>383</v>
      </c>
      <c r="BY428" s="2" t="s">
        <v>245</v>
      </c>
      <c r="BZ428" s="2" t="s">
        <v>232</v>
      </c>
      <c r="CA428" s="2" t="s">
        <v>2062</v>
      </c>
      <c r="CB428" s="2" t="s">
        <v>2068</v>
      </c>
      <c r="CC428" s="2" t="s">
        <v>248</v>
      </c>
      <c r="CD428" s="2" t="s">
        <v>248</v>
      </c>
      <c r="CE428" s="2" t="s">
        <v>235</v>
      </c>
      <c r="CF428" s="4">
        <v>106</v>
      </c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>
        <v>106</v>
      </c>
      <c r="GE428" s="4">
        <v>105</v>
      </c>
      <c r="GF428" s="4">
        <v>104</v>
      </c>
      <c r="GG428" s="4">
        <v>103</v>
      </c>
      <c r="GH428" s="4">
        <v>102</v>
      </c>
      <c r="GI428" s="4">
        <v>101</v>
      </c>
      <c r="GJ428" s="4">
        <v>100</v>
      </c>
      <c r="GK428" s="4">
        <v>99</v>
      </c>
      <c r="GL428" s="4">
        <v>98</v>
      </c>
      <c r="GM428" s="4">
        <v>97</v>
      </c>
      <c r="GN428" s="4">
        <v>95</v>
      </c>
      <c r="GO428" s="4">
        <v>93</v>
      </c>
      <c r="GP428" s="4">
        <v>91</v>
      </c>
      <c r="GQ428" s="4">
        <v>89</v>
      </c>
      <c r="GR428" s="4">
        <v>87</v>
      </c>
      <c r="GS428" s="4">
        <v>85</v>
      </c>
      <c r="GT428" s="4">
        <v>83</v>
      </c>
      <c r="GU428" s="4">
        <v>81</v>
      </c>
      <c r="GV428" s="4">
        <v>80</v>
      </c>
      <c r="GW428" s="4">
        <v>79</v>
      </c>
      <c r="GX428" s="4">
        <v>78</v>
      </c>
      <c r="GY428" s="4">
        <v>77</v>
      </c>
      <c r="GZ428" s="4">
        <v>76</v>
      </c>
      <c r="HA428" s="4">
        <v>75</v>
      </c>
      <c r="HB428" s="4">
        <v>74</v>
      </c>
      <c r="HC428" s="4">
        <v>73</v>
      </c>
      <c r="HD428" s="19">
        <v>106</v>
      </c>
      <c r="HE428" s="19">
        <v>105</v>
      </c>
      <c r="HF428" s="19">
        <v>104</v>
      </c>
      <c r="HG428" s="19">
        <v>103</v>
      </c>
      <c r="HH428" s="19">
        <v>102</v>
      </c>
      <c r="HI428" s="19">
        <v>101</v>
      </c>
      <c r="HJ428" s="19">
        <v>100</v>
      </c>
      <c r="HK428" s="19">
        <v>49.5</v>
      </c>
      <c r="HL428" s="19">
        <v>49</v>
      </c>
      <c r="HM428" s="19">
        <v>48.5</v>
      </c>
      <c r="HN428" s="19">
        <v>47.5</v>
      </c>
      <c r="HO428" s="19">
        <v>46.5</v>
      </c>
      <c r="HP428" s="19">
        <v>45.5</v>
      </c>
      <c r="HQ428" s="19">
        <v>44.5</v>
      </c>
      <c r="HR428" s="19">
        <v>43.5</v>
      </c>
      <c r="HS428" s="19">
        <v>42.5</v>
      </c>
      <c r="HT428" s="19">
        <v>83</v>
      </c>
      <c r="HU428" s="19">
        <v>81</v>
      </c>
      <c r="HV428" s="19">
        <v>80</v>
      </c>
      <c r="HW428" s="19">
        <v>79</v>
      </c>
      <c r="HX428" s="19">
        <v>78</v>
      </c>
      <c r="HY428" s="19">
        <v>77</v>
      </c>
      <c r="HZ428" s="19">
        <v>76</v>
      </c>
      <c r="IA428" s="19">
        <v>75</v>
      </c>
      <c r="IB428" s="19">
        <v>74</v>
      </c>
      <c r="IC428" s="19">
        <v>73</v>
      </c>
    </row>
    <row r="429">
      <c r="A429" s="2" t="s">
        <v>2084</v>
      </c>
      <c r="B429" s="2" t="s">
        <v>871</v>
      </c>
      <c r="C429" s="2" t="s">
        <v>853</v>
      </c>
      <c r="D429" s="2" t="s">
        <v>906</v>
      </c>
      <c r="E429" s="2" t="s">
        <v>1301</v>
      </c>
      <c r="F429" s="2" t="s">
        <v>2055</v>
      </c>
      <c r="G429" s="2" t="s">
        <v>2056</v>
      </c>
      <c r="H429" s="2" t="s">
        <v>2057</v>
      </c>
      <c r="I429" s="2" t="s">
        <v>2058</v>
      </c>
      <c r="J429" s="2" t="s">
        <v>877</v>
      </c>
      <c r="K429" s="2" t="s">
        <v>889</v>
      </c>
      <c r="L429" s="3">
        <v>52.66</v>
      </c>
      <c r="M429" s="3">
        <v>55.29</v>
      </c>
      <c r="N429" s="3">
        <v>99.99</v>
      </c>
      <c r="O429" s="2" t="s">
        <v>232</v>
      </c>
      <c r="P429" s="2" t="s">
        <v>233</v>
      </c>
      <c r="Q429" s="2" t="s">
        <v>234</v>
      </c>
      <c r="R429" s="2" t="s">
        <v>235</v>
      </c>
      <c r="S429" s="2" t="s">
        <v>2085</v>
      </c>
      <c r="T429" s="2" t="s">
        <v>263</v>
      </c>
      <c r="U429" s="2" t="s">
        <v>282</v>
      </c>
      <c r="V429" s="2" t="s">
        <v>238</v>
      </c>
      <c r="W429" s="2" t="s">
        <v>2060</v>
      </c>
      <c r="X429" s="2" t="s">
        <v>2061</v>
      </c>
      <c r="Y429" s="2" t="s">
        <v>2077</v>
      </c>
      <c r="Z429" s="4">
        <v>195</v>
      </c>
      <c r="AA429" s="4">
        <f>=ROUNDDOWN(88.6363636363636,0)</f>
      </c>
      <c r="AB429" s="5">
        <v>2.2</v>
      </c>
      <c r="AC429" s="2" t="s">
        <v>235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235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235</v>
      </c>
      <c r="AW429" s="8" t="s">
        <v>235</v>
      </c>
      <c r="AX429" s="4" t="s">
        <v>235</v>
      </c>
      <c r="AY429" s="8" t="s">
        <v>235</v>
      </c>
      <c r="AZ429" s="7" t="s">
        <v>235</v>
      </c>
      <c r="BA429" s="7" t="s">
        <v>235</v>
      </c>
      <c r="BB429" s="7"/>
      <c r="BC429" s="4" t="s">
        <v>235</v>
      </c>
      <c r="BD429" s="8" t="s">
        <v>235</v>
      </c>
      <c r="BE429" s="4" t="s">
        <v>235</v>
      </c>
      <c r="BF429" s="8" t="s">
        <v>235</v>
      </c>
      <c r="BG429" s="7" t="s">
        <v>235</v>
      </c>
      <c r="BH429" s="7" t="s">
        <v>235</v>
      </c>
      <c r="BI429" s="7"/>
      <c r="BJ429" s="4">
        <v>9</v>
      </c>
      <c r="BK429" s="8">
        <v>559.41</v>
      </c>
      <c r="BL429" s="2" t="s">
        <v>2086</v>
      </c>
      <c r="BM429" s="7"/>
      <c r="BN429" s="7"/>
      <c r="BO429" s="4"/>
      <c r="BP429" s="8"/>
      <c r="BQ429" s="4"/>
      <c r="BR429" s="8"/>
      <c r="BS429" s="7"/>
      <c r="BT429" s="7"/>
      <c r="BU429" s="2" t="s">
        <v>2063</v>
      </c>
      <c r="BV429" s="2" t="s">
        <v>243</v>
      </c>
      <c r="BW429" s="2" t="s">
        <v>235</v>
      </c>
      <c r="BX429" s="2" t="s">
        <v>244</v>
      </c>
      <c r="BY429" s="2" t="s">
        <v>245</v>
      </c>
      <c r="BZ429" s="2" t="s">
        <v>232</v>
      </c>
      <c r="CA429" s="2" t="s">
        <v>510</v>
      </c>
      <c r="CB429" s="2" t="s">
        <v>2087</v>
      </c>
      <c r="CC429" s="2" t="s">
        <v>248</v>
      </c>
      <c r="CD429" s="2" t="s">
        <v>248</v>
      </c>
      <c r="CE429" s="2" t="s">
        <v>235</v>
      </c>
      <c r="CF429" s="4">
        <v>121</v>
      </c>
      <c r="CG429" s="4"/>
      <c r="CH429" s="4"/>
      <c r="CI429" s="4">
        <v>74</v>
      </c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>
        <v>196</v>
      </c>
      <c r="GE429" s="4">
        <v>186</v>
      </c>
      <c r="GF429" s="4">
        <v>184</v>
      </c>
      <c r="GG429" s="4">
        <v>180</v>
      </c>
      <c r="GH429" s="4">
        <v>176</v>
      </c>
      <c r="GI429" s="4">
        <v>172</v>
      </c>
      <c r="GJ429" s="4">
        <v>168</v>
      </c>
      <c r="GK429" s="4">
        <v>164</v>
      </c>
      <c r="GL429" s="4">
        <v>160</v>
      </c>
      <c r="GM429" s="4">
        <v>156</v>
      </c>
      <c r="GN429" s="4">
        <v>150</v>
      </c>
      <c r="GO429" s="4">
        <v>146</v>
      </c>
      <c r="GP429" s="4">
        <v>142</v>
      </c>
      <c r="GQ429" s="4">
        <v>138</v>
      </c>
      <c r="GR429" s="4">
        <v>134</v>
      </c>
      <c r="GS429" s="4">
        <v>130</v>
      </c>
      <c r="GT429" s="4">
        <v>126</v>
      </c>
      <c r="GU429" s="4">
        <v>122</v>
      </c>
      <c r="GV429" s="4">
        <v>120</v>
      </c>
      <c r="GW429" s="4">
        <v>118</v>
      </c>
      <c r="GX429" s="4">
        <v>116</v>
      </c>
      <c r="GY429" s="4">
        <v>114</v>
      </c>
      <c r="GZ429" s="4">
        <v>112</v>
      </c>
      <c r="HA429" s="4">
        <v>110</v>
      </c>
      <c r="HB429" s="4">
        <v>108</v>
      </c>
      <c r="HC429" s="4">
        <v>106</v>
      </c>
      <c r="HD429" s="19">
        <v>39.2</v>
      </c>
      <c r="HE429" s="19">
        <v>46.5</v>
      </c>
      <c r="HF429" s="19">
        <v>46</v>
      </c>
      <c r="HG429" s="19">
        <v>45</v>
      </c>
      <c r="HH429" s="19">
        <v>44</v>
      </c>
      <c r="HI429" s="19">
        <v>43</v>
      </c>
      <c r="HJ429" s="19">
        <v>42</v>
      </c>
      <c r="HK429" s="19">
        <v>41</v>
      </c>
      <c r="HL429" s="19">
        <v>40</v>
      </c>
      <c r="HM429" s="19">
        <v>39</v>
      </c>
      <c r="HN429" s="19">
        <v>37.5</v>
      </c>
      <c r="HO429" s="19">
        <v>36.5</v>
      </c>
      <c r="HP429" s="19">
        <v>35.5</v>
      </c>
      <c r="HQ429" s="19">
        <v>34.5</v>
      </c>
      <c r="HR429" s="19">
        <v>33.5</v>
      </c>
      <c r="HS429" s="19">
        <v>43.3</v>
      </c>
      <c r="HT429" s="19">
        <v>63</v>
      </c>
      <c r="HU429" s="19">
        <v>61</v>
      </c>
      <c r="HV429" s="19">
        <v>60</v>
      </c>
      <c r="HW429" s="19">
        <v>59</v>
      </c>
      <c r="HX429" s="19">
        <v>58</v>
      </c>
      <c r="HY429" s="19">
        <v>57</v>
      </c>
      <c r="HZ429" s="19">
        <v>56</v>
      </c>
      <c r="IA429" s="19">
        <v>55</v>
      </c>
      <c r="IB429" s="19">
        <v>54</v>
      </c>
      <c r="IC429" s="19">
        <v>53</v>
      </c>
    </row>
    <row r="430">
      <c r="A430" s="2" t="s">
        <v>2088</v>
      </c>
      <c r="B430" s="2" t="s">
        <v>871</v>
      </c>
      <c r="C430" s="2" t="s">
        <v>853</v>
      </c>
      <c r="D430" s="2" t="s">
        <v>906</v>
      </c>
      <c r="E430" s="2" t="s">
        <v>1301</v>
      </c>
      <c r="F430" s="2" t="s">
        <v>2055</v>
      </c>
      <c r="G430" s="2" t="s">
        <v>2056</v>
      </c>
      <c r="H430" s="2" t="s">
        <v>2057</v>
      </c>
      <c r="I430" s="2" t="s">
        <v>2058</v>
      </c>
      <c r="J430" s="2" t="s">
        <v>372</v>
      </c>
      <c r="K430" s="2" t="s">
        <v>889</v>
      </c>
      <c r="L430" s="3">
        <v>81.05</v>
      </c>
      <c r="M430" s="3">
        <v>85.1</v>
      </c>
      <c r="N430" s="3">
        <v>154.99</v>
      </c>
      <c r="O430" s="2" t="s">
        <v>232</v>
      </c>
      <c r="P430" s="2" t="s">
        <v>233</v>
      </c>
      <c r="Q430" s="2" t="s">
        <v>234</v>
      </c>
      <c r="R430" s="2" t="s">
        <v>235</v>
      </c>
      <c r="S430" s="2" t="s">
        <v>2085</v>
      </c>
      <c r="T430" s="2" t="s">
        <v>263</v>
      </c>
      <c r="U430" s="2" t="s">
        <v>742</v>
      </c>
      <c r="V430" s="2" t="s">
        <v>238</v>
      </c>
      <c r="W430" s="2" t="s">
        <v>2060</v>
      </c>
      <c r="X430" s="2" t="s">
        <v>2061</v>
      </c>
      <c r="Y430" s="2" t="s">
        <v>2077</v>
      </c>
      <c r="Z430" s="4">
        <v>55</v>
      </c>
      <c r="AA430" s="4">
        <f>=ROUNDDOWN(137.5,0)</f>
      </c>
      <c r="AB430" s="5">
        <v>0.4</v>
      </c>
      <c r="AC430" s="2" t="s">
        <v>235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235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235</v>
      </c>
      <c r="AW430" s="8" t="s">
        <v>235</v>
      </c>
      <c r="AX430" s="4" t="s">
        <v>235</v>
      </c>
      <c r="AY430" s="8" t="s">
        <v>235</v>
      </c>
      <c r="AZ430" s="7" t="s">
        <v>235</v>
      </c>
      <c r="BA430" s="7" t="s">
        <v>235</v>
      </c>
      <c r="BB430" s="7"/>
      <c r="BC430" s="4" t="s">
        <v>235</v>
      </c>
      <c r="BD430" s="8" t="s">
        <v>235</v>
      </c>
      <c r="BE430" s="4" t="s">
        <v>235</v>
      </c>
      <c r="BF430" s="8" t="s">
        <v>235</v>
      </c>
      <c r="BG430" s="7" t="s">
        <v>235</v>
      </c>
      <c r="BH430" s="7" t="s">
        <v>235</v>
      </c>
      <c r="BI430" s="7"/>
      <c r="BJ430" s="4">
        <v>2</v>
      </c>
      <c r="BK430" s="8">
        <v>180.86</v>
      </c>
      <c r="BL430" s="2" t="s">
        <v>2089</v>
      </c>
      <c r="BM430" s="7"/>
      <c r="BN430" s="7"/>
      <c r="BO430" s="4"/>
      <c r="BP430" s="8"/>
      <c r="BQ430" s="4"/>
      <c r="BR430" s="8"/>
      <c r="BS430" s="7"/>
      <c r="BT430" s="7"/>
      <c r="BU430" s="2" t="s">
        <v>2063</v>
      </c>
      <c r="BV430" s="2" t="s">
        <v>243</v>
      </c>
      <c r="BW430" s="2" t="s">
        <v>235</v>
      </c>
      <c r="BX430" s="2" t="s">
        <v>244</v>
      </c>
      <c r="BY430" s="2" t="s">
        <v>245</v>
      </c>
      <c r="BZ430" s="2" t="s">
        <v>232</v>
      </c>
      <c r="CA430" s="2" t="s">
        <v>510</v>
      </c>
      <c r="CB430" s="2" t="s">
        <v>2080</v>
      </c>
      <c r="CC430" s="2" t="s">
        <v>248</v>
      </c>
      <c r="CD430" s="2" t="s">
        <v>248</v>
      </c>
      <c r="CE430" s="2" t="s">
        <v>235</v>
      </c>
      <c r="CF430" s="4">
        <v>55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>
        <v>55</v>
      </c>
      <c r="GE430" s="4">
        <v>55</v>
      </c>
      <c r="GF430" s="4">
        <v>55</v>
      </c>
      <c r="GG430" s="4">
        <v>55</v>
      </c>
      <c r="GH430" s="4">
        <v>55</v>
      </c>
      <c r="GI430" s="4">
        <v>55</v>
      </c>
      <c r="GJ430" s="4">
        <v>55</v>
      </c>
      <c r="GK430" s="4">
        <v>55</v>
      </c>
      <c r="GL430" s="4">
        <v>55</v>
      </c>
      <c r="GM430" s="4">
        <v>55</v>
      </c>
      <c r="GN430" s="4">
        <v>55</v>
      </c>
      <c r="GO430" s="4">
        <v>55</v>
      </c>
      <c r="GP430" s="4">
        <v>55</v>
      </c>
      <c r="GQ430" s="4">
        <v>55</v>
      </c>
      <c r="GR430" s="4">
        <v>55</v>
      </c>
      <c r="GS430" s="4">
        <v>55</v>
      </c>
      <c r="GT430" s="4">
        <v>55</v>
      </c>
      <c r="GU430" s="4">
        <v>55</v>
      </c>
      <c r="GV430" s="4">
        <v>55</v>
      </c>
      <c r="GW430" s="4">
        <v>55</v>
      </c>
      <c r="GX430" s="4">
        <v>55</v>
      </c>
      <c r="GY430" s="4">
        <v>55</v>
      </c>
      <c r="GZ430" s="4">
        <v>55</v>
      </c>
      <c r="HA430" s="4">
        <v>55</v>
      </c>
      <c r="HB430" s="4">
        <v>55</v>
      </c>
      <c r="HC430" s="4">
        <v>55</v>
      </c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</row>
    <row r="431">
      <c r="A431" s="2" t="s">
        <v>2090</v>
      </c>
      <c r="B431" s="2" t="s">
        <v>871</v>
      </c>
      <c r="C431" s="2" t="s">
        <v>853</v>
      </c>
      <c r="D431" s="2" t="s">
        <v>1140</v>
      </c>
      <c r="E431" s="2" t="s">
        <v>1141</v>
      </c>
      <c r="F431" s="2" t="s">
        <v>2055</v>
      </c>
      <c r="G431" s="2" t="s">
        <v>2056</v>
      </c>
      <c r="H431" s="2" t="s">
        <v>2057</v>
      </c>
      <c r="I431" s="2" t="s">
        <v>2091</v>
      </c>
      <c r="J431" s="2" t="s">
        <v>2092</v>
      </c>
      <c r="K431" s="2" t="s">
        <v>889</v>
      </c>
      <c r="L431" s="3">
        <v>21.86</v>
      </c>
      <c r="M431" s="3">
        <v>22.95</v>
      </c>
      <c r="N431" s="3">
        <v>49.99</v>
      </c>
      <c r="O431" s="2" t="s">
        <v>232</v>
      </c>
      <c r="P431" s="2" t="s">
        <v>233</v>
      </c>
      <c r="Q431" s="2" t="s">
        <v>234</v>
      </c>
      <c r="R431" s="2" t="s">
        <v>235</v>
      </c>
      <c r="S431" s="2" t="s">
        <v>2093</v>
      </c>
      <c r="T431" s="2" t="s">
        <v>263</v>
      </c>
      <c r="U431" s="2" t="s">
        <v>807</v>
      </c>
      <c r="V431" s="2" t="s">
        <v>238</v>
      </c>
      <c r="W431" s="2" t="s">
        <v>239</v>
      </c>
      <c r="X431" s="2" t="s">
        <v>2060</v>
      </c>
      <c r="Y431" s="2" t="s">
        <v>2094</v>
      </c>
      <c r="Z431" s="4">
        <v>591</v>
      </c>
      <c r="AA431" s="4">
        <f>=ROUNDDOWN(70.3571428571428,0)</f>
      </c>
      <c r="AB431" s="5">
        <v>8.4</v>
      </c>
      <c r="AC431" s="2" t="s">
        <v>235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235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235</v>
      </c>
      <c r="AW431" s="8" t="s">
        <v>235</v>
      </c>
      <c r="AX431" s="4" t="s">
        <v>235</v>
      </c>
      <c r="AY431" s="8" t="s">
        <v>235</v>
      </c>
      <c r="AZ431" s="7" t="s">
        <v>235</v>
      </c>
      <c r="BA431" s="7" t="s">
        <v>235</v>
      </c>
      <c r="BB431" s="7"/>
      <c r="BC431" s="4" t="s">
        <v>235</v>
      </c>
      <c r="BD431" s="8" t="s">
        <v>235</v>
      </c>
      <c r="BE431" s="4" t="s">
        <v>235</v>
      </c>
      <c r="BF431" s="8" t="s">
        <v>235</v>
      </c>
      <c r="BG431" s="7" t="s">
        <v>235</v>
      </c>
      <c r="BH431" s="7" t="s">
        <v>235</v>
      </c>
      <c r="BI431" s="7"/>
      <c r="BJ431" s="4">
        <v>28</v>
      </c>
      <c r="BK431" s="8">
        <v>665.97</v>
      </c>
      <c r="BL431" s="2" t="s">
        <v>2095</v>
      </c>
      <c r="BM431" s="7"/>
      <c r="BN431" s="7"/>
      <c r="BO431" s="4"/>
      <c r="BP431" s="8"/>
      <c r="BQ431" s="4"/>
      <c r="BR431" s="8"/>
      <c r="BS431" s="7"/>
      <c r="BT431" s="7"/>
      <c r="BU431" s="2" t="s">
        <v>2096</v>
      </c>
      <c r="BV431" s="2" t="s">
        <v>618</v>
      </c>
      <c r="BW431" s="2" t="s">
        <v>235</v>
      </c>
      <c r="BX431" s="2" t="s">
        <v>244</v>
      </c>
      <c r="BY431" s="2" t="s">
        <v>245</v>
      </c>
      <c r="BZ431" s="2" t="s">
        <v>232</v>
      </c>
      <c r="CA431" s="2" t="s">
        <v>2097</v>
      </c>
      <c r="CB431" s="2" t="s">
        <v>2098</v>
      </c>
      <c r="CC431" s="2" t="s">
        <v>248</v>
      </c>
      <c r="CD431" s="2" t="s">
        <v>248</v>
      </c>
      <c r="CE431" s="2" t="s">
        <v>235</v>
      </c>
      <c r="CF431" s="4">
        <v>591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>
        <v>605</v>
      </c>
      <c r="GE431" s="4">
        <v>585</v>
      </c>
      <c r="GF431" s="4">
        <v>580</v>
      </c>
      <c r="GG431" s="4">
        <v>575</v>
      </c>
      <c r="GH431" s="4">
        <v>565</v>
      </c>
      <c r="GI431" s="4">
        <v>554</v>
      </c>
      <c r="GJ431" s="4">
        <v>539</v>
      </c>
      <c r="GK431" s="4">
        <v>526</v>
      </c>
      <c r="GL431" s="4">
        <v>513</v>
      </c>
      <c r="GM431" s="4">
        <v>504</v>
      </c>
      <c r="GN431" s="4">
        <v>496</v>
      </c>
      <c r="GO431" s="4">
        <v>483</v>
      </c>
      <c r="GP431" s="4">
        <v>471</v>
      </c>
      <c r="GQ431" s="4">
        <v>454</v>
      </c>
      <c r="GR431" s="4">
        <v>440</v>
      </c>
      <c r="GS431" s="4">
        <v>426</v>
      </c>
      <c r="GT431" s="4">
        <v>417</v>
      </c>
      <c r="GU431" s="4">
        <v>410</v>
      </c>
      <c r="GV431" s="4">
        <v>400</v>
      </c>
      <c r="GW431" s="4">
        <v>391</v>
      </c>
      <c r="GX431" s="4">
        <v>382</v>
      </c>
      <c r="GY431" s="4">
        <v>373</v>
      </c>
      <c r="GZ431" s="4">
        <v>364</v>
      </c>
      <c r="HA431" s="4">
        <v>355</v>
      </c>
      <c r="HB431" s="4">
        <v>346</v>
      </c>
      <c r="HC431" s="4">
        <v>336</v>
      </c>
      <c r="HD431" s="19">
        <v>60.5</v>
      </c>
      <c r="HE431" s="19">
        <v>73.1</v>
      </c>
      <c r="HF431" s="19">
        <v>58</v>
      </c>
      <c r="HG431" s="19">
        <v>47.9</v>
      </c>
      <c r="HH431" s="19">
        <v>43.5</v>
      </c>
      <c r="HI431" s="19">
        <v>46.2</v>
      </c>
      <c r="HJ431" s="19">
        <v>49</v>
      </c>
      <c r="HK431" s="19">
        <v>47.8</v>
      </c>
      <c r="HL431" s="19">
        <v>51.3</v>
      </c>
      <c r="HM431" s="19">
        <v>42</v>
      </c>
      <c r="HN431" s="19">
        <v>35.4</v>
      </c>
      <c r="HO431" s="19">
        <v>34.5</v>
      </c>
      <c r="HP431" s="19">
        <v>33.6</v>
      </c>
      <c r="HQ431" s="19">
        <v>41.3</v>
      </c>
      <c r="HR431" s="19">
        <v>44</v>
      </c>
      <c r="HS431" s="19">
        <v>47.3</v>
      </c>
      <c r="HT431" s="19">
        <v>46.3</v>
      </c>
      <c r="HU431" s="19">
        <v>45.6</v>
      </c>
      <c r="HV431" s="19">
        <v>44.4</v>
      </c>
      <c r="HW431" s="19">
        <v>43.4</v>
      </c>
      <c r="HX431" s="19">
        <v>42.4</v>
      </c>
      <c r="HY431" s="19">
        <v>41.4</v>
      </c>
      <c r="HZ431" s="19">
        <v>40.4</v>
      </c>
      <c r="IA431" s="19">
        <v>39.4</v>
      </c>
      <c r="IB431" s="19">
        <v>38.4</v>
      </c>
      <c r="IC431" s="19">
        <v>37.3</v>
      </c>
    </row>
    <row r="432">
      <c r="A432" s="2" t="s">
        <v>2099</v>
      </c>
      <c r="B432" s="2" t="s">
        <v>871</v>
      </c>
      <c r="C432" s="2" t="s">
        <v>853</v>
      </c>
      <c r="D432" s="2" t="s">
        <v>906</v>
      </c>
      <c r="E432" s="2" t="s">
        <v>1301</v>
      </c>
      <c r="F432" s="2" t="s">
        <v>2055</v>
      </c>
      <c r="G432" s="2" t="s">
        <v>2056</v>
      </c>
      <c r="H432" s="2" t="s">
        <v>2057</v>
      </c>
      <c r="I432" s="2" t="s">
        <v>2058</v>
      </c>
      <c r="J432" s="2" t="s">
        <v>877</v>
      </c>
      <c r="K432" s="2" t="s">
        <v>2100</v>
      </c>
      <c r="L432" s="3">
        <v>46.53</v>
      </c>
      <c r="M432" s="3">
        <v>48.86</v>
      </c>
      <c r="N432" s="3">
        <v>89.99</v>
      </c>
      <c r="O432" s="2" t="s">
        <v>407</v>
      </c>
      <c r="P432" s="2" t="s">
        <v>408</v>
      </c>
      <c r="Q432" s="2" t="s">
        <v>234</v>
      </c>
      <c r="R432" s="2" t="s">
        <v>235</v>
      </c>
      <c r="S432" s="2" t="s">
        <v>2101</v>
      </c>
      <c r="T432" s="2" t="s">
        <v>263</v>
      </c>
      <c r="U432" s="2" t="s">
        <v>282</v>
      </c>
      <c r="V432" s="2" t="s">
        <v>238</v>
      </c>
      <c r="W432" s="2" t="s">
        <v>2060</v>
      </c>
      <c r="X432" s="2" t="s">
        <v>1596</v>
      </c>
      <c r="Y432" s="2" t="s">
        <v>2102</v>
      </c>
      <c r="Z432" s="4">
        <v>86</v>
      </c>
      <c r="AA432" s="4">
        <f>=ROUNDDOWN(86,0)</f>
      </c>
      <c r="AB432" s="5">
        <v>1</v>
      </c>
      <c r="AC432" s="2" t="s">
        <v>235</v>
      </c>
      <c r="AD432" s="4"/>
      <c r="AE432" s="4"/>
      <c r="AF432" s="6">
        <v>78</v>
      </c>
      <c r="AG432" s="6"/>
      <c r="AH432" s="7">
        <v>1</v>
      </c>
      <c r="AI432" s="4"/>
      <c r="AJ432" s="4">
        <f>=ROUNDDOWN({0},0)</f>
      </c>
      <c r="AK432" s="5"/>
      <c r="AL432" s="2" t="s">
        <v>235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235</v>
      </c>
      <c r="AW432" s="8" t="s">
        <v>235</v>
      </c>
      <c r="AX432" s="4" t="s">
        <v>235</v>
      </c>
      <c r="AY432" s="8" t="s">
        <v>235</v>
      </c>
      <c r="AZ432" s="7" t="s">
        <v>235</v>
      </c>
      <c r="BA432" s="7" t="s">
        <v>235</v>
      </c>
      <c r="BB432" s="7"/>
      <c r="BC432" s="4" t="s">
        <v>235</v>
      </c>
      <c r="BD432" s="8" t="s">
        <v>235</v>
      </c>
      <c r="BE432" s="4" t="s">
        <v>235</v>
      </c>
      <c r="BF432" s="8" t="s">
        <v>235</v>
      </c>
      <c r="BG432" s="7" t="s">
        <v>235</v>
      </c>
      <c r="BH432" s="7" t="s">
        <v>235</v>
      </c>
      <c r="BI432" s="7"/>
      <c r="BJ432" s="4">
        <v>4</v>
      </c>
      <c r="BK432" s="8">
        <v>225.56</v>
      </c>
      <c r="BL432" s="2" t="s">
        <v>2103</v>
      </c>
      <c r="BM432" s="7"/>
      <c r="BN432" s="7"/>
      <c r="BO432" s="4"/>
      <c r="BP432" s="8"/>
      <c r="BQ432" s="4"/>
      <c r="BR432" s="8"/>
      <c r="BS432" s="7"/>
      <c r="BT432" s="7"/>
      <c r="BU432" s="2" t="s">
        <v>2063</v>
      </c>
      <c r="BV432" s="2" t="s">
        <v>243</v>
      </c>
      <c r="BW432" s="2" t="s">
        <v>235</v>
      </c>
      <c r="BX432" s="2" t="s">
        <v>244</v>
      </c>
      <c r="BY432" s="2" t="s">
        <v>245</v>
      </c>
      <c r="BZ432" s="2" t="s">
        <v>232</v>
      </c>
      <c r="CA432" s="2" t="s">
        <v>2104</v>
      </c>
      <c r="CB432" s="2" t="s">
        <v>2105</v>
      </c>
      <c r="CC432" s="2" t="s">
        <v>248</v>
      </c>
      <c r="CD432" s="2" t="s">
        <v>248</v>
      </c>
      <c r="CE432" s="2" t="s">
        <v>235</v>
      </c>
      <c r="CF432" s="4">
        <v>86</v>
      </c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>
        <v>86</v>
      </c>
      <c r="GE432" s="4">
        <v>85</v>
      </c>
      <c r="GF432" s="4">
        <v>84</v>
      </c>
      <c r="GG432" s="4">
        <v>83</v>
      </c>
      <c r="GH432" s="4">
        <v>82</v>
      </c>
      <c r="GI432" s="4">
        <v>81</v>
      </c>
      <c r="GJ432" s="4">
        <v>80</v>
      </c>
      <c r="GK432" s="4">
        <v>79</v>
      </c>
      <c r="GL432" s="4">
        <v>78</v>
      </c>
      <c r="GM432" s="4">
        <v>77</v>
      </c>
      <c r="GN432" s="4">
        <v>74</v>
      </c>
      <c r="GO432" s="4">
        <v>71</v>
      </c>
      <c r="GP432" s="4">
        <v>68</v>
      </c>
      <c r="GQ432" s="4">
        <v>65</v>
      </c>
      <c r="GR432" s="4">
        <v>62</v>
      </c>
      <c r="GS432" s="4">
        <v>59</v>
      </c>
      <c r="GT432" s="4">
        <v>56</v>
      </c>
      <c r="GU432" s="4">
        <v>53</v>
      </c>
      <c r="GV432" s="4">
        <v>52</v>
      </c>
      <c r="GW432" s="4">
        <v>51</v>
      </c>
      <c r="GX432" s="4">
        <v>50</v>
      </c>
      <c r="GY432" s="4">
        <v>49</v>
      </c>
      <c r="GZ432" s="4">
        <v>48</v>
      </c>
      <c r="HA432" s="4">
        <v>47</v>
      </c>
      <c r="HB432" s="4">
        <v>46</v>
      </c>
      <c r="HC432" s="4">
        <v>45</v>
      </c>
      <c r="HD432" s="19">
        <v>86</v>
      </c>
      <c r="HE432" s="19">
        <v>85</v>
      </c>
      <c r="HF432" s="19">
        <v>84</v>
      </c>
      <c r="HG432" s="19">
        <v>83</v>
      </c>
      <c r="HH432" s="19">
        <v>82</v>
      </c>
      <c r="HI432" s="19">
        <v>81</v>
      </c>
      <c r="HJ432" s="19">
        <v>40</v>
      </c>
      <c r="HK432" s="19">
        <v>39.5</v>
      </c>
      <c r="HL432" s="19">
        <v>39</v>
      </c>
      <c r="HM432" s="19">
        <v>25.7</v>
      </c>
      <c r="HN432" s="19">
        <v>24.7</v>
      </c>
      <c r="HO432" s="19">
        <v>23.7</v>
      </c>
      <c r="HP432" s="19">
        <v>22.7</v>
      </c>
      <c r="HQ432" s="19">
        <v>21.7</v>
      </c>
      <c r="HR432" s="19">
        <v>31</v>
      </c>
      <c r="HS432" s="19">
        <v>29.5</v>
      </c>
      <c r="HT432" s="19">
        <v>28</v>
      </c>
      <c r="HU432" s="19">
        <v>53</v>
      </c>
      <c r="HV432" s="19">
        <v>52</v>
      </c>
      <c r="HW432" s="19">
        <v>51</v>
      </c>
      <c r="HX432" s="19">
        <v>50</v>
      </c>
      <c r="HY432" s="19">
        <v>49</v>
      </c>
      <c r="HZ432" s="19">
        <v>48</v>
      </c>
      <c r="IA432" s="19">
        <v>47</v>
      </c>
      <c r="IB432" s="19">
        <v>46</v>
      </c>
      <c r="IC432" s="19">
        <v>45</v>
      </c>
    </row>
    <row r="433">
      <c r="A433" s="2" t="s">
        <v>2106</v>
      </c>
      <c r="B433" s="2" t="s">
        <v>871</v>
      </c>
      <c r="C433" s="2" t="s">
        <v>853</v>
      </c>
      <c r="D433" s="2" t="s">
        <v>906</v>
      </c>
      <c r="E433" s="2" t="s">
        <v>1301</v>
      </c>
      <c r="F433" s="2" t="s">
        <v>2055</v>
      </c>
      <c r="G433" s="2" t="s">
        <v>2056</v>
      </c>
      <c r="H433" s="2" t="s">
        <v>2057</v>
      </c>
      <c r="I433" s="2" t="s">
        <v>2058</v>
      </c>
      <c r="J433" s="2" t="s">
        <v>372</v>
      </c>
      <c r="K433" s="2" t="s">
        <v>2100</v>
      </c>
      <c r="L433" s="3">
        <v>72</v>
      </c>
      <c r="M433" s="3">
        <v>75.6</v>
      </c>
      <c r="N433" s="3">
        <v>139.99</v>
      </c>
      <c r="O433" s="2" t="s">
        <v>407</v>
      </c>
      <c r="P433" s="2" t="s">
        <v>408</v>
      </c>
      <c r="Q433" s="2" t="s">
        <v>234</v>
      </c>
      <c r="R433" s="2" t="s">
        <v>235</v>
      </c>
      <c r="S433" s="2" t="s">
        <v>2101</v>
      </c>
      <c r="T433" s="2" t="s">
        <v>263</v>
      </c>
      <c r="U433" s="2" t="s">
        <v>742</v>
      </c>
      <c r="V433" s="2" t="s">
        <v>238</v>
      </c>
      <c r="W433" s="2" t="s">
        <v>2060</v>
      </c>
      <c r="X433" s="2" t="s">
        <v>1596</v>
      </c>
      <c r="Y433" s="2" t="s">
        <v>2102</v>
      </c>
      <c r="Z433" s="4">
        <v>20</v>
      </c>
      <c r="AA433" s="4">
        <f>=ROUNDDOWN(14.2857142857143,0)</f>
      </c>
      <c r="AB433" s="5">
        <v>1.4</v>
      </c>
      <c r="AC433" s="2" t="s">
        <v>235</v>
      </c>
      <c r="AD433" s="4"/>
      <c r="AE433" s="4"/>
      <c r="AF433" s="6">
        <v>78</v>
      </c>
      <c r="AG433" s="6"/>
      <c r="AH433" s="7">
        <v>1</v>
      </c>
      <c r="AI433" s="4"/>
      <c r="AJ433" s="4">
        <f>=ROUNDDOWN({0},0)</f>
      </c>
      <c r="AK433" s="5"/>
      <c r="AL433" s="2" t="s">
        <v>235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235</v>
      </c>
      <c r="AW433" s="8" t="s">
        <v>235</v>
      </c>
      <c r="AX433" s="4" t="s">
        <v>235</v>
      </c>
      <c r="AY433" s="8" t="s">
        <v>235</v>
      </c>
      <c r="AZ433" s="7" t="s">
        <v>235</v>
      </c>
      <c r="BA433" s="7" t="s">
        <v>235</v>
      </c>
      <c r="BB433" s="7"/>
      <c r="BC433" s="4" t="s">
        <v>235</v>
      </c>
      <c r="BD433" s="8" t="s">
        <v>235</v>
      </c>
      <c r="BE433" s="4" t="s">
        <v>235</v>
      </c>
      <c r="BF433" s="8" t="s">
        <v>235</v>
      </c>
      <c r="BG433" s="7" t="s">
        <v>235</v>
      </c>
      <c r="BH433" s="7" t="s">
        <v>235</v>
      </c>
      <c r="BI433" s="7"/>
      <c r="BJ433" s="4">
        <v>4</v>
      </c>
      <c r="BK433" s="8">
        <v>307.95</v>
      </c>
      <c r="BL433" s="2" t="s">
        <v>2107</v>
      </c>
      <c r="BM433" s="7"/>
      <c r="BN433" s="7"/>
      <c r="BO433" s="4"/>
      <c r="BP433" s="8"/>
      <c r="BQ433" s="4"/>
      <c r="BR433" s="8"/>
      <c r="BS433" s="7"/>
      <c r="BT433" s="7"/>
      <c r="BU433" s="2" t="s">
        <v>2063</v>
      </c>
      <c r="BV433" s="2" t="s">
        <v>243</v>
      </c>
      <c r="BW433" s="2" t="s">
        <v>235</v>
      </c>
      <c r="BX433" s="2" t="s">
        <v>244</v>
      </c>
      <c r="BY433" s="2" t="s">
        <v>245</v>
      </c>
      <c r="BZ433" s="2" t="s">
        <v>232</v>
      </c>
      <c r="CA433" s="2" t="s">
        <v>2104</v>
      </c>
      <c r="CB433" s="2" t="s">
        <v>2108</v>
      </c>
      <c r="CC433" s="2" t="s">
        <v>248</v>
      </c>
      <c r="CD433" s="2" t="s">
        <v>248</v>
      </c>
      <c r="CE433" s="2" t="s">
        <v>235</v>
      </c>
      <c r="CF433" s="4">
        <v>20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>
        <v>20</v>
      </c>
      <c r="GE433" s="4">
        <v>19</v>
      </c>
      <c r="GF433" s="4">
        <v>18</v>
      </c>
      <c r="GG433" s="4">
        <v>17</v>
      </c>
      <c r="GH433" s="4">
        <v>16</v>
      </c>
      <c r="GI433" s="4">
        <v>15</v>
      </c>
      <c r="GJ433" s="4">
        <v>14</v>
      </c>
      <c r="GK433" s="4">
        <v>13</v>
      </c>
      <c r="GL433" s="4">
        <v>12</v>
      </c>
      <c r="GM433" s="4">
        <v>11</v>
      </c>
      <c r="GN433" s="4">
        <v>9</v>
      </c>
      <c r="GO433" s="4">
        <v>7</v>
      </c>
      <c r="GP433" s="4">
        <v>5</v>
      </c>
      <c r="GQ433" s="4">
        <v>3</v>
      </c>
      <c r="GR433" s="4">
        <v>1</v>
      </c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19">
        <v>20</v>
      </c>
      <c r="HE433" s="19">
        <v>19</v>
      </c>
      <c r="HF433" s="19">
        <v>18</v>
      </c>
      <c r="HG433" s="19">
        <v>17</v>
      </c>
      <c r="HH433" s="19">
        <v>16</v>
      </c>
      <c r="HI433" s="19">
        <v>15</v>
      </c>
      <c r="HJ433" s="19">
        <v>14</v>
      </c>
      <c r="HK433" s="19">
        <v>6.5</v>
      </c>
      <c r="HL433" s="19">
        <v>6</v>
      </c>
      <c r="HM433" s="19">
        <v>5.5</v>
      </c>
      <c r="HN433" s="19">
        <v>4.5</v>
      </c>
      <c r="HO433" s="19">
        <v>3.5</v>
      </c>
      <c r="HP433" s="19">
        <v>2.5</v>
      </c>
      <c r="HQ433" s="19">
        <v>1.5</v>
      </c>
      <c r="HR433" s="19">
        <v>0.5</v>
      </c>
      <c r="HS433" s="20">
        <v>0</v>
      </c>
      <c r="HT433" s="20">
        <v>0</v>
      </c>
      <c r="HU433" s="20">
        <v>0</v>
      </c>
      <c r="HV433" s="20">
        <v>0</v>
      </c>
      <c r="HW433" s="20">
        <v>0</v>
      </c>
      <c r="HX433" s="20">
        <v>0</v>
      </c>
      <c r="HY433" s="20">
        <v>0</v>
      </c>
      <c r="HZ433" s="20">
        <v>0</v>
      </c>
      <c r="IA433" s="20">
        <v>0</v>
      </c>
      <c r="IB433" s="20">
        <v>0</v>
      </c>
      <c r="IC433" s="20">
        <v>0</v>
      </c>
    </row>
    <row r="434">
      <c r="A434" s="2" t="s">
        <v>2109</v>
      </c>
      <c r="B434" s="2" t="s">
        <v>800</v>
      </c>
      <c r="C434" s="2" t="s">
        <v>893</v>
      </c>
      <c r="D434" s="2" t="s">
        <v>960</v>
      </c>
      <c r="E434" s="2" t="s">
        <v>961</v>
      </c>
      <c r="F434" s="2" t="s">
        <v>2110</v>
      </c>
      <c r="G434" s="2" t="s">
        <v>2110</v>
      </c>
      <c r="H434" s="2" t="s">
        <v>2110</v>
      </c>
      <c r="I434" s="2" t="s">
        <v>2111</v>
      </c>
      <c r="J434" s="2" t="s">
        <v>897</v>
      </c>
      <c r="K434" s="2" t="s">
        <v>735</v>
      </c>
      <c r="L434" s="3">
        <v>45</v>
      </c>
      <c r="M434" s="3">
        <v>47.25</v>
      </c>
      <c r="N434" s="3">
        <v>104.99</v>
      </c>
      <c r="O434" s="2" t="s">
        <v>407</v>
      </c>
      <c r="P434" s="2" t="s">
        <v>624</v>
      </c>
      <c r="Q434" s="2" t="s">
        <v>234</v>
      </c>
      <c r="R434" s="2" t="s">
        <v>235</v>
      </c>
      <c r="S434" s="2" t="s">
        <v>235</v>
      </c>
      <c r="T434" s="2" t="s">
        <v>235</v>
      </c>
      <c r="U434" s="2" t="s">
        <v>807</v>
      </c>
      <c r="V434" s="2" t="s">
        <v>808</v>
      </c>
      <c r="W434" s="2" t="s">
        <v>682</v>
      </c>
      <c r="X434" s="2" t="s">
        <v>329</v>
      </c>
      <c r="Y434" s="2" t="s">
        <v>2112</v>
      </c>
      <c r="Z434" s="4"/>
      <c r="AA434" s="4">
        <f>=ROUNDDOWN({0},0)</f>
      </c>
      <c r="AB434" s="5">
        <v>2</v>
      </c>
      <c r="AC434" s="2" t="s">
        <v>235</v>
      </c>
      <c r="AD434" s="4"/>
      <c r="AE434" s="4"/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235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>
        <v>2</v>
      </c>
      <c r="BK434" s="8">
        <v>98.28</v>
      </c>
      <c r="BL434" s="2" t="s">
        <v>2113</v>
      </c>
      <c r="BM434" s="7"/>
      <c r="BN434" s="7"/>
      <c r="BO434" s="4"/>
      <c r="BP434" s="8"/>
      <c r="BQ434" s="4"/>
      <c r="BR434" s="8"/>
      <c r="BS434" s="7"/>
      <c r="BT434" s="7"/>
      <c r="BU434" s="2" t="s">
        <v>2114</v>
      </c>
      <c r="BV434" s="2" t="s">
        <v>813</v>
      </c>
      <c r="BW434" s="2" t="s">
        <v>235</v>
      </c>
      <c r="BX434" s="2" t="s">
        <v>414</v>
      </c>
      <c r="BY434" s="2" t="s">
        <v>245</v>
      </c>
      <c r="BZ434" s="2" t="s">
        <v>232</v>
      </c>
      <c r="CA434" s="2" t="s">
        <v>2115</v>
      </c>
      <c r="CB434" s="2" t="s">
        <v>2116</v>
      </c>
      <c r="CC434" s="2" t="s">
        <v>248</v>
      </c>
      <c r="CD434" s="2" t="s">
        <v>248</v>
      </c>
      <c r="CE434" s="2" t="s">
        <v>235</v>
      </c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>
        <v>1</v>
      </c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19">
        <v>1</v>
      </c>
      <c r="HE434" s="20">
        <v>0</v>
      </c>
      <c r="HF434" s="20">
        <v>0</v>
      </c>
      <c r="HG434" s="20">
        <v>0</v>
      </c>
      <c r="HH434" s="20">
        <v>0</v>
      </c>
      <c r="HI434" s="20">
        <v>0</v>
      </c>
      <c r="HJ434" s="20">
        <v>0</v>
      </c>
      <c r="HK434" s="20">
        <v>0</v>
      </c>
      <c r="HL434" s="20">
        <v>0</v>
      </c>
      <c r="HM434" s="20">
        <v>0</v>
      </c>
      <c r="HN434" s="20">
        <v>0</v>
      </c>
      <c r="HO434" s="20">
        <v>0</v>
      </c>
      <c r="HP434" s="20">
        <v>0</v>
      </c>
      <c r="HQ434" s="20">
        <v>0</v>
      </c>
      <c r="HR434" s="20">
        <v>0</v>
      </c>
      <c r="HS434" s="20">
        <v>0</v>
      </c>
      <c r="HT434" s="20">
        <v>0</v>
      </c>
      <c r="HU434" s="20">
        <v>0</v>
      </c>
      <c r="HV434" s="20">
        <v>0</v>
      </c>
      <c r="HW434" s="20">
        <v>0</v>
      </c>
      <c r="HX434" s="20">
        <v>0</v>
      </c>
      <c r="HY434" s="20">
        <v>0</v>
      </c>
      <c r="HZ434" s="20">
        <v>0</v>
      </c>
      <c r="IA434" s="20">
        <v>0</v>
      </c>
      <c r="IB434" s="20">
        <v>0</v>
      </c>
      <c r="IC434" s="20">
        <v>0</v>
      </c>
    </row>
    <row r="435">
      <c r="A435" s="2" t="s">
        <v>2117</v>
      </c>
      <c r="B435" s="2" t="s">
        <v>871</v>
      </c>
      <c r="C435" s="2" t="s">
        <v>893</v>
      </c>
      <c r="D435" s="2" t="s">
        <v>906</v>
      </c>
      <c r="E435" s="2" t="s">
        <v>907</v>
      </c>
      <c r="F435" s="2" t="s">
        <v>2118</v>
      </c>
      <c r="G435" s="2" t="s">
        <v>2118</v>
      </c>
      <c r="H435" s="2" t="s">
        <v>2118</v>
      </c>
      <c r="I435" s="2" t="s">
        <v>2119</v>
      </c>
      <c r="J435" s="2" t="s">
        <v>365</v>
      </c>
      <c r="K435" s="2" t="s">
        <v>295</v>
      </c>
      <c r="L435" s="3">
        <v>45.71</v>
      </c>
      <c r="M435" s="3">
        <v>48</v>
      </c>
      <c r="N435" s="3">
        <v>99.99</v>
      </c>
      <c r="O435" s="2" t="s">
        <v>232</v>
      </c>
      <c r="P435" s="2" t="s">
        <v>1282</v>
      </c>
      <c r="Q435" s="2" t="s">
        <v>234</v>
      </c>
      <c r="R435" s="2" t="s">
        <v>235</v>
      </c>
      <c r="S435" s="2" t="s">
        <v>2120</v>
      </c>
      <c r="T435" s="2" t="s">
        <v>1298</v>
      </c>
      <c r="U435" s="2" t="s">
        <v>552</v>
      </c>
      <c r="V435" s="2" t="s">
        <v>1222</v>
      </c>
      <c r="W435" s="2" t="s">
        <v>682</v>
      </c>
      <c r="X435" s="2" t="s">
        <v>235</v>
      </c>
      <c r="Y435" s="2" t="s">
        <v>2121</v>
      </c>
      <c r="Z435" s="4">
        <v>78</v>
      </c>
      <c r="AA435" s="4">
        <f>=ROUNDDOWN(26,0)</f>
      </c>
      <c r="AB435" s="5">
        <v>3</v>
      </c>
      <c r="AC435" s="2" t="s">
        <v>2122</v>
      </c>
      <c r="AD435" s="4">
        <v>99</v>
      </c>
      <c r="AE435" s="4">
        <v>99</v>
      </c>
      <c r="AF435" s="6">
        <v>84</v>
      </c>
      <c r="AG435" s="6"/>
      <c r="AH435" s="7">
        <v>1</v>
      </c>
      <c r="AI435" s="4"/>
      <c r="AJ435" s="4">
        <f>=ROUNDDOWN({0},0)</f>
      </c>
      <c r="AK435" s="5"/>
      <c r="AL435" s="2" t="s">
        <v>235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235</v>
      </c>
      <c r="AW435" s="8" t="s">
        <v>235</v>
      </c>
      <c r="AX435" s="4" t="s">
        <v>235</v>
      </c>
      <c r="AY435" s="8" t="s">
        <v>235</v>
      </c>
      <c r="AZ435" s="7" t="s">
        <v>235</v>
      </c>
      <c r="BA435" s="7" t="s">
        <v>235</v>
      </c>
      <c r="BB435" s="7"/>
      <c r="BC435" s="4" t="s">
        <v>235</v>
      </c>
      <c r="BD435" s="8" t="s">
        <v>235</v>
      </c>
      <c r="BE435" s="4" t="s">
        <v>235</v>
      </c>
      <c r="BF435" s="8" t="s">
        <v>235</v>
      </c>
      <c r="BG435" s="7" t="s">
        <v>235</v>
      </c>
      <c r="BH435" s="7" t="s">
        <v>235</v>
      </c>
      <c r="BI435" s="7"/>
      <c r="BJ435" s="4">
        <v>10</v>
      </c>
      <c r="BK435" s="8">
        <v>545.02</v>
      </c>
      <c r="BL435" s="2" t="s">
        <v>2123</v>
      </c>
      <c r="BM435" s="7"/>
      <c r="BN435" s="7"/>
      <c r="BO435" s="4"/>
      <c r="BP435" s="8"/>
      <c r="BQ435" s="4"/>
      <c r="BR435" s="8"/>
      <c r="BS435" s="7"/>
      <c r="BT435" s="7"/>
      <c r="BU435" s="2" t="s">
        <v>2124</v>
      </c>
      <c r="BV435" s="2" t="s">
        <v>243</v>
      </c>
      <c r="BW435" s="2" t="s">
        <v>235</v>
      </c>
      <c r="BX435" s="2" t="s">
        <v>244</v>
      </c>
      <c r="BY435" s="2" t="s">
        <v>245</v>
      </c>
      <c r="BZ435" s="2" t="s">
        <v>232</v>
      </c>
      <c r="CA435" s="2" t="s">
        <v>626</v>
      </c>
      <c r="CB435" s="2" t="s">
        <v>2125</v>
      </c>
      <c r="CC435" s="2" t="s">
        <v>248</v>
      </c>
      <c r="CD435" s="2" t="s">
        <v>248</v>
      </c>
      <c r="CE435" s="2" t="s">
        <v>235</v>
      </c>
      <c r="CF435" s="4">
        <v>78</v>
      </c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>
        <v>99</v>
      </c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>
        <v>80</v>
      </c>
      <c r="GE435" s="4">
        <v>76</v>
      </c>
      <c r="GF435" s="4">
        <v>73</v>
      </c>
      <c r="GG435" s="4">
        <v>169</v>
      </c>
      <c r="GH435" s="4">
        <v>166</v>
      </c>
      <c r="GI435" s="4">
        <v>163</v>
      </c>
      <c r="GJ435" s="4">
        <v>160</v>
      </c>
      <c r="GK435" s="4">
        <v>157</v>
      </c>
      <c r="GL435" s="4">
        <v>154</v>
      </c>
      <c r="GM435" s="4">
        <v>151</v>
      </c>
      <c r="GN435" s="4">
        <v>147</v>
      </c>
      <c r="GO435" s="4">
        <v>141</v>
      </c>
      <c r="GP435" s="4">
        <v>135</v>
      </c>
      <c r="GQ435" s="4">
        <v>112</v>
      </c>
      <c r="GR435" s="4">
        <v>52</v>
      </c>
      <c r="GS435" s="4">
        <v>46</v>
      </c>
      <c r="GT435" s="4">
        <v>42</v>
      </c>
      <c r="GU435" s="4">
        <v>39</v>
      </c>
      <c r="GV435" s="4">
        <v>36</v>
      </c>
      <c r="GW435" s="4">
        <v>33</v>
      </c>
      <c r="GX435" s="4">
        <v>30</v>
      </c>
      <c r="GY435" s="4">
        <v>27</v>
      </c>
      <c r="GZ435" s="4">
        <v>24</v>
      </c>
      <c r="HA435" s="4">
        <v>21</v>
      </c>
      <c r="HB435" s="4">
        <v>18</v>
      </c>
      <c r="HC435" s="4">
        <v>15</v>
      </c>
      <c r="HD435" s="19">
        <v>26.7</v>
      </c>
      <c r="HE435" s="19">
        <v>25.3</v>
      </c>
      <c r="HF435" s="19">
        <v>24.3</v>
      </c>
      <c r="HG435" s="19">
        <v>56.3</v>
      </c>
      <c r="HH435" s="19">
        <v>55.3</v>
      </c>
      <c r="HI435" s="19">
        <v>54.3</v>
      </c>
      <c r="HJ435" s="19">
        <v>53.3</v>
      </c>
      <c r="HK435" s="19">
        <v>39.3</v>
      </c>
      <c r="HL435" s="19">
        <v>30.8</v>
      </c>
      <c r="HM435" s="19">
        <v>15.1</v>
      </c>
      <c r="HN435" s="19">
        <v>6.1</v>
      </c>
      <c r="HO435" s="19">
        <v>5.9</v>
      </c>
      <c r="HP435" s="19">
        <v>5.9</v>
      </c>
      <c r="HQ435" s="19">
        <v>6.2</v>
      </c>
      <c r="HR435" s="19">
        <v>13</v>
      </c>
      <c r="HS435" s="19">
        <v>15.3</v>
      </c>
      <c r="HT435" s="19">
        <v>14</v>
      </c>
      <c r="HU435" s="19">
        <v>13</v>
      </c>
      <c r="HV435" s="19">
        <v>12</v>
      </c>
      <c r="HW435" s="19">
        <v>11</v>
      </c>
      <c r="HX435" s="19">
        <v>10</v>
      </c>
      <c r="HY435" s="19">
        <v>9</v>
      </c>
      <c r="HZ435" s="19">
        <v>8</v>
      </c>
      <c r="IA435" s="19">
        <v>7</v>
      </c>
      <c r="IB435" s="19">
        <v>6</v>
      </c>
      <c r="IC435" s="19">
        <v>5</v>
      </c>
    </row>
    <row r="436">
      <c r="A436" s="2" t="s">
        <v>2126</v>
      </c>
      <c r="B436" s="2" t="s">
        <v>871</v>
      </c>
      <c r="C436" s="2" t="s">
        <v>893</v>
      </c>
      <c r="D436" s="2" t="s">
        <v>361</v>
      </c>
      <c r="E436" s="2" t="s">
        <v>924</v>
      </c>
      <c r="F436" s="2" t="s">
        <v>2118</v>
      </c>
      <c r="G436" s="2" t="s">
        <v>2118</v>
      </c>
      <c r="H436" s="2" t="s">
        <v>2118</v>
      </c>
      <c r="I436" s="2" t="s">
        <v>2127</v>
      </c>
      <c r="J436" s="2" t="s">
        <v>372</v>
      </c>
      <c r="K436" s="2" t="s">
        <v>295</v>
      </c>
      <c r="L436" s="3">
        <v>68.57</v>
      </c>
      <c r="M436" s="3">
        <v>72</v>
      </c>
      <c r="N436" s="3">
        <v>149.99</v>
      </c>
      <c r="O436" s="2" t="s">
        <v>232</v>
      </c>
      <c r="P436" s="2" t="s">
        <v>1282</v>
      </c>
      <c r="Q436" s="2" t="s">
        <v>234</v>
      </c>
      <c r="R436" s="2" t="s">
        <v>235</v>
      </c>
      <c r="S436" s="2" t="s">
        <v>2120</v>
      </c>
      <c r="T436" s="2" t="s">
        <v>1298</v>
      </c>
      <c r="U436" s="2" t="s">
        <v>552</v>
      </c>
      <c r="V436" s="2" t="s">
        <v>1222</v>
      </c>
      <c r="W436" s="2" t="s">
        <v>682</v>
      </c>
      <c r="X436" s="2" t="s">
        <v>235</v>
      </c>
      <c r="Y436" s="2" t="s">
        <v>2121</v>
      </c>
      <c r="Z436" s="4"/>
      <c r="AA436" s="4">
        <f>=ROUNDDOWN({0},0)</f>
      </c>
      <c r="AB436" s="5">
        <v>4</v>
      </c>
      <c r="AC436" s="2" t="s">
        <v>2122</v>
      </c>
      <c r="AD436" s="4">
        <v>256</v>
      </c>
      <c r="AE436" s="4">
        <v>256</v>
      </c>
      <c r="AF436" s="6">
        <v>84</v>
      </c>
      <c r="AG436" s="6"/>
      <c r="AH436" s="7">
        <v>0</v>
      </c>
      <c r="AI436" s="4"/>
      <c r="AJ436" s="4">
        <f>=ROUNDDOWN({0},0)</f>
      </c>
      <c r="AK436" s="5"/>
      <c r="AL436" s="2" t="s">
        <v>235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235</v>
      </c>
      <c r="AW436" s="8" t="s">
        <v>235</v>
      </c>
      <c r="AX436" s="4" t="s">
        <v>235</v>
      </c>
      <c r="AY436" s="8" t="s">
        <v>235</v>
      </c>
      <c r="AZ436" s="7" t="s">
        <v>235</v>
      </c>
      <c r="BA436" s="7" t="s">
        <v>235</v>
      </c>
      <c r="BB436" s="7" t="s">
        <v>235</v>
      </c>
      <c r="BC436" s="4" t="s">
        <v>235</v>
      </c>
      <c r="BD436" s="8" t="s">
        <v>235</v>
      </c>
      <c r="BE436" s="4" t="s">
        <v>235</v>
      </c>
      <c r="BF436" s="8" t="s">
        <v>235</v>
      </c>
      <c r="BG436" s="7" t="s">
        <v>235</v>
      </c>
      <c r="BH436" s="7" t="s">
        <v>235</v>
      </c>
      <c r="BI436" s="7"/>
      <c r="BJ436" s="4"/>
      <c r="BK436" s="8"/>
      <c r="BL436" s="2" t="s">
        <v>2128</v>
      </c>
      <c r="BM436" s="7"/>
      <c r="BN436" s="7"/>
      <c r="BO436" s="4"/>
      <c r="BP436" s="8"/>
      <c r="BQ436" s="4"/>
      <c r="BR436" s="8"/>
      <c r="BS436" s="7"/>
      <c r="BT436" s="7"/>
      <c r="BU436" s="2" t="s">
        <v>2129</v>
      </c>
      <c r="BV436" s="2" t="s">
        <v>243</v>
      </c>
      <c r="BW436" s="2" t="s">
        <v>235</v>
      </c>
      <c r="BX436" s="2" t="s">
        <v>244</v>
      </c>
      <c r="BY436" s="2" t="s">
        <v>245</v>
      </c>
      <c r="BZ436" s="2" t="s">
        <v>232</v>
      </c>
      <c r="CA436" s="2" t="s">
        <v>626</v>
      </c>
      <c r="CB436" s="2" t="s">
        <v>941</v>
      </c>
      <c r="CC436" s="2" t="s">
        <v>248</v>
      </c>
      <c r="CD436" s="2" t="s">
        <v>248</v>
      </c>
      <c r="CE436" s="2" t="s">
        <v>235</v>
      </c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>
        <v>256</v>
      </c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>
        <v>256</v>
      </c>
      <c r="GH436" s="4">
        <v>244</v>
      </c>
      <c r="GI436" s="4">
        <v>239</v>
      </c>
      <c r="GJ436" s="4">
        <v>232</v>
      </c>
      <c r="GK436" s="4">
        <v>228</v>
      </c>
      <c r="GL436" s="4">
        <v>224</v>
      </c>
      <c r="GM436" s="4">
        <v>220</v>
      </c>
      <c r="GN436" s="4">
        <v>216</v>
      </c>
      <c r="GO436" s="4">
        <v>210</v>
      </c>
      <c r="GP436" s="4">
        <v>204</v>
      </c>
      <c r="GQ436" s="4">
        <v>155</v>
      </c>
      <c r="GR436" s="4">
        <v>79</v>
      </c>
      <c r="GS436" s="4">
        <v>74</v>
      </c>
      <c r="GT436" s="4">
        <v>70</v>
      </c>
      <c r="GU436" s="4">
        <v>67</v>
      </c>
      <c r="GV436" s="4">
        <v>63</v>
      </c>
      <c r="GW436" s="4">
        <v>59</v>
      </c>
      <c r="GX436" s="4">
        <v>55</v>
      </c>
      <c r="GY436" s="4">
        <v>51</v>
      </c>
      <c r="GZ436" s="4">
        <v>47</v>
      </c>
      <c r="HA436" s="4">
        <v>43</v>
      </c>
      <c r="HB436" s="4">
        <v>39</v>
      </c>
      <c r="HC436" s="4">
        <v>35</v>
      </c>
      <c r="HD436" s="20">
        <v>0</v>
      </c>
      <c r="HE436" s="20">
        <v>0</v>
      </c>
      <c r="HF436" s="20">
        <v>0</v>
      </c>
      <c r="HG436" s="19">
        <v>36.6</v>
      </c>
      <c r="HH436" s="19">
        <v>48.8</v>
      </c>
      <c r="HI436" s="19">
        <v>47.8</v>
      </c>
      <c r="HJ436" s="19">
        <v>58</v>
      </c>
      <c r="HK436" s="19">
        <v>57</v>
      </c>
      <c r="HL436" s="19">
        <v>44.8</v>
      </c>
      <c r="HM436" s="19">
        <v>13.8</v>
      </c>
      <c r="HN436" s="19">
        <v>6.4</v>
      </c>
      <c r="HO436" s="19">
        <v>6.2</v>
      </c>
      <c r="HP436" s="19">
        <v>6</v>
      </c>
      <c r="HQ436" s="19">
        <v>7</v>
      </c>
      <c r="HR436" s="19">
        <v>19.8</v>
      </c>
      <c r="HS436" s="19">
        <v>18.5</v>
      </c>
      <c r="HT436" s="19">
        <v>17.5</v>
      </c>
      <c r="HU436" s="19">
        <v>16.8</v>
      </c>
      <c r="HV436" s="19">
        <v>15.8</v>
      </c>
      <c r="HW436" s="19">
        <v>14.8</v>
      </c>
      <c r="HX436" s="19">
        <v>13.8</v>
      </c>
      <c r="HY436" s="19">
        <v>12.8</v>
      </c>
      <c r="HZ436" s="19">
        <v>11.8</v>
      </c>
      <c r="IA436" s="19">
        <v>10.8</v>
      </c>
      <c r="IB436" s="19">
        <v>9.8</v>
      </c>
      <c r="IC436" s="19">
        <v>8.8</v>
      </c>
    </row>
    <row r="437">
      <c r="A437" s="2" t="s">
        <v>2130</v>
      </c>
      <c r="B437" s="2" t="s">
        <v>871</v>
      </c>
      <c r="C437" s="2" t="s">
        <v>893</v>
      </c>
      <c r="D437" s="2" t="s">
        <v>906</v>
      </c>
      <c r="E437" s="2" t="s">
        <v>907</v>
      </c>
      <c r="F437" s="2" t="s">
        <v>2118</v>
      </c>
      <c r="G437" s="2" t="s">
        <v>2118</v>
      </c>
      <c r="H437" s="2" t="s">
        <v>2118</v>
      </c>
      <c r="I437" s="2" t="s">
        <v>2119</v>
      </c>
      <c r="J437" s="2" t="s">
        <v>372</v>
      </c>
      <c r="K437" s="2" t="s">
        <v>295</v>
      </c>
      <c r="L437" s="3">
        <v>54.85</v>
      </c>
      <c r="M437" s="3">
        <v>57.59</v>
      </c>
      <c r="N437" s="3">
        <v>119.99</v>
      </c>
      <c r="O437" s="2" t="s">
        <v>232</v>
      </c>
      <c r="P437" s="2" t="s">
        <v>1282</v>
      </c>
      <c r="Q437" s="2" t="s">
        <v>234</v>
      </c>
      <c r="R437" s="2" t="s">
        <v>235</v>
      </c>
      <c r="S437" s="2" t="s">
        <v>2120</v>
      </c>
      <c r="T437" s="2" t="s">
        <v>1298</v>
      </c>
      <c r="U437" s="2" t="s">
        <v>552</v>
      </c>
      <c r="V437" s="2" t="s">
        <v>1222</v>
      </c>
      <c r="W437" s="2" t="s">
        <v>682</v>
      </c>
      <c r="X437" s="2" t="s">
        <v>235</v>
      </c>
      <c r="Y437" s="2" t="s">
        <v>2121</v>
      </c>
      <c r="Z437" s="4">
        <v>2</v>
      </c>
      <c r="AA437" s="4">
        <f>=ROUNDDOWN(0.5,0)</f>
      </c>
      <c r="AB437" s="5">
        <v>4</v>
      </c>
      <c r="AC437" s="2" t="s">
        <v>2122</v>
      </c>
      <c r="AD437" s="4">
        <v>150</v>
      </c>
      <c r="AE437" s="4">
        <v>150</v>
      </c>
      <c r="AF437" s="6">
        <v>84</v>
      </c>
      <c r="AG437" s="6"/>
      <c r="AH437" s="7">
        <v>0</v>
      </c>
      <c r="AI437" s="4"/>
      <c r="AJ437" s="4">
        <f>=ROUNDDOWN({0},0)</f>
      </c>
      <c r="AK437" s="5"/>
      <c r="AL437" s="2" t="s">
        <v>235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235</v>
      </c>
      <c r="AW437" s="8" t="s">
        <v>235</v>
      </c>
      <c r="AX437" s="4" t="s">
        <v>235</v>
      </c>
      <c r="AY437" s="8" t="s">
        <v>235</v>
      </c>
      <c r="AZ437" s="7" t="s">
        <v>235</v>
      </c>
      <c r="BA437" s="7" t="s">
        <v>235</v>
      </c>
      <c r="BB437" s="7" t="s">
        <v>235</v>
      </c>
      <c r="BC437" s="4" t="s">
        <v>235</v>
      </c>
      <c r="BD437" s="8" t="s">
        <v>235</v>
      </c>
      <c r="BE437" s="4" t="s">
        <v>235</v>
      </c>
      <c r="BF437" s="8" t="s">
        <v>235</v>
      </c>
      <c r="BG437" s="7" t="s">
        <v>235</v>
      </c>
      <c r="BH437" s="7" t="s">
        <v>235</v>
      </c>
      <c r="BI437" s="7"/>
      <c r="BJ437" s="4">
        <v>1</v>
      </c>
      <c r="BK437" s="8">
        <v>96</v>
      </c>
      <c r="BL437" s="2" t="s">
        <v>2131</v>
      </c>
      <c r="BM437" s="7"/>
      <c r="BN437" s="7"/>
      <c r="BO437" s="4"/>
      <c r="BP437" s="8"/>
      <c r="BQ437" s="4"/>
      <c r="BR437" s="8"/>
      <c r="BS437" s="7"/>
      <c r="BT437" s="7"/>
      <c r="BU437" s="2" t="s">
        <v>2124</v>
      </c>
      <c r="BV437" s="2" t="s">
        <v>243</v>
      </c>
      <c r="BW437" s="2" t="s">
        <v>235</v>
      </c>
      <c r="BX437" s="2" t="s">
        <v>244</v>
      </c>
      <c r="BY437" s="2" t="s">
        <v>245</v>
      </c>
      <c r="BZ437" s="2" t="s">
        <v>232</v>
      </c>
      <c r="CA437" s="2" t="s">
        <v>626</v>
      </c>
      <c r="CB437" s="2" t="s">
        <v>2132</v>
      </c>
      <c r="CC437" s="2" t="s">
        <v>248</v>
      </c>
      <c r="CD437" s="2" t="s">
        <v>248</v>
      </c>
      <c r="CE437" s="2" t="s">
        <v>235</v>
      </c>
      <c r="CF437" s="4">
        <v>2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>
        <v>150</v>
      </c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>
        <v>2</v>
      </c>
      <c r="GE437" s="4"/>
      <c r="GF437" s="4"/>
      <c r="GG437" s="4">
        <v>150</v>
      </c>
      <c r="GH437" s="4">
        <v>143</v>
      </c>
      <c r="GI437" s="4">
        <v>138</v>
      </c>
      <c r="GJ437" s="4">
        <v>131</v>
      </c>
      <c r="GK437" s="4">
        <v>126</v>
      </c>
      <c r="GL437" s="4">
        <v>121</v>
      </c>
      <c r="GM437" s="4">
        <v>117</v>
      </c>
      <c r="GN437" s="4">
        <v>112</v>
      </c>
      <c r="GO437" s="4">
        <v>105</v>
      </c>
      <c r="GP437" s="4">
        <v>98</v>
      </c>
      <c r="GQ437" s="4">
        <v>82</v>
      </c>
      <c r="GR437" s="4">
        <v>32</v>
      </c>
      <c r="GS437" s="4">
        <v>25</v>
      </c>
      <c r="GT437" s="4">
        <v>20</v>
      </c>
      <c r="GU437" s="4">
        <v>17</v>
      </c>
      <c r="GV437" s="4">
        <v>13</v>
      </c>
      <c r="GW437" s="4">
        <v>9</v>
      </c>
      <c r="GX437" s="4">
        <v>5</v>
      </c>
      <c r="GY437" s="4">
        <v>1</v>
      </c>
      <c r="GZ437" s="4"/>
      <c r="HA437" s="4"/>
      <c r="HB437" s="4"/>
      <c r="HC437" s="4"/>
      <c r="HD437" s="19">
        <v>0.5</v>
      </c>
      <c r="HE437" s="20">
        <v>0</v>
      </c>
      <c r="HF437" s="20">
        <v>0</v>
      </c>
      <c r="HG437" s="19">
        <v>25</v>
      </c>
      <c r="HH437" s="19">
        <v>23.8</v>
      </c>
      <c r="HI437" s="19">
        <v>27.6</v>
      </c>
      <c r="HJ437" s="19">
        <v>26.2</v>
      </c>
      <c r="HK437" s="19">
        <v>25.2</v>
      </c>
      <c r="HL437" s="19">
        <v>20.2</v>
      </c>
      <c r="HM437" s="19">
        <v>13</v>
      </c>
      <c r="HN437" s="19">
        <v>5.6</v>
      </c>
      <c r="HO437" s="19">
        <v>5.3</v>
      </c>
      <c r="HP437" s="19">
        <v>4.9</v>
      </c>
      <c r="HQ437" s="19">
        <v>5.1</v>
      </c>
      <c r="HR437" s="19">
        <v>6.4</v>
      </c>
      <c r="HS437" s="19">
        <v>6.3</v>
      </c>
      <c r="HT437" s="19">
        <v>5</v>
      </c>
      <c r="HU437" s="19">
        <v>4.3</v>
      </c>
      <c r="HV437" s="19">
        <v>3.3</v>
      </c>
      <c r="HW437" s="19">
        <v>2.3</v>
      </c>
      <c r="HX437" s="19">
        <v>1.7</v>
      </c>
      <c r="HY437" s="19">
        <v>0.3</v>
      </c>
      <c r="HZ437" s="20">
        <v>0</v>
      </c>
      <c r="IA437" s="20">
        <v>0</v>
      </c>
      <c r="IB437" s="20">
        <v>0</v>
      </c>
      <c r="IC437" s="20">
        <v>0</v>
      </c>
    </row>
    <row r="438">
      <c r="A438" s="2" t="s">
        <v>2133</v>
      </c>
      <c r="B438" s="2" t="s">
        <v>800</v>
      </c>
      <c r="C438" s="2" t="s">
        <v>893</v>
      </c>
      <c r="D438" s="2" t="s">
        <v>802</v>
      </c>
      <c r="E438" s="2" t="s">
        <v>803</v>
      </c>
      <c r="F438" s="2" t="s">
        <v>2134</v>
      </c>
      <c r="G438" s="2" t="s">
        <v>2134</v>
      </c>
      <c r="H438" s="2" t="s">
        <v>2134</v>
      </c>
      <c r="I438" s="2" t="s">
        <v>2135</v>
      </c>
      <c r="J438" s="2" t="s">
        <v>897</v>
      </c>
      <c r="K438" s="2" t="s">
        <v>2136</v>
      </c>
      <c r="L438" s="3">
        <v>145</v>
      </c>
      <c r="M438" s="3">
        <v>152.25</v>
      </c>
      <c r="N438" s="3">
        <v>299</v>
      </c>
      <c r="O438" s="2" t="s">
        <v>407</v>
      </c>
      <c r="P438" s="2" t="s">
        <v>408</v>
      </c>
      <c r="Q438" s="2" t="s">
        <v>234</v>
      </c>
      <c r="R438" s="2" t="s">
        <v>235</v>
      </c>
      <c r="S438" s="2" t="s">
        <v>235</v>
      </c>
      <c r="T438" s="2" t="s">
        <v>235</v>
      </c>
      <c r="U438" s="2" t="s">
        <v>807</v>
      </c>
      <c r="V438" s="2" t="s">
        <v>808</v>
      </c>
      <c r="W438" s="2" t="s">
        <v>682</v>
      </c>
      <c r="X438" s="2" t="s">
        <v>809</v>
      </c>
      <c r="Y438" s="2" t="s">
        <v>2137</v>
      </c>
      <c r="Z438" s="4">
        <v>69</v>
      </c>
      <c r="AA438" s="4">
        <f>=ROUNDDOWN(69,0)</f>
      </c>
      <c r="AB438" s="5">
        <v>1</v>
      </c>
      <c r="AC438" s="2" t="s">
        <v>235</v>
      </c>
      <c r="AD438" s="4"/>
      <c r="AE438" s="4"/>
      <c r="AF438" s="6">
        <v>63</v>
      </c>
      <c r="AG438" s="6"/>
      <c r="AH438" s="7">
        <v>1</v>
      </c>
      <c r="AI438" s="4"/>
      <c r="AJ438" s="4">
        <f>=ROUNDDOWN({0},0)</f>
      </c>
      <c r="AK438" s="5"/>
      <c r="AL438" s="2" t="s">
        <v>235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>
        <v>2</v>
      </c>
      <c r="BK438" s="8">
        <v>304.5</v>
      </c>
      <c r="BL438" s="2" t="s">
        <v>2138</v>
      </c>
      <c r="BM438" s="7"/>
      <c r="BN438" s="7"/>
      <c r="BO438" s="4"/>
      <c r="BP438" s="8"/>
      <c r="BQ438" s="4"/>
      <c r="BR438" s="8"/>
      <c r="BS438" s="7"/>
      <c r="BT438" s="7"/>
      <c r="BU438" s="2" t="s">
        <v>2139</v>
      </c>
      <c r="BV438" s="2" t="s">
        <v>813</v>
      </c>
      <c r="BW438" s="2" t="s">
        <v>235</v>
      </c>
      <c r="BX438" s="2" t="s">
        <v>414</v>
      </c>
      <c r="BY438" s="2" t="s">
        <v>245</v>
      </c>
      <c r="BZ438" s="2" t="s">
        <v>232</v>
      </c>
      <c r="CA438" s="2" t="s">
        <v>2140</v>
      </c>
      <c r="CB438" s="2" t="s">
        <v>1627</v>
      </c>
      <c r="CC438" s="2" t="s">
        <v>248</v>
      </c>
      <c r="CD438" s="2" t="s">
        <v>248</v>
      </c>
      <c r="CE438" s="2" t="s">
        <v>235</v>
      </c>
      <c r="CF438" s="4"/>
      <c r="CG438" s="4">
        <v>69</v>
      </c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>
        <v>69</v>
      </c>
      <c r="GE438" s="4">
        <v>68</v>
      </c>
      <c r="GF438" s="4">
        <v>67</v>
      </c>
      <c r="GG438" s="4">
        <v>66</v>
      </c>
      <c r="GH438" s="4">
        <v>65</v>
      </c>
      <c r="GI438" s="4">
        <v>64</v>
      </c>
      <c r="GJ438" s="4">
        <v>63</v>
      </c>
      <c r="GK438" s="4">
        <v>62</v>
      </c>
      <c r="GL438" s="4">
        <v>61</v>
      </c>
      <c r="GM438" s="4">
        <v>60</v>
      </c>
      <c r="GN438" s="4">
        <v>59</v>
      </c>
      <c r="GO438" s="4">
        <v>58</v>
      </c>
      <c r="GP438" s="4">
        <v>57</v>
      </c>
      <c r="GQ438" s="4">
        <v>56</v>
      </c>
      <c r="GR438" s="4">
        <v>55</v>
      </c>
      <c r="GS438" s="4">
        <v>54</v>
      </c>
      <c r="GT438" s="4">
        <v>53</v>
      </c>
      <c r="GU438" s="4">
        <v>52</v>
      </c>
      <c r="GV438" s="4">
        <v>51</v>
      </c>
      <c r="GW438" s="4">
        <v>50</v>
      </c>
      <c r="GX438" s="4">
        <v>49</v>
      </c>
      <c r="GY438" s="4">
        <v>48</v>
      </c>
      <c r="GZ438" s="4">
        <v>47</v>
      </c>
      <c r="HA438" s="4">
        <v>46</v>
      </c>
      <c r="HB438" s="4">
        <v>45</v>
      </c>
      <c r="HC438" s="4">
        <v>44</v>
      </c>
      <c r="HD438" s="19">
        <v>69</v>
      </c>
      <c r="HE438" s="19">
        <v>68</v>
      </c>
      <c r="HF438" s="19">
        <v>67</v>
      </c>
      <c r="HG438" s="19">
        <v>66</v>
      </c>
      <c r="HH438" s="19">
        <v>65</v>
      </c>
      <c r="HI438" s="19">
        <v>64</v>
      </c>
      <c r="HJ438" s="19">
        <v>63</v>
      </c>
      <c r="HK438" s="19">
        <v>62</v>
      </c>
      <c r="HL438" s="19">
        <v>61</v>
      </c>
      <c r="HM438" s="19">
        <v>60</v>
      </c>
      <c r="HN438" s="19">
        <v>59</v>
      </c>
      <c r="HO438" s="19">
        <v>58</v>
      </c>
      <c r="HP438" s="19">
        <v>57</v>
      </c>
      <c r="HQ438" s="19">
        <v>56</v>
      </c>
      <c r="HR438" s="19">
        <v>55</v>
      </c>
      <c r="HS438" s="19">
        <v>54</v>
      </c>
      <c r="HT438" s="19">
        <v>53</v>
      </c>
      <c r="HU438" s="19">
        <v>52</v>
      </c>
      <c r="HV438" s="19">
        <v>51</v>
      </c>
      <c r="HW438" s="19">
        <v>50</v>
      </c>
      <c r="HX438" s="19">
        <v>49</v>
      </c>
      <c r="HY438" s="19">
        <v>48</v>
      </c>
      <c r="HZ438" s="19">
        <v>47</v>
      </c>
      <c r="IA438" s="19">
        <v>46</v>
      </c>
      <c r="IB438" s="19">
        <v>45</v>
      </c>
      <c r="IC438" s="19">
        <v>44</v>
      </c>
    </row>
    <row r="439">
      <c r="A439" s="2" t="s">
        <v>2141</v>
      </c>
      <c r="B439" s="2" t="s">
        <v>1139</v>
      </c>
      <c r="C439" s="2" t="s">
        <v>2142</v>
      </c>
      <c r="D439" s="2" t="s">
        <v>1140</v>
      </c>
      <c r="E439" s="2" t="s">
        <v>1141</v>
      </c>
      <c r="F439" s="2" t="s">
        <v>2143</v>
      </c>
      <c r="G439" s="2" t="s">
        <v>2143</v>
      </c>
      <c r="H439" s="2" t="s">
        <v>2143</v>
      </c>
      <c r="I439" s="2" t="s">
        <v>2144</v>
      </c>
      <c r="J439" s="2" t="s">
        <v>897</v>
      </c>
      <c r="K439" s="2" t="s">
        <v>287</v>
      </c>
      <c r="L439" s="3">
        <v>27.23</v>
      </c>
      <c r="M439" s="3">
        <v>28.59</v>
      </c>
      <c r="N439" s="3">
        <v>79.99</v>
      </c>
      <c r="O439" s="2" t="s">
        <v>485</v>
      </c>
      <c r="P439" s="2" t="s">
        <v>408</v>
      </c>
      <c r="Q439" s="2" t="s">
        <v>234</v>
      </c>
      <c r="R439" s="2" t="s">
        <v>235</v>
      </c>
      <c r="S439" s="2" t="s">
        <v>235</v>
      </c>
      <c r="T439" s="2" t="s">
        <v>235</v>
      </c>
      <c r="U439" s="2" t="s">
        <v>235</v>
      </c>
      <c r="V439" s="2" t="s">
        <v>238</v>
      </c>
      <c r="W439" s="2" t="s">
        <v>239</v>
      </c>
      <c r="X439" s="2" t="s">
        <v>235</v>
      </c>
      <c r="Y439" s="2" t="s">
        <v>2145</v>
      </c>
      <c r="Z439" s="4"/>
      <c r="AA439" s="4">
        <f>=ROUNDDOWN({0},0)</f>
      </c>
      <c r="AB439" s="5">
        <v>1</v>
      </c>
      <c r="AC439" s="2" t="s">
        <v>235</v>
      </c>
      <c r="AD439" s="4"/>
      <c r="AE439" s="4"/>
      <c r="AF439" s="6">
        <v>65</v>
      </c>
      <c r="AG439" s="6"/>
      <c r="AH439" s="7">
        <v>0.8387</v>
      </c>
      <c r="AI439" s="4"/>
      <c r="AJ439" s="4">
        <f>=ROUNDDOWN({0},0)</f>
      </c>
      <c r="AK439" s="5"/>
      <c r="AL439" s="2" t="s">
        <v>235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235</v>
      </c>
      <c r="BD439" s="8" t="s">
        <v>235</v>
      </c>
      <c r="BE439" s="4" t="s">
        <v>235</v>
      </c>
      <c r="BF439" s="8" t="s">
        <v>235</v>
      </c>
      <c r="BG439" s="7" t="s">
        <v>235</v>
      </c>
      <c r="BH439" s="7" t="s">
        <v>235</v>
      </c>
      <c r="BI439" s="7"/>
      <c r="BJ439" s="4">
        <v>6</v>
      </c>
      <c r="BK439" s="8">
        <v>228.94</v>
      </c>
      <c r="BL439" s="2" t="s">
        <v>2146</v>
      </c>
      <c r="BM439" s="7"/>
      <c r="BN439" s="7"/>
      <c r="BO439" s="4"/>
      <c r="BP439" s="8"/>
      <c r="BQ439" s="4"/>
      <c r="BR439" s="8"/>
      <c r="BS439" s="7"/>
      <c r="BT439" s="7"/>
      <c r="BU439" s="2" t="s">
        <v>2147</v>
      </c>
      <c r="BV439" s="2" t="s">
        <v>618</v>
      </c>
      <c r="BW439" s="2" t="s">
        <v>235</v>
      </c>
      <c r="BX439" s="2" t="s">
        <v>414</v>
      </c>
      <c r="BY439" s="2" t="s">
        <v>245</v>
      </c>
      <c r="BZ439" s="2" t="s">
        <v>232</v>
      </c>
      <c r="CA439" s="2" t="s">
        <v>1577</v>
      </c>
      <c r="CB439" s="2" t="s">
        <v>1709</v>
      </c>
      <c r="CC439" s="2" t="s">
        <v>248</v>
      </c>
      <c r="CD439" s="2" t="s">
        <v>248</v>
      </c>
      <c r="CE439" s="2" t="s">
        <v>235</v>
      </c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>
        <v>433</v>
      </c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19">
        <v>4</v>
      </c>
      <c r="HE439" s="20">
        <v>0</v>
      </c>
      <c r="HF439" s="20">
        <v>0</v>
      </c>
      <c r="HG439" s="20">
        <v>0</v>
      </c>
      <c r="HH439" s="20">
        <v>0</v>
      </c>
      <c r="HI439" s="20">
        <v>0</v>
      </c>
      <c r="HJ439" s="20">
        <v>0</v>
      </c>
      <c r="HK439" s="20">
        <v>0</v>
      </c>
      <c r="HL439" s="20">
        <v>0</v>
      </c>
      <c r="HM439" s="20">
        <v>0</v>
      </c>
      <c r="HN439" s="20">
        <v>0</v>
      </c>
      <c r="HO439" s="20">
        <v>0</v>
      </c>
      <c r="HP439" s="20">
        <v>0</v>
      </c>
      <c r="HQ439" s="20">
        <v>0</v>
      </c>
      <c r="HR439" s="20">
        <v>0</v>
      </c>
      <c r="HS439" s="20">
        <v>0</v>
      </c>
      <c r="HT439" s="20">
        <v>0</v>
      </c>
      <c r="HU439" s="20">
        <v>0</v>
      </c>
      <c r="HV439" s="20">
        <v>0</v>
      </c>
      <c r="HW439" s="20">
        <v>0</v>
      </c>
      <c r="HX439" s="20">
        <v>0</v>
      </c>
      <c r="HY439" s="20">
        <v>0</v>
      </c>
      <c r="HZ439" s="20">
        <v>0</v>
      </c>
      <c r="IA439" s="20">
        <v>0</v>
      </c>
      <c r="IB439" s="20">
        <v>0</v>
      </c>
      <c r="IC439" s="20">
        <v>0</v>
      </c>
    </row>
    <row r="440">
      <c r="A440" s="2" t="s">
        <v>2148</v>
      </c>
      <c r="B440" s="2" t="s">
        <v>1139</v>
      </c>
      <c r="C440" s="2" t="s">
        <v>2142</v>
      </c>
      <c r="D440" s="2" t="s">
        <v>1140</v>
      </c>
      <c r="E440" s="2" t="s">
        <v>1141</v>
      </c>
      <c r="F440" s="2" t="s">
        <v>2143</v>
      </c>
      <c r="G440" s="2" t="s">
        <v>2143</v>
      </c>
      <c r="H440" s="2" t="s">
        <v>2143</v>
      </c>
      <c r="I440" s="2" t="s">
        <v>2144</v>
      </c>
      <c r="J440" s="2" t="s">
        <v>897</v>
      </c>
      <c r="K440" s="2" t="s">
        <v>316</v>
      </c>
      <c r="L440" s="3">
        <v>27.23</v>
      </c>
      <c r="M440" s="3">
        <v>28.59</v>
      </c>
      <c r="N440" s="3">
        <v>79.99</v>
      </c>
      <c r="O440" s="2" t="s">
        <v>485</v>
      </c>
      <c r="P440" s="2" t="s">
        <v>408</v>
      </c>
      <c r="Q440" s="2" t="s">
        <v>234</v>
      </c>
      <c r="R440" s="2" t="s">
        <v>235</v>
      </c>
      <c r="S440" s="2" t="s">
        <v>235</v>
      </c>
      <c r="T440" s="2" t="s">
        <v>235</v>
      </c>
      <c r="U440" s="2" t="s">
        <v>235</v>
      </c>
      <c r="V440" s="2" t="s">
        <v>238</v>
      </c>
      <c r="W440" s="2" t="s">
        <v>239</v>
      </c>
      <c r="X440" s="2" t="s">
        <v>235</v>
      </c>
      <c r="Y440" s="2" t="s">
        <v>2145</v>
      </c>
      <c r="Z440" s="4"/>
      <c r="AA440" s="4">
        <f>=ROUNDDOWN({0},0)</f>
      </c>
      <c r="AB440" s="5">
        <v>5</v>
      </c>
      <c r="AC440" s="2" t="s">
        <v>235</v>
      </c>
      <c r="AD440" s="4"/>
      <c r="AE440" s="4"/>
      <c r="AF440" s="6">
        <v>65</v>
      </c>
      <c r="AG440" s="6"/>
      <c r="AH440" s="7">
        <v>0.8387</v>
      </c>
      <c r="AI440" s="4"/>
      <c r="AJ440" s="4">
        <f>=ROUNDDOWN({0},0)</f>
      </c>
      <c r="AK440" s="5"/>
      <c r="AL440" s="2" t="s">
        <v>235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235</v>
      </c>
      <c r="BD440" s="8" t="s">
        <v>235</v>
      </c>
      <c r="BE440" s="4" t="s">
        <v>235</v>
      </c>
      <c r="BF440" s="8" t="s">
        <v>235</v>
      </c>
      <c r="BG440" s="7" t="s">
        <v>235</v>
      </c>
      <c r="BH440" s="7" t="s">
        <v>235</v>
      </c>
      <c r="BI440" s="7"/>
      <c r="BJ440" s="4">
        <v>7</v>
      </c>
      <c r="BK440" s="8">
        <v>228.31</v>
      </c>
      <c r="BL440" s="2" t="s">
        <v>2149</v>
      </c>
      <c r="BM440" s="7"/>
      <c r="BN440" s="7"/>
      <c r="BO440" s="4"/>
      <c r="BP440" s="8"/>
      <c r="BQ440" s="4"/>
      <c r="BR440" s="8"/>
      <c r="BS440" s="7"/>
      <c r="BT440" s="7"/>
      <c r="BU440" s="2" t="s">
        <v>2147</v>
      </c>
      <c r="BV440" s="2" t="s">
        <v>618</v>
      </c>
      <c r="BW440" s="2" t="s">
        <v>235</v>
      </c>
      <c r="BX440" s="2" t="s">
        <v>414</v>
      </c>
      <c r="BY440" s="2" t="s">
        <v>245</v>
      </c>
      <c r="BZ440" s="2" t="s">
        <v>232</v>
      </c>
      <c r="CA440" s="2" t="s">
        <v>1577</v>
      </c>
      <c r="CB440" s="2" t="s">
        <v>2150</v>
      </c>
      <c r="CC440" s="2" t="s">
        <v>248</v>
      </c>
      <c r="CD440" s="2" t="s">
        <v>248</v>
      </c>
      <c r="CE440" s="2" t="s">
        <v>235</v>
      </c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>
        <v>296</v>
      </c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19">
        <v>3.7</v>
      </c>
      <c r="HE440" s="20">
        <v>0</v>
      </c>
      <c r="HF440" s="20">
        <v>0</v>
      </c>
      <c r="HG440" s="20">
        <v>0</v>
      </c>
      <c r="HH440" s="20">
        <v>0</v>
      </c>
      <c r="HI440" s="20">
        <v>0</v>
      </c>
      <c r="HJ440" s="20">
        <v>0</v>
      </c>
      <c r="HK440" s="20">
        <v>0</v>
      </c>
      <c r="HL440" s="20">
        <v>0</v>
      </c>
      <c r="HM440" s="20">
        <v>0</v>
      </c>
      <c r="HN440" s="20">
        <v>0</v>
      </c>
      <c r="HO440" s="20">
        <v>0</v>
      </c>
      <c r="HP440" s="20">
        <v>0</v>
      </c>
      <c r="HQ440" s="20">
        <v>0</v>
      </c>
      <c r="HR440" s="20">
        <v>0</v>
      </c>
      <c r="HS440" s="20">
        <v>0</v>
      </c>
      <c r="HT440" s="20">
        <v>0</v>
      </c>
      <c r="HU440" s="20">
        <v>0</v>
      </c>
      <c r="HV440" s="20">
        <v>0</v>
      </c>
      <c r="HW440" s="20">
        <v>0</v>
      </c>
      <c r="HX440" s="20">
        <v>0</v>
      </c>
      <c r="HY440" s="20">
        <v>0</v>
      </c>
      <c r="HZ440" s="20">
        <v>0</v>
      </c>
      <c r="IA440" s="20">
        <v>0</v>
      </c>
      <c r="IB440" s="20">
        <v>0</v>
      </c>
      <c r="IC440" s="20">
        <v>0</v>
      </c>
    </row>
    <row r="441">
      <c r="A441" s="2" t="s">
        <v>2151</v>
      </c>
      <c r="B441" s="2" t="s">
        <v>871</v>
      </c>
      <c r="C441" s="2" t="s">
        <v>2152</v>
      </c>
      <c r="D441" s="2" t="s">
        <v>361</v>
      </c>
      <c r="E441" s="2" t="s">
        <v>872</v>
      </c>
      <c r="F441" s="2" t="s">
        <v>2153</v>
      </c>
      <c r="G441" s="2" t="s">
        <v>2154</v>
      </c>
      <c r="H441" s="2" t="s">
        <v>2155</v>
      </c>
      <c r="I441" s="2" t="s">
        <v>2156</v>
      </c>
      <c r="J441" s="2" t="s">
        <v>877</v>
      </c>
      <c r="K441" s="2" t="s">
        <v>2157</v>
      </c>
      <c r="L441" s="3">
        <v>57.5</v>
      </c>
      <c r="M441" s="3">
        <v>60.38</v>
      </c>
      <c r="N441" s="3">
        <v>124.99</v>
      </c>
      <c r="O441" s="2" t="s">
        <v>232</v>
      </c>
      <c r="P441" s="2" t="s">
        <v>878</v>
      </c>
      <c r="Q441" s="2" t="s">
        <v>234</v>
      </c>
      <c r="R441" s="2" t="s">
        <v>235</v>
      </c>
      <c r="S441" s="2" t="s">
        <v>2158</v>
      </c>
      <c r="T441" s="2" t="s">
        <v>263</v>
      </c>
      <c r="U441" s="2" t="s">
        <v>264</v>
      </c>
      <c r="V441" s="2" t="s">
        <v>2159</v>
      </c>
      <c r="W441" s="2" t="s">
        <v>235</v>
      </c>
      <c r="X441" s="2" t="s">
        <v>235</v>
      </c>
      <c r="Y441" s="2" t="s">
        <v>2160</v>
      </c>
      <c r="Z441" s="4">
        <v>753</v>
      </c>
      <c r="AA441" s="4">
        <f>=ROUNDDOWN(83.6666666666667,0)</f>
      </c>
      <c r="AB441" s="5">
        <v>9</v>
      </c>
      <c r="AC441" s="2" t="s">
        <v>235</v>
      </c>
      <c r="AD441" s="4"/>
      <c r="AE441" s="4"/>
      <c r="AF441" s="6">
        <v>78</v>
      </c>
      <c r="AG441" s="6"/>
      <c r="AH441" s="7">
        <v>1</v>
      </c>
      <c r="AI441" s="4"/>
      <c r="AJ441" s="4">
        <f>=ROUNDDOWN({0},0)</f>
      </c>
      <c r="AK441" s="5"/>
      <c r="AL441" s="2" t="s">
        <v>235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235</v>
      </c>
      <c r="AW441" s="8" t="s">
        <v>235</v>
      </c>
      <c r="AX441" s="4" t="s">
        <v>235</v>
      </c>
      <c r="AY441" s="8" t="s">
        <v>235</v>
      </c>
      <c r="AZ441" s="7" t="s">
        <v>235</v>
      </c>
      <c r="BA441" s="7" t="s">
        <v>235</v>
      </c>
      <c r="BB441" s="7"/>
      <c r="BC441" s="4" t="s">
        <v>235</v>
      </c>
      <c r="BD441" s="8" t="s">
        <v>235</v>
      </c>
      <c r="BE441" s="4" t="s">
        <v>235</v>
      </c>
      <c r="BF441" s="8" t="s">
        <v>235</v>
      </c>
      <c r="BG441" s="7" t="s">
        <v>235</v>
      </c>
      <c r="BH441" s="7" t="s">
        <v>235</v>
      </c>
      <c r="BI441" s="7"/>
      <c r="BJ441" s="4">
        <v>3</v>
      </c>
      <c r="BK441" s="8">
        <v>192.25</v>
      </c>
      <c r="BL441" s="2" t="s">
        <v>2161</v>
      </c>
      <c r="BM441" s="7"/>
      <c r="BN441" s="7"/>
      <c r="BO441" s="4"/>
      <c r="BP441" s="8"/>
      <c r="BQ441" s="4"/>
      <c r="BR441" s="8"/>
      <c r="BS441" s="7"/>
      <c r="BT441" s="7"/>
      <c r="BU441" s="2" t="s">
        <v>2162</v>
      </c>
      <c r="BV441" s="2" t="s">
        <v>235</v>
      </c>
      <c r="BW441" s="2" t="s">
        <v>235</v>
      </c>
      <c r="BX441" s="2" t="s">
        <v>244</v>
      </c>
      <c r="BY441" s="2" t="s">
        <v>245</v>
      </c>
      <c r="BZ441" s="2" t="s">
        <v>232</v>
      </c>
      <c r="CA441" s="2" t="s">
        <v>235</v>
      </c>
      <c r="CB441" s="2" t="s">
        <v>235</v>
      </c>
      <c r="CC441" s="2" t="s">
        <v>248</v>
      </c>
      <c r="CD441" s="2" t="s">
        <v>248</v>
      </c>
      <c r="CE441" s="2" t="s">
        <v>235</v>
      </c>
      <c r="CF441" s="4">
        <v>753</v>
      </c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>
        <v>753</v>
      </c>
      <c r="GE441" s="4">
        <v>747</v>
      </c>
      <c r="GF441" s="4">
        <v>742</v>
      </c>
      <c r="GG441" s="4">
        <v>725</v>
      </c>
      <c r="GH441" s="4">
        <v>704</v>
      </c>
      <c r="GI441" s="4">
        <v>684</v>
      </c>
      <c r="GJ441" s="4">
        <v>662</v>
      </c>
      <c r="GK441" s="4">
        <v>641</v>
      </c>
      <c r="GL441" s="4">
        <v>623</v>
      </c>
      <c r="GM441" s="4">
        <v>608</v>
      </c>
      <c r="GN441" s="4">
        <v>597</v>
      </c>
      <c r="GO441" s="4">
        <v>578</v>
      </c>
      <c r="GP441" s="4">
        <v>561</v>
      </c>
      <c r="GQ441" s="4">
        <v>533</v>
      </c>
      <c r="GR441" s="4">
        <v>507</v>
      </c>
      <c r="GS441" s="4">
        <v>490</v>
      </c>
      <c r="GT441" s="4">
        <v>473</v>
      </c>
      <c r="GU441" s="4">
        <v>460</v>
      </c>
      <c r="GV441" s="4">
        <v>443</v>
      </c>
      <c r="GW441" s="4">
        <v>434</v>
      </c>
      <c r="GX441" s="4">
        <v>420</v>
      </c>
      <c r="GY441" s="4">
        <v>406</v>
      </c>
      <c r="GZ441" s="4">
        <v>390</v>
      </c>
      <c r="HA441" s="4">
        <v>381</v>
      </c>
      <c r="HB441" s="4">
        <v>367</v>
      </c>
      <c r="HC441" s="4">
        <v>352</v>
      </c>
      <c r="HD441" s="19">
        <v>62.8</v>
      </c>
      <c r="HE441" s="19">
        <v>46.7</v>
      </c>
      <c r="HF441" s="19">
        <v>37.1</v>
      </c>
      <c r="HG441" s="19">
        <v>34.5</v>
      </c>
      <c r="HH441" s="19">
        <v>35.2</v>
      </c>
      <c r="HI441" s="19">
        <v>36</v>
      </c>
      <c r="HJ441" s="19">
        <v>41.4</v>
      </c>
      <c r="HK441" s="19">
        <v>40.1</v>
      </c>
      <c r="HL441" s="19">
        <v>38.9</v>
      </c>
      <c r="HM441" s="19">
        <v>32</v>
      </c>
      <c r="HN441" s="19">
        <v>27.1</v>
      </c>
      <c r="HO441" s="19">
        <v>26.3</v>
      </c>
      <c r="HP441" s="19">
        <v>25.5</v>
      </c>
      <c r="HQ441" s="19">
        <v>29.6</v>
      </c>
      <c r="HR441" s="19">
        <v>31.7</v>
      </c>
      <c r="HS441" s="19">
        <v>35</v>
      </c>
      <c r="HT441" s="19">
        <v>36.4</v>
      </c>
      <c r="HU441" s="19">
        <v>32.9</v>
      </c>
      <c r="HV441" s="19">
        <v>34.1</v>
      </c>
      <c r="HW441" s="19">
        <v>33.4</v>
      </c>
      <c r="HX441" s="19">
        <v>32.3</v>
      </c>
      <c r="HY441" s="19">
        <v>29</v>
      </c>
      <c r="HZ441" s="19">
        <v>27.9</v>
      </c>
      <c r="IA441" s="19">
        <v>27.2</v>
      </c>
      <c r="IB441" s="19">
        <v>28.2</v>
      </c>
      <c r="IC441" s="19">
        <v>27.1</v>
      </c>
    </row>
    <row r="442">
      <c r="A442" s="2" t="s">
        <v>2163</v>
      </c>
      <c r="B442" s="2" t="s">
        <v>871</v>
      </c>
      <c r="C442" s="2" t="s">
        <v>2152</v>
      </c>
      <c r="D442" s="2" t="s">
        <v>361</v>
      </c>
      <c r="E442" s="2" t="s">
        <v>872</v>
      </c>
      <c r="F442" s="2" t="s">
        <v>2153</v>
      </c>
      <c r="G442" s="2" t="s">
        <v>2154</v>
      </c>
      <c r="H442" s="2" t="s">
        <v>2155</v>
      </c>
      <c r="I442" s="2" t="s">
        <v>2156</v>
      </c>
      <c r="J442" s="2" t="s">
        <v>365</v>
      </c>
      <c r="K442" s="2" t="s">
        <v>2157</v>
      </c>
      <c r="L442" s="3">
        <v>68.84</v>
      </c>
      <c r="M442" s="3">
        <v>72.28</v>
      </c>
      <c r="N442" s="3">
        <v>149.99</v>
      </c>
      <c r="O442" s="2" t="s">
        <v>232</v>
      </c>
      <c r="P442" s="2" t="s">
        <v>878</v>
      </c>
      <c r="Q442" s="2" t="s">
        <v>234</v>
      </c>
      <c r="R442" s="2" t="s">
        <v>235</v>
      </c>
      <c r="S442" s="2" t="s">
        <v>2158</v>
      </c>
      <c r="T442" s="2" t="s">
        <v>263</v>
      </c>
      <c r="U442" s="2" t="s">
        <v>282</v>
      </c>
      <c r="V442" s="2" t="s">
        <v>2159</v>
      </c>
      <c r="W442" s="2" t="s">
        <v>235</v>
      </c>
      <c r="X442" s="2" t="s">
        <v>235</v>
      </c>
      <c r="Y442" s="2" t="s">
        <v>2164</v>
      </c>
      <c r="Z442" s="4">
        <v>890</v>
      </c>
      <c r="AA442" s="4">
        <f>=ROUNDDOWN(74.1666666666667,0)</f>
      </c>
      <c r="AB442" s="5">
        <v>12</v>
      </c>
      <c r="AC442" s="2" t="s">
        <v>235</v>
      </c>
      <c r="AD442" s="4"/>
      <c r="AE442" s="4"/>
      <c r="AF442" s="6">
        <v>78</v>
      </c>
      <c r="AG442" s="6"/>
      <c r="AH442" s="7">
        <v>1</v>
      </c>
      <c r="AI442" s="4"/>
      <c r="AJ442" s="4">
        <f>=ROUNDDOWN({0},0)</f>
      </c>
      <c r="AK442" s="5"/>
      <c r="AL442" s="2" t="s">
        <v>235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235</v>
      </c>
      <c r="AW442" s="8" t="s">
        <v>235</v>
      </c>
      <c r="AX442" s="4" t="s">
        <v>235</v>
      </c>
      <c r="AY442" s="8" t="s">
        <v>235</v>
      </c>
      <c r="AZ442" s="7" t="s">
        <v>235</v>
      </c>
      <c r="BA442" s="7" t="s">
        <v>235</v>
      </c>
      <c r="BB442" s="7"/>
      <c r="BC442" s="4" t="s">
        <v>235</v>
      </c>
      <c r="BD442" s="8" t="s">
        <v>235</v>
      </c>
      <c r="BE442" s="4" t="s">
        <v>235</v>
      </c>
      <c r="BF442" s="8" t="s">
        <v>235</v>
      </c>
      <c r="BG442" s="7" t="s">
        <v>235</v>
      </c>
      <c r="BH442" s="7" t="s">
        <v>235</v>
      </c>
      <c r="BI442" s="7"/>
      <c r="BJ442" s="4">
        <v>4</v>
      </c>
      <c r="BK442" s="8">
        <v>334.73</v>
      </c>
      <c r="BL442" s="2" t="s">
        <v>400</v>
      </c>
      <c r="BM442" s="7"/>
      <c r="BN442" s="7"/>
      <c r="BO442" s="4"/>
      <c r="BP442" s="8"/>
      <c r="BQ442" s="4"/>
      <c r="BR442" s="8"/>
      <c r="BS442" s="7"/>
      <c r="BT442" s="7"/>
      <c r="BU442" s="2" t="s">
        <v>2162</v>
      </c>
      <c r="BV442" s="2" t="s">
        <v>235</v>
      </c>
      <c r="BW442" s="2" t="s">
        <v>235</v>
      </c>
      <c r="BX442" s="2" t="s">
        <v>244</v>
      </c>
      <c r="BY442" s="2" t="s">
        <v>245</v>
      </c>
      <c r="BZ442" s="2" t="s">
        <v>232</v>
      </c>
      <c r="CA442" s="2" t="s">
        <v>235</v>
      </c>
      <c r="CB442" s="2" t="s">
        <v>235</v>
      </c>
      <c r="CC442" s="2" t="s">
        <v>248</v>
      </c>
      <c r="CD442" s="2" t="s">
        <v>248</v>
      </c>
      <c r="CE442" s="2" t="s">
        <v>235</v>
      </c>
      <c r="CF442" s="4">
        <v>890</v>
      </c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>
        <v>890</v>
      </c>
      <c r="GE442" s="4">
        <v>844</v>
      </c>
      <c r="GF442" s="4">
        <v>829</v>
      </c>
      <c r="GG442" s="4">
        <v>811</v>
      </c>
      <c r="GH442" s="4">
        <v>788</v>
      </c>
      <c r="GI442" s="4">
        <v>767</v>
      </c>
      <c r="GJ442" s="4">
        <v>738</v>
      </c>
      <c r="GK442" s="4">
        <v>716</v>
      </c>
      <c r="GL442" s="4">
        <v>696</v>
      </c>
      <c r="GM442" s="4">
        <v>681</v>
      </c>
      <c r="GN442" s="4">
        <v>666</v>
      </c>
      <c r="GO442" s="4">
        <v>641</v>
      </c>
      <c r="GP442" s="4">
        <v>620</v>
      </c>
      <c r="GQ442" s="4">
        <v>583</v>
      </c>
      <c r="GR442" s="4">
        <v>553</v>
      </c>
      <c r="GS442" s="4">
        <v>530</v>
      </c>
      <c r="GT442" s="4">
        <v>511</v>
      </c>
      <c r="GU442" s="4">
        <v>497</v>
      </c>
      <c r="GV442" s="4">
        <v>477</v>
      </c>
      <c r="GW442" s="4">
        <v>465</v>
      </c>
      <c r="GX442" s="4">
        <v>449</v>
      </c>
      <c r="GY442" s="4">
        <v>433</v>
      </c>
      <c r="GZ442" s="4">
        <v>416</v>
      </c>
      <c r="HA442" s="4">
        <v>404</v>
      </c>
      <c r="HB442" s="4">
        <v>389</v>
      </c>
      <c r="HC442" s="4">
        <v>373</v>
      </c>
      <c r="HD442" s="19">
        <v>34.2</v>
      </c>
      <c r="HE442" s="19">
        <v>44.4</v>
      </c>
      <c r="HF442" s="19">
        <v>36</v>
      </c>
      <c r="HG442" s="19">
        <v>33.8</v>
      </c>
      <c r="HH442" s="19">
        <v>34.3</v>
      </c>
      <c r="HI442" s="19">
        <v>34.9</v>
      </c>
      <c r="HJ442" s="19">
        <v>41</v>
      </c>
      <c r="HK442" s="19">
        <v>37.7</v>
      </c>
      <c r="HL442" s="19">
        <v>36.6</v>
      </c>
      <c r="HM442" s="19">
        <v>28.4</v>
      </c>
      <c r="HN442" s="19">
        <v>23.8</v>
      </c>
      <c r="HO442" s="19">
        <v>22.9</v>
      </c>
      <c r="HP442" s="19">
        <v>23</v>
      </c>
      <c r="HQ442" s="19">
        <v>26.5</v>
      </c>
      <c r="HR442" s="19">
        <v>29.1</v>
      </c>
      <c r="HS442" s="19">
        <v>33.1</v>
      </c>
      <c r="HT442" s="19">
        <v>31.9</v>
      </c>
      <c r="HU442" s="19">
        <v>31.1</v>
      </c>
      <c r="HV442" s="19">
        <v>31.8</v>
      </c>
      <c r="HW442" s="19">
        <v>31</v>
      </c>
      <c r="HX442" s="19">
        <v>29.9</v>
      </c>
      <c r="HY442" s="19">
        <v>28.9</v>
      </c>
      <c r="HZ442" s="19">
        <v>27.7</v>
      </c>
      <c r="IA442" s="19">
        <v>26.9</v>
      </c>
      <c r="IB442" s="19">
        <v>25.9</v>
      </c>
      <c r="IC442" s="19">
        <v>24.9</v>
      </c>
    </row>
    <row r="443">
      <c r="A443" s="2" t="s">
        <v>2165</v>
      </c>
      <c r="B443" s="2" t="s">
        <v>871</v>
      </c>
      <c r="C443" s="2" t="s">
        <v>923</v>
      </c>
      <c r="D443" s="2" t="s">
        <v>906</v>
      </c>
      <c r="E443" s="2" t="s">
        <v>1301</v>
      </c>
      <c r="F443" s="2" t="s">
        <v>2166</v>
      </c>
      <c r="G443" s="2" t="s">
        <v>2167</v>
      </c>
      <c r="H443" s="2" t="s">
        <v>2168</v>
      </c>
      <c r="I443" s="2" t="s">
        <v>2169</v>
      </c>
      <c r="J443" s="2" t="s">
        <v>877</v>
      </c>
      <c r="K443" s="2" t="s">
        <v>292</v>
      </c>
      <c r="L443" s="3">
        <v>51.7</v>
      </c>
      <c r="M443" s="3">
        <v>54.29</v>
      </c>
      <c r="N443" s="3">
        <v>109.99</v>
      </c>
      <c r="O443" s="2" t="s">
        <v>485</v>
      </c>
      <c r="P443" s="2" t="s">
        <v>408</v>
      </c>
      <c r="Q443" s="2" t="s">
        <v>234</v>
      </c>
      <c r="R443" s="2" t="s">
        <v>235</v>
      </c>
      <c r="S443" s="2" t="s">
        <v>2170</v>
      </c>
      <c r="T443" s="2" t="s">
        <v>263</v>
      </c>
      <c r="U443" s="2" t="s">
        <v>264</v>
      </c>
      <c r="V443" s="2" t="s">
        <v>420</v>
      </c>
      <c r="W443" s="2" t="s">
        <v>682</v>
      </c>
      <c r="X443" s="2" t="s">
        <v>239</v>
      </c>
      <c r="Y443" s="2" t="s">
        <v>2171</v>
      </c>
      <c r="Z443" s="4"/>
      <c r="AA443" s="4">
        <f>=ROUNDDOWN({0},0)</f>
      </c>
      <c r="AB443" s="5">
        <v>1</v>
      </c>
      <c r="AC443" s="2" t="s">
        <v>235</v>
      </c>
      <c r="AD443" s="4"/>
      <c r="AE443" s="4"/>
      <c r="AF443" s="6">
        <v>65</v>
      </c>
      <c r="AG443" s="6"/>
      <c r="AH443" s="7">
        <v>0.8387</v>
      </c>
      <c r="AI443" s="4"/>
      <c r="AJ443" s="4">
        <f>=ROUNDDOWN({0},0)</f>
      </c>
      <c r="AK443" s="5"/>
      <c r="AL443" s="2" t="s">
        <v>235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>
        <v>4</v>
      </c>
      <c r="BK443" s="8">
        <v>222.6</v>
      </c>
      <c r="BL443" s="2" t="s">
        <v>2172</v>
      </c>
      <c r="BM443" s="7"/>
      <c r="BN443" s="7"/>
      <c r="BO443" s="4"/>
      <c r="BP443" s="8"/>
      <c r="BQ443" s="4"/>
      <c r="BR443" s="8"/>
      <c r="BS443" s="7"/>
      <c r="BT443" s="7"/>
      <c r="BU443" s="2" t="s">
        <v>2173</v>
      </c>
      <c r="BV443" s="2" t="s">
        <v>243</v>
      </c>
      <c r="BW443" s="2" t="s">
        <v>235</v>
      </c>
      <c r="BX443" s="2" t="s">
        <v>414</v>
      </c>
      <c r="BY443" s="2" t="s">
        <v>245</v>
      </c>
      <c r="BZ443" s="2" t="s">
        <v>232</v>
      </c>
      <c r="CA443" s="2" t="s">
        <v>2174</v>
      </c>
      <c r="CB443" s="2" t="s">
        <v>2175</v>
      </c>
      <c r="CC443" s="2" t="s">
        <v>248</v>
      </c>
      <c r="CD443" s="2" t="s">
        <v>248</v>
      </c>
      <c r="CE443" s="2" t="s">
        <v>235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>
        <v>42</v>
      </c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19">
        <v>3.5</v>
      </c>
      <c r="HE443" s="20">
        <v>0</v>
      </c>
      <c r="HF443" s="20">
        <v>0</v>
      </c>
      <c r="HG443" s="20">
        <v>0</v>
      </c>
      <c r="HH443" s="20">
        <v>0</v>
      </c>
      <c r="HI443" s="20">
        <v>0</v>
      </c>
      <c r="HJ443" s="20">
        <v>0</v>
      </c>
      <c r="HK443" s="20">
        <v>0</v>
      </c>
      <c r="HL443" s="20">
        <v>0</v>
      </c>
      <c r="HM443" s="20">
        <v>0</v>
      </c>
      <c r="HN443" s="20">
        <v>0</v>
      </c>
      <c r="HO443" s="20">
        <v>0</v>
      </c>
      <c r="HP443" s="20">
        <v>0</v>
      </c>
      <c r="HQ443" s="20">
        <v>0</v>
      </c>
      <c r="HR443" s="20">
        <v>0</v>
      </c>
      <c r="HS443" s="20">
        <v>0</v>
      </c>
      <c r="HT443" s="20">
        <v>0</v>
      </c>
      <c r="HU443" s="20">
        <v>0</v>
      </c>
      <c r="HV443" s="20">
        <v>0</v>
      </c>
      <c r="HW443" s="20">
        <v>0</v>
      </c>
      <c r="HX443" s="20">
        <v>0</v>
      </c>
      <c r="HY443" s="20">
        <v>0</v>
      </c>
      <c r="HZ443" s="20">
        <v>0</v>
      </c>
      <c r="IA443" s="20">
        <v>0</v>
      </c>
      <c r="IB443" s="20">
        <v>0</v>
      </c>
      <c r="IC443" s="20">
        <v>0</v>
      </c>
    </row>
    <row r="444">
      <c r="A444" s="2" t="s">
        <v>2176</v>
      </c>
      <c r="B444" s="2" t="s">
        <v>871</v>
      </c>
      <c r="C444" s="2" t="s">
        <v>606</v>
      </c>
      <c r="D444" s="2" t="s">
        <v>361</v>
      </c>
      <c r="E444" s="2" t="s">
        <v>872</v>
      </c>
      <c r="F444" s="2" t="s">
        <v>2177</v>
      </c>
      <c r="G444" s="2" t="s">
        <v>2178</v>
      </c>
      <c r="H444" s="2" t="s">
        <v>2179</v>
      </c>
      <c r="I444" s="2" t="s">
        <v>2180</v>
      </c>
      <c r="J444" s="2" t="s">
        <v>877</v>
      </c>
      <c r="K444" s="2" t="s">
        <v>600</v>
      </c>
      <c r="L444" s="3">
        <v>31.31</v>
      </c>
      <c r="M444" s="3">
        <v>32.88</v>
      </c>
      <c r="N444" s="3">
        <v>59.99</v>
      </c>
      <c r="O444" s="2" t="s">
        <v>407</v>
      </c>
      <c r="P444" s="2" t="s">
        <v>408</v>
      </c>
      <c r="Q444" s="2" t="s">
        <v>234</v>
      </c>
      <c r="R444" s="2" t="s">
        <v>235</v>
      </c>
      <c r="S444" s="2" t="s">
        <v>2181</v>
      </c>
      <c r="T444" s="2" t="s">
        <v>501</v>
      </c>
      <c r="U444" s="2" t="s">
        <v>282</v>
      </c>
      <c r="V444" s="2" t="s">
        <v>2182</v>
      </c>
      <c r="W444" s="2" t="s">
        <v>682</v>
      </c>
      <c r="X444" s="2" t="s">
        <v>235</v>
      </c>
      <c r="Y444" s="2" t="s">
        <v>2183</v>
      </c>
      <c r="Z444" s="4">
        <v>1</v>
      </c>
      <c r="AA444" s="4">
        <f>=ROUNDDOWN(0.172413793103448,0)</f>
      </c>
      <c r="AB444" s="5">
        <v>5.8</v>
      </c>
      <c r="AC444" s="2" t="s">
        <v>235</v>
      </c>
      <c r="AD444" s="4"/>
      <c r="AE444" s="4"/>
      <c r="AF444" s="6">
        <v>63</v>
      </c>
      <c r="AG444" s="6"/>
      <c r="AH444" s="7">
        <v>1</v>
      </c>
      <c r="AI444" s="4"/>
      <c r="AJ444" s="4">
        <f>=ROUNDDOWN({0},0)</f>
      </c>
      <c r="AK444" s="5"/>
      <c r="AL444" s="2" t="s">
        <v>235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235</v>
      </c>
      <c r="AW444" s="8" t="s">
        <v>235</v>
      </c>
      <c r="AX444" s="4" t="s">
        <v>235</v>
      </c>
      <c r="AY444" s="8" t="s">
        <v>235</v>
      </c>
      <c r="AZ444" s="7" t="s">
        <v>235</v>
      </c>
      <c r="BA444" s="7" t="s">
        <v>235</v>
      </c>
      <c r="BB444" s="7"/>
      <c r="BC444" s="4" t="s">
        <v>235</v>
      </c>
      <c r="BD444" s="8" t="s">
        <v>235</v>
      </c>
      <c r="BE444" s="4" t="s">
        <v>235</v>
      </c>
      <c r="BF444" s="8" t="s">
        <v>235</v>
      </c>
      <c r="BG444" s="7" t="s">
        <v>235</v>
      </c>
      <c r="BH444" s="7" t="s">
        <v>235</v>
      </c>
      <c r="BI444" s="7"/>
      <c r="BJ444" s="4">
        <v>22</v>
      </c>
      <c r="BK444" s="8">
        <v>968.66</v>
      </c>
      <c r="BL444" s="2" t="s">
        <v>2184</v>
      </c>
      <c r="BM444" s="7"/>
      <c r="BN444" s="7"/>
      <c r="BO444" s="4"/>
      <c r="BP444" s="8"/>
      <c r="BQ444" s="4"/>
      <c r="BR444" s="8"/>
      <c r="BS444" s="7"/>
      <c r="BT444" s="7"/>
      <c r="BU444" s="2" t="s">
        <v>2185</v>
      </c>
      <c r="BV444" s="2" t="s">
        <v>243</v>
      </c>
      <c r="BW444" s="2" t="s">
        <v>235</v>
      </c>
      <c r="BX444" s="2" t="s">
        <v>414</v>
      </c>
      <c r="BY444" s="2" t="s">
        <v>245</v>
      </c>
      <c r="BZ444" s="2" t="s">
        <v>232</v>
      </c>
      <c r="CA444" s="2" t="s">
        <v>2186</v>
      </c>
      <c r="CB444" s="2" t="s">
        <v>2187</v>
      </c>
      <c r="CC444" s="2" t="s">
        <v>248</v>
      </c>
      <c r="CD444" s="2" t="s">
        <v>248</v>
      </c>
      <c r="CE444" s="2" t="s">
        <v>235</v>
      </c>
      <c r="CF444" s="4"/>
      <c r="CG444" s="4"/>
      <c r="CH444" s="4"/>
      <c r="CI444" s="4">
        <v>1</v>
      </c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>
        <v>1</v>
      </c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19">
        <v>0.3</v>
      </c>
      <c r="HE444" s="20">
        <v>0</v>
      </c>
      <c r="HF444" s="20">
        <v>0</v>
      </c>
      <c r="HG444" s="20">
        <v>0</v>
      </c>
      <c r="HH444" s="20">
        <v>0</v>
      </c>
      <c r="HI444" s="20">
        <v>0</v>
      </c>
      <c r="HJ444" s="20">
        <v>0</v>
      </c>
      <c r="HK444" s="20">
        <v>0</v>
      </c>
      <c r="HL444" s="20">
        <v>0</v>
      </c>
      <c r="HM444" s="20">
        <v>0</v>
      </c>
      <c r="HN444" s="20">
        <v>0</v>
      </c>
      <c r="HO444" s="20">
        <v>0</v>
      </c>
      <c r="HP444" s="20">
        <v>0</v>
      </c>
      <c r="HQ444" s="20">
        <v>0</v>
      </c>
      <c r="HR444" s="20">
        <v>0</v>
      </c>
      <c r="HS444" s="20">
        <v>0</v>
      </c>
      <c r="HT444" s="20">
        <v>0</v>
      </c>
      <c r="HU444" s="20">
        <v>0</v>
      </c>
      <c r="HV444" s="20">
        <v>0</v>
      </c>
      <c r="HW444" s="20">
        <v>0</v>
      </c>
      <c r="HX444" s="20">
        <v>0</v>
      </c>
      <c r="HY444" s="20">
        <v>0</v>
      </c>
      <c r="HZ444" s="20">
        <v>0</v>
      </c>
      <c r="IA444" s="20">
        <v>0</v>
      </c>
      <c r="IB444" s="20">
        <v>0</v>
      </c>
      <c r="IC444" s="20">
        <v>0</v>
      </c>
    </row>
    <row r="445">
      <c r="A445" s="2" t="s">
        <v>2188</v>
      </c>
      <c r="B445" s="2" t="s">
        <v>871</v>
      </c>
      <c r="C445" s="2" t="s">
        <v>606</v>
      </c>
      <c r="D445" s="2" t="s">
        <v>361</v>
      </c>
      <c r="E445" s="2" t="s">
        <v>872</v>
      </c>
      <c r="F445" s="2" t="s">
        <v>2177</v>
      </c>
      <c r="G445" s="2" t="s">
        <v>2178</v>
      </c>
      <c r="H445" s="2" t="s">
        <v>2179</v>
      </c>
      <c r="I445" s="2" t="s">
        <v>2180</v>
      </c>
      <c r="J445" s="2" t="s">
        <v>270</v>
      </c>
      <c r="K445" s="2" t="s">
        <v>600</v>
      </c>
      <c r="L445" s="3">
        <v>43.14</v>
      </c>
      <c r="M445" s="3">
        <v>45.3</v>
      </c>
      <c r="N445" s="3">
        <v>84.99</v>
      </c>
      <c r="O445" s="2" t="s">
        <v>407</v>
      </c>
      <c r="P445" s="2" t="s">
        <v>408</v>
      </c>
      <c r="Q445" s="2" t="s">
        <v>234</v>
      </c>
      <c r="R445" s="2" t="s">
        <v>235</v>
      </c>
      <c r="S445" s="2" t="s">
        <v>2181</v>
      </c>
      <c r="T445" s="2" t="s">
        <v>501</v>
      </c>
      <c r="U445" s="2" t="s">
        <v>742</v>
      </c>
      <c r="V445" s="2" t="s">
        <v>2182</v>
      </c>
      <c r="W445" s="2" t="s">
        <v>682</v>
      </c>
      <c r="X445" s="2" t="s">
        <v>235</v>
      </c>
      <c r="Y445" s="2" t="s">
        <v>2183</v>
      </c>
      <c r="Z445" s="4">
        <v>45</v>
      </c>
      <c r="AA445" s="4">
        <f>=ROUNDDOWN(37.5,0)</f>
      </c>
      <c r="AB445" s="5">
        <v>1.2</v>
      </c>
      <c r="AC445" s="2" t="s">
        <v>235</v>
      </c>
      <c r="AD445" s="4"/>
      <c r="AE445" s="4"/>
      <c r="AF445" s="6">
        <v>63</v>
      </c>
      <c r="AG445" s="6"/>
      <c r="AH445" s="7">
        <v>1</v>
      </c>
      <c r="AI445" s="4"/>
      <c r="AJ445" s="4">
        <f>=ROUNDDOWN({0},0)</f>
      </c>
      <c r="AK445" s="5"/>
      <c r="AL445" s="2" t="s">
        <v>235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235</v>
      </c>
      <c r="AW445" s="8" t="s">
        <v>235</v>
      </c>
      <c r="AX445" s="4" t="s">
        <v>235</v>
      </c>
      <c r="AY445" s="8" t="s">
        <v>235</v>
      </c>
      <c r="AZ445" s="7" t="s">
        <v>235</v>
      </c>
      <c r="BA445" s="7" t="s">
        <v>235</v>
      </c>
      <c r="BB445" s="7"/>
      <c r="BC445" s="4" t="s">
        <v>235</v>
      </c>
      <c r="BD445" s="8" t="s">
        <v>235</v>
      </c>
      <c r="BE445" s="4" t="s">
        <v>235</v>
      </c>
      <c r="BF445" s="8" t="s">
        <v>235</v>
      </c>
      <c r="BG445" s="7" t="s">
        <v>235</v>
      </c>
      <c r="BH445" s="7" t="s">
        <v>235</v>
      </c>
      <c r="BI445" s="7"/>
      <c r="BJ445" s="4">
        <v>3</v>
      </c>
      <c r="BK445" s="8">
        <v>203.37</v>
      </c>
      <c r="BL445" s="2" t="s">
        <v>2189</v>
      </c>
      <c r="BM445" s="7"/>
      <c r="BN445" s="7"/>
      <c r="BO445" s="4"/>
      <c r="BP445" s="8"/>
      <c r="BQ445" s="4"/>
      <c r="BR445" s="8"/>
      <c r="BS445" s="7"/>
      <c r="BT445" s="7"/>
      <c r="BU445" s="2" t="s">
        <v>2185</v>
      </c>
      <c r="BV445" s="2" t="s">
        <v>243</v>
      </c>
      <c r="BW445" s="2" t="s">
        <v>235</v>
      </c>
      <c r="BX445" s="2" t="s">
        <v>414</v>
      </c>
      <c r="BY445" s="2" t="s">
        <v>245</v>
      </c>
      <c r="BZ445" s="2" t="s">
        <v>232</v>
      </c>
      <c r="CA445" s="2" t="s">
        <v>2186</v>
      </c>
      <c r="CB445" s="2" t="s">
        <v>2190</v>
      </c>
      <c r="CC445" s="2" t="s">
        <v>248</v>
      </c>
      <c r="CD445" s="2" t="s">
        <v>248</v>
      </c>
      <c r="CE445" s="2" t="s">
        <v>235</v>
      </c>
      <c r="CF445" s="4">
        <v>23</v>
      </c>
      <c r="CG445" s="4"/>
      <c r="CH445" s="4"/>
      <c r="CI445" s="4">
        <v>22</v>
      </c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>
        <v>45</v>
      </c>
      <c r="GE445" s="4">
        <v>44</v>
      </c>
      <c r="GF445" s="4">
        <v>43</v>
      </c>
      <c r="GG445" s="4">
        <v>42</v>
      </c>
      <c r="GH445" s="4">
        <v>41</v>
      </c>
      <c r="GI445" s="4">
        <v>40</v>
      </c>
      <c r="GJ445" s="4">
        <v>39</v>
      </c>
      <c r="GK445" s="4">
        <v>38</v>
      </c>
      <c r="GL445" s="4">
        <v>37</v>
      </c>
      <c r="GM445" s="4">
        <v>36</v>
      </c>
      <c r="GN445" s="4">
        <v>35</v>
      </c>
      <c r="GO445" s="4">
        <v>34</v>
      </c>
      <c r="GP445" s="4">
        <v>32</v>
      </c>
      <c r="GQ445" s="4">
        <v>30</v>
      </c>
      <c r="GR445" s="4">
        <v>28</v>
      </c>
      <c r="GS445" s="4">
        <v>27</v>
      </c>
      <c r="GT445" s="4">
        <v>26</v>
      </c>
      <c r="GU445" s="4">
        <v>25</v>
      </c>
      <c r="GV445" s="4">
        <v>24</v>
      </c>
      <c r="GW445" s="4">
        <v>23</v>
      </c>
      <c r="GX445" s="4">
        <v>22</v>
      </c>
      <c r="GY445" s="4">
        <v>21</v>
      </c>
      <c r="GZ445" s="4">
        <v>20</v>
      </c>
      <c r="HA445" s="4">
        <v>19</v>
      </c>
      <c r="HB445" s="4">
        <v>18</v>
      </c>
      <c r="HC445" s="4">
        <v>17</v>
      </c>
      <c r="HD445" s="19">
        <v>45</v>
      </c>
      <c r="HE445" s="19">
        <v>44</v>
      </c>
      <c r="HF445" s="19">
        <v>43</v>
      </c>
      <c r="HG445" s="19">
        <v>42</v>
      </c>
      <c r="HH445" s="19">
        <v>41</v>
      </c>
      <c r="HI445" s="19">
        <v>40</v>
      </c>
      <c r="HJ445" s="19">
        <v>39</v>
      </c>
      <c r="HK445" s="19">
        <v>38</v>
      </c>
      <c r="HL445" s="19">
        <v>37</v>
      </c>
      <c r="HM445" s="19">
        <v>18</v>
      </c>
      <c r="HN445" s="19">
        <v>17.5</v>
      </c>
      <c r="HO445" s="19">
        <v>17</v>
      </c>
      <c r="HP445" s="19">
        <v>16</v>
      </c>
      <c r="HQ445" s="19">
        <v>30</v>
      </c>
      <c r="HR445" s="19">
        <v>28</v>
      </c>
      <c r="HS445" s="19">
        <v>27</v>
      </c>
      <c r="HT445" s="19">
        <v>26</v>
      </c>
      <c r="HU445" s="19">
        <v>25</v>
      </c>
      <c r="HV445" s="19">
        <v>24</v>
      </c>
      <c r="HW445" s="19">
        <v>23</v>
      </c>
      <c r="HX445" s="19">
        <v>22</v>
      </c>
      <c r="HY445" s="19">
        <v>21</v>
      </c>
      <c r="HZ445" s="19">
        <v>20</v>
      </c>
      <c r="IA445" s="19">
        <v>19</v>
      </c>
      <c r="IB445" s="19">
        <v>18</v>
      </c>
      <c r="IC445" s="19">
        <v>17</v>
      </c>
    </row>
    <row r="446">
      <c r="A446" s="2" t="s">
        <v>2191</v>
      </c>
      <c r="B446" s="2" t="s">
        <v>871</v>
      </c>
      <c r="C446" s="2" t="s">
        <v>606</v>
      </c>
      <c r="D446" s="2" t="s">
        <v>361</v>
      </c>
      <c r="E446" s="2" t="s">
        <v>872</v>
      </c>
      <c r="F446" s="2" t="s">
        <v>2177</v>
      </c>
      <c r="G446" s="2" t="s">
        <v>2178</v>
      </c>
      <c r="H446" s="2" t="s">
        <v>2179</v>
      </c>
      <c r="I446" s="2" t="s">
        <v>2180</v>
      </c>
      <c r="J446" s="2" t="s">
        <v>877</v>
      </c>
      <c r="K446" s="2" t="s">
        <v>822</v>
      </c>
      <c r="L446" s="3">
        <v>31.31</v>
      </c>
      <c r="M446" s="3">
        <v>32.88</v>
      </c>
      <c r="N446" s="3">
        <v>59.99</v>
      </c>
      <c r="O446" s="2" t="s">
        <v>485</v>
      </c>
      <c r="P446" s="2" t="s">
        <v>408</v>
      </c>
      <c r="Q446" s="2" t="s">
        <v>234</v>
      </c>
      <c r="R446" s="2" t="s">
        <v>235</v>
      </c>
      <c r="S446" s="2" t="s">
        <v>2192</v>
      </c>
      <c r="T446" s="2" t="s">
        <v>501</v>
      </c>
      <c r="U446" s="2" t="s">
        <v>282</v>
      </c>
      <c r="V446" s="2" t="s">
        <v>2182</v>
      </c>
      <c r="W446" s="2" t="s">
        <v>682</v>
      </c>
      <c r="X446" s="2" t="s">
        <v>235</v>
      </c>
      <c r="Y446" s="2" t="s">
        <v>2183</v>
      </c>
      <c r="Z446" s="4">
        <v>56</v>
      </c>
      <c r="AA446" s="4">
        <f>=ROUNDDOWN(18.0645161290323,0)</f>
      </c>
      <c r="AB446" s="5">
        <v>3.1</v>
      </c>
      <c r="AC446" s="2" t="s">
        <v>235</v>
      </c>
      <c r="AD446" s="4"/>
      <c r="AE446" s="4"/>
      <c r="AF446" s="6">
        <v>63</v>
      </c>
      <c r="AG446" s="6"/>
      <c r="AH446" s="7">
        <v>1</v>
      </c>
      <c r="AI446" s="4"/>
      <c r="AJ446" s="4">
        <f>=ROUNDDOWN({0},0)</f>
      </c>
      <c r="AK446" s="5"/>
      <c r="AL446" s="2" t="s">
        <v>235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235</v>
      </c>
      <c r="AW446" s="8" t="s">
        <v>235</v>
      </c>
      <c r="AX446" s="4" t="s">
        <v>235</v>
      </c>
      <c r="AY446" s="8" t="s">
        <v>235</v>
      </c>
      <c r="AZ446" s="7" t="s">
        <v>235</v>
      </c>
      <c r="BA446" s="7" t="s">
        <v>235</v>
      </c>
      <c r="BB446" s="7"/>
      <c r="BC446" s="4" t="s">
        <v>235</v>
      </c>
      <c r="BD446" s="8" t="s">
        <v>235</v>
      </c>
      <c r="BE446" s="4" t="s">
        <v>235</v>
      </c>
      <c r="BF446" s="8" t="s">
        <v>235</v>
      </c>
      <c r="BG446" s="7" t="s">
        <v>235</v>
      </c>
      <c r="BH446" s="7" t="s">
        <v>235</v>
      </c>
      <c r="BI446" s="7"/>
      <c r="BJ446" s="4">
        <v>8</v>
      </c>
      <c r="BK446" s="8">
        <v>339.34</v>
      </c>
      <c r="BL446" s="2" t="s">
        <v>2193</v>
      </c>
      <c r="BM446" s="7"/>
      <c r="BN446" s="7"/>
      <c r="BO446" s="4"/>
      <c r="BP446" s="8"/>
      <c r="BQ446" s="4"/>
      <c r="BR446" s="8"/>
      <c r="BS446" s="7"/>
      <c r="BT446" s="7"/>
      <c r="BU446" s="2" t="s">
        <v>2185</v>
      </c>
      <c r="BV446" s="2" t="s">
        <v>243</v>
      </c>
      <c r="BW446" s="2" t="s">
        <v>235</v>
      </c>
      <c r="BX446" s="2" t="s">
        <v>414</v>
      </c>
      <c r="BY446" s="2" t="s">
        <v>245</v>
      </c>
      <c r="BZ446" s="2" t="s">
        <v>232</v>
      </c>
      <c r="CA446" s="2" t="s">
        <v>2186</v>
      </c>
      <c r="CB446" s="2" t="s">
        <v>1235</v>
      </c>
      <c r="CC446" s="2" t="s">
        <v>248</v>
      </c>
      <c r="CD446" s="2" t="s">
        <v>248</v>
      </c>
      <c r="CE446" s="2" t="s">
        <v>235</v>
      </c>
      <c r="CF446" s="4"/>
      <c r="CG446" s="4"/>
      <c r="CH446" s="4"/>
      <c r="CI446" s="4">
        <v>56</v>
      </c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>
        <v>56</v>
      </c>
      <c r="GE446" s="4">
        <v>54</v>
      </c>
      <c r="GF446" s="4">
        <v>52</v>
      </c>
      <c r="GG446" s="4">
        <v>50</v>
      </c>
      <c r="GH446" s="4">
        <v>48</v>
      </c>
      <c r="GI446" s="4">
        <v>46</v>
      </c>
      <c r="GJ446" s="4">
        <v>44</v>
      </c>
      <c r="GK446" s="4">
        <v>42</v>
      </c>
      <c r="GL446" s="4">
        <v>40</v>
      </c>
      <c r="GM446" s="4">
        <v>37</v>
      </c>
      <c r="GN446" s="4">
        <v>34</v>
      </c>
      <c r="GO446" s="4">
        <v>31</v>
      </c>
      <c r="GP446" s="4">
        <v>26</v>
      </c>
      <c r="GQ446" s="4">
        <v>21</v>
      </c>
      <c r="GR446" s="4">
        <v>17</v>
      </c>
      <c r="GS446" s="4">
        <v>14</v>
      </c>
      <c r="GT446" s="4">
        <v>10</v>
      </c>
      <c r="GU446" s="4">
        <v>7</v>
      </c>
      <c r="GV446" s="4">
        <v>4</v>
      </c>
      <c r="GW446" s="4">
        <v>1</v>
      </c>
      <c r="GX446" s="4"/>
      <c r="GY446" s="4"/>
      <c r="GZ446" s="4"/>
      <c r="HA446" s="4"/>
      <c r="HB446" s="4"/>
      <c r="HC446" s="4"/>
      <c r="HD446" s="19">
        <v>28</v>
      </c>
      <c r="HE446" s="19">
        <v>27</v>
      </c>
      <c r="HF446" s="19">
        <v>26</v>
      </c>
      <c r="HG446" s="19">
        <v>25</v>
      </c>
      <c r="HH446" s="19">
        <v>24</v>
      </c>
      <c r="HI446" s="19">
        <v>23</v>
      </c>
      <c r="HJ446" s="19">
        <v>22</v>
      </c>
      <c r="HK446" s="19">
        <v>14</v>
      </c>
      <c r="HL446" s="19">
        <v>10</v>
      </c>
      <c r="HM446" s="19">
        <v>9.3</v>
      </c>
      <c r="HN446" s="19">
        <v>8.5</v>
      </c>
      <c r="HO446" s="19">
        <v>7.8</v>
      </c>
      <c r="HP446" s="19">
        <v>6.5</v>
      </c>
      <c r="HQ446" s="19">
        <v>5.3</v>
      </c>
      <c r="HR446" s="19">
        <v>5.7</v>
      </c>
      <c r="HS446" s="19">
        <v>4.7</v>
      </c>
      <c r="HT446" s="19">
        <v>3.3</v>
      </c>
      <c r="HU446" s="19">
        <v>2.3</v>
      </c>
      <c r="HV446" s="19">
        <v>1.3</v>
      </c>
      <c r="HW446" s="19">
        <v>0.3</v>
      </c>
      <c r="HX446" s="20">
        <v>0</v>
      </c>
      <c r="HY446" s="20">
        <v>0</v>
      </c>
      <c r="HZ446" s="20">
        <v>0</v>
      </c>
      <c r="IA446" s="20">
        <v>0</v>
      </c>
      <c r="IB446" s="20">
        <v>0</v>
      </c>
      <c r="IC446" s="20">
        <v>0</v>
      </c>
    </row>
    <row r="447">
      <c r="A447" s="2" t="s">
        <v>2194</v>
      </c>
      <c r="B447" s="2" t="s">
        <v>871</v>
      </c>
      <c r="C447" s="2" t="s">
        <v>606</v>
      </c>
      <c r="D447" s="2" t="s">
        <v>361</v>
      </c>
      <c r="E447" s="2" t="s">
        <v>872</v>
      </c>
      <c r="F447" s="2" t="s">
        <v>2177</v>
      </c>
      <c r="G447" s="2" t="s">
        <v>2178</v>
      </c>
      <c r="H447" s="2" t="s">
        <v>2179</v>
      </c>
      <c r="I447" s="2" t="s">
        <v>2180</v>
      </c>
      <c r="J447" s="2" t="s">
        <v>261</v>
      </c>
      <c r="K447" s="2" t="s">
        <v>822</v>
      </c>
      <c r="L447" s="3">
        <v>37.41</v>
      </c>
      <c r="M447" s="3">
        <v>39.28</v>
      </c>
      <c r="N447" s="3">
        <v>69.99</v>
      </c>
      <c r="O447" s="2" t="s">
        <v>485</v>
      </c>
      <c r="P447" s="2" t="s">
        <v>408</v>
      </c>
      <c r="Q447" s="2" t="s">
        <v>234</v>
      </c>
      <c r="R447" s="2" t="s">
        <v>235</v>
      </c>
      <c r="S447" s="2" t="s">
        <v>2192</v>
      </c>
      <c r="T447" s="2" t="s">
        <v>501</v>
      </c>
      <c r="U447" s="2" t="s">
        <v>742</v>
      </c>
      <c r="V447" s="2" t="s">
        <v>2182</v>
      </c>
      <c r="W447" s="2" t="s">
        <v>682</v>
      </c>
      <c r="X447" s="2" t="s">
        <v>235</v>
      </c>
      <c r="Y447" s="2" t="s">
        <v>2183</v>
      </c>
      <c r="Z447" s="4">
        <v>268</v>
      </c>
      <c r="AA447" s="4">
        <f>=ROUNDDOWN(32.6829268292683,0)</f>
      </c>
      <c r="AB447" s="5">
        <v>8.2</v>
      </c>
      <c r="AC447" s="2" t="s">
        <v>235</v>
      </c>
      <c r="AD447" s="4"/>
      <c r="AE447" s="4"/>
      <c r="AF447" s="6">
        <v>63</v>
      </c>
      <c r="AG447" s="6"/>
      <c r="AH447" s="7">
        <v>1</v>
      </c>
      <c r="AI447" s="4"/>
      <c r="AJ447" s="4">
        <f>=ROUNDDOWN({0},0)</f>
      </c>
      <c r="AK447" s="5"/>
      <c r="AL447" s="2" t="s">
        <v>235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235</v>
      </c>
      <c r="AW447" s="8" t="s">
        <v>235</v>
      </c>
      <c r="AX447" s="4" t="s">
        <v>235</v>
      </c>
      <c r="AY447" s="8" t="s">
        <v>235</v>
      </c>
      <c r="AZ447" s="7" t="s">
        <v>235</v>
      </c>
      <c r="BA447" s="7" t="s">
        <v>235</v>
      </c>
      <c r="BB447" s="7"/>
      <c r="BC447" s="4" t="s">
        <v>235</v>
      </c>
      <c r="BD447" s="8" t="s">
        <v>235</v>
      </c>
      <c r="BE447" s="4" t="s">
        <v>235</v>
      </c>
      <c r="BF447" s="8" t="s">
        <v>235</v>
      </c>
      <c r="BG447" s="7" t="s">
        <v>235</v>
      </c>
      <c r="BH447" s="7" t="s">
        <v>235</v>
      </c>
      <c r="BI447" s="7"/>
      <c r="BJ447" s="4">
        <v>10</v>
      </c>
      <c r="BK447" s="8">
        <v>486.76</v>
      </c>
      <c r="BL447" s="2" t="s">
        <v>2195</v>
      </c>
      <c r="BM447" s="7"/>
      <c r="BN447" s="7"/>
      <c r="BO447" s="4"/>
      <c r="BP447" s="8"/>
      <c r="BQ447" s="4"/>
      <c r="BR447" s="8"/>
      <c r="BS447" s="7"/>
      <c r="BT447" s="7"/>
      <c r="BU447" s="2" t="s">
        <v>2185</v>
      </c>
      <c r="BV447" s="2" t="s">
        <v>243</v>
      </c>
      <c r="BW447" s="2" t="s">
        <v>235</v>
      </c>
      <c r="BX447" s="2" t="s">
        <v>414</v>
      </c>
      <c r="BY447" s="2" t="s">
        <v>245</v>
      </c>
      <c r="BZ447" s="2" t="s">
        <v>232</v>
      </c>
      <c r="CA447" s="2" t="s">
        <v>2186</v>
      </c>
      <c r="CB447" s="2" t="s">
        <v>2190</v>
      </c>
      <c r="CC447" s="2" t="s">
        <v>248</v>
      </c>
      <c r="CD447" s="2" t="s">
        <v>248</v>
      </c>
      <c r="CE447" s="2" t="s">
        <v>235</v>
      </c>
      <c r="CF447" s="4"/>
      <c r="CG447" s="4"/>
      <c r="CH447" s="4"/>
      <c r="CI447" s="4">
        <v>268</v>
      </c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>
        <v>268</v>
      </c>
      <c r="GE447" s="4">
        <v>260</v>
      </c>
      <c r="GF447" s="4">
        <v>253</v>
      </c>
      <c r="GG447" s="4">
        <v>246</v>
      </c>
      <c r="GH447" s="4">
        <v>239</v>
      </c>
      <c r="GI447" s="4">
        <v>232</v>
      </c>
      <c r="GJ447" s="4">
        <v>225</v>
      </c>
      <c r="GK447" s="4">
        <v>218</v>
      </c>
      <c r="GL447" s="4">
        <v>211</v>
      </c>
      <c r="GM447" s="4">
        <v>202</v>
      </c>
      <c r="GN447" s="4">
        <v>193</v>
      </c>
      <c r="GO447" s="4">
        <v>183</v>
      </c>
      <c r="GP447" s="4">
        <v>166</v>
      </c>
      <c r="GQ447" s="4">
        <v>149</v>
      </c>
      <c r="GR447" s="4">
        <v>135</v>
      </c>
      <c r="GS447" s="4">
        <v>125</v>
      </c>
      <c r="GT447" s="4">
        <v>116</v>
      </c>
      <c r="GU447" s="4">
        <v>108</v>
      </c>
      <c r="GV447" s="4">
        <v>101</v>
      </c>
      <c r="GW447" s="4">
        <v>93</v>
      </c>
      <c r="GX447" s="4">
        <v>85</v>
      </c>
      <c r="GY447" s="4">
        <v>77</v>
      </c>
      <c r="GZ447" s="4">
        <v>69</v>
      </c>
      <c r="HA447" s="4">
        <v>61</v>
      </c>
      <c r="HB447" s="4">
        <v>53</v>
      </c>
      <c r="HC447" s="4">
        <v>44</v>
      </c>
      <c r="HD447" s="19">
        <v>38.3</v>
      </c>
      <c r="HE447" s="19">
        <v>37.1</v>
      </c>
      <c r="HF447" s="19">
        <v>36.1</v>
      </c>
      <c r="HG447" s="19">
        <v>35.1</v>
      </c>
      <c r="HH447" s="19">
        <v>34.1</v>
      </c>
      <c r="HI447" s="19">
        <v>29</v>
      </c>
      <c r="HJ447" s="19">
        <v>28.1</v>
      </c>
      <c r="HK447" s="19">
        <v>24.2</v>
      </c>
      <c r="HL447" s="19">
        <v>19.2</v>
      </c>
      <c r="HM447" s="19">
        <v>15.5</v>
      </c>
      <c r="HN447" s="19">
        <v>13.8</v>
      </c>
      <c r="HO447" s="19">
        <v>13.1</v>
      </c>
      <c r="HP447" s="19">
        <v>13.8</v>
      </c>
      <c r="HQ447" s="19">
        <v>14.9</v>
      </c>
      <c r="HR447" s="19">
        <v>16.9</v>
      </c>
      <c r="HS447" s="19">
        <v>15.6</v>
      </c>
      <c r="HT447" s="19">
        <v>14.5</v>
      </c>
      <c r="HU447" s="19">
        <v>13.5</v>
      </c>
      <c r="HV447" s="19">
        <v>12.6</v>
      </c>
      <c r="HW447" s="19">
        <v>11.6</v>
      </c>
      <c r="HX447" s="19">
        <v>10.6</v>
      </c>
      <c r="HY447" s="19">
        <v>9.6</v>
      </c>
      <c r="HZ447" s="19">
        <v>8.6</v>
      </c>
      <c r="IA447" s="19">
        <v>7.6</v>
      </c>
      <c r="IB447" s="19">
        <v>6.6</v>
      </c>
      <c r="IC447" s="19">
        <v>5.5</v>
      </c>
    </row>
    <row r="448">
      <c r="A448" s="2" t="s">
        <v>2196</v>
      </c>
      <c r="B448" s="2" t="s">
        <v>871</v>
      </c>
      <c r="C448" s="2" t="s">
        <v>853</v>
      </c>
      <c r="D448" s="2" t="s">
        <v>361</v>
      </c>
      <c r="E448" s="2" t="s">
        <v>872</v>
      </c>
      <c r="F448" s="2" t="s">
        <v>2197</v>
      </c>
      <c r="G448" s="2" t="s">
        <v>2198</v>
      </c>
      <c r="H448" s="2" t="s">
        <v>2199</v>
      </c>
      <c r="I448" s="2" t="s">
        <v>2200</v>
      </c>
      <c r="J448" s="2" t="s">
        <v>877</v>
      </c>
      <c r="K448" s="2" t="s">
        <v>889</v>
      </c>
      <c r="L448" s="3">
        <v>29.01</v>
      </c>
      <c r="M448" s="3">
        <v>30.46</v>
      </c>
      <c r="N448" s="3">
        <v>64.99</v>
      </c>
      <c r="O448" s="2" t="s">
        <v>232</v>
      </c>
      <c r="P448" s="2" t="s">
        <v>233</v>
      </c>
      <c r="Q448" s="2" t="s">
        <v>234</v>
      </c>
      <c r="R448" s="2" t="s">
        <v>235</v>
      </c>
      <c r="S448" s="2" t="s">
        <v>2201</v>
      </c>
      <c r="T448" s="2" t="s">
        <v>501</v>
      </c>
      <c r="U448" s="2" t="s">
        <v>552</v>
      </c>
      <c r="V448" s="2" t="s">
        <v>880</v>
      </c>
      <c r="W448" s="2" t="s">
        <v>239</v>
      </c>
      <c r="X448" s="2" t="s">
        <v>235</v>
      </c>
      <c r="Y448" s="2" t="s">
        <v>2071</v>
      </c>
      <c r="Z448" s="4">
        <v>664</v>
      </c>
      <c r="AA448" s="4">
        <f>=ROUNDDOWN(36.8888888888889,0)</f>
      </c>
      <c r="AB448" s="5">
        <v>18</v>
      </c>
      <c r="AC448" s="2" t="s">
        <v>235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235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>
        <v>57</v>
      </c>
      <c r="BK448" s="8">
        <v>1840.18</v>
      </c>
      <c r="BL448" s="2" t="s">
        <v>2202</v>
      </c>
      <c r="BM448" s="7"/>
      <c r="BN448" s="7"/>
      <c r="BO448" s="4"/>
      <c r="BP448" s="8"/>
      <c r="BQ448" s="4"/>
      <c r="BR448" s="8"/>
      <c r="BS448" s="7"/>
      <c r="BT448" s="7"/>
      <c r="BU448" s="2" t="s">
        <v>2203</v>
      </c>
      <c r="BV448" s="2" t="s">
        <v>243</v>
      </c>
      <c r="BW448" s="2" t="s">
        <v>235</v>
      </c>
      <c r="BX448" s="2" t="s">
        <v>244</v>
      </c>
      <c r="BY448" s="2" t="s">
        <v>245</v>
      </c>
      <c r="BZ448" s="2" t="s">
        <v>232</v>
      </c>
      <c r="CA448" s="2" t="s">
        <v>2204</v>
      </c>
      <c r="CB448" s="2" t="s">
        <v>2205</v>
      </c>
      <c r="CC448" s="2" t="s">
        <v>248</v>
      </c>
      <c r="CD448" s="2" t="s">
        <v>248</v>
      </c>
      <c r="CE448" s="2" t="s">
        <v>235</v>
      </c>
      <c r="CF448" s="4">
        <v>664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>
        <v>669</v>
      </c>
      <c r="GE448" s="4">
        <v>622</v>
      </c>
      <c r="GF448" s="4">
        <v>607</v>
      </c>
      <c r="GG448" s="4">
        <v>589</v>
      </c>
      <c r="GH448" s="4">
        <v>575</v>
      </c>
      <c r="GI448" s="4">
        <v>557</v>
      </c>
      <c r="GJ448" s="4">
        <v>535</v>
      </c>
      <c r="GK448" s="4">
        <v>508</v>
      </c>
      <c r="GL448" s="4">
        <v>480</v>
      </c>
      <c r="GM448" s="4">
        <v>457</v>
      </c>
      <c r="GN448" s="4">
        <v>442</v>
      </c>
      <c r="GO448" s="4">
        <v>417</v>
      </c>
      <c r="GP448" s="4">
        <v>388</v>
      </c>
      <c r="GQ448" s="4">
        <v>358</v>
      </c>
      <c r="GR448" s="4">
        <v>301</v>
      </c>
      <c r="GS448" s="4">
        <v>248</v>
      </c>
      <c r="GT448" s="4">
        <v>213</v>
      </c>
      <c r="GU448" s="4">
        <v>203</v>
      </c>
      <c r="GV448" s="4">
        <v>185</v>
      </c>
      <c r="GW448" s="4">
        <v>170</v>
      </c>
      <c r="GX448" s="4">
        <v>158</v>
      </c>
      <c r="GY448" s="4">
        <v>148</v>
      </c>
      <c r="GZ448" s="4">
        <v>131</v>
      </c>
      <c r="HA448" s="4">
        <v>119</v>
      </c>
      <c r="HB448" s="4">
        <v>107</v>
      </c>
      <c r="HC448" s="4">
        <v>94</v>
      </c>
      <c r="HD448" s="19">
        <v>27.9</v>
      </c>
      <c r="HE448" s="19">
        <v>38.9</v>
      </c>
      <c r="HF448" s="19">
        <v>33.7</v>
      </c>
      <c r="HG448" s="19">
        <v>29.5</v>
      </c>
      <c r="HH448" s="19">
        <v>24</v>
      </c>
      <c r="HI448" s="19">
        <v>22.3</v>
      </c>
      <c r="HJ448" s="19">
        <v>23.3</v>
      </c>
      <c r="HK448" s="19">
        <v>22.1</v>
      </c>
      <c r="HL448" s="19">
        <v>20.9</v>
      </c>
      <c r="HM448" s="19">
        <v>18.3</v>
      </c>
      <c r="HN448" s="19">
        <v>12.6</v>
      </c>
      <c r="HO448" s="19">
        <v>9.9</v>
      </c>
      <c r="HP448" s="19">
        <v>8.8</v>
      </c>
      <c r="HQ448" s="19">
        <v>9.2</v>
      </c>
      <c r="HR448" s="19">
        <v>10.4</v>
      </c>
      <c r="HS448" s="19">
        <v>12.4</v>
      </c>
      <c r="HT448" s="19">
        <v>15.2</v>
      </c>
      <c r="HU448" s="19">
        <v>14.5</v>
      </c>
      <c r="HV448" s="19">
        <v>13.2</v>
      </c>
      <c r="HW448" s="19">
        <v>13.1</v>
      </c>
      <c r="HX448" s="19">
        <v>12.2</v>
      </c>
      <c r="HY448" s="19">
        <v>10.6</v>
      </c>
      <c r="HZ448" s="19">
        <v>9.4</v>
      </c>
      <c r="IA448" s="19">
        <v>8.5</v>
      </c>
      <c r="IB448" s="19">
        <v>7.1</v>
      </c>
      <c r="IC448" s="19">
        <v>5.9</v>
      </c>
    </row>
    <row r="449">
      <c r="A449" s="2" t="s">
        <v>2206</v>
      </c>
      <c r="B449" s="2" t="s">
        <v>871</v>
      </c>
      <c r="C449" s="2" t="s">
        <v>324</v>
      </c>
      <c r="D449" s="2" t="s">
        <v>906</v>
      </c>
      <c r="E449" s="2" t="s">
        <v>907</v>
      </c>
      <c r="F449" s="2" t="s">
        <v>2207</v>
      </c>
      <c r="G449" s="2" t="s">
        <v>2208</v>
      </c>
      <c r="H449" s="2" t="s">
        <v>2209</v>
      </c>
      <c r="I449" s="2" t="s">
        <v>2210</v>
      </c>
      <c r="J449" s="2" t="s">
        <v>372</v>
      </c>
      <c r="K449" s="2" t="s">
        <v>600</v>
      </c>
      <c r="L449" s="3">
        <v>36.8</v>
      </c>
      <c r="M449" s="3">
        <v>38.64</v>
      </c>
      <c r="N449" s="3">
        <v>79.99</v>
      </c>
      <c r="O449" s="2" t="s">
        <v>232</v>
      </c>
      <c r="P449" s="2" t="s">
        <v>408</v>
      </c>
      <c r="Q449" s="2" t="s">
        <v>234</v>
      </c>
      <c r="R449" s="2" t="s">
        <v>235</v>
      </c>
      <c r="S449" s="2" t="s">
        <v>2211</v>
      </c>
      <c r="T449" s="2" t="s">
        <v>263</v>
      </c>
      <c r="U449" s="2" t="s">
        <v>552</v>
      </c>
      <c r="V449" s="2" t="s">
        <v>880</v>
      </c>
      <c r="W449" s="2" t="s">
        <v>2060</v>
      </c>
      <c r="X449" s="2" t="s">
        <v>1682</v>
      </c>
      <c r="Y449" s="2" t="s">
        <v>2212</v>
      </c>
      <c r="Z449" s="4"/>
      <c r="AA449" s="4">
        <f>=ROUNDDOWN({0},0)</f>
      </c>
      <c r="AB449" s="5">
        <v>8</v>
      </c>
      <c r="AC449" s="2" t="s">
        <v>235</v>
      </c>
      <c r="AD449" s="4"/>
      <c r="AE449" s="4"/>
      <c r="AF449" s="6">
        <v>78</v>
      </c>
      <c r="AG449" s="6">
        <v>78</v>
      </c>
      <c r="AH449" s="7">
        <v>0</v>
      </c>
      <c r="AI449" s="4"/>
      <c r="AJ449" s="4">
        <f>=ROUNDDOWN({0},0)</f>
      </c>
      <c r="AK449" s="5"/>
      <c r="AL449" s="2" t="s">
        <v>235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2213</v>
      </c>
      <c r="BM449" s="7"/>
      <c r="BN449" s="7"/>
      <c r="BO449" s="4"/>
      <c r="BP449" s="8"/>
      <c r="BQ449" s="4"/>
      <c r="BR449" s="8"/>
      <c r="BS449" s="7"/>
      <c r="BT449" s="7"/>
      <c r="BU449" s="2" t="s">
        <v>2214</v>
      </c>
      <c r="BV449" s="2" t="s">
        <v>243</v>
      </c>
      <c r="BW449" s="2" t="s">
        <v>235</v>
      </c>
      <c r="BX449" s="2" t="s">
        <v>414</v>
      </c>
      <c r="BY449" s="2" t="s">
        <v>245</v>
      </c>
      <c r="BZ449" s="2" t="s">
        <v>232</v>
      </c>
      <c r="CA449" s="2" t="s">
        <v>2212</v>
      </c>
      <c r="CB449" s="2" t="s">
        <v>2215</v>
      </c>
      <c r="CC449" s="2" t="s">
        <v>248</v>
      </c>
      <c r="CD449" s="2" t="s">
        <v>248</v>
      </c>
      <c r="CE449" s="2" t="s">
        <v>235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20">
        <v>0</v>
      </c>
      <c r="HE449" s="20">
        <v>0</v>
      </c>
      <c r="HF449" s="20">
        <v>0</v>
      </c>
      <c r="HG449" s="20">
        <v>0</v>
      </c>
      <c r="HH449" s="20">
        <v>0</v>
      </c>
      <c r="HI449" s="20">
        <v>0</v>
      </c>
      <c r="HJ449" s="20">
        <v>0</v>
      </c>
      <c r="HK449" s="20">
        <v>0</v>
      </c>
      <c r="HL449" s="20">
        <v>0</v>
      </c>
      <c r="HM449" s="20">
        <v>0</v>
      </c>
      <c r="HN449" s="20">
        <v>0</v>
      </c>
      <c r="HO449" s="20">
        <v>0</v>
      </c>
      <c r="HP449" s="20">
        <v>0</v>
      </c>
      <c r="HQ449" s="20">
        <v>0</v>
      </c>
      <c r="HR449" s="20">
        <v>0</v>
      </c>
      <c r="HS449" s="20">
        <v>0</v>
      </c>
      <c r="HT449" s="20">
        <v>0</v>
      </c>
      <c r="HU449" s="20">
        <v>0</v>
      </c>
      <c r="HV449" s="20">
        <v>0</v>
      </c>
      <c r="HW449" s="20">
        <v>0</v>
      </c>
      <c r="HX449" s="20">
        <v>0</v>
      </c>
      <c r="HY449" s="20">
        <v>0</v>
      </c>
      <c r="HZ449" s="20">
        <v>0</v>
      </c>
      <c r="IA449" s="20">
        <v>0</v>
      </c>
      <c r="IB449" s="20">
        <v>0</v>
      </c>
      <c r="IC449" s="20">
        <v>0</v>
      </c>
    </row>
    <row r="450">
      <c r="A450" s="2" t="s">
        <v>2216</v>
      </c>
      <c r="B450" s="2" t="s">
        <v>1071</v>
      </c>
      <c r="C450" s="2" t="s">
        <v>324</v>
      </c>
      <c r="D450" s="2" t="s">
        <v>1417</v>
      </c>
      <c r="E450" s="2" t="s">
        <v>1530</v>
      </c>
      <c r="F450" s="2" t="s">
        <v>2217</v>
      </c>
      <c r="G450" s="2" t="s">
        <v>2217</v>
      </c>
      <c r="H450" s="2" t="s">
        <v>2217</v>
      </c>
      <c r="I450" s="2" t="s">
        <v>2218</v>
      </c>
      <c r="J450" s="2" t="s">
        <v>897</v>
      </c>
      <c r="K450" s="2" t="s">
        <v>231</v>
      </c>
      <c r="L450" s="3">
        <v>268</v>
      </c>
      <c r="M450" s="3">
        <v>281.4</v>
      </c>
      <c r="N450" s="3">
        <v>549</v>
      </c>
      <c r="O450" s="2" t="s">
        <v>232</v>
      </c>
      <c r="P450" s="2" t="s">
        <v>878</v>
      </c>
      <c r="Q450" s="2" t="s">
        <v>234</v>
      </c>
      <c r="R450" s="2" t="s">
        <v>235</v>
      </c>
      <c r="S450" s="2" t="s">
        <v>235</v>
      </c>
      <c r="T450" s="2" t="s">
        <v>235</v>
      </c>
      <c r="U450" s="2" t="s">
        <v>235</v>
      </c>
      <c r="V450" s="2" t="s">
        <v>330</v>
      </c>
      <c r="W450" s="2" t="s">
        <v>682</v>
      </c>
      <c r="X450" s="2" t="s">
        <v>671</v>
      </c>
      <c r="Y450" s="2" t="s">
        <v>235</v>
      </c>
      <c r="Z450" s="4"/>
      <c r="AA450" s="4">
        <f>=ROUNDDOWN({0},0)</f>
      </c>
      <c r="AB450" s="5"/>
      <c r="AC450" s="2" t="s">
        <v>181</v>
      </c>
      <c r="AD450" s="4">
        <v>120</v>
      </c>
      <c r="AE450" s="4">
        <v>120</v>
      </c>
      <c r="AF450" s="6">
        <v>74</v>
      </c>
      <c r="AG450" s="6"/>
      <c r="AH450" s="7"/>
      <c r="AI450" s="4"/>
      <c r="AJ450" s="4">
        <f>=ROUNDDOWN({0},0)</f>
      </c>
      <c r="AK450" s="5"/>
      <c r="AL450" s="2" t="s">
        <v>235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235</v>
      </c>
      <c r="BD450" s="8" t="s">
        <v>235</v>
      </c>
      <c r="BE450" s="4" t="s">
        <v>235</v>
      </c>
      <c r="BF450" s="8" t="s">
        <v>235</v>
      </c>
      <c r="BG450" s="7" t="s">
        <v>235</v>
      </c>
      <c r="BH450" s="7" t="s">
        <v>235</v>
      </c>
      <c r="BI450" s="7"/>
      <c r="BJ450" s="4"/>
      <c r="BK450" s="8"/>
      <c r="BL450" s="2" t="s">
        <v>235</v>
      </c>
      <c r="BM450" s="7"/>
      <c r="BN450" s="7"/>
      <c r="BO450" s="4"/>
      <c r="BP450" s="8"/>
      <c r="BQ450" s="4"/>
      <c r="BR450" s="8"/>
      <c r="BS450" s="7"/>
      <c r="BT450" s="7"/>
      <c r="BU450" s="2" t="s">
        <v>2219</v>
      </c>
      <c r="BV450" s="2" t="s">
        <v>235</v>
      </c>
      <c r="BW450" s="2" t="s">
        <v>235</v>
      </c>
      <c r="BX450" s="2" t="s">
        <v>244</v>
      </c>
      <c r="BY450" s="2" t="s">
        <v>245</v>
      </c>
      <c r="BZ450" s="2" t="s">
        <v>232</v>
      </c>
      <c r="CA450" s="2" t="s">
        <v>235</v>
      </c>
      <c r="CB450" s="2" t="s">
        <v>235</v>
      </c>
      <c r="CC450" s="2" t="s">
        <v>248</v>
      </c>
      <c r="CD450" s="2" t="s">
        <v>248</v>
      </c>
      <c r="CE450" s="2" t="s">
        <v>235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>
        <v>120</v>
      </c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>
        <v>120</v>
      </c>
      <c r="GO450" s="4">
        <v>118</v>
      </c>
      <c r="GP450" s="4">
        <v>114</v>
      </c>
      <c r="GQ450" s="4">
        <v>106</v>
      </c>
      <c r="GR450" s="4">
        <v>100</v>
      </c>
      <c r="GS450" s="4">
        <v>96</v>
      </c>
      <c r="GT450" s="4">
        <v>93</v>
      </c>
      <c r="GU450" s="4">
        <v>91</v>
      </c>
      <c r="GV450" s="4">
        <v>87</v>
      </c>
      <c r="GW450" s="4">
        <v>84</v>
      </c>
      <c r="GX450" s="4">
        <v>80</v>
      </c>
      <c r="GY450" s="4">
        <v>77</v>
      </c>
      <c r="GZ450" s="4">
        <v>72</v>
      </c>
      <c r="HA450" s="4">
        <v>67</v>
      </c>
      <c r="HB450" s="4">
        <v>62</v>
      </c>
      <c r="HC450" s="4">
        <v>56</v>
      </c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19">
        <v>24</v>
      </c>
      <c r="HO450" s="19">
        <v>19.7</v>
      </c>
      <c r="HP450" s="19">
        <v>22.8</v>
      </c>
      <c r="HQ450" s="19">
        <v>26.5</v>
      </c>
      <c r="HR450" s="19">
        <v>33.3</v>
      </c>
      <c r="HS450" s="19">
        <v>32</v>
      </c>
      <c r="HT450" s="19">
        <v>31</v>
      </c>
      <c r="HU450" s="19">
        <v>22.8</v>
      </c>
      <c r="HV450" s="19">
        <v>21.8</v>
      </c>
      <c r="HW450" s="19">
        <v>21</v>
      </c>
      <c r="HX450" s="19">
        <v>20</v>
      </c>
      <c r="HY450" s="19">
        <v>15.4</v>
      </c>
      <c r="HZ450" s="19">
        <v>14.4</v>
      </c>
      <c r="IA450" s="19">
        <v>11.2</v>
      </c>
      <c r="IB450" s="19">
        <v>10.3</v>
      </c>
      <c r="IC450" s="19">
        <v>9.3</v>
      </c>
    </row>
    <row r="451">
      <c r="A451" s="2" t="s">
        <v>2220</v>
      </c>
      <c r="B451" s="2" t="s">
        <v>1071</v>
      </c>
      <c r="C451" s="2" t="s">
        <v>324</v>
      </c>
      <c r="D451" s="2" t="s">
        <v>1417</v>
      </c>
      <c r="E451" s="2" t="s">
        <v>1530</v>
      </c>
      <c r="F451" s="2" t="s">
        <v>2217</v>
      </c>
      <c r="G451" s="2" t="s">
        <v>2217</v>
      </c>
      <c r="H451" s="2" t="s">
        <v>2217</v>
      </c>
      <c r="I451" s="2" t="s">
        <v>2218</v>
      </c>
      <c r="J451" s="2" t="s">
        <v>897</v>
      </c>
      <c r="K451" s="2" t="s">
        <v>292</v>
      </c>
      <c r="L451" s="3">
        <v>268</v>
      </c>
      <c r="M451" s="3">
        <v>281.4</v>
      </c>
      <c r="N451" s="3">
        <v>549</v>
      </c>
      <c r="O451" s="2" t="s">
        <v>232</v>
      </c>
      <c r="P451" s="2" t="s">
        <v>878</v>
      </c>
      <c r="Q451" s="2" t="s">
        <v>234</v>
      </c>
      <c r="R451" s="2" t="s">
        <v>235</v>
      </c>
      <c r="S451" s="2" t="s">
        <v>235</v>
      </c>
      <c r="T451" s="2" t="s">
        <v>235</v>
      </c>
      <c r="U451" s="2" t="s">
        <v>235</v>
      </c>
      <c r="V451" s="2" t="s">
        <v>330</v>
      </c>
      <c r="W451" s="2" t="s">
        <v>682</v>
      </c>
      <c r="X451" s="2" t="s">
        <v>671</v>
      </c>
      <c r="Y451" s="2" t="s">
        <v>235</v>
      </c>
      <c r="Z451" s="4"/>
      <c r="AA451" s="4">
        <f>=ROUNDDOWN({0},0)</f>
      </c>
      <c r="AB451" s="5"/>
      <c r="AC451" s="2" t="s">
        <v>181</v>
      </c>
      <c r="AD451" s="4">
        <v>143</v>
      </c>
      <c r="AE451" s="4">
        <v>163</v>
      </c>
      <c r="AF451" s="6">
        <v>74</v>
      </c>
      <c r="AG451" s="6"/>
      <c r="AH451" s="7"/>
      <c r="AI451" s="4"/>
      <c r="AJ451" s="4">
        <f>=ROUNDDOWN({0},0)</f>
      </c>
      <c r="AK451" s="5"/>
      <c r="AL451" s="2" t="s">
        <v>235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235</v>
      </c>
      <c r="BD451" s="8" t="s">
        <v>235</v>
      </c>
      <c r="BE451" s="4" t="s">
        <v>235</v>
      </c>
      <c r="BF451" s="8" t="s">
        <v>235</v>
      </c>
      <c r="BG451" s="7" t="s">
        <v>235</v>
      </c>
      <c r="BH451" s="7" t="s">
        <v>235</v>
      </c>
      <c r="BI451" s="7"/>
      <c r="BJ451" s="4"/>
      <c r="BK451" s="8"/>
      <c r="BL451" s="2" t="s">
        <v>235</v>
      </c>
      <c r="BM451" s="7"/>
      <c r="BN451" s="7"/>
      <c r="BO451" s="4"/>
      <c r="BP451" s="8"/>
      <c r="BQ451" s="4"/>
      <c r="BR451" s="8"/>
      <c r="BS451" s="7"/>
      <c r="BT451" s="7"/>
      <c r="BU451" s="2" t="s">
        <v>2219</v>
      </c>
      <c r="BV451" s="2" t="s">
        <v>235</v>
      </c>
      <c r="BW451" s="2" t="s">
        <v>235</v>
      </c>
      <c r="BX451" s="2" t="s">
        <v>244</v>
      </c>
      <c r="BY451" s="2" t="s">
        <v>245</v>
      </c>
      <c r="BZ451" s="2" t="s">
        <v>232</v>
      </c>
      <c r="CA451" s="2" t="s">
        <v>235</v>
      </c>
      <c r="CB451" s="2" t="s">
        <v>235</v>
      </c>
      <c r="CC451" s="2" t="s">
        <v>248</v>
      </c>
      <c r="CD451" s="2" t="s">
        <v>248</v>
      </c>
      <c r="CE451" s="2" t="s">
        <v>235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>
        <v>143</v>
      </c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>
        <v>20</v>
      </c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>
        <v>143</v>
      </c>
      <c r="GO451" s="4">
        <v>140</v>
      </c>
      <c r="GP451" s="4">
        <v>134</v>
      </c>
      <c r="GQ451" s="4">
        <v>122</v>
      </c>
      <c r="GR451" s="4">
        <v>113</v>
      </c>
      <c r="GS451" s="4">
        <v>128</v>
      </c>
      <c r="GT451" s="4">
        <v>124</v>
      </c>
      <c r="GU451" s="4">
        <v>121</v>
      </c>
      <c r="GV451" s="4">
        <v>115</v>
      </c>
      <c r="GW451" s="4">
        <v>111</v>
      </c>
      <c r="GX451" s="4">
        <v>105</v>
      </c>
      <c r="GY451" s="4">
        <v>101</v>
      </c>
      <c r="GZ451" s="4">
        <v>94</v>
      </c>
      <c r="HA451" s="4">
        <v>87</v>
      </c>
      <c r="HB451" s="4">
        <v>80</v>
      </c>
      <c r="HC451" s="4">
        <v>72</v>
      </c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19">
        <v>17.9</v>
      </c>
      <c r="HO451" s="19">
        <v>17.5</v>
      </c>
      <c r="HP451" s="19">
        <v>16.8</v>
      </c>
      <c r="HQ451" s="19">
        <v>24.4</v>
      </c>
      <c r="HR451" s="19">
        <v>28.3</v>
      </c>
      <c r="HS451" s="19">
        <v>32</v>
      </c>
      <c r="HT451" s="19">
        <v>24.8</v>
      </c>
      <c r="HU451" s="19">
        <v>24.2</v>
      </c>
      <c r="HV451" s="19">
        <v>23</v>
      </c>
      <c r="HW451" s="19">
        <v>18.5</v>
      </c>
      <c r="HX451" s="19">
        <v>17.5</v>
      </c>
      <c r="HY451" s="19">
        <v>14.4</v>
      </c>
      <c r="HZ451" s="19">
        <v>13.4</v>
      </c>
      <c r="IA451" s="19">
        <v>10.9</v>
      </c>
      <c r="IB451" s="19">
        <v>10</v>
      </c>
      <c r="IC451" s="19">
        <v>9</v>
      </c>
    </row>
    <row r="452">
      <c r="A452" s="2" t="s">
        <v>2221</v>
      </c>
      <c r="B452" s="2" t="s">
        <v>1071</v>
      </c>
      <c r="C452" s="2" t="s">
        <v>324</v>
      </c>
      <c r="D452" s="2" t="s">
        <v>1417</v>
      </c>
      <c r="E452" s="2" t="s">
        <v>1530</v>
      </c>
      <c r="F452" s="2" t="s">
        <v>2217</v>
      </c>
      <c r="G452" s="2" t="s">
        <v>2217</v>
      </c>
      <c r="H452" s="2" t="s">
        <v>2217</v>
      </c>
      <c r="I452" s="2" t="s">
        <v>2218</v>
      </c>
      <c r="J452" s="2" t="s">
        <v>897</v>
      </c>
      <c r="K452" s="2" t="s">
        <v>1667</v>
      </c>
      <c r="L452" s="3">
        <v>268</v>
      </c>
      <c r="M452" s="3">
        <v>281.4</v>
      </c>
      <c r="N452" s="3">
        <v>549</v>
      </c>
      <c r="O452" s="2" t="s">
        <v>232</v>
      </c>
      <c r="P452" s="2" t="s">
        <v>878</v>
      </c>
      <c r="Q452" s="2" t="s">
        <v>234</v>
      </c>
      <c r="R452" s="2" t="s">
        <v>235</v>
      </c>
      <c r="S452" s="2" t="s">
        <v>235</v>
      </c>
      <c r="T452" s="2" t="s">
        <v>235</v>
      </c>
      <c r="U452" s="2" t="s">
        <v>235</v>
      </c>
      <c r="V452" s="2" t="s">
        <v>330</v>
      </c>
      <c r="W452" s="2" t="s">
        <v>682</v>
      </c>
      <c r="X452" s="2" t="s">
        <v>671</v>
      </c>
      <c r="Y452" s="2" t="s">
        <v>235</v>
      </c>
      <c r="Z452" s="4"/>
      <c r="AA452" s="4">
        <f>=ROUNDDOWN({0},0)</f>
      </c>
      <c r="AB452" s="5"/>
      <c r="AC452" s="2" t="s">
        <v>181</v>
      </c>
      <c r="AD452" s="4">
        <v>137</v>
      </c>
      <c r="AE452" s="4">
        <v>157</v>
      </c>
      <c r="AF452" s="6">
        <v>74</v>
      </c>
      <c r="AG452" s="6"/>
      <c r="AH452" s="7"/>
      <c r="AI452" s="4"/>
      <c r="AJ452" s="4">
        <f>=ROUNDDOWN({0},0)</f>
      </c>
      <c r="AK452" s="5"/>
      <c r="AL452" s="2" t="s">
        <v>235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235</v>
      </c>
      <c r="BD452" s="8" t="s">
        <v>235</v>
      </c>
      <c r="BE452" s="4" t="s">
        <v>235</v>
      </c>
      <c r="BF452" s="8" t="s">
        <v>235</v>
      </c>
      <c r="BG452" s="7" t="s">
        <v>235</v>
      </c>
      <c r="BH452" s="7" t="s">
        <v>235</v>
      </c>
      <c r="BI452" s="7"/>
      <c r="BJ452" s="4"/>
      <c r="BK452" s="8"/>
      <c r="BL452" s="2" t="s">
        <v>235</v>
      </c>
      <c r="BM452" s="7"/>
      <c r="BN452" s="7"/>
      <c r="BO452" s="4"/>
      <c r="BP452" s="8"/>
      <c r="BQ452" s="4"/>
      <c r="BR452" s="8"/>
      <c r="BS452" s="7"/>
      <c r="BT452" s="7"/>
      <c r="BU452" s="2" t="s">
        <v>2219</v>
      </c>
      <c r="BV452" s="2" t="s">
        <v>235</v>
      </c>
      <c r="BW452" s="2" t="s">
        <v>235</v>
      </c>
      <c r="BX452" s="2" t="s">
        <v>244</v>
      </c>
      <c r="BY452" s="2" t="s">
        <v>245</v>
      </c>
      <c r="BZ452" s="2" t="s">
        <v>232</v>
      </c>
      <c r="CA452" s="2" t="s">
        <v>235</v>
      </c>
      <c r="CB452" s="2" t="s">
        <v>235</v>
      </c>
      <c r="CC452" s="2" t="s">
        <v>248</v>
      </c>
      <c r="CD452" s="2" t="s">
        <v>248</v>
      </c>
      <c r="CE452" s="2" t="s">
        <v>235</v>
      </c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>
        <v>137</v>
      </c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>
        <v>20</v>
      </c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>
        <v>137</v>
      </c>
      <c r="GO452" s="4">
        <v>134</v>
      </c>
      <c r="GP452" s="4">
        <v>129</v>
      </c>
      <c r="GQ452" s="4">
        <v>119</v>
      </c>
      <c r="GR452" s="4">
        <v>111</v>
      </c>
      <c r="GS452" s="4">
        <v>126</v>
      </c>
      <c r="GT452" s="4">
        <v>123</v>
      </c>
      <c r="GU452" s="4">
        <v>120</v>
      </c>
      <c r="GV452" s="4">
        <v>115</v>
      </c>
      <c r="GW452" s="4">
        <v>111</v>
      </c>
      <c r="GX452" s="4">
        <v>106</v>
      </c>
      <c r="GY452" s="4">
        <v>102</v>
      </c>
      <c r="GZ452" s="4">
        <v>96</v>
      </c>
      <c r="HA452" s="4">
        <v>90</v>
      </c>
      <c r="HB452" s="4">
        <v>84</v>
      </c>
      <c r="HC452" s="4">
        <v>77</v>
      </c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19">
        <v>22.8</v>
      </c>
      <c r="HO452" s="19">
        <v>19.1</v>
      </c>
      <c r="HP452" s="19">
        <v>21.5</v>
      </c>
      <c r="HQ452" s="19">
        <v>23.8</v>
      </c>
      <c r="HR452" s="19">
        <v>27.8</v>
      </c>
      <c r="HS452" s="19">
        <v>31.5</v>
      </c>
      <c r="HT452" s="19">
        <v>30.8</v>
      </c>
      <c r="HU452" s="19">
        <v>30</v>
      </c>
      <c r="HV452" s="19">
        <v>23</v>
      </c>
      <c r="HW452" s="19">
        <v>22.2</v>
      </c>
      <c r="HX452" s="19">
        <v>17.7</v>
      </c>
      <c r="HY452" s="19">
        <v>17</v>
      </c>
      <c r="HZ452" s="19">
        <v>16</v>
      </c>
      <c r="IA452" s="19">
        <v>15</v>
      </c>
      <c r="IB452" s="19">
        <v>12</v>
      </c>
      <c r="IC452" s="19">
        <v>11</v>
      </c>
    </row>
    <row r="453">
      <c r="A453" s="2" t="s">
        <v>2222</v>
      </c>
      <c r="B453" s="2" t="s">
        <v>1139</v>
      </c>
      <c r="C453" s="2" t="s">
        <v>324</v>
      </c>
      <c r="D453" s="2" t="s">
        <v>1140</v>
      </c>
      <c r="E453" s="2" t="s">
        <v>1141</v>
      </c>
      <c r="F453" s="2" t="s">
        <v>2223</v>
      </c>
      <c r="G453" s="2" t="s">
        <v>2223</v>
      </c>
      <c r="H453" s="2" t="s">
        <v>2223</v>
      </c>
      <c r="I453" s="2" t="s">
        <v>1290</v>
      </c>
      <c r="J453" s="2" t="s">
        <v>1146</v>
      </c>
      <c r="K453" s="2" t="s">
        <v>231</v>
      </c>
      <c r="L453" s="3">
        <v>16.492777</v>
      </c>
      <c r="M453" s="3">
        <v>17.31</v>
      </c>
      <c r="N453" s="3">
        <v>36.99</v>
      </c>
      <c r="O453" s="2" t="s">
        <v>232</v>
      </c>
      <c r="P453" s="2" t="s">
        <v>878</v>
      </c>
      <c r="Q453" s="2" t="s">
        <v>234</v>
      </c>
      <c r="R453" s="2" t="s">
        <v>235</v>
      </c>
      <c r="S453" s="2" t="s">
        <v>235</v>
      </c>
      <c r="T453" s="2" t="s">
        <v>879</v>
      </c>
      <c r="U453" s="2" t="s">
        <v>807</v>
      </c>
      <c r="V453" s="2" t="s">
        <v>863</v>
      </c>
      <c r="W453" s="2" t="s">
        <v>682</v>
      </c>
      <c r="X453" s="2" t="s">
        <v>235</v>
      </c>
      <c r="Y453" s="2" t="s">
        <v>1292</v>
      </c>
      <c r="Z453" s="4"/>
      <c r="AA453" s="4">
        <f>=ROUNDDOWN({0},0)</f>
      </c>
      <c r="AB453" s="5"/>
      <c r="AC453" s="2" t="s">
        <v>883</v>
      </c>
      <c r="AD453" s="4">
        <v>100</v>
      </c>
      <c r="AE453" s="4">
        <v>100</v>
      </c>
      <c r="AF453" s="6">
        <v>65</v>
      </c>
      <c r="AG453" s="6"/>
      <c r="AH453" s="7"/>
      <c r="AI453" s="4"/>
      <c r="AJ453" s="4">
        <f>=ROUNDDOWN({0},0)</f>
      </c>
      <c r="AK453" s="5"/>
      <c r="AL453" s="2" t="s">
        <v>235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235</v>
      </c>
      <c r="AW453" s="8" t="s">
        <v>235</v>
      </c>
      <c r="AX453" s="4" t="s">
        <v>235</v>
      </c>
      <c r="AY453" s="8" t="s">
        <v>235</v>
      </c>
      <c r="AZ453" s="7" t="s">
        <v>235</v>
      </c>
      <c r="BA453" s="7" t="s">
        <v>235</v>
      </c>
      <c r="BB453" s="7"/>
      <c r="BC453" s="4" t="s">
        <v>235</v>
      </c>
      <c r="BD453" s="8" t="s">
        <v>235</v>
      </c>
      <c r="BE453" s="4" t="s">
        <v>235</v>
      </c>
      <c r="BF453" s="8" t="s">
        <v>235</v>
      </c>
      <c r="BG453" s="7" t="s">
        <v>235</v>
      </c>
      <c r="BH453" s="7" t="s">
        <v>235</v>
      </c>
      <c r="BI453" s="7"/>
      <c r="BJ453" s="4"/>
      <c r="BK453" s="8"/>
      <c r="BL453" s="2" t="s">
        <v>235</v>
      </c>
      <c r="BM453" s="7"/>
      <c r="BN453" s="7"/>
      <c r="BO453" s="4"/>
      <c r="BP453" s="8"/>
      <c r="BQ453" s="4"/>
      <c r="BR453" s="8"/>
      <c r="BS453" s="7"/>
      <c r="BT453" s="7"/>
      <c r="BU453" s="2" t="s">
        <v>330</v>
      </c>
      <c r="BV453" s="2" t="s">
        <v>235</v>
      </c>
      <c r="BW453" s="2" t="s">
        <v>235</v>
      </c>
      <c r="BX453" s="2" t="s">
        <v>330</v>
      </c>
      <c r="BY453" s="2" t="s">
        <v>331</v>
      </c>
      <c r="BZ453" s="2" t="s">
        <v>232</v>
      </c>
      <c r="CA453" s="2" t="s">
        <v>235</v>
      </c>
      <c r="CB453" s="2" t="s">
        <v>235</v>
      </c>
      <c r="CC453" s="2" t="s">
        <v>248</v>
      </c>
      <c r="CD453" s="2" t="s">
        <v>248</v>
      </c>
      <c r="CE453" s="2" t="s">
        <v>235</v>
      </c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>
        <v>100</v>
      </c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>
        <v>100</v>
      </c>
      <c r="GF453" s="4">
        <v>100</v>
      </c>
      <c r="GG453" s="4">
        <v>100</v>
      </c>
      <c r="GH453" s="4">
        <v>100</v>
      </c>
      <c r="GI453" s="4">
        <v>100</v>
      </c>
      <c r="GJ453" s="4">
        <v>100</v>
      </c>
      <c r="GK453" s="4">
        <v>100</v>
      </c>
      <c r="GL453" s="4">
        <v>100</v>
      </c>
      <c r="GM453" s="4">
        <v>100</v>
      </c>
      <c r="GN453" s="4">
        <v>100</v>
      </c>
      <c r="GO453" s="4">
        <v>100</v>
      </c>
      <c r="GP453" s="4">
        <v>100</v>
      </c>
      <c r="GQ453" s="4">
        <v>100</v>
      </c>
      <c r="GR453" s="4">
        <v>100</v>
      </c>
      <c r="GS453" s="4">
        <v>100</v>
      </c>
      <c r="GT453" s="4">
        <v>100</v>
      </c>
      <c r="GU453" s="4">
        <v>100</v>
      </c>
      <c r="GV453" s="4">
        <v>100</v>
      </c>
      <c r="GW453" s="4">
        <v>100</v>
      </c>
      <c r="GX453" s="4">
        <v>100</v>
      </c>
      <c r="GY453" s="4">
        <v>100</v>
      </c>
      <c r="GZ453" s="4">
        <v>100</v>
      </c>
      <c r="HA453" s="4">
        <v>100</v>
      </c>
      <c r="HB453" s="4">
        <v>100</v>
      </c>
      <c r="HC453" s="4">
        <v>100</v>
      </c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</row>
    <row r="454">
      <c r="A454" s="2" t="s">
        <v>2224</v>
      </c>
      <c r="B454" s="2" t="s">
        <v>1139</v>
      </c>
      <c r="C454" s="2" t="s">
        <v>324</v>
      </c>
      <c r="D454" s="2" t="s">
        <v>1140</v>
      </c>
      <c r="E454" s="2" t="s">
        <v>1141</v>
      </c>
      <c r="F454" s="2" t="s">
        <v>2223</v>
      </c>
      <c r="G454" s="2" t="s">
        <v>2223</v>
      </c>
      <c r="H454" s="2" t="s">
        <v>2223</v>
      </c>
      <c r="I454" s="2" t="s">
        <v>1290</v>
      </c>
      <c r="J454" s="2" t="s">
        <v>1165</v>
      </c>
      <c r="K454" s="2" t="s">
        <v>231</v>
      </c>
      <c r="L454" s="3">
        <v>14.263421</v>
      </c>
      <c r="M454" s="3">
        <v>14.97</v>
      </c>
      <c r="N454" s="3">
        <v>31.99</v>
      </c>
      <c r="O454" s="2" t="s">
        <v>232</v>
      </c>
      <c r="P454" s="2" t="s">
        <v>878</v>
      </c>
      <c r="Q454" s="2" t="s">
        <v>234</v>
      </c>
      <c r="R454" s="2" t="s">
        <v>235</v>
      </c>
      <c r="S454" s="2" t="s">
        <v>235</v>
      </c>
      <c r="T454" s="2" t="s">
        <v>879</v>
      </c>
      <c r="U454" s="2" t="s">
        <v>807</v>
      </c>
      <c r="V454" s="2" t="s">
        <v>863</v>
      </c>
      <c r="W454" s="2" t="s">
        <v>682</v>
      </c>
      <c r="X454" s="2" t="s">
        <v>235</v>
      </c>
      <c r="Y454" s="2" t="s">
        <v>1292</v>
      </c>
      <c r="Z454" s="4"/>
      <c r="AA454" s="4">
        <f>=ROUNDDOWN({0},0)</f>
      </c>
      <c r="AB454" s="5"/>
      <c r="AC454" s="2" t="s">
        <v>883</v>
      </c>
      <c r="AD454" s="4">
        <v>420</v>
      </c>
      <c r="AE454" s="4">
        <v>420</v>
      </c>
      <c r="AF454" s="6">
        <v>65</v>
      </c>
      <c r="AG454" s="6"/>
      <c r="AH454" s="7"/>
      <c r="AI454" s="4"/>
      <c r="AJ454" s="4">
        <f>=ROUNDDOWN({0},0)</f>
      </c>
      <c r="AK454" s="5"/>
      <c r="AL454" s="2" t="s">
        <v>235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235</v>
      </c>
      <c r="AW454" s="8" t="s">
        <v>235</v>
      </c>
      <c r="AX454" s="4" t="s">
        <v>235</v>
      </c>
      <c r="AY454" s="8" t="s">
        <v>235</v>
      </c>
      <c r="AZ454" s="7" t="s">
        <v>235</v>
      </c>
      <c r="BA454" s="7" t="s">
        <v>235</v>
      </c>
      <c r="BB454" s="7"/>
      <c r="BC454" s="4" t="s">
        <v>235</v>
      </c>
      <c r="BD454" s="8" t="s">
        <v>235</v>
      </c>
      <c r="BE454" s="4" t="s">
        <v>235</v>
      </c>
      <c r="BF454" s="8" t="s">
        <v>235</v>
      </c>
      <c r="BG454" s="7" t="s">
        <v>235</v>
      </c>
      <c r="BH454" s="7" t="s">
        <v>235</v>
      </c>
      <c r="BI454" s="7"/>
      <c r="BJ454" s="4"/>
      <c r="BK454" s="8"/>
      <c r="BL454" s="2" t="s">
        <v>235</v>
      </c>
      <c r="BM454" s="7"/>
      <c r="BN454" s="7"/>
      <c r="BO454" s="4"/>
      <c r="BP454" s="8"/>
      <c r="BQ454" s="4"/>
      <c r="BR454" s="8"/>
      <c r="BS454" s="7"/>
      <c r="BT454" s="7"/>
      <c r="BU454" s="2" t="s">
        <v>330</v>
      </c>
      <c r="BV454" s="2" t="s">
        <v>235</v>
      </c>
      <c r="BW454" s="2" t="s">
        <v>235</v>
      </c>
      <c r="BX454" s="2" t="s">
        <v>330</v>
      </c>
      <c r="BY454" s="2" t="s">
        <v>331</v>
      </c>
      <c r="BZ454" s="2" t="s">
        <v>232</v>
      </c>
      <c r="CA454" s="2" t="s">
        <v>235</v>
      </c>
      <c r="CB454" s="2" t="s">
        <v>235</v>
      </c>
      <c r="CC454" s="2" t="s">
        <v>248</v>
      </c>
      <c r="CD454" s="2" t="s">
        <v>248</v>
      </c>
      <c r="CE454" s="2" t="s">
        <v>235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>
        <v>420</v>
      </c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>
        <v>420</v>
      </c>
      <c r="GF454" s="4">
        <v>420</v>
      </c>
      <c r="GG454" s="4">
        <v>420</v>
      </c>
      <c r="GH454" s="4">
        <v>420</v>
      </c>
      <c r="GI454" s="4">
        <v>420</v>
      </c>
      <c r="GJ454" s="4">
        <v>420</v>
      </c>
      <c r="GK454" s="4">
        <v>420</v>
      </c>
      <c r="GL454" s="4">
        <v>420</v>
      </c>
      <c r="GM454" s="4">
        <v>420</v>
      </c>
      <c r="GN454" s="4">
        <v>420</v>
      </c>
      <c r="GO454" s="4">
        <v>420</v>
      </c>
      <c r="GP454" s="4">
        <v>420</v>
      </c>
      <c r="GQ454" s="4">
        <v>420</v>
      </c>
      <c r="GR454" s="4">
        <v>420</v>
      </c>
      <c r="GS454" s="4">
        <v>420</v>
      </c>
      <c r="GT454" s="4">
        <v>420</v>
      </c>
      <c r="GU454" s="4">
        <v>420</v>
      </c>
      <c r="GV454" s="4">
        <v>420</v>
      </c>
      <c r="GW454" s="4">
        <v>420</v>
      </c>
      <c r="GX454" s="4">
        <v>420</v>
      </c>
      <c r="GY454" s="4">
        <v>420</v>
      </c>
      <c r="GZ454" s="4">
        <v>420</v>
      </c>
      <c r="HA454" s="4">
        <v>420</v>
      </c>
      <c r="HB454" s="4">
        <v>420</v>
      </c>
      <c r="HC454" s="4">
        <v>420</v>
      </c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</row>
    <row r="455">
      <c r="A455" s="2" t="s">
        <v>2225</v>
      </c>
      <c r="B455" s="2" t="s">
        <v>1139</v>
      </c>
      <c r="C455" s="2" t="s">
        <v>324</v>
      </c>
      <c r="D455" s="2" t="s">
        <v>1140</v>
      </c>
      <c r="E455" s="2" t="s">
        <v>1141</v>
      </c>
      <c r="F455" s="2" t="s">
        <v>2223</v>
      </c>
      <c r="G455" s="2" t="s">
        <v>2223</v>
      </c>
      <c r="H455" s="2" t="s">
        <v>2223</v>
      </c>
      <c r="I455" s="2" t="s">
        <v>1290</v>
      </c>
      <c r="J455" s="2" t="s">
        <v>1146</v>
      </c>
      <c r="K455" s="2" t="s">
        <v>295</v>
      </c>
      <c r="L455" s="3">
        <v>16.492777</v>
      </c>
      <c r="M455" s="3">
        <v>17.31</v>
      </c>
      <c r="N455" s="3">
        <v>36.99</v>
      </c>
      <c r="O455" s="2" t="s">
        <v>232</v>
      </c>
      <c r="P455" s="2" t="s">
        <v>878</v>
      </c>
      <c r="Q455" s="2" t="s">
        <v>234</v>
      </c>
      <c r="R455" s="2" t="s">
        <v>235</v>
      </c>
      <c r="S455" s="2" t="s">
        <v>235</v>
      </c>
      <c r="T455" s="2" t="s">
        <v>879</v>
      </c>
      <c r="U455" s="2" t="s">
        <v>807</v>
      </c>
      <c r="V455" s="2" t="s">
        <v>863</v>
      </c>
      <c r="W455" s="2" t="s">
        <v>682</v>
      </c>
      <c r="X455" s="2" t="s">
        <v>235</v>
      </c>
      <c r="Y455" s="2" t="s">
        <v>1292</v>
      </c>
      <c r="Z455" s="4"/>
      <c r="AA455" s="4">
        <f>=ROUNDDOWN({0},0)</f>
      </c>
      <c r="AB455" s="5"/>
      <c r="AC455" s="2" t="s">
        <v>883</v>
      </c>
      <c r="AD455" s="4">
        <v>360</v>
      </c>
      <c r="AE455" s="4">
        <v>360</v>
      </c>
      <c r="AF455" s="6">
        <v>65</v>
      </c>
      <c r="AG455" s="6"/>
      <c r="AH455" s="7"/>
      <c r="AI455" s="4"/>
      <c r="AJ455" s="4">
        <f>=ROUNDDOWN({0},0)</f>
      </c>
      <c r="AK455" s="5"/>
      <c r="AL455" s="2" t="s">
        <v>235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235</v>
      </c>
      <c r="AW455" s="8" t="s">
        <v>235</v>
      </c>
      <c r="AX455" s="4" t="s">
        <v>235</v>
      </c>
      <c r="AY455" s="8" t="s">
        <v>235</v>
      </c>
      <c r="AZ455" s="7" t="s">
        <v>235</v>
      </c>
      <c r="BA455" s="7" t="s">
        <v>235</v>
      </c>
      <c r="BB455" s="7"/>
      <c r="BC455" s="4" t="s">
        <v>235</v>
      </c>
      <c r="BD455" s="8" t="s">
        <v>235</v>
      </c>
      <c r="BE455" s="4" t="s">
        <v>235</v>
      </c>
      <c r="BF455" s="8" t="s">
        <v>235</v>
      </c>
      <c r="BG455" s="7" t="s">
        <v>235</v>
      </c>
      <c r="BH455" s="7" t="s">
        <v>235</v>
      </c>
      <c r="BI455" s="7"/>
      <c r="BJ455" s="4"/>
      <c r="BK455" s="8"/>
      <c r="BL455" s="2" t="s">
        <v>235</v>
      </c>
      <c r="BM455" s="7"/>
      <c r="BN455" s="7"/>
      <c r="BO455" s="4"/>
      <c r="BP455" s="8"/>
      <c r="BQ455" s="4"/>
      <c r="BR455" s="8"/>
      <c r="BS455" s="7"/>
      <c r="BT455" s="7"/>
      <c r="BU455" s="2" t="s">
        <v>330</v>
      </c>
      <c r="BV455" s="2" t="s">
        <v>235</v>
      </c>
      <c r="BW455" s="2" t="s">
        <v>235</v>
      </c>
      <c r="BX455" s="2" t="s">
        <v>330</v>
      </c>
      <c r="BY455" s="2" t="s">
        <v>331</v>
      </c>
      <c r="BZ455" s="2" t="s">
        <v>232</v>
      </c>
      <c r="CA455" s="2" t="s">
        <v>235</v>
      </c>
      <c r="CB455" s="2" t="s">
        <v>235</v>
      </c>
      <c r="CC455" s="2" t="s">
        <v>248</v>
      </c>
      <c r="CD455" s="2" t="s">
        <v>248</v>
      </c>
      <c r="CE455" s="2" t="s">
        <v>235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>
        <v>360</v>
      </c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>
        <v>360</v>
      </c>
      <c r="GF455" s="4">
        <v>360</v>
      </c>
      <c r="GG455" s="4">
        <v>360</v>
      </c>
      <c r="GH455" s="4">
        <v>360</v>
      </c>
      <c r="GI455" s="4">
        <v>360</v>
      </c>
      <c r="GJ455" s="4">
        <v>360</v>
      </c>
      <c r="GK455" s="4">
        <v>360</v>
      </c>
      <c r="GL455" s="4">
        <v>360</v>
      </c>
      <c r="GM455" s="4">
        <v>360</v>
      </c>
      <c r="GN455" s="4">
        <v>360</v>
      </c>
      <c r="GO455" s="4">
        <v>360</v>
      </c>
      <c r="GP455" s="4">
        <v>360</v>
      </c>
      <c r="GQ455" s="4">
        <v>360</v>
      </c>
      <c r="GR455" s="4">
        <v>360</v>
      </c>
      <c r="GS455" s="4">
        <v>360</v>
      </c>
      <c r="GT455" s="4">
        <v>360</v>
      </c>
      <c r="GU455" s="4">
        <v>360</v>
      </c>
      <c r="GV455" s="4">
        <v>360</v>
      </c>
      <c r="GW455" s="4">
        <v>360</v>
      </c>
      <c r="GX455" s="4">
        <v>360</v>
      </c>
      <c r="GY455" s="4">
        <v>360</v>
      </c>
      <c r="GZ455" s="4">
        <v>360</v>
      </c>
      <c r="HA455" s="4">
        <v>360</v>
      </c>
      <c r="HB455" s="4">
        <v>360</v>
      </c>
      <c r="HC455" s="4">
        <v>360</v>
      </c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</row>
    <row r="456">
      <c r="A456" s="2" t="s">
        <v>2226</v>
      </c>
      <c r="B456" s="2" t="s">
        <v>1139</v>
      </c>
      <c r="C456" s="2" t="s">
        <v>324</v>
      </c>
      <c r="D456" s="2" t="s">
        <v>1140</v>
      </c>
      <c r="E456" s="2" t="s">
        <v>1141</v>
      </c>
      <c r="F456" s="2" t="s">
        <v>2223</v>
      </c>
      <c r="G456" s="2" t="s">
        <v>2223</v>
      </c>
      <c r="H456" s="2" t="s">
        <v>2223</v>
      </c>
      <c r="I456" s="2" t="s">
        <v>1290</v>
      </c>
      <c r="J456" s="2" t="s">
        <v>1165</v>
      </c>
      <c r="K456" s="2" t="s">
        <v>295</v>
      </c>
      <c r="L456" s="3">
        <v>14.263421</v>
      </c>
      <c r="M456" s="3">
        <v>14.97</v>
      </c>
      <c r="N456" s="3">
        <v>31.99</v>
      </c>
      <c r="O456" s="2" t="s">
        <v>232</v>
      </c>
      <c r="P456" s="2" t="s">
        <v>878</v>
      </c>
      <c r="Q456" s="2" t="s">
        <v>234</v>
      </c>
      <c r="R456" s="2" t="s">
        <v>235</v>
      </c>
      <c r="S456" s="2" t="s">
        <v>235</v>
      </c>
      <c r="T456" s="2" t="s">
        <v>879</v>
      </c>
      <c r="U456" s="2" t="s">
        <v>807</v>
      </c>
      <c r="V456" s="2" t="s">
        <v>863</v>
      </c>
      <c r="W456" s="2" t="s">
        <v>682</v>
      </c>
      <c r="X456" s="2" t="s">
        <v>235</v>
      </c>
      <c r="Y456" s="2" t="s">
        <v>1292</v>
      </c>
      <c r="Z456" s="4"/>
      <c r="AA456" s="4">
        <f>=ROUNDDOWN({0},0)</f>
      </c>
      <c r="AB456" s="5"/>
      <c r="AC456" s="2" t="s">
        <v>883</v>
      </c>
      <c r="AD456" s="4">
        <v>1080</v>
      </c>
      <c r="AE456" s="4">
        <v>1080</v>
      </c>
      <c r="AF456" s="6">
        <v>65</v>
      </c>
      <c r="AG456" s="6"/>
      <c r="AH456" s="7"/>
      <c r="AI456" s="4"/>
      <c r="AJ456" s="4">
        <f>=ROUNDDOWN({0},0)</f>
      </c>
      <c r="AK456" s="5"/>
      <c r="AL456" s="2" t="s">
        <v>235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235</v>
      </c>
      <c r="AW456" s="8" t="s">
        <v>235</v>
      </c>
      <c r="AX456" s="4" t="s">
        <v>235</v>
      </c>
      <c r="AY456" s="8" t="s">
        <v>235</v>
      </c>
      <c r="AZ456" s="7" t="s">
        <v>235</v>
      </c>
      <c r="BA456" s="7" t="s">
        <v>235</v>
      </c>
      <c r="BB456" s="7"/>
      <c r="BC456" s="4" t="s">
        <v>235</v>
      </c>
      <c r="BD456" s="8" t="s">
        <v>235</v>
      </c>
      <c r="BE456" s="4" t="s">
        <v>235</v>
      </c>
      <c r="BF456" s="8" t="s">
        <v>235</v>
      </c>
      <c r="BG456" s="7" t="s">
        <v>235</v>
      </c>
      <c r="BH456" s="7" t="s">
        <v>235</v>
      </c>
      <c r="BI456" s="7"/>
      <c r="BJ456" s="4"/>
      <c r="BK456" s="8"/>
      <c r="BL456" s="2" t="s">
        <v>235</v>
      </c>
      <c r="BM456" s="7"/>
      <c r="BN456" s="7"/>
      <c r="BO456" s="4"/>
      <c r="BP456" s="8"/>
      <c r="BQ456" s="4"/>
      <c r="BR456" s="8"/>
      <c r="BS456" s="7"/>
      <c r="BT456" s="7"/>
      <c r="BU456" s="2" t="s">
        <v>330</v>
      </c>
      <c r="BV456" s="2" t="s">
        <v>235</v>
      </c>
      <c r="BW456" s="2" t="s">
        <v>235</v>
      </c>
      <c r="BX456" s="2" t="s">
        <v>330</v>
      </c>
      <c r="BY456" s="2" t="s">
        <v>331</v>
      </c>
      <c r="BZ456" s="2" t="s">
        <v>232</v>
      </c>
      <c r="CA456" s="2" t="s">
        <v>235</v>
      </c>
      <c r="CB456" s="2" t="s">
        <v>235</v>
      </c>
      <c r="CC456" s="2" t="s">
        <v>248</v>
      </c>
      <c r="CD456" s="2" t="s">
        <v>248</v>
      </c>
      <c r="CE456" s="2" t="s">
        <v>235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>
        <v>1080</v>
      </c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>
        <v>1080</v>
      </c>
      <c r="GF456" s="4">
        <v>1080</v>
      </c>
      <c r="GG456" s="4">
        <v>1080</v>
      </c>
      <c r="GH456" s="4">
        <v>1080</v>
      </c>
      <c r="GI456" s="4">
        <v>1080</v>
      </c>
      <c r="GJ456" s="4">
        <v>1080</v>
      </c>
      <c r="GK456" s="4">
        <v>1080</v>
      </c>
      <c r="GL456" s="4">
        <v>1080</v>
      </c>
      <c r="GM456" s="4">
        <v>1080</v>
      </c>
      <c r="GN456" s="4">
        <v>1080</v>
      </c>
      <c r="GO456" s="4">
        <v>1080</v>
      </c>
      <c r="GP456" s="4">
        <v>1080</v>
      </c>
      <c r="GQ456" s="4">
        <v>1080</v>
      </c>
      <c r="GR456" s="4">
        <v>1080</v>
      </c>
      <c r="GS456" s="4">
        <v>1080</v>
      </c>
      <c r="GT456" s="4">
        <v>1080</v>
      </c>
      <c r="GU456" s="4">
        <v>1080</v>
      </c>
      <c r="GV456" s="4">
        <v>1080</v>
      </c>
      <c r="GW456" s="4">
        <v>1080</v>
      </c>
      <c r="GX456" s="4">
        <v>1080</v>
      </c>
      <c r="GY456" s="4">
        <v>1080</v>
      </c>
      <c r="GZ456" s="4">
        <v>1080</v>
      </c>
      <c r="HA456" s="4">
        <v>1080</v>
      </c>
      <c r="HB456" s="4">
        <v>1080</v>
      </c>
      <c r="HC456" s="4">
        <v>1080</v>
      </c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</row>
    <row r="457">
      <c r="A457" s="2" t="s">
        <v>2227</v>
      </c>
      <c r="B457" s="2" t="s">
        <v>1139</v>
      </c>
      <c r="C457" s="2" t="s">
        <v>324</v>
      </c>
      <c r="D457" s="2" t="s">
        <v>1140</v>
      </c>
      <c r="E457" s="2" t="s">
        <v>1141</v>
      </c>
      <c r="F457" s="2" t="s">
        <v>2223</v>
      </c>
      <c r="G457" s="2" t="s">
        <v>2223</v>
      </c>
      <c r="H457" s="2" t="s">
        <v>2223</v>
      </c>
      <c r="I457" s="2" t="s">
        <v>1290</v>
      </c>
      <c r="J457" s="2" t="s">
        <v>1146</v>
      </c>
      <c r="K457" s="2" t="s">
        <v>316</v>
      </c>
      <c r="L457" s="3">
        <v>16.492777</v>
      </c>
      <c r="M457" s="3">
        <v>17.31</v>
      </c>
      <c r="N457" s="3">
        <v>36.99</v>
      </c>
      <c r="O457" s="2" t="s">
        <v>232</v>
      </c>
      <c r="P457" s="2" t="s">
        <v>878</v>
      </c>
      <c r="Q457" s="2" t="s">
        <v>234</v>
      </c>
      <c r="R457" s="2" t="s">
        <v>235</v>
      </c>
      <c r="S457" s="2" t="s">
        <v>235</v>
      </c>
      <c r="T457" s="2" t="s">
        <v>879</v>
      </c>
      <c r="U457" s="2" t="s">
        <v>807</v>
      </c>
      <c r="V457" s="2" t="s">
        <v>863</v>
      </c>
      <c r="W457" s="2" t="s">
        <v>682</v>
      </c>
      <c r="X457" s="2" t="s">
        <v>235</v>
      </c>
      <c r="Y457" s="2" t="s">
        <v>1292</v>
      </c>
      <c r="Z457" s="4"/>
      <c r="AA457" s="4">
        <f>=ROUNDDOWN({0},0)</f>
      </c>
      <c r="AB457" s="5"/>
      <c r="AC457" s="2" t="s">
        <v>883</v>
      </c>
      <c r="AD457" s="4">
        <v>220</v>
      </c>
      <c r="AE457" s="4">
        <v>220</v>
      </c>
      <c r="AF457" s="6">
        <v>65</v>
      </c>
      <c r="AG457" s="6"/>
      <c r="AH457" s="7"/>
      <c r="AI457" s="4"/>
      <c r="AJ457" s="4">
        <f>=ROUNDDOWN({0},0)</f>
      </c>
      <c r="AK457" s="5"/>
      <c r="AL457" s="2" t="s">
        <v>235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235</v>
      </c>
      <c r="AW457" s="8" t="s">
        <v>235</v>
      </c>
      <c r="AX457" s="4" t="s">
        <v>235</v>
      </c>
      <c r="AY457" s="8" t="s">
        <v>235</v>
      </c>
      <c r="AZ457" s="7" t="s">
        <v>235</v>
      </c>
      <c r="BA457" s="7" t="s">
        <v>235</v>
      </c>
      <c r="BB457" s="7"/>
      <c r="BC457" s="4" t="s">
        <v>235</v>
      </c>
      <c r="BD457" s="8" t="s">
        <v>235</v>
      </c>
      <c r="BE457" s="4" t="s">
        <v>235</v>
      </c>
      <c r="BF457" s="8" t="s">
        <v>235</v>
      </c>
      <c r="BG457" s="7" t="s">
        <v>235</v>
      </c>
      <c r="BH457" s="7" t="s">
        <v>235</v>
      </c>
      <c r="BI457" s="7"/>
      <c r="BJ457" s="4"/>
      <c r="BK457" s="8"/>
      <c r="BL457" s="2" t="s">
        <v>235</v>
      </c>
      <c r="BM457" s="7"/>
      <c r="BN457" s="7"/>
      <c r="BO457" s="4"/>
      <c r="BP457" s="8"/>
      <c r="BQ457" s="4"/>
      <c r="BR457" s="8"/>
      <c r="BS457" s="7"/>
      <c r="BT457" s="7"/>
      <c r="BU457" s="2" t="s">
        <v>330</v>
      </c>
      <c r="BV457" s="2" t="s">
        <v>235</v>
      </c>
      <c r="BW457" s="2" t="s">
        <v>235</v>
      </c>
      <c r="BX457" s="2" t="s">
        <v>330</v>
      </c>
      <c r="BY457" s="2" t="s">
        <v>331</v>
      </c>
      <c r="BZ457" s="2" t="s">
        <v>232</v>
      </c>
      <c r="CA457" s="2" t="s">
        <v>235</v>
      </c>
      <c r="CB457" s="2" t="s">
        <v>235</v>
      </c>
      <c r="CC457" s="2" t="s">
        <v>248</v>
      </c>
      <c r="CD457" s="2" t="s">
        <v>248</v>
      </c>
      <c r="CE457" s="2" t="s">
        <v>235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>
        <v>220</v>
      </c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>
        <v>220</v>
      </c>
      <c r="GF457" s="4">
        <v>220</v>
      </c>
      <c r="GG457" s="4">
        <v>220</v>
      </c>
      <c r="GH457" s="4">
        <v>220</v>
      </c>
      <c r="GI457" s="4">
        <v>220</v>
      </c>
      <c r="GJ457" s="4">
        <v>220</v>
      </c>
      <c r="GK457" s="4">
        <v>220</v>
      </c>
      <c r="GL457" s="4">
        <v>220</v>
      </c>
      <c r="GM457" s="4">
        <v>220</v>
      </c>
      <c r="GN457" s="4">
        <v>220</v>
      </c>
      <c r="GO457" s="4">
        <v>220</v>
      </c>
      <c r="GP457" s="4">
        <v>220</v>
      </c>
      <c r="GQ457" s="4">
        <v>220</v>
      </c>
      <c r="GR457" s="4">
        <v>220</v>
      </c>
      <c r="GS457" s="4">
        <v>220</v>
      </c>
      <c r="GT457" s="4">
        <v>220</v>
      </c>
      <c r="GU457" s="4">
        <v>220</v>
      </c>
      <c r="GV457" s="4">
        <v>220</v>
      </c>
      <c r="GW457" s="4">
        <v>220</v>
      </c>
      <c r="GX457" s="4">
        <v>220</v>
      </c>
      <c r="GY457" s="4">
        <v>220</v>
      </c>
      <c r="GZ457" s="4">
        <v>220</v>
      </c>
      <c r="HA457" s="4">
        <v>220</v>
      </c>
      <c r="HB457" s="4">
        <v>220</v>
      </c>
      <c r="HC457" s="4">
        <v>220</v>
      </c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</row>
    <row r="458">
      <c r="A458" s="2" t="s">
        <v>2228</v>
      </c>
      <c r="B458" s="2" t="s">
        <v>1139</v>
      </c>
      <c r="C458" s="2" t="s">
        <v>324</v>
      </c>
      <c r="D458" s="2" t="s">
        <v>1140</v>
      </c>
      <c r="E458" s="2" t="s">
        <v>1141</v>
      </c>
      <c r="F458" s="2" t="s">
        <v>2223</v>
      </c>
      <c r="G458" s="2" t="s">
        <v>2223</v>
      </c>
      <c r="H458" s="2" t="s">
        <v>2223</v>
      </c>
      <c r="I458" s="2" t="s">
        <v>1290</v>
      </c>
      <c r="J458" s="2" t="s">
        <v>1165</v>
      </c>
      <c r="K458" s="2" t="s">
        <v>316</v>
      </c>
      <c r="L458" s="3">
        <v>14.263421</v>
      </c>
      <c r="M458" s="3">
        <v>14.97</v>
      </c>
      <c r="N458" s="3">
        <v>31.99</v>
      </c>
      <c r="O458" s="2" t="s">
        <v>232</v>
      </c>
      <c r="P458" s="2" t="s">
        <v>878</v>
      </c>
      <c r="Q458" s="2" t="s">
        <v>234</v>
      </c>
      <c r="R458" s="2" t="s">
        <v>235</v>
      </c>
      <c r="S458" s="2" t="s">
        <v>235</v>
      </c>
      <c r="T458" s="2" t="s">
        <v>879</v>
      </c>
      <c r="U458" s="2" t="s">
        <v>807</v>
      </c>
      <c r="V458" s="2" t="s">
        <v>863</v>
      </c>
      <c r="W458" s="2" t="s">
        <v>682</v>
      </c>
      <c r="X458" s="2" t="s">
        <v>235</v>
      </c>
      <c r="Y458" s="2" t="s">
        <v>1292</v>
      </c>
      <c r="Z458" s="4"/>
      <c r="AA458" s="4">
        <f>=ROUNDDOWN({0},0)</f>
      </c>
      <c r="AB458" s="5"/>
      <c r="AC458" s="2" t="s">
        <v>883</v>
      </c>
      <c r="AD458" s="4">
        <v>580</v>
      </c>
      <c r="AE458" s="4">
        <v>580</v>
      </c>
      <c r="AF458" s="6">
        <v>65</v>
      </c>
      <c r="AG458" s="6"/>
      <c r="AH458" s="7"/>
      <c r="AI458" s="4"/>
      <c r="AJ458" s="4">
        <f>=ROUNDDOWN({0},0)</f>
      </c>
      <c r="AK458" s="5"/>
      <c r="AL458" s="2" t="s">
        <v>235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235</v>
      </c>
      <c r="AW458" s="8" t="s">
        <v>235</v>
      </c>
      <c r="AX458" s="4" t="s">
        <v>235</v>
      </c>
      <c r="AY458" s="8" t="s">
        <v>235</v>
      </c>
      <c r="AZ458" s="7" t="s">
        <v>235</v>
      </c>
      <c r="BA458" s="7" t="s">
        <v>235</v>
      </c>
      <c r="BB458" s="7"/>
      <c r="BC458" s="4" t="s">
        <v>235</v>
      </c>
      <c r="BD458" s="8" t="s">
        <v>235</v>
      </c>
      <c r="BE458" s="4" t="s">
        <v>235</v>
      </c>
      <c r="BF458" s="8" t="s">
        <v>235</v>
      </c>
      <c r="BG458" s="7" t="s">
        <v>235</v>
      </c>
      <c r="BH458" s="7" t="s">
        <v>235</v>
      </c>
      <c r="BI458" s="7"/>
      <c r="BJ458" s="4"/>
      <c r="BK458" s="8"/>
      <c r="BL458" s="2" t="s">
        <v>235</v>
      </c>
      <c r="BM458" s="7"/>
      <c r="BN458" s="7"/>
      <c r="BO458" s="4"/>
      <c r="BP458" s="8"/>
      <c r="BQ458" s="4"/>
      <c r="BR458" s="8"/>
      <c r="BS458" s="7"/>
      <c r="BT458" s="7"/>
      <c r="BU458" s="2" t="s">
        <v>330</v>
      </c>
      <c r="BV458" s="2" t="s">
        <v>235</v>
      </c>
      <c r="BW458" s="2" t="s">
        <v>235</v>
      </c>
      <c r="BX458" s="2" t="s">
        <v>330</v>
      </c>
      <c r="BY458" s="2" t="s">
        <v>331</v>
      </c>
      <c r="BZ458" s="2" t="s">
        <v>232</v>
      </c>
      <c r="CA458" s="2" t="s">
        <v>235</v>
      </c>
      <c r="CB458" s="2" t="s">
        <v>235</v>
      </c>
      <c r="CC458" s="2" t="s">
        <v>248</v>
      </c>
      <c r="CD458" s="2" t="s">
        <v>248</v>
      </c>
      <c r="CE458" s="2" t="s">
        <v>235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>
        <v>580</v>
      </c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>
        <v>580</v>
      </c>
      <c r="GF458" s="4">
        <v>580</v>
      </c>
      <c r="GG458" s="4">
        <v>580</v>
      </c>
      <c r="GH458" s="4">
        <v>580</v>
      </c>
      <c r="GI458" s="4">
        <v>580</v>
      </c>
      <c r="GJ458" s="4">
        <v>580</v>
      </c>
      <c r="GK458" s="4">
        <v>580</v>
      </c>
      <c r="GL458" s="4">
        <v>580</v>
      </c>
      <c r="GM458" s="4">
        <v>580</v>
      </c>
      <c r="GN458" s="4">
        <v>580</v>
      </c>
      <c r="GO458" s="4">
        <v>580</v>
      </c>
      <c r="GP458" s="4">
        <v>580</v>
      </c>
      <c r="GQ458" s="4">
        <v>580</v>
      </c>
      <c r="GR458" s="4">
        <v>580</v>
      </c>
      <c r="GS458" s="4">
        <v>580</v>
      </c>
      <c r="GT458" s="4">
        <v>580</v>
      </c>
      <c r="GU458" s="4">
        <v>580</v>
      </c>
      <c r="GV458" s="4">
        <v>580</v>
      </c>
      <c r="GW458" s="4">
        <v>580</v>
      </c>
      <c r="GX458" s="4">
        <v>580</v>
      </c>
      <c r="GY458" s="4">
        <v>580</v>
      </c>
      <c r="GZ458" s="4">
        <v>580</v>
      </c>
      <c r="HA458" s="4">
        <v>580</v>
      </c>
      <c r="HB458" s="4">
        <v>580</v>
      </c>
      <c r="HC458" s="4">
        <v>580</v>
      </c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</row>
    <row r="459">
      <c r="A459" s="2" t="s">
        <v>2229</v>
      </c>
      <c r="B459" s="2" t="s">
        <v>871</v>
      </c>
      <c r="C459" s="2" t="s">
        <v>324</v>
      </c>
      <c r="D459" s="2" t="s">
        <v>361</v>
      </c>
      <c r="E459" s="2" t="s">
        <v>872</v>
      </c>
      <c r="F459" s="2" t="s">
        <v>2230</v>
      </c>
      <c r="G459" s="2" t="s">
        <v>2231</v>
      </c>
      <c r="H459" s="2" t="s">
        <v>2232</v>
      </c>
      <c r="I459" s="2" t="s">
        <v>2233</v>
      </c>
      <c r="J459" s="2" t="s">
        <v>272</v>
      </c>
      <c r="K459" s="2" t="s">
        <v>231</v>
      </c>
      <c r="L459" s="3">
        <v>79.9</v>
      </c>
      <c r="M459" s="3">
        <v>83.89</v>
      </c>
      <c r="N459" s="3">
        <v>169.99</v>
      </c>
      <c r="O459" s="2" t="s">
        <v>232</v>
      </c>
      <c r="P459" s="2" t="s">
        <v>233</v>
      </c>
      <c r="Q459" s="2" t="s">
        <v>234</v>
      </c>
      <c r="R459" s="2" t="s">
        <v>235</v>
      </c>
      <c r="S459" s="2" t="s">
        <v>2234</v>
      </c>
      <c r="T459" s="2" t="s">
        <v>2235</v>
      </c>
      <c r="U459" s="2" t="s">
        <v>742</v>
      </c>
      <c r="V459" s="2" t="s">
        <v>410</v>
      </c>
      <c r="W459" s="2" t="s">
        <v>1299</v>
      </c>
      <c r="X459" s="2" t="s">
        <v>2236</v>
      </c>
      <c r="Y459" s="2" t="s">
        <v>1158</v>
      </c>
      <c r="Z459" s="4"/>
      <c r="AA459" s="4">
        <f>=ROUNDDOWN({0},0)</f>
      </c>
      <c r="AB459" s="5">
        <v>9</v>
      </c>
      <c r="AC459" s="2" t="s">
        <v>210</v>
      </c>
      <c r="AD459" s="4">
        <v>210</v>
      </c>
      <c r="AE459" s="4">
        <v>210</v>
      </c>
      <c r="AF459" s="6">
        <v>78</v>
      </c>
      <c r="AG459" s="6"/>
      <c r="AH459" s="7">
        <v>0</v>
      </c>
      <c r="AI459" s="4"/>
      <c r="AJ459" s="4">
        <f>=ROUNDDOWN({0},0)</f>
      </c>
      <c r="AK459" s="5"/>
      <c r="AL459" s="2" t="s">
        <v>235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>
        <v>1</v>
      </c>
      <c r="BK459" s="8">
        <v>83.89</v>
      </c>
      <c r="BL459" s="2" t="s">
        <v>2237</v>
      </c>
      <c r="BM459" s="7"/>
      <c r="BN459" s="7"/>
      <c r="BO459" s="4"/>
      <c r="BP459" s="8"/>
      <c r="BQ459" s="4"/>
      <c r="BR459" s="8"/>
      <c r="BS459" s="7"/>
      <c r="BT459" s="7"/>
      <c r="BU459" s="2" t="s">
        <v>2238</v>
      </c>
      <c r="BV459" s="2" t="s">
        <v>243</v>
      </c>
      <c r="BW459" s="2" t="s">
        <v>235</v>
      </c>
      <c r="BX459" s="2" t="s">
        <v>244</v>
      </c>
      <c r="BY459" s="2" t="s">
        <v>245</v>
      </c>
      <c r="BZ459" s="2" t="s">
        <v>232</v>
      </c>
      <c r="CA459" s="2" t="s">
        <v>2239</v>
      </c>
      <c r="CB459" s="2" t="s">
        <v>2240</v>
      </c>
      <c r="CC459" s="2" t="s">
        <v>248</v>
      </c>
      <c r="CD459" s="2" t="s">
        <v>248</v>
      </c>
      <c r="CE459" s="2" t="s">
        <v>235</v>
      </c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>
        <v>210</v>
      </c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>
        <v>210</v>
      </c>
      <c r="GV459" s="4">
        <v>182</v>
      </c>
      <c r="GW459" s="4">
        <v>174</v>
      </c>
      <c r="GX459" s="4">
        <v>165</v>
      </c>
      <c r="GY459" s="4">
        <v>158</v>
      </c>
      <c r="GZ459" s="4">
        <v>147</v>
      </c>
      <c r="HA459" s="4">
        <v>139</v>
      </c>
      <c r="HB459" s="4">
        <v>127</v>
      </c>
      <c r="HC459" s="4">
        <v>115</v>
      </c>
      <c r="HD459" s="20">
        <v>0</v>
      </c>
      <c r="HE459" s="20">
        <v>0</v>
      </c>
      <c r="HF459" s="20">
        <v>0</v>
      </c>
      <c r="HG459" s="20">
        <v>0</v>
      </c>
      <c r="HH459" s="20">
        <v>0</v>
      </c>
      <c r="HI459" s="20">
        <v>0</v>
      </c>
      <c r="HJ459" s="20">
        <v>0</v>
      </c>
      <c r="HK459" s="20">
        <v>0</v>
      </c>
      <c r="HL459" s="20">
        <v>0</v>
      </c>
      <c r="HM459" s="20">
        <v>0</v>
      </c>
      <c r="HN459" s="20">
        <v>0</v>
      </c>
      <c r="HO459" s="20">
        <v>0</v>
      </c>
      <c r="HP459" s="20">
        <v>0</v>
      </c>
      <c r="HQ459" s="20">
        <v>0</v>
      </c>
      <c r="HR459" s="20">
        <v>0</v>
      </c>
      <c r="HS459" s="20">
        <v>0</v>
      </c>
      <c r="HT459" s="20">
        <v>0</v>
      </c>
      <c r="HU459" s="19">
        <v>16.2</v>
      </c>
      <c r="HV459" s="19">
        <v>20.2</v>
      </c>
      <c r="HW459" s="19">
        <v>19.3</v>
      </c>
      <c r="HX459" s="19">
        <v>16.5</v>
      </c>
      <c r="HY459" s="19">
        <v>14.4</v>
      </c>
      <c r="HZ459" s="19">
        <v>14.7</v>
      </c>
      <c r="IA459" s="19">
        <v>12.6</v>
      </c>
      <c r="IB459" s="19">
        <v>11.5</v>
      </c>
      <c r="IC459" s="19">
        <v>11.5</v>
      </c>
    </row>
    <row r="460">
      <c r="A460" s="2" t="s">
        <v>2241</v>
      </c>
      <c r="B460" s="2" t="s">
        <v>1071</v>
      </c>
      <c r="C460" s="2" t="s">
        <v>324</v>
      </c>
      <c r="D460" s="2" t="s">
        <v>1818</v>
      </c>
      <c r="E460" s="2" t="s">
        <v>1819</v>
      </c>
      <c r="F460" s="2" t="s">
        <v>2242</v>
      </c>
      <c r="G460" s="2" t="s">
        <v>2243</v>
      </c>
      <c r="H460" s="2" t="s">
        <v>2244</v>
      </c>
      <c r="I460" s="2" t="s">
        <v>2245</v>
      </c>
      <c r="J460" s="2" t="s">
        <v>806</v>
      </c>
      <c r="K460" s="2" t="s">
        <v>975</v>
      </c>
      <c r="L460" s="3">
        <v>226.1</v>
      </c>
      <c r="M460" s="3">
        <v>237.4</v>
      </c>
      <c r="N460" s="3">
        <v>479</v>
      </c>
      <c r="O460" s="2" t="s">
        <v>485</v>
      </c>
      <c r="P460" s="2" t="s">
        <v>408</v>
      </c>
      <c r="Q460" s="2" t="s">
        <v>234</v>
      </c>
      <c r="R460" s="2" t="s">
        <v>235</v>
      </c>
      <c r="S460" s="2" t="s">
        <v>235</v>
      </c>
      <c r="T460" s="2" t="s">
        <v>235</v>
      </c>
      <c r="U460" s="2" t="s">
        <v>278</v>
      </c>
      <c r="V460" s="2" t="s">
        <v>238</v>
      </c>
      <c r="W460" s="2" t="s">
        <v>1157</v>
      </c>
      <c r="X460" s="2" t="s">
        <v>235</v>
      </c>
      <c r="Y460" s="2" t="s">
        <v>2246</v>
      </c>
      <c r="Z460" s="4">
        <v>62</v>
      </c>
      <c r="AA460" s="4">
        <f>=ROUNDDOWN(21.3793103448276,0)</f>
      </c>
      <c r="AB460" s="5">
        <v>2.9</v>
      </c>
      <c r="AC460" s="2" t="s">
        <v>235</v>
      </c>
      <c r="AD460" s="4"/>
      <c r="AE460" s="4"/>
      <c r="AF460" s="6">
        <v>69</v>
      </c>
      <c r="AG460" s="6">
        <v>52</v>
      </c>
      <c r="AH460" s="7">
        <v>1</v>
      </c>
      <c r="AI460" s="4"/>
      <c r="AJ460" s="4">
        <f>=ROUNDDOWN({0},0)</f>
      </c>
      <c r="AK460" s="5"/>
      <c r="AL460" s="2" t="s">
        <v>235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>
        <v>14</v>
      </c>
      <c r="BK460" s="8">
        <v>3130.52</v>
      </c>
      <c r="BL460" s="2" t="s">
        <v>2247</v>
      </c>
      <c r="BM460" s="7"/>
      <c r="BN460" s="7"/>
      <c r="BO460" s="4"/>
      <c r="BP460" s="8"/>
      <c r="BQ460" s="4"/>
      <c r="BR460" s="8"/>
      <c r="BS460" s="7"/>
      <c r="BT460" s="7"/>
      <c r="BU460" s="2" t="s">
        <v>2248</v>
      </c>
      <c r="BV460" s="2" t="s">
        <v>1488</v>
      </c>
      <c r="BW460" s="2" t="s">
        <v>235</v>
      </c>
      <c r="BX460" s="2" t="s">
        <v>414</v>
      </c>
      <c r="BY460" s="2" t="s">
        <v>245</v>
      </c>
      <c r="BZ460" s="2" t="s">
        <v>232</v>
      </c>
      <c r="CA460" s="2" t="s">
        <v>2249</v>
      </c>
      <c r="CB460" s="2" t="s">
        <v>2250</v>
      </c>
      <c r="CC460" s="2" t="s">
        <v>248</v>
      </c>
      <c r="CD460" s="2" t="s">
        <v>248</v>
      </c>
      <c r="CE460" s="2" t="s">
        <v>235</v>
      </c>
      <c r="CF460" s="4"/>
      <c r="CG460" s="4">
        <v>48</v>
      </c>
      <c r="CH460" s="4"/>
      <c r="CI460" s="4">
        <v>14</v>
      </c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>
        <v>70</v>
      </c>
      <c r="GE460" s="4">
        <v>62</v>
      </c>
      <c r="GF460" s="4">
        <v>59</v>
      </c>
      <c r="GG460" s="4">
        <v>56</v>
      </c>
      <c r="GH460" s="4">
        <v>53</v>
      </c>
      <c r="GI460" s="4">
        <v>50</v>
      </c>
      <c r="GJ460" s="4">
        <v>47</v>
      </c>
      <c r="GK460" s="4">
        <v>44</v>
      </c>
      <c r="GL460" s="4">
        <v>41</v>
      </c>
      <c r="GM460" s="4">
        <v>37</v>
      </c>
      <c r="GN460" s="4">
        <v>33</v>
      </c>
      <c r="GO460" s="4">
        <v>29</v>
      </c>
      <c r="GP460" s="4">
        <v>26</v>
      </c>
      <c r="GQ460" s="4">
        <v>19</v>
      </c>
      <c r="GR460" s="4">
        <v>15</v>
      </c>
      <c r="GS460" s="4">
        <v>12</v>
      </c>
      <c r="GT460" s="4">
        <v>9</v>
      </c>
      <c r="GU460" s="4">
        <v>7</v>
      </c>
      <c r="GV460" s="4">
        <v>4</v>
      </c>
      <c r="GW460" s="4">
        <v>2</v>
      </c>
      <c r="GX460" s="4"/>
      <c r="GY460" s="4"/>
      <c r="GZ460" s="4"/>
      <c r="HA460" s="4"/>
      <c r="HB460" s="4"/>
      <c r="HC460" s="4"/>
      <c r="HD460" s="19">
        <v>7</v>
      </c>
      <c r="HE460" s="19">
        <v>8</v>
      </c>
      <c r="HF460" s="19">
        <v>7.5</v>
      </c>
      <c r="HG460" s="19">
        <v>7</v>
      </c>
      <c r="HH460" s="19">
        <v>6.5</v>
      </c>
      <c r="HI460" s="19">
        <v>6</v>
      </c>
      <c r="HJ460" s="19">
        <v>4.2</v>
      </c>
      <c r="HK460" s="19">
        <v>3.8</v>
      </c>
      <c r="HL460" s="19">
        <v>3.4</v>
      </c>
      <c r="HM460" s="19">
        <v>2.9</v>
      </c>
      <c r="HN460" s="19">
        <v>2.4</v>
      </c>
      <c r="HO460" s="19">
        <v>1.9</v>
      </c>
      <c r="HP460" s="19">
        <v>9</v>
      </c>
      <c r="HQ460" s="19">
        <v>6</v>
      </c>
      <c r="HR460" s="19">
        <v>3.5</v>
      </c>
      <c r="HS460" s="19">
        <v>3</v>
      </c>
      <c r="HT460" s="19">
        <v>2.3</v>
      </c>
      <c r="HU460" s="19">
        <v>1.8</v>
      </c>
      <c r="HV460" s="19">
        <v>1</v>
      </c>
      <c r="HW460" s="19">
        <v>0.5</v>
      </c>
      <c r="HX460" s="20">
        <v>0</v>
      </c>
      <c r="HY460" s="20">
        <v>0</v>
      </c>
      <c r="HZ460" s="20">
        <v>0</v>
      </c>
      <c r="IA460" s="20">
        <v>0</v>
      </c>
      <c r="IB460" s="20">
        <v>0</v>
      </c>
      <c r="IC460" s="20">
        <v>0</v>
      </c>
    </row>
    <row r="461">
      <c r="A461" s="2" t="s">
        <v>2251</v>
      </c>
      <c r="B461" s="2" t="s">
        <v>871</v>
      </c>
      <c r="C461" s="2" t="s">
        <v>324</v>
      </c>
      <c r="D461" s="2" t="s">
        <v>361</v>
      </c>
      <c r="E461" s="2" t="s">
        <v>872</v>
      </c>
      <c r="F461" s="2" t="s">
        <v>2252</v>
      </c>
      <c r="G461" s="2" t="s">
        <v>2253</v>
      </c>
      <c r="H461" s="2" t="s">
        <v>2254</v>
      </c>
      <c r="I461" s="2" t="s">
        <v>2255</v>
      </c>
      <c r="J461" s="2" t="s">
        <v>372</v>
      </c>
      <c r="K461" s="2" t="s">
        <v>1238</v>
      </c>
      <c r="L461" s="3">
        <v>47.56</v>
      </c>
      <c r="M461" s="3">
        <v>49.94</v>
      </c>
      <c r="N461" s="3">
        <v>99.99</v>
      </c>
      <c r="O461" s="2" t="s">
        <v>232</v>
      </c>
      <c r="P461" s="2" t="s">
        <v>233</v>
      </c>
      <c r="Q461" s="2" t="s">
        <v>234</v>
      </c>
      <c r="R461" s="2" t="s">
        <v>235</v>
      </c>
      <c r="S461" s="2" t="s">
        <v>2256</v>
      </c>
      <c r="T461" s="2" t="s">
        <v>2257</v>
      </c>
      <c r="U461" s="2" t="s">
        <v>282</v>
      </c>
      <c r="V461" s="2" t="s">
        <v>880</v>
      </c>
      <c r="W461" s="2" t="s">
        <v>881</v>
      </c>
      <c r="X461" s="2" t="s">
        <v>1354</v>
      </c>
      <c r="Y461" s="2" t="s">
        <v>1573</v>
      </c>
      <c r="Z461" s="4">
        <v>605</v>
      </c>
      <c r="AA461" s="4">
        <f>=ROUNDDOWN(208.620689655172,0)</f>
      </c>
      <c r="AB461" s="5">
        <v>2.9</v>
      </c>
      <c r="AC461" s="2" t="s">
        <v>235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235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235</v>
      </c>
      <c r="AW461" s="8" t="s">
        <v>235</v>
      </c>
      <c r="AX461" s="4" t="s">
        <v>235</v>
      </c>
      <c r="AY461" s="8" t="s">
        <v>235</v>
      </c>
      <c r="AZ461" s="7" t="s">
        <v>235</v>
      </c>
      <c r="BA461" s="7" t="s">
        <v>235</v>
      </c>
      <c r="BB461" s="7" t="s">
        <v>235</v>
      </c>
      <c r="BC461" s="4" t="s">
        <v>235</v>
      </c>
      <c r="BD461" s="8" t="s">
        <v>235</v>
      </c>
      <c r="BE461" s="4" t="s">
        <v>235</v>
      </c>
      <c r="BF461" s="8" t="s">
        <v>235</v>
      </c>
      <c r="BG461" s="7" t="s">
        <v>235</v>
      </c>
      <c r="BH461" s="7" t="s">
        <v>235</v>
      </c>
      <c r="BI461" s="7"/>
      <c r="BJ461" s="4">
        <v>8</v>
      </c>
      <c r="BK461" s="8">
        <v>453.88</v>
      </c>
      <c r="BL461" s="2" t="s">
        <v>2258</v>
      </c>
      <c r="BM461" s="7"/>
      <c r="BN461" s="7"/>
      <c r="BO461" s="4"/>
      <c r="BP461" s="8"/>
      <c r="BQ461" s="4"/>
      <c r="BR461" s="8"/>
      <c r="BS461" s="7"/>
      <c r="BT461" s="7"/>
      <c r="BU461" s="2" t="s">
        <v>2259</v>
      </c>
      <c r="BV461" s="2" t="s">
        <v>243</v>
      </c>
      <c r="BW461" s="2" t="s">
        <v>235</v>
      </c>
      <c r="BX461" s="2" t="s">
        <v>244</v>
      </c>
      <c r="BY461" s="2" t="s">
        <v>245</v>
      </c>
      <c r="BZ461" s="2" t="s">
        <v>232</v>
      </c>
      <c r="CA461" s="2" t="s">
        <v>2260</v>
      </c>
      <c r="CB461" s="2" t="s">
        <v>2261</v>
      </c>
      <c r="CC461" s="2" t="s">
        <v>248</v>
      </c>
      <c r="CD461" s="2" t="s">
        <v>248</v>
      </c>
      <c r="CE461" s="2" t="s">
        <v>235</v>
      </c>
      <c r="CF461" s="4">
        <v>565</v>
      </c>
      <c r="CG461" s="4">
        <v>40</v>
      </c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>
        <v>606</v>
      </c>
      <c r="GE461" s="4">
        <v>603</v>
      </c>
      <c r="GF461" s="4">
        <v>600</v>
      </c>
      <c r="GG461" s="4">
        <v>597</v>
      </c>
      <c r="GH461" s="4">
        <v>593</v>
      </c>
      <c r="GI461" s="4">
        <v>589</v>
      </c>
      <c r="GJ461" s="4">
        <v>584</v>
      </c>
      <c r="GK461" s="4">
        <v>580</v>
      </c>
      <c r="GL461" s="4">
        <v>576</v>
      </c>
      <c r="GM461" s="4">
        <v>573</v>
      </c>
      <c r="GN461" s="4">
        <v>570</v>
      </c>
      <c r="GO461" s="4">
        <v>566</v>
      </c>
      <c r="GP461" s="4">
        <v>562</v>
      </c>
      <c r="GQ461" s="4">
        <v>555</v>
      </c>
      <c r="GR461" s="4">
        <v>551</v>
      </c>
      <c r="GS461" s="4">
        <v>547</v>
      </c>
      <c r="GT461" s="4">
        <v>544</v>
      </c>
      <c r="GU461" s="4">
        <v>542</v>
      </c>
      <c r="GV461" s="4">
        <v>539</v>
      </c>
      <c r="GW461" s="4">
        <v>536</v>
      </c>
      <c r="GX461" s="4">
        <v>533</v>
      </c>
      <c r="GY461" s="4">
        <v>530</v>
      </c>
      <c r="GZ461" s="4">
        <v>527</v>
      </c>
      <c r="HA461" s="4">
        <v>524</v>
      </c>
      <c r="HB461" s="4">
        <v>521</v>
      </c>
      <c r="HC461" s="4">
        <v>518</v>
      </c>
      <c r="HD461" s="19">
        <v>202</v>
      </c>
      <c r="HE461" s="19">
        <v>150.8</v>
      </c>
      <c r="HF461" s="19">
        <v>150</v>
      </c>
      <c r="HG461" s="19">
        <v>149.3</v>
      </c>
      <c r="HH461" s="19">
        <v>148.3</v>
      </c>
      <c r="HI461" s="19">
        <v>147.3</v>
      </c>
      <c r="HJ461" s="19">
        <v>146</v>
      </c>
      <c r="HK461" s="19">
        <v>145</v>
      </c>
      <c r="HL461" s="19">
        <v>144</v>
      </c>
      <c r="HM461" s="19">
        <v>143.3</v>
      </c>
      <c r="HN461" s="19">
        <v>114</v>
      </c>
      <c r="HO461" s="19">
        <v>113.2</v>
      </c>
      <c r="HP461" s="19">
        <v>140.5</v>
      </c>
      <c r="HQ461" s="19">
        <v>185</v>
      </c>
      <c r="HR461" s="19">
        <v>183.7</v>
      </c>
      <c r="HS461" s="19">
        <v>182.3</v>
      </c>
      <c r="HT461" s="19">
        <v>181.3</v>
      </c>
      <c r="HU461" s="19">
        <v>180.7</v>
      </c>
      <c r="HV461" s="19">
        <v>179.7</v>
      </c>
      <c r="HW461" s="19">
        <v>178.7</v>
      </c>
      <c r="HX461" s="19">
        <v>177.7</v>
      </c>
      <c r="HY461" s="19">
        <v>176.7</v>
      </c>
      <c r="HZ461" s="19">
        <v>175.7</v>
      </c>
      <c r="IA461" s="19">
        <v>174.7</v>
      </c>
      <c r="IB461" s="19">
        <v>173.7</v>
      </c>
      <c r="IC461" s="19">
        <v>172.7</v>
      </c>
    </row>
    <row r="462">
      <c r="A462" s="2" t="s">
        <v>2262</v>
      </c>
      <c r="B462" s="2" t="s">
        <v>871</v>
      </c>
      <c r="C462" s="2" t="s">
        <v>324</v>
      </c>
      <c r="D462" s="2" t="s">
        <v>1452</v>
      </c>
      <c r="E462" s="2" t="s">
        <v>2263</v>
      </c>
      <c r="F462" s="2" t="s">
        <v>2252</v>
      </c>
      <c r="G462" s="2" t="s">
        <v>2253</v>
      </c>
      <c r="H462" s="2" t="s">
        <v>2254</v>
      </c>
      <c r="I462" s="2" t="s">
        <v>2264</v>
      </c>
      <c r="J462" s="2" t="s">
        <v>372</v>
      </c>
      <c r="K462" s="2" t="s">
        <v>1238</v>
      </c>
      <c r="L462" s="3">
        <v>36.97</v>
      </c>
      <c r="M462" s="3">
        <v>38.82</v>
      </c>
      <c r="N462" s="3">
        <v>79.99</v>
      </c>
      <c r="O462" s="2" t="s">
        <v>232</v>
      </c>
      <c r="P462" s="2" t="s">
        <v>336</v>
      </c>
      <c r="Q462" s="2" t="s">
        <v>234</v>
      </c>
      <c r="R462" s="2" t="s">
        <v>235</v>
      </c>
      <c r="S462" s="2" t="s">
        <v>2265</v>
      </c>
      <c r="T462" s="2" t="s">
        <v>2257</v>
      </c>
      <c r="U462" s="2" t="s">
        <v>264</v>
      </c>
      <c r="V462" s="2" t="s">
        <v>880</v>
      </c>
      <c r="W462" s="2" t="s">
        <v>881</v>
      </c>
      <c r="X462" s="2" t="s">
        <v>1354</v>
      </c>
      <c r="Y462" s="2" t="s">
        <v>1573</v>
      </c>
      <c r="Z462" s="4">
        <v>2071</v>
      </c>
      <c r="AA462" s="4">
        <f>=ROUNDDOWN(32.8730158730159,0)</f>
      </c>
      <c r="AB462" s="5">
        <v>63</v>
      </c>
      <c r="AC462" s="2" t="s">
        <v>235</v>
      </c>
      <c r="AD462" s="4"/>
      <c r="AE462" s="4"/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235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235</v>
      </c>
      <c r="AW462" s="8" t="s">
        <v>235</v>
      </c>
      <c r="AX462" s="4" t="s">
        <v>235</v>
      </c>
      <c r="AY462" s="8" t="s">
        <v>235</v>
      </c>
      <c r="AZ462" s="7" t="s">
        <v>235</v>
      </c>
      <c r="BA462" s="7" t="s">
        <v>235</v>
      </c>
      <c r="BB462" s="7" t="s">
        <v>235</v>
      </c>
      <c r="BC462" s="4" t="s">
        <v>235</v>
      </c>
      <c r="BD462" s="8" t="s">
        <v>235</v>
      </c>
      <c r="BE462" s="4" t="s">
        <v>235</v>
      </c>
      <c r="BF462" s="8" t="s">
        <v>235</v>
      </c>
      <c r="BG462" s="7" t="s">
        <v>235</v>
      </c>
      <c r="BH462" s="7" t="s">
        <v>235</v>
      </c>
      <c r="BI462" s="7"/>
      <c r="BJ462" s="4">
        <v>195</v>
      </c>
      <c r="BK462" s="8">
        <v>8185.22</v>
      </c>
      <c r="BL462" s="2" t="s">
        <v>2266</v>
      </c>
      <c r="BM462" s="7"/>
      <c r="BN462" s="7"/>
      <c r="BO462" s="4"/>
      <c r="BP462" s="8"/>
      <c r="BQ462" s="4"/>
      <c r="BR462" s="8"/>
      <c r="BS462" s="7"/>
      <c r="BT462" s="7"/>
      <c r="BU462" s="2" t="s">
        <v>2267</v>
      </c>
      <c r="BV462" s="2" t="s">
        <v>243</v>
      </c>
      <c r="BW462" s="2" t="s">
        <v>235</v>
      </c>
      <c r="BX462" s="2" t="s">
        <v>244</v>
      </c>
      <c r="BY462" s="2" t="s">
        <v>245</v>
      </c>
      <c r="BZ462" s="2" t="s">
        <v>232</v>
      </c>
      <c r="CA462" s="2" t="s">
        <v>2260</v>
      </c>
      <c r="CB462" s="2" t="s">
        <v>2268</v>
      </c>
      <c r="CC462" s="2" t="s">
        <v>248</v>
      </c>
      <c r="CD462" s="2" t="s">
        <v>248</v>
      </c>
      <c r="CE462" s="2" t="s">
        <v>235</v>
      </c>
      <c r="CF462" s="4">
        <v>925</v>
      </c>
      <c r="CG462" s="4">
        <v>175</v>
      </c>
      <c r="CH462" s="4"/>
      <c r="CI462" s="4">
        <v>971</v>
      </c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>
        <v>2089</v>
      </c>
      <c r="GE462" s="4">
        <v>1989</v>
      </c>
      <c r="GF462" s="4">
        <v>1925</v>
      </c>
      <c r="GG462" s="4">
        <v>1863</v>
      </c>
      <c r="GH462" s="4">
        <v>1799</v>
      </c>
      <c r="GI462" s="4">
        <v>1735</v>
      </c>
      <c r="GJ462" s="4">
        <v>1659</v>
      </c>
      <c r="GK462" s="4">
        <v>1586</v>
      </c>
      <c r="GL462" s="4">
        <v>1515</v>
      </c>
      <c r="GM462" s="4">
        <v>1447</v>
      </c>
      <c r="GN462" s="4">
        <v>1397</v>
      </c>
      <c r="GO462" s="4">
        <v>1327</v>
      </c>
      <c r="GP462" s="4">
        <v>1258</v>
      </c>
      <c r="GQ462" s="4">
        <v>1127</v>
      </c>
      <c r="GR462" s="4">
        <v>1030</v>
      </c>
      <c r="GS462" s="4">
        <v>944</v>
      </c>
      <c r="GT462" s="4">
        <v>892</v>
      </c>
      <c r="GU462" s="4">
        <v>852</v>
      </c>
      <c r="GV462" s="4">
        <v>788</v>
      </c>
      <c r="GW462" s="4">
        <v>731</v>
      </c>
      <c r="GX462" s="4">
        <v>674</v>
      </c>
      <c r="GY462" s="4">
        <v>617</v>
      </c>
      <c r="GZ462" s="4">
        <v>560</v>
      </c>
      <c r="HA462" s="4">
        <v>503</v>
      </c>
      <c r="HB462" s="4">
        <v>446</v>
      </c>
      <c r="HC462" s="4">
        <v>383</v>
      </c>
      <c r="HD462" s="19">
        <v>77.9</v>
      </c>
      <c r="HE462" s="19">
        <v>89</v>
      </c>
      <c r="HF462" s="19">
        <v>87.8</v>
      </c>
      <c r="HG462" s="19">
        <v>75.2</v>
      </c>
      <c r="HH462" s="19">
        <v>74.2</v>
      </c>
      <c r="HI462" s="19">
        <v>64.9</v>
      </c>
      <c r="HJ462" s="19">
        <v>72.7</v>
      </c>
      <c r="HK462" s="19">
        <v>82.6</v>
      </c>
      <c r="HL462" s="19">
        <v>81.4</v>
      </c>
      <c r="HM462" s="19">
        <v>60.5</v>
      </c>
      <c r="HN462" s="19">
        <v>53.2</v>
      </c>
      <c r="HO462" s="19">
        <v>52.3</v>
      </c>
      <c r="HP462" s="19">
        <v>57.8</v>
      </c>
      <c r="HQ462" s="19">
        <v>75.1</v>
      </c>
      <c r="HR462" s="19">
        <v>23.7</v>
      </c>
      <c r="HS462" s="19">
        <v>15.2</v>
      </c>
      <c r="HT462" s="19">
        <v>10.8</v>
      </c>
      <c r="HU462" s="19">
        <v>7.5</v>
      </c>
      <c r="HV462" s="19">
        <v>6.9</v>
      </c>
      <c r="HW462" s="19">
        <v>6.4</v>
      </c>
      <c r="HX462" s="19">
        <v>5.9</v>
      </c>
      <c r="HY462" s="19">
        <v>5.3</v>
      </c>
      <c r="HZ462" s="19">
        <v>4.9</v>
      </c>
      <c r="IA462" s="19">
        <v>4.4</v>
      </c>
      <c r="IB462" s="19">
        <v>3.9</v>
      </c>
      <c r="IC462" s="19">
        <v>3.4</v>
      </c>
    </row>
    <row r="463">
      <c r="A463" s="2" t="s">
        <v>2269</v>
      </c>
      <c r="B463" s="2" t="s">
        <v>871</v>
      </c>
      <c r="C463" s="2" t="s">
        <v>324</v>
      </c>
      <c r="D463" s="2" t="s">
        <v>361</v>
      </c>
      <c r="E463" s="2" t="s">
        <v>872</v>
      </c>
      <c r="F463" s="2" t="s">
        <v>2252</v>
      </c>
      <c r="G463" s="2" t="s">
        <v>2253</v>
      </c>
      <c r="H463" s="2" t="s">
        <v>2254</v>
      </c>
      <c r="I463" s="2" t="s">
        <v>2255</v>
      </c>
      <c r="J463" s="2" t="s">
        <v>365</v>
      </c>
      <c r="K463" s="2" t="s">
        <v>550</v>
      </c>
      <c r="L463" s="3">
        <v>38.09</v>
      </c>
      <c r="M463" s="3">
        <v>39.99</v>
      </c>
      <c r="N463" s="3">
        <v>79.99</v>
      </c>
      <c r="O463" s="2" t="s">
        <v>232</v>
      </c>
      <c r="P463" s="2" t="s">
        <v>878</v>
      </c>
      <c r="Q463" s="2" t="s">
        <v>234</v>
      </c>
      <c r="R463" s="2" t="s">
        <v>235</v>
      </c>
      <c r="S463" s="2" t="s">
        <v>235</v>
      </c>
      <c r="T463" s="2" t="s">
        <v>2257</v>
      </c>
      <c r="U463" s="2" t="s">
        <v>282</v>
      </c>
      <c r="V463" s="2" t="s">
        <v>880</v>
      </c>
      <c r="W463" s="2" t="s">
        <v>882</v>
      </c>
      <c r="X463" s="2" t="s">
        <v>235</v>
      </c>
      <c r="Y463" s="2" t="s">
        <v>2270</v>
      </c>
      <c r="Z463" s="4">
        <v>270</v>
      </c>
      <c r="AA463" s="4">
        <f>=ROUNDDOWN(207.692307692308,0)</f>
      </c>
      <c r="AB463" s="5">
        <v>1.3</v>
      </c>
      <c r="AC463" s="2" t="s">
        <v>235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235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235</v>
      </c>
      <c r="AW463" s="8" t="s">
        <v>235</v>
      </c>
      <c r="AX463" s="4" t="s">
        <v>235</v>
      </c>
      <c r="AY463" s="8" t="s">
        <v>235</v>
      </c>
      <c r="AZ463" s="7" t="s">
        <v>235</v>
      </c>
      <c r="BA463" s="7" t="s">
        <v>235</v>
      </c>
      <c r="BB463" s="7" t="s">
        <v>235</v>
      </c>
      <c r="BC463" s="4" t="s">
        <v>235</v>
      </c>
      <c r="BD463" s="8" t="s">
        <v>235</v>
      </c>
      <c r="BE463" s="4" t="s">
        <v>235</v>
      </c>
      <c r="BF463" s="8" t="s">
        <v>235</v>
      </c>
      <c r="BG463" s="7" t="s">
        <v>235</v>
      </c>
      <c r="BH463" s="7" t="s">
        <v>235</v>
      </c>
      <c r="BI463" s="7"/>
      <c r="BJ463" s="4">
        <v>8</v>
      </c>
      <c r="BK463" s="8">
        <v>350.59</v>
      </c>
      <c r="BL463" s="2" t="s">
        <v>2271</v>
      </c>
      <c r="BM463" s="7"/>
      <c r="BN463" s="7"/>
      <c r="BO463" s="4"/>
      <c r="BP463" s="8"/>
      <c r="BQ463" s="4"/>
      <c r="BR463" s="8"/>
      <c r="BS463" s="7"/>
      <c r="BT463" s="7"/>
      <c r="BU463" s="2" t="s">
        <v>2259</v>
      </c>
      <c r="BV463" s="2" t="s">
        <v>235</v>
      </c>
      <c r="BW463" s="2" t="s">
        <v>235</v>
      </c>
      <c r="BX463" s="2" t="s">
        <v>244</v>
      </c>
      <c r="BY463" s="2" t="s">
        <v>245</v>
      </c>
      <c r="BZ463" s="2" t="s">
        <v>232</v>
      </c>
      <c r="CA463" s="2" t="s">
        <v>235</v>
      </c>
      <c r="CB463" s="2" t="s">
        <v>235</v>
      </c>
      <c r="CC463" s="2" t="s">
        <v>248</v>
      </c>
      <c r="CD463" s="2" t="s">
        <v>248</v>
      </c>
      <c r="CE463" s="2" t="s">
        <v>235</v>
      </c>
      <c r="CF463" s="4">
        <v>270</v>
      </c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>
        <v>270</v>
      </c>
      <c r="GE463" s="4">
        <v>269</v>
      </c>
      <c r="GF463" s="4">
        <v>268</v>
      </c>
      <c r="GG463" s="4">
        <v>267</v>
      </c>
      <c r="GH463" s="4">
        <v>265</v>
      </c>
      <c r="GI463" s="4">
        <v>263</v>
      </c>
      <c r="GJ463" s="4">
        <v>260</v>
      </c>
      <c r="GK463" s="4">
        <v>258</v>
      </c>
      <c r="GL463" s="4">
        <v>256</v>
      </c>
      <c r="GM463" s="4">
        <v>255</v>
      </c>
      <c r="GN463" s="4">
        <v>254</v>
      </c>
      <c r="GO463" s="4">
        <v>253</v>
      </c>
      <c r="GP463" s="4">
        <v>252</v>
      </c>
      <c r="GQ463" s="4">
        <v>251</v>
      </c>
      <c r="GR463" s="4">
        <v>250</v>
      </c>
      <c r="GS463" s="4">
        <v>249</v>
      </c>
      <c r="GT463" s="4">
        <v>248</v>
      </c>
      <c r="GU463" s="4">
        <v>247</v>
      </c>
      <c r="GV463" s="4">
        <v>246</v>
      </c>
      <c r="GW463" s="4">
        <v>245</v>
      </c>
      <c r="GX463" s="4">
        <v>244</v>
      </c>
      <c r="GY463" s="4">
        <v>243</v>
      </c>
      <c r="GZ463" s="4">
        <v>242</v>
      </c>
      <c r="HA463" s="4">
        <v>241</v>
      </c>
      <c r="HB463" s="4">
        <v>240</v>
      </c>
      <c r="HC463" s="4">
        <v>239</v>
      </c>
      <c r="HD463" s="19">
        <v>270</v>
      </c>
      <c r="HE463" s="19">
        <v>134.5</v>
      </c>
      <c r="HF463" s="19">
        <v>134</v>
      </c>
      <c r="HG463" s="19">
        <v>133.5</v>
      </c>
      <c r="HH463" s="19">
        <v>132.5</v>
      </c>
      <c r="HI463" s="19">
        <v>131.5</v>
      </c>
      <c r="HJ463" s="19">
        <v>130</v>
      </c>
      <c r="HK463" s="19">
        <v>258</v>
      </c>
      <c r="HL463" s="19">
        <v>256</v>
      </c>
      <c r="HM463" s="19">
        <v>255</v>
      </c>
      <c r="HN463" s="19">
        <v>254</v>
      </c>
      <c r="HO463" s="19">
        <v>253</v>
      </c>
      <c r="HP463" s="19">
        <v>252</v>
      </c>
      <c r="HQ463" s="19">
        <v>251</v>
      </c>
      <c r="HR463" s="19">
        <v>250</v>
      </c>
      <c r="HS463" s="19">
        <v>249</v>
      </c>
      <c r="HT463" s="19">
        <v>248</v>
      </c>
      <c r="HU463" s="19">
        <v>247</v>
      </c>
      <c r="HV463" s="19">
        <v>246</v>
      </c>
      <c r="HW463" s="19">
        <v>245</v>
      </c>
      <c r="HX463" s="19">
        <v>244</v>
      </c>
      <c r="HY463" s="19">
        <v>243</v>
      </c>
      <c r="HZ463" s="19">
        <v>242</v>
      </c>
      <c r="IA463" s="19">
        <v>241</v>
      </c>
      <c r="IB463" s="19">
        <v>240</v>
      </c>
      <c r="IC463" s="19">
        <v>239</v>
      </c>
    </row>
    <row r="464">
      <c r="A464" s="2" t="s">
        <v>2272</v>
      </c>
      <c r="B464" s="2" t="s">
        <v>871</v>
      </c>
      <c r="C464" s="2" t="s">
        <v>324</v>
      </c>
      <c r="D464" s="2" t="s">
        <v>1452</v>
      </c>
      <c r="E464" s="2" t="s">
        <v>1453</v>
      </c>
      <c r="F464" s="2" t="s">
        <v>2252</v>
      </c>
      <c r="G464" s="2" t="s">
        <v>2253</v>
      </c>
      <c r="H464" s="2" t="s">
        <v>2254</v>
      </c>
      <c r="I464" s="2" t="s">
        <v>2273</v>
      </c>
      <c r="J464" s="2" t="s">
        <v>365</v>
      </c>
      <c r="K464" s="2" t="s">
        <v>550</v>
      </c>
      <c r="L464" s="3">
        <v>28.57</v>
      </c>
      <c r="M464" s="3">
        <v>30</v>
      </c>
      <c r="N464" s="3">
        <v>59.99</v>
      </c>
      <c r="O464" s="2" t="s">
        <v>232</v>
      </c>
      <c r="P464" s="2" t="s">
        <v>878</v>
      </c>
      <c r="Q464" s="2" t="s">
        <v>234</v>
      </c>
      <c r="R464" s="2" t="s">
        <v>235</v>
      </c>
      <c r="S464" s="2" t="s">
        <v>235</v>
      </c>
      <c r="T464" s="2" t="s">
        <v>2257</v>
      </c>
      <c r="U464" s="2" t="s">
        <v>264</v>
      </c>
      <c r="V464" s="2" t="s">
        <v>880</v>
      </c>
      <c r="W464" s="2" t="s">
        <v>882</v>
      </c>
      <c r="X464" s="2" t="s">
        <v>235</v>
      </c>
      <c r="Y464" s="2" t="s">
        <v>2270</v>
      </c>
      <c r="Z464" s="4">
        <v>1165</v>
      </c>
      <c r="AA464" s="4">
        <f>=ROUNDDOWN(685.294117647059,0)</f>
      </c>
      <c r="AB464" s="5">
        <v>1.7</v>
      </c>
      <c r="AC464" s="2" t="s">
        <v>235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235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235</v>
      </c>
      <c r="AW464" s="8" t="s">
        <v>235</v>
      </c>
      <c r="AX464" s="4" t="s">
        <v>235</v>
      </c>
      <c r="AY464" s="8" t="s">
        <v>235</v>
      </c>
      <c r="AZ464" s="7" t="s">
        <v>235</v>
      </c>
      <c r="BA464" s="7" t="s">
        <v>235</v>
      </c>
      <c r="BB464" s="7" t="s">
        <v>235</v>
      </c>
      <c r="BC464" s="4" t="s">
        <v>235</v>
      </c>
      <c r="BD464" s="8" t="s">
        <v>235</v>
      </c>
      <c r="BE464" s="4" t="s">
        <v>235</v>
      </c>
      <c r="BF464" s="8" t="s">
        <v>235</v>
      </c>
      <c r="BG464" s="7" t="s">
        <v>235</v>
      </c>
      <c r="BH464" s="7" t="s">
        <v>235</v>
      </c>
      <c r="BI464" s="7"/>
      <c r="BJ464" s="4">
        <v>2</v>
      </c>
      <c r="BK464" s="8">
        <v>73.16</v>
      </c>
      <c r="BL464" s="2" t="s">
        <v>1461</v>
      </c>
      <c r="BM464" s="7"/>
      <c r="BN464" s="7"/>
      <c r="BO464" s="4"/>
      <c r="BP464" s="8"/>
      <c r="BQ464" s="4"/>
      <c r="BR464" s="8"/>
      <c r="BS464" s="7"/>
      <c r="BT464" s="7"/>
      <c r="BU464" s="2" t="s">
        <v>2267</v>
      </c>
      <c r="BV464" s="2" t="s">
        <v>235</v>
      </c>
      <c r="BW464" s="2" t="s">
        <v>235</v>
      </c>
      <c r="BX464" s="2" t="s">
        <v>244</v>
      </c>
      <c r="BY464" s="2" t="s">
        <v>245</v>
      </c>
      <c r="BZ464" s="2" t="s">
        <v>232</v>
      </c>
      <c r="CA464" s="2" t="s">
        <v>235</v>
      </c>
      <c r="CB464" s="2" t="s">
        <v>1235</v>
      </c>
      <c r="CC464" s="2" t="s">
        <v>248</v>
      </c>
      <c r="CD464" s="2" t="s">
        <v>248</v>
      </c>
      <c r="CE464" s="2" t="s">
        <v>235</v>
      </c>
      <c r="CF464" s="4">
        <v>1165</v>
      </c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>
        <v>1166</v>
      </c>
      <c r="GE464" s="4">
        <v>1115</v>
      </c>
      <c r="GF464" s="4">
        <v>1104</v>
      </c>
      <c r="GG464" s="4">
        <v>1095</v>
      </c>
      <c r="GH464" s="4">
        <v>1081</v>
      </c>
      <c r="GI464" s="4">
        <v>1067</v>
      </c>
      <c r="GJ464" s="4">
        <v>1042</v>
      </c>
      <c r="GK464" s="4">
        <v>1023</v>
      </c>
      <c r="GL464" s="4">
        <v>1004</v>
      </c>
      <c r="GM464" s="4">
        <v>990</v>
      </c>
      <c r="GN464" s="4">
        <v>979</v>
      </c>
      <c r="GO464" s="4">
        <v>963</v>
      </c>
      <c r="GP464" s="4">
        <v>947</v>
      </c>
      <c r="GQ464" s="4">
        <v>924</v>
      </c>
      <c r="GR464" s="4">
        <v>906</v>
      </c>
      <c r="GS464" s="4">
        <v>889</v>
      </c>
      <c r="GT464" s="4">
        <v>876</v>
      </c>
      <c r="GU464" s="4">
        <v>864</v>
      </c>
      <c r="GV464" s="4">
        <v>848</v>
      </c>
      <c r="GW464" s="4">
        <v>834</v>
      </c>
      <c r="GX464" s="4">
        <v>820</v>
      </c>
      <c r="GY464" s="4">
        <v>806</v>
      </c>
      <c r="GZ464" s="4">
        <v>792</v>
      </c>
      <c r="HA464" s="4">
        <v>778</v>
      </c>
      <c r="HB464" s="4">
        <v>764</v>
      </c>
      <c r="HC464" s="4">
        <v>749</v>
      </c>
      <c r="HD464" s="19">
        <v>55.5</v>
      </c>
      <c r="HE464" s="19">
        <v>92.9</v>
      </c>
      <c r="HF464" s="19">
        <v>69</v>
      </c>
      <c r="HG464" s="19">
        <v>60.8</v>
      </c>
      <c r="HH464" s="19">
        <v>56.9</v>
      </c>
      <c r="HI464" s="19">
        <v>56.2</v>
      </c>
      <c r="HJ464" s="19">
        <v>65.1</v>
      </c>
      <c r="HK464" s="19">
        <v>68.2</v>
      </c>
      <c r="HL464" s="19">
        <v>71.7</v>
      </c>
      <c r="HM464" s="19">
        <v>61.9</v>
      </c>
      <c r="HN464" s="19">
        <v>54.4</v>
      </c>
      <c r="HO464" s="19">
        <v>53.5</v>
      </c>
      <c r="HP464" s="19">
        <v>52.6</v>
      </c>
      <c r="HQ464" s="19">
        <v>61.6</v>
      </c>
      <c r="HR464" s="19">
        <v>64.7</v>
      </c>
      <c r="HS464" s="19">
        <v>63.5</v>
      </c>
      <c r="HT464" s="19">
        <v>62.6</v>
      </c>
      <c r="HU464" s="19">
        <v>61.7</v>
      </c>
      <c r="HV464" s="19">
        <v>60.6</v>
      </c>
      <c r="HW464" s="19">
        <v>59.6</v>
      </c>
      <c r="HX464" s="19">
        <v>58.6</v>
      </c>
      <c r="HY464" s="19">
        <v>57.6</v>
      </c>
      <c r="HZ464" s="19">
        <v>56.6</v>
      </c>
      <c r="IA464" s="19">
        <v>55.6</v>
      </c>
      <c r="IB464" s="19">
        <v>54.6</v>
      </c>
      <c r="IC464" s="19">
        <v>53.5</v>
      </c>
    </row>
    <row r="465">
      <c r="A465" s="2" t="s">
        <v>2274</v>
      </c>
      <c r="B465" s="2" t="s">
        <v>871</v>
      </c>
      <c r="C465" s="2" t="s">
        <v>324</v>
      </c>
      <c r="D465" s="2" t="s">
        <v>361</v>
      </c>
      <c r="E465" s="2" t="s">
        <v>872</v>
      </c>
      <c r="F465" s="2" t="s">
        <v>2252</v>
      </c>
      <c r="G465" s="2" t="s">
        <v>2253</v>
      </c>
      <c r="H465" s="2" t="s">
        <v>2254</v>
      </c>
      <c r="I465" s="2" t="s">
        <v>2255</v>
      </c>
      <c r="J465" s="2" t="s">
        <v>372</v>
      </c>
      <c r="K465" s="2" t="s">
        <v>550</v>
      </c>
      <c r="L465" s="3">
        <v>42.85</v>
      </c>
      <c r="M465" s="3">
        <v>44.99</v>
      </c>
      <c r="N465" s="3">
        <v>89.99</v>
      </c>
      <c r="O465" s="2" t="s">
        <v>232</v>
      </c>
      <c r="P465" s="2" t="s">
        <v>878</v>
      </c>
      <c r="Q465" s="2" t="s">
        <v>234</v>
      </c>
      <c r="R465" s="2" t="s">
        <v>235</v>
      </c>
      <c r="S465" s="2" t="s">
        <v>235</v>
      </c>
      <c r="T465" s="2" t="s">
        <v>2257</v>
      </c>
      <c r="U465" s="2" t="s">
        <v>282</v>
      </c>
      <c r="V465" s="2" t="s">
        <v>880</v>
      </c>
      <c r="W465" s="2" t="s">
        <v>882</v>
      </c>
      <c r="X465" s="2" t="s">
        <v>235</v>
      </c>
      <c r="Y465" s="2" t="s">
        <v>2275</v>
      </c>
      <c r="Z465" s="4">
        <v>174</v>
      </c>
      <c r="AA465" s="4">
        <f>=ROUNDDOWN(87,0)</f>
      </c>
      <c r="AB465" s="5">
        <v>2</v>
      </c>
      <c r="AC465" s="2" t="s">
        <v>235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235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235</v>
      </c>
      <c r="AW465" s="8" t="s">
        <v>235</v>
      </c>
      <c r="AX465" s="4" t="s">
        <v>235</v>
      </c>
      <c r="AY465" s="8" t="s">
        <v>235</v>
      </c>
      <c r="AZ465" s="7" t="s">
        <v>235</v>
      </c>
      <c r="BA465" s="7" t="s">
        <v>235</v>
      </c>
      <c r="BB465" s="7"/>
      <c r="BC465" s="4" t="s">
        <v>235</v>
      </c>
      <c r="BD465" s="8" t="s">
        <v>235</v>
      </c>
      <c r="BE465" s="4" t="s">
        <v>235</v>
      </c>
      <c r="BF465" s="8" t="s">
        <v>235</v>
      </c>
      <c r="BG465" s="7" t="s">
        <v>235</v>
      </c>
      <c r="BH465" s="7" t="s">
        <v>235</v>
      </c>
      <c r="BI465" s="7"/>
      <c r="BJ465" s="4"/>
      <c r="BK465" s="8"/>
      <c r="BL465" s="2" t="s">
        <v>235</v>
      </c>
      <c r="BM465" s="7"/>
      <c r="BN465" s="7"/>
      <c r="BO465" s="4"/>
      <c r="BP465" s="8"/>
      <c r="BQ465" s="4"/>
      <c r="BR465" s="8"/>
      <c r="BS465" s="7"/>
      <c r="BT465" s="7"/>
      <c r="BU465" s="2" t="s">
        <v>2259</v>
      </c>
      <c r="BV465" s="2" t="s">
        <v>235</v>
      </c>
      <c r="BW465" s="2" t="s">
        <v>235</v>
      </c>
      <c r="BX465" s="2" t="s">
        <v>244</v>
      </c>
      <c r="BY465" s="2" t="s">
        <v>245</v>
      </c>
      <c r="BZ465" s="2" t="s">
        <v>232</v>
      </c>
      <c r="CA465" s="2" t="s">
        <v>235</v>
      </c>
      <c r="CB465" s="2" t="s">
        <v>235</v>
      </c>
      <c r="CC465" s="2" t="s">
        <v>248</v>
      </c>
      <c r="CD465" s="2" t="s">
        <v>248</v>
      </c>
      <c r="CE465" s="2" t="s">
        <v>235</v>
      </c>
      <c r="CF465" s="4">
        <v>174</v>
      </c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>
        <v>177</v>
      </c>
      <c r="GE465" s="4">
        <v>167</v>
      </c>
      <c r="GF465" s="4">
        <v>164</v>
      </c>
      <c r="GG465" s="4">
        <v>161</v>
      </c>
      <c r="GH465" s="4">
        <v>156</v>
      </c>
      <c r="GI465" s="4">
        <v>151</v>
      </c>
      <c r="GJ465" s="4">
        <v>143</v>
      </c>
      <c r="GK465" s="4">
        <v>138</v>
      </c>
      <c r="GL465" s="4">
        <v>132</v>
      </c>
      <c r="GM465" s="4">
        <v>127</v>
      </c>
      <c r="GN465" s="4">
        <v>122</v>
      </c>
      <c r="GO465" s="4">
        <v>115</v>
      </c>
      <c r="GP465" s="4">
        <v>108</v>
      </c>
      <c r="GQ465" s="4">
        <v>96</v>
      </c>
      <c r="GR465" s="4">
        <v>89</v>
      </c>
      <c r="GS465" s="4">
        <v>82</v>
      </c>
      <c r="GT465" s="4">
        <v>77</v>
      </c>
      <c r="GU465" s="4">
        <v>73</v>
      </c>
      <c r="GV465" s="4">
        <v>68</v>
      </c>
      <c r="GW465" s="4">
        <v>63</v>
      </c>
      <c r="GX465" s="4">
        <v>58</v>
      </c>
      <c r="GY465" s="4">
        <v>53</v>
      </c>
      <c r="GZ465" s="4">
        <v>48</v>
      </c>
      <c r="HA465" s="4">
        <v>43</v>
      </c>
      <c r="HB465" s="4">
        <v>38</v>
      </c>
      <c r="HC465" s="4">
        <v>33</v>
      </c>
      <c r="HD465" s="19">
        <v>35.4</v>
      </c>
      <c r="HE465" s="19">
        <v>41.8</v>
      </c>
      <c r="HF465" s="19">
        <v>32.8</v>
      </c>
      <c r="HG465" s="19">
        <v>26.8</v>
      </c>
      <c r="HH465" s="19">
        <v>26</v>
      </c>
      <c r="HI465" s="19">
        <v>25.2</v>
      </c>
      <c r="HJ465" s="19">
        <v>28.6</v>
      </c>
      <c r="HK465" s="19">
        <v>23</v>
      </c>
      <c r="HL465" s="19">
        <v>22</v>
      </c>
      <c r="HM465" s="19">
        <v>15.9</v>
      </c>
      <c r="HN465" s="19">
        <v>15.3</v>
      </c>
      <c r="HO465" s="19">
        <v>14.4</v>
      </c>
      <c r="HP465" s="19">
        <v>13.5</v>
      </c>
      <c r="HQ465" s="19">
        <v>16</v>
      </c>
      <c r="HR465" s="19">
        <v>17.8</v>
      </c>
      <c r="HS465" s="19">
        <v>16.4</v>
      </c>
      <c r="HT465" s="19">
        <v>15.4</v>
      </c>
      <c r="HU465" s="19">
        <v>14.6</v>
      </c>
      <c r="HV465" s="19">
        <v>13.6</v>
      </c>
      <c r="HW465" s="19">
        <v>12.6</v>
      </c>
      <c r="HX465" s="19">
        <v>11.6</v>
      </c>
      <c r="HY465" s="19">
        <v>10.6</v>
      </c>
      <c r="HZ465" s="19">
        <v>9.6</v>
      </c>
      <c r="IA465" s="19">
        <v>8.6</v>
      </c>
      <c r="IB465" s="19">
        <v>7.6</v>
      </c>
      <c r="IC465" s="19">
        <v>6.6</v>
      </c>
    </row>
    <row r="466">
      <c r="A466" s="2" t="s">
        <v>2276</v>
      </c>
      <c r="B466" s="2" t="s">
        <v>1529</v>
      </c>
      <c r="C466" s="2" t="s">
        <v>1381</v>
      </c>
      <c r="D466" s="2" t="s">
        <v>1417</v>
      </c>
      <c r="E466" s="2" t="s">
        <v>1418</v>
      </c>
      <c r="F466" s="2" t="s">
        <v>2277</v>
      </c>
      <c r="G466" s="2" t="s">
        <v>2277</v>
      </c>
      <c r="H466" s="2" t="s">
        <v>2277</v>
      </c>
      <c r="I466" s="2" t="s">
        <v>2278</v>
      </c>
      <c r="J466" s="2" t="s">
        <v>897</v>
      </c>
      <c r="K466" s="2" t="s">
        <v>231</v>
      </c>
      <c r="L466" s="3">
        <v>306.43</v>
      </c>
      <c r="M466" s="3">
        <v>321.75</v>
      </c>
      <c r="N466" s="3">
        <v>899</v>
      </c>
      <c r="O466" s="2" t="s">
        <v>232</v>
      </c>
      <c r="P466" s="2" t="s">
        <v>1533</v>
      </c>
      <c r="Q466" s="2" t="s">
        <v>492</v>
      </c>
      <c r="R466" s="2" t="s">
        <v>235</v>
      </c>
      <c r="S466" s="2" t="s">
        <v>235</v>
      </c>
      <c r="T466" s="2" t="s">
        <v>235</v>
      </c>
      <c r="U466" s="2" t="s">
        <v>807</v>
      </c>
      <c r="V466" s="2" t="s">
        <v>238</v>
      </c>
      <c r="W466" s="2" t="s">
        <v>235</v>
      </c>
      <c r="X466" s="2" t="s">
        <v>235</v>
      </c>
      <c r="Y466" s="2" t="s">
        <v>2279</v>
      </c>
      <c r="Z466" s="4">
        <v>1</v>
      </c>
      <c r="AA466" s="4">
        <f>=ROUNDDOWN(3.33333333333333,0)</f>
      </c>
      <c r="AB466" s="5">
        <v>0.3</v>
      </c>
      <c r="AC466" s="2" t="s">
        <v>235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235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235</v>
      </c>
      <c r="BD466" s="8" t="s">
        <v>235</v>
      </c>
      <c r="BE466" s="4" t="s">
        <v>235</v>
      </c>
      <c r="BF466" s="8" t="s">
        <v>235</v>
      </c>
      <c r="BG466" s="7" t="s">
        <v>235</v>
      </c>
      <c r="BH466" s="7" t="s">
        <v>235</v>
      </c>
      <c r="BI466" s="7"/>
      <c r="BJ466" s="4"/>
      <c r="BK466" s="8"/>
      <c r="BL466" s="2" t="s">
        <v>235</v>
      </c>
      <c r="BM466" s="7"/>
      <c r="BN466" s="7"/>
      <c r="BO466" s="4"/>
      <c r="BP466" s="8"/>
      <c r="BQ466" s="4"/>
      <c r="BR466" s="8"/>
      <c r="BS466" s="7"/>
      <c r="BT466" s="7"/>
      <c r="BU466" s="2" t="s">
        <v>2280</v>
      </c>
      <c r="BV466" s="2" t="s">
        <v>1424</v>
      </c>
      <c r="BW466" s="2" t="s">
        <v>235</v>
      </c>
      <c r="BX466" s="2" t="s">
        <v>244</v>
      </c>
      <c r="BY466" s="2" t="s">
        <v>245</v>
      </c>
      <c r="BZ466" s="2" t="s">
        <v>232</v>
      </c>
      <c r="CA466" s="2" t="s">
        <v>1376</v>
      </c>
      <c r="CB466" s="2" t="s">
        <v>235</v>
      </c>
      <c r="CC466" s="2" t="s">
        <v>248</v>
      </c>
      <c r="CD466" s="2" t="s">
        <v>248</v>
      </c>
      <c r="CE466" s="2" t="s">
        <v>235</v>
      </c>
      <c r="CF466" s="4"/>
      <c r="CG466" s="4"/>
      <c r="CH466" s="4"/>
      <c r="CI466" s="4">
        <v>1</v>
      </c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</row>
    <row r="467">
      <c r="A467" s="2" t="s">
        <v>2281</v>
      </c>
      <c r="B467" s="2" t="s">
        <v>1529</v>
      </c>
      <c r="C467" s="2" t="s">
        <v>1381</v>
      </c>
      <c r="D467" s="2" t="s">
        <v>1417</v>
      </c>
      <c r="E467" s="2" t="s">
        <v>1418</v>
      </c>
      <c r="F467" s="2" t="s">
        <v>2277</v>
      </c>
      <c r="G467" s="2" t="s">
        <v>2277</v>
      </c>
      <c r="H467" s="2" t="s">
        <v>2277</v>
      </c>
      <c r="I467" s="2" t="s">
        <v>2278</v>
      </c>
      <c r="J467" s="2" t="s">
        <v>897</v>
      </c>
      <c r="K467" s="2" t="s">
        <v>1546</v>
      </c>
      <c r="L467" s="3">
        <v>306.43</v>
      </c>
      <c r="M467" s="3">
        <v>321.75</v>
      </c>
      <c r="N467" s="3">
        <v>899</v>
      </c>
      <c r="O467" s="2" t="s">
        <v>232</v>
      </c>
      <c r="P467" s="2" t="s">
        <v>1533</v>
      </c>
      <c r="Q467" s="2" t="s">
        <v>492</v>
      </c>
      <c r="R467" s="2" t="s">
        <v>235</v>
      </c>
      <c r="S467" s="2" t="s">
        <v>235</v>
      </c>
      <c r="T467" s="2" t="s">
        <v>235</v>
      </c>
      <c r="U467" s="2" t="s">
        <v>807</v>
      </c>
      <c r="V467" s="2" t="s">
        <v>238</v>
      </c>
      <c r="W467" s="2" t="s">
        <v>235</v>
      </c>
      <c r="X467" s="2" t="s">
        <v>235</v>
      </c>
      <c r="Y467" s="2" t="s">
        <v>2279</v>
      </c>
      <c r="Z467" s="4">
        <v>11</v>
      </c>
      <c r="AA467" s="4">
        <f>=ROUNDDOWN({0},0)</f>
      </c>
      <c r="AB467" s="5"/>
      <c r="AC467" s="2" t="s">
        <v>235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235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235</v>
      </c>
      <c r="BD467" s="8" t="s">
        <v>235</v>
      </c>
      <c r="BE467" s="4" t="s">
        <v>235</v>
      </c>
      <c r="BF467" s="8" t="s">
        <v>235</v>
      </c>
      <c r="BG467" s="7" t="s">
        <v>235</v>
      </c>
      <c r="BH467" s="7" t="s">
        <v>235</v>
      </c>
      <c r="BI467" s="7"/>
      <c r="BJ467" s="4"/>
      <c r="BK467" s="8"/>
      <c r="BL467" s="2" t="s">
        <v>235</v>
      </c>
      <c r="BM467" s="7"/>
      <c r="BN467" s="7"/>
      <c r="BO467" s="4"/>
      <c r="BP467" s="8"/>
      <c r="BQ467" s="4"/>
      <c r="BR467" s="8"/>
      <c r="BS467" s="7"/>
      <c r="BT467" s="7"/>
      <c r="BU467" s="2" t="s">
        <v>2280</v>
      </c>
      <c r="BV467" s="2" t="s">
        <v>1424</v>
      </c>
      <c r="BW467" s="2" t="s">
        <v>235</v>
      </c>
      <c r="BX467" s="2" t="s">
        <v>244</v>
      </c>
      <c r="BY467" s="2" t="s">
        <v>245</v>
      </c>
      <c r="BZ467" s="2" t="s">
        <v>232</v>
      </c>
      <c r="CA467" s="2" t="s">
        <v>1376</v>
      </c>
      <c r="CB467" s="2" t="s">
        <v>235</v>
      </c>
      <c r="CC467" s="2" t="s">
        <v>248</v>
      </c>
      <c r="CD467" s="2" t="s">
        <v>248</v>
      </c>
      <c r="CE467" s="2" t="s">
        <v>235</v>
      </c>
      <c r="CF467" s="4"/>
      <c r="CG467" s="4">
        <v>6</v>
      </c>
      <c r="CH467" s="4"/>
      <c r="CI467" s="4">
        <v>5</v>
      </c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>
        <v>6</v>
      </c>
      <c r="GE467" s="4">
        <v>6</v>
      </c>
      <c r="GF467" s="4">
        <v>6</v>
      </c>
      <c r="GG467" s="4">
        <v>6</v>
      </c>
      <c r="GH467" s="4">
        <v>6</v>
      </c>
      <c r="GI467" s="4">
        <v>6</v>
      </c>
      <c r="GJ467" s="4">
        <v>6</v>
      </c>
      <c r="GK467" s="4">
        <v>6</v>
      </c>
      <c r="GL467" s="4">
        <v>6</v>
      </c>
      <c r="GM467" s="4">
        <v>6</v>
      </c>
      <c r="GN467" s="4">
        <v>6</v>
      </c>
      <c r="GO467" s="4">
        <v>6</v>
      </c>
      <c r="GP467" s="4">
        <v>6</v>
      </c>
      <c r="GQ467" s="4">
        <v>6</v>
      </c>
      <c r="GR467" s="4">
        <v>6</v>
      </c>
      <c r="GS467" s="4">
        <v>6</v>
      </c>
      <c r="GT467" s="4">
        <v>6</v>
      </c>
      <c r="GU467" s="4">
        <v>6</v>
      </c>
      <c r="GV467" s="4">
        <v>6</v>
      </c>
      <c r="GW467" s="4">
        <v>6</v>
      </c>
      <c r="GX467" s="4">
        <v>6</v>
      </c>
      <c r="GY467" s="4">
        <v>6</v>
      </c>
      <c r="GZ467" s="4">
        <v>6</v>
      </c>
      <c r="HA467" s="4">
        <v>6</v>
      </c>
      <c r="HB467" s="4">
        <v>6</v>
      </c>
      <c r="HC467" s="4">
        <v>6</v>
      </c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</row>
    <row r="468">
      <c r="A468" s="2" t="s">
        <v>2282</v>
      </c>
      <c r="B468" s="2" t="s">
        <v>871</v>
      </c>
      <c r="C468" s="2" t="s">
        <v>324</v>
      </c>
      <c r="D468" s="2" t="s">
        <v>361</v>
      </c>
      <c r="E468" s="2" t="s">
        <v>872</v>
      </c>
      <c r="F468" s="2" t="s">
        <v>2283</v>
      </c>
      <c r="G468" s="2" t="s">
        <v>2284</v>
      </c>
      <c r="H468" s="2" t="s">
        <v>2285</v>
      </c>
      <c r="I468" s="2" t="s">
        <v>2286</v>
      </c>
      <c r="J468" s="2" t="s">
        <v>365</v>
      </c>
      <c r="K468" s="2" t="s">
        <v>378</v>
      </c>
      <c r="L468" s="3">
        <v>51.27</v>
      </c>
      <c r="M468" s="3">
        <v>53.83</v>
      </c>
      <c r="N468" s="3">
        <v>114.99</v>
      </c>
      <c r="O468" s="2" t="s">
        <v>232</v>
      </c>
      <c r="P468" s="2" t="s">
        <v>233</v>
      </c>
      <c r="Q468" s="2" t="s">
        <v>234</v>
      </c>
      <c r="R468" s="2" t="s">
        <v>235</v>
      </c>
      <c r="S468" s="2" t="s">
        <v>2287</v>
      </c>
      <c r="T468" s="2" t="s">
        <v>501</v>
      </c>
      <c r="U468" s="2" t="s">
        <v>742</v>
      </c>
      <c r="V468" s="2" t="s">
        <v>420</v>
      </c>
      <c r="W468" s="2" t="s">
        <v>682</v>
      </c>
      <c r="X468" s="2" t="s">
        <v>2236</v>
      </c>
      <c r="Y468" s="2" t="s">
        <v>1609</v>
      </c>
      <c r="Z468" s="4">
        <v>306</v>
      </c>
      <c r="AA468" s="4">
        <f>=ROUNDDOWN(87.4285714285714,0)</f>
      </c>
      <c r="AB468" s="5">
        <v>3.5</v>
      </c>
      <c r="AC468" s="2" t="s">
        <v>235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235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235</v>
      </c>
      <c r="AW468" s="8" t="s">
        <v>235</v>
      </c>
      <c r="AX468" s="4" t="s">
        <v>235</v>
      </c>
      <c r="AY468" s="8" t="s">
        <v>235</v>
      </c>
      <c r="AZ468" s="7" t="s">
        <v>235</v>
      </c>
      <c r="BA468" s="7" t="s">
        <v>235</v>
      </c>
      <c r="BB468" s="7"/>
      <c r="BC468" s="4" t="s">
        <v>235</v>
      </c>
      <c r="BD468" s="8" t="s">
        <v>235</v>
      </c>
      <c r="BE468" s="4" t="s">
        <v>235</v>
      </c>
      <c r="BF468" s="8" t="s">
        <v>235</v>
      </c>
      <c r="BG468" s="7" t="s">
        <v>235</v>
      </c>
      <c r="BH468" s="7" t="s">
        <v>235</v>
      </c>
      <c r="BI468" s="7"/>
      <c r="BJ468" s="4">
        <v>9</v>
      </c>
      <c r="BK468" s="8">
        <v>544.23</v>
      </c>
      <c r="BL468" s="2" t="s">
        <v>940</v>
      </c>
      <c r="BM468" s="7"/>
      <c r="BN468" s="7"/>
      <c r="BO468" s="4"/>
      <c r="BP468" s="8"/>
      <c r="BQ468" s="4"/>
      <c r="BR468" s="8"/>
      <c r="BS468" s="7"/>
      <c r="BT468" s="7"/>
      <c r="BU468" s="2" t="s">
        <v>2288</v>
      </c>
      <c r="BV468" s="2" t="s">
        <v>243</v>
      </c>
      <c r="BW468" s="2" t="s">
        <v>235</v>
      </c>
      <c r="BX468" s="2" t="s">
        <v>244</v>
      </c>
      <c r="BY468" s="2" t="s">
        <v>245</v>
      </c>
      <c r="BZ468" s="2" t="s">
        <v>232</v>
      </c>
      <c r="CA468" s="2" t="s">
        <v>1609</v>
      </c>
      <c r="CB468" s="2" t="s">
        <v>941</v>
      </c>
      <c r="CC468" s="2" t="s">
        <v>248</v>
      </c>
      <c r="CD468" s="2" t="s">
        <v>248</v>
      </c>
      <c r="CE468" s="2" t="s">
        <v>235</v>
      </c>
      <c r="CF468" s="4">
        <v>306</v>
      </c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>
        <v>307</v>
      </c>
      <c r="GE468" s="4">
        <v>300</v>
      </c>
      <c r="GF468" s="4">
        <v>296</v>
      </c>
      <c r="GG468" s="4">
        <v>292</v>
      </c>
      <c r="GH468" s="4">
        <v>287</v>
      </c>
      <c r="GI468" s="4">
        <v>282</v>
      </c>
      <c r="GJ468" s="4">
        <v>276</v>
      </c>
      <c r="GK468" s="4">
        <v>271</v>
      </c>
      <c r="GL468" s="4">
        <v>266</v>
      </c>
      <c r="GM468" s="4">
        <v>262</v>
      </c>
      <c r="GN468" s="4">
        <v>257</v>
      </c>
      <c r="GO468" s="4">
        <v>251</v>
      </c>
      <c r="GP468" s="4">
        <v>245</v>
      </c>
      <c r="GQ468" s="4">
        <v>234</v>
      </c>
      <c r="GR468" s="4">
        <v>228</v>
      </c>
      <c r="GS468" s="4">
        <v>222</v>
      </c>
      <c r="GT468" s="4">
        <v>218</v>
      </c>
      <c r="GU468" s="4">
        <v>215</v>
      </c>
      <c r="GV468" s="4">
        <v>211</v>
      </c>
      <c r="GW468" s="4">
        <v>207</v>
      </c>
      <c r="GX468" s="4">
        <v>203</v>
      </c>
      <c r="GY468" s="4">
        <v>199</v>
      </c>
      <c r="GZ468" s="4">
        <v>195</v>
      </c>
      <c r="HA468" s="4">
        <v>191</v>
      </c>
      <c r="HB468" s="4">
        <v>187</v>
      </c>
      <c r="HC468" s="4">
        <v>183</v>
      </c>
      <c r="HD468" s="19">
        <v>61.4</v>
      </c>
      <c r="HE468" s="19">
        <v>75</v>
      </c>
      <c r="HF468" s="19">
        <v>59.2</v>
      </c>
      <c r="HG468" s="19">
        <v>58.4</v>
      </c>
      <c r="HH468" s="19">
        <v>57.4</v>
      </c>
      <c r="HI468" s="19">
        <v>56.4</v>
      </c>
      <c r="HJ468" s="19">
        <v>55.2</v>
      </c>
      <c r="HK468" s="19">
        <v>54.2</v>
      </c>
      <c r="HL468" s="19">
        <v>53.2</v>
      </c>
      <c r="HM468" s="19">
        <v>37.4</v>
      </c>
      <c r="HN468" s="19">
        <v>36.7</v>
      </c>
      <c r="HO468" s="19">
        <v>35.9</v>
      </c>
      <c r="HP468" s="19">
        <v>35</v>
      </c>
      <c r="HQ468" s="19">
        <v>46.8</v>
      </c>
      <c r="HR468" s="19">
        <v>57</v>
      </c>
      <c r="HS468" s="19">
        <v>55.5</v>
      </c>
      <c r="HT468" s="19">
        <v>54.5</v>
      </c>
      <c r="HU468" s="19">
        <v>53.8</v>
      </c>
      <c r="HV468" s="19">
        <v>52.8</v>
      </c>
      <c r="HW468" s="19">
        <v>51.8</v>
      </c>
      <c r="HX468" s="19">
        <v>50.8</v>
      </c>
      <c r="HY468" s="19">
        <v>49.8</v>
      </c>
      <c r="HZ468" s="19">
        <v>48.8</v>
      </c>
      <c r="IA468" s="19">
        <v>47.8</v>
      </c>
      <c r="IB468" s="19">
        <v>46.8</v>
      </c>
      <c r="IC468" s="19">
        <v>45.8</v>
      </c>
    </row>
    <row r="469">
      <c r="A469" s="2" t="s">
        <v>2289</v>
      </c>
      <c r="B469" s="2" t="s">
        <v>871</v>
      </c>
      <c r="C469" s="2" t="s">
        <v>324</v>
      </c>
      <c r="D469" s="2" t="s">
        <v>361</v>
      </c>
      <c r="E469" s="2" t="s">
        <v>872</v>
      </c>
      <c r="F469" s="2" t="s">
        <v>2283</v>
      </c>
      <c r="G469" s="2" t="s">
        <v>2284</v>
      </c>
      <c r="H469" s="2" t="s">
        <v>2285</v>
      </c>
      <c r="I469" s="2" t="s">
        <v>2286</v>
      </c>
      <c r="J469" s="2" t="s">
        <v>372</v>
      </c>
      <c r="K469" s="2" t="s">
        <v>378</v>
      </c>
      <c r="L469" s="3">
        <v>61.18</v>
      </c>
      <c r="M469" s="3">
        <v>64.24</v>
      </c>
      <c r="N469" s="3">
        <v>129.99</v>
      </c>
      <c r="O469" s="2" t="s">
        <v>232</v>
      </c>
      <c r="P469" s="2" t="s">
        <v>233</v>
      </c>
      <c r="Q469" s="2" t="s">
        <v>234</v>
      </c>
      <c r="R469" s="2" t="s">
        <v>235</v>
      </c>
      <c r="S469" s="2" t="s">
        <v>2287</v>
      </c>
      <c r="T469" s="2" t="s">
        <v>501</v>
      </c>
      <c r="U469" s="2" t="s">
        <v>742</v>
      </c>
      <c r="V469" s="2" t="s">
        <v>420</v>
      </c>
      <c r="W469" s="2" t="s">
        <v>682</v>
      </c>
      <c r="X469" s="2" t="s">
        <v>2236</v>
      </c>
      <c r="Y469" s="2" t="s">
        <v>1609</v>
      </c>
      <c r="Z469" s="4">
        <v>381</v>
      </c>
      <c r="AA469" s="4">
        <f>=ROUNDDOWN(131.379310344828,0)</f>
      </c>
      <c r="AB469" s="5">
        <v>2.9</v>
      </c>
      <c r="AC469" s="2" t="s">
        <v>235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235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235</v>
      </c>
      <c r="AW469" s="8" t="s">
        <v>235</v>
      </c>
      <c r="AX469" s="4" t="s">
        <v>235</v>
      </c>
      <c r="AY469" s="8" t="s">
        <v>235</v>
      </c>
      <c r="AZ469" s="7" t="s">
        <v>235</v>
      </c>
      <c r="BA469" s="7" t="s">
        <v>235</v>
      </c>
      <c r="BB469" s="7"/>
      <c r="BC469" s="4" t="s">
        <v>235</v>
      </c>
      <c r="BD469" s="8" t="s">
        <v>235</v>
      </c>
      <c r="BE469" s="4" t="s">
        <v>235</v>
      </c>
      <c r="BF469" s="8" t="s">
        <v>235</v>
      </c>
      <c r="BG469" s="7" t="s">
        <v>235</v>
      </c>
      <c r="BH469" s="7" t="s">
        <v>235</v>
      </c>
      <c r="BI469" s="7"/>
      <c r="BJ469" s="4">
        <v>12</v>
      </c>
      <c r="BK469" s="8">
        <v>869.33</v>
      </c>
      <c r="BL469" s="2" t="s">
        <v>768</v>
      </c>
      <c r="BM469" s="7"/>
      <c r="BN469" s="7"/>
      <c r="BO469" s="4"/>
      <c r="BP469" s="8"/>
      <c r="BQ469" s="4"/>
      <c r="BR469" s="8"/>
      <c r="BS469" s="7"/>
      <c r="BT469" s="7"/>
      <c r="BU469" s="2" t="s">
        <v>2288</v>
      </c>
      <c r="BV469" s="2" t="s">
        <v>243</v>
      </c>
      <c r="BW469" s="2" t="s">
        <v>235</v>
      </c>
      <c r="BX469" s="2" t="s">
        <v>244</v>
      </c>
      <c r="BY469" s="2" t="s">
        <v>245</v>
      </c>
      <c r="BZ469" s="2" t="s">
        <v>232</v>
      </c>
      <c r="CA469" s="2" t="s">
        <v>1609</v>
      </c>
      <c r="CB469" s="2" t="s">
        <v>1320</v>
      </c>
      <c r="CC469" s="2" t="s">
        <v>248</v>
      </c>
      <c r="CD469" s="2" t="s">
        <v>248</v>
      </c>
      <c r="CE469" s="2" t="s">
        <v>235</v>
      </c>
      <c r="CF469" s="4">
        <v>381</v>
      </c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>
        <v>381</v>
      </c>
      <c r="GE469" s="4">
        <v>378</v>
      </c>
      <c r="GF469" s="4">
        <v>375</v>
      </c>
      <c r="GG469" s="4">
        <v>372</v>
      </c>
      <c r="GH469" s="4">
        <v>369</v>
      </c>
      <c r="GI469" s="4">
        <v>366</v>
      </c>
      <c r="GJ469" s="4">
        <v>363</v>
      </c>
      <c r="GK469" s="4">
        <v>360</v>
      </c>
      <c r="GL469" s="4">
        <v>357</v>
      </c>
      <c r="GM469" s="4">
        <v>354</v>
      </c>
      <c r="GN469" s="4">
        <v>350</v>
      </c>
      <c r="GO469" s="4">
        <v>345</v>
      </c>
      <c r="GP469" s="4">
        <v>340</v>
      </c>
      <c r="GQ469" s="4">
        <v>330</v>
      </c>
      <c r="GR469" s="4">
        <v>325</v>
      </c>
      <c r="GS469" s="4">
        <v>320</v>
      </c>
      <c r="GT469" s="4">
        <v>317</v>
      </c>
      <c r="GU469" s="4">
        <v>315</v>
      </c>
      <c r="GV469" s="4">
        <v>312</v>
      </c>
      <c r="GW469" s="4">
        <v>309</v>
      </c>
      <c r="GX469" s="4">
        <v>306</v>
      </c>
      <c r="GY469" s="4">
        <v>303</v>
      </c>
      <c r="GZ469" s="4">
        <v>300</v>
      </c>
      <c r="HA469" s="4">
        <v>297</v>
      </c>
      <c r="HB469" s="4">
        <v>294</v>
      </c>
      <c r="HC469" s="4">
        <v>291</v>
      </c>
      <c r="HD469" s="19">
        <v>127</v>
      </c>
      <c r="HE469" s="19">
        <v>126</v>
      </c>
      <c r="HF469" s="19">
        <v>125</v>
      </c>
      <c r="HG469" s="19">
        <v>124</v>
      </c>
      <c r="HH469" s="19">
        <v>123</v>
      </c>
      <c r="HI469" s="19">
        <v>122</v>
      </c>
      <c r="HJ469" s="19">
        <v>121</v>
      </c>
      <c r="HK469" s="19">
        <v>90</v>
      </c>
      <c r="HL469" s="19">
        <v>89.3</v>
      </c>
      <c r="HM469" s="19">
        <v>59</v>
      </c>
      <c r="HN469" s="19">
        <v>58.3</v>
      </c>
      <c r="HO469" s="19">
        <v>57.5</v>
      </c>
      <c r="HP469" s="19">
        <v>56.7</v>
      </c>
      <c r="HQ469" s="19">
        <v>82.5</v>
      </c>
      <c r="HR469" s="19">
        <v>108.3</v>
      </c>
      <c r="HS469" s="19">
        <v>106.7</v>
      </c>
      <c r="HT469" s="19">
        <v>105.7</v>
      </c>
      <c r="HU469" s="19">
        <v>105</v>
      </c>
      <c r="HV469" s="19">
        <v>104</v>
      </c>
      <c r="HW469" s="19">
        <v>103</v>
      </c>
      <c r="HX469" s="19">
        <v>102</v>
      </c>
      <c r="HY469" s="19">
        <v>101</v>
      </c>
      <c r="HZ469" s="19">
        <v>100</v>
      </c>
      <c r="IA469" s="19">
        <v>99</v>
      </c>
      <c r="IB469" s="19">
        <v>98</v>
      </c>
      <c r="IC469" s="19">
        <v>97</v>
      </c>
    </row>
    <row r="470">
      <c r="A470" s="2" t="s">
        <v>2290</v>
      </c>
      <c r="B470" s="2" t="s">
        <v>871</v>
      </c>
      <c r="C470" s="2" t="s">
        <v>324</v>
      </c>
      <c r="D470" s="2" t="s">
        <v>361</v>
      </c>
      <c r="E470" s="2" t="s">
        <v>872</v>
      </c>
      <c r="F470" s="2" t="s">
        <v>2283</v>
      </c>
      <c r="G470" s="2" t="s">
        <v>2284</v>
      </c>
      <c r="H470" s="2" t="s">
        <v>2285</v>
      </c>
      <c r="I470" s="2" t="s">
        <v>2286</v>
      </c>
      <c r="J470" s="2" t="s">
        <v>365</v>
      </c>
      <c r="K470" s="2" t="s">
        <v>2029</v>
      </c>
      <c r="L470" s="3">
        <v>51.27</v>
      </c>
      <c r="M470" s="3">
        <v>53.83</v>
      </c>
      <c r="N470" s="3">
        <v>114.99</v>
      </c>
      <c r="O470" s="2" t="s">
        <v>232</v>
      </c>
      <c r="P470" s="2" t="s">
        <v>233</v>
      </c>
      <c r="Q470" s="2" t="s">
        <v>234</v>
      </c>
      <c r="R470" s="2" t="s">
        <v>235</v>
      </c>
      <c r="S470" s="2" t="s">
        <v>2287</v>
      </c>
      <c r="T470" s="2" t="s">
        <v>501</v>
      </c>
      <c r="U470" s="2" t="s">
        <v>742</v>
      </c>
      <c r="V470" s="2" t="s">
        <v>420</v>
      </c>
      <c r="W470" s="2" t="s">
        <v>682</v>
      </c>
      <c r="X470" s="2" t="s">
        <v>2236</v>
      </c>
      <c r="Y470" s="2" t="s">
        <v>1191</v>
      </c>
      <c r="Z470" s="4">
        <v>467</v>
      </c>
      <c r="AA470" s="4">
        <f>=ROUNDDOWN(274.705882352941,0)</f>
      </c>
      <c r="AB470" s="5">
        <v>1.7</v>
      </c>
      <c r="AC470" s="2" t="s">
        <v>235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235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235</v>
      </c>
      <c r="BD470" s="8" t="s">
        <v>235</v>
      </c>
      <c r="BE470" s="4" t="s">
        <v>235</v>
      </c>
      <c r="BF470" s="8" t="s">
        <v>235</v>
      </c>
      <c r="BG470" s="7" t="s">
        <v>235</v>
      </c>
      <c r="BH470" s="7" t="s">
        <v>235</v>
      </c>
      <c r="BI470" s="7"/>
      <c r="BJ470" s="4">
        <v>5</v>
      </c>
      <c r="BK470" s="8">
        <v>302.46</v>
      </c>
      <c r="BL470" s="2" t="s">
        <v>2291</v>
      </c>
      <c r="BM470" s="7"/>
      <c r="BN470" s="7"/>
      <c r="BO470" s="4"/>
      <c r="BP470" s="8"/>
      <c r="BQ470" s="4"/>
      <c r="BR470" s="8"/>
      <c r="BS470" s="7"/>
      <c r="BT470" s="7"/>
      <c r="BU470" s="2" t="s">
        <v>2288</v>
      </c>
      <c r="BV470" s="2" t="s">
        <v>243</v>
      </c>
      <c r="BW470" s="2" t="s">
        <v>235</v>
      </c>
      <c r="BX470" s="2" t="s">
        <v>244</v>
      </c>
      <c r="BY470" s="2" t="s">
        <v>245</v>
      </c>
      <c r="BZ470" s="2" t="s">
        <v>232</v>
      </c>
      <c r="CA470" s="2" t="s">
        <v>1609</v>
      </c>
      <c r="CB470" s="2" t="s">
        <v>941</v>
      </c>
      <c r="CC470" s="2" t="s">
        <v>248</v>
      </c>
      <c r="CD470" s="2" t="s">
        <v>248</v>
      </c>
      <c r="CE470" s="2" t="s">
        <v>235</v>
      </c>
      <c r="CF470" s="4">
        <v>467</v>
      </c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>
        <v>467</v>
      </c>
      <c r="GE470" s="4">
        <v>458</v>
      </c>
      <c r="GF470" s="4">
        <v>456</v>
      </c>
      <c r="GG470" s="4">
        <v>454</v>
      </c>
      <c r="GH470" s="4">
        <v>451</v>
      </c>
      <c r="GI470" s="4">
        <v>448</v>
      </c>
      <c r="GJ470" s="4">
        <v>444</v>
      </c>
      <c r="GK470" s="4">
        <v>441</v>
      </c>
      <c r="GL470" s="4">
        <v>438</v>
      </c>
      <c r="GM470" s="4">
        <v>436</v>
      </c>
      <c r="GN470" s="4">
        <v>434</v>
      </c>
      <c r="GO470" s="4">
        <v>431</v>
      </c>
      <c r="GP470" s="4">
        <v>428</v>
      </c>
      <c r="GQ470" s="4">
        <v>424</v>
      </c>
      <c r="GR470" s="4">
        <v>421</v>
      </c>
      <c r="GS470" s="4">
        <v>418</v>
      </c>
      <c r="GT470" s="4">
        <v>416</v>
      </c>
      <c r="GU470" s="4">
        <v>414</v>
      </c>
      <c r="GV470" s="4">
        <v>412</v>
      </c>
      <c r="GW470" s="4">
        <v>410</v>
      </c>
      <c r="GX470" s="4">
        <v>408</v>
      </c>
      <c r="GY470" s="4">
        <v>406</v>
      </c>
      <c r="GZ470" s="4">
        <v>404</v>
      </c>
      <c r="HA470" s="4">
        <v>402</v>
      </c>
      <c r="HB470" s="4">
        <v>400</v>
      </c>
      <c r="HC470" s="4">
        <v>398</v>
      </c>
      <c r="HD470" s="19">
        <v>116.8</v>
      </c>
      <c r="HE470" s="19">
        <v>229</v>
      </c>
      <c r="HF470" s="19">
        <v>152</v>
      </c>
      <c r="HG470" s="19">
        <v>151.3</v>
      </c>
      <c r="HH470" s="19">
        <v>150.3</v>
      </c>
      <c r="HI470" s="19">
        <v>149.3</v>
      </c>
      <c r="HJ470" s="19">
        <v>222</v>
      </c>
      <c r="HK470" s="19">
        <v>220.5</v>
      </c>
      <c r="HL470" s="19">
        <v>219</v>
      </c>
      <c r="HM470" s="19">
        <v>145.3</v>
      </c>
      <c r="HN470" s="19">
        <v>144.7</v>
      </c>
      <c r="HO470" s="19">
        <v>143.7</v>
      </c>
      <c r="HP470" s="19">
        <v>142.7</v>
      </c>
      <c r="HQ470" s="19">
        <v>212</v>
      </c>
      <c r="HR470" s="19">
        <v>210.5</v>
      </c>
      <c r="HS470" s="19">
        <v>209</v>
      </c>
      <c r="HT470" s="19">
        <v>208</v>
      </c>
      <c r="HU470" s="19">
        <v>207</v>
      </c>
      <c r="HV470" s="19">
        <v>206</v>
      </c>
      <c r="HW470" s="19">
        <v>205</v>
      </c>
      <c r="HX470" s="19">
        <v>204</v>
      </c>
      <c r="HY470" s="19">
        <v>203</v>
      </c>
      <c r="HZ470" s="19">
        <v>202</v>
      </c>
      <c r="IA470" s="19">
        <v>201</v>
      </c>
      <c r="IB470" s="19">
        <v>200</v>
      </c>
      <c r="IC470" s="19">
        <v>199</v>
      </c>
    </row>
    <row r="471">
      <c r="A471" s="2" t="s">
        <v>2292</v>
      </c>
      <c r="B471" s="2" t="s">
        <v>905</v>
      </c>
      <c r="C471" s="2" t="s">
        <v>324</v>
      </c>
      <c r="D471" s="2" t="s">
        <v>981</v>
      </c>
      <c r="E471" s="2" t="s">
        <v>982</v>
      </c>
      <c r="F471" s="2" t="s">
        <v>2293</v>
      </c>
      <c r="G471" s="2" t="s">
        <v>2293</v>
      </c>
      <c r="H471" s="2" t="s">
        <v>2293</v>
      </c>
      <c r="I471" s="2" t="s">
        <v>982</v>
      </c>
      <c r="J471" s="2" t="s">
        <v>394</v>
      </c>
      <c r="K471" s="2" t="s">
        <v>231</v>
      </c>
      <c r="L471" s="3">
        <v>14.42</v>
      </c>
      <c r="M471" s="3">
        <v>15.14</v>
      </c>
      <c r="N471" s="3">
        <v>34.99</v>
      </c>
      <c r="O471" s="2" t="s">
        <v>232</v>
      </c>
      <c r="P471" s="2" t="s">
        <v>233</v>
      </c>
      <c r="Q471" s="2" t="s">
        <v>234</v>
      </c>
      <c r="R471" s="2" t="s">
        <v>235</v>
      </c>
      <c r="S471" s="2" t="s">
        <v>2294</v>
      </c>
      <c r="T471" s="2" t="s">
        <v>2295</v>
      </c>
      <c r="U471" s="2" t="s">
        <v>807</v>
      </c>
      <c r="V471" s="2" t="s">
        <v>863</v>
      </c>
      <c r="W471" s="2" t="s">
        <v>671</v>
      </c>
      <c r="X471" s="2" t="s">
        <v>1157</v>
      </c>
      <c r="Y471" s="2" t="s">
        <v>2296</v>
      </c>
      <c r="Z471" s="4">
        <v>133</v>
      </c>
      <c r="AA471" s="4">
        <f>=ROUNDDOWN(35.9459459459459,0)</f>
      </c>
      <c r="AB471" s="5">
        <v>3.7</v>
      </c>
      <c r="AC471" s="2" t="s">
        <v>235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235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235</v>
      </c>
      <c r="AW471" s="8" t="s">
        <v>235</v>
      </c>
      <c r="AX471" s="4" t="s">
        <v>235</v>
      </c>
      <c r="AY471" s="8" t="s">
        <v>235</v>
      </c>
      <c r="AZ471" s="7" t="s">
        <v>235</v>
      </c>
      <c r="BA471" s="7" t="s">
        <v>235</v>
      </c>
      <c r="BB471" s="7"/>
      <c r="BC471" s="4" t="s">
        <v>235</v>
      </c>
      <c r="BD471" s="8" t="s">
        <v>235</v>
      </c>
      <c r="BE471" s="4" t="s">
        <v>235</v>
      </c>
      <c r="BF471" s="8" t="s">
        <v>235</v>
      </c>
      <c r="BG471" s="7" t="s">
        <v>235</v>
      </c>
      <c r="BH471" s="7" t="s">
        <v>235</v>
      </c>
      <c r="BI471" s="7"/>
      <c r="BJ471" s="4">
        <v>27</v>
      </c>
      <c r="BK471" s="8">
        <v>441.58</v>
      </c>
      <c r="BL471" s="2" t="s">
        <v>1702</v>
      </c>
      <c r="BM471" s="7"/>
      <c r="BN471" s="7"/>
      <c r="BO471" s="4"/>
      <c r="BP471" s="8"/>
      <c r="BQ471" s="4"/>
      <c r="BR471" s="8"/>
      <c r="BS471" s="7"/>
      <c r="BT471" s="7"/>
      <c r="BU471" s="2" t="s">
        <v>2297</v>
      </c>
      <c r="BV471" s="2" t="s">
        <v>243</v>
      </c>
      <c r="BW471" s="2" t="s">
        <v>235</v>
      </c>
      <c r="BX471" s="2" t="s">
        <v>244</v>
      </c>
      <c r="BY471" s="2" t="s">
        <v>245</v>
      </c>
      <c r="BZ471" s="2" t="s">
        <v>232</v>
      </c>
      <c r="CA471" s="2" t="s">
        <v>2298</v>
      </c>
      <c r="CB471" s="2" t="s">
        <v>2299</v>
      </c>
      <c r="CC471" s="2" t="s">
        <v>248</v>
      </c>
      <c r="CD471" s="2" t="s">
        <v>248</v>
      </c>
      <c r="CE471" s="2" t="s">
        <v>235</v>
      </c>
      <c r="CF471" s="4">
        <v>133</v>
      </c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>
        <v>137</v>
      </c>
      <c r="GE471" s="4">
        <v>129</v>
      </c>
      <c r="GF471" s="4">
        <v>125</v>
      </c>
      <c r="GG471" s="4">
        <v>121</v>
      </c>
      <c r="GH471" s="4">
        <v>117</v>
      </c>
      <c r="GI471" s="4">
        <v>112</v>
      </c>
      <c r="GJ471" s="4">
        <v>107</v>
      </c>
      <c r="GK471" s="4">
        <v>102</v>
      </c>
      <c r="GL471" s="4">
        <v>97</v>
      </c>
      <c r="GM471" s="4">
        <v>92</v>
      </c>
      <c r="GN471" s="4">
        <v>86</v>
      </c>
      <c r="GO471" s="4">
        <v>76</v>
      </c>
      <c r="GP471" s="4">
        <v>68</v>
      </c>
      <c r="GQ471" s="4">
        <v>52</v>
      </c>
      <c r="GR471" s="4">
        <v>43</v>
      </c>
      <c r="GS471" s="4">
        <v>33</v>
      </c>
      <c r="GT471" s="4">
        <v>30</v>
      </c>
      <c r="GU471" s="4">
        <v>28</v>
      </c>
      <c r="GV471" s="4">
        <v>24</v>
      </c>
      <c r="GW471" s="4">
        <v>21</v>
      </c>
      <c r="GX471" s="4">
        <v>18</v>
      </c>
      <c r="GY471" s="4">
        <v>15</v>
      </c>
      <c r="GZ471" s="4">
        <v>12</v>
      </c>
      <c r="HA471" s="4">
        <v>8</v>
      </c>
      <c r="HB471" s="4">
        <v>4</v>
      </c>
      <c r="HC471" s="4">
        <v>56</v>
      </c>
      <c r="HD471" s="19">
        <v>27.4</v>
      </c>
      <c r="HE471" s="19">
        <v>32.3</v>
      </c>
      <c r="HF471" s="19">
        <v>31.3</v>
      </c>
      <c r="HG471" s="19">
        <v>24.2</v>
      </c>
      <c r="HH471" s="19">
        <v>23.4</v>
      </c>
      <c r="HI471" s="19">
        <v>22.4</v>
      </c>
      <c r="HJ471" s="19">
        <v>21.4</v>
      </c>
      <c r="HK471" s="19">
        <v>17</v>
      </c>
      <c r="HL471" s="19">
        <v>13.9</v>
      </c>
      <c r="HM471" s="19">
        <v>9.2</v>
      </c>
      <c r="HN471" s="19">
        <v>7.8</v>
      </c>
      <c r="HO471" s="19">
        <v>6.9</v>
      </c>
      <c r="HP471" s="19">
        <v>6.8</v>
      </c>
      <c r="HQ471" s="19">
        <v>8.7</v>
      </c>
      <c r="HR471" s="19">
        <v>8.6</v>
      </c>
      <c r="HS471" s="19">
        <v>11</v>
      </c>
      <c r="HT471" s="19">
        <v>10</v>
      </c>
      <c r="HU471" s="19">
        <v>9.3</v>
      </c>
      <c r="HV471" s="19">
        <v>8</v>
      </c>
      <c r="HW471" s="19">
        <v>7</v>
      </c>
      <c r="HX471" s="19">
        <v>4.5</v>
      </c>
      <c r="HY471" s="19">
        <v>3.8</v>
      </c>
      <c r="HZ471" s="19">
        <v>3</v>
      </c>
      <c r="IA471" s="19">
        <v>2</v>
      </c>
      <c r="IB471" s="19">
        <v>1</v>
      </c>
      <c r="IC471" s="19">
        <v>14</v>
      </c>
    </row>
    <row r="472">
      <c r="A472" s="2" t="s">
        <v>2300</v>
      </c>
      <c r="B472" s="2" t="s">
        <v>905</v>
      </c>
      <c r="C472" s="2" t="s">
        <v>324</v>
      </c>
      <c r="D472" s="2" t="s">
        <v>981</v>
      </c>
      <c r="E472" s="2" t="s">
        <v>982</v>
      </c>
      <c r="F472" s="2" t="s">
        <v>2293</v>
      </c>
      <c r="G472" s="2" t="s">
        <v>2293</v>
      </c>
      <c r="H472" s="2" t="s">
        <v>2293</v>
      </c>
      <c r="I472" s="2" t="s">
        <v>982</v>
      </c>
      <c r="J472" s="2" t="s">
        <v>365</v>
      </c>
      <c r="K472" s="2" t="s">
        <v>231</v>
      </c>
      <c r="L472" s="3">
        <v>17.97</v>
      </c>
      <c r="M472" s="3">
        <v>18.87</v>
      </c>
      <c r="N472" s="3">
        <v>39.99</v>
      </c>
      <c r="O472" s="2" t="s">
        <v>232</v>
      </c>
      <c r="P472" s="2" t="s">
        <v>233</v>
      </c>
      <c r="Q472" s="2" t="s">
        <v>234</v>
      </c>
      <c r="R472" s="2" t="s">
        <v>235</v>
      </c>
      <c r="S472" s="2" t="s">
        <v>2294</v>
      </c>
      <c r="T472" s="2" t="s">
        <v>2295</v>
      </c>
      <c r="U472" s="2" t="s">
        <v>807</v>
      </c>
      <c r="V472" s="2" t="s">
        <v>863</v>
      </c>
      <c r="W472" s="2" t="s">
        <v>671</v>
      </c>
      <c r="X472" s="2" t="s">
        <v>1157</v>
      </c>
      <c r="Y472" s="2" t="s">
        <v>2301</v>
      </c>
      <c r="Z472" s="4">
        <v>305</v>
      </c>
      <c r="AA472" s="4">
        <f>=ROUNDDOWN(50.8333333333333,0)</f>
      </c>
      <c r="AB472" s="5">
        <v>6</v>
      </c>
      <c r="AC472" s="2" t="s">
        <v>235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235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235</v>
      </c>
      <c r="AW472" s="8" t="s">
        <v>235</v>
      </c>
      <c r="AX472" s="4" t="s">
        <v>235</v>
      </c>
      <c r="AY472" s="8" t="s">
        <v>235</v>
      </c>
      <c r="AZ472" s="7" t="s">
        <v>235</v>
      </c>
      <c r="BA472" s="7" t="s">
        <v>235</v>
      </c>
      <c r="BB472" s="7"/>
      <c r="BC472" s="4" t="s">
        <v>235</v>
      </c>
      <c r="BD472" s="8" t="s">
        <v>235</v>
      </c>
      <c r="BE472" s="4" t="s">
        <v>235</v>
      </c>
      <c r="BF472" s="8" t="s">
        <v>235</v>
      </c>
      <c r="BG472" s="7" t="s">
        <v>235</v>
      </c>
      <c r="BH472" s="7" t="s">
        <v>235</v>
      </c>
      <c r="BI472" s="7"/>
      <c r="BJ472" s="4">
        <v>32</v>
      </c>
      <c r="BK472" s="8">
        <v>652.94</v>
      </c>
      <c r="BL472" s="2" t="s">
        <v>2302</v>
      </c>
      <c r="BM472" s="7"/>
      <c r="BN472" s="7"/>
      <c r="BO472" s="4"/>
      <c r="BP472" s="8"/>
      <c r="BQ472" s="4"/>
      <c r="BR472" s="8"/>
      <c r="BS472" s="7"/>
      <c r="BT472" s="7"/>
      <c r="BU472" s="2" t="s">
        <v>2297</v>
      </c>
      <c r="BV472" s="2" t="s">
        <v>243</v>
      </c>
      <c r="BW472" s="2" t="s">
        <v>235</v>
      </c>
      <c r="BX472" s="2" t="s">
        <v>244</v>
      </c>
      <c r="BY472" s="2" t="s">
        <v>245</v>
      </c>
      <c r="BZ472" s="2" t="s">
        <v>232</v>
      </c>
      <c r="CA472" s="2" t="s">
        <v>2298</v>
      </c>
      <c r="CB472" s="2" t="s">
        <v>235</v>
      </c>
      <c r="CC472" s="2" t="s">
        <v>248</v>
      </c>
      <c r="CD472" s="2" t="s">
        <v>248</v>
      </c>
      <c r="CE472" s="2" t="s">
        <v>235</v>
      </c>
      <c r="CF472" s="4">
        <v>305</v>
      </c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>
        <v>310</v>
      </c>
      <c r="GE472" s="4">
        <v>297</v>
      </c>
      <c r="GF472" s="4">
        <v>290</v>
      </c>
      <c r="GG472" s="4">
        <v>283</v>
      </c>
      <c r="GH472" s="4">
        <v>276</v>
      </c>
      <c r="GI472" s="4">
        <v>267</v>
      </c>
      <c r="GJ472" s="4">
        <v>257</v>
      </c>
      <c r="GK472" s="4">
        <v>247</v>
      </c>
      <c r="GL472" s="4">
        <v>237</v>
      </c>
      <c r="GM472" s="4">
        <v>227</v>
      </c>
      <c r="GN472" s="4">
        <v>217</v>
      </c>
      <c r="GO472" s="4">
        <v>202</v>
      </c>
      <c r="GP472" s="4">
        <v>190</v>
      </c>
      <c r="GQ472" s="4">
        <v>164</v>
      </c>
      <c r="GR472" s="4">
        <v>152</v>
      </c>
      <c r="GS472" s="4">
        <v>135</v>
      </c>
      <c r="GT472" s="4">
        <v>126</v>
      </c>
      <c r="GU472" s="4">
        <v>122</v>
      </c>
      <c r="GV472" s="4">
        <v>116</v>
      </c>
      <c r="GW472" s="4">
        <v>110</v>
      </c>
      <c r="GX472" s="4">
        <v>104</v>
      </c>
      <c r="GY472" s="4">
        <v>98</v>
      </c>
      <c r="GZ472" s="4">
        <v>92</v>
      </c>
      <c r="HA472" s="4">
        <v>87</v>
      </c>
      <c r="HB472" s="4">
        <v>82</v>
      </c>
      <c r="HC472" s="4">
        <v>95</v>
      </c>
      <c r="HD472" s="19">
        <v>38.8</v>
      </c>
      <c r="HE472" s="19">
        <v>37.1</v>
      </c>
      <c r="HF472" s="19">
        <v>36.3</v>
      </c>
      <c r="HG472" s="19">
        <v>31.4</v>
      </c>
      <c r="HH472" s="19">
        <v>27.6</v>
      </c>
      <c r="HI472" s="19">
        <v>26.7</v>
      </c>
      <c r="HJ472" s="19">
        <v>25.7</v>
      </c>
      <c r="HK472" s="19">
        <v>22.5</v>
      </c>
      <c r="HL472" s="19">
        <v>19.8</v>
      </c>
      <c r="HM472" s="19">
        <v>14.2</v>
      </c>
      <c r="HN472" s="19">
        <v>13.6</v>
      </c>
      <c r="HO472" s="19">
        <v>11.9</v>
      </c>
      <c r="HP472" s="19">
        <v>11.9</v>
      </c>
      <c r="HQ472" s="19">
        <v>16.4</v>
      </c>
      <c r="HR472" s="19">
        <v>16.9</v>
      </c>
      <c r="HS472" s="19">
        <v>22.5</v>
      </c>
      <c r="HT472" s="19">
        <v>21</v>
      </c>
      <c r="HU472" s="19">
        <v>20.3</v>
      </c>
      <c r="HV472" s="19">
        <v>19.3</v>
      </c>
      <c r="HW472" s="19">
        <v>18.3</v>
      </c>
      <c r="HX472" s="19">
        <v>17.3</v>
      </c>
      <c r="HY472" s="19">
        <v>16.3</v>
      </c>
      <c r="HZ472" s="19">
        <v>18.4</v>
      </c>
      <c r="IA472" s="19">
        <v>14.5</v>
      </c>
      <c r="IB472" s="19">
        <v>13.7</v>
      </c>
      <c r="IC472" s="19">
        <v>15.8</v>
      </c>
    </row>
    <row r="473">
      <c r="A473" s="2" t="s">
        <v>2303</v>
      </c>
      <c r="B473" s="2" t="s">
        <v>905</v>
      </c>
      <c r="C473" s="2" t="s">
        <v>324</v>
      </c>
      <c r="D473" s="2" t="s">
        <v>981</v>
      </c>
      <c r="E473" s="2" t="s">
        <v>982</v>
      </c>
      <c r="F473" s="2" t="s">
        <v>2293</v>
      </c>
      <c r="G473" s="2" t="s">
        <v>2293</v>
      </c>
      <c r="H473" s="2" t="s">
        <v>2293</v>
      </c>
      <c r="I473" s="2" t="s">
        <v>982</v>
      </c>
      <c r="J473" s="2" t="s">
        <v>394</v>
      </c>
      <c r="K473" s="2" t="s">
        <v>1196</v>
      </c>
      <c r="L473" s="3">
        <v>14.42</v>
      </c>
      <c r="M473" s="3">
        <v>15.14</v>
      </c>
      <c r="N473" s="3">
        <v>34.99</v>
      </c>
      <c r="O473" s="2" t="s">
        <v>407</v>
      </c>
      <c r="P473" s="2" t="s">
        <v>408</v>
      </c>
      <c r="Q473" s="2" t="s">
        <v>234</v>
      </c>
      <c r="R473" s="2" t="s">
        <v>235</v>
      </c>
      <c r="S473" s="2" t="s">
        <v>2304</v>
      </c>
      <c r="T473" s="2" t="s">
        <v>2295</v>
      </c>
      <c r="U473" s="2" t="s">
        <v>807</v>
      </c>
      <c r="V473" s="2" t="s">
        <v>863</v>
      </c>
      <c r="W473" s="2" t="s">
        <v>671</v>
      </c>
      <c r="X473" s="2" t="s">
        <v>1157</v>
      </c>
      <c r="Y473" s="2" t="s">
        <v>2301</v>
      </c>
      <c r="Z473" s="4">
        <v>298</v>
      </c>
      <c r="AA473" s="4">
        <f>=ROUNDDOWN(270.909090909091,0)</f>
      </c>
      <c r="AB473" s="5">
        <v>1.1</v>
      </c>
      <c r="AC473" s="2" t="s">
        <v>235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235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235</v>
      </c>
      <c r="AW473" s="8" t="s">
        <v>235</v>
      </c>
      <c r="AX473" s="4" t="s">
        <v>235</v>
      </c>
      <c r="AY473" s="8" t="s">
        <v>235</v>
      </c>
      <c r="AZ473" s="7" t="s">
        <v>235</v>
      </c>
      <c r="BA473" s="7" t="s">
        <v>235</v>
      </c>
      <c r="BB473" s="7"/>
      <c r="BC473" s="4" t="s">
        <v>235</v>
      </c>
      <c r="BD473" s="8" t="s">
        <v>235</v>
      </c>
      <c r="BE473" s="4" t="s">
        <v>235</v>
      </c>
      <c r="BF473" s="8" t="s">
        <v>235</v>
      </c>
      <c r="BG473" s="7" t="s">
        <v>235</v>
      </c>
      <c r="BH473" s="7" t="s">
        <v>235</v>
      </c>
      <c r="BI473" s="7"/>
      <c r="BJ473" s="4">
        <v>9</v>
      </c>
      <c r="BK473" s="8">
        <v>145.9</v>
      </c>
      <c r="BL473" s="2" t="s">
        <v>2305</v>
      </c>
      <c r="BM473" s="7"/>
      <c r="BN473" s="7"/>
      <c r="BO473" s="4"/>
      <c r="BP473" s="8"/>
      <c r="BQ473" s="4"/>
      <c r="BR473" s="8"/>
      <c r="BS473" s="7"/>
      <c r="BT473" s="7"/>
      <c r="BU473" s="2" t="s">
        <v>2297</v>
      </c>
      <c r="BV473" s="2" t="s">
        <v>243</v>
      </c>
      <c r="BW473" s="2" t="s">
        <v>235</v>
      </c>
      <c r="BX473" s="2" t="s">
        <v>244</v>
      </c>
      <c r="BY473" s="2" t="s">
        <v>245</v>
      </c>
      <c r="BZ473" s="2" t="s">
        <v>232</v>
      </c>
      <c r="CA473" s="2" t="s">
        <v>2298</v>
      </c>
      <c r="CB473" s="2" t="s">
        <v>2306</v>
      </c>
      <c r="CC473" s="2" t="s">
        <v>248</v>
      </c>
      <c r="CD473" s="2" t="s">
        <v>248</v>
      </c>
      <c r="CE473" s="2" t="s">
        <v>235</v>
      </c>
      <c r="CF473" s="4">
        <v>298</v>
      </c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>
        <v>299</v>
      </c>
      <c r="GE473" s="4">
        <v>297</v>
      </c>
      <c r="GF473" s="4">
        <v>296</v>
      </c>
      <c r="GG473" s="4">
        <v>295</v>
      </c>
      <c r="GH473" s="4">
        <v>294</v>
      </c>
      <c r="GI473" s="4">
        <v>293</v>
      </c>
      <c r="GJ473" s="4">
        <v>292</v>
      </c>
      <c r="GK473" s="4">
        <v>291</v>
      </c>
      <c r="GL473" s="4">
        <v>290</v>
      </c>
      <c r="GM473" s="4">
        <v>289</v>
      </c>
      <c r="GN473" s="4">
        <v>287</v>
      </c>
      <c r="GO473" s="4">
        <v>284</v>
      </c>
      <c r="GP473" s="4">
        <v>282</v>
      </c>
      <c r="GQ473" s="4">
        <v>278</v>
      </c>
      <c r="GR473" s="4">
        <v>276</v>
      </c>
      <c r="GS473" s="4">
        <v>273</v>
      </c>
      <c r="GT473" s="4">
        <v>272</v>
      </c>
      <c r="GU473" s="4">
        <v>271</v>
      </c>
      <c r="GV473" s="4">
        <v>270</v>
      </c>
      <c r="GW473" s="4">
        <v>269</v>
      </c>
      <c r="GX473" s="4">
        <v>268</v>
      </c>
      <c r="GY473" s="4">
        <v>267</v>
      </c>
      <c r="GZ473" s="4">
        <v>266</v>
      </c>
      <c r="HA473" s="4">
        <v>265</v>
      </c>
      <c r="HB473" s="4">
        <v>264</v>
      </c>
      <c r="HC473" s="4">
        <v>263</v>
      </c>
      <c r="HD473" s="19">
        <v>299</v>
      </c>
      <c r="HE473" s="19">
        <v>297</v>
      </c>
      <c r="HF473" s="19">
        <v>296</v>
      </c>
      <c r="HG473" s="19">
        <v>295</v>
      </c>
      <c r="HH473" s="19">
        <v>294</v>
      </c>
      <c r="HI473" s="19">
        <v>293</v>
      </c>
      <c r="HJ473" s="19">
        <v>292</v>
      </c>
      <c r="HK473" s="19">
        <v>145.5</v>
      </c>
      <c r="HL473" s="19">
        <v>145</v>
      </c>
      <c r="HM473" s="19">
        <v>96.3</v>
      </c>
      <c r="HN473" s="19">
        <v>95.7</v>
      </c>
      <c r="HO473" s="19">
        <v>94.7</v>
      </c>
      <c r="HP473" s="19">
        <v>141</v>
      </c>
      <c r="HQ473" s="19">
        <v>139</v>
      </c>
      <c r="HR473" s="19">
        <v>138</v>
      </c>
      <c r="HS473" s="19">
        <v>273</v>
      </c>
      <c r="HT473" s="19">
        <v>272</v>
      </c>
      <c r="HU473" s="19">
        <v>271</v>
      </c>
      <c r="HV473" s="19">
        <v>270</v>
      </c>
      <c r="HW473" s="19">
        <v>269</v>
      </c>
      <c r="HX473" s="19">
        <v>268</v>
      </c>
      <c r="HY473" s="19">
        <v>267</v>
      </c>
      <c r="HZ473" s="19">
        <v>266</v>
      </c>
      <c r="IA473" s="19">
        <v>265</v>
      </c>
      <c r="IB473" s="19">
        <v>264</v>
      </c>
      <c r="IC473" s="19">
        <v>263</v>
      </c>
    </row>
    <row r="474">
      <c r="A474" s="2" t="s">
        <v>2307</v>
      </c>
      <c r="B474" s="2" t="s">
        <v>905</v>
      </c>
      <c r="C474" s="2" t="s">
        <v>324</v>
      </c>
      <c r="D474" s="2" t="s">
        <v>981</v>
      </c>
      <c r="E474" s="2" t="s">
        <v>982</v>
      </c>
      <c r="F474" s="2" t="s">
        <v>2293</v>
      </c>
      <c r="G474" s="2" t="s">
        <v>2293</v>
      </c>
      <c r="H474" s="2" t="s">
        <v>2293</v>
      </c>
      <c r="I474" s="2" t="s">
        <v>982</v>
      </c>
      <c r="J474" s="2" t="s">
        <v>365</v>
      </c>
      <c r="K474" s="2" t="s">
        <v>1196</v>
      </c>
      <c r="L474" s="3">
        <v>17.97</v>
      </c>
      <c r="M474" s="3">
        <v>18.87</v>
      </c>
      <c r="N474" s="3">
        <v>39.99</v>
      </c>
      <c r="O474" s="2" t="s">
        <v>407</v>
      </c>
      <c r="P474" s="2" t="s">
        <v>408</v>
      </c>
      <c r="Q474" s="2" t="s">
        <v>234</v>
      </c>
      <c r="R474" s="2" t="s">
        <v>235</v>
      </c>
      <c r="S474" s="2" t="s">
        <v>2304</v>
      </c>
      <c r="T474" s="2" t="s">
        <v>2295</v>
      </c>
      <c r="U474" s="2" t="s">
        <v>807</v>
      </c>
      <c r="V474" s="2" t="s">
        <v>863</v>
      </c>
      <c r="W474" s="2" t="s">
        <v>671</v>
      </c>
      <c r="X474" s="2" t="s">
        <v>1157</v>
      </c>
      <c r="Y474" s="2" t="s">
        <v>2296</v>
      </c>
      <c r="Z474" s="4">
        <v>306</v>
      </c>
      <c r="AA474" s="4">
        <f>=ROUNDDOWN(57.7358490566038,0)</f>
      </c>
      <c r="AB474" s="5">
        <v>5.3</v>
      </c>
      <c r="AC474" s="2" t="s">
        <v>235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235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235</v>
      </c>
      <c r="AW474" s="8" t="s">
        <v>235</v>
      </c>
      <c r="AX474" s="4" t="s">
        <v>235</v>
      </c>
      <c r="AY474" s="8" t="s">
        <v>235</v>
      </c>
      <c r="AZ474" s="7" t="s">
        <v>235</v>
      </c>
      <c r="BA474" s="7" t="s">
        <v>235</v>
      </c>
      <c r="BB474" s="7"/>
      <c r="BC474" s="4" t="s">
        <v>235</v>
      </c>
      <c r="BD474" s="8" t="s">
        <v>235</v>
      </c>
      <c r="BE474" s="4" t="s">
        <v>235</v>
      </c>
      <c r="BF474" s="8" t="s">
        <v>235</v>
      </c>
      <c r="BG474" s="7" t="s">
        <v>235</v>
      </c>
      <c r="BH474" s="7" t="s">
        <v>235</v>
      </c>
      <c r="BI474" s="7"/>
      <c r="BJ474" s="4">
        <v>38</v>
      </c>
      <c r="BK474" s="8">
        <v>768.61</v>
      </c>
      <c r="BL474" s="2" t="s">
        <v>1702</v>
      </c>
      <c r="BM474" s="7"/>
      <c r="BN474" s="7"/>
      <c r="BO474" s="4"/>
      <c r="BP474" s="8"/>
      <c r="BQ474" s="4"/>
      <c r="BR474" s="8"/>
      <c r="BS474" s="7"/>
      <c r="BT474" s="7"/>
      <c r="BU474" s="2" t="s">
        <v>2297</v>
      </c>
      <c r="BV474" s="2" t="s">
        <v>243</v>
      </c>
      <c r="BW474" s="2" t="s">
        <v>235</v>
      </c>
      <c r="BX474" s="2" t="s">
        <v>244</v>
      </c>
      <c r="BY474" s="2" t="s">
        <v>245</v>
      </c>
      <c r="BZ474" s="2" t="s">
        <v>232</v>
      </c>
      <c r="CA474" s="2" t="s">
        <v>2298</v>
      </c>
      <c r="CB474" s="2" t="s">
        <v>2308</v>
      </c>
      <c r="CC474" s="2" t="s">
        <v>248</v>
      </c>
      <c r="CD474" s="2" t="s">
        <v>248</v>
      </c>
      <c r="CE474" s="2" t="s">
        <v>235</v>
      </c>
      <c r="CF474" s="4">
        <v>306</v>
      </c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>
        <v>307</v>
      </c>
      <c r="GE474" s="4">
        <v>299</v>
      </c>
      <c r="GF474" s="4">
        <v>292</v>
      </c>
      <c r="GG474" s="4">
        <v>285</v>
      </c>
      <c r="GH474" s="4">
        <v>278</v>
      </c>
      <c r="GI474" s="4">
        <v>269</v>
      </c>
      <c r="GJ474" s="4">
        <v>260</v>
      </c>
      <c r="GK474" s="4">
        <v>251</v>
      </c>
      <c r="GL474" s="4">
        <v>242</v>
      </c>
      <c r="GM474" s="4">
        <v>233</v>
      </c>
      <c r="GN474" s="4">
        <v>223</v>
      </c>
      <c r="GO474" s="4">
        <v>206</v>
      </c>
      <c r="GP474" s="4">
        <v>193</v>
      </c>
      <c r="GQ474" s="4">
        <v>162</v>
      </c>
      <c r="GR474" s="4">
        <v>149</v>
      </c>
      <c r="GS474" s="4">
        <v>130</v>
      </c>
      <c r="GT474" s="4">
        <v>121</v>
      </c>
      <c r="GU474" s="4">
        <v>118</v>
      </c>
      <c r="GV474" s="4">
        <v>113</v>
      </c>
      <c r="GW474" s="4">
        <v>108</v>
      </c>
      <c r="GX474" s="4">
        <v>103</v>
      </c>
      <c r="GY474" s="4">
        <v>98</v>
      </c>
      <c r="GZ474" s="4">
        <v>93</v>
      </c>
      <c r="HA474" s="4">
        <v>89</v>
      </c>
      <c r="HB474" s="4">
        <v>85</v>
      </c>
      <c r="HC474" s="4">
        <v>80</v>
      </c>
      <c r="HD474" s="19">
        <v>43.9</v>
      </c>
      <c r="HE474" s="19">
        <v>37.4</v>
      </c>
      <c r="HF474" s="19">
        <v>36.5</v>
      </c>
      <c r="HG474" s="19">
        <v>35.6</v>
      </c>
      <c r="HH474" s="19">
        <v>30.9</v>
      </c>
      <c r="HI474" s="19">
        <v>29.9</v>
      </c>
      <c r="HJ474" s="19">
        <v>28.9</v>
      </c>
      <c r="HK474" s="19">
        <v>22.8</v>
      </c>
      <c r="HL474" s="19">
        <v>20.2</v>
      </c>
      <c r="HM474" s="19">
        <v>12.9</v>
      </c>
      <c r="HN474" s="19">
        <v>12.4</v>
      </c>
      <c r="HO474" s="19">
        <v>10.8</v>
      </c>
      <c r="HP474" s="19">
        <v>10.7</v>
      </c>
      <c r="HQ474" s="19">
        <v>14.7</v>
      </c>
      <c r="HR474" s="19">
        <v>16.6</v>
      </c>
      <c r="HS474" s="19">
        <v>21.7</v>
      </c>
      <c r="HT474" s="19">
        <v>30.3</v>
      </c>
      <c r="HU474" s="19">
        <v>23.6</v>
      </c>
      <c r="HV474" s="19">
        <v>22.6</v>
      </c>
      <c r="HW474" s="19">
        <v>21.6</v>
      </c>
      <c r="HX474" s="19">
        <v>25.8</v>
      </c>
      <c r="HY474" s="19">
        <v>24.5</v>
      </c>
      <c r="HZ474" s="19">
        <v>23.3</v>
      </c>
      <c r="IA474" s="19">
        <v>22.3</v>
      </c>
      <c r="IB474" s="19">
        <v>17</v>
      </c>
      <c r="IC474" s="19">
        <v>16</v>
      </c>
    </row>
    <row r="475">
      <c r="A475" s="2" t="s">
        <v>2309</v>
      </c>
      <c r="B475" s="2" t="s">
        <v>905</v>
      </c>
      <c r="C475" s="2" t="s">
        <v>324</v>
      </c>
      <c r="D475" s="2" t="s">
        <v>981</v>
      </c>
      <c r="E475" s="2" t="s">
        <v>982</v>
      </c>
      <c r="F475" s="2" t="s">
        <v>2293</v>
      </c>
      <c r="G475" s="2" t="s">
        <v>2293</v>
      </c>
      <c r="H475" s="2" t="s">
        <v>2293</v>
      </c>
      <c r="I475" s="2" t="s">
        <v>982</v>
      </c>
      <c r="J475" s="2" t="s">
        <v>270</v>
      </c>
      <c r="K475" s="2" t="s">
        <v>1196</v>
      </c>
      <c r="L475" s="3">
        <v>20.59</v>
      </c>
      <c r="M475" s="3">
        <v>21.62</v>
      </c>
      <c r="N475" s="3">
        <v>44.99</v>
      </c>
      <c r="O475" s="2" t="s">
        <v>485</v>
      </c>
      <c r="P475" s="2" t="s">
        <v>408</v>
      </c>
      <c r="Q475" s="2" t="s">
        <v>234</v>
      </c>
      <c r="R475" s="2" t="s">
        <v>235</v>
      </c>
      <c r="S475" s="2" t="s">
        <v>2304</v>
      </c>
      <c r="T475" s="2" t="s">
        <v>2295</v>
      </c>
      <c r="U475" s="2" t="s">
        <v>807</v>
      </c>
      <c r="V475" s="2" t="s">
        <v>863</v>
      </c>
      <c r="W475" s="2" t="s">
        <v>671</v>
      </c>
      <c r="X475" s="2" t="s">
        <v>1157</v>
      </c>
      <c r="Y475" s="2" t="s">
        <v>2301</v>
      </c>
      <c r="Z475" s="4">
        <v>238</v>
      </c>
      <c r="AA475" s="4">
        <f>=ROUNDDOWN(85,0)</f>
      </c>
      <c r="AB475" s="5">
        <v>2.8</v>
      </c>
      <c r="AC475" s="2" t="s">
        <v>235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235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235</v>
      </c>
      <c r="AW475" s="8" t="s">
        <v>235</v>
      </c>
      <c r="AX475" s="4" t="s">
        <v>235</v>
      </c>
      <c r="AY475" s="8" t="s">
        <v>235</v>
      </c>
      <c r="AZ475" s="7" t="s">
        <v>235</v>
      </c>
      <c r="BA475" s="7" t="s">
        <v>235</v>
      </c>
      <c r="BB475" s="7"/>
      <c r="BC475" s="4" t="s">
        <v>235</v>
      </c>
      <c r="BD475" s="8" t="s">
        <v>235</v>
      </c>
      <c r="BE475" s="4" t="s">
        <v>235</v>
      </c>
      <c r="BF475" s="8" t="s">
        <v>235</v>
      </c>
      <c r="BG475" s="7" t="s">
        <v>235</v>
      </c>
      <c r="BH475" s="7" t="s">
        <v>235</v>
      </c>
      <c r="BI475" s="7"/>
      <c r="BJ475" s="4">
        <v>21</v>
      </c>
      <c r="BK475" s="8">
        <v>492.91</v>
      </c>
      <c r="BL475" s="2" t="s">
        <v>2310</v>
      </c>
      <c r="BM475" s="7"/>
      <c r="BN475" s="7"/>
      <c r="BO475" s="4"/>
      <c r="BP475" s="8"/>
      <c r="BQ475" s="4"/>
      <c r="BR475" s="8"/>
      <c r="BS475" s="7"/>
      <c r="BT475" s="7"/>
      <c r="BU475" s="2" t="s">
        <v>2297</v>
      </c>
      <c r="BV475" s="2" t="s">
        <v>243</v>
      </c>
      <c r="BW475" s="2" t="s">
        <v>235</v>
      </c>
      <c r="BX475" s="2" t="s">
        <v>244</v>
      </c>
      <c r="BY475" s="2" t="s">
        <v>245</v>
      </c>
      <c r="BZ475" s="2" t="s">
        <v>232</v>
      </c>
      <c r="CA475" s="2" t="s">
        <v>2298</v>
      </c>
      <c r="CB475" s="2" t="s">
        <v>1873</v>
      </c>
      <c r="CC475" s="2" t="s">
        <v>248</v>
      </c>
      <c r="CD475" s="2" t="s">
        <v>248</v>
      </c>
      <c r="CE475" s="2" t="s">
        <v>235</v>
      </c>
      <c r="CF475" s="4">
        <v>238</v>
      </c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>
        <v>240</v>
      </c>
      <c r="GE475" s="4">
        <v>236</v>
      </c>
      <c r="GF475" s="4">
        <v>234</v>
      </c>
      <c r="GG475" s="4">
        <v>232</v>
      </c>
      <c r="GH475" s="4">
        <v>230</v>
      </c>
      <c r="GI475" s="4">
        <v>227</v>
      </c>
      <c r="GJ475" s="4">
        <v>224</v>
      </c>
      <c r="GK475" s="4">
        <v>221</v>
      </c>
      <c r="GL475" s="4">
        <v>218</v>
      </c>
      <c r="GM475" s="4">
        <v>215</v>
      </c>
      <c r="GN475" s="4">
        <v>212</v>
      </c>
      <c r="GO475" s="4">
        <v>207</v>
      </c>
      <c r="GP475" s="4">
        <v>201</v>
      </c>
      <c r="GQ475" s="4">
        <v>191</v>
      </c>
      <c r="GR475" s="4">
        <v>186</v>
      </c>
      <c r="GS475" s="4">
        <v>180</v>
      </c>
      <c r="GT475" s="4">
        <v>178</v>
      </c>
      <c r="GU475" s="4">
        <v>177</v>
      </c>
      <c r="GV475" s="4">
        <v>175</v>
      </c>
      <c r="GW475" s="4">
        <v>173</v>
      </c>
      <c r="GX475" s="4">
        <v>171</v>
      </c>
      <c r="GY475" s="4">
        <v>169</v>
      </c>
      <c r="GZ475" s="4">
        <v>167</v>
      </c>
      <c r="HA475" s="4">
        <v>165</v>
      </c>
      <c r="HB475" s="4">
        <v>163</v>
      </c>
      <c r="HC475" s="4">
        <v>161</v>
      </c>
      <c r="HD475" s="19">
        <v>120</v>
      </c>
      <c r="HE475" s="19">
        <v>118</v>
      </c>
      <c r="HF475" s="19">
        <v>117</v>
      </c>
      <c r="HG475" s="19">
        <v>77.3</v>
      </c>
      <c r="HH475" s="19">
        <v>76.7</v>
      </c>
      <c r="HI475" s="19">
        <v>75.7</v>
      </c>
      <c r="HJ475" s="19">
        <v>74.7</v>
      </c>
      <c r="HK475" s="19">
        <v>55.3</v>
      </c>
      <c r="HL475" s="19">
        <v>54.5</v>
      </c>
      <c r="HM475" s="19">
        <v>35.8</v>
      </c>
      <c r="HN475" s="19">
        <v>35.3</v>
      </c>
      <c r="HO475" s="19">
        <v>29.6</v>
      </c>
      <c r="HP475" s="19">
        <v>33.5</v>
      </c>
      <c r="HQ475" s="19">
        <v>47.8</v>
      </c>
      <c r="HR475" s="19">
        <v>62</v>
      </c>
      <c r="HS475" s="19">
        <v>90</v>
      </c>
      <c r="HT475" s="19">
        <v>89</v>
      </c>
      <c r="HU475" s="19">
        <v>88.5</v>
      </c>
      <c r="HV475" s="19">
        <v>87.5</v>
      </c>
      <c r="HW475" s="19">
        <v>86.5</v>
      </c>
      <c r="HX475" s="19">
        <v>85.5</v>
      </c>
      <c r="HY475" s="19">
        <v>84.5</v>
      </c>
      <c r="HZ475" s="19">
        <v>83.5</v>
      </c>
      <c r="IA475" s="19">
        <v>82.5</v>
      </c>
      <c r="IB475" s="19">
        <v>81.5</v>
      </c>
      <c r="IC475" s="19">
        <v>80.5</v>
      </c>
    </row>
    <row r="476">
      <c r="A476" s="2" t="s">
        <v>2311</v>
      </c>
      <c r="B476" s="2" t="s">
        <v>905</v>
      </c>
      <c r="C476" s="2" t="s">
        <v>324</v>
      </c>
      <c r="D476" s="2" t="s">
        <v>981</v>
      </c>
      <c r="E476" s="2" t="s">
        <v>982</v>
      </c>
      <c r="F476" s="2" t="s">
        <v>2293</v>
      </c>
      <c r="G476" s="2" t="s">
        <v>2293</v>
      </c>
      <c r="H476" s="2" t="s">
        <v>2293</v>
      </c>
      <c r="I476" s="2" t="s">
        <v>982</v>
      </c>
      <c r="J476" s="2" t="s">
        <v>365</v>
      </c>
      <c r="K476" s="2" t="s">
        <v>1238</v>
      </c>
      <c r="L476" s="3">
        <v>17.97</v>
      </c>
      <c r="M476" s="3">
        <v>18.87</v>
      </c>
      <c r="N476" s="3">
        <v>39.99</v>
      </c>
      <c r="O476" s="2" t="s">
        <v>232</v>
      </c>
      <c r="P476" s="2" t="s">
        <v>233</v>
      </c>
      <c r="Q476" s="2" t="s">
        <v>234</v>
      </c>
      <c r="R476" s="2" t="s">
        <v>235</v>
      </c>
      <c r="S476" s="2" t="s">
        <v>2312</v>
      </c>
      <c r="T476" s="2" t="s">
        <v>2295</v>
      </c>
      <c r="U476" s="2" t="s">
        <v>807</v>
      </c>
      <c r="V476" s="2" t="s">
        <v>863</v>
      </c>
      <c r="W476" s="2" t="s">
        <v>671</v>
      </c>
      <c r="X476" s="2" t="s">
        <v>1157</v>
      </c>
      <c r="Y476" s="2" t="s">
        <v>2301</v>
      </c>
      <c r="Z476" s="4">
        <v>402</v>
      </c>
      <c r="AA476" s="4">
        <f>=ROUNDDOWN(111.666666666667,0)</f>
      </c>
      <c r="AB476" s="5">
        <v>3.6</v>
      </c>
      <c r="AC476" s="2" t="s">
        <v>235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235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235</v>
      </c>
      <c r="BD476" s="8" t="s">
        <v>235</v>
      </c>
      <c r="BE476" s="4" t="s">
        <v>235</v>
      </c>
      <c r="BF476" s="8" t="s">
        <v>235</v>
      </c>
      <c r="BG476" s="7" t="s">
        <v>235</v>
      </c>
      <c r="BH476" s="7" t="s">
        <v>235</v>
      </c>
      <c r="BI476" s="7"/>
      <c r="BJ476" s="4">
        <v>15</v>
      </c>
      <c r="BK476" s="8">
        <v>304.56</v>
      </c>
      <c r="BL476" s="2" t="s">
        <v>2313</v>
      </c>
      <c r="BM476" s="7"/>
      <c r="BN476" s="7"/>
      <c r="BO476" s="4"/>
      <c r="BP476" s="8"/>
      <c r="BQ476" s="4"/>
      <c r="BR476" s="8"/>
      <c r="BS476" s="7"/>
      <c r="BT476" s="7"/>
      <c r="BU476" s="2" t="s">
        <v>2297</v>
      </c>
      <c r="BV476" s="2" t="s">
        <v>243</v>
      </c>
      <c r="BW476" s="2" t="s">
        <v>235</v>
      </c>
      <c r="BX476" s="2" t="s">
        <v>244</v>
      </c>
      <c r="BY476" s="2" t="s">
        <v>245</v>
      </c>
      <c r="BZ476" s="2" t="s">
        <v>232</v>
      </c>
      <c r="CA476" s="2" t="s">
        <v>2298</v>
      </c>
      <c r="CB476" s="2" t="s">
        <v>416</v>
      </c>
      <c r="CC476" s="2" t="s">
        <v>248</v>
      </c>
      <c r="CD476" s="2" t="s">
        <v>248</v>
      </c>
      <c r="CE476" s="2" t="s">
        <v>235</v>
      </c>
      <c r="CF476" s="4">
        <v>402</v>
      </c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>
        <v>405</v>
      </c>
      <c r="GE476" s="4">
        <v>399</v>
      </c>
      <c r="GF476" s="4">
        <v>395</v>
      </c>
      <c r="GG476" s="4">
        <v>391</v>
      </c>
      <c r="GH476" s="4">
        <v>387</v>
      </c>
      <c r="GI476" s="4">
        <v>382</v>
      </c>
      <c r="GJ476" s="4">
        <v>377</v>
      </c>
      <c r="GK476" s="4">
        <v>372</v>
      </c>
      <c r="GL476" s="4">
        <v>367</v>
      </c>
      <c r="GM476" s="4">
        <v>362</v>
      </c>
      <c r="GN476" s="4">
        <v>356</v>
      </c>
      <c r="GO476" s="4">
        <v>346</v>
      </c>
      <c r="GP476" s="4">
        <v>338</v>
      </c>
      <c r="GQ476" s="4">
        <v>320</v>
      </c>
      <c r="GR476" s="4">
        <v>312</v>
      </c>
      <c r="GS476" s="4">
        <v>301</v>
      </c>
      <c r="GT476" s="4">
        <v>296</v>
      </c>
      <c r="GU476" s="4">
        <v>294</v>
      </c>
      <c r="GV476" s="4">
        <v>291</v>
      </c>
      <c r="GW476" s="4">
        <v>288</v>
      </c>
      <c r="GX476" s="4">
        <v>285</v>
      </c>
      <c r="GY476" s="4">
        <v>282</v>
      </c>
      <c r="GZ476" s="4">
        <v>279</v>
      </c>
      <c r="HA476" s="4">
        <v>277</v>
      </c>
      <c r="HB476" s="4">
        <v>275</v>
      </c>
      <c r="HC476" s="4">
        <v>272</v>
      </c>
      <c r="HD476" s="19">
        <v>101.3</v>
      </c>
      <c r="HE476" s="19">
        <v>99.8</v>
      </c>
      <c r="HF476" s="19">
        <v>98.8</v>
      </c>
      <c r="HG476" s="19">
        <v>78.2</v>
      </c>
      <c r="HH476" s="19">
        <v>77.4</v>
      </c>
      <c r="HI476" s="19">
        <v>76.4</v>
      </c>
      <c r="HJ476" s="19">
        <v>75.4</v>
      </c>
      <c r="HK476" s="19">
        <v>62</v>
      </c>
      <c r="HL476" s="19">
        <v>52.4</v>
      </c>
      <c r="HM476" s="19">
        <v>36.2</v>
      </c>
      <c r="HN476" s="19">
        <v>32.4</v>
      </c>
      <c r="HO476" s="19">
        <v>31.5</v>
      </c>
      <c r="HP476" s="19">
        <v>33.8</v>
      </c>
      <c r="HQ476" s="19">
        <v>53.3</v>
      </c>
      <c r="HR476" s="19">
        <v>62.4</v>
      </c>
      <c r="HS476" s="19">
        <v>100.3</v>
      </c>
      <c r="HT476" s="19">
        <v>98.7</v>
      </c>
      <c r="HU476" s="19">
        <v>98</v>
      </c>
      <c r="HV476" s="19">
        <v>97</v>
      </c>
      <c r="HW476" s="19">
        <v>96</v>
      </c>
      <c r="HX476" s="19">
        <v>142.5</v>
      </c>
      <c r="HY476" s="19">
        <v>141</v>
      </c>
      <c r="HZ476" s="19">
        <v>139.5</v>
      </c>
      <c r="IA476" s="19">
        <v>138.5</v>
      </c>
      <c r="IB476" s="19">
        <v>91.7</v>
      </c>
      <c r="IC476" s="19">
        <v>90.7</v>
      </c>
    </row>
    <row r="477">
      <c r="A477" s="2" t="s">
        <v>2314</v>
      </c>
      <c r="B477" s="2" t="s">
        <v>905</v>
      </c>
      <c r="C477" s="2" t="s">
        <v>324</v>
      </c>
      <c r="D477" s="2" t="s">
        <v>981</v>
      </c>
      <c r="E477" s="2" t="s">
        <v>982</v>
      </c>
      <c r="F477" s="2" t="s">
        <v>2293</v>
      </c>
      <c r="G477" s="2" t="s">
        <v>2293</v>
      </c>
      <c r="H477" s="2" t="s">
        <v>2293</v>
      </c>
      <c r="I477" s="2" t="s">
        <v>982</v>
      </c>
      <c r="J477" s="2" t="s">
        <v>394</v>
      </c>
      <c r="K477" s="2" t="s">
        <v>292</v>
      </c>
      <c r="L477" s="3">
        <v>14.42</v>
      </c>
      <c r="M477" s="3">
        <v>15.14</v>
      </c>
      <c r="N477" s="3">
        <v>34.99</v>
      </c>
      <c r="O477" s="2" t="s">
        <v>232</v>
      </c>
      <c r="P477" s="2" t="s">
        <v>233</v>
      </c>
      <c r="Q477" s="2" t="s">
        <v>234</v>
      </c>
      <c r="R477" s="2" t="s">
        <v>235</v>
      </c>
      <c r="S477" s="2" t="s">
        <v>2315</v>
      </c>
      <c r="T477" s="2" t="s">
        <v>2295</v>
      </c>
      <c r="U477" s="2" t="s">
        <v>807</v>
      </c>
      <c r="V477" s="2" t="s">
        <v>863</v>
      </c>
      <c r="W477" s="2" t="s">
        <v>671</v>
      </c>
      <c r="X477" s="2" t="s">
        <v>1157</v>
      </c>
      <c r="Y477" s="2" t="s">
        <v>2296</v>
      </c>
      <c r="Z477" s="4">
        <v>188</v>
      </c>
      <c r="AA477" s="4">
        <f>=ROUNDDOWN(110.588235294118,0)</f>
      </c>
      <c r="AB477" s="5">
        <v>1.7</v>
      </c>
      <c r="AC477" s="2" t="s">
        <v>235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235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235</v>
      </c>
      <c r="AW477" s="8" t="s">
        <v>235</v>
      </c>
      <c r="AX477" s="4" t="s">
        <v>235</v>
      </c>
      <c r="AY477" s="8" t="s">
        <v>235</v>
      </c>
      <c r="AZ477" s="7" t="s">
        <v>235</v>
      </c>
      <c r="BA477" s="7" t="s">
        <v>235</v>
      </c>
      <c r="BB477" s="7"/>
      <c r="BC477" s="4" t="s">
        <v>235</v>
      </c>
      <c r="BD477" s="8" t="s">
        <v>235</v>
      </c>
      <c r="BE477" s="4" t="s">
        <v>235</v>
      </c>
      <c r="BF477" s="8" t="s">
        <v>235</v>
      </c>
      <c r="BG477" s="7" t="s">
        <v>235</v>
      </c>
      <c r="BH477" s="7" t="s">
        <v>235</v>
      </c>
      <c r="BI477" s="7"/>
      <c r="BJ477" s="4">
        <v>13</v>
      </c>
      <c r="BK477" s="8">
        <v>213.5</v>
      </c>
      <c r="BL477" s="2" t="s">
        <v>1069</v>
      </c>
      <c r="BM477" s="7"/>
      <c r="BN477" s="7"/>
      <c r="BO477" s="4"/>
      <c r="BP477" s="8"/>
      <c r="BQ477" s="4"/>
      <c r="BR477" s="8"/>
      <c r="BS477" s="7"/>
      <c r="BT477" s="7"/>
      <c r="BU477" s="2" t="s">
        <v>2297</v>
      </c>
      <c r="BV477" s="2" t="s">
        <v>243</v>
      </c>
      <c r="BW477" s="2" t="s">
        <v>235</v>
      </c>
      <c r="BX477" s="2" t="s">
        <v>244</v>
      </c>
      <c r="BY477" s="2" t="s">
        <v>245</v>
      </c>
      <c r="BZ477" s="2" t="s">
        <v>232</v>
      </c>
      <c r="CA477" s="2" t="s">
        <v>2298</v>
      </c>
      <c r="CB477" s="2" t="s">
        <v>416</v>
      </c>
      <c r="CC477" s="2" t="s">
        <v>248</v>
      </c>
      <c r="CD477" s="2" t="s">
        <v>248</v>
      </c>
      <c r="CE477" s="2" t="s">
        <v>235</v>
      </c>
      <c r="CF477" s="4">
        <v>188</v>
      </c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>
        <v>191</v>
      </c>
      <c r="GE477" s="4">
        <v>188</v>
      </c>
      <c r="GF477" s="4">
        <v>187</v>
      </c>
      <c r="GG477" s="4">
        <v>186</v>
      </c>
      <c r="GH477" s="4">
        <v>185</v>
      </c>
      <c r="GI477" s="4">
        <v>184</v>
      </c>
      <c r="GJ477" s="4">
        <v>183</v>
      </c>
      <c r="GK477" s="4">
        <v>182</v>
      </c>
      <c r="GL477" s="4">
        <v>181</v>
      </c>
      <c r="GM477" s="4">
        <v>180</v>
      </c>
      <c r="GN477" s="4">
        <v>178</v>
      </c>
      <c r="GO477" s="4">
        <v>175</v>
      </c>
      <c r="GP477" s="4">
        <v>173</v>
      </c>
      <c r="GQ477" s="4">
        <v>169</v>
      </c>
      <c r="GR477" s="4">
        <v>167</v>
      </c>
      <c r="GS477" s="4">
        <v>164</v>
      </c>
      <c r="GT477" s="4">
        <v>163</v>
      </c>
      <c r="GU477" s="4">
        <v>162</v>
      </c>
      <c r="GV477" s="4">
        <v>161</v>
      </c>
      <c r="GW477" s="4">
        <v>160</v>
      </c>
      <c r="GX477" s="4">
        <v>159</v>
      </c>
      <c r="GY477" s="4">
        <v>158</v>
      </c>
      <c r="GZ477" s="4">
        <v>157</v>
      </c>
      <c r="HA477" s="4">
        <v>156</v>
      </c>
      <c r="HB477" s="4">
        <v>155</v>
      </c>
      <c r="HC477" s="4">
        <v>154</v>
      </c>
      <c r="HD477" s="19">
        <v>95.5</v>
      </c>
      <c r="HE477" s="19">
        <v>188</v>
      </c>
      <c r="HF477" s="19">
        <v>187</v>
      </c>
      <c r="HG477" s="19">
        <v>186</v>
      </c>
      <c r="HH477" s="19">
        <v>185</v>
      </c>
      <c r="HI477" s="19">
        <v>184</v>
      </c>
      <c r="HJ477" s="19">
        <v>183</v>
      </c>
      <c r="HK477" s="19">
        <v>91</v>
      </c>
      <c r="HL477" s="19">
        <v>90.5</v>
      </c>
      <c r="HM477" s="19">
        <v>60</v>
      </c>
      <c r="HN477" s="19">
        <v>59.3</v>
      </c>
      <c r="HO477" s="19">
        <v>58.3</v>
      </c>
      <c r="HP477" s="19">
        <v>86.5</v>
      </c>
      <c r="HQ477" s="19">
        <v>84.5</v>
      </c>
      <c r="HR477" s="19">
        <v>83.5</v>
      </c>
      <c r="HS477" s="19">
        <v>164</v>
      </c>
      <c r="HT477" s="19">
        <v>163</v>
      </c>
      <c r="HU477" s="19">
        <v>162</v>
      </c>
      <c r="HV477" s="19">
        <v>161</v>
      </c>
      <c r="HW477" s="19">
        <v>160</v>
      </c>
      <c r="HX477" s="19">
        <v>159</v>
      </c>
      <c r="HY477" s="19">
        <v>158</v>
      </c>
      <c r="HZ477" s="19">
        <v>157</v>
      </c>
      <c r="IA477" s="19">
        <v>156</v>
      </c>
      <c r="IB477" s="19">
        <v>155</v>
      </c>
      <c r="IC477" s="19">
        <v>154</v>
      </c>
    </row>
    <row r="478">
      <c r="A478" s="2" t="s">
        <v>2316</v>
      </c>
      <c r="B478" s="2" t="s">
        <v>905</v>
      </c>
      <c r="C478" s="2" t="s">
        <v>324</v>
      </c>
      <c r="D478" s="2" t="s">
        <v>981</v>
      </c>
      <c r="E478" s="2" t="s">
        <v>982</v>
      </c>
      <c r="F478" s="2" t="s">
        <v>2293</v>
      </c>
      <c r="G478" s="2" t="s">
        <v>2293</v>
      </c>
      <c r="H478" s="2" t="s">
        <v>2293</v>
      </c>
      <c r="I478" s="2" t="s">
        <v>982</v>
      </c>
      <c r="J478" s="2" t="s">
        <v>365</v>
      </c>
      <c r="K478" s="2" t="s">
        <v>292</v>
      </c>
      <c r="L478" s="3">
        <v>17.97</v>
      </c>
      <c r="M478" s="3">
        <v>18.87</v>
      </c>
      <c r="N478" s="3">
        <v>39.99</v>
      </c>
      <c r="O478" s="2" t="s">
        <v>232</v>
      </c>
      <c r="P478" s="2" t="s">
        <v>233</v>
      </c>
      <c r="Q478" s="2" t="s">
        <v>234</v>
      </c>
      <c r="R478" s="2" t="s">
        <v>235</v>
      </c>
      <c r="S478" s="2" t="s">
        <v>2315</v>
      </c>
      <c r="T478" s="2" t="s">
        <v>2295</v>
      </c>
      <c r="U478" s="2" t="s">
        <v>807</v>
      </c>
      <c r="V478" s="2" t="s">
        <v>863</v>
      </c>
      <c r="W478" s="2" t="s">
        <v>671</v>
      </c>
      <c r="X478" s="2" t="s">
        <v>1157</v>
      </c>
      <c r="Y478" s="2" t="s">
        <v>2296</v>
      </c>
      <c r="Z478" s="4">
        <v>437</v>
      </c>
      <c r="AA478" s="4">
        <f>=ROUNDDOWN(64.2647058823529,0)</f>
      </c>
      <c r="AB478" s="5">
        <v>6.8</v>
      </c>
      <c r="AC478" s="2" t="s">
        <v>235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235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235</v>
      </c>
      <c r="AW478" s="8" t="s">
        <v>235</v>
      </c>
      <c r="AX478" s="4" t="s">
        <v>235</v>
      </c>
      <c r="AY478" s="8" t="s">
        <v>235</v>
      </c>
      <c r="AZ478" s="7" t="s">
        <v>235</v>
      </c>
      <c r="BA478" s="7" t="s">
        <v>235</v>
      </c>
      <c r="BB478" s="7"/>
      <c r="BC478" s="4" t="s">
        <v>235</v>
      </c>
      <c r="BD478" s="8" t="s">
        <v>235</v>
      </c>
      <c r="BE478" s="4" t="s">
        <v>235</v>
      </c>
      <c r="BF478" s="8" t="s">
        <v>235</v>
      </c>
      <c r="BG478" s="7" t="s">
        <v>235</v>
      </c>
      <c r="BH478" s="7" t="s">
        <v>235</v>
      </c>
      <c r="BI478" s="7"/>
      <c r="BJ478" s="4">
        <v>21</v>
      </c>
      <c r="BK478" s="8">
        <v>428.22</v>
      </c>
      <c r="BL478" s="2" t="s">
        <v>1069</v>
      </c>
      <c r="BM478" s="7"/>
      <c r="BN478" s="7"/>
      <c r="BO478" s="4"/>
      <c r="BP478" s="8"/>
      <c r="BQ478" s="4"/>
      <c r="BR478" s="8"/>
      <c r="BS478" s="7"/>
      <c r="BT478" s="7"/>
      <c r="BU478" s="2" t="s">
        <v>2297</v>
      </c>
      <c r="BV478" s="2" t="s">
        <v>243</v>
      </c>
      <c r="BW478" s="2" t="s">
        <v>235</v>
      </c>
      <c r="BX478" s="2" t="s">
        <v>244</v>
      </c>
      <c r="BY478" s="2" t="s">
        <v>245</v>
      </c>
      <c r="BZ478" s="2" t="s">
        <v>232</v>
      </c>
      <c r="CA478" s="2" t="s">
        <v>2298</v>
      </c>
      <c r="CB478" s="2" t="s">
        <v>665</v>
      </c>
      <c r="CC478" s="2" t="s">
        <v>248</v>
      </c>
      <c r="CD478" s="2" t="s">
        <v>248</v>
      </c>
      <c r="CE478" s="2" t="s">
        <v>235</v>
      </c>
      <c r="CF478" s="4">
        <v>437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>
        <v>439</v>
      </c>
      <c r="GE478" s="4">
        <v>423</v>
      </c>
      <c r="GF478" s="4">
        <v>414</v>
      </c>
      <c r="GG478" s="4">
        <v>405</v>
      </c>
      <c r="GH478" s="4">
        <v>396</v>
      </c>
      <c r="GI478" s="4">
        <v>385</v>
      </c>
      <c r="GJ478" s="4">
        <v>373</v>
      </c>
      <c r="GK478" s="4">
        <v>362</v>
      </c>
      <c r="GL478" s="4">
        <v>350</v>
      </c>
      <c r="GM478" s="4">
        <v>339</v>
      </c>
      <c r="GN478" s="4">
        <v>327</v>
      </c>
      <c r="GO478" s="4">
        <v>306</v>
      </c>
      <c r="GP478" s="4">
        <v>290</v>
      </c>
      <c r="GQ478" s="4">
        <v>252</v>
      </c>
      <c r="GR478" s="4">
        <v>235</v>
      </c>
      <c r="GS478" s="4">
        <v>211</v>
      </c>
      <c r="GT478" s="4">
        <v>200</v>
      </c>
      <c r="GU478" s="4">
        <v>196</v>
      </c>
      <c r="GV478" s="4">
        <v>189</v>
      </c>
      <c r="GW478" s="4">
        <v>183</v>
      </c>
      <c r="GX478" s="4">
        <v>177</v>
      </c>
      <c r="GY478" s="4">
        <v>171</v>
      </c>
      <c r="GZ478" s="4">
        <v>165</v>
      </c>
      <c r="HA478" s="4">
        <v>159</v>
      </c>
      <c r="HB478" s="4">
        <v>153</v>
      </c>
      <c r="HC478" s="4">
        <v>147</v>
      </c>
      <c r="HD478" s="19">
        <v>39.9</v>
      </c>
      <c r="HE478" s="19">
        <v>42.3</v>
      </c>
      <c r="HF478" s="19">
        <v>41.4</v>
      </c>
      <c r="HG478" s="19">
        <v>36.8</v>
      </c>
      <c r="HH478" s="19">
        <v>33</v>
      </c>
      <c r="HI478" s="19">
        <v>32.1</v>
      </c>
      <c r="HJ478" s="19">
        <v>31.1</v>
      </c>
      <c r="HK478" s="19">
        <v>25.9</v>
      </c>
      <c r="HL478" s="19">
        <v>23.3</v>
      </c>
      <c r="HM478" s="19">
        <v>15.4</v>
      </c>
      <c r="HN478" s="19">
        <v>14.2</v>
      </c>
      <c r="HO478" s="19">
        <v>12.8</v>
      </c>
      <c r="HP478" s="19">
        <v>13.2</v>
      </c>
      <c r="HQ478" s="19">
        <v>18</v>
      </c>
      <c r="HR478" s="19">
        <v>19.6</v>
      </c>
      <c r="HS478" s="19">
        <v>30.1</v>
      </c>
      <c r="HT478" s="19">
        <v>33.3</v>
      </c>
      <c r="HU478" s="19">
        <v>32.7</v>
      </c>
      <c r="HV478" s="19">
        <v>31.5</v>
      </c>
      <c r="HW478" s="19">
        <v>30.5</v>
      </c>
      <c r="HX478" s="19">
        <v>29.5</v>
      </c>
      <c r="HY478" s="19">
        <v>28.5</v>
      </c>
      <c r="HZ478" s="19">
        <v>27.5</v>
      </c>
      <c r="IA478" s="19">
        <v>26.5</v>
      </c>
      <c r="IB478" s="19">
        <v>21.9</v>
      </c>
      <c r="IC478" s="19">
        <v>18.4</v>
      </c>
    </row>
    <row r="479">
      <c r="A479" s="2" t="s">
        <v>2317</v>
      </c>
      <c r="B479" s="2" t="s">
        <v>871</v>
      </c>
      <c r="C479" s="2" t="s">
        <v>853</v>
      </c>
      <c r="D479" s="2" t="s">
        <v>906</v>
      </c>
      <c r="E479" s="2" t="s">
        <v>907</v>
      </c>
      <c r="F479" s="2" t="s">
        <v>2318</v>
      </c>
      <c r="G479" s="2" t="s">
        <v>2319</v>
      </c>
      <c r="H479" s="2" t="s">
        <v>2320</v>
      </c>
      <c r="I479" s="2" t="s">
        <v>2321</v>
      </c>
      <c r="J479" s="2" t="s">
        <v>372</v>
      </c>
      <c r="K479" s="2" t="s">
        <v>2322</v>
      </c>
      <c r="L479" s="3">
        <v>42.15</v>
      </c>
      <c r="M479" s="3">
        <v>44.26</v>
      </c>
      <c r="N479" s="3">
        <v>89.99</v>
      </c>
      <c r="O479" s="2" t="s">
        <v>232</v>
      </c>
      <c r="P479" s="2" t="s">
        <v>233</v>
      </c>
      <c r="Q479" s="2" t="s">
        <v>234</v>
      </c>
      <c r="R479" s="2" t="s">
        <v>235</v>
      </c>
      <c r="S479" s="2" t="s">
        <v>2323</v>
      </c>
      <c r="T479" s="2" t="s">
        <v>912</v>
      </c>
      <c r="U479" s="2" t="s">
        <v>552</v>
      </c>
      <c r="V479" s="2" t="s">
        <v>824</v>
      </c>
      <c r="W479" s="2" t="s">
        <v>682</v>
      </c>
      <c r="X479" s="2" t="s">
        <v>235</v>
      </c>
      <c r="Y479" s="2" t="s">
        <v>2324</v>
      </c>
      <c r="Z479" s="4">
        <v>160</v>
      </c>
      <c r="AA479" s="4">
        <f>=ROUNDDOWN(320,0)</f>
      </c>
      <c r="AB479" s="5">
        <v>0.5</v>
      </c>
      <c r="AC479" s="2" t="s">
        <v>235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235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>
        <v>2</v>
      </c>
      <c r="BK479" s="8">
        <v>97.16</v>
      </c>
      <c r="BL479" s="2" t="s">
        <v>2325</v>
      </c>
      <c r="BM479" s="7"/>
      <c r="BN479" s="7"/>
      <c r="BO479" s="4"/>
      <c r="BP479" s="8"/>
      <c r="BQ479" s="4"/>
      <c r="BR479" s="8"/>
      <c r="BS479" s="7"/>
      <c r="BT479" s="7"/>
      <c r="BU479" s="2" t="s">
        <v>2326</v>
      </c>
      <c r="BV479" s="2" t="s">
        <v>243</v>
      </c>
      <c r="BW479" s="2" t="s">
        <v>235</v>
      </c>
      <c r="BX479" s="2" t="s">
        <v>244</v>
      </c>
      <c r="BY479" s="2" t="s">
        <v>245</v>
      </c>
      <c r="BZ479" s="2" t="s">
        <v>232</v>
      </c>
      <c r="CA479" s="2" t="s">
        <v>2327</v>
      </c>
      <c r="CB479" s="2" t="s">
        <v>2328</v>
      </c>
      <c r="CC479" s="2" t="s">
        <v>248</v>
      </c>
      <c r="CD479" s="2" t="s">
        <v>248</v>
      </c>
      <c r="CE479" s="2" t="s">
        <v>235</v>
      </c>
      <c r="CF479" s="4">
        <v>160</v>
      </c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>
        <v>161</v>
      </c>
      <c r="GE479" s="4">
        <v>159</v>
      </c>
      <c r="GF479" s="4">
        <v>158</v>
      </c>
      <c r="GG479" s="4">
        <v>157</v>
      </c>
      <c r="GH479" s="4">
        <v>156</v>
      </c>
      <c r="GI479" s="4">
        <v>155</v>
      </c>
      <c r="GJ479" s="4">
        <v>154</v>
      </c>
      <c r="GK479" s="4">
        <v>153</v>
      </c>
      <c r="GL479" s="4">
        <v>152</v>
      </c>
      <c r="GM479" s="4">
        <v>151</v>
      </c>
      <c r="GN479" s="4">
        <v>149</v>
      </c>
      <c r="GO479" s="4">
        <v>147</v>
      </c>
      <c r="GP479" s="4">
        <v>146</v>
      </c>
      <c r="GQ479" s="4">
        <v>144</v>
      </c>
      <c r="GR479" s="4">
        <v>142</v>
      </c>
      <c r="GS479" s="4">
        <v>141</v>
      </c>
      <c r="GT479" s="4">
        <v>139</v>
      </c>
      <c r="GU479" s="4">
        <v>138</v>
      </c>
      <c r="GV479" s="4">
        <v>137</v>
      </c>
      <c r="GW479" s="4">
        <v>136</v>
      </c>
      <c r="GX479" s="4">
        <v>135</v>
      </c>
      <c r="GY479" s="4">
        <v>134</v>
      </c>
      <c r="GZ479" s="4">
        <v>133</v>
      </c>
      <c r="HA479" s="4">
        <v>132</v>
      </c>
      <c r="HB479" s="4">
        <v>131</v>
      </c>
      <c r="HC479" s="4">
        <v>130</v>
      </c>
      <c r="HD479" s="19">
        <v>161</v>
      </c>
      <c r="HE479" s="19">
        <v>159</v>
      </c>
      <c r="HF479" s="19">
        <v>158</v>
      </c>
      <c r="HG479" s="19">
        <v>157</v>
      </c>
      <c r="HH479" s="19">
        <v>156</v>
      </c>
      <c r="HI479" s="19">
        <v>155</v>
      </c>
      <c r="HJ479" s="19">
        <v>154</v>
      </c>
      <c r="HK479" s="19">
        <v>76.5</v>
      </c>
      <c r="HL479" s="19">
        <v>76</v>
      </c>
      <c r="HM479" s="19">
        <v>75.5</v>
      </c>
      <c r="HN479" s="19">
        <v>74.5</v>
      </c>
      <c r="HO479" s="19">
        <v>73.5</v>
      </c>
      <c r="HP479" s="19">
        <v>73</v>
      </c>
      <c r="HQ479" s="19">
        <v>72</v>
      </c>
      <c r="HR479" s="19">
        <v>142</v>
      </c>
      <c r="HS479" s="19">
        <v>141</v>
      </c>
      <c r="HT479" s="19">
        <v>139</v>
      </c>
      <c r="HU479" s="19">
        <v>138</v>
      </c>
      <c r="HV479" s="19">
        <v>137</v>
      </c>
      <c r="HW479" s="19">
        <v>136</v>
      </c>
      <c r="HX479" s="19">
        <v>135</v>
      </c>
      <c r="HY479" s="19">
        <v>134</v>
      </c>
      <c r="HZ479" s="19">
        <v>133</v>
      </c>
      <c r="IA479" s="19">
        <v>132</v>
      </c>
      <c r="IB479" s="19">
        <v>131</v>
      </c>
      <c r="IC479" s="19">
        <v>130</v>
      </c>
    </row>
    <row r="480">
      <c r="A480" s="2" t="s">
        <v>2329</v>
      </c>
      <c r="B480" s="2" t="s">
        <v>871</v>
      </c>
      <c r="C480" s="2" t="s">
        <v>853</v>
      </c>
      <c r="D480" s="2" t="s">
        <v>361</v>
      </c>
      <c r="E480" s="2" t="s">
        <v>872</v>
      </c>
      <c r="F480" s="2" t="s">
        <v>2330</v>
      </c>
      <c r="G480" s="2" t="s">
        <v>1026</v>
      </c>
      <c r="H480" s="2" t="s">
        <v>2331</v>
      </c>
      <c r="I480" s="2" t="s">
        <v>2332</v>
      </c>
      <c r="J480" s="2" t="s">
        <v>877</v>
      </c>
      <c r="K480" s="2" t="s">
        <v>338</v>
      </c>
      <c r="L480" s="3">
        <v>34.15</v>
      </c>
      <c r="M480" s="3">
        <v>35.86</v>
      </c>
      <c r="N480" s="3">
        <v>79.99</v>
      </c>
      <c r="O480" s="2" t="s">
        <v>407</v>
      </c>
      <c r="P480" s="2" t="s">
        <v>408</v>
      </c>
      <c r="Q480" s="2" t="s">
        <v>234</v>
      </c>
      <c r="R480" s="2" t="s">
        <v>235</v>
      </c>
      <c r="S480" s="2" t="s">
        <v>2333</v>
      </c>
      <c r="T480" s="2" t="s">
        <v>501</v>
      </c>
      <c r="U480" s="2" t="s">
        <v>552</v>
      </c>
      <c r="V480" s="2" t="s">
        <v>824</v>
      </c>
      <c r="W480" s="2" t="s">
        <v>682</v>
      </c>
      <c r="X480" s="2" t="s">
        <v>239</v>
      </c>
      <c r="Y480" s="2" t="s">
        <v>2334</v>
      </c>
      <c r="Z480" s="4">
        <v>135</v>
      </c>
      <c r="AA480" s="4">
        <f>=ROUNDDOWN(67.5,0)</f>
      </c>
      <c r="AB480" s="5">
        <v>2</v>
      </c>
      <c r="AC480" s="2" t="s">
        <v>235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235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235</v>
      </c>
      <c r="AW480" s="8" t="s">
        <v>235</v>
      </c>
      <c r="AX480" s="4" t="s">
        <v>235</v>
      </c>
      <c r="AY480" s="8" t="s">
        <v>235</v>
      </c>
      <c r="AZ480" s="7" t="s">
        <v>235</v>
      </c>
      <c r="BA480" s="7" t="s">
        <v>235</v>
      </c>
      <c r="BB480" s="7" t="s">
        <v>235</v>
      </c>
      <c r="BC480" s="4" t="s">
        <v>235</v>
      </c>
      <c r="BD480" s="8" t="s">
        <v>235</v>
      </c>
      <c r="BE480" s="4" t="s">
        <v>235</v>
      </c>
      <c r="BF480" s="8" t="s">
        <v>235</v>
      </c>
      <c r="BG480" s="7" t="s">
        <v>235</v>
      </c>
      <c r="BH480" s="7" t="s">
        <v>235</v>
      </c>
      <c r="BI480" s="7"/>
      <c r="BJ480" s="4">
        <v>7</v>
      </c>
      <c r="BK480" s="8">
        <v>264.74</v>
      </c>
      <c r="BL480" s="2" t="s">
        <v>2302</v>
      </c>
      <c r="BM480" s="7"/>
      <c r="BN480" s="7"/>
      <c r="BO480" s="4"/>
      <c r="BP480" s="8"/>
      <c r="BQ480" s="4"/>
      <c r="BR480" s="8"/>
      <c r="BS480" s="7"/>
      <c r="BT480" s="7"/>
      <c r="BU480" s="2" t="s">
        <v>2335</v>
      </c>
      <c r="BV480" s="2" t="s">
        <v>243</v>
      </c>
      <c r="BW480" s="2" t="s">
        <v>235</v>
      </c>
      <c r="BX480" s="2" t="s">
        <v>383</v>
      </c>
      <c r="BY480" s="2" t="s">
        <v>245</v>
      </c>
      <c r="BZ480" s="2" t="s">
        <v>232</v>
      </c>
      <c r="CA480" s="2" t="s">
        <v>1485</v>
      </c>
      <c r="CB480" s="2" t="s">
        <v>235</v>
      </c>
      <c r="CC480" s="2" t="s">
        <v>248</v>
      </c>
      <c r="CD480" s="2" t="s">
        <v>248</v>
      </c>
      <c r="CE480" s="2" t="s">
        <v>235</v>
      </c>
      <c r="CF480" s="4">
        <v>135</v>
      </c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>
        <v>135</v>
      </c>
      <c r="GE480" s="4">
        <v>132</v>
      </c>
      <c r="GF480" s="4">
        <v>130</v>
      </c>
      <c r="GG480" s="4">
        <v>128</v>
      </c>
      <c r="GH480" s="4">
        <v>126</v>
      </c>
      <c r="GI480" s="4">
        <v>124</v>
      </c>
      <c r="GJ480" s="4">
        <v>122</v>
      </c>
      <c r="GK480" s="4">
        <v>120</v>
      </c>
      <c r="GL480" s="4">
        <v>118</v>
      </c>
      <c r="GM480" s="4">
        <v>116</v>
      </c>
      <c r="GN480" s="4">
        <v>113</v>
      </c>
      <c r="GO480" s="4">
        <v>108</v>
      </c>
      <c r="GP480" s="4">
        <v>103</v>
      </c>
      <c r="GQ480" s="4">
        <v>92</v>
      </c>
      <c r="GR480" s="4">
        <v>83</v>
      </c>
      <c r="GS480" s="4">
        <v>73</v>
      </c>
      <c r="GT480" s="4">
        <v>67</v>
      </c>
      <c r="GU480" s="4">
        <v>63</v>
      </c>
      <c r="GV480" s="4">
        <v>61</v>
      </c>
      <c r="GW480" s="4">
        <v>59</v>
      </c>
      <c r="GX480" s="4">
        <v>57</v>
      </c>
      <c r="GY480" s="4">
        <v>55</v>
      </c>
      <c r="GZ480" s="4">
        <v>53</v>
      </c>
      <c r="HA480" s="4">
        <v>51</v>
      </c>
      <c r="HB480" s="4">
        <v>49</v>
      </c>
      <c r="HC480" s="4">
        <v>47</v>
      </c>
      <c r="HD480" s="19">
        <v>67.5</v>
      </c>
      <c r="HE480" s="19">
        <v>66</v>
      </c>
      <c r="HF480" s="19">
        <v>65</v>
      </c>
      <c r="HG480" s="19">
        <v>64</v>
      </c>
      <c r="HH480" s="19">
        <v>63</v>
      </c>
      <c r="HI480" s="19">
        <v>62</v>
      </c>
      <c r="HJ480" s="19">
        <v>61</v>
      </c>
      <c r="HK480" s="19">
        <v>40</v>
      </c>
      <c r="HL480" s="19">
        <v>29.5</v>
      </c>
      <c r="HM480" s="19">
        <v>19.3</v>
      </c>
      <c r="HN480" s="19">
        <v>14.1</v>
      </c>
      <c r="HO480" s="19">
        <v>12</v>
      </c>
      <c r="HP480" s="19">
        <v>11.4</v>
      </c>
      <c r="HQ480" s="19">
        <v>13.1</v>
      </c>
      <c r="HR480" s="19">
        <v>13.8</v>
      </c>
      <c r="HS480" s="19">
        <v>18.3</v>
      </c>
      <c r="HT480" s="19">
        <v>33.5</v>
      </c>
      <c r="HU480" s="19">
        <v>31.5</v>
      </c>
      <c r="HV480" s="19">
        <v>30.5</v>
      </c>
      <c r="HW480" s="19">
        <v>29.5</v>
      </c>
      <c r="HX480" s="19">
        <v>28.5</v>
      </c>
      <c r="HY480" s="19">
        <v>27.5</v>
      </c>
      <c r="HZ480" s="19">
        <v>26.5</v>
      </c>
      <c r="IA480" s="19">
        <v>25.5</v>
      </c>
      <c r="IB480" s="19">
        <v>24.5</v>
      </c>
      <c r="IC480" s="19">
        <v>23.5</v>
      </c>
    </row>
    <row r="481">
      <c r="A481" s="2" t="s">
        <v>2336</v>
      </c>
      <c r="B481" s="2" t="s">
        <v>871</v>
      </c>
      <c r="C481" s="2" t="s">
        <v>853</v>
      </c>
      <c r="D481" s="2" t="s">
        <v>906</v>
      </c>
      <c r="E481" s="2" t="s">
        <v>1301</v>
      </c>
      <c r="F481" s="2" t="s">
        <v>2330</v>
      </c>
      <c r="G481" s="2" t="s">
        <v>1026</v>
      </c>
      <c r="H481" s="2" t="s">
        <v>2331</v>
      </c>
      <c r="I481" s="2" t="s">
        <v>2337</v>
      </c>
      <c r="J481" s="2" t="s">
        <v>877</v>
      </c>
      <c r="K481" s="2" t="s">
        <v>338</v>
      </c>
      <c r="L481" s="3">
        <v>26.19</v>
      </c>
      <c r="M481" s="3">
        <v>27.5</v>
      </c>
      <c r="N481" s="3">
        <v>59.99</v>
      </c>
      <c r="O481" s="2" t="s">
        <v>407</v>
      </c>
      <c r="P481" s="2" t="s">
        <v>408</v>
      </c>
      <c r="Q481" s="2" t="s">
        <v>234</v>
      </c>
      <c r="R481" s="2" t="s">
        <v>235</v>
      </c>
      <c r="S481" s="2" t="s">
        <v>2333</v>
      </c>
      <c r="T481" s="2" t="s">
        <v>501</v>
      </c>
      <c r="U481" s="2" t="s">
        <v>552</v>
      </c>
      <c r="V481" s="2" t="s">
        <v>824</v>
      </c>
      <c r="W481" s="2" t="s">
        <v>682</v>
      </c>
      <c r="X481" s="2" t="s">
        <v>239</v>
      </c>
      <c r="Y481" s="2" t="s">
        <v>2338</v>
      </c>
      <c r="Z481" s="4">
        <v>4</v>
      </c>
      <c r="AA481" s="4">
        <f>=ROUNDDOWN(4,0)</f>
      </c>
      <c r="AB481" s="5">
        <v>1</v>
      </c>
      <c r="AC481" s="2" t="s">
        <v>235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235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235</v>
      </c>
      <c r="AW481" s="8" t="s">
        <v>235</v>
      </c>
      <c r="AX481" s="4" t="s">
        <v>235</v>
      </c>
      <c r="AY481" s="8" t="s">
        <v>235</v>
      </c>
      <c r="AZ481" s="7" t="s">
        <v>235</v>
      </c>
      <c r="BA481" s="7" t="s">
        <v>235</v>
      </c>
      <c r="BB481" s="7" t="s">
        <v>235</v>
      </c>
      <c r="BC481" s="4" t="s">
        <v>235</v>
      </c>
      <c r="BD481" s="8" t="s">
        <v>235</v>
      </c>
      <c r="BE481" s="4" t="s">
        <v>235</v>
      </c>
      <c r="BF481" s="8" t="s">
        <v>235</v>
      </c>
      <c r="BG481" s="7" t="s">
        <v>235</v>
      </c>
      <c r="BH481" s="7" t="s">
        <v>235</v>
      </c>
      <c r="BI481" s="7"/>
      <c r="BJ481" s="4">
        <v>2</v>
      </c>
      <c r="BK481" s="8">
        <v>57.94</v>
      </c>
      <c r="BL481" s="2" t="s">
        <v>412</v>
      </c>
      <c r="BM481" s="7"/>
      <c r="BN481" s="7"/>
      <c r="BO481" s="4"/>
      <c r="BP481" s="8"/>
      <c r="BQ481" s="4"/>
      <c r="BR481" s="8"/>
      <c r="BS481" s="7"/>
      <c r="BT481" s="7"/>
      <c r="BU481" s="2" t="s">
        <v>2339</v>
      </c>
      <c r="BV481" s="2" t="s">
        <v>243</v>
      </c>
      <c r="BW481" s="2" t="s">
        <v>235</v>
      </c>
      <c r="BX481" s="2" t="s">
        <v>244</v>
      </c>
      <c r="BY481" s="2" t="s">
        <v>245</v>
      </c>
      <c r="BZ481" s="2" t="s">
        <v>232</v>
      </c>
      <c r="CA481" s="2" t="s">
        <v>1973</v>
      </c>
      <c r="CB481" s="2" t="s">
        <v>235</v>
      </c>
      <c r="CC481" s="2" t="s">
        <v>248</v>
      </c>
      <c r="CD481" s="2" t="s">
        <v>248</v>
      </c>
      <c r="CE481" s="2" t="s">
        <v>235</v>
      </c>
      <c r="CF481" s="4">
        <v>4</v>
      </c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>
        <v>4</v>
      </c>
      <c r="GE481" s="4">
        <v>3</v>
      </c>
      <c r="GF481" s="4">
        <v>2</v>
      </c>
      <c r="GG481" s="4">
        <v>1</v>
      </c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19">
        <v>4</v>
      </c>
      <c r="HE481" s="19">
        <v>3</v>
      </c>
      <c r="HF481" s="19">
        <v>2</v>
      </c>
      <c r="HG481" s="19">
        <v>1</v>
      </c>
      <c r="HH481" s="20">
        <v>0</v>
      </c>
      <c r="HI481" s="20">
        <v>0</v>
      </c>
      <c r="HJ481" s="20">
        <v>0</v>
      </c>
      <c r="HK481" s="20">
        <v>0</v>
      </c>
      <c r="HL481" s="20">
        <v>0</v>
      </c>
      <c r="HM481" s="20">
        <v>0</v>
      </c>
      <c r="HN481" s="20">
        <v>0</v>
      </c>
      <c r="HO481" s="20">
        <v>0</v>
      </c>
      <c r="HP481" s="20">
        <v>0</v>
      </c>
      <c r="HQ481" s="20">
        <v>0</v>
      </c>
      <c r="HR481" s="20">
        <v>0</v>
      </c>
      <c r="HS481" s="20">
        <v>0</v>
      </c>
      <c r="HT481" s="20">
        <v>0</v>
      </c>
      <c r="HU481" s="20">
        <v>0</v>
      </c>
      <c r="HV481" s="20">
        <v>0</v>
      </c>
      <c r="HW481" s="20">
        <v>0</v>
      </c>
      <c r="HX481" s="20">
        <v>0</v>
      </c>
      <c r="HY481" s="20">
        <v>0</v>
      </c>
      <c r="HZ481" s="20">
        <v>0</v>
      </c>
      <c r="IA481" s="20">
        <v>0</v>
      </c>
      <c r="IB481" s="20">
        <v>0</v>
      </c>
      <c r="IC481" s="20">
        <v>0</v>
      </c>
    </row>
    <row r="482">
      <c r="A482" s="2" t="s">
        <v>2340</v>
      </c>
      <c r="B482" s="2" t="s">
        <v>871</v>
      </c>
      <c r="C482" s="2" t="s">
        <v>853</v>
      </c>
      <c r="D482" s="2" t="s">
        <v>906</v>
      </c>
      <c r="E482" s="2" t="s">
        <v>1301</v>
      </c>
      <c r="F482" s="2" t="s">
        <v>2330</v>
      </c>
      <c r="G482" s="2" t="s">
        <v>1026</v>
      </c>
      <c r="H482" s="2" t="s">
        <v>2331</v>
      </c>
      <c r="I482" s="2" t="s">
        <v>2337</v>
      </c>
      <c r="J482" s="2" t="s">
        <v>365</v>
      </c>
      <c r="K482" s="2" t="s">
        <v>338</v>
      </c>
      <c r="L482" s="3">
        <v>31.46</v>
      </c>
      <c r="M482" s="3">
        <v>33.03</v>
      </c>
      <c r="N482" s="3">
        <v>69.99</v>
      </c>
      <c r="O482" s="2" t="s">
        <v>407</v>
      </c>
      <c r="P482" s="2" t="s">
        <v>408</v>
      </c>
      <c r="Q482" s="2" t="s">
        <v>234</v>
      </c>
      <c r="R482" s="2" t="s">
        <v>235</v>
      </c>
      <c r="S482" s="2" t="s">
        <v>2333</v>
      </c>
      <c r="T482" s="2" t="s">
        <v>501</v>
      </c>
      <c r="U482" s="2" t="s">
        <v>264</v>
      </c>
      <c r="V482" s="2" t="s">
        <v>824</v>
      </c>
      <c r="W482" s="2" t="s">
        <v>682</v>
      </c>
      <c r="X482" s="2" t="s">
        <v>239</v>
      </c>
      <c r="Y482" s="2" t="s">
        <v>2338</v>
      </c>
      <c r="Z482" s="4">
        <v>6</v>
      </c>
      <c r="AA482" s="4">
        <f>=ROUNDDOWN(5.45454545454545,0)</f>
      </c>
      <c r="AB482" s="5">
        <v>1.1</v>
      </c>
      <c r="AC482" s="2" t="s">
        <v>235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235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235</v>
      </c>
      <c r="AW482" s="8" t="s">
        <v>235</v>
      </c>
      <c r="AX482" s="4" t="s">
        <v>235</v>
      </c>
      <c r="AY482" s="8" t="s">
        <v>235</v>
      </c>
      <c r="AZ482" s="7" t="s">
        <v>235</v>
      </c>
      <c r="BA482" s="7" t="s">
        <v>235</v>
      </c>
      <c r="BB482" s="7"/>
      <c r="BC482" s="4" t="s">
        <v>235</v>
      </c>
      <c r="BD482" s="8" t="s">
        <v>235</v>
      </c>
      <c r="BE482" s="4" t="s">
        <v>235</v>
      </c>
      <c r="BF482" s="8" t="s">
        <v>235</v>
      </c>
      <c r="BG482" s="7" t="s">
        <v>235</v>
      </c>
      <c r="BH482" s="7" t="s">
        <v>235</v>
      </c>
      <c r="BI482" s="7"/>
      <c r="BJ482" s="4">
        <v>4</v>
      </c>
      <c r="BK482" s="8">
        <v>137.18</v>
      </c>
      <c r="BL482" s="2" t="s">
        <v>422</v>
      </c>
      <c r="BM482" s="7"/>
      <c r="BN482" s="7"/>
      <c r="BO482" s="4"/>
      <c r="BP482" s="8"/>
      <c r="BQ482" s="4"/>
      <c r="BR482" s="8"/>
      <c r="BS482" s="7"/>
      <c r="BT482" s="7"/>
      <c r="BU482" s="2" t="s">
        <v>2339</v>
      </c>
      <c r="BV482" s="2" t="s">
        <v>243</v>
      </c>
      <c r="BW482" s="2" t="s">
        <v>235</v>
      </c>
      <c r="BX482" s="2" t="s">
        <v>244</v>
      </c>
      <c r="BY482" s="2" t="s">
        <v>245</v>
      </c>
      <c r="BZ482" s="2" t="s">
        <v>232</v>
      </c>
      <c r="CA482" s="2" t="s">
        <v>1973</v>
      </c>
      <c r="CB482" s="2" t="s">
        <v>2341</v>
      </c>
      <c r="CC482" s="2" t="s">
        <v>248</v>
      </c>
      <c r="CD482" s="2" t="s">
        <v>248</v>
      </c>
      <c r="CE482" s="2" t="s">
        <v>235</v>
      </c>
      <c r="CF482" s="4">
        <v>6</v>
      </c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>
        <v>6</v>
      </c>
      <c r="GE482" s="4">
        <v>5</v>
      </c>
      <c r="GF482" s="4">
        <v>4</v>
      </c>
      <c r="GG482" s="4">
        <v>3</v>
      </c>
      <c r="GH482" s="4">
        <v>2</v>
      </c>
      <c r="GI482" s="4">
        <v>1</v>
      </c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19">
        <v>6</v>
      </c>
      <c r="HE482" s="19">
        <v>5</v>
      </c>
      <c r="HF482" s="19">
        <v>4</v>
      </c>
      <c r="HG482" s="19">
        <v>3</v>
      </c>
      <c r="HH482" s="19">
        <v>2</v>
      </c>
      <c r="HI482" s="19">
        <v>1</v>
      </c>
      <c r="HJ482" s="20">
        <v>0</v>
      </c>
      <c r="HK482" s="20">
        <v>0</v>
      </c>
      <c r="HL482" s="20">
        <v>0</v>
      </c>
      <c r="HM482" s="20">
        <v>0</v>
      </c>
      <c r="HN482" s="20">
        <v>0</v>
      </c>
      <c r="HO482" s="20">
        <v>0</v>
      </c>
      <c r="HP482" s="20">
        <v>0</v>
      </c>
      <c r="HQ482" s="20">
        <v>0</v>
      </c>
      <c r="HR482" s="20">
        <v>0</v>
      </c>
      <c r="HS482" s="20">
        <v>0</v>
      </c>
      <c r="HT482" s="20">
        <v>0</v>
      </c>
      <c r="HU482" s="20">
        <v>0</v>
      </c>
      <c r="HV482" s="20">
        <v>0</v>
      </c>
      <c r="HW482" s="20">
        <v>0</v>
      </c>
      <c r="HX482" s="20">
        <v>0</v>
      </c>
      <c r="HY482" s="20">
        <v>0</v>
      </c>
      <c r="HZ482" s="20">
        <v>0</v>
      </c>
      <c r="IA482" s="20">
        <v>0</v>
      </c>
      <c r="IB482" s="20">
        <v>0</v>
      </c>
      <c r="IC482" s="20">
        <v>0</v>
      </c>
    </row>
    <row r="483">
      <c r="A483" s="2" t="s">
        <v>2342</v>
      </c>
      <c r="B483" s="2" t="s">
        <v>871</v>
      </c>
      <c r="C483" s="2" t="s">
        <v>853</v>
      </c>
      <c r="D483" s="2" t="s">
        <v>906</v>
      </c>
      <c r="E483" s="2" t="s">
        <v>1301</v>
      </c>
      <c r="F483" s="2" t="s">
        <v>2330</v>
      </c>
      <c r="G483" s="2" t="s">
        <v>1026</v>
      </c>
      <c r="H483" s="2" t="s">
        <v>2331</v>
      </c>
      <c r="I483" s="2" t="s">
        <v>2337</v>
      </c>
      <c r="J483" s="2" t="s">
        <v>372</v>
      </c>
      <c r="K483" s="2" t="s">
        <v>338</v>
      </c>
      <c r="L483" s="3">
        <v>34.49</v>
      </c>
      <c r="M483" s="3">
        <v>36.21</v>
      </c>
      <c r="N483" s="3">
        <v>84.99</v>
      </c>
      <c r="O483" s="2" t="s">
        <v>407</v>
      </c>
      <c r="P483" s="2" t="s">
        <v>408</v>
      </c>
      <c r="Q483" s="2" t="s">
        <v>234</v>
      </c>
      <c r="R483" s="2" t="s">
        <v>235</v>
      </c>
      <c r="S483" s="2" t="s">
        <v>2333</v>
      </c>
      <c r="T483" s="2" t="s">
        <v>501</v>
      </c>
      <c r="U483" s="2" t="s">
        <v>264</v>
      </c>
      <c r="V483" s="2" t="s">
        <v>824</v>
      </c>
      <c r="W483" s="2" t="s">
        <v>682</v>
      </c>
      <c r="X483" s="2" t="s">
        <v>239</v>
      </c>
      <c r="Y483" s="2" t="s">
        <v>2338</v>
      </c>
      <c r="Z483" s="4">
        <v>5</v>
      </c>
      <c r="AA483" s="4">
        <f>=ROUNDDOWN(12.5,0)</f>
      </c>
      <c r="AB483" s="5">
        <v>0.4</v>
      </c>
      <c r="AC483" s="2" t="s">
        <v>235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235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235</v>
      </c>
      <c r="AW483" s="8" t="s">
        <v>235</v>
      </c>
      <c r="AX483" s="4" t="s">
        <v>235</v>
      </c>
      <c r="AY483" s="8" t="s">
        <v>235</v>
      </c>
      <c r="AZ483" s="7" t="s">
        <v>235</v>
      </c>
      <c r="BA483" s="7" t="s">
        <v>235</v>
      </c>
      <c r="BB483" s="7"/>
      <c r="BC483" s="4" t="s">
        <v>235</v>
      </c>
      <c r="BD483" s="8" t="s">
        <v>235</v>
      </c>
      <c r="BE483" s="4" t="s">
        <v>235</v>
      </c>
      <c r="BF483" s="8" t="s">
        <v>235</v>
      </c>
      <c r="BG483" s="7" t="s">
        <v>235</v>
      </c>
      <c r="BH483" s="7" t="s">
        <v>235</v>
      </c>
      <c r="BI483" s="7"/>
      <c r="BJ483" s="4">
        <v>1</v>
      </c>
      <c r="BK483" s="8">
        <v>39.8</v>
      </c>
      <c r="BL483" s="2" t="s">
        <v>2343</v>
      </c>
      <c r="BM483" s="7"/>
      <c r="BN483" s="7"/>
      <c r="BO483" s="4"/>
      <c r="BP483" s="8"/>
      <c r="BQ483" s="4"/>
      <c r="BR483" s="8"/>
      <c r="BS483" s="7"/>
      <c r="BT483" s="7"/>
      <c r="BU483" s="2" t="s">
        <v>2339</v>
      </c>
      <c r="BV483" s="2" t="s">
        <v>243</v>
      </c>
      <c r="BW483" s="2" t="s">
        <v>235</v>
      </c>
      <c r="BX483" s="2" t="s">
        <v>244</v>
      </c>
      <c r="BY483" s="2" t="s">
        <v>245</v>
      </c>
      <c r="BZ483" s="2" t="s">
        <v>232</v>
      </c>
      <c r="CA483" s="2" t="s">
        <v>1973</v>
      </c>
      <c r="CB483" s="2" t="s">
        <v>235</v>
      </c>
      <c r="CC483" s="2" t="s">
        <v>248</v>
      </c>
      <c r="CD483" s="2" t="s">
        <v>248</v>
      </c>
      <c r="CE483" s="2" t="s">
        <v>235</v>
      </c>
      <c r="CF483" s="4">
        <v>5</v>
      </c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>
        <v>6</v>
      </c>
      <c r="GE483" s="4">
        <v>5</v>
      </c>
      <c r="GF483" s="4">
        <v>5</v>
      </c>
      <c r="GG483" s="4">
        <v>5</v>
      </c>
      <c r="GH483" s="4">
        <v>5</v>
      </c>
      <c r="GI483" s="4">
        <v>5</v>
      </c>
      <c r="GJ483" s="4">
        <v>5</v>
      </c>
      <c r="GK483" s="4">
        <v>5</v>
      </c>
      <c r="GL483" s="4">
        <v>5</v>
      </c>
      <c r="GM483" s="4">
        <v>5</v>
      </c>
      <c r="GN483" s="4">
        <v>5</v>
      </c>
      <c r="GO483" s="4">
        <v>5</v>
      </c>
      <c r="GP483" s="4">
        <v>5</v>
      </c>
      <c r="GQ483" s="4">
        <v>5</v>
      </c>
      <c r="GR483" s="4">
        <v>5</v>
      </c>
      <c r="GS483" s="4">
        <v>5</v>
      </c>
      <c r="GT483" s="4">
        <v>5</v>
      </c>
      <c r="GU483" s="4">
        <v>5</v>
      </c>
      <c r="GV483" s="4">
        <v>5</v>
      </c>
      <c r="GW483" s="4">
        <v>5</v>
      </c>
      <c r="GX483" s="4">
        <v>5</v>
      </c>
      <c r="GY483" s="4">
        <v>5</v>
      </c>
      <c r="GZ483" s="4">
        <v>5</v>
      </c>
      <c r="HA483" s="4">
        <v>5</v>
      </c>
      <c r="HB483" s="4">
        <v>5</v>
      </c>
      <c r="HC483" s="4">
        <v>5</v>
      </c>
      <c r="HD483" s="20">
        <v>0</v>
      </c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</row>
    <row r="484">
      <c r="A484" s="2" t="s">
        <v>2344</v>
      </c>
      <c r="B484" s="2" t="s">
        <v>852</v>
      </c>
      <c r="C484" s="2" t="s">
        <v>1126</v>
      </c>
      <c r="D484" s="2" t="s">
        <v>854</v>
      </c>
      <c r="E484" s="2" t="s">
        <v>855</v>
      </c>
      <c r="F484" s="2" t="s">
        <v>2345</v>
      </c>
      <c r="G484" s="2" t="s">
        <v>2346</v>
      </c>
      <c r="H484" s="2" t="s">
        <v>909</v>
      </c>
      <c r="I484" s="2" t="s">
        <v>2347</v>
      </c>
      <c r="J484" s="2" t="s">
        <v>860</v>
      </c>
      <c r="K484" s="2" t="s">
        <v>2348</v>
      </c>
      <c r="L484" s="3">
        <v>24.97</v>
      </c>
      <c r="M484" s="3">
        <v>26.22</v>
      </c>
      <c r="N484" s="3">
        <v>54.99</v>
      </c>
      <c r="O484" s="2" t="s">
        <v>232</v>
      </c>
      <c r="P484" s="2" t="s">
        <v>233</v>
      </c>
      <c r="Q484" s="2" t="s">
        <v>234</v>
      </c>
      <c r="R484" s="2" t="s">
        <v>235</v>
      </c>
      <c r="S484" s="2" t="s">
        <v>2349</v>
      </c>
      <c r="T484" s="2" t="s">
        <v>235</v>
      </c>
      <c r="U484" s="2" t="s">
        <v>807</v>
      </c>
      <c r="V484" s="2" t="s">
        <v>824</v>
      </c>
      <c r="W484" s="2" t="s">
        <v>329</v>
      </c>
      <c r="X484" s="2" t="s">
        <v>864</v>
      </c>
      <c r="Y484" s="2" t="s">
        <v>2350</v>
      </c>
      <c r="Z484" s="4">
        <v>335</v>
      </c>
      <c r="AA484" s="4">
        <f>=ROUNDDOWN(67,0)</f>
      </c>
      <c r="AB484" s="5">
        <v>5</v>
      </c>
      <c r="AC484" s="2" t="s">
        <v>235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235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>
        <v>8</v>
      </c>
      <c r="BK484" s="8">
        <v>213.56</v>
      </c>
      <c r="BL484" s="2" t="s">
        <v>2351</v>
      </c>
      <c r="BM484" s="7"/>
      <c r="BN484" s="7"/>
      <c r="BO484" s="4"/>
      <c r="BP484" s="8"/>
      <c r="BQ484" s="4"/>
      <c r="BR484" s="8"/>
      <c r="BS484" s="7"/>
      <c r="BT484" s="7"/>
      <c r="BU484" s="2" t="s">
        <v>2352</v>
      </c>
      <c r="BV484" s="2" t="s">
        <v>867</v>
      </c>
      <c r="BW484" s="2" t="s">
        <v>235</v>
      </c>
      <c r="BX484" s="2" t="s">
        <v>383</v>
      </c>
      <c r="BY484" s="2" t="s">
        <v>245</v>
      </c>
      <c r="BZ484" s="2" t="s">
        <v>232</v>
      </c>
      <c r="CA484" s="2" t="s">
        <v>2353</v>
      </c>
      <c r="CB484" s="2" t="s">
        <v>2354</v>
      </c>
      <c r="CC484" s="2" t="s">
        <v>248</v>
      </c>
      <c r="CD484" s="2" t="s">
        <v>248</v>
      </c>
      <c r="CE484" s="2" t="s">
        <v>235</v>
      </c>
      <c r="CF484" s="4">
        <v>335</v>
      </c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>
        <v>339</v>
      </c>
      <c r="GE484" s="4">
        <v>329</v>
      </c>
      <c r="GF484" s="4">
        <v>324</v>
      </c>
      <c r="GG484" s="4">
        <v>319</v>
      </c>
      <c r="GH484" s="4">
        <v>314</v>
      </c>
      <c r="GI484" s="4">
        <v>309</v>
      </c>
      <c r="GJ484" s="4">
        <v>304</v>
      </c>
      <c r="GK484" s="4">
        <v>299</v>
      </c>
      <c r="GL484" s="4">
        <v>294</v>
      </c>
      <c r="GM484" s="4">
        <v>289</v>
      </c>
      <c r="GN484" s="4">
        <v>282</v>
      </c>
      <c r="GO484" s="4">
        <v>274</v>
      </c>
      <c r="GP484" s="4">
        <v>267</v>
      </c>
      <c r="GQ484" s="4">
        <v>258</v>
      </c>
      <c r="GR484" s="4">
        <v>251</v>
      </c>
      <c r="GS484" s="4">
        <v>242</v>
      </c>
      <c r="GT484" s="4">
        <v>237</v>
      </c>
      <c r="GU484" s="4">
        <v>231</v>
      </c>
      <c r="GV484" s="4">
        <v>226</v>
      </c>
      <c r="GW484" s="4">
        <v>221</v>
      </c>
      <c r="GX484" s="4">
        <v>216</v>
      </c>
      <c r="GY484" s="4">
        <v>211</v>
      </c>
      <c r="GZ484" s="4">
        <v>206</v>
      </c>
      <c r="HA484" s="4">
        <v>201</v>
      </c>
      <c r="HB484" s="4">
        <v>196</v>
      </c>
      <c r="HC484" s="4">
        <v>190</v>
      </c>
      <c r="HD484" s="19">
        <v>56.5</v>
      </c>
      <c r="HE484" s="19">
        <v>65.8</v>
      </c>
      <c r="HF484" s="19">
        <v>64.8</v>
      </c>
      <c r="HG484" s="19">
        <v>63.8</v>
      </c>
      <c r="HH484" s="19">
        <v>62.8</v>
      </c>
      <c r="HI484" s="19">
        <v>61.8</v>
      </c>
      <c r="HJ484" s="19">
        <v>50.7</v>
      </c>
      <c r="HK484" s="19">
        <v>49.8</v>
      </c>
      <c r="HL484" s="19">
        <v>42</v>
      </c>
      <c r="HM484" s="19">
        <v>36.1</v>
      </c>
      <c r="HN484" s="19">
        <v>35.3</v>
      </c>
      <c r="HO484" s="19">
        <v>34.3</v>
      </c>
      <c r="HP484" s="19">
        <v>33.4</v>
      </c>
      <c r="HQ484" s="19">
        <v>36.9</v>
      </c>
      <c r="HR484" s="19">
        <v>41.8</v>
      </c>
      <c r="HS484" s="19">
        <v>48.4</v>
      </c>
      <c r="HT484" s="19">
        <v>47.4</v>
      </c>
      <c r="HU484" s="19">
        <v>46.2</v>
      </c>
      <c r="HV484" s="19">
        <v>45.2</v>
      </c>
      <c r="HW484" s="19">
        <v>44.2</v>
      </c>
      <c r="HX484" s="19">
        <v>43.2</v>
      </c>
      <c r="HY484" s="19">
        <v>42.2</v>
      </c>
      <c r="HZ484" s="19">
        <v>41.2</v>
      </c>
      <c r="IA484" s="19">
        <v>40.2</v>
      </c>
      <c r="IB484" s="19">
        <v>39.2</v>
      </c>
      <c r="IC484" s="19">
        <v>38</v>
      </c>
    </row>
    <row r="485">
      <c r="A485" s="2" t="s">
        <v>2355</v>
      </c>
      <c r="B485" s="2" t="s">
        <v>871</v>
      </c>
      <c r="C485" s="2" t="s">
        <v>324</v>
      </c>
      <c r="D485" s="2" t="s">
        <v>1452</v>
      </c>
      <c r="E485" s="2" t="s">
        <v>2263</v>
      </c>
      <c r="F485" s="2" t="s">
        <v>2356</v>
      </c>
      <c r="G485" s="2" t="s">
        <v>2357</v>
      </c>
      <c r="H485" s="2" t="s">
        <v>1016</v>
      </c>
      <c r="I485" s="2" t="s">
        <v>2358</v>
      </c>
      <c r="J485" s="2" t="s">
        <v>372</v>
      </c>
      <c r="K485" s="2" t="s">
        <v>316</v>
      </c>
      <c r="L485" s="3">
        <v>62.56</v>
      </c>
      <c r="M485" s="3">
        <v>65.69</v>
      </c>
      <c r="N485" s="3">
        <v>134.99</v>
      </c>
      <c r="O485" s="2" t="s">
        <v>232</v>
      </c>
      <c r="P485" s="2" t="s">
        <v>336</v>
      </c>
      <c r="Q485" s="2" t="s">
        <v>234</v>
      </c>
      <c r="R485" s="2" t="s">
        <v>235</v>
      </c>
      <c r="S485" s="2" t="s">
        <v>2359</v>
      </c>
      <c r="T485" s="2" t="s">
        <v>501</v>
      </c>
      <c r="U485" s="2" t="s">
        <v>264</v>
      </c>
      <c r="V485" s="2" t="s">
        <v>420</v>
      </c>
      <c r="W485" s="2" t="s">
        <v>881</v>
      </c>
      <c r="X485" s="2" t="s">
        <v>2360</v>
      </c>
      <c r="Y485" s="2" t="s">
        <v>240</v>
      </c>
      <c r="Z485" s="4">
        <v>587</v>
      </c>
      <c r="AA485" s="4">
        <f>=ROUNDDOWN(65.2222222222222,0)</f>
      </c>
      <c r="AB485" s="5">
        <v>9</v>
      </c>
      <c r="AC485" s="2" t="s">
        <v>235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235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>
        <v>7</v>
      </c>
      <c r="BK485" s="8">
        <v>471.35</v>
      </c>
      <c r="BL485" s="2" t="s">
        <v>2361</v>
      </c>
      <c r="BM485" s="7"/>
      <c r="BN485" s="7"/>
      <c r="BO485" s="4"/>
      <c r="BP485" s="8"/>
      <c r="BQ485" s="4"/>
      <c r="BR485" s="8"/>
      <c r="BS485" s="7"/>
      <c r="BT485" s="7"/>
      <c r="BU485" s="2" t="s">
        <v>2362</v>
      </c>
      <c r="BV485" s="2" t="s">
        <v>243</v>
      </c>
      <c r="BW485" s="2" t="s">
        <v>235</v>
      </c>
      <c r="BX485" s="2" t="s">
        <v>244</v>
      </c>
      <c r="BY485" s="2" t="s">
        <v>245</v>
      </c>
      <c r="BZ485" s="2" t="s">
        <v>232</v>
      </c>
      <c r="CA485" s="2" t="s">
        <v>252</v>
      </c>
      <c r="CB485" s="2" t="s">
        <v>527</v>
      </c>
      <c r="CC485" s="2" t="s">
        <v>248</v>
      </c>
      <c r="CD485" s="2" t="s">
        <v>248</v>
      </c>
      <c r="CE485" s="2" t="s">
        <v>235</v>
      </c>
      <c r="CF485" s="4">
        <v>240</v>
      </c>
      <c r="CG485" s="4"/>
      <c r="CH485" s="4"/>
      <c r="CI485" s="4">
        <v>347</v>
      </c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>
        <v>588</v>
      </c>
      <c r="GE485" s="4">
        <v>560</v>
      </c>
      <c r="GF485" s="4">
        <v>555</v>
      </c>
      <c r="GG485" s="4">
        <v>549</v>
      </c>
      <c r="GH485" s="4">
        <v>541</v>
      </c>
      <c r="GI485" s="4">
        <v>535</v>
      </c>
      <c r="GJ485" s="4">
        <v>525</v>
      </c>
      <c r="GK485" s="4">
        <v>515</v>
      </c>
      <c r="GL485" s="4">
        <v>508</v>
      </c>
      <c r="GM485" s="4">
        <v>502</v>
      </c>
      <c r="GN485" s="4">
        <v>497</v>
      </c>
      <c r="GO485" s="4">
        <v>490</v>
      </c>
      <c r="GP485" s="4">
        <v>482</v>
      </c>
      <c r="GQ485" s="4">
        <v>474</v>
      </c>
      <c r="GR485" s="4">
        <v>464</v>
      </c>
      <c r="GS485" s="4">
        <v>456</v>
      </c>
      <c r="GT485" s="4">
        <v>448</v>
      </c>
      <c r="GU485" s="4">
        <v>443</v>
      </c>
      <c r="GV485" s="4">
        <v>431</v>
      </c>
      <c r="GW485" s="4">
        <v>421</v>
      </c>
      <c r="GX485" s="4">
        <v>411</v>
      </c>
      <c r="GY485" s="4">
        <v>404</v>
      </c>
      <c r="GZ485" s="4">
        <v>395</v>
      </c>
      <c r="HA485" s="4">
        <v>385</v>
      </c>
      <c r="HB485" s="4">
        <v>376</v>
      </c>
      <c r="HC485" s="4">
        <v>366</v>
      </c>
      <c r="HD485" s="19">
        <v>49</v>
      </c>
      <c r="HE485" s="19">
        <v>93.3</v>
      </c>
      <c r="HF485" s="19">
        <v>69.4</v>
      </c>
      <c r="HG485" s="19">
        <v>68.6</v>
      </c>
      <c r="HH485" s="19">
        <v>67.6</v>
      </c>
      <c r="HI485" s="19">
        <v>66.9</v>
      </c>
      <c r="HJ485" s="19">
        <v>75</v>
      </c>
      <c r="HK485" s="19">
        <v>85.8</v>
      </c>
      <c r="HL485" s="19">
        <v>84.7</v>
      </c>
      <c r="HM485" s="19">
        <v>71.7</v>
      </c>
      <c r="HN485" s="19">
        <v>62.1</v>
      </c>
      <c r="HO485" s="19">
        <v>61.3</v>
      </c>
      <c r="HP485" s="19">
        <v>60.3</v>
      </c>
      <c r="HQ485" s="19">
        <v>59.3</v>
      </c>
      <c r="HR485" s="19">
        <v>58</v>
      </c>
      <c r="HS485" s="19">
        <v>50.7</v>
      </c>
      <c r="HT485" s="19">
        <v>49.8</v>
      </c>
      <c r="HU485" s="19">
        <v>44.3</v>
      </c>
      <c r="HV485" s="19">
        <v>47.9</v>
      </c>
      <c r="HW485" s="19">
        <v>46.8</v>
      </c>
      <c r="HX485" s="19">
        <v>45.7</v>
      </c>
      <c r="HY485" s="19">
        <v>40.4</v>
      </c>
      <c r="HZ485" s="19">
        <v>39.5</v>
      </c>
      <c r="IA485" s="19">
        <v>38.5</v>
      </c>
      <c r="IB485" s="19">
        <v>37.6</v>
      </c>
      <c r="IC485" s="19">
        <v>36.6</v>
      </c>
    </row>
    <row r="486">
      <c r="A486" s="2" t="s">
        <v>2363</v>
      </c>
      <c r="B486" s="2" t="s">
        <v>800</v>
      </c>
      <c r="C486" s="2" t="s">
        <v>943</v>
      </c>
      <c r="D486" s="2" t="s">
        <v>960</v>
      </c>
      <c r="E486" s="2" t="s">
        <v>961</v>
      </c>
      <c r="F486" s="2" t="s">
        <v>2364</v>
      </c>
      <c r="G486" s="2" t="s">
        <v>2364</v>
      </c>
      <c r="H486" s="2" t="s">
        <v>2364</v>
      </c>
      <c r="I486" s="2" t="s">
        <v>2365</v>
      </c>
      <c r="J486" s="2" t="s">
        <v>806</v>
      </c>
      <c r="K486" s="2" t="s">
        <v>316</v>
      </c>
      <c r="L486" s="3">
        <v>37.75</v>
      </c>
      <c r="M486" s="3">
        <v>39.64</v>
      </c>
      <c r="N486" s="3">
        <v>84.99</v>
      </c>
      <c r="O486" s="2" t="s">
        <v>407</v>
      </c>
      <c r="P486" s="2" t="s">
        <v>408</v>
      </c>
      <c r="Q486" s="2" t="s">
        <v>234</v>
      </c>
      <c r="R486" s="2" t="s">
        <v>235</v>
      </c>
      <c r="S486" s="2" t="s">
        <v>235</v>
      </c>
      <c r="T486" s="2" t="s">
        <v>235</v>
      </c>
      <c r="U486" s="2" t="s">
        <v>807</v>
      </c>
      <c r="V486" s="2" t="s">
        <v>808</v>
      </c>
      <c r="W486" s="2" t="s">
        <v>682</v>
      </c>
      <c r="X486" s="2" t="s">
        <v>235</v>
      </c>
      <c r="Y486" s="2" t="s">
        <v>2366</v>
      </c>
      <c r="Z486" s="4"/>
      <c r="AA486" s="4">
        <f>=ROUNDDOWN({0},0)</f>
      </c>
      <c r="AB486" s="5">
        <v>2.1</v>
      </c>
      <c r="AC486" s="2" t="s">
        <v>235</v>
      </c>
      <c r="AD486" s="4"/>
      <c r="AE486" s="4"/>
      <c r="AF486" s="6">
        <v>65</v>
      </c>
      <c r="AG486" s="6"/>
      <c r="AH486" s="7">
        <v>0</v>
      </c>
      <c r="AI486" s="4"/>
      <c r="AJ486" s="4">
        <f>=ROUNDDOWN({0},0)</f>
      </c>
      <c r="AK486" s="5"/>
      <c r="AL486" s="2" t="s">
        <v>235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2367</v>
      </c>
      <c r="BM486" s="7"/>
      <c r="BN486" s="7"/>
      <c r="BO486" s="4"/>
      <c r="BP486" s="8"/>
      <c r="BQ486" s="4"/>
      <c r="BR486" s="8"/>
      <c r="BS486" s="7"/>
      <c r="BT486" s="7"/>
      <c r="BU486" s="2" t="s">
        <v>2368</v>
      </c>
      <c r="BV486" s="2" t="s">
        <v>813</v>
      </c>
      <c r="BW486" s="2" t="s">
        <v>235</v>
      </c>
      <c r="BX486" s="2" t="s">
        <v>414</v>
      </c>
      <c r="BY486" s="2" t="s">
        <v>245</v>
      </c>
      <c r="BZ486" s="2" t="s">
        <v>232</v>
      </c>
      <c r="CA486" s="2" t="s">
        <v>2369</v>
      </c>
      <c r="CB486" s="2" t="s">
        <v>2370</v>
      </c>
      <c r="CC486" s="2" t="s">
        <v>248</v>
      </c>
      <c r="CD486" s="2" t="s">
        <v>248</v>
      </c>
      <c r="CE486" s="2" t="s">
        <v>235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20">
        <v>0</v>
      </c>
      <c r="HE486" s="20">
        <v>0</v>
      </c>
      <c r="HF486" s="20">
        <v>0</v>
      </c>
      <c r="HG486" s="20">
        <v>0</v>
      </c>
      <c r="HH486" s="20">
        <v>0</v>
      </c>
      <c r="HI486" s="20">
        <v>0</v>
      </c>
      <c r="HJ486" s="20">
        <v>0</v>
      </c>
      <c r="HK486" s="20">
        <v>0</v>
      </c>
      <c r="HL486" s="20">
        <v>0</v>
      </c>
      <c r="HM486" s="20">
        <v>0</v>
      </c>
      <c r="HN486" s="20">
        <v>0</v>
      </c>
      <c r="HO486" s="20">
        <v>0</v>
      </c>
      <c r="HP486" s="20">
        <v>0</v>
      </c>
      <c r="HQ486" s="20">
        <v>0</v>
      </c>
      <c r="HR486" s="20">
        <v>0</v>
      </c>
      <c r="HS486" s="20">
        <v>0</v>
      </c>
      <c r="HT486" s="20">
        <v>0</v>
      </c>
      <c r="HU486" s="20">
        <v>0</v>
      </c>
      <c r="HV486" s="20">
        <v>0</v>
      </c>
      <c r="HW486" s="20">
        <v>0</v>
      </c>
      <c r="HX486" s="20">
        <v>0</v>
      </c>
      <c r="HY486" s="20">
        <v>0</v>
      </c>
      <c r="HZ486" s="20">
        <v>0</v>
      </c>
      <c r="IA486" s="20">
        <v>0</v>
      </c>
      <c r="IB486" s="20">
        <v>0</v>
      </c>
      <c r="IC486" s="20">
        <v>0</v>
      </c>
    </row>
    <row r="487">
      <c r="A487" s="2" t="s">
        <v>2371</v>
      </c>
      <c r="B487" s="2" t="s">
        <v>800</v>
      </c>
      <c r="C487" s="2" t="s">
        <v>1085</v>
      </c>
      <c r="D487" s="2" t="s">
        <v>1491</v>
      </c>
      <c r="E487" s="2" t="s">
        <v>1492</v>
      </c>
      <c r="F487" s="2" t="s">
        <v>2372</v>
      </c>
      <c r="G487" s="2" t="s">
        <v>2372</v>
      </c>
      <c r="H487" s="2" t="s">
        <v>2372</v>
      </c>
      <c r="I487" s="2" t="s">
        <v>2373</v>
      </c>
      <c r="J487" s="2" t="s">
        <v>806</v>
      </c>
      <c r="K487" s="2" t="s">
        <v>378</v>
      </c>
      <c r="L487" s="3">
        <v>60.75</v>
      </c>
      <c r="M487" s="3">
        <v>63.79</v>
      </c>
      <c r="N487" s="3">
        <v>139.99</v>
      </c>
      <c r="O487" s="2" t="s">
        <v>485</v>
      </c>
      <c r="P487" s="2" t="s">
        <v>408</v>
      </c>
      <c r="Q487" s="2" t="s">
        <v>234</v>
      </c>
      <c r="R487" s="2" t="s">
        <v>235</v>
      </c>
      <c r="S487" s="2" t="s">
        <v>235</v>
      </c>
      <c r="T487" s="2" t="s">
        <v>235</v>
      </c>
      <c r="U487" s="2" t="s">
        <v>807</v>
      </c>
      <c r="V487" s="2" t="s">
        <v>808</v>
      </c>
      <c r="W487" s="2" t="s">
        <v>682</v>
      </c>
      <c r="X487" s="2" t="s">
        <v>2374</v>
      </c>
      <c r="Y487" s="2" t="s">
        <v>1121</v>
      </c>
      <c r="Z487" s="4">
        <v>33</v>
      </c>
      <c r="AA487" s="4">
        <f>=ROUNDDOWN(18.3333333333333,0)</f>
      </c>
      <c r="AB487" s="5">
        <v>1.8</v>
      </c>
      <c r="AC487" s="2" t="s">
        <v>235</v>
      </c>
      <c r="AD487" s="4"/>
      <c r="AE487" s="4"/>
      <c r="AF487" s="6">
        <v>63</v>
      </c>
      <c r="AG487" s="6"/>
      <c r="AH487" s="7">
        <v>1</v>
      </c>
      <c r="AI487" s="4"/>
      <c r="AJ487" s="4">
        <f>=ROUNDDOWN({0},0)</f>
      </c>
      <c r="AK487" s="5"/>
      <c r="AL487" s="2" t="s">
        <v>235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>
        <v>9</v>
      </c>
      <c r="BK487" s="8">
        <v>514.68</v>
      </c>
      <c r="BL487" s="2" t="s">
        <v>592</v>
      </c>
      <c r="BM487" s="7"/>
      <c r="BN487" s="7"/>
      <c r="BO487" s="4"/>
      <c r="BP487" s="8"/>
      <c r="BQ487" s="4"/>
      <c r="BR487" s="8"/>
      <c r="BS487" s="7"/>
      <c r="BT487" s="7"/>
      <c r="BU487" s="2" t="s">
        <v>2375</v>
      </c>
      <c r="BV487" s="2" t="s">
        <v>813</v>
      </c>
      <c r="BW487" s="2" t="s">
        <v>235</v>
      </c>
      <c r="BX487" s="2" t="s">
        <v>414</v>
      </c>
      <c r="BY487" s="2" t="s">
        <v>245</v>
      </c>
      <c r="BZ487" s="2" t="s">
        <v>232</v>
      </c>
      <c r="CA487" s="2" t="s">
        <v>1124</v>
      </c>
      <c r="CB487" s="2" t="s">
        <v>1030</v>
      </c>
      <c r="CC487" s="2" t="s">
        <v>248</v>
      </c>
      <c r="CD487" s="2" t="s">
        <v>248</v>
      </c>
      <c r="CE487" s="2" t="s">
        <v>235</v>
      </c>
      <c r="CF487" s="4"/>
      <c r="CG487" s="4">
        <v>33</v>
      </c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>
        <v>37</v>
      </c>
      <c r="GE487" s="4">
        <v>34</v>
      </c>
      <c r="GF487" s="4">
        <v>32</v>
      </c>
      <c r="GG487" s="4">
        <v>30</v>
      </c>
      <c r="GH487" s="4">
        <v>28</v>
      </c>
      <c r="GI487" s="4">
        <v>26</v>
      </c>
      <c r="GJ487" s="4">
        <v>24</v>
      </c>
      <c r="GK487" s="4">
        <v>22</v>
      </c>
      <c r="GL487" s="4">
        <v>20</v>
      </c>
      <c r="GM487" s="4">
        <v>18</v>
      </c>
      <c r="GN487" s="4">
        <v>16</v>
      </c>
      <c r="GO487" s="4">
        <v>14</v>
      </c>
      <c r="GP487" s="4">
        <v>11</v>
      </c>
      <c r="GQ487" s="4">
        <v>9</v>
      </c>
      <c r="GR487" s="4">
        <v>7</v>
      </c>
      <c r="GS487" s="4">
        <v>4</v>
      </c>
      <c r="GT487" s="4">
        <v>2</v>
      </c>
      <c r="GU487" s="4"/>
      <c r="GV487" s="4"/>
      <c r="GW487" s="4"/>
      <c r="GX487" s="4"/>
      <c r="GY487" s="4"/>
      <c r="GZ487" s="4"/>
      <c r="HA487" s="4"/>
      <c r="HB487" s="4"/>
      <c r="HC487" s="4"/>
      <c r="HD487" s="19">
        <v>18.5</v>
      </c>
      <c r="HE487" s="19">
        <v>17</v>
      </c>
      <c r="HF487" s="19">
        <v>16</v>
      </c>
      <c r="HG487" s="19">
        <v>15</v>
      </c>
      <c r="HH487" s="19">
        <v>14</v>
      </c>
      <c r="HI487" s="19">
        <v>13</v>
      </c>
      <c r="HJ487" s="19">
        <v>12</v>
      </c>
      <c r="HK487" s="19">
        <v>11</v>
      </c>
      <c r="HL487" s="19">
        <v>10</v>
      </c>
      <c r="HM487" s="19">
        <v>9</v>
      </c>
      <c r="HN487" s="19">
        <v>8</v>
      </c>
      <c r="HO487" s="19">
        <v>7</v>
      </c>
      <c r="HP487" s="19">
        <v>5.5</v>
      </c>
      <c r="HQ487" s="19">
        <v>4.5</v>
      </c>
      <c r="HR487" s="19">
        <v>3.5</v>
      </c>
      <c r="HS487" s="19">
        <v>2</v>
      </c>
      <c r="HT487" s="19">
        <v>1</v>
      </c>
      <c r="HU487" s="20">
        <v>0</v>
      </c>
      <c r="HV487" s="20">
        <v>0</v>
      </c>
      <c r="HW487" s="20">
        <v>0</v>
      </c>
      <c r="HX487" s="20">
        <v>0</v>
      </c>
      <c r="HY487" s="20">
        <v>0</v>
      </c>
      <c r="HZ487" s="20">
        <v>0</v>
      </c>
      <c r="IA487" s="20">
        <v>0</v>
      </c>
      <c r="IB487" s="20">
        <v>0</v>
      </c>
      <c r="IC487" s="20">
        <v>0</v>
      </c>
    </row>
    <row r="488">
      <c r="A488" s="2" t="s">
        <v>2376</v>
      </c>
      <c r="B488" s="2" t="s">
        <v>255</v>
      </c>
      <c r="C488" s="2" t="s">
        <v>2023</v>
      </c>
      <c r="D488" s="2" t="s">
        <v>1539</v>
      </c>
      <c r="E488" s="2" t="s">
        <v>1540</v>
      </c>
      <c r="F488" s="2" t="s">
        <v>2377</v>
      </c>
      <c r="G488" s="2" t="s">
        <v>2377</v>
      </c>
      <c r="H488" s="2" t="s">
        <v>2377</v>
      </c>
      <c r="I488" s="2" t="s">
        <v>2378</v>
      </c>
      <c r="J488" s="2" t="s">
        <v>2379</v>
      </c>
      <c r="K488" s="2" t="s">
        <v>231</v>
      </c>
      <c r="L488" s="3">
        <v>13.65</v>
      </c>
      <c r="M488" s="3">
        <v>14.33</v>
      </c>
      <c r="N488" s="3">
        <v>32.99</v>
      </c>
      <c r="O488" s="2" t="s">
        <v>232</v>
      </c>
      <c r="P488" s="2" t="s">
        <v>408</v>
      </c>
      <c r="Q488" s="2" t="s">
        <v>234</v>
      </c>
      <c r="R488" s="2" t="s">
        <v>235</v>
      </c>
      <c r="S488" s="2" t="s">
        <v>2380</v>
      </c>
      <c r="T488" s="2" t="s">
        <v>235</v>
      </c>
      <c r="U488" s="2" t="s">
        <v>235</v>
      </c>
      <c r="V488" s="2" t="s">
        <v>1472</v>
      </c>
      <c r="W488" s="2" t="s">
        <v>671</v>
      </c>
      <c r="X488" s="2" t="s">
        <v>1596</v>
      </c>
      <c r="Y488" s="2" t="s">
        <v>240</v>
      </c>
      <c r="Z488" s="4">
        <v>4</v>
      </c>
      <c r="AA488" s="4">
        <f>=ROUNDDOWN(0.8,0)</f>
      </c>
      <c r="AB488" s="5">
        <v>5</v>
      </c>
      <c r="AC488" s="2" t="s">
        <v>235</v>
      </c>
      <c r="AD488" s="4"/>
      <c r="AE488" s="4"/>
      <c r="AF488" s="6">
        <v>79</v>
      </c>
      <c r="AG488" s="6"/>
      <c r="AH488" s="7">
        <v>1</v>
      </c>
      <c r="AI488" s="4"/>
      <c r="AJ488" s="4">
        <f>=ROUNDDOWN({0},0)</f>
      </c>
      <c r="AK488" s="5"/>
      <c r="AL488" s="2" t="s">
        <v>235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>
        <v>6</v>
      </c>
      <c r="BK488" s="8">
        <v>63.98</v>
      </c>
      <c r="BL488" s="2" t="s">
        <v>2381</v>
      </c>
      <c r="BM488" s="7"/>
      <c r="BN488" s="7"/>
      <c r="BO488" s="4"/>
      <c r="BP488" s="8"/>
      <c r="BQ488" s="4"/>
      <c r="BR488" s="8"/>
      <c r="BS488" s="7"/>
      <c r="BT488" s="7"/>
      <c r="BU488" s="2" t="s">
        <v>2382</v>
      </c>
      <c r="BV488" s="2" t="s">
        <v>243</v>
      </c>
      <c r="BW488" s="2" t="s">
        <v>235</v>
      </c>
      <c r="BX488" s="2" t="s">
        <v>414</v>
      </c>
      <c r="BY488" s="2" t="s">
        <v>245</v>
      </c>
      <c r="BZ488" s="2" t="s">
        <v>232</v>
      </c>
      <c r="CA488" s="2" t="s">
        <v>252</v>
      </c>
      <c r="CB488" s="2" t="s">
        <v>2045</v>
      </c>
      <c r="CC488" s="2" t="s">
        <v>492</v>
      </c>
      <c r="CD488" s="2" t="s">
        <v>248</v>
      </c>
      <c r="CE488" s="2" t="s">
        <v>235</v>
      </c>
      <c r="CF488" s="4"/>
      <c r="CG488" s="4">
        <v>4</v>
      </c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>
        <v>5</v>
      </c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19">
        <v>1.3</v>
      </c>
      <c r="HE488" s="20">
        <v>0</v>
      </c>
      <c r="HF488" s="20">
        <v>0</v>
      </c>
      <c r="HG488" s="20">
        <v>0</v>
      </c>
      <c r="HH488" s="20">
        <v>0</v>
      </c>
      <c r="HI488" s="20">
        <v>0</v>
      </c>
      <c r="HJ488" s="20">
        <v>0</v>
      </c>
      <c r="HK488" s="20">
        <v>0</v>
      </c>
      <c r="HL488" s="20">
        <v>0</v>
      </c>
      <c r="HM488" s="20">
        <v>0</v>
      </c>
      <c r="HN488" s="20">
        <v>0</v>
      </c>
      <c r="HO488" s="20">
        <v>0</v>
      </c>
      <c r="HP488" s="20">
        <v>0</v>
      </c>
      <c r="HQ488" s="20">
        <v>0</v>
      </c>
      <c r="HR488" s="20">
        <v>0</v>
      </c>
      <c r="HS488" s="20">
        <v>0</v>
      </c>
      <c r="HT488" s="20">
        <v>0</v>
      </c>
      <c r="HU488" s="20">
        <v>0</v>
      </c>
      <c r="HV488" s="20">
        <v>0</v>
      </c>
      <c r="HW488" s="20">
        <v>0</v>
      </c>
      <c r="HX488" s="20">
        <v>0</v>
      </c>
      <c r="HY488" s="20">
        <v>0</v>
      </c>
      <c r="HZ488" s="20">
        <v>0</v>
      </c>
      <c r="IA488" s="20">
        <v>0</v>
      </c>
      <c r="IB488" s="20">
        <v>0</v>
      </c>
      <c r="IC488" s="20">
        <v>0</v>
      </c>
    </row>
    <row r="489">
      <c r="A489" s="2" t="s">
        <v>2383</v>
      </c>
      <c r="B489" s="2" t="s">
        <v>871</v>
      </c>
      <c r="C489" s="2" t="s">
        <v>2384</v>
      </c>
      <c r="D489" s="2" t="s">
        <v>361</v>
      </c>
      <c r="E489" s="2" t="s">
        <v>872</v>
      </c>
      <c r="F489" s="2" t="s">
        <v>2385</v>
      </c>
      <c r="G489" s="2" t="s">
        <v>235</v>
      </c>
      <c r="H489" s="2" t="s">
        <v>235</v>
      </c>
      <c r="I489" s="2" t="s">
        <v>924</v>
      </c>
      <c r="J489" s="2" t="s">
        <v>270</v>
      </c>
      <c r="K489" s="2" t="s">
        <v>2386</v>
      </c>
      <c r="L489" s="3">
        <v>98.7</v>
      </c>
      <c r="M489" s="3">
        <v>103.63</v>
      </c>
      <c r="N489" s="3">
        <v>209.99</v>
      </c>
      <c r="O489" s="2" t="s">
        <v>232</v>
      </c>
      <c r="P489" s="2" t="s">
        <v>233</v>
      </c>
      <c r="Q489" s="2" t="s">
        <v>234</v>
      </c>
      <c r="R489" s="2" t="s">
        <v>235</v>
      </c>
      <c r="S489" s="2" t="s">
        <v>2387</v>
      </c>
      <c r="T489" s="2" t="s">
        <v>235</v>
      </c>
      <c r="U489" s="2" t="s">
        <v>552</v>
      </c>
      <c r="V489" s="2" t="s">
        <v>880</v>
      </c>
      <c r="W489" s="2" t="s">
        <v>682</v>
      </c>
      <c r="X489" s="2" t="s">
        <v>235</v>
      </c>
      <c r="Y489" s="2" t="s">
        <v>240</v>
      </c>
      <c r="Z489" s="4">
        <v>3</v>
      </c>
      <c r="AA489" s="4">
        <f>=ROUNDDOWN(1.5,0)</f>
      </c>
      <c r="AB489" s="5">
        <v>2</v>
      </c>
      <c r="AC489" s="2" t="s">
        <v>235</v>
      </c>
      <c r="AD489" s="4"/>
      <c r="AE489" s="4"/>
      <c r="AF489" s="6">
        <v>76</v>
      </c>
      <c r="AG489" s="6"/>
      <c r="AH489" s="7">
        <v>0</v>
      </c>
      <c r="AI489" s="4"/>
      <c r="AJ489" s="4">
        <f>=ROUNDDOWN({0},0)</f>
      </c>
      <c r="AK489" s="5"/>
      <c r="AL489" s="2" t="s">
        <v>235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2388</v>
      </c>
      <c r="BM489" s="7"/>
      <c r="BN489" s="7"/>
      <c r="BO489" s="4"/>
      <c r="BP489" s="8"/>
      <c r="BQ489" s="4"/>
      <c r="BR489" s="8"/>
      <c r="BS489" s="7"/>
      <c r="BT489" s="7"/>
      <c r="BU489" s="2" t="s">
        <v>2389</v>
      </c>
      <c r="BV489" s="2" t="s">
        <v>243</v>
      </c>
      <c r="BW489" s="2" t="s">
        <v>235</v>
      </c>
      <c r="BX489" s="2" t="s">
        <v>244</v>
      </c>
      <c r="BY489" s="2" t="s">
        <v>245</v>
      </c>
      <c r="BZ489" s="2" t="s">
        <v>232</v>
      </c>
      <c r="CA489" s="2" t="s">
        <v>252</v>
      </c>
      <c r="CB489" s="2" t="s">
        <v>603</v>
      </c>
      <c r="CC489" s="2" t="s">
        <v>248</v>
      </c>
      <c r="CD489" s="2" t="s">
        <v>248</v>
      </c>
      <c r="CE489" s="2" t="s">
        <v>235</v>
      </c>
      <c r="CF489" s="4">
        <v>3</v>
      </c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>
        <v>3</v>
      </c>
      <c r="GE489" s="4">
        <v>1</v>
      </c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>
        <v>92</v>
      </c>
      <c r="GX489" s="4">
        <v>90</v>
      </c>
      <c r="GY489" s="4">
        <v>89</v>
      </c>
      <c r="GZ489" s="4">
        <v>88</v>
      </c>
      <c r="HA489" s="4">
        <v>87</v>
      </c>
      <c r="HB489" s="4">
        <v>85</v>
      </c>
      <c r="HC489" s="4">
        <v>83</v>
      </c>
      <c r="HD489" s="19">
        <v>1.5</v>
      </c>
      <c r="HE489" s="19">
        <v>0.5</v>
      </c>
      <c r="HF489" s="20">
        <v>0</v>
      </c>
      <c r="HG489" s="20">
        <v>0</v>
      </c>
      <c r="HH489" s="9"/>
      <c r="HI489" s="9"/>
      <c r="HJ489" s="20">
        <v>0</v>
      </c>
      <c r="HK489" s="20">
        <v>0</v>
      </c>
      <c r="HL489" s="20">
        <v>0</v>
      </c>
      <c r="HM489" s="20">
        <v>0</v>
      </c>
      <c r="HN489" s="20">
        <v>0</v>
      </c>
      <c r="HO489" s="20">
        <v>0</v>
      </c>
      <c r="HP489" s="20">
        <v>0</v>
      </c>
      <c r="HQ489" s="20">
        <v>0</v>
      </c>
      <c r="HR489" s="20">
        <v>0</v>
      </c>
      <c r="HS489" s="20">
        <v>0</v>
      </c>
      <c r="HT489" s="20">
        <v>0</v>
      </c>
      <c r="HU489" s="20">
        <v>0</v>
      </c>
      <c r="HV489" s="20">
        <v>0</v>
      </c>
      <c r="HW489" s="19">
        <v>92</v>
      </c>
      <c r="HX489" s="19">
        <v>90</v>
      </c>
      <c r="HY489" s="19">
        <v>44.5</v>
      </c>
      <c r="HZ489" s="19">
        <v>44</v>
      </c>
      <c r="IA489" s="19">
        <v>43.5</v>
      </c>
      <c r="IB489" s="19">
        <v>42.5</v>
      </c>
      <c r="IC489" s="19">
        <v>41.5</v>
      </c>
    </row>
    <row r="490">
      <c r="A490" s="2" t="s">
        <v>2390</v>
      </c>
      <c r="B490" s="2" t="s">
        <v>323</v>
      </c>
      <c r="C490" s="2" t="s">
        <v>853</v>
      </c>
      <c r="D490" s="2" t="s">
        <v>257</v>
      </c>
      <c r="E490" s="2" t="s">
        <v>258</v>
      </c>
      <c r="F490" s="2" t="s">
        <v>2391</v>
      </c>
      <c r="G490" s="2" t="s">
        <v>2391</v>
      </c>
      <c r="H490" s="2" t="s">
        <v>2391</v>
      </c>
      <c r="I490" s="2" t="s">
        <v>2392</v>
      </c>
      <c r="J490" s="2" t="s">
        <v>394</v>
      </c>
      <c r="K490" s="2" t="s">
        <v>292</v>
      </c>
      <c r="L490" s="3">
        <v>12.96</v>
      </c>
      <c r="M490" s="3">
        <v>13.61</v>
      </c>
      <c r="N490" s="3">
        <v>26.99</v>
      </c>
      <c r="O490" s="2" t="s">
        <v>485</v>
      </c>
      <c r="P490" s="2" t="s">
        <v>408</v>
      </c>
      <c r="Q490" s="2" t="s">
        <v>234</v>
      </c>
      <c r="R490" s="2" t="s">
        <v>235</v>
      </c>
      <c r="S490" s="2" t="s">
        <v>2393</v>
      </c>
      <c r="T490" s="2" t="s">
        <v>501</v>
      </c>
      <c r="U490" s="2" t="s">
        <v>235</v>
      </c>
      <c r="V490" s="2" t="s">
        <v>863</v>
      </c>
      <c r="W490" s="2" t="s">
        <v>239</v>
      </c>
      <c r="X490" s="2" t="s">
        <v>235</v>
      </c>
      <c r="Y490" s="2" t="s">
        <v>240</v>
      </c>
      <c r="Z490" s="4">
        <v>208</v>
      </c>
      <c r="AA490" s="4">
        <f>=ROUNDDOWN(160,0)</f>
      </c>
      <c r="AB490" s="5">
        <v>1.3</v>
      </c>
      <c r="AC490" s="2" t="s">
        <v>235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235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>
        <v>8</v>
      </c>
      <c r="BK490" s="8">
        <v>79.46</v>
      </c>
      <c r="BL490" s="2" t="s">
        <v>2394</v>
      </c>
      <c r="BM490" s="7"/>
      <c r="BN490" s="7"/>
      <c r="BO490" s="4"/>
      <c r="BP490" s="8"/>
      <c r="BQ490" s="4"/>
      <c r="BR490" s="8"/>
      <c r="BS490" s="7"/>
      <c r="BT490" s="7"/>
      <c r="BU490" s="2" t="s">
        <v>2395</v>
      </c>
      <c r="BV490" s="2" t="s">
        <v>243</v>
      </c>
      <c r="BW490" s="2" t="s">
        <v>235</v>
      </c>
      <c r="BX490" s="2" t="s">
        <v>414</v>
      </c>
      <c r="BY490" s="2" t="s">
        <v>245</v>
      </c>
      <c r="BZ490" s="2" t="s">
        <v>232</v>
      </c>
      <c r="CA490" s="2" t="s">
        <v>252</v>
      </c>
      <c r="CB490" s="2" t="s">
        <v>2396</v>
      </c>
      <c r="CC490" s="2" t="s">
        <v>492</v>
      </c>
      <c r="CD490" s="2" t="s">
        <v>248</v>
      </c>
      <c r="CE490" s="2" t="s">
        <v>235</v>
      </c>
      <c r="CF490" s="4">
        <v>208</v>
      </c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>
        <v>208</v>
      </c>
      <c r="GE490" s="4">
        <v>200</v>
      </c>
      <c r="GF490" s="4">
        <v>198</v>
      </c>
      <c r="GG490" s="4">
        <v>196</v>
      </c>
      <c r="GH490" s="4">
        <v>194</v>
      </c>
      <c r="GI490" s="4">
        <v>192</v>
      </c>
      <c r="GJ490" s="4">
        <v>188</v>
      </c>
      <c r="GK490" s="4">
        <v>184</v>
      </c>
      <c r="GL490" s="4">
        <v>181</v>
      </c>
      <c r="GM490" s="4">
        <v>179</v>
      </c>
      <c r="GN490" s="4">
        <v>177</v>
      </c>
      <c r="GO490" s="4">
        <v>175</v>
      </c>
      <c r="GP490" s="4">
        <v>173</v>
      </c>
      <c r="GQ490" s="4">
        <v>169</v>
      </c>
      <c r="GR490" s="4">
        <v>165</v>
      </c>
      <c r="GS490" s="4">
        <v>162</v>
      </c>
      <c r="GT490" s="4">
        <v>160</v>
      </c>
      <c r="GU490" s="4">
        <v>158</v>
      </c>
      <c r="GV490" s="4">
        <v>156</v>
      </c>
      <c r="GW490" s="4">
        <v>154</v>
      </c>
      <c r="GX490" s="4">
        <v>152</v>
      </c>
      <c r="GY490" s="4">
        <v>150</v>
      </c>
      <c r="GZ490" s="4">
        <v>148</v>
      </c>
      <c r="HA490" s="4">
        <v>146</v>
      </c>
      <c r="HB490" s="4">
        <v>144</v>
      </c>
      <c r="HC490" s="4">
        <v>142</v>
      </c>
      <c r="HD490" s="19">
        <v>52</v>
      </c>
      <c r="HE490" s="19">
        <v>100</v>
      </c>
      <c r="HF490" s="19">
        <v>99</v>
      </c>
      <c r="HG490" s="19">
        <v>65.3</v>
      </c>
      <c r="HH490" s="19">
        <v>64.7</v>
      </c>
      <c r="HI490" s="19">
        <v>64</v>
      </c>
      <c r="HJ490" s="19">
        <v>62.7</v>
      </c>
      <c r="HK490" s="19">
        <v>92</v>
      </c>
      <c r="HL490" s="19">
        <v>90.5</v>
      </c>
      <c r="HM490" s="19">
        <v>89.5</v>
      </c>
      <c r="HN490" s="19">
        <v>59</v>
      </c>
      <c r="HO490" s="19">
        <v>58.3</v>
      </c>
      <c r="HP490" s="19">
        <v>57.7</v>
      </c>
      <c r="HQ490" s="19">
        <v>56.3</v>
      </c>
      <c r="HR490" s="19">
        <v>82.5</v>
      </c>
      <c r="HS490" s="19">
        <v>81</v>
      </c>
      <c r="HT490" s="19">
        <v>80</v>
      </c>
      <c r="HU490" s="19">
        <v>79</v>
      </c>
      <c r="HV490" s="19">
        <v>78</v>
      </c>
      <c r="HW490" s="19">
        <v>77</v>
      </c>
      <c r="HX490" s="19">
        <v>76</v>
      </c>
      <c r="HY490" s="19">
        <v>75</v>
      </c>
      <c r="HZ490" s="19">
        <v>74</v>
      </c>
      <c r="IA490" s="19">
        <v>73</v>
      </c>
      <c r="IB490" s="19">
        <v>72</v>
      </c>
      <c r="IC490" s="19">
        <v>71</v>
      </c>
    </row>
    <row r="491">
      <c r="A491" s="2" t="s">
        <v>2397</v>
      </c>
      <c r="B491" s="2" t="s">
        <v>800</v>
      </c>
      <c r="C491" s="2" t="s">
        <v>943</v>
      </c>
      <c r="D491" s="2" t="s">
        <v>960</v>
      </c>
      <c r="E491" s="2" t="s">
        <v>961</v>
      </c>
      <c r="F491" s="2" t="s">
        <v>2398</v>
      </c>
      <c r="G491" s="2" t="s">
        <v>2398</v>
      </c>
      <c r="H491" s="2" t="s">
        <v>2398</v>
      </c>
      <c r="I491" s="2" t="s">
        <v>2399</v>
      </c>
      <c r="J491" s="2" t="s">
        <v>897</v>
      </c>
      <c r="K491" s="2" t="s">
        <v>735</v>
      </c>
      <c r="L491" s="3">
        <v>24.8</v>
      </c>
      <c r="M491" s="3">
        <v>26.04</v>
      </c>
      <c r="N491" s="3">
        <v>49.99</v>
      </c>
      <c r="O491" s="2" t="s">
        <v>232</v>
      </c>
      <c r="P491" s="2" t="s">
        <v>336</v>
      </c>
      <c r="Q491" s="2" t="s">
        <v>234</v>
      </c>
      <c r="R491" s="2" t="s">
        <v>235</v>
      </c>
      <c r="S491" s="2" t="s">
        <v>235</v>
      </c>
      <c r="T491" s="2" t="s">
        <v>235</v>
      </c>
      <c r="U491" s="2" t="s">
        <v>807</v>
      </c>
      <c r="V491" s="2" t="s">
        <v>808</v>
      </c>
      <c r="W491" s="2" t="s">
        <v>1157</v>
      </c>
      <c r="X491" s="2" t="s">
        <v>239</v>
      </c>
      <c r="Y491" s="2" t="s">
        <v>2400</v>
      </c>
      <c r="Z491" s="4"/>
      <c r="AA491" s="4">
        <f>=ROUNDDOWN({0},0)</f>
      </c>
      <c r="AB491" s="5">
        <v>12</v>
      </c>
      <c r="AC491" s="2" t="s">
        <v>185</v>
      </c>
      <c r="AD491" s="4">
        <v>150</v>
      </c>
      <c r="AE491" s="4">
        <v>250</v>
      </c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235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>
        <v>5</v>
      </c>
      <c r="BK491" s="8">
        <v>168.94</v>
      </c>
      <c r="BL491" s="2" t="s">
        <v>2401</v>
      </c>
      <c r="BM491" s="7"/>
      <c r="BN491" s="7"/>
      <c r="BO491" s="4"/>
      <c r="BP491" s="8"/>
      <c r="BQ491" s="4"/>
      <c r="BR491" s="8"/>
      <c r="BS491" s="7"/>
      <c r="BT491" s="7"/>
      <c r="BU491" s="2" t="s">
        <v>2402</v>
      </c>
      <c r="BV491" s="2" t="s">
        <v>813</v>
      </c>
      <c r="BW491" s="2" t="s">
        <v>235</v>
      </c>
      <c r="BX491" s="2" t="s">
        <v>244</v>
      </c>
      <c r="BY491" s="2" t="s">
        <v>245</v>
      </c>
      <c r="BZ491" s="2" t="s">
        <v>232</v>
      </c>
      <c r="CA491" s="2" t="s">
        <v>970</v>
      </c>
      <c r="CB491" s="2" t="s">
        <v>1034</v>
      </c>
      <c r="CC491" s="2" t="s">
        <v>248</v>
      </c>
      <c r="CD491" s="2" t="s">
        <v>248</v>
      </c>
      <c r="CE491" s="2" t="s">
        <v>235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>
        <v>150</v>
      </c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>
        <v>100</v>
      </c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>
        <v>150</v>
      </c>
      <c r="GP491" s="4">
        <v>134</v>
      </c>
      <c r="GQ491" s="4">
        <v>121</v>
      </c>
      <c r="GR491" s="4">
        <v>108</v>
      </c>
      <c r="GS491" s="4">
        <v>92</v>
      </c>
      <c r="GT491" s="4">
        <v>179</v>
      </c>
      <c r="GU491" s="4">
        <v>166</v>
      </c>
      <c r="GV491" s="4">
        <v>154</v>
      </c>
      <c r="GW491" s="4">
        <v>142</v>
      </c>
      <c r="GX491" s="4">
        <v>130</v>
      </c>
      <c r="GY491" s="4">
        <v>118</v>
      </c>
      <c r="GZ491" s="4">
        <v>106</v>
      </c>
      <c r="HA491" s="4">
        <v>94</v>
      </c>
      <c r="HB491" s="4">
        <v>82</v>
      </c>
      <c r="HC491" s="4">
        <v>68</v>
      </c>
      <c r="HD491" s="20">
        <v>0</v>
      </c>
      <c r="HE491" s="20">
        <v>0</v>
      </c>
      <c r="HF491" s="20">
        <v>0</v>
      </c>
      <c r="HG491" s="20">
        <v>0</v>
      </c>
      <c r="HH491" s="20">
        <v>0</v>
      </c>
      <c r="HI491" s="20">
        <v>0</v>
      </c>
      <c r="HJ491" s="20">
        <v>0</v>
      </c>
      <c r="HK491" s="20">
        <v>0</v>
      </c>
      <c r="HL491" s="20">
        <v>0</v>
      </c>
      <c r="HM491" s="20">
        <v>0</v>
      </c>
      <c r="HN491" s="20">
        <v>0</v>
      </c>
      <c r="HO491" s="19">
        <v>10.7</v>
      </c>
      <c r="HP491" s="19">
        <v>9.6</v>
      </c>
      <c r="HQ491" s="19">
        <v>8.6</v>
      </c>
      <c r="HR491" s="19">
        <v>7.7</v>
      </c>
      <c r="HS491" s="19">
        <v>7.7</v>
      </c>
      <c r="HT491" s="19">
        <v>14.9</v>
      </c>
      <c r="HU491" s="19">
        <v>13.8</v>
      </c>
      <c r="HV491" s="19">
        <v>12.8</v>
      </c>
      <c r="HW491" s="19">
        <v>11.8</v>
      </c>
      <c r="HX491" s="19">
        <v>10.8</v>
      </c>
      <c r="HY491" s="19">
        <v>9.8</v>
      </c>
      <c r="HZ491" s="19">
        <v>8.8</v>
      </c>
      <c r="IA491" s="19">
        <v>7.8</v>
      </c>
      <c r="IB491" s="19">
        <v>6.8</v>
      </c>
      <c r="IC491" s="19">
        <v>5.7</v>
      </c>
    </row>
    <row r="492">
      <c r="A492" s="2" t="s">
        <v>2403</v>
      </c>
      <c r="B492" s="2" t="s">
        <v>871</v>
      </c>
      <c r="C492" s="2" t="s">
        <v>853</v>
      </c>
      <c r="D492" s="2" t="s">
        <v>361</v>
      </c>
      <c r="E492" s="2" t="s">
        <v>872</v>
      </c>
      <c r="F492" s="2" t="s">
        <v>2404</v>
      </c>
      <c r="G492" s="2" t="s">
        <v>2405</v>
      </c>
      <c r="H492" s="2" t="s">
        <v>2406</v>
      </c>
      <c r="I492" s="2" t="s">
        <v>2407</v>
      </c>
      <c r="J492" s="2" t="s">
        <v>877</v>
      </c>
      <c r="K492" s="2" t="s">
        <v>231</v>
      </c>
      <c r="L492" s="3">
        <v>26.41</v>
      </c>
      <c r="M492" s="3">
        <v>27.73</v>
      </c>
      <c r="N492" s="3">
        <v>54.99</v>
      </c>
      <c r="O492" s="2" t="s">
        <v>232</v>
      </c>
      <c r="P492" s="2" t="s">
        <v>233</v>
      </c>
      <c r="Q492" s="2" t="s">
        <v>234</v>
      </c>
      <c r="R492" s="2" t="s">
        <v>235</v>
      </c>
      <c r="S492" s="2" t="s">
        <v>2408</v>
      </c>
      <c r="T492" s="2" t="s">
        <v>501</v>
      </c>
      <c r="U492" s="2" t="s">
        <v>264</v>
      </c>
      <c r="V492" s="2" t="s">
        <v>1843</v>
      </c>
      <c r="W492" s="2" t="s">
        <v>1596</v>
      </c>
      <c r="X492" s="2" t="s">
        <v>235</v>
      </c>
      <c r="Y492" s="2" t="s">
        <v>2409</v>
      </c>
      <c r="Z492" s="4">
        <v>91</v>
      </c>
      <c r="AA492" s="4">
        <f>=ROUNDDOWN(9.1,0)</f>
      </c>
      <c r="AB492" s="5">
        <v>10</v>
      </c>
      <c r="AC492" s="2" t="s">
        <v>2410</v>
      </c>
      <c r="AD492" s="4">
        <v>190</v>
      </c>
      <c r="AE492" s="4">
        <v>190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235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235</v>
      </c>
      <c r="AW492" s="8" t="s">
        <v>235</v>
      </c>
      <c r="AX492" s="4" t="s">
        <v>235</v>
      </c>
      <c r="AY492" s="8" t="s">
        <v>235</v>
      </c>
      <c r="AZ492" s="7" t="s">
        <v>235</v>
      </c>
      <c r="BA492" s="7" t="s">
        <v>235</v>
      </c>
      <c r="BB492" s="7"/>
      <c r="BC492" s="4" t="s">
        <v>235</v>
      </c>
      <c r="BD492" s="8" t="s">
        <v>235</v>
      </c>
      <c r="BE492" s="4" t="s">
        <v>235</v>
      </c>
      <c r="BF492" s="8" t="s">
        <v>235</v>
      </c>
      <c r="BG492" s="7" t="s">
        <v>235</v>
      </c>
      <c r="BH492" s="7" t="s">
        <v>235</v>
      </c>
      <c r="BI492" s="7"/>
      <c r="BJ492" s="4">
        <v>155</v>
      </c>
      <c r="BK492" s="8">
        <v>4752.69</v>
      </c>
      <c r="BL492" s="2" t="s">
        <v>2411</v>
      </c>
      <c r="BM492" s="7"/>
      <c r="BN492" s="7"/>
      <c r="BO492" s="4"/>
      <c r="BP492" s="8"/>
      <c r="BQ492" s="4"/>
      <c r="BR492" s="8"/>
      <c r="BS492" s="7"/>
      <c r="BT492" s="7"/>
      <c r="BU492" s="2" t="s">
        <v>2412</v>
      </c>
      <c r="BV492" s="2" t="s">
        <v>243</v>
      </c>
      <c r="BW492" s="2" t="s">
        <v>235</v>
      </c>
      <c r="BX492" s="2" t="s">
        <v>244</v>
      </c>
      <c r="BY492" s="2" t="s">
        <v>245</v>
      </c>
      <c r="BZ492" s="2" t="s">
        <v>232</v>
      </c>
      <c r="CA492" s="2" t="s">
        <v>415</v>
      </c>
      <c r="CB492" s="2" t="s">
        <v>1629</v>
      </c>
      <c r="CC492" s="2" t="s">
        <v>248</v>
      </c>
      <c r="CD492" s="2" t="s">
        <v>248</v>
      </c>
      <c r="CE492" s="2" t="s">
        <v>235</v>
      </c>
      <c r="CF492" s="4">
        <v>91</v>
      </c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>
        <v>190</v>
      </c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>
        <v>99</v>
      </c>
      <c r="GE492" s="4">
        <v>68</v>
      </c>
      <c r="GF492" s="4">
        <v>58</v>
      </c>
      <c r="GG492" s="4">
        <v>48</v>
      </c>
      <c r="GH492" s="4">
        <v>37</v>
      </c>
      <c r="GI492" s="4">
        <v>26</v>
      </c>
      <c r="GJ492" s="4">
        <v>15</v>
      </c>
      <c r="GK492" s="4">
        <v>2</v>
      </c>
      <c r="GL492" s="4"/>
      <c r="GM492" s="4">
        <v>190</v>
      </c>
      <c r="GN492" s="4">
        <v>171</v>
      </c>
      <c r="GO492" s="4">
        <v>158</v>
      </c>
      <c r="GP492" s="4">
        <v>145</v>
      </c>
      <c r="GQ492" s="4">
        <v>132</v>
      </c>
      <c r="GR492" s="4">
        <v>112</v>
      </c>
      <c r="GS492" s="4">
        <v>94</v>
      </c>
      <c r="GT492" s="4">
        <v>81</v>
      </c>
      <c r="GU492" s="4">
        <v>69</v>
      </c>
      <c r="GV492" s="4">
        <v>243</v>
      </c>
      <c r="GW492" s="4">
        <v>233</v>
      </c>
      <c r="GX492" s="4">
        <v>223</v>
      </c>
      <c r="GY492" s="4">
        <v>213</v>
      </c>
      <c r="GZ492" s="4">
        <v>203</v>
      </c>
      <c r="HA492" s="4">
        <v>193</v>
      </c>
      <c r="HB492" s="4">
        <v>183</v>
      </c>
      <c r="HC492" s="4">
        <v>171</v>
      </c>
      <c r="HD492" s="19">
        <v>6.2</v>
      </c>
      <c r="HE492" s="19">
        <v>6.8</v>
      </c>
      <c r="HF492" s="19">
        <v>5.3</v>
      </c>
      <c r="HG492" s="19">
        <v>4</v>
      </c>
      <c r="HH492" s="19">
        <v>3.4</v>
      </c>
      <c r="HI492" s="19">
        <v>2.6</v>
      </c>
      <c r="HJ492" s="19">
        <v>1.3</v>
      </c>
      <c r="HK492" s="19">
        <v>0.2</v>
      </c>
      <c r="HL492" s="20">
        <v>0</v>
      </c>
      <c r="HM492" s="19">
        <v>13.6</v>
      </c>
      <c r="HN492" s="19">
        <v>11.4</v>
      </c>
      <c r="HO492" s="19">
        <v>9.9</v>
      </c>
      <c r="HP492" s="19">
        <v>9.1</v>
      </c>
      <c r="HQ492" s="19">
        <v>8.3</v>
      </c>
      <c r="HR492" s="19">
        <v>8</v>
      </c>
      <c r="HS492" s="19">
        <v>7.8</v>
      </c>
      <c r="HT492" s="19">
        <v>7.4</v>
      </c>
      <c r="HU492" s="19">
        <v>6.9</v>
      </c>
      <c r="HV492" s="19">
        <v>24.3</v>
      </c>
      <c r="HW492" s="19">
        <v>23.3</v>
      </c>
      <c r="HX492" s="19">
        <v>22.3</v>
      </c>
      <c r="HY492" s="19">
        <v>21.3</v>
      </c>
      <c r="HZ492" s="19">
        <v>20.3</v>
      </c>
      <c r="IA492" s="19">
        <v>19.3</v>
      </c>
      <c r="IB492" s="19">
        <v>18.3</v>
      </c>
      <c r="IC492" s="19">
        <v>17.1</v>
      </c>
    </row>
    <row r="493">
      <c r="A493" s="2" t="s">
        <v>2413</v>
      </c>
      <c r="B493" s="2" t="s">
        <v>871</v>
      </c>
      <c r="C493" s="2" t="s">
        <v>853</v>
      </c>
      <c r="D493" s="2" t="s">
        <v>906</v>
      </c>
      <c r="E493" s="2" t="s">
        <v>907</v>
      </c>
      <c r="F493" s="2" t="s">
        <v>2404</v>
      </c>
      <c r="G493" s="2" t="s">
        <v>2405</v>
      </c>
      <c r="H493" s="2" t="s">
        <v>2406</v>
      </c>
      <c r="I493" s="2" t="s">
        <v>2414</v>
      </c>
      <c r="J493" s="2" t="s">
        <v>365</v>
      </c>
      <c r="K493" s="2" t="s">
        <v>231</v>
      </c>
      <c r="L493" s="3">
        <v>20.9</v>
      </c>
      <c r="M493" s="3">
        <v>21.94</v>
      </c>
      <c r="N493" s="3">
        <v>44.99</v>
      </c>
      <c r="O493" s="2" t="s">
        <v>232</v>
      </c>
      <c r="P493" s="2" t="s">
        <v>233</v>
      </c>
      <c r="Q493" s="2" t="s">
        <v>234</v>
      </c>
      <c r="R493" s="2" t="s">
        <v>235</v>
      </c>
      <c r="S493" s="2" t="s">
        <v>2408</v>
      </c>
      <c r="T493" s="2" t="s">
        <v>501</v>
      </c>
      <c r="U493" s="2" t="s">
        <v>552</v>
      </c>
      <c r="V493" s="2" t="s">
        <v>1843</v>
      </c>
      <c r="W493" s="2" t="s">
        <v>1596</v>
      </c>
      <c r="X493" s="2" t="s">
        <v>235</v>
      </c>
      <c r="Y493" s="2" t="s">
        <v>2324</v>
      </c>
      <c r="Z493" s="4">
        <v>75</v>
      </c>
      <c r="AA493" s="4">
        <f>=ROUNDDOWN(12.5,0)</f>
      </c>
      <c r="AB493" s="5">
        <v>6</v>
      </c>
      <c r="AC493" s="2" t="s">
        <v>2410</v>
      </c>
      <c r="AD493" s="4">
        <v>100</v>
      </c>
      <c r="AE493" s="4">
        <v>100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235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235</v>
      </c>
      <c r="AW493" s="8" t="s">
        <v>235</v>
      </c>
      <c r="AX493" s="4" t="s">
        <v>235</v>
      </c>
      <c r="AY493" s="8" t="s">
        <v>235</v>
      </c>
      <c r="AZ493" s="7" t="s">
        <v>235</v>
      </c>
      <c r="BA493" s="7" t="s">
        <v>235</v>
      </c>
      <c r="BB493" s="7"/>
      <c r="BC493" s="4" t="s">
        <v>235</v>
      </c>
      <c r="BD493" s="8" t="s">
        <v>235</v>
      </c>
      <c r="BE493" s="4" t="s">
        <v>235</v>
      </c>
      <c r="BF493" s="8" t="s">
        <v>235</v>
      </c>
      <c r="BG493" s="7" t="s">
        <v>235</v>
      </c>
      <c r="BH493" s="7" t="s">
        <v>235</v>
      </c>
      <c r="BI493" s="7"/>
      <c r="BJ493" s="4">
        <v>23</v>
      </c>
      <c r="BK493" s="8">
        <v>544.99</v>
      </c>
      <c r="BL493" s="2" t="s">
        <v>683</v>
      </c>
      <c r="BM493" s="7"/>
      <c r="BN493" s="7"/>
      <c r="BO493" s="4"/>
      <c r="BP493" s="8"/>
      <c r="BQ493" s="4"/>
      <c r="BR493" s="8"/>
      <c r="BS493" s="7"/>
      <c r="BT493" s="7"/>
      <c r="BU493" s="2" t="s">
        <v>2415</v>
      </c>
      <c r="BV493" s="2" t="s">
        <v>243</v>
      </c>
      <c r="BW493" s="2" t="s">
        <v>235</v>
      </c>
      <c r="BX493" s="2" t="s">
        <v>244</v>
      </c>
      <c r="BY493" s="2" t="s">
        <v>245</v>
      </c>
      <c r="BZ493" s="2" t="s">
        <v>232</v>
      </c>
      <c r="CA493" s="2" t="s">
        <v>2298</v>
      </c>
      <c r="CB493" s="2" t="s">
        <v>2416</v>
      </c>
      <c r="CC493" s="2" t="s">
        <v>248</v>
      </c>
      <c r="CD493" s="2" t="s">
        <v>248</v>
      </c>
      <c r="CE493" s="2" t="s">
        <v>235</v>
      </c>
      <c r="CF493" s="4">
        <v>75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>
        <v>100</v>
      </c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>
        <v>75</v>
      </c>
      <c r="GE493" s="4">
        <v>66</v>
      </c>
      <c r="GF493" s="4">
        <v>60</v>
      </c>
      <c r="GG493" s="4">
        <v>54</v>
      </c>
      <c r="GH493" s="4">
        <v>48</v>
      </c>
      <c r="GI493" s="4">
        <v>42</v>
      </c>
      <c r="GJ493" s="4">
        <v>36</v>
      </c>
      <c r="GK493" s="4">
        <v>29</v>
      </c>
      <c r="GL493" s="4">
        <v>22</v>
      </c>
      <c r="GM493" s="4">
        <v>115</v>
      </c>
      <c r="GN493" s="4">
        <v>108</v>
      </c>
      <c r="GO493" s="4">
        <v>100</v>
      </c>
      <c r="GP493" s="4">
        <v>92</v>
      </c>
      <c r="GQ493" s="4">
        <v>84</v>
      </c>
      <c r="GR493" s="4">
        <v>71</v>
      </c>
      <c r="GS493" s="4">
        <v>60</v>
      </c>
      <c r="GT493" s="4">
        <v>52</v>
      </c>
      <c r="GU493" s="4">
        <v>45</v>
      </c>
      <c r="GV493" s="4">
        <v>109</v>
      </c>
      <c r="GW493" s="4">
        <v>103</v>
      </c>
      <c r="GX493" s="4">
        <v>97</v>
      </c>
      <c r="GY493" s="4">
        <v>91</v>
      </c>
      <c r="GZ493" s="4">
        <v>85</v>
      </c>
      <c r="HA493" s="4">
        <v>79</v>
      </c>
      <c r="HB493" s="4">
        <v>73</v>
      </c>
      <c r="HC493" s="4">
        <v>66</v>
      </c>
      <c r="HD493" s="19">
        <v>10.7</v>
      </c>
      <c r="HE493" s="19">
        <v>11</v>
      </c>
      <c r="HF493" s="19">
        <v>10</v>
      </c>
      <c r="HG493" s="19">
        <v>9</v>
      </c>
      <c r="HH493" s="19">
        <v>8</v>
      </c>
      <c r="HI493" s="19">
        <v>6</v>
      </c>
      <c r="HJ493" s="19">
        <v>5.1</v>
      </c>
      <c r="HK493" s="19">
        <v>4.1</v>
      </c>
      <c r="HL493" s="19">
        <v>2.8</v>
      </c>
      <c r="HM493" s="19">
        <v>14.4</v>
      </c>
      <c r="HN493" s="19">
        <v>12</v>
      </c>
      <c r="HO493" s="19">
        <v>10</v>
      </c>
      <c r="HP493" s="19">
        <v>9.2</v>
      </c>
      <c r="HQ493" s="19">
        <v>8.4</v>
      </c>
      <c r="HR493" s="19">
        <v>8.9</v>
      </c>
      <c r="HS493" s="19">
        <v>8.6</v>
      </c>
      <c r="HT493" s="19">
        <v>8.7</v>
      </c>
      <c r="HU493" s="19">
        <v>7.5</v>
      </c>
      <c r="HV493" s="19">
        <v>18.2</v>
      </c>
      <c r="HW493" s="19">
        <v>17.2</v>
      </c>
      <c r="HX493" s="19">
        <v>16.2</v>
      </c>
      <c r="HY493" s="19">
        <v>15.2</v>
      </c>
      <c r="HZ493" s="19">
        <v>14.2</v>
      </c>
      <c r="IA493" s="19">
        <v>13.2</v>
      </c>
      <c r="IB493" s="19">
        <v>12.2</v>
      </c>
      <c r="IC493" s="19">
        <v>11</v>
      </c>
    </row>
    <row r="494">
      <c r="A494" s="2" t="s">
        <v>2417</v>
      </c>
      <c r="B494" s="2" t="s">
        <v>871</v>
      </c>
      <c r="C494" s="2" t="s">
        <v>360</v>
      </c>
      <c r="D494" s="2" t="s">
        <v>361</v>
      </c>
      <c r="E494" s="2" t="s">
        <v>872</v>
      </c>
      <c r="F494" s="2" t="s">
        <v>2418</v>
      </c>
      <c r="G494" s="2" t="s">
        <v>2418</v>
      </c>
      <c r="H494" s="2" t="s">
        <v>2418</v>
      </c>
      <c r="I494" s="2" t="s">
        <v>2419</v>
      </c>
      <c r="J494" s="2" t="s">
        <v>261</v>
      </c>
      <c r="K494" s="2" t="s">
        <v>735</v>
      </c>
      <c r="L494" s="3">
        <v>163.53</v>
      </c>
      <c r="M494" s="3">
        <v>171.71</v>
      </c>
      <c r="N494" s="3">
        <v>339.99</v>
      </c>
      <c r="O494" s="2" t="s">
        <v>232</v>
      </c>
      <c r="P494" s="2" t="s">
        <v>878</v>
      </c>
      <c r="Q494" s="2" t="s">
        <v>234</v>
      </c>
      <c r="R494" s="2" t="s">
        <v>235</v>
      </c>
      <c r="S494" s="2" t="s">
        <v>235</v>
      </c>
      <c r="T494" s="2" t="s">
        <v>879</v>
      </c>
      <c r="U494" s="2" t="s">
        <v>785</v>
      </c>
      <c r="V494" s="2" t="s">
        <v>808</v>
      </c>
      <c r="W494" s="2" t="s">
        <v>682</v>
      </c>
      <c r="X494" s="2" t="s">
        <v>235</v>
      </c>
      <c r="Y494" s="2" t="s">
        <v>1327</v>
      </c>
      <c r="Z494" s="4">
        <v>88</v>
      </c>
      <c r="AA494" s="4">
        <f>=ROUNDDOWN(44,0)</f>
      </c>
      <c r="AB494" s="5">
        <v>2</v>
      </c>
      <c r="AC494" s="2" t="s">
        <v>235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235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>
        <v>2</v>
      </c>
      <c r="BK494" s="8">
        <v>236.7</v>
      </c>
      <c r="BL494" s="2" t="s">
        <v>900</v>
      </c>
      <c r="BM494" s="7"/>
      <c r="BN494" s="7"/>
      <c r="BO494" s="4"/>
      <c r="BP494" s="8"/>
      <c r="BQ494" s="4"/>
      <c r="BR494" s="8"/>
      <c r="BS494" s="7"/>
      <c r="BT494" s="7"/>
      <c r="BU494" s="2" t="s">
        <v>2420</v>
      </c>
      <c r="BV494" s="2" t="s">
        <v>235</v>
      </c>
      <c r="BW494" s="2" t="s">
        <v>235</v>
      </c>
      <c r="BX494" s="2" t="s">
        <v>244</v>
      </c>
      <c r="BY494" s="2" t="s">
        <v>245</v>
      </c>
      <c r="BZ494" s="2" t="s">
        <v>232</v>
      </c>
      <c r="CA494" s="2" t="s">
        <v>235</v>
      </c>
      <c r="CB494" s="2" t="s">
        <v>235</v>
      </c>
      <c r="CC494" s="2" t="s">
        <v>248</v>
      </c>
      <c r="CD494" s="2" t="s">
        <v>248</v>
      </c>
      <c r="CE494" s="2" t="s">
        <v>235</v>
      </c>
      <c r="CF494" s="4">
        <v>88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>
        <v>89</v>
      </c>
      <c r="GE494" s="4">
        <v>82</v>
      </c>
      <c r="GF494" s="4">
        <v>80</v>
      </c>
      <c r="GG494" s="4">
        <v>78</v>
      </c>
      <c r="GH494" s="4">
        <v>75</v>
      </c>
      <c r="GI494" s="4">
        <v>72</v>
      </c>
      <c r="GJ494" s="4">
        <v>68</v>
      </c>
      <c r="GK494" s="4">
        <v>65</v>
      </c>
      <c r="GL494" s="4">
        <v>62</v>
      </c>
      <c r="GM494" s="4">
        <v>60</v>
      </c>
      <c r="GN494" s="4">
        <v>58</v>
      </c>
      <c r="GO494" s="4">
        <v>55</v>
      </c>
      <c r="GP494" s="4">
        <v>52</v>
      </c>
      <c r="GQ494" s="4">
        <v>48</v>
      </c>
      <c r="GR494" s="4">
        <v>45</v>
      </c>
      <c r="GS494" s="4">
        <v>42</v>
      </c>
      <c r="GT494" s="4">
        <v>40</v>
      </c>
      <c r="GU494" s="4">
        <v>38</v>
      </c>
      <c r="GV494" s="4">
        <v>36</v>
      </c>
      <c r="GW494" s="4">
        <v>34</v>
      </c>
      <c r="GX494" s="4">
        <v>32</v>
      </c>
      <c r="GY494" s="4">
        <v>30</v>
      </c>
      <c r="GZ494" s="4">
        <v>28</v>
      </c>
      <c r="HA494" s="4">
        <v>26</v>
      </c>
      <c r="HB494" s="4">
        <v>24</v>
      </c>
      <c r="HC494" s="4">
        <v>22</v>
      </c>
      <c r="HD494" s="19">
        <v>22.3</v>
      </c>
      <c r="HE494" s="19">
        <v>41</v>
      </c>
      <c r="HF494" s="19">
        <v>26.7</v>
      </c>
      <c r="HG494" s="19">
        <v>26</v>
      </c>
      <c r="HH494" s="19">
        <v>25</v>
      </c>
      <c r="HI494" s="19">
        <v>24</v>
      </c>
      <c r="HJ494" s="19">
        <v>34</v>
      </c>
      <c r="HK494" s="19">
        <v>32.5</v>
      </c>
      <c r="HL494" s="19">
        <v>31</v>
      </c>
      <c r="HM494" s="19">
        <v>20</v>
      </c>
      <c r="HN494" s="19">
        <v>19.3</v>
      </c>
      <c r="HO494" s="19">
        <v>18.3</v>
      </c>
      <c r="HP494" s="19">
        <v>17.3</v>
      </c>
      <c r="HQ494" s="19">
        <v>24</v>
      </c>
      <c r="HR494" s="19">
        <v>22.5</v>
      </c>
      <c r="HS494" s="19">
        <v>21</v>
      </c>
      <c r="HT494" s="19">
        <v>20</v>
      </c>
      <c r="HU494" s="19">
        <v>19</v>
      </c>
      <c r="HV494" s="19">
        <v>18</v>
      </c>
      <c r="HW494" s="19">
        <v>17</v>
      </c>
      <c r="HX494" s="19">
        <v>16</v>
      </c>
      <c r="HY494" s="19">
        <v>15</v>
      </c>
      <c r="HZ494" s="19">
        <v>14</v>
      </c>
      <c r="IA494" s="19">
        <v>13</v>
      </c>
      <c r="IB494" s="19">
        <v>12</v>
      </c>
      <c r="IC494" s="19">
        <v>11</v>
      </c>
    </row>
    <row r="495">
      <c r="A495" s="2" t="s">
        <v>2421</v>
      </c>
      <c r="B495" s="2" t="s">
        <v>1071</v>
      </c>
      <c r="C495" s="2" t="s">
        <v>893</v>
      </c>
      <c r="D495" s="2" t="s">
        <v>1072</v>
      </c>
      <c r="E495" s="2" t="s">
        <v>330</v>
      </c>
      <c r="F495" s="2" t="s">
        <v>2422</v>
      </c>
      <c r="G495" s="2" t="s">
        <v>235</v>
      </c>
      <c r="H495" s="2" t="s">
        <v>235</v>
      </c>
      <c r="I495" s="2" t="s">
        <v>235</v>
      </c>
      <c r="J495" s="2" t="s">
        <v>2423</v>
      </c>
      <c r="K495" s="2" t="s">
        <v>2424</v>
      </c>
      <c r="L495" s="3">
        <v>181.38</v>
      </c>
      <c r="M495" s="3"/>
      <c r="N495" s="3"/>
      <c r="O495" s="2" t="s">
        <v>232</v>
      </c>
      <c r="P495" s="2" t="s">
        <v>235</v>
      </c>
      <c r="Q495" s="2" t="s">
        <v>235</v>
      </c>
      <c r="R495" s="2" t="s">
        <v>2425</v>
      </c>
      <c r="S495" s="2" t="s">
        <v>235</v>
      </c>
      <c r="T495" s="2" t="s">
        <v>235</v>
      </c>
      <c r="U495" s="2" t="s">
        <v>235</v>
      </c>
      <c r="V495" s="2" t="s">
        <v>235</v>
      </c>
      <c r="W495" s="2" t="s">
        <v>235</v>
      </c>
      <c r="X495" s="2" t="s">
        <v>235</v>
      </c>
      <c r="Y495" s="2" t="s">
        <v>235</v>
      </c>
      <c r="Z495" s="4">
        <v>49</v>
      </c>
      <c r="AA495" s="4">
        <f>=ROUNDDOWN({0},0)</f>
      </c>
      <c r="AB495" s="5"/>
      <c r="AC495" s="2" t="s">
        <v>2426</v>
      </c>
      <c r="AD495" s="4">
        <v>100</v>
      </c>
      <c r="AE495" s="4">
        <v>100</v>
      </c>
      <c r="AF495" s="6"/>
      <c r="AG495" s="6"/>
      <c r="AH495" s="7"/>
      <c r="AI495" s="4"/>
      <c r="AJ495" s="4">
        <f>=ROUNDDOWN({0},0)</f>
      </c>
      <c r="AK495" s="5"/>
      <c r="AL495" s="2" t="s">
        <v>235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235</v>
      </c>
      <c r="AW495" s="8" t="s">
        <v>235</v>
      </c>
      <c r="AX495" s="4" t="s">
        <v>235</v>
      </c>
      <c r="AY495" s="8" t="s">
        <v>235</v>
      </c>
      <c r="AZ495" s="7" t="s">
        <v>235</v>
      </c>
      <c r="BA495" s="7" t="s">
        <v>235</v>
      </c>
      <c r="BB495" s="7"/>
      <c r="BC495" s="4" t="s">
        <v>235</v>
      </c>
      <c r="BD495" s="8" t="s">
        <v>235</v>
      </c>
      <c r="BE495" s="4" t="s">
        <v>235</v>
      </c>
      <c r="BF495" s="8" t="s">
        <v>235</v>
      </c>
      <c r="BG495" s="7" t="s">
        <v>235</v>
      </c>
      <c r="BH495" s="7" t="s">
        <v>235</v>
      </c>
      <c r="BI495" s="7"/>
      <c r="BJ495" s="4"/>
      <c r="BK495" s="8"/>
      <c r="BL495" s="2" t="s">
        <v>235</v>
      </c>
      <c r="BM495" s="7"/>
      <c r="BN495" s="7"/>
      <c r="BO495" s="4"/>
      <c r="BP495" s="8"/>
      <c r="BQ495" s="4"/>
      <c r="BR495" s="8"/>
      <c r="BS495" s="7"/>
      <c r="BT495" s="7"/>
      <c r="BU495" s="2" t="s">
        <v>235</v>
      </c>
      <c r="BV495" s="2" t="s">
        <v>235</v>
      </c>
      <c r="BW495" s="2" t="s">
        <v>235</v>
      </c>
      <c r="BX495" s="2" t="s">
        <v>235</v>
      </c>
      <c r="BY495" s="2" t="s">
        <v>235</v>
      </c>
      <c r="BZ495" s="2" t="s">
        <v>235</v>
      </c>
      <c r="CA495" s="2" t="s">
        <v>235</v>
      </c>
      <c r="CB495" s="2" t="s">
        <v>235</v>
      </c>
      <c r="CC495" s="2" t="s">
        <v>235</v>
      </c>
      <c r="CD495" s="2" t="s">
        <v>235</v>
      </c>
      <c r="CE495" s="2" t="s">
        <v>235</v>
      </c>
      <c r="CF495" s="4"/>
      <c r="CG495" s="4">
        <v>49</v>
      </c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>
        <v>100</v>
      </c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</row>
    <row r="496">
      <c r="A496" s="2" t="s">
        <v>2427</v>
      </c>
      <c r="B496" s="2" t="s">
        <v>1071</v>
      </c>
      <c r="C496" s="2" t="s">
        <v>893</v>
      </c>
      <c r="D496" s="2" t="s">
        <v>1072</v>
      </c>
      <c r="E496" s="2" t="s">
        <v>330</v>
      </c>
      <c r="F496" s="2" t="s">
        <v>2422</v>
      </c>
      <c r="G496" s="2" t="s">
        <v>235</v>
      </c>
      <c r="H496" s="2" t="s">
        <v>235</v>
      </c>
      <c r="I496" s="2" t="s">
        <v>235</v>
      </c>
      <c r="J496" s="2" t="s">
        <v>2428</v>
      </c>
      <c r="K496" s="2" t="s">
        <v>2424</v>
      </c>
      <c r="L496" s="3">
        <v>149.22</v>
      </c>
      <c r="M496" s="3"/>
      <c r="N496" s="3"/>
      <c r="O496" s="2" t="s">
        <v>232</v>
      </c>
      <c r="P496" s="2" t="s">
        <v>235</v>
      </c>
      <c r="Q496" s="2" t="s">
        <v>235</v>
      </c>
      <c r="R496" s="2" t="s">
        <v>2425</v>
      </c>
      <c r="S496" s="2" t="s">
        <v>235</v>
      </c>
      <c r="T496" s="2" t="s">
        <v>235</v>
      </c>
      <c r="U496" s="2" t="s">
        <v>235</v>
      </c>
      <c r="V496" s="2" t="s">
        <v>235</v>
      </c>
      <c r="W496" s="2" t="s">
        <v>235</v>
      </c>
      <c r="X496" s="2" t="s">
        <v>235</v>
      </c>
      <c r="Y496" s="2" t="s">
        <v>235</v>
      </c>
      <c r="Z496" s="4">
        <v>62</v>
      </c>
      <c r="AA496" s="4">
        <f>=ROUNDDOWN({0},0)</f>
      </c>
      <c r="AB496" s="5"/>
      <c r="AC496" s="2" t="s">
        <v>2426</v>
      </c>
      <c r="AD496" s="4">
        <v>100</v>
      </c>
      <c r="AE496" s="4">
        <v>100</v>
      </c>
      <c r="AF496" s="6"/>
      <c r="AG496" s="6"/>
      <c r="AH496" s="7"/>
      <c r="AI496" s="4"/>
      <c r="AJ496" s="4">
        <f>=ROUNDDOWN({0},0)</f>
      </c>
      <c r="AK496" s="5"/>
      <c r="AL496" s="2" t="s">
        <v>235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235</v>
      </c>
      <c r="AW496" s="8" t="s">
        <v>235</v>
      </c>
      <c r="AX496" s="4" t="s">
        <v>235</v>
      </c>
      <c r="AY496" s="8" t="s">
        <v>235</v>
      </c>
      <c r="AZ496" s="7" t="s">
        <v>235</v>
      </c>
      <c r="BA496" s="7" t="s">
        <v>235</v>
      </c>
      <c r="BB496" s="7"/>
      <c r="BC496" s="4" t="s">
        <v>235</v>
      </c>
      <c r="BD496" s="8" t="s">
        <v>235</v>
      </c>
      <c r="BE496" s="4" t="s">
        <v>235</v>
      </c>
      <c r="BF496" s="8" t="s">
        <v>235</v>
      </c>
      <c r="BG496" s="7" t="s">
        <v>235</v>
      </c>
      <c r="BH496" s="7" t="s">
        <v>235</v>
      </c>
      <c r="BI496" s="7"/>
      <c r="BJ496" s="4"/>
      <c r="BK496" s="8"/>
      <c r="BL496" s="2" t="s">
        <v>235</v>
      </c>
      <c r="BM496" s="7"/>
      <c r="BN496" s="7"/>
      <c r="BO496" s="4"/>
      <c r="BP496" s="8"/>
      <c r="BQ496" s="4"/>
      <c r="BR496" s="8"/>
      <c r="BS496" s="7"/>
      <c r="BT496" s="7"/>
      <c r="BU496" s="2" t="s">
        <v>235</v>
      </c>
      <c r="BV496" s="2" t="s">
        <v>235</v>
      </c>
      <c r="BW496" s="2" t="s">
        <v>235</v>
      </c>
      <c r="BX496" s="2" t="s">
        <v>235</v>
      </c>
      <c r="BY496" s="2" t="s">
        <v>235</v>
      </c>
      <c r="BZ496" s="2" t="s">
        <v>235</v>
      </c>
      <c r="CA496" s="2" t="s">
        <v>235</v>
      </c>
      <c r="CB496" s="2" t="s">
        <v>235</v>
      </c>
      <c r="CC496" s="2" t="s">
        <v>235</v>
      </c>
      <c r="CD496" s="2" t="s">
        <v>235</v>
      </c>
      <c r="CE496" s="2" t="s">
        <v>235</v>
      </c>
      <c r="CF496" s="4"/>
      <c r="CG496" s="4">
        <v>61</v>
      </c>
      <c r="CH496" s="4"/>
      <c r="CI496" s="4">
        <v>1</v>
      </c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>
        <v>100</v>
      </c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</row>
    <row r="497">
      <c r="A497" s="2" t="s">
        <v>2429</v>
      </c>
      <c r="B497" s="2" t="s">
        <v>1071</v>
      </c>
      <c r="C497" s="2" t="s">
        <v>893</v>
      </c>
      <c r="D497" s="2" t="s">
        <v>1072</v>
      </c>
      <c r="E497" s="2" t="s">
        <v>330</v>
      </c>
      <c r="F497" s="2" t="s">
        <v>2422</v>
      </c>
      <c r="G497" s="2" t="s">
        <v>235</v>
      </c>
      <c r="H497" s="2" t="s">
        <v>235</v>
      </c>
      <c r="I497" s="2" t="s">
        <v>235</v>
      </c>
      <c r="J497" s="2" t="s">
        <v>2430</v>
      </c>
      <c r="K497" s="2" t="s">
        <v>2424</v>
      </c>
      <c r="L497" s="3">
        <v>87.24</v>
      </c>
      <c r="M497" s="3"/>
      <c r="N497" s="3"/>
      <c r="O497" s="2" t="s">
        <v>232</v>
      </c>
      <c r="P497" s="2" t="s">
        <v>235</v>
      </c>
      <c r="Q497" s="2" t="s">
        <v>235</v>
      </c>
      <c r="R497" s="2" t="s">
        <v>2425</v>
      </c>
      <c r="S497" s="2" t="s">
        <v>235</v>
      </c>
      <c r="T497" s="2" t="s">
        <v>235</v>
      </c>
      <c r="U497" s="2" t="s">
        <v>235</v>
      </c>
      <c r="V497" s="2" t="s">
        <v>235</v>
      </c>
      <c r="W497" s="2" t="s">
        <v>235</v>
      </c>
      <c r="X497" s="2" t="s">
        <v>235</v>
      </c>
      <c r="Y497" s="2" t="s">
        <v>235</v>
      </c>
      <c r="Z497" s="4">
        <v>82</v>
      </c>
      <c r="AA497" s="4">
        <f>=ROUNDDOWN({0},0)</f>
      </c>
      <c r="AB497" s="5"/>
      <c r="AC497" s="2" t="s">
        <v>2426</v>
      </c>
      <c r="AD497" s="4">
        <v>100</v>
      </c>
      <c r="AE497" s="4">
        <v>100</v>
      </c>
      <c r="AF497" s="6"/>
      <c r="AG497" s="6"/>
      <c r="AH497" s="7"/>
      <c r="AI497" s="4"/>
      <c r="AJ497" s="4">
        <f>=ROUNDDOWN({0},0)</f>
      </c>
      <c r="AK497" s="5"/>
      <c r="AL497" s="2" t="s">
        <v>235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235</v>
      </c>
      <c r="AW497" s="8" t="s">
        <v>235</v>
      </c>
      <c r="AX497" s="4" t="s">
        <v>235</v>
      </c>
      <c r="AY497" s="8" t="s">
        <v>235</v>
      </c>
      <c r="AZ497" s="7" t="s">
        <v>235</v>
      </c>
      <c r="BA497" s="7" t="s">
        <v>235</v>
      </c>
      <c r="BB497" s="7"/>
      <c r="BC497" s="4" t="s">
        <v>235</v>
      </c>
      <c r="BD497" s="8" t="s">
        <v>235</v>
      </c>
      <c r="BE497" s="4" t="s">
        <v>235</v>
      </c>
      <c r="BF497" s="8" t="s">
        <v>235</v>
      </c>
      <c r="BG497" s="7" t="s">
        <v>235</v>
      </c>
      <c r="BH497" s="7" t="s">
        <v>235</v>
      </c>
      <c r="BI497" s="7"/>
      <c r="BJ497" s="4"/>
      <c r="BK497" s="8"/>
      <c r="BL497" s="2" t="s">
        <v>235</v>
      </c>
      <c r="BM497" s="7"/>
      <c r="BN497" s="7"/>
      <c r="BO497" s="4"/>
      <c r="BP497" s="8"/>
      <c r="BQ497" s="4"/>
      <c r="BR497" s="8"/>
      <c r="BS497" s="7"/>
      <c r="BT497" s="7"/>
      <c r="BU497" s="2" t="s">
        <v>235</v>
      </c>
      <c r="BV497" s="2" t="s">
        <v>235</v>
      </c>
      <c r="BW497" s="2" t="s">
        <v>235</v>
      </c>
      <c r="BX497" s="2" t="s">
        <v>235</v>
      </c>
      <c r="BY497" s="2" t="s">
        <v>235</v>
      </c>
      <c r="BZ497" s="2" t="s">
        <v>235</v>
      </c>
      <c r="CA497" s="2" t="s">
        <v>235</v>
      </c>
      <c r="CB497" s="2" t="s">
        <v>235</v>
      </c>
      <c r="CC497" s="2" t="s">
        <v>235</v>
      </c>
      <c r="CD497" s="2" t="s">
        <v>235</v>
      </c>
      <c r="CE497" s="2" t="s">
        <v>235</v>
      </c>
      <c r="CF497" s="4"/>
      <c r="CG497" s="4">
        <v>80</v>
      </c>
      <c r="CH497" s="4"/>
      <c r="CI497" s="4">
        <v>2</v>
      </c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>
        <v>100</v>
      </c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</row>
    <row r="498">
      <c r="A498" s="2" t="s">
        <v>2431</v>
      </c>
      <c r="B498" s="2" t="s">
        <v>1071</v>
      </c>
      <c r="C498" s="2" t="s">
        <v>893</v>
      </c>
      <c r="D498" s="2" t="s">
        <v>1072</v>
      </c>
      <c r="E498" s="2" t="s">
        <v>330</v>
      </c>
      <c r="F498" s="2" t="s">
        <v>2422</v>
      </c>
      <c r="G498" s="2" t="s">
        <v>235</v>
      </c>
      <c r="H498" s="2" t="s">
        <v>235</v>
      </c>
      <c r="I498" s="2" t="s">
        <v>235</v>
      </c>
      <c r="J498" s="2" t="s">
        <v>2432</v>
      </c>
      <c r="K498" s="2" t="s">
        <v>2424</v>
      </c>
      <c r="L498" s="3">
        <v>187.11</v>
      </c>
      <c r="M498" s="3"/>
      <c r="N498" s="3"/>
      <c r="O498" s="2" t="s">
        <v>232</v>
      </c>
      <c r="P498" s="2" t="s">
        <v>235</v>
      </c>
      <c r="Q498" s="2" t="s">
        <v>235</v>
      </c>
      <c r="R498" s="2" t="s">
        <v>2425</v>
      </c>
      <c r="S498" s="2" t="s">
        <v>235</v>
      </c>
      <c r="T498" s="2" t="s">
        <v>235</v>
      </c>
      <c r="U498" s="2" t="s">
        <v>235</v>
      </c>
      <c r="V498" s="2" t="s">
        <v>235</v>
      </c>
      <c r="W498" s="2" t="s">
        <v>235</v>
      </c>
      <c r="X498" s="2" t="s">
        <v>235</v>
      </c>
      <c r="Y498" s="2" t="s">
        <v>235</v>
      </c>
      <c r="Z498" s="4">
        <v>62</v>
      </c>
      <c r="AA498" s="4">
        <f>=ROUNDDOWN({0},0)</f>
      </c>
      <c r="AB498" s="5"/>
      <c r="AC498" s="2" t="s">
        <v>2426</v>
      </c>
      <c r="AD498" s="4">
        <v>100</v>
      </c>
      <c r="AE498" s="4">
        <v>100</v>
      </c>
      <c r="AF498" s="6"/>
      <c r="AG498" s="6"/>
      <c r="AH498" s="7"/>
      <c r="AI498" s="4"/>
      <c r="AJ498" s="4">
        <f>=ROUNDDOWN({0},0)</f>
      </c>
      <c r="AK498" s="5"/>
      <c r="AL498" s="2" t="s">
        <v>235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235</v>
      </c>
      <c r="AW498" s="8" t="s">
        <v>235</v>
      </c>
      <c r="AX498" s="4" t="s">
        <v>235</v>
      </c>
      <c r="AY498" s="8" t="s">
        <v>235</v>
      </c>
      <c r="AZ498" s="7" t="s">
        <v>235</v>
      </c>
      <c r="BA498" s="7" t="s">
        <v>235</v>
      </c>
      <c r="BB498" s="7"/>
      <c r="BC498" s="4" t="s">
        <v>235</v>
      </c>
      <c r="BD498" s="8" t="s">
        <v>235</v>
      </c>
      <c r="BE498" s="4" t="s">
        <v>235</v>
      </c>
      <c r="BF498" s="8" t="s">
        <v>235</v>
      </c>
      <c r="BG498" s="7" t="s">
        <v>235</v>
      </c>
      <c r="BH498" s="7" t="s">
        <v>235</v>
      </c>
      <c r="BI498" s="7"/>
      <c r="BJ498" s="4"/>
      <c r="BK498" s="8"/>
      <c r="BL498" s="2" t="s">
        <v>235</v>
      </c>
      <c r="BM498" s="7"/>
      <c r="BN498" s="7"/>
      <c r="BO498" s="4"/>
      <c r="BP498" s="8"/>
      <c r="BQ498" s="4"/>
      <c r="BR498" s="8"/>
      <c r="BS498" s="7"/>
      <c r="BT498" s="7"/>
      <c r="BU498" s="2" t="s">
        <v>235</v>
      </c>
      <c r="BV498" s="2" t="s">
        <v>235</v>
      </c>
      <c r="BW498" s="2" t="s">
        <v>235</v>
      </c>
      <c r="BX498" s="2" t="s">
        <v>235</v>
      </c>
      <c r="BY498" s="2" t="s">
        <v>235</v>
      </c>
      <c r="BZ498" s="2" t="s">
        <v>235</v>
      </c>
      <c r="CA498" s="2" t="s">
        <v>235</v>
      </c>
      <c r="CB498" s="2" t="s">
        <v>235</v>
      </c>
      <c r="CC498" s="2" t="s">
        <v>235</v>
      </c>
      <c r="CD498" s="2" t="s">
        <v>235</v>
      </c>
      <c r="CE498" s="2" t="s">
        <v>235</v>
      </c>
      <c r="CF498" s="4"/>
      <c r="CG498" s="4">
        <v>61</v>
      </c>
      <c r="CH498" s="4"/>
      <c r="CI498" s="4">
        <v>1</v>
      </c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>
        <v>100</v>
      </c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</row>
    <row r="499">
      <c r="A499" s="2" t="s">
        <v>2433</v>
      </c>
      <c r="B499" s="2" t="s">
        <v>871</v>
      </c>
      <c r="C499" s="2" t="s">
        <v>1561</v>
      </c>
      <c r="D499" s="2" t="s">
        <v>2033</v>
      </c>
      <c r="E499" s="2" t="s">
        <v>2434</v>
      </c>
      <c r="F499" s="2" t="s">
        <v>2435</v>
      </c>
      <c r="G499" s="2" t="s">
        <v>2435</v>
      </c>
      <c r="H499" s="2" t="s">
        <v>2435</v>
      </c>
      <c r="I499" s="2" t="s">
        <v>2436</v>
      </c>
      <c r="J499" s="2" t="s">
        <v>2000</v>
      </c>
      <c r="K499" s="2" t="s">
        <v>1196</v>
      </c>
      <c r="L499" s="3">
        <v>24.76</v>
      </c>
      <c r="M499" s="3">
        <v>26</v>
      </c>
      <c r="N499" s="3">
        <v>79.99</v>
      </c>
      <c r="O499" s="2" t="s">
        <v>407</v>
      </c>
      <c r="P499" s="2" t="s">
        <v>624</v>
      </c>
      <c r="Q499" s="2" t="s">
        <v>234</v>
      </c>
      <c r="R499" s="2" t="s">
        <v>235</v>
      </c>
      <c r="S499" s="2" t="s">
        <v>235</v>
      </c>
      <c r="T499" s="2" t="s">
        <v>235</v>
      </c>
      <c r="U499" s="2" t="s">
        <v>807</v>
      </c>
      <c r="V499" s="2" t="s">
        <v>863</v>
      </c>
      <c r="W499" s="2" t="s">
        <v>671</v>
      </c>
      <c r="X499" s="2" t="s">
        <v>235</v>
      </c>
      <c r="Y499" s="2" t="s">
        <v>2437</v>
      </c>
      <c r="Z499" s="4">
        <v>100</v>
      </c>
      <c r="AA499" s="4">
        <f>=ROUNDDOWN(500,0)</f>
      </c>
      <c r="AB499" s="5">
        <v>0.2</v>
      </c>
      <c r="AC499" s="2" t="s">
        <v>235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235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235</v>
      </c>
      <c r="BD499" s="8" t="s">
        <v>235</v>
      </c>
      <c r="BE499" s="4" t="s">
        <v>235</v>
      </c>
      <c r="BF499" s="8" t="s">
        <v>235</v>
      </c>
      <c r="BG499" s="7" t="s">
        <v>235</v>
      </c>
      <c r="BH499" s="7" t="s">
        <v>235</v>
      </c>
      <c r="BI499" s="7"/>
      <c r="BJ499" s="4"/>
      <c r="BK499" s="8"/>
      <c r="BL499" s="2" t="s">
        <v>2146</v>
      </c>
      <c r="BM499" s="7"/>
      <c r="BN499" s="7"/>
      <c r="BO499" s="4"/>
      <c r="BP499" s="8"/>
      <c r="BQ499" s="4"/>
      <c r="BR499" s="8"/>
      <c r="BS499" s="7"/>
      <c r="BT499" s="7"/>
      <c r="BU499" s="2" t="s">
        <v>2438</v>
      </c>
      <c r="BV499" s="2" t="s">
        <v>243</v>
      </c>
      <c r="BW499" s="2" t="s">
        <v>235</v>
      </c>
      <c r="BX499" s="2" t="s">
        <v>414</v>
      </c>
      <c r="BY499" s="2" t="s">
        <v>245</v>
      </c>
      <c r="BZ499" s="2" t="s">
        <v>232</v>
      </c>
      <c r="CA499" s="2" t="s">
        <v>1577</v>
      </c>
      <c r="CB499" s="2" t="s">
        <v>1260</v>
      </c>
      <c r="CC499" s="2" t="s">
        <v>248</v>
      </c>
      <c r="CD499" s="2" t="s">
        <v>248</v>
      </c>
      <c r="CE499" s="2" t="s">
        <v>235</v>
      </c>
      <c r="CF499" s="4">
        <v>100</v>
      </c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>
        <v>104</v>
      </c>
      <c r="GE499" s="4">
        <v>100</v>
      </c>
      <c r="GF499" s="4">
        <v>100</v>
      </c>
      <c r="GG499" s="4">
        <v>100</v>
      </c>
      <c r="GH499" s="4">
        <v>100</v>
      </c>
      <c r="GI499" s="4">
        <v>100</v>
      </c>
      <c r="GJ499" s="4">
        <v>100</v>
      </c>
      <c r="GK499" s="4">
        <v>100</v>
      </c>
      <c r="GL499" s="4">
        <v>100</v>
      </c>
      <c r="GM499" s="4">
        <v>100</v>
      </c>
      <c r="GN499" s="4">
        <v>100</v>
      </c>
      <c r="GO499" s="4">
        <v>100</v>
      </c>
      <c r="GP499" s="4">
        <v>100</v>
      </c>
      <c r="GQ499" s="4">
        <v>100</v>
      </c>
      <c r="GR499" s="4">
        <v>100</v>
      </c>
      <c r="GS499" s="4">
        <v>100</v>
      </c>
      <c r="GT499" s="4">
        <v>100</v>
      </c>
      <c r="GU499" s="4">
        <v>100</v>
      </c>
      <c r="GV499" s="4">
        <v>100</v>
      </c>
      <c r="GW499" s="4">
        <v>100</v>
      </c>
      <c r="GX499" s="4">
        <v>100</v>
      </c>
      <c r="GY499" s="4">
        <v>100</v>
      </c>
      <c r="GZ499" s="4">
        <v>100</v>
      </c>
      <c r="HA499" s="4">
        <v>100</v>
      </c>
      <c r="HB499" s="4">
        <v>100</v>
      </c>
      <c r="HC499" s="4">
        <v>100</v>
      </c>
      <c r="HD499" s="19">
        <v>104</v>
      </c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</row>
    <row r="500">
      <c r="A500" s="2" t="s">
        <v>2439</v>
      </c>
      <c r="B500" s="2" t="s">
        <v>871</v>
      </c>
      <c r="C500" s="2" t="s">
        <v>1561</v>
      </c>
      <c r="D500" s="2" t="s">
        <v>2033</v>
      </c>
      <c r="E500" s="2" t="s">
        <v>2434</v>
      </c>
      <c r="F500" s="2" t="s">
        <v>2435</v>
      </c>
      <c r="G500" s="2" t="s">
        <v>2435</v>
      </c>
      <c r="H500" s="2" t="s">
        <v>2435</v>
      </c>
      <c r="I500" s="2" t="s">
        <v>2436</v>
      </c>
      <c r="J500" s="2" t="s">
        <v>2000</v>
      </c>
      <c r="K500" s="2" t="s">
        <v>1477</v>
      </c>
      <c r="L500" s="3">
        <v>24.76</v>
      </c>
      <c r="M500" s="3">
        <v>26</v>
      </c>
      <c r="N500" s="3">
        <v>79.99</v>
      </c>
      <c r="O500" s="2" t="s">
        <v>407</v>
      </c>
      <c r="P500" s="2" t="s">
        <v>624</v>
      </c>
      <c r="Q500" s="2" t="s">
        <v>234</v>
      </c>
      <c r="R500" s="2" t="s">
        <v>235</v>
      </c>
      <c r="S500" s="2" t="s">
        <v>235</v>
      </c>
      <c r="T500" s="2" t="s">
        <v>235</v>
      </c>
      <c r="U500" s="2" t="s">
        <v>807</v>
      </c>
      <c r="V500" s="2" t="s">
        <v>863</v>
      </c>
      <c r="W500" s="2" t="s">
        <v>671</v>
      </c>
      <c r="X500" s="2" t="s">
        <v>235</v>
      </c>
      <c r="Y500" s="2" t="s">
        <v>2437</v>
      </c>
      <c r="Z500" s="4">
        <v>51</v>
      </c>
      <c r="AA500" s="4">
        <f>=ROUNDDOWN(85,0)</f>
      </c>
      <c r="AB500" s="5">
        <v>0.6</v>
      </c>
      <c r="AC500" s="2" t="s">
        <v>235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235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235</v>
      </c>
      <c r="BD500" s="8" t="s">
        <v>235</v>
      </c>
      <c r="BE500" s="4" t="s">
        <v>235</v>
      </c>
      <c r="BF500" s="8" t="s">
        <v>235</v>
      </c>
      <c r="BG500" s="7" t="s">
        <v>235</v>
      </c>
      <c r="BH500" s="7" t="s">
        <v>235</v>
      </c>
      <c r="BI500" s="7"/>
      <c r="BJ500" s="4">
        <v>2</v>
      </c>
      <c r="BK500" s="8">
        <v>95.99</v>
      </c>
      <c r="BL500" s="2" t="s">
        <v>2440</v>
      </c>
      <c r="BM500" s="7"/>
      <c r="BN500" s="7"/>
      <c r="BO500" s="4"/>
      <c r="BP500" s="8"/>
      <c r="BQ500" s="4"/>
      <c r="BR500" s="8"/>
      <c r="BS500" s="7"/>
      <c r="BT500" s="7"/>
      <c r="BU500" s="2" t="s">
        <v>2438</v>
      </c>
      <c r="BV500" s="2" t="s">
        <v>243</v>
      </c>
      <c r="BW500" s="2" t="s">
        <v>235</v>
      </c>
      <c r="BX500" s="2" t="s">
        <v>414</v>
      </c>
      <c r="BY500" s="2" t="s">
        <v>245</v>
      </c>
      <c r="BZ500" s="2" t="s">
        <v>232</v>
      </c>
      <c r="CA500" s="2" t="s">
        <v>1577</v>
      </c>
      <c r="CB500" s="2" t="s">
        <v>2441</v>
      </c>
      <c r="CC500" s="2" t="s">
        <v>248</v>
      </c>
      <c r="CD500" s="2" t="s">
        <v>248</v>
      </c>
      <c r="CE500" s="2" t="s">
        <v>235</v>
      </c>
      <c r="CF500" s="4">
        <v>51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>
        <v>51</v>
      </c>
      <c r="GE500" s="4">
        <v>51</v>
      </c>
      <c r="GF500" s="4">
        <v>51</v>
      </c>
      <c r="GG500" s="4">
        <v>51</v>
      </c>
      <c r="GH500" s="4">
        <v>51</v>
      </c>
      <c r="GI500" s="4">
        <v>51</v>
      </c>
      <c r="GJ500" s="4">
        <v>51</v>
      </c>
      <c r="GK500" s="4">
        <v>51</v>
      </c>
      <c r="GL500" s="4">
        <v>51</v>
      </c>
      <c r="GM500" s="4">
        <v>51</v>
      </c>
      <c r="GN500" s="4">
        <v>51</v>
      </c>
      <c r="GO500" s="4">
        <v>51</v>
      </c>
      <c r="GP500" s="4">
        <v>51</v>
      </c>
      <c r="GQ500" s="4">
        <v>51</v>
      </c>
      <c r="GR500" s="4">
        <v>51</v>
      </c>
      <c r="GS500" s="4">
        <v>51</v>
      </c>
      <c r="GT500" s="4">
        <v>51</v>
      </c>
      <c r="GU500" s="4">
        <v>51</v>
      </c>
      <c r="GV500" s="4">
        <v>51</v>
      </c>
      <c r="GW500" s="4">
        <v>51</v>
      </c>
      <c r="GX500" s="4">
        <v>51</v>
      </c>
      <c r="GY500" s="4">
        <v>51</v>
      </c>
      <c r="GZ500" s="4">
        <v>51</v>
      </c>
      <c r="HA500" s="4">
        <v>51</v>
      </c>
      <c r="HB500" s="4">
        <v>51</v>
      </c>
      <c r="HC500" s="4">
        <v>51</v>
      </c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</row>
    <row r="501">
      <c r="A501" s="2" t="s">
        <v>2442</v>
      </c>
      <c r="B501" s="2" t="s">
        <v>871</v>
      </c>
      <c r="C501" s="2" t="s">
        <v>2443</v>
      </c>
      <c r="D501" s="2" t="s">
        <v>906</v>
      </c>
      <c r="E501" s="2" t="s">
        <v>1301</v>
      </c>
      <c r="F501" s="2" t="s">
        <v>2444</v>
      </c>
      <c r="G501" s="2" t="s">
        <v>2445</v>
      </c>
      <c r="H501" s="2" t="s">
        <v>2446</v>
      </c>
      <c r="I501" s="2" t="s">
        <v>2447</v>
      </c>
      <c r="J501" s="2" t="s">
        <v>365</v>
      </c>
      <c r="K501" s="2" t="s">
        <v>889</v>
      </c>
      <c r="L501" s="3">
        <v>45.89</v>
      </c>
      <c r="M501" s="3">
        <v>48.18</v>
      </c>
      <c r="N501" s="3">
        <v>89.99</v>
      </c>
      <c r="O501" s="2" t="s">
        <v>232</v>
      </c>
      <c r="P501" s="2" t="s">
        <v>233</v>
      </c>
      <c r="Q501" s="2" t="s">
        <v>234</v>
      </c>
      <c r="R501" s="2" t="s">
        <v>235</v>
      </c>
      <c r="S501" s="2" t="s">
        <v>2448</v>
      </c>
      <c r="T501" s="2" t="s">
        <v>263</v>
      </c>
      <c r="U501" s="2" t="s">
        <v>282</v>
      </c>
      <c r="V501" s="2" t="s">
        <v>2182</v>
      </c>
      <c r="W501" s="2" t="s">
        <v>239</v>
      </c>
      <c r="X501" s="2" t="s">
        <v>235</v>
      </c>
      <c r="Y501" s="2" t="s">
        <v>1158</v>
      </c>
      <c r="Z501" s="4">
        <v>226</v>
      </c>
      <c r="AA501" s="4">
        <f>=ROUNDDOWN(113,0)</f>
      </c>
      <c r="AB501" s="5">
        <v>2</v>
      </c>
      <c r="AC501" s="2" t="s">
        <v>235</v>
      </c>
      <c r="AD501" s="4"/>
      <c r="AE501" s="4"/>
      <c r="AF501" s="6">
        <v>78</v>
      </c>
      <c r="AG501" s="6"/>
      <c r="AH501" s="7">
        <v>1</v>
      </c>
      <c r="AI501" s="4"/>
      <c r="AJ501" s="4">
        <f>=ROUNDDOWN({0},0)</f>
      </c>
      <c r="AK501" s="5"/>
      <c r="AL501" s="2" t="s">
        <v>235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>
        <v>8</v>
      </c>
      <c r="BK501" s="8">
        <v>367.66</v>
      </c>
      <c r="BL501" s="2" t="s">
        <v>2017</v>
      </c>
      <c r="BM501" s="7"/>
      <c r="BN501" s="7"/>
      <c r="BO501" s="4"/>
      <c r="BP501" s="8"/>
      <c r="BQ501" s="4"/>
      <c r="BR501" s="8"/>
      <c r="BS501" s="7"/>
      <c r="BT501" s="7"/>
      <c r="BU501" s="2" t="s">
        <v>2449</v>
      </c>
      <c r="BV501" s="2" t="s">
        <v>243</v>
      </c>
      <c r="BW501" s="2" t="s">
        <v>235</v>
      </c>
      <c r="BX501" s="2" t="s">
        <v>244</v>
      </c>
      <c r="BY501" s="2" t="s">
        <v>245</v>
      </c>
      <c r="BZ501" s="2" t="s">
        <v>232</v>
      </c>
      <c r="CA501" s="2" t="s">
        <v>2450</v>
      </c>
      <c r="CB501" s="2" t="s">
        <v>2451</v>
      </c>
      <c r="CC501" s="2" t="s">
        <v>248</v>
      </c>
      <c r="CD501" s="2" t="s">
        <v>248</v>
      </c>
      <c r="CE501" s="2" t="s">
        <v>235</v>
      </c>
      <c r="CF501" s="4">
        <v>226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>
        <v>226</v>
      </c>
      <c r="GE501" s="4">
        <v>223</v>
      </c>
      <c r="GF501" s="4">
        <v>220</v>
      </c>
      <c r="GG501" s="4">
        <v>217</v>
      </c>
      <c r="GH501" s="4">
        <v>214</v>
      </c>
      <c r="GI501" s="4">
        <v>211</v>
      </c>
      <c r="GJ501" s="4">
        <v>208</v>
      </c>
      <c r="GK501" s="4">
        <v>205</v>
      </c>
      <c r="GL501" s="4">
        <v>202</v>
      </c>
      <c r="GM501" s="4">
        <v>199</v>
      </c>
      <c r="GN501" s="4">
        <v>195</v>
      </c>
      <c r="GO501" s="4">
        <v>190</v>
      </c>
      <c r="GP501" s="4">
        <v>186</v>
      </c>
      <c r="GQ501" s="4">
        <v>179</v>
      </c>
      <c r="GR501" s="4">
        <v>175</v>
      </c>
      <c r="GS501" s="4">
        <v>171</v>
      </c>
      <c r="GT501" s="4">
        <v>168</v>
      </c>
      <c r="GU501" s="4">
        <v>165</v>
      </c>
      <c r="GV501" s="4">
        <v>162</v>
      </c>
      <c r="GW501" s="4">
        <v>159</v>
      </c>
      <c r="GX501" s="4">
        <v>156</v>
      </c>
      <c r="GY501" s="4">
        <v>153</v>
      </c>
      <c r="GZ501" s="4">
        <v>151</v>
      </c>
      <c r="HA501" s="4">
        <v>149</v>
      </c>
      <c r="HB501" s="4">
        <v>147</v>
      </c>
      <c r="HC501" s="4">
        <v>145</v>
      </c>
      <c r="HD501" s="19">
        <v>75.3</v>
      </c>
      <c r="HE501" s="19">
        <v>74.3</v>
      </c>
      <c r="HF501" s="19">
        <v>73.3</v>
      </c>
      <c r="HG501" s="19">
        <v>72.3</v>
      </c>
      <c r="HH501" s="19">
        <v>71.3</v>
      </c>
      <c r="HI501" s="19">
        <v>70.3</v>
      </c>
      <c r="HJ501" s="19">
        <v>69.3</v>
      </c>
      <c r="HK501" s="19">
        <v>51.3</v>
      </c>
      <c r="HL501" s="19">
        <v>50.5</v>
      </c>
      <c r="HM501" s="19">
        <v>39.8</v>
      </c>
      <c r="HN501" s="19">
        <v>39</v>
      </c>
      <c r="HO501" s="19">
        <v>38</v>
      </c>
      <c r="HP501" s="19">
        <v>46.5</v>
      </c>
      <c r="HQ501" s="19">
        <v>44.8</v>
      </c>
      <c r="HR501" s="19">
        <v>58.3</v>
      </c>
      <c r="HS501" s="19">
        <v>57</v>
      </c>
      <c r="HT501" s="19">
        <v>56</v>
      </c>
      <c r="HU501" s="19">
        <v>55</v>
      </c>
      <c r="HV501" s="19">
        <v>54</v>
      </c>
      <c r="HW501" s="19">
        <v>79.5</v>
      </c>
      <c r="HX501" s="19">
        <v>78</v>
      </c>
      <c r="HY501" s="19">
        <v>76.5</v>
      </c>
      <c r="HZ501" s="19">
        <v>75.5</v>
      </c>
      <c r="IA501" s="19">
        <v>74.5</v>
      </c>
      <c r="IB501" s="19">
        <v>73.5</v>
      </c>
      <c r="IC501" s="19">
        <v>72.5</v>
      </c>
    </row>
    <row r="502">
      <c r="A502" s="2" t="s">
        <v>2452</v>
      </c>
      <c r="B502" s="2" t="s">
        <v>255</v>
      </c>
      <c r="C502" s="2" t="s">
        <v>2023</v>
      </c>
      <c r="D502" s="2" t="s">
        <v>361</v>
      </c>
      <c r="E502" s="2" t="s">
        <v>872</v>
      </c>
      <c r="F502" s="2" t="s">
        <v>2453</v>
      </c>
      <c r="G502" s="2" t="s">
        <v>2453</v>
      </c>
      <c r="H502" s="2" t="s">
        <v>2453</v>
      </c>
      <c r="I502" s="2" t="s">
        <v>2454</v>
      </c>
      <c r="J502" s="2" t="s">
        <v>250</v>
      </c>
      <c r="K502" s="2" t="s">
        <v>861</v>
      </c>
      <c r="L502" s="3">
        <v>95</v>
      </c>
      <c r="M502" s="3">
        <v>99.74</v>
      </c>
      <c r="N502" s="3">
        <v>204.99</v>
      </c>
      <c r="O502" s="2" t="s">
        <v>232</v>
      </c>
      <c r="P502" s="2" t="s">
        <v>965</v>
      </c>
      <c r="Q502" s="2" t="s">
        <v>234</v>
      </c>
      <c r="R502" s="2" t="s">
        <v>235</v>
      </c>
      <c r="S502" s="2" t="s">
        <v>2455</v>
      </c>
      <c r="T502" s="2" t="s">
        <v>1298</v>
      </c>
      <c r="U502" s="2" t="s">
        <v>235</v>
      </c>
      <c r="V502" s="2" t="s">
        <v>410</v>
      </c>
      <c r="W502" s="2" t="s">
        <v>1299</v>
      </c>
      <c r="X502" s="2" t="s">
        <v>1596</v>
      </c>
      <c r="Y502" s="2" t="s">
        <v>240</v>
      </c>
      <c r="Z502" s="4">
        <v>33</v>
      </c>
      <c r="AA502" s="4">
        <f>=ROUNDDOWN(82.5,0)</f>
      </c>
      <c r="AB502" s="5">
        <v>0.4</v>
      </c>
      <c r="AC502" s="2" t="s">
        <v>204</v>
      </c>
      <c r="AD502" s="4">
        <v>20</v>
      </c>
      <c r="AE502" s="4">
        <v>20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235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235</v>
      </c>
      <c r="BD502" s="8" t="s">
        <v>235</v>
      </c>
      <c r="BE502" s="4" t="s">
        <v>235</v>
      </c>
      <c r="BF502" s="8" t="s">
        <v>235</v>
      </c>
      <c r="BG502" s="7" t="s">
        <v>235</v>
      </c>
      <c r="BH502" s="7" t="s">
        <v>235</v>
      </c>
      <c r="BI502" s="7"/>
      <c r="BJ502" s="4">
        <v>11</v>
      </c>
      <c r="BK502" s="8">
        <v>337.14</v>
      </c>
      <c r="BL502" s="2" t="s">
        <v>2456</v>
      </c>
      <c r="BM502" s="7"/>
      <c r="BN502" s="7"/>
      <c r="BO502" s="4"/>
      <c r="BP502" s="8"/>
      <c r="BQ502" s="4"/>
      <c r="BR502" s="8"/>
      <c r="BS502" s="7"/>
      <c r="BT502" s="7"/>
      <c r="BU502" s="2" t="s">
        <v>2457</v>
      </c>
      <c r="BV502" s="2" t="s">
        <v>243</v>
      </c>
      <c r="BW502" s="2" t="s">
        <v>235</v>
      </c>
      <c r="BX502" s="2" t="s">
        <v>414</v>
      </c>
      <c r="BY502" s="2" t="s">
        <v>245</v>
      </c>
      <c r="BZ502" s="2" t="s">
        <v>232</v>
      </c>
      <c r="CA502" s="2" t="s">
        <v>252</v>
      </c>
      <c r="CB502" s="2" t="s">
        <v>2458</v>
      </c>
      <c r="CC502" s="2" t="s">
        <v>248</v>
      </c>
      <c r="CD502" s="2" t="s">
        <v>248</v>
      </c>
      <c r="CE502" s="2" t="s">
        <v>235</v>
      </c>
      <c r="CF502" s="4">
        <v>33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>
        <v>20</v>
      </c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>
        <v>34</v>
      </c>
      <c r="GE502" s="4">
        <v>33</v>
      </c>
      <c r="GF502" s="4">
        <v>33</v>
      </c>
      <c r="GG502" s="4">
        <v>33</v>
      </c>
      <c r="GH502" s="4">
        <v>33</v>
      </c>
      <c r="GI502" s="4">
        <v>33</v>
      </c>
      <c r="GJ502" s="4">
        <v>33</v>
      </c>
      <c r="GK502" s="4">
        <v>33</v>
      </c>
      <c r="GL502" s="4">
        <v>33</v>
      </c>
      <c r="GM502" s="4">
        <v>33</v>
      </c>
      <c r="GN502" s="4">
        <v>33</v>
      </c>
      <c r="GO502" s="4">
        <v>33</v>
      </c>
      <c r="GP502" s="4">
        <v>33</v>
      </c>
      <c r="GQ502" s="4">
        <v>33</v>
      </c>
      <c r="GR502" s="4">
        <v>33</v>
      </c>
      <c r="GS502" s="4">
        <v>53</v>
      </c>
      <c r="GT502" s="4">
        <v>53</v>
      </c>
      <c r="GU502" s="4">
        <v>53</v>
      </c>
      <c r="GV502" s="4">
        <v>53</v>
      </c>
      <c r="GW502" s="4">
        <v>53</v>
      </c>
      <c r="GX502" s="4">
        <v>53</v>
      </c>
      <c r="GY502" s="4">
        <v>53</v>
      </c>
      <c r="GZ502" s="4">
        <v>53</v>
      </c>
      <c r="HA502" s="4">
        <v>53</v>
      </c>
      <c r="HB502" s="4">
        <v>53</v>
      </c>
      <c r="HC502" s="4">
        <v>53</v>
      </c>
      <c r="HD502" s="20">
        <v>0</v>
      </c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</row>
    <row r="503">
      <c r="A503" s="2" t="s">
        <v>2459</v>
      </c>
      <c r="B503" s="2" t="s">
        <v>255</v>
      </c>
      <c r="C503" s="2" t="s">
        <v>2023</v>
      </c>
      <c r="D503" s="2" t="s">
        <v>906</v>
      </c>
      <c r="E503" s="2" t="s">
        <v>1301</v>
      </c>
      <c r="F503" s="2" t="s">
        <v>2453</v>
      </c>
      <c r="G503" s="2" t="s">
        <v>2453</v>
      </c>
      <c r="H503" s="2" t="s">
        <v>2453</v>
      </c>
      <c r="I503" s="2" t="s">
        <v>2460</v>
      </c>
      <c r="J503" s="2" t="s">
        <v>365</v>
      </c>
      <c r="K503" s="2" t="s">
        <v>542</v>
      </c>
      <c r="L503" s="3">
        <v>81.59</v>
      </c>
      <c r="M503" s="3">
        <v>85.67</v>
      </c>
      <c r="N503" s="3">
        <v>174.99</v>
      </c>
      <c r="O503" s="2" t="s">
        <v>232</v>
      </c>
      <c r="P503" s="2" t="s">
        <v>408</v>
      </c>
      <c r="Q503" s="2" t="s">
        <v>234</v>
      </c>
      <c r="R503" s="2" t="s">
        <v>235</v>
      </c>
      <c r="S503" s="2" t="s">
        <v>2461</v>
      </c>
      <c r="T503" s="2" t="s">
        <v>235</v>
      </c>
      <c r="U503" s="2" t="s">
        <v>235</v>
      </c>
      <c r="V503" s="2" t="s">
        <v>410</v>
      </c>
      <c r="W503" s="2" t="s">
        <v>410</v>
      </c>
      <c r="X503" s="2" t="s">
        <v>1596</v>
      </c>
      <c r="Y503" s="2" t="s">
        <v>240</v>
      </c>
      <c r="Z503" s="4">
        <v>25</v>
      </c>
      <c r="AA503" s="4">
        <f>=ROUNDDOWN(13.8888888888889,0)</f>
      </c>
      <c r="AB503" s="5">
        <v>1.8</v>
      </c>
      <c r="AC503" s="2" t="s">
        <v>235</v>
      </c>
      <c r="AD503" s="4"/>
      <c r="AE503" s="4"/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235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235</v>
      </c>
      <c r="AW503" s="8" t="s">
        <v>235</v>
      </c>
      <c r="AX503" s="4" t="s">
        <v>235</v>
      </c>
      <c r="AY503" s="8" t="s">
        <v>235</v>
      </c>
      <c r="AZ503" s="7" t="s">
        <v>235</v>
      </c>
      <c r="BA503" s="7" t="s">
        <v>235</v>
      </c>
      <c r="BB503" s="7"/>
      <c r="BC503" s="4" t="s">
        <v>235</v>
      </c>
      <c r="BD503" s="8" t="s">
        <v>235</v>
      </c>
      <c r="BE503" s="4" t="s">
        <v>235</v>
      </c>
      <c r="BF503" s="8" t="s">
        <v>235</v>
      </c>
      <c r="BG503" s="7" t="s">
        <v>235</v>
      </c>
      <c r="BH503" s="7" t="s">
        <v>235</v>
      </c>
      <c r="BI503" s="7"/>
      <c r="BJ503" s="4">
        <v>3</v>
      </c>
      <c r="BK503" s="8">
        <v>263.9</v>
      </c>
      <c r="BL503" s="2" t="s">
        <v>2462</v>
      </c>
      <c r="BM503" s="7"/>
      <c r="BN503" s="7"/>
      <c r="BO503" s="4"/>
      <c r="BP503" s="8"/>
      <c r="BQ503" s="4"/>
      <c r="BR503" s="8"/>
      <c r="BS503" s="7"/>
      <c r="BT503" s="7"/>
      <c r="BU503" s="2" t="s">
        <v>2463</v>
      </c>
      <c r="BV503" s="2" t="s">
        <v>243</v>
      </c>
      <c r="BW503" s="2" t="s">
        <v>235</v>
      </c>
      <c r="BX503" s="2" t="s">
        <v>414</v>
      </c>
      <c r="BY503" s="2" t="s">
        <v>245</v>
      </c>
      <c r="BZ503" s="2" t="s">
        <v>232</v>
      </c>
      <c r="CA503" s="2" t="s">
        <v>252</v>
      </c>
      <c r="CB503" s="2" t="s">
        <v>2464</v>
      </c>
      <c r="CC503" s="2" t="s">
        <v>492</v>
      </c>
      <c r="CD503" s="2" t="s">
        <v>248</v>
      </c>
      <c r="CE503" s="2" t="s">
        <v>235</v>
      </c>
      <c r="CF503" s="4">
        <v>25</v>
      </c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>
        <v>25</v>
      </c>
      <c r="GE503" s="4">
        <v>23</v>
      </c>
      <c r="GF503" s="4">
        <v>21</v>
      </c>
      <c r="GG503" s="4">
        <v>19</v>
      </c>
      <c r="GH503" s="4">
        <v>17</v>
      </c>
      <c r="GI503" s="4">
        <v>15</v>
      </c>
      <c r="GJ503" s="4">
        <v>13</v>
      </c>
      <c r="GK503" s="4">
        <v>11</v>
      </c>
      <c r="GL503" s="4">
        <v>9</v>
      </c>
      <c r="GM503" s="4">
        <v>7</v>
      </c>
      <c r="GN503" s="4">
        <v>5</v>
      </c>
      <c r="GO503" s="4">
        <v>3</v>
      </c>
      <c r="GP503" s="4">
        <v>1</v>
      </c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19">
        <v>12.5</v>
      </c>
      <c r="HE503" s="19">
        <v>11.5</v>
      </c>
      <c r="HF503" s="19">
        <v>10.5</v>
      </c>
      <c r="HG503" s="19">
        <v>9.5</v>
      </c>
      <c r="HH503" s="19">
        <v>8.5</v>
      </c>
      <c r="HI503" s="19">
        <v>7.5</v>
      </c>
      <c r="HJ503" s="19">
        <v>6.5</v>
      </c>
      <c r="HK503" s="19">
        <v>5.5</v>
      </c>
      <c r="HL503" s="19">
        <v>4.5</v>
      </c>
      <c r="HM503" s="19">
        <v>3.5</v>
      </c>
      <c r="HN503" s="19">
        <v>2.5</v>
      </c>
      <c r="HO503" s="19">
        <v>1.5</v>
      </c>
      <c r="HP503" s="19">
        <v>0.5</v>
      </c>
      <c r="HQ503" s="20">
        <v>0</v>
      </c>
      <c r="HR503" s="20">
        <v>0</v>
      </c>
      <c r="HS503" s="20">
        <v>0</v>
      </c>
      <c r="HT503" s="20">
        <v>0</v>
      </c>
      <c r="HU503" s="20">
        <v>0</v>
      </c>
      <c r="HV503" s="20">
        <v>0</v>
      </c>
      <c r="HW503" s="20">
        <v>0</v>
      </c>
      <c r="HX503" s="20">
        <v>0</v>
      </c>
      <c r="HY503" s="20">
        <v>0</v>
      </c>
      <c r="HZ503" s="20">
        <v>0</v>
      </c>
      <c r="IA503" s="20">
        <v>0</v>
      </c>
      <c r="IB503" s="20">
        <v>0</v>
      </c>
      <c r="IC503" s="20">
        <v>0</v>
      </c>
    </row>
    <row r="504">
      <c r="A504" s="2" t="s">
        <v>2465</v>
      </c>
      <c r="B504" s="2" t="s">
        <v>255</v>
      </c>
      <c r="C504" s="2" t="s">
        <v>2023</v>
      </c>
      <c r="D504" s="2" t="s">
        <v>906</v>
      </c>
      <c r="E504" s="2" t="s">
        <v>1301</v>
      </c>
      <c r="F504" s="2" t="s">
        <v>2453</v>
      </c>
      <c r="G504" s="2" t="s">
        <v>2453</v>
      </c>
      <c r="H504" s="2" t="s">
        <v>2453</v>
      </c>
      <c r="I504" s="2" t="s">
        <v>2460</v>
      </c>
      <c r="J504" s="2" t="s">
        <v>372</v>
      </c>
      <c r="K504" s="2" t="s">
        <v>542</v>
      </c>
      <c r="L504" s="3">
        <v>96.89</v>
      </c>
      <c r="M504" s="3">
        <v>101.74</v>
      </c>
      <c r="N504" s="3">
        <v>204.99</v>
      </c>
      <c r="O504" s="2" t="s">
        <v>232</v>
      </c>
      <c r="P504" s="2" t="s">
        <v>408</v>
      </c>
      <c r="Q504" s="2" t="s">
        <v>234</v>
      </c>
      <c r="R504" s="2" t="s">
        <v>235</v>
      </c>
      <c r="S504" s="2" t="s">
        <v>2461</v>
      </c>
      <c r="T504" s="2" t="s">
        <v>235</v>
      </c>
      <c r="U504" s="2" t="s">
        <v>235</v>
      </c>
      <c r="V504" s="2" t="s">
        <v>410</v>
      </c>
      <c r="W504" s="2" t="s">
        <v>410</v>
      </c>
      <c r="X504" s="2" t="s">
        <v>1596</v>
      </c>
      <c r="Y504" s="2" t="s">
        <v>240</v>
      </c>
      <c r="Z504" s="4">
        <v>25</v>
      </c>
      <c r="AA504" s="4">
        <f>=ROUNDDOWN(83.3333333333333,0)</f>
      </c>
      <c r="AB504" s="5">
        <v>0.3</v>
      </c>
      <c r="AC504" s="2" t="s">
        <v>235</v>
      </c>
      <c r="AD504" s="4"/>
      <c r="AE504" s="4"/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235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235</v>
      </c>
      <c r="AW504" s="8" t="s">
        <v>235</v>
      </c>
      <c r="AX504" s="4" t="s">
        <v>235</v>
      </c>
      <c r="AY504" s="8" t="s">
        <v>235</v>
      </c>
      <c r="AZ504" s="7" t="s">
        <v>235</v>
      </c>
      <c r="BA504" s="7" t="s">
        <v>235</v>
      </c>
      <c r="BB504" s="7"/>
      <c r="BC504" s="4" t="s">
        <v>235</v>
      </c>
      <c r="BD504" s="8" t="s">
        <v>235</v>
      </c>
      <c r="BE504" s="4" t="s">
        <v>235</v>
      </c>
      <c r="BF504" s="8" t="s">
        <v>235</v>
      </c>
      <c r="BG504" s="7" t="s">
        <v>235</v>
      </c>
      <c r="BH504" s="7" t="s">
        <v>235</v>
      </c>
      <c r="BI504" s="7"/>
      <c r="BJ504" s="4">
        <v>5</v>
      </c>
      <c r="BK504" s="8">
        <v>659.01</v>
      </c>
      <c r="BL504" s="2" t="s">
        <v>2466</v>
      </c>
      <c r="BM504" s="7"/>
      <c r="BN504" s="7"/>
      <c r="BO504" s="4"/>
      <c r="BP504" s="8"/>
      <c r="BQ504" s="4"/>
      <c r="BR504" s="8"/>
      <c r="BS504" s="7"/>
      <c r="BT504" s="7"/>
      <c r="BU504" s="2" t="s">
        <v>2463</v>
      </c>
      <c r="BV504" s="2" t="s">
        <v>243</v>
      </c>
      <c r="BW504" s="2" t="s">
        <v>235</v>
      </c>
      <c r="BX504" s="2" t="s">
        <v>414</v>
      </c>
      <c r="BY504" s="2" t="s">
        <v>245</v>
      </c>
      <c r="BZ504" s="2" t="s">
        <v>232</v>
      </c>
      <c r="CA504" s="2" t="s">
        <v>252</v>
      </c>
      <c r="CB504" s="2" t="s">
        <v>2467</v>
      </c>
      <c r="CC504" s="2" t="s">
        <v>492</v>
      </c>
      <c r="CD504" s="2" t="s">
        <v>248</v>
      </c>
      <c r="CE504" s="2" t="s">
        <v>235</v>
      </c>
      <c r="CF504" s="4">
        <v>25</v>
      </c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>
        <v>25</v>
      </c>
      <c r="GE504" s="4">
        <v>25</v>
      </c>
      <c r="GF504" s="4">
        <v>25</v>
      </c>
      <c r="GG504" s="4">
        <v>25</v>
      </c>
      <c r="GH504" s="4">
        <v>25</v>
      </c>
      <c r="GI504" s="4">
        <v>25</v>
      </c>
      <c r="GJ504" s="4">
        <v>25</v>
      </c>
      <c r="GK504" s="4">
        <v>25</v>
      </c>
      <c r="GL504" s="4">
        <v>25</v>
      </c>
      <c r="GM504" s="4">
        <v>25</v>
      </c>
      <c r="GN504" s="4">
        <v>25</v>
      </c>
      <c r="GO504" s="4">
        <v>25</v>
      </c>
      <c r="GP504" s="4">
        <v>25</v>
      </c>
      <c r="GQ504" s="4">
        <v>25</v>
      </c>
      <c r="GR504" s="4">
        <v>25</v>
      </c>
      <c r="GS504" s="4">
        <v>25</v>
      </c>
      <c r="GT504" s="4">
        <v>25</v>
      </c>
      <c r="GU504" s="4">
        <v>25</v>
      </c>
      <c r="GV504" s="4">
        <v>25</v>
      </c>
      <c r="GW504" s="4">
        <v>25</v>
      </c>
      <c r="GX504" s="4">
        <v>25</v>
      </c>
      <c r="GY504" s="4">
        <v>25</v>
      </c>
      <c r="GZ504" s="4">
        <v>25</v>
      </c>
      <c r="HA504" s="4">
        <v>25</v>
      </c>
      <c r="HB504" s="4">
        <v>25</v>
      </c>
      <c r="HC504" s="4">
        <v>25</v>
      </c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</row>
    <row r="505">
      <c r="A505" s="2" t="s">
        <v>2468</v>
      </c>
      <c r="B505" s="2" t="s">
        <v>871</v>
      </c>
      <c r="C505" s="2" t="s">
        <v>2384</v>
      </c>
      <c r="D505" s="2" t="s">
        <v>2033</v>
      </c>
      <c r="E505" s="2" t="s">
        <v>2434</v>
      </c>
      <c r="F505" s="2" t="s">
        <v>2469</v>
      </c>
      <c r="G505" s="2" t="s">
        <v>2469</v>
      </c>
      <c r="H505" s="2" t="s">
        <v>2469</v>
      </c>
      <c r="I505" s="2" t="s">
        <v>2470</v>
      </c>
      <c r="J505" s="2" t="s">
        <v>2036</v>
      </c>
      <c r="K505" s="2" t="s">
        <v>292</v>
      </c>
      <c r="L505" s="3">
        <v>18</v>
      </c>
      <c r="M505" s="3">
        <v>18.9</v>
      </c>
      <c r="N505" s="3">
        <v>39.99</v>
      </c>
      <c r="O505" s="2" t="s">
        <v>485</v>
      </c>
      <c r="P505" s="2" t="s">
        <v>408</v>
      </c>
      <c r="Q505" s="2" t="s">
        <v>234</v>
      </c>
      <c r="R505" s="2" t="s">
        <v>235</v>
      </c>
      <c r="S505" s="2" t="s">
        <v>2471</v>
      </c>
      <c r="T505" s="2" t="s">
        <v>501</v>
      </c>
      <c r="U505" s="2" t="s">
        <v>807</v>
      </c>
      <c r="V505" s="2" t="s">
        <v>238</v>
      </c>
      <c r="W505" s="2" t="s">
        <v>239</v>
      </c>
      <c r="X505" s="2" t="s">
        <v>682</v>
      </c>
      <c r="Y505" s="2" t="s">
        <v>2472</v>
      </c>
      <c r="Z505" s="4">
        <v>256</v>
      </c>
      <c r="AA505" s="4">
        <f>=ROUNDDOWN(128,0)</f>
      </c>
      <c r="AB505" s="5">
        <v>2</v>
      </c>
      <c r="AC505" s="2" t="s">
        <v>235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235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235</v>
      </c>
      <c r="BD505" s="8" t="s">
        <v>235</v>
      </c>
      <c r="BE505" s="4" t="s">
        <v>235</v>
      </c>
      <c r="BF505" s="8" t="s">
        <v>235</v>
      </c>
      <c r="BG505" s="7" t="s">
        <v>235</v>
      </c>
      <c r="BH505" s="7" t="s">
        <v>235</v>
      </c>
      <c r="BI505" s="7"/>
      <c r="BJ505" s="4">
        <v>4</v>
      </c>
      <c r="BK505" s="8">
        <v>66.02</v>
      </c>
      <c r="BL505" s="2" t="s">
        <v>2466</v>
      </c>
      <c r="BM505" s="7"/>
      <c r="BN505" s="7"/>
      <c r="BO505" s="4"/>
      <c r="BP505" s="8"/>
      <c r="BQ505" s="4"/>
      <c r="BR505" s="8"/>
      <c r="BS505" s="7"/>
      <c r="BT505" s="7"/>
      <c r="BU505" s="2" t="s">
        <v>2473</v>
      </c>
      <c r="BV505" s="2" t="s">
        <v>243</v>
      </c>
      <c r="BW505" s="2" t="s">
        <v>235</v>
      </c>
      <c r="BX505" s="2" t="s">
        <v>414</v>
      </c>
      <c r="BY505" s="2" t="s">
        <v>245</v>
      </c>
      <c r="BZ505" s="2" t="s">
        <v>232</v>
      </c>
      <c r="CA505" s="2" t="s">
        <v>2474</v>
      </c>
      <c r="CB505" s="2" t="s">
        <v>2475</v>
      </c>
      <c r="CC505" s="2" t="s">
        <v>248</v>
      </c>
      <c r="CD505" s="2" t="s">
        <v>248</v>
      </c>
      <c r="CE505" s="2" t="s">
        <v>235</v>
      </c>
      <c r="CF505" s="4">
        <v>256</v>
      </c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>
        <v>256</v>
      </c>
      <c r="GE505" s="4">
        <v>247</v>
      </c>
      <c r="GF505" s="4">
        <v>245</v>
      </c>
      <c r="GG505" s="4">
        <v>243</v>
      </c>
      <c r="GH505" s="4">
        <v>241</v>
      </c>
      <c r="GI505" s="4">
        <v>239</v>
      </c>
      <c r="GJ505" s="4">
        <v>237</v>
      </c>
      <c r="GK505" s="4">
        <v>235</v>
      </c>
      <c r="GL505" s="4">
        <v>233</v>
      </c>
      <c r="GM505" s="4">
        <v>231</v>
      </c>
      <c r="GN505" s="4">
        <v>229</v>
      </c>
      <c r="GO505" s="4">
        <v>227</v>
      </c>
      <c r="GP505" s="4">
        <v>225</v>
      </c>
      <c r="GQ505" s="4">
        <v>223</v>
      </c>
      <c r="GR505" s="4">
        <v>221</v>
      </c>
      <c r="GS505" s="4">
        <v>219</v>
      </c>
      <c r="GT505" s="4">
        <v>217</v>
      </c>
      <c r="GU505" s="4">
        <v>215</v>
      </c>
      <c r="GV505" s="4">
        <v>213</v>
      </c>
      <c r="GW505" s="4">
        <v>211</v>
      </c>
      <c r="GX505" s="4">
        <v>209</v>
      </c>
      <c r="GY505" s="4">
        <v>207</v>
      </c>
      <c r="GZ505" s="4">
        <v>205</v>
      </c>
      <c r="HA505" s="4">
        <v>203</v>
      </c>
      <c r="HB505" s="4">
        <v>201</v>
      </c>
      <c r="HC505" s="4">
        <v>199</v>
      </c>
      <c r="HD505" s="19">
        <v>64</v>
      </c>
      <c r="HE505" s="19">
        <v>123.5</v>
      </c>
      <c r="HF505" s="19">
        <v>122.5</v>
      </c>
      <c r="HG505" s="19">
        <v>121.5</v>
      </c>
      <c r="HH505" s="19">
        <v>120.5</v>
      </c>
      <c r="HI505" s="19">
        <v>119.5</v>
      </c>
      <c r="HJ505" s="19">
        <v>118.5</v>
      </c>
      <c r="HK505" s="19">
        <v>117.5</v>
      </c>
      <c r="HL505" s="19">
        <v>116.5</v>
      </c>
      <c r="HM505" s="19">
        <v>115.5</v>
      </c>
      <c r="HN505" s="19">
        <v>114.5</v>
      </c>
      <c r="HO505" s="19">
        <v>113.5</v>
      </c>
      <c r="HP505" s="19">
        <v>112.5</v>
      </c>
      <c r="HQ505" s="19">
        <v>111.5</v>
      </c>
      <c r="HR505" s="19">
        <v>110.5</v>
      </c>
      <c r="HS505" s="19">
        <v>109.5</v>
      </c>
      <c r="HT505" s="19">
        <v>108.5</v>
      </c>
      <c r="HU505" s="19">
        <v>107.5</v>
      </c>
      <c r="HV505" s="19">
        <v>106.5</v>
      </c>
      <c r="HW505" s="19">
        <v>105.5</v>
      </c>
      <c r="HX505" s="19">
        <v>104.5</v>
      </c>
      <c r="HY505" s="19">
        <v>103.5</v>
      </c>
      <c r="HZ505" s="19">
        <v>102.5</v>
      </c>
      <c r="IA505" s="19">
        <v>101.5</v>
      </c>
      <c r="IB505" s="19">
        <v>100.5</v>
      </c>
      <c r="IC505" s="19">
        <v>99.5</v>
      </c>
    </row>
    <row r="506">
      <c r="A506" s="2" t="s">
        <v>2476</v>
      </c>
      <c r="B506" s="2" t="s">
        <v>871</v>
      </c>
      <c r="C506" s="2" t="s">
        <v>2384</v>
      </c>
      <c r="D506" s="2" t="s">
        <v>906</v>
      </c>
      <c r="E506" s="2" t="s">
        <v>907</v>
      </c>
      <c r="F506" s="2" t="s">
        <v>2469</v>
      </c>
      <c r="G506" s="2" t="s">
        <v>2469</v>
      </c>
      <c r="H506" s="2" t="s">
        <v>2469</v>
      </c>
      <c r="I506" s="2" t="s">
        <v>2477</v>
      </c>
      <c r="J506" s="2" t="s">
        <v>365</v>
      </c>
      <c r="K506" s="2" t="s">
        <v>316</v>
      </c>
      <c r="L506" s="3">
        <v>72.92</v>
      </c>
      <c r="M506" s="3">
        <v>76.57</v>
      </c>
      <c r="N506" s="3">
        <v>169.99</v>
      </c>
      <c r="O506" s="2" t="s">
        <v>407</v>
      </c>
      <c r="P506" s="2" t="s">
        <v>408</v>
      </c>
      <c r="Q506" s="2" t="s">
        <v>234</v>
      </c>
      <c r="R506" s="2" t="s">
        <v>235</v>
      </c>
      <c r="S506" s="2" t="s">
        <v>2478</v>
      </c>
      <c r="T506" s="2" t="s">
        <v>501</v>
      </c>
      <c r="U506" s="2" t="s">
        <v>552</v>
      </c>
      <c r="V506" s="2" t="s">
        <v>238</v>
      </c>
      <c r="W506" s="2" t="s">
        <v>682</v>
      </c>
      <c r="X506" s="2" t="s">
        <v>235</v>
      </c>
      <c r="Y506" s="2" t="s">
        <v>2472</v>
      </c>
      <c r="Z506" s="4">
        <v>13</v>
      </c>
      <c r="AA506" s="4">
        <f>=ROUNDDOWN(18.5714285714286,0)</f>
      </c>
      <c r="AB506" s="5">
        <v>0.7</v>
      </c>
      <c r="AC506" s="2" t="s">
        <v>235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235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235</v>
      </c>
      <c r="AW506" s="8" t="s">
        <v>235</v>
      </c>
      <c r="AX506" s="4" t="s">
        <v>235</v>
      </c>
      <c r="AY506" s="8" t="s">
        <v>235</v>
      </c>
      <c r="AZ506" s="7" t="s">
        <v>235</v>
      </c>
      <c r="BA506" s="7" t="s">
        <v>235</v>
      </c>
      <c r="BB506" s="7"/>
      <c r="BC506" s="4" t="s">
        <v>235</v>
      </c>
      <c r="BD506" s="8" t="s">
        <v>235</v>
      </c>
      <c r="BE506" s="4" t="s">
        <v>235</v>
      </c>
      <c r="BF506" s="8" t="s">
        <v>235</v>
      </c>
      <c r="BG506" s="7" t="s">
        <v>235</v>
      </c>
      <c r="BH506" s="7" t="s">
        <v>235</v>
      </c>
      <c r="BI506" s="7"/>
      <c r="BJ506" s="4">
        <v>3</v>
      </c>
      <c r="BK506" s="8">
        <v>255.06</v>
      </c>
      <c r="BL506" s="2" t="s">
        <v>2479</v>
      </c>
      <c r="BM506" s="7"/>
      <c r="BN506" s="7"/>
      <c r="BO506" s="4"/>
      <c r="BP506" s="8"/>
      <c r="BQ506" s="4"/>
      <c r="BR506" s="8"/>
      <c r="BS506" s="7"/>
      <c r="BT506" s="7"/>
      <c r="BU506" s="2" t="s">
        <v>2480</v>
      </c>
      <c r="BV506" s="2" t="s">
        <v>243</v>
      </c>
      <c r="BW506" s="2" t="s">
        <v>235</v>
      </c>
      <c r="BX506" s="2" t="s">
        <v>414</v>
      </c>
      <c r="BY506" s="2" t="s">
        <v>245</v>
      </c>
      <c r="BZ506" s="2" t="s">
        <v>232</v>
      </c>
      <c r="CA506" s="2" t="s">
        <v>2474</v>
      </c>
      <c r="CB506" s="2" t="s">
        <v>2481</v>
      </c>
      <c r="CC506" s="2" t="s">
        <v>248</v>
      </c>
      <c r="CD506" s="2" t="s">
        <v>248</v>
      </c>
      <c r="CE506" s="2" t="s">
        <v>235</v>
      </c>
      <c r="CF506" s="4">
        <v>13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>
        <v>13</v>
      </c>
      <c r="GE506" s="4">
        <v>12</v>
      </c>
      <c r="GF506" s="4">
        <v>11</v>
      </c>
      <c r="GG506" s="4">
        <v>10</v>
      </c>
      <c r="GH506" s="4">
        <v>9</v>
      </c>
      <c r="GI506" s="4">
        <v>8</v>
      </c>
      <c r="GJ506" s="4">
        <v>6</v>
      </c>
      <c r="GK506" s="4">
        <v>4</v>
      </c>
      <c r="GL506" s="4">
        <v>3</v>
      </c>
      <c r="GM506" s="4">
        <v>2</v>
      </c>
      <c r="GN506" s="4">
        <v>1</v>
      </c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19">
        <v>13</v>
      </c>
      <c r="HE506" s="19">
        <v>12</v>
      </c>
      <c r="HF506" s="19">
        <v>11</v>
      </c>
      <c r="HG506" s="19">
        <v>5</v>
      </c>
      <c r="HH506" s="19">
        <v>4.5</v>
      </c>
      <c r="HI506" s="19">
        <v>4</v>
      </c>
      <c r="HJ506" s="19">
        <v>6</v>
      </c>
      <c r="HK506" s="19">
        <v>4</v>
      </c>
      <c r="HL506" s="19">
        <v>3</v>
      </c>
      <c r="HM506" s="19">
        <v>2</v>
      </c>
      <c r="HN506" s="19">
        <v>1</v>
      </c>
      <c r="HO506" s="20">
        <v>0</v>
      </c>
      <c r="HP506" s="20">
        <v>0</v>
      </c>
      <c r="HQ506" s="20">
        <v>0</v>
      </c>
      <c r="HR506" s="20">
        <v>0</v>
      </c>
      <c r="HS506" s="20">
        <v>0</v>
      </c>
      <c r="HT506" s="20">
        <v>0</v>
      </c>
      <c r="HU506" s="20">
        <v>0</v>
      </c>
      <c r="HV506" s="20">
        <v>0</v>
      </c>
      <c r="HW506" s="20">
        <v>0</v>
      </c>
      <c r="HX506" s="20">
        <v>0</v>
      </c>
      <c r="HY506" s="20">
        <v>0</v>
      </c>
      <c r="HZ506" s="20">
        <v>0</v>
      </c>
      <c r="IA506" s="20">
        <v>0</v>
      </c>
      <c r="IB506" s="20">
        <v>0</v>
      </c>
      <c r="IC506" s="20">
        <v>0</v>
      </c>
    </row>
    <row r="507">
      <c r="A507" s="2" t="s">
        <v>2482</v>
      </c>
      <c r="B507" s="2" t="s">
        <v>871</v>
      </c>
      <c r="C507" s="2" t="s">
        <v>2384</v>
      </c>
      <c r="D507" s="2" t="s">
        <v>361</v>
      </c>
      <c r="E507" s="2" t="s">
        <v>924</v>
      </c>
      <c r="F507" s="2" t="s">
        <v>2469</v>
      </c>
      <c r="G507" s="2" t="s">
        <v>2469</v>
      </c>
      <c r="H507" s="2" t="s">
        <v>2469</v>
      </c>
      <c r="I507" s="2" t="s">
        <v>2483</v>
      </c>
      <c r="J507" s="2" t="s">
        <v>372</v>
      </c>
      <c r="K507" s="2" t="s">
        <v>316</v>
      </c>
      <c r="L507" s="3">
        <v>92.15</v>
      </c>
      <c r="M507" s="3">
        <v>96.76</v>
      </c>
      <c r="N507" s="3">
        <v>209.99</v>
      </c>
      <c r="O507" s="2" t="s">
        <v>407</v>
      </c>
      <c r="P507" s="2" t="s">
        <v>408</v>
      </c>
      <c r="Q507" s="2" t="s">
        <v>234</v>
      </c>
      <c r="R507" s="2" t="s">
        <v>235</v>
      </c>
      <c r="S507" s="2" t="s">
        <v>2478</v>
      </c>
      <c r="T507" s="2" t="s">
        <v>501</v>
      </c>
      <c r="U507" s="2" t="s">
        <v>552</v>
      </c>
      <c r="V507" s="2" t="s">
        <v>238</v>
      </c>
      <c r="W507" s="2" t="s">
        <v>682</v>
      </c>
      <c r="X507" s="2" t="s">
        <v>235</v>
      </c>
      <c r="Y507" s="2" t="s">
        <v>2472</v>
      </c>
      <c r="Z507" s="4">
        <v>219</v>
      </c>
      <c r="AA507" s="4">
        <f>=ROUNDDOWN(81.1111111111111,0)</f>
      </c>
      <c r="AB507" s="5">
        <v>2.7</v>
      </c>
      <c r="AC507" s="2" t="s">
        <v>235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235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235</v>
      </c>
      <c r="AW507" s="8" t="s">
        <v>235</v>
      </c>
      <c r="AX507" s="4" t="s">
        <v>235</v>
      </c>
      <c r="AY507" s="8" t="s">
        <v>235</v>
      </c>
      <c r="AZ507" s="7" t="s">
        <v>235</v>
      </c>
      <c r="BA507" s="7" t="s">
        <v>235</v>
      </c>
      <c r="BB507" s="7" t="s">
        <v>235</v>
      </c>
      <c r="BC507" s="4" t="s">
        <v>235</v>
      </c>
      <c r="BD507" s="8" t="s">
        <v>235</v>
      </c>
      <c r="BE507" s="4" t="s">
        <v>235</v>
      </c>
      <c r="BF507" s="8" t="s">
        <v>235</v>
      </c>
      <c r="BG507" s="7" t="s">
        <v>235</v>
      </c>
      <c r="BH507" s="7" t="s">
        <v>235</v>
      </c>
      <c r="BI507" s="7"/>
      <c r="BJ507" s="4">
        <v>13</v>
      </c>
      <c r="BK507" s="8">
        <v>1418.84</v>
      </c>
      <c r="BL507" s="2" t="s">
        <v>2484</v>
      </c>
      <c r="BM507" s="7"/>
      <c r="BN507" s="7"/>
      <c r="BO507" s="4"/>
      <c r="BP507" s="8"/>
      <c r="BQ507" s="4"/>
      <c r="BR507" s="8"/>
      <c r="BS507" s="7"/>
      <c r="BT507" s="7"/>
      <c r="BU507" s="2" t="s">
        <v>2485</v>
      </c>
      <c r="BV507" s="2" t="s">
        <v>243</v>
      </c>
      <c r="BW507" s="2" t="s">
        <v>235</v>
      </c>
      <c r="BX507" s="2" t="s">
        <v>414</v>
      </c>
      <c r="BY507" s="2" t="s">
        <v>245</v>
      </c>
      <c r="BZ507" s="2" t="s">
        <v>232</v>
      </c>
      <c r="CA507" s="2" t="s">
        <v>2474</v>
      </c>
      <c r="CB507" s="2" t="s">
        <v>1100</v>
      </c>
      <c r="CC507" s="2" t="s">
        <v>248</v>
      </c>
      <c r="CD507" s="2" t="s">
        <v>248</v>
      </c>
      <c r="CE507" s="2" t="s">
        <v>235</v>
      </c>
      <c r="CF507" s="4">
        <v>219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>
        <v>219</v>
      </c>
      <c r="GE507" s="4">
        <v>216</v>
      </c>
      <c r="GF507" s="4">
        <v>213</v>
      </c>
      <c r="GG507" s="4">
        <v>210</v>
      </c>
      <c r="GH507" s="4">
        <v>208</v>
      </c>
      <c r="GI507" s="4">
        <v>206</v>
      </c>
      <c r="GJ507" s="4">
        <v>201</v>
      </c>
      <c r="GK507" s="4">
        <v>199</v>
      </c>
      <c r="GL507" s="4">
        <v>196</v>
      </c>
      <c r="GM507" s="4">
        <v>195</v>
      </c>
      <c r="GN507" s="4">
        <v>192</v>
      </c>
      <c r="GO507" s="4">
        <v>190</v>
      </c>
      <c r="GP507" s="4">
        <v>187</v>
      </c>
      <c r="GQ507" s="4">
        <v>184</v>
      </c>
      <c r="GR507" s="4">
        <v>180</v>
      </c>
      <c r="GS507" s="4">
        <v>177</v>
      </c>
      <c r="GT507" s="4">
        <v>174</v>
      </c>
      <c r="GU507" s="4">
        <v>173</v>
      </c>
      <c r="GV507" s="4">
        <v>170</v>
      </c>
      <c r="GW507" s="4">
        <v>167</v>
      </c>
      <c r="GX507" s="4">
        <v>164</v>
      </c>
      <c r="GY507" s="4">
        <v>163</v>
      </c>
      <c r="GZ507" s="4">
        <v>161</v>
      </c>
      <c r="HA507" s="4">
        <v>158</v>
      </c>
      <c r="HB507" s="4">
        <v>156</v>
      </c>
      <c r="HC507" s="4">
        <v>154</v>
      </c>
      <c r="HD507" s="19">
        <v>73</v>
      </c>
      <c r="HE507" s="19">
        <v>108</v>
      </c>
      <c r="HF507" s="19">
        <v>71</v>
      </c>
      <c r="HG507" s="19">
        <v>70</v>
      </c>
      <c r="HH507" s="19">
        <v>69.3</v>
      </c>
      <c r="HI507" s="19">
        <v>68.7</v>
      </c>
      <c r="HJ507" s="19">
        <v>100.5</v>
      </c>
      <c r="HK507" s="19">
        <v>99.5</v>
      </c>
      <c r="HL507" s="19">
        <v>98</v>
      </c>
      <c r="HM507" s="19">
        <v>65</v>
      </c>
      <c r="HN507" s="19">
        <v>64</v>
      </c>
      <c r="HO507" s="19">
        <v>63.3</v>
      </c>
      <c r="HP507" s="19">
        <v>62.3</v>
      </c>
      <c r="HQ507" s="19">
        <v>61.3</v>
      </c>
      <c r="HR507" s="19">
        <v>90</v>
      </c>
      <c r="HS507" s="19">
        <v>88.5</v>
      </c>
      <c r="HT507" s="19">
        <v>87</v>
      </c>
      <c r="HU507" s="19">
        <v>86.5</v>
      </c>
      <c r="HV507" s="19">
        <v>85</v>
      </c>
      <c r="HW507" s="19">
        <v>83.5</v>
      </c>
      <c r="HX507" s="19">
        <v>82</v>
      </c>
      <c r="HY507" s="19">
        <v>81.5</v>
      </c>
      <c r="HZ507" s="19">
        <v>53.7</v>
      </c>
      <c r="IA507" s="19">
        <v>52.7</v>
      </c>
      <c r="IB507" s="19">
        <v>52</v>
      </c>
      <c r="IC507" s="19">
        <v>38.5</v>
      </c>
    </row>
    <row r="508">
      <c r="A508" s="2" t="s">
        <v>2486</v>
      </c>
      <c r="B508" s="2" t="s">
        <v>871</v>
      </c>
      <c r="C508" s="2" t="s">
        <v>2384</v>
      </c>
      <c r="D508" s="2" t="s">
        <v>906</v>
      </c>
      <c r="E508" s="2" t="s">
        <v>907</v>
      </c>
      <c r="F508" s="2" t="s">
        <v>2469</v>
      </c>
      <c r="G508" s="2" t="s">
        <v>2469</v>
      </c>
      <c r="H508" s="2" t="s">
        <v>2469</v>
      </c>
      <c r="I508" s="2" t="s">
        <v>2477</v>
      </c>
      <c r="J508" s="2" t="s">
        <v>372</v>
      </c>
      <c r="K508" s="2" t="s">
        <v>316</v>
      </c>
      <c r="L508" s="3">
        <v>82.9</v>
      </c>
      <c r="M508" s="3">
        <v>87.04</v>
      </c>
      <c r="N508" s="3">
        <v>189.99</v>
      </c>
      <c r="O508" s="2" t="s">
        <v>407</v>
      </c>
      <c r="P508" s="2" t="s">
        <v>408</v>
      </c>
      <c r="Q508" s="2" t="s">
        <v>234</v>
      </c>
      <c r="R508" s="2" t="s">
        <v>235</v>
      </c>
      <c r="S508" s="2" t="s">
        <v>2478</v>
      </c>
      <c r="T508" s="2" t="s">
        <v>501</v>
      </c>
      <c r="U508" s="2" t="s">
        <v>552</v>
      </c>
      <c r="V508" s="2" t="s">
        <v>238</v>
      </c>
      <c r="W508" s="2" t="s">
        <v>682</v>
      </c>
      <c r="X508" s="2" t="s">
        <v>235</v>
      </c>
      <c r="Y508" s="2" t="s">
        <v>2472</v>
      </c>
      <c r="Z508" s="4">
        <v>66</v>
      </c>
      <c r="AA508" s="4">
        <f>=ROUNDDOWN(73.3333333333333,0)</f>
      </c>
      <c r="AB508" s="5">
        <v>0.9</v>
      </c>
      <c r="AC508" s="2" t="s">
        <v>235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235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235</v>
      </c>
      <c r="AW508" s="8" t="s">
        <v>235</v>
      </c>
      <c r="AX508" s="4" t="s">
        <v>235</v>
      </c>
      <c r="AY508" s="8" t="s">
        <v>235</v>
      </c>
      <c r="AZ508" s="7" t="s">
        <v>235</v>
      </c>
      <c r="BA508" s="7" t="s">
        <v>235</v>
      </c>
      <c r="BB508" s="7" t="s">
        <v>235</v>
      </c>
      <c r="BC508" s="4" t="s">
        <v>235</v>
      </c>
      <c r="BD508" s="8" t="s">
        <v>235</v>
      </c>
      <c r="BE508" s="4" t="s">
        <v>235</v>
      </c>
      <c r="BF508" s="8" t="s">
        <v>235</v>
      </c>
      <c r="BG508" s="7" t="s">
        <v>235</v>
      </c>
      <c r="BH508" s="7" t="s">
        <v>235</v>
      </c>
      <c r="BI508" s="7"/>
      <c r="BJ508" s="4">
        <v>4</v>
      </c>
      <c r="BK508" s="8">
        <v>375.79</v>
      </c>
      <c r="BL508" s="2" t="s">
        <v>2487</v>
      </c>
      <c r="BM508" s="7"/>
      <c r="BN508" s="7"/>
      <c r="BO508" s="4"/>
      <c r="BP508" s="8"/>
      <c r="BQ508" s="4"/>
      <c r="BR508" s="8"/>
      <c r="BS508" s="7"/>
      <c r="BT508" s="7"/>
      <c r="BU508" s="2" t="s">
        <v>2480</v>
      </c>
      <c r="BV508" s="2" t="s">
        <v>243</v>
      </c>
      <c r="BW508" s="2" t="s">
        <v>235</v>
      </c>
      <c r="BX508" s="2" t="s">
        <v>414</v>
      </c>
      <c r="BY508" s="2" t="s">
        <v>245</v>
      </c>
      <c r="BZ508" s="2" t="s">
        <v>232</v>
      </c>
      <c r="CA508" s="2" t="s">
        <v>2474</v>
      </c>
      <c r="CB508" s="2" t="s">
        <v>1100</v>
      </c>
      <c r="CC508" s="2" t="s">
        <v>248</v>
      </c>
      <c r="CD508" s="2" t="s">
        <v>248</v>
      </c>
      <c r="CE508" s="2" t="s">
        <v>235</v>
      </c>
      <c r="CF508" s="4">
        <v>66</v>
      </c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>
        <v>66</v>
      </c>
      <c r="GE508" s="4">
        <v>65</v>
      </c>
      <c r="GF508" s="4">
        <v>64</v>
      </c>
      <c r="GG508" s="4">
        <v>63</v>
      </c>
      <c r="GH508" s="4">
        <v>62</v>
      </c>
      <c r="GI508" s="4">
        <v>61</v>
      </c>
      <c r="GJ508" s="4">
        <v>59</v>
      </c>
      <c r="GK508" s="4">
        <v>57</v>
      </c>
      <c r="GL508" s="4">
        <v>55</v>
      </c>
      <c r="GM508" s="4">
        <v>54</v>
      </c>
      <c r="GN508" s="4">
        <v>52</v>
      </c>
      <c r="GO508" s="4">
        <v>50</v>
      </c>
      <c r="GP508" s="4">
        <v>48</v>
      </c>
      <c r="GQ508" s="4">
        <v>46</v>
      </c>
      <c r="GR508" s="4">
        <v>44</v>
      </c>
      <c r="GS508" s="4">
        <v>43</v>
      </c>
      <c r="GT508" s="4">
        <v>42</v>
      </c>
      <c r="GU508" s="4">
        <v>41</v>
      </c>
      <c r="GV508" s="4">
        <v>40</v>
      </c>
      <c r="GW508" s="4">
        <v>39</v>
      </c>
      <c r="GX508" s="4">
        <v>38</v>
      </c>
      <c r="GY508" s="4">
        <v>38</v>
      </c>
      <c r="GZ508" s="4">
        <v>37</v>
      </c>
      <c r="HA508" s="4">
        <v>37</v>
      </c>
      <c r="HB508" s="4">
        <v>36</v>
      </c>
      <c r="HC508" s="4">
        <v>35</v>
      </c>
      <c r="HD508" s="19">
        <v>66</v>
      </c>
      <c r="HE508" s="19">
        <v>65</v>
      </c>
      <c r="HF508" s="19">
        <v>64</v>
      </c>
      <c r="HG508" s="19">
        <v>31.5</v>
      </c>
      <c r="HH508" s="19">
        <v>31</v>
      </c>
      <c r="HI508" s="19">
        <v>30.5</v>
      </c>
      <c r="HJ508" s="19">
        <v>29.5</v>
      </c>
      <c r="HK508" s="19">
        <v>28.5</v>
      </c>
      <c r="HL508" s="19">
        <v>27.5</v>
      </c>
      <c r="HM508" s="19">
        <v>27</v>
      </c>
      <c r="HN508" s="19">
        <v>26</v>
      </c>
      <c r="HO508" s="19">
        <v>25</v>
      </c>
      <c r="HP508" s="19">
        <v>24</v>
      </c>
      <c r="HQ508" s="19">
        <v>46</v>
      </c>
      <c r="HR508" s="19">
        <v>44</v>
      </c>
      <c r="HS508" s="19">
        <v>43</v>
      </c>
      <c r="HT508" s="19">
        <v>42</v>
      </c>
      <c r="HU508" s="19">
        <v>41</v>
      </c>
      <c r="HV508" s="19">
        <v>40</v>
      </c>
      <c r="HW508" s="20">
        <v>0</v>
      </c>
      <c r="HX508" s="9"/>
      <c r="HY508" s="19">
        <v>38</v>
      </c>
      <c r="HZ508" s="19">
        <v>37</v>
      </c>
      <c r="IA508" s="19">
        <v>37</v>
      </c>
      <c r="IB508" s="19">
        <v>36</v>
      </c>
      <c r="IC508" s="19">
        <v>35</v>
      </c>
    </row>
    <row r="509">
      <c r="A509" s="2" t="s">
        <v>2488</v>
      </c>
      <c r="B509" s="2" t="s">
        <v>871</v>
      </c>
      <c r="C509" s="2" t="s">
        <v>2384</v>
      </c>
      <c r="D509" s="2" t="s">
        <v>2033</v>
      </c>
      <c r="E509" s="2" t="s">
        <v>2434</v>
      </c>
      <c r="F509" s="2" t="s">
        <v>2469</v>
      </c>
      <c r="G509" s="2" t="s">
        <v>2469</v>
      </c>
      <c r="H509" s="2" t="s">
        <v>2469</v>
      </c>
      <c r="I509" s="2" t="s">
        <v>2470</v>
      </c>
      <c r="J509" s="2" t="s">
        <v>2036</v>
      </c>
      <c r="K509" s="2" t="s">
        <v>316</v>
      </c>
      <c r="L509" s="3">
        <v>18.77</v>
      </c>
      <c r="M509" s="3">
        <v>19.71</v>
      </c>
      <c r="N509" s="3">
        <v>39.99</v>
      </c>
      <c r="O509" s="2" t="s">
        <v>407</v>
      </c>
      <c r="P509" s="2" t="s">
        <v>408</v>
      </c>
      <c r="Q509" s="2" t="s">
        <v>234</v>
      </c>
      <c r="R509" s="2" t="s">
        <v>235</v>
      </c>
      <c r="S509" s="2" t="s">
        <v>2478</v>
      </c>
      <c r="T509" s="2" t="s">
        <v>501</v>
      </c>
      <c r="U509" s="2" t="s">
        <v>807</v>
      </c>
      <c r="V509" s="2" t="s">
        <v>238</v>
      </c>
      <c r="W509" s="2" t="s">
        <v>682</v>
      </c>
      <c r="X509" s="2" t="s">
        <v>235</v>
      </c>
      <c r="Y509" s="2" t="s">
        <v>2472</v>
      </c>
      <c r="Z509" s="4">
        <v>162</v>
      </c>
      <c r="AA509" s="4">
        <f>=ROUNDDOWN(115.714285714286,0)</f>
      </c>
      <c r="AB509" s="5">
        <v>1.4</v>
      </c>
      <c r="AC509" s="2" t="s">
        <v>235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235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235</v>
      </c>
      <c r="AW509" s="8" t="s">
        <v>235</v>
      </c>
      <c r="AX509" s="4" t="s">
        <v>235</v>
      </c>
      <c r="AY509" s="8" t="s">
        <v>235</v>
      </c>
      <c r="AZ509" s="7" t="s">
        <v>235</v>
      </c>
      <c r="BA509" s="7" t="s">
        <v>235</v>
      </c>
      <c r="BB509" s="7"/>
      <c r="BC509" s="4" t="s">
        <v>235</v>
      </c>
      <c r="BD509" s="8" t="s">
        <v>235</v>
      </c>
      <c r="BE509" s="4" t="s">
        <v>235</v>
      </c>
      <c r="BF509" s="8" t="s">
        <v>235</v>
      </c>
      <c r="BG509" s="7" t="s">
        <v>235</v>
      </c>
      <c r="BH509" s="7" t="s">
        <v>235</v>
      </c>
      <c r="BI509" s="7"/>
      <c r="BJ509" s="4">
        <v>3</v>
      </c>
      <c r="BK509" s="8">
        <v>62.28</v>
      </c>
      <c r="BL509" s="2" t="s">
        <v>2489</v>
      </c>
      <c r="BM509" s="7"/>
      <c r="BN509" s="7"/>
      <c r="BO509" s="4"/>
      <c r="BP509" s="8"/>
      <c r="BQ509" s="4"/>
      <c r="BR509" s="8"/>
      <c r="BS509" s="7"/>
      <c r="BT509" s="7"/>
      <c r="BU509" s="2" t="s">
        <v>2473</v>
      </c>
      <c r="BV509" s="2" t="s">
        <v>243</v>
      </c>
      <c r="BW509" s="2" t="s">
        <v>235</v>
      </c>
      <c r="BX509" s="2" t="s">
        <v>414</v>
      </c>
      <c r="BY509" s="2" t="s">
        <v>245</v>
      </c>
      <c r="BZ509" s="2" t="s">
        <v>232</v>
      </c>
      <c r="CA509" s="2" t="s">
        <v>2474</v>
      </c>
      <c r="CB509" s="2" t="s">
        <v>2490</v>
      </c>
      <c r="CC509" s="2" t="s">
        <v>248</v>
      </c>
      <c r="CD509" s="2" t="s">
        <v>248</v>
      </c>
      <c r="CE509" s="2" t="s">
        <v>235</v>
      </c>
      <c r="CF509" s="4">
        <v>162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>
        <v>162</v>
      </c>
      <c r="GE509" s="4">
        <v>161</v>
      </c>
      <c r="GF509" s="4">
        <v>160</v>
      </c>
      <c r="GG509" s="4">
        <v>159</v>
      </c>
      <c r="GH509" s="4">
        <v>158</v>
      </c>
      <c r="GI509" s="4">
        <v>157</v>
      </c>
      <c r="GJ509" s="4">
        <v>156</v>
      </c>
      <c r="GK509" s="4">
        <v>155</v>
      </c>
      <c r="GL509" s="4">
        <v>154</v>
      </c>
      <c r="GM509" s="4">
        <v>153</v>
      </c>
      <c r="GN509" s="4">
        <v>152</v>
      </c>
      <c r="GO509" s="4">
        <v>151</v>
      </c>
      <c r="GP509" s="4">
        <v>150</v>
      </c>
      <c r="GQ509" s="4">
        <v>149</v>
      </c>
      <c r="GR509" s="4">
        <v>147</v>
      </c>
      <c r="GS509" s="4">
        <v>146</v>
      </c>
      <c r="GT509" s="4">
        <v>145</v>
      </c>
      <c r="GU509" s="4">
        <v>144</v>
      </c>
      <c r="GV509" s="4">
        <v>143</v>
      </c>
      <c r="GW509" s="4">
        <v>142</v>
      </c>
      <c r="GX509" s="4">
        <v>141</v>
      </c>
      <c r="GY509" s="4">
        <v>140</v>
      </c>
      <c r="GZ509" s="4">
        <v>139</v>
      </c>
      <c r="HA509" s="4">
        <v>137</v>
      </c>
      <c r="HB509" s="4">
        <v>136</v>
      </c>
      <c r="HC509" s="4">
        <v>135</v>
      </c>
      <c r="HD509" s="19">
        <v>162</v>
      </c>
      <c r="HE509" s="19">
        <v>161</v>
      </c>
      <c r="HF509" s="19">
        <v>160</v>
      </c>
      <c r="HG509" s="19">
        <v>159</v>
      </c>
      <c r="HH509" s="19">
        <v>158</v>
      </c>
      <c r="HI509" s="19">
        <v>157</v>
      </c>
      <c r="HJ509" s="19">
        <v>156</v>
      </c>
      <c r="HK509" s="19">
        <v>155</v>
      </c>
      <c r="HL509" s="19">
        <v>154</v>
      </c>
      <c r="HM509" s="19">
        <v>153</v>
      </c>
      <c r="HN509" s="19">
        <v>152</v>
      </c>
      <c r="HO509" s="19">
        <v>151</v>
      </c>
      <c r="HP509" s="19">
        <v>150</v>
      </c>
      <c r="HQ509" s="19">
        <v>149</v>
      </c>
      <c r="HR509" s="19">
        <v>147</v>
      </c>
      <c r="HS509" s="19">
        <v>146</v>
      </c>
      <c r="HT509" s="19">
        <v>145</v>
      </c>
      <c r="HU509" s="19">
        <v>144</v>
      </c>
      <c r="HV509" s="19">
        <v>143</v>
      </c>
      <c r="HW509" s="19">
        <v>142</v>
      </c>
      <c r="HX509" s="19">
        <v>141</v>
      </c>
      <c r="HY509" s="19">
        <v>140</v>
      </c>
      <c r="HZ509" s="19">
        <v>69.5</v>
      </c>
      <c r="IA509" s="19">
        <v>137</v>
      </c>
      <c r="IB509" s="19">
        <v>68</v>
      </c>
      <c r="IC509" s="19">
        <v>67.5</v>
      </c>
    </row>
    <row r="510">
      <c r="A510" s="2" t="s">
        <v>2491</v>
      </c>
      <c r="B510" s="2" t="s">
        <v>871</v>
      </c>
      <c r="C510" s="2" t="s">
        <v>893</v>
      </c>
      <c r="D510" s="2" t="s">
        <v>361</v>
      </c>
      <c r="E510" s="2" t="s">
        <v>924</v>
      </c>
      <c r="F510" s="2" t="s">
        <v>1429</v>
      </c>
      <c r="G510" s="2" t="s">
        <v>1429</v>
      </c>
      <c r="H510" s="2" t="s">
        <v>1429</v>
      </c>
      <c r="I510" s="2" t="s">
        <v>2492</v>
      </c>
      <c r="J510" s="2" t="s">
        <v>372</v>
      </c>
      <c r="K510" s="2" t="s">
        <v>2493</v>
      </c>
      <c r="L510" s="3">
        <v>85</v>
      </c>
      <c r="M510" s="3">
        <v>89.24</v>
      </c>
      <c r="N510" s="3">
        <v>169.99</v>
      </c>
      <c r="O510" s="2" t="s">
        <v>485</v>
      </c>
      <c r="P510" s="2" t="s">
        <v>408</v>
      </c>
      <c r="Q510" s="2" t="s">
        <v>234</v>
      </c>
      <c r="R510" s="2" t="s">
        <v>235</v>
      </c>
      <c r="S510" s="2" t="s">
        <v>2494</v>
      </c>
      <c r="T510" s="2" t="s">
        <v>263</v>
      </c>
      <c r="U510" s="2" t="s">
        <v>552</v>
      </c>
      <c r="V510" s="2" t="s">
        <v>420</v>
      </c>
      <c r="W510" s="2" t="s">
        <v>1395</v>
      </c>
      <c r="X510" s="2" t="s">
        <v>239</v>
      </c>
      <c r="Y510" s="2" t="s">
        <v>2495</v>
      </c>
      <c r="Z510" s="4"/>
      <c r="AA510" s="4">
        <f>=ROUNDDOWN({0},0)</f>
      </c>
      <c r="AB510" s="5">
        <v>12.9</v>
      </c>
      <c r="AC510" s="2" t="s">
        <v>235</v>
      </c>
      <c r="AD510" s="4"/>
      <c r="AE510" s="4"/>
      <c r="AF510" s="6">
        <v>75</v>
      </c>
      <c r="AG510" s="6"/>
      <c r="AH510" s="7">
        <v>0</v>
      </c>
      <c r="AI510" s="4"/>
      <c r="AJ510" s="4">
        <f>=ROUNDDOWN({0},0)</f>
      </c>
      <c r="AK510" s="5"/>
      <c r="AL510" s="2" t="s">
        <v>235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235</v>
      </c>
      <c r="BD510" s="8" t="s">
        <v>235</v>
      </c>
      <c r="BE510" s="4" t="s">
        <v>235</v>
      </c>
      <c r="BF510" s="8" t="s">
        <v>235</v>
      </c>
      <c r="BG510" s="7" t="s">
        <v>235</v>
      </c>
      <c r="BH510" s="7" t="s">
        <v>235</v>
      </c>
      <c r="BI510" s="7"/>
      <c r="BJ510" s="4"/>
      <c r="BK510" s="8"/>
      <c r="BL510" s="2" t="s">
        <v>2496</v>
      </c>
      <c r="BM510" s="7"/>
      <c r="BN510" s="7"/>
      <c r="BO510" s="4"/>
      <c r="BP510" s="8"/>
      <c r="BQ510" s="4"/>
      <c r="BR510" s="8"/>
      <c r="BS510" s="7"/>
      <c r="BT510" s="7"/>
      <c r="BU510" s="2" t="s">
        <v>2497</v>
      </c>
      <c r="BV510" s="2" t="s">
        <v>243</v>
      </c>
      <c r="BW510" s="2" t="s">
        <v>235</v>
      </c>
      <c r="BX510" s="2" t="s">
        <v>414</v>
      </c>
      <c r="BY510" s="2" t="s">
        <v>245</v>
      </c>
      <c r="BZ510" s="2" t="s">
        <v>232</v>
      </c>
      <c r="CA510" s="2" t="s">
        <v>750</v>
      </c>
      <c r="CB510" s="2" t="s">
        <v>2498</v>
      </c>
      <c r="CC510" s="2" t="s">
        <v>248</v>
      </c>
      <c r="CD510" s="2" t="s">
        <v>248</v>
      </c>
      <c r="CE510" s="2" t="s">
        <v>235</v>
      </c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20">
        <v>0</v>
      </c>
      <c r="HE510" s="20">
        <v>0</v>
      </c>
      <c r="HF510" s="20">
        <v>0</v>
      </c>
      <c r="HG510" s="20">
        <v>0</v>
      </c>
      <c r="HH510" s="20">
        <v>0</v>
      </c>
      <c r="HI510" s="20">
        <v>0</v>
      </c>
      <c r="HJ510" s="20">
        <v>0</v>
      </c>
      <c r="HK510" s="20">
        <v>0</v>
      </c>
      <c r="HL510" s="20">
        <v>0</v>
      </c>
      <c r="HM510" s="20">
        <v>0</v>
      </c>
      <c r="HN510" s="20">
        <v>0</v>
      </c>
      <c r="HO510" s="20">
        <v>0</v>
      </c>
      <c r="HP510" s="20">
        <v>0</v>
      </c>
      <c r="HQ510" s="20">
        <v>0</v>
      </c>
      <c r="HR510" s="20">
        <v>0</v>
      </c>
      <c r="HS510" s="20">
        <v>0</v>
      </c>
      <c r="HT510" s="20">
        <v>0</v>
      </c>
      <c r="HU510" s="20">
        <v>0</v>
      </c>
      <c r="HV510" s="20">
        <v>0</v>
      </c>
      <c r="HW510" s="20">
        <v>0</v>
      </c>
      <c r="HX510" s="20">
        <v>0</v>
      </c>
      <c r="HY510" s="20">
        <v>0</v>
      </c>
      <c r="HZ510" s="20">
        <v>0</v>
      </c>
      <c r="IA510" s="20">
        <v>0</v>
      </c>
      <c r="IB510" s="20">
        <v>0</v>
      </c>
      <c r="IC510" s="20">
        <v>0</v>
      </c>
    </row>
    <row r="511">
      <c r="A511" s="2" t="s">
        <v>2499</v>
      </c>
      <c r="B511" s="2" t="s">
        <v>871</v>
      </c>
      <c r="C511" s="2" t="s">
        <v>893</v>
      </c>
      <c r="D511" s="2" t="s">
        <v>906</v>
      </c>
      <c r="E511" s="2" t="s">
        <v>907</v>
      </c>
      <c r="F511" s="2" t="s">
        <v>1429</v>
      </c>
      <c r="G511" s="2" t="s">
        <v>1429</v>
      </c>
      <c r="H511" s="2" t="s">
        <v>1429</v>
      </c>
      <c r="I511" s="2" t="s">
        <v>2210</v>
      </c>
      <c r="J511" s="2" t="s">
        <v>372</v>
      </c>
      <c r="K511" s="2" t="s">
        <v>2500</v>
      </c>
      <c r="L511" s="3">
        <v>73.5</v>
      </c>
      <c r="M511" s="3">
        <v>77.17</v>
      </c>
      <c r="N511" s="3">
        <v>149.99</v>
      </c>
      <c r="O511" s="2" t="s">
        <v>232</v>
      </c>
      <c r="P511" s="2" t="s">
        <v>1282</v>
      </c>
      <c r="Q511" s="2" t="s">
        <v>234</v>
      </c>
      <c r="R511" s="2" t="s">
        <v>235</v>
      </c>
      <c r="S511" s="2" t="s">
        <v>2501</v>
      </c>
      <c r="T511" s="2" t="s">
        <v>1051</v>
      </c>
      <c r="U511" s="2" t="s">
        <v>552</v>
      </c>
      <c r="V511" s="2" t="s">
        <v>420</v>
      </c>
      <c r="W511" s="2" t="s">
        <v>1395</v>
      </c>
      <c r="X511" s="2" t="s">
        <v>239</v>
      </c>
      <c r="Y511" s="2" t="s">
        <v>2502</v>
      </c>
      <c r="Z511" s="4">
        <v>47</v>
      </c>
      <c r="AA511" s="4">
        <f>=ROUNDDOWN(7.83333333333333,0)</f>
      </c>
      <c r="AB511" s="5">
        <v>6</v>
      </c>
      <c r="AC511" s="2" t="s">
        <v>2503</v>
      </c>
      <c r="AD511" s="4">
        <v>250</v>
      </c>
      <c r="AE511" s="4">
        <v>250</v>
      </c>
      <c r="AF511" s="6">
        <v>75</v>
      </c>
      <c r="AG511" s="6"/>
      <c r="AH511" s="7">
        <v>1</v>
      </c>
      <c r="AI511" s="4"/>
      <c r="AJ511" s="4">
        <f>=ROUNDDOWN({0},0)</f>
      </c>
      <c r="AK511" s="5"/>
      <c r="AL511" s="2" t="s">
        <v>235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235</v>
      </c>
      <c r="BD511" s="8" t="s">
        <v>235</v>
      </c>
      <c r="BE511" s="4" t="s">
        <v>235</v>
      </c>
      <c r="BF511" s="8" t="s">
        <v>235</v>
      </c>
      <c r="BG511" s="7" t="s">
        <v>235</v>
      </c>
      <c r="BH511" s="7" t="s">
        <v>235</v>
      </c>
      <c r="BI511" s="7"/>
      <c r="BJ511" s="4">
        <v>1</v>
      </c>
      <c r="BK511" s="8">
        <v>79.49</v>
      </c>
      <c r="BL511" s="2" t="s">
        <v>2504</v>
      </c>
      <c r="BM511" s="7"/>
      <c r="BN511" s="7"/>
      <c r="BO511" s="4"/>
      <c r="BP511" s="8"/>
      <c r="BQ511" s="4"/>
      <c r="BR511" s="8"/>
      <c r="BS511" s="7"/>
      <c r="BT511" s="7"/>
      <c r="BU511" s="2" t="s">
        <v>2505</v>
      </c>
      <c r="BV511" s="2" t="s">
        <v>243</v>
      </c>
      <c r="BW511" s="2" t="s">
        <v>235</v>
      </c>
      <c r="BX511" s="2" t="s">
        <v>244</v>
      </c>
      <c r="BY511" s="2" t="s">
        <v>245</v>
      </c>
      <c r="BZ511" s="2" t="s">
        <v>232</v>
      </c>
      <c r="CA511" s="2" t="s">
        <v>2506</v>
      </c>
      <c r="CB511" s="2" t="s">
        <v>2507</v>
      </c>
      <c r="CC511" s="2" t="s">
        <v>248</v>
      </c>
      <c r="CD511" s="2" t="s">
        <v>248</v>
      </c>
      <c r="CE511" s="2" t="s">
        <v>235</v>
      </c>
      <c r="CF511" s="4">
        <v>47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>
        <v>250</v>
      </c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>
        <v>48</v>
      </c>
      <c r="GE511" s="4">
        <v>36</v>
      </c>
      <c r="GF511" s="4">
        <v>280</v>
      </c>
      <c r="GG511" s="4">
        <v>274</v>
      </c>
      <c r="GH511" s="4">
        <v>267</v>
      </c>
      <c r="GI511" s="4">
        <v>260</v>
      </c>
      <c r="GJ511" s="4">
        <v>251</v>
      </c>
      <c r="GK511" s="4">
        <v>244</v>
      </c>
      <c r="GL511" s="4">
        <v>237</v>
      </c>
      <c r="GM511" s="4">
        <v>230</v>
      </c>
      <c r="GN511" s="4">
        <v>224</v>
      </c>
      <c r="GO511" s="4">
        <v>215</v>
      </c>
      <c r="GP511" s="4">
        <v>206</v>
      </c>
      <c r="GQ511" s="4">
        <v>189</v>
      </c>
      <c r="GR511" s="4">
        <v>182</v>
      </c>
      <c r="GS511" s="4">
        <v>175</v>
      </c>
      <c r="GT511" s="4">
        <v>170</v>
      </c>
      <c r="GU511" s="4">
        <v>166</v>
      </c>
      <c r="GV511" s="4">
        <v>159</v>
      </c>
      <c r="GW511" s="4">
        <v>153</v>
      </c>
      <c r="GX511" s="4">
        <v>147</v>
      </c>
      <c r="GY511" s="4">
        <v>141</v>
      </c>
      <c r="GZ511" s="4">
        <v>251</v>
      </c>
      <c r="HA511" s="4">
        <v>245</v>
      </c>
      <c r="HB511" s="4">
        <v>239</v>
      </c>
      <c r="HC511" s="4">
        <v>232</v>
      </c>
      <c r="HD511" s="19">
        <v>6</v>
      </c>
      <c r="HE511" s="19">
        <v>6</v>
      </c>
      <c r="HF511" s="19">
        <v>40</v>
      </c>
      <c r="HG511" s="19">
        <v>34.3</v>
      </c>
      <c r="HH511" s="19">
        <v>33.4</v>
      </c>
      <c r="HI511" s="19">
        <v>32.5</v>
      </c>
      <c r="HJ511" s="19">
        <v>35.9</v>
      </c>
      <c r="HK511" s="19">
        <v>34.9</v>
      </c>
      <c r="HL511" s="19">
        <v>29.6</v>
      </c>
      <c r="HM511" s="19">
        <v>23</v>
      </c>
      <c r="HN511" s="19">
        <v>22.4</v>
      </c>
      <c r="HO511" s="19">
        <v>21.5</v>
      </c>
      <c r="HP511" s="19">
        <v>22.9</v>
      </c>
      <c r="HQ511" s="19">
        <v>31.5</v>
      </c>
      <c r="HR511" s="19">
        <v>30.3</v>
      </c>
      <c r="HS511" s="19">
        <v>29.2</v>
      </c>
      <c r="HT511" s="19">
        <v>28.3</v>
      </c>
      <c r="HU511" s="19">
        <v>27.7</v>
      </c>
      <c r="HV511" s="19">
        <v>26.5</v>
      </c>
      <c r="HW511" s="19">
        <v>25.5</v>
      </c>
      <c r="HX511" s="19">
        <v>24.5</v>
      </c>
      <c r="HY511" s="19">
        <v>23.5</v>
      </c>
      <c r="HZ511" s="19">
        <v>41.8</v>
      </c>
      <c r="IA511" s="19">
        <v>40.8</v>
      </c>
      <c r="IB511" s="19">
        <v>39.8</v>
      </c>
      <c r="IC511" s="19">
        <v>38.7</v>
      </c>
    </row>
    <row r="512">
      <c r="A512" s="2" t="s">
        <v>2508</v>
      </c>
      <c r="B512" s="2" t="s">
        <v>224</v>
      </c>
      <c r="C512" s="2" t="s">
        <v>324</v>
      </c>
      <c r="D512" s="2" t="s">
        <v>981</v>
      </c>
      <c r="E512" s="2" t="s">
        <v>2509</v>
      </c>
      <c r="F512" s="2" t="s">
        <v>2510</v>
      </c>
      <c r="G512" s="2" t="s">
        <v>2511</v>
      </c>
      <c r="H512" s="2" t="s">
        <v>2511</v>
      </c>
      <c r="I512" s="2" t="s">
        <v>2512</v>
      </c>
      <c r="J512" s="2" t="s">
        <v>365</v>
      </c>
      <c r="K512" s="2" t="s">
        <v>378</v>
      </c>
      <c r="L512" s="3">
        <v>27.99</v>
      </c>
      <c r="M512" s="3">
        <v>29.39</v>
      </c>
      <c r="N512" s="3">
        <v>59.99</v>
      </c>
      <c r="O512" s="2" t="s">
        <v>232</v>
      </c>
      <c r="P512" s="2" t="s">
        <v>233</v>
      </c>
      <c r="Q512" s="2" t="s">
        <v>234</v>
      </c>
      <c r="R512" s="2" t="s">
        <v>235</v>
      </c>
      <c r="S512" s="2" t="s">
        <v>2513</v>
      </c>
      <c r="T512" s="2" t="s">
        <v>501</v>
      </c>
      <c r="U512" s="2" t="s">
        <v>807</v>
      </c>
      <c r="V512" s="2" t="s">
        <v>238</v>
      </c>
      <c r="W512" s="2" t="s">
        <v>239</v>
      </c>
      <c r="X512" s="2" t="s">
        <v>1596</v>
      </c>
      <c r="Y512" s="2" t="s">
        <v>2514</v>
      </c>
      <c r="Z512" s="4">
        <v>224</v>
      </c>
      <c r="AA512" s="4">
        <f>=ROUNDDOWN(44.8,0)</f>
      </c>
      <c r="AB512" s="5">
        <v>5</v>
      </c>
      <c r="AC512" s="2" t="s">
        <v>204</v>
      </c>
      <c r="AD512" s="4">
        <v>120</v>
      </c>
      <c r="AE512" s="4">
        <v>120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235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235</v>
      </c>
      <c r="BD512" s="8" t="s">
        <v>235</v>
      </c>
      <c r="BE512" s="4" t="s">
        <v>235</v>
      </c>
      <c r="BF512" s="8" t="s">
        <v>235</v>
      </c>
      <c r="BG512" s="7" t="s">
        <v>235</v>
      </c>
      <c r="BH512" s="7" t="s">
        <v>235</v>
      </c>
      <c r="BI512" s="7"/>
      <c r="BJ512" s="4">
        <v>16</v>
      </c>
      <c r="BK512" s="8">
        <v>477.81</v>
      </c>
      <c r="BL512" s="2" t="s">
        <v>796</v>
      </c>
      <c r="BM512" s="7"/>
      <c r="BN512" s="7"/>
      <c r="BO512" s="4"/>
      <c r="BP512" s="8"/>
      <c r="BQ512" s="4"/>
      <c r="BR512" s="8"/>
      <c r="BS512" s="7"/>
      <c r="BT512" s="7"/>
      <c r="BU512" s="2" t="s">
        <v>2515</v>
      </c>
      <c r="BV512" s="2" t="s">
        <v>243</v>
      </c>
      <c r="BW512" s="2" t="s">
        <v>235</v>
      </c>
      <c r="BX512" s="2" t="s">
        <v>383</v>
      </c>
      <c r="BY512" s="2" t="s">
        <v>245</v>
      </c>
      <c r="BZ512" s="2" t="s">
        <v>232</v>
      </c>
      <c r="CA512" s="2" t="s">
        <v>2516</v>
      </c>
      <c r="CB512" s="2" t="s">
        <v>798</v>
      </c>
      <c r="CC512" s="2" t="s">
        <v>248</v>
      </c>
      <c r="CD512" s="2" t="s">
        <v>248</v>
      </c>
      <c r="CE512" s="2" t="s">
        <v>235</v>
      </c>
      <c r="CF512" s="4">
        <v>224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>
        <v>120</v>
      </c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>
        <v>225</v>
      </c>
      <c r="GE512" s="4">
        <v>209</v>
      </c>
      <c r="GF512" s="4">
        <v>203</v>
      </c>
      <c r="GG512" s="4">
        <v>196</v>
      </c>
      <c r="GH512" s="4">
        <v>187</v>
      </c>
      <c r="GI512" s="4">
        <v>176</v>
      </c>
      <c r="GJ512" s="4">
        <v>162</v>
      </c>
      <c r="GK512" s="4">
        <v>153</v>
      </c>
      <c r="GL512" s="4">
        <v>144</v>
      </c>
      <c r="GM512" s="4">
        <v>136</v>
      </c>
      <c r="GN512" s="4">
        <v>123</v>
      </c>
      <c r="GO512" s="4">
        <v>102</v>
      </c>
      <c r="GP512" s="4">
        <v>83</v>
      </c>
      <c r="GQ512" s="4">
        <v>56</v>
      </c>
      <c r="GR512" s="4">
        <v>47</v>
      </c>
      <c r="GS512" s="4">
        <v>158</v>
      </c>
      <c r="GT512" s="4">
        <v>153</v>
      </c>
      <c r="GU512" s="4">
        <v>150</v>
      </c>
      <c r="GV512" s="4">
        <v>144</v>
      </c>
      <c r="GW512" s="4">
        <v>138</v>
      </c>
      <c r="GX512" s="4">
        <v>133</v>
      </c>
      <c r="GY512" s="4">
        <v>128</v>
      </c>
      <c r="GZ512" s="4">
        <v>123</v>
      </c>
      <c r="HA512" s="4">
        <v>118</v>
      </c>
      <c r="HB512" s="4">
        <v>113</v>
      </c>
      <c r="HC512" s="4">
        <v>108</v>
      </c>
      <c r="HD512" s="19">
        <v>22.5</v>
      </c>
      <c r="HE512" s="19">
        <v>26.1</v>
      </c>
      <c r="HF512" s="19">
        <v>20.3</v>
      </c>
      <c r="HG512" s="19">
        <v>17.8</v>
      </c>
      <c r="HH512" s="19">
        <v>17</v>
      </c>
      <c r="HI512" s="19">
        <v>17.6</v>
      </c>
      <c r="HJ512" s="19">
        <v>16.2</v>
      </c>
      <c r="HK512" s="19">
        <v>11.8</v>
      </c>
      <c r="HL512" s="19">
        <v>9.6</v>
      </c>
      <c r="HM512" s="19">
        <v>6.8</v>
      </c>
      <c r="HN512" s="19">
        <v>6.5</v>
      </c>
      <c r="HO512" s="19">
        <v>6.4</v>
      </c>
      <c r="HP512" s="19">
        <v>6.9</v>
      </c>
      <c r="HQ512" s="19">
        <v>9.3</v>
      </c>
      <c r="HR512" s="19">
        <v>7.8</v>
      </c>
      <c r="HS512" s="19">
        <v>31.6</v>
      </c>
      <c r="HT512" s="19">
        <v>30.6</v>
      </c>
      <c r="HU512" s="19">
        <v>25</v>
      </c>
      <c r="HV512" s="19">
        <v>28.8</v>
      </c>
      <c r="HW512" s="19">
        <v>27.6</v>
      </c>
      <c r="HX512" s="19">
        <v>26.6</v>
      </c>
      <c r="HY512" s="19">
        <v>25.6</v>
      </c>
      <c r="HZ512" s="19">
        <v>24.6</v>
      </c>
      <c r="IA512" s="19">
        <v>23.6</v>
      </c>
      <c r="IB512" s="19">
        <v>22.6</v>
      </c>
      <c r="IC512" s="19">
        <v>21.6</v>
      </c>
    </row>
    <row r="513">
      <c r="A513" s="2" t="s">
        <v>2517</v>
      </c>
      <c r="B513" s="2" t="s">
        <v>224</v>
      </c>
      <c r="C513" s="2" t="s">
        <v>324</v>
      </c>
      <c r="D513" s="2" t="s">
        <v>981</v>
      </c>
      <c r="E513" s="2" t="s">
        <v>2509</v>
      </c>
      <c r="F513" s="2" t="s">
        <v>2510</v>
      </c>
      <c r="G513" s="2" t="s">
        <v>2511</v>
      </c>
      <c r="H513" s="2" t="s">
        <v>2511</v>
      </c>
      <c r="I513" s="2" t="s">
        <v>2512</v>
      </c>
      <c r="J513" s="2" t="s">
        <v>365</v>
      </c>
      <c r="K513" s="2" t="s">
        <v>1477</v>
      </c>
      <c r="L513" s="3">
        <v>27.99</v>
      </c>
      <c r="M513" s="3">
        <v>29.39</v>
      </c>
      <c r="N513" s="3">
        <v>59.99</v>
      </c>
      <c r="O513" s="2" t="s">
        <v>232</v>
      </c>
      <c r="P513" s="2" t="s">
        <v>233</v>
      </c>
      <c r="Q513" s="2" t="s">
        <v>234</v>
      </c>
      <c r="R513" s="2" t="s">
        <v>235</v>
      </c>
      <c r="S513" s="2" t="s">
        <v>2518</v>
      </c>
      <c r="T513" s="2" t="s">
        <v>2295</v>
      </c>
      <c r="U513" s="2" t="s">
        <v>807</v>
      </c>
      <c r="V513" s="2" t="s">
        <v>238</v>
      </c>
      <c r="W513" s="2" t="s">
        <v>239</v>
      </c>
      <c r="X513" s="2" t="s">
        <v>1596</v>
      </c>
      <c r="Y513" s="2" t="s">
        <v>2519</v>
      </c>
      <c r="Z513" s="4">
        <v>353</v>
      </c>
      <c r="AA513" s="4">
        <f>=ROUNDDOWN(88.25,0)</f>
      </c>
      <c r="AB513" s="5">
        <v>4</v>
      </c>
      <c r="AC513" s="2" t="s">
        <v>235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235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235</v>
      </c>
      <c r="BD513" s="8" t="s">
        <v>235</v>
      </c>
      <c r="BE513" s="4" t="s">
        <v>235</v>
      </c>
      <c r="BF513" s="8" t="s">
        <v>235</v>
      </c>
      <c r="BG513" s="7" t="s">
        <v>235</v>
      </c>
      <c r="BH513" s="7" t="s">
        <v>235</v>
      </c>
      <c r="BI513" s="7"/>
      <c r="BJ513" s="4">
        <v>20</v>
      </c>
      <c r="BK513" s="8">
        <v>578.71</v>
      </c>
      <c r="BL513" s="2" t="s">
        <v>2520</v>
      </c>
      <c r="BM513" s="7"/>
      <c r="BN513" s="7"/>
      <c r="BO513" s="4"/>
      <c r="BP513" s="8"/>
      <c r="BQ513" s="4"/>
      <c r="BR513" s="8"/>
      <c r="BS513" s="7"/>
      <c r="BT513" s="7"/>
      <c r="BU513" s="2" t="s">
        <v>2515</v>
      </c>
      <c r="BV513" s="2" t="s">
        <v>243</v>
      </c>
      <c r="BW513" s="2" t="s">
        <v>235</v>
      </c>
      <c r="BX513" s="2" t="s">
        <v>383</v>
      </c>
      <c r="BY513" s="2" t="s">
        <v>245</v>
      </c>
      <c r="BZ513" s="2" t="s">
        <v>232</v>
      </c>
      <c r="CA513" s="2" t="s">
        <v>2521</v>
      </c>
      <c r="CB513" s="2" t="s">
        <v>2522</v>
      </c>
      <c r="CC513" s="2" t="s">
        <v>248</v>
      </c>
      <c r="CD513" s="2" t="s">
        <v>248</v>
      </c>
      <c r="CE513" s="2" t="s">
        <v>235</v>
      </c>
      <c r="CF513" s="4">
        <v>353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>
        <v>354</v>
      </c>
      <c r="GE513" s="4">
        <v>339</v>
      </c>
      <c r="GF513" s="4">
        <v>334</v>
      </c>
      <c r="GG513" s="4">
        <v>328</v>
      </c>
      <c r="GH513" s="4">
        <v>320</v>
      </c>
      <c r="GI513" s="4">
        <v>311</v>
      </c>
      <c r="GJ513" s="4">
        <v>299</v>
      </c>
      <c r="GK513" s="4">
        <v>292</v>
      </c>
      <c r="GL513" s="4">
        <v>285</v>
      </c>
      <c r="GM513" s="4">
        <v>279</v>
      </c>
      <c r="GN513" s="4">
        <v>269</v>
      </c>
      <c r="GO513" s="4">
        <v>253</v>
      </c>
      <c r="GP513" s="4">
        <v>239</v>
      </c>
      <c r="GQ513" s="4">
        <v>218</v>
      </c>
      <c r="GR513" s="4">
        <v>211</v>
      </c>
      <c r="GS513" s="4">
        <v>204</v>
      </c>
      <c r="GT513" s="4">
        <v>200</v>
      </c>
      <c r="GU513" s="4">
        <v>197</v>
      </c>
      <c r="GV513" s="4">
        <v>192</v>
      </c>
      <c r="GW513" s="4">
        <v>187</v>
      </c>
      <c r="GX513" s="4">
        <v>183</v>
      </c>
      <c r="GY513" s="4">
        <v>179</v>
      </c>
      <c r="GZ513" s="4">
        <v>175</v>
      </c>
      <c r="HA513" s="4">
        <v>171</v>
      </c>
      <c r="HB513" s="4">
        <v>167</v>
      </c>
      <c r="HC513" s="4">
        <v>163</v>
      </c>
      <c r="HD513" s="19">
        <v>44.3</v>
      </c>
      <c r="HE513" s="19">
        <v>48.4</v>
      </c>
      <c r="HF513" s="19">
        <v>37.1</v>
      </c>
      <c r="HG513" s="19">
        <v>36.4</v>
      </c>
      <c r="HH513" s="19">
        <v>35.6</v>
      </c>
      <c r="HI513" s="19">
        <v>38.9</v>
      </c>
      <c r="HJ513" s="19">
        <v>37.4</v>
      </c>
      <c r="HK513" s="19">
        <v>29.2</v>
      </c>
      <c r="HL513" s="19">
        <v>23.8</v>
      </c>
      <c r="HM513" s="19">
        <v>18.6</v>
      </c>
      <c r="HN513" s="19">
        <v>19.2</v>
      </c>
      <c r="HO513" s="19">
        <v>21.1</v>
      </c>
      <c r="HP513" s="19">
        <v>23.9</v>
      </c>
      <c r="HQ513" s="19">
        <v>43.6</v>
      </c>
      <c r="HR513" s="19">
        <v>42.2</v>
      </c>
      <c r="HS513" s="19">
        <v>51</v>
      </c>
      <c r="HT513" s="19">
        <v>50</v>
      </c>
      <c r="HU513" s="19">
        <v>49.3</v>
      </c>
      <c r="HV513" s="19">
        <v>48</v>
      </c>
      <c r="HW513" s="19">
        <v>46.8</v>
      </c>
      <c r="HX513" s="19">
        <v>45.8</v>
      </c>
      <c r="HY513" s="19">
        <v>44.8</v>
      </c>
      <c r="HZ513" s="19">
        <v>43.8</v>
      </c>
      <c r="IA513" s="19">
        <v>42.8</v>
      </c>
      <c r="IB513" s="19">
        <v>41.8</v>
      </c>
      <c r="IC513" s="19">
        <v>40.8</v>
      </c>
    </row>
    <row r="514">
      <c r="A514" s="2" t="s">
        <v>2523</v>
      </c>
      <c r="B514" s="2" t="s">
        <v>1071</v>
      </c>
      <c r="C514" s="2" t="s">
        <v>324</v>
      </c>
      <c r="D514" s="2" t="s">
        <v>1482</v>
      </c>
      <c r="E514" s="2" t="s">
        <v>2524</v>
      </c>
      <c r="F514" s="2" t="s">
        <v>2525</v>
      </c>
      <c r="G514" s="2" t="s">
        <v>2526</v>
      </c>
      <c r="H514" s="2" t="s">
        <v>2527</v>
      </c>
      <c r="I514" s="2" t="s">
        <v>2528</v>
      </c>
      <c r="J514" s="2" t="s">
        <v>806</v>
      </c>
      <c r="K514" s="2" t="s">
        <v>975</v>
      </c>
      <c r="L514" s="3">
        <v>99.75</v>
      </c>
      <c r="M514" s="3">
        <v>104.74</v>
      </c>
      <c r="N514" s="3">
        <v>209</v>
      </c>
      <c r="O514" s="2" t="s">
        <v>407</v>
      </c>
      <c r="P514" s="2" t="s">
        <v>408</v>
      </c>
      <c r="Q514" s="2" t="s">
        <v>234</v>
      </c>
      <c r="R514" s="2" t="s">
        <v>235</v>
      </c>
      <c r="S514" s="2" t="s">
        <v>2529</v>
      </c>
      <c r="T514" s="2" t="s">
        <v>235</v>
      </c>
      <c r="U514" s="2" t="s">
        <v>235</v>
      </c>
      <c r="V514" s="2" t="s">
        <v>238</v>
      </c>
      <c r="W514" s="2" t="s">
        <v>1157</v>
      </c>
      <c r="X514" s="2" t="s">
        <v>235</v>
      </c>
      <c r="Y514" s="2" t="s">
        <v>2530</v>
      </c>
      <c r="Z514" s="4">
        <v>40</v>
      </c>
      <c r="AA514" s="4">
        <f>=ROUNDDOWN(3.00751879699248,0)</f>
      </c>
      <c r="AB514" s="5">
        <v>13.3</v>
      </c>
      <c r="AC514" s="2" t="s">
        <v>235</v>
      </c>
      <c r="AD514" s="4"/>
      <c r="AE514" s="4"/>
      <c r="AF514" s="6">
        <v>83</v>
      </c>
      <c r="AG514" s="6">
        <v>69</v>
      </c>
      <c r="AH514" s="7">
        <v>1</v>
      </c>
      <c r="AI514" s="4"/>
      <c r="AJ514" s="4">
        <f>=ROUNDDOWN({0},0)</f>
      </c>
      <c r="AK514" s="5"/>
      <c r="AL514" s="2" t="s">
        <v>235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>
        <v>71</v>
      </c>
      <c r="BK514" s="8">
        <v>6887.41</v>
      </c>
      <c r="BL514" s="2" t="s">
        <v>2531</v>
      </c>
      <c r="BM514" s="7"/>
      <c r="BN514" s="7"/>
      <c r="BO514" s="4"/>
      <c r="BP514" s="8"/>
      <c r="BQ514" s="4"/>
      <c r="BR514" s="8"/>
      <c r="BS514" s="7"/>
      <c r="BT514" s="7"/>
      <c r="BU514" s="2" t="s">
        <v>2532</v>
      </c>
      <c r="BV514" s="2" t="s">
        <v>1488</v>
      </c>
      <c r="BW514" s="2" t="s">
        <v>235</v>
      </c>
      <c r="BX514" s="2" t="s">
        <v>414</v>
      </c>
      <c r="BY514" s="2" t="s">
        <v>245</v>
      </c>
      <c r="BZ514" s="2" t="s">
        <v>232</v>
      </c>
      <c r="CA514" s="2" t="s">
        <v>2533</v>
      </c>
      <c r="CB514" s="2" t="s">
        <v>462</v>
      </c>
      <c r="CC514" s="2" t="s">
        <v>248</v>
      </c>
      <c r="CD514" s="2" t="s">
        <v>248</v>
      </c>
      <c r="CE514" s="2" t="s">
        <v>235</v>
      </c>
      <c r="CF514" s="4"/>
      <c r="CG514" s="4">
        <v>40</v>
      </c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>
        <v>49</v>
      </c>
      <c r="GE514" s="4">
        <v>26</v>
      </c>
      <c r="GF514" s="4">
        <v>13</v>
      </c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19">
        <v>1.6</v>
      </c>
      <c r="HE514" s="19">
        <v>1</v>
      </c>
      <c r="HF514" s="19">
        <v>0.5</v>
      </c>
      <c r="HG514" s="20">
        <v>0</v>
      </c>
      <c r="HH514" s="20">
        <v>0</v>
      </c>
      <c r="HI514" s="20">
        <v>0</v>
      </c>
      <c r="HJ514" s="20">
        <v>0</v>
      </c>
      <c r="HK514" s="20">
        <v>0</v>
      </c>
      <c r="HL514" s="20">
        <v>0</v>
      </c>
      <c r="HM514" s="20">
        <v>0</v>
      </c>
      <c r="HN514" s="20">
        <v>0</v>
      </c>
      <c r="HO514" s="20">
        <v>0</v>
      </c>
      <c r="HP514" s="20">
        <v>0</v>
      </c>
      <c r="HQ514" s="20">
        <v>0</v>
      </c>
      <c r="HR514" s="20">
        <v>0</v>
      </c>
      <c r="HS514" s="20">
        <v>0</v>
      </c>
      <c r="HT514" s="20">
        <v>0</v>
      </c>
      <c r="HU514" s="20">
        <v>0</v>
      </c>
      <c r="HV514" s="20">
        <v>0</v>
      </c>
      <c r="HW514" s="20">
        <v>0</v>
      </c>
      <c r="HX514" s="20">
        <v>0</v>
      </c>
      <c r="HY514" s="20">
        <v>0</v>
      </c>
      <c r="HZ514" s="20">
        <v>0</v>
      </c>
      <c r="IA514" s="20">
        <v>0</v>
      </c>
      <c r="IB514" s="20">
        <v>0</v>
      </c>
      <c r="IC514" s="20">
        <v>0</v>
      </c>
    </row>
    <row r="515">
      <c r="A515" s="2" t="s">
        <v>2534</v>
      </c>
      <c r="B515" s="2" t="s">
        <v>852</v>
      </c>
      <c r="C515" s="2" t="s">
        <v>943</v>
      </c>
      <c r="D515" s="2" t="s">
        <v>854</v>
      </c>
      <c r="E515" s="2" t="s">
        <v>1005</v>
      </c>
      <c r="F515" s="2" t="s">
        <v>2535</v>
      </c>
      <c r="G515" s="2" t="s">
        <v>2536</v>
      </c>
      <c r="H515" s="2" t="s">
        <v>2537</v>
      </c>
      <c r="I515" s="2" t="s">
        <v>2538</v>
      </c>
      <c r="J515" s="2" t="s">
        <v>2539</v>
      </c>
      <c r="K515" s="2" t="s">
        <v>338</v>
      </c>
      <c r="L515" s="3">
        <v>17.02</v>
      </c>
      <c r="M515" s="3">
        <v>17.87</v>
      </c>
      <c r="N515" s="3">
        <v>36.99</v>
      </c>
      <c r="O515" s="2" t="s">
        <v>485</v>
      </c>
      <c r="P515" s="2" t="s">
        <v>408</v>
      </c>
      <c r="Q515" s="2" t="s">
        <v>234</v>
      </c>
      <c r="R515" s="2" t="s">
        <v>235</v>
      </c>
      <c r="S515" s="2" t="s">
        <v>2540</v>
      </c>
      <c r="T515" s="2" t="s">
        <v>2541</v>
      </c>
      <c r="U515" s="2" t="s">
        <v>278</v>
      </c>
      <c r="V515" s="2" t="s">
        <v>238</v>
      </c>
      <c r="W515" s="2" t="s">
        <v>682</v>
      </c>
      <c r="X515" s="2" t="s">
        <v>2542</v>
      </c>
      <c r="Y515" s="2" t="s">
        <v>2543</v>
      </c>
      <c r="Z515" s="4">
        <v>1</v>
      </c>
      <c r="AA515" s="4">
        <f>=ROUNDDOWN(3.33333333333333,0)</f>
      </c>
      <c r="AB515" s="5">
        <v>0.3</v>
      </c>
      <c r="AC515" s="2" t="s">
        <v>235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235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235</v>
      </c>
      <c r="BD515" s="8" t="s">
        <v>235</v>
      </c>
      <c r="BE515" s="4" t="s">
        <v>235</v>
      </c>
      <c r="BF515" s="8" t="s">
        <v>235</v>
      </c>
      <c r="BG515" s="7" t="s">
        <v>235</v>
      </c>
      <c r="BH515" s="7" t="s">
        <v>235</v>
      </c>
      <c r="BI515" s="7"/>
      <c r="BJ515" s="4">
        <v>3</v>
      </c>
      <c r="BK515" s="8">
        <v>50.73</v>
      </c>
      <c r="BL515" s="2" t="s">
        <v>396</v>
      </c>
      <c r="BM515" s="7"/>
      <c r="BN515" s="7"/>
      <c r="BO515" s="4"/>
      <c r="BP515" s="8"/>
      <c r="BQ515" s="4"/>
      <c r="BR515" s="8"/>
      <c r="BS515" s="7"/>
      <c r="BT515" s="7"/>
      <c r="BU515" s="2" t="s">
        <v>2544</v>
      </c>
      <c r="BV515" s="2" t="s">
        <v>867</v>
      </c>
      <c r="BW515" s="2" t="s">
        <v>235</v>
      </c>
      <c r="BX515" s="2" t="s">
        <v>414</v>
      </c>
      <c r="BY515" s="2" t="s">
        <v>245</v>
      </c>
      <c r="BZ515" s="2" t="s">
        <v>232</v>
      </c>
      <c r="CA515" s="2" t="s">
        <v>2545</v>
      </c>
      <c r="CB515" s="2" t="s">
        <v>2546</v>
      </c>
      <c r="CC515" s="2" t="s">
        <v>248</v>
      </c>
      <c r="CD515" s="2" t="s">
        <v>248</v>
      </c>
      <c r="CE515" s="2" t="s">
        <v>235</v>
      </c>
      <c r="CF515" s="4">
        <v>1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>
        <v>1</v>
      </c>
      <c r="GE515" s="4">
        <v>1</v>
      </c>
      <c r="GF515" s="4">
        <v>1</v>
      </c>
      <c r="GG515" s="4">
        <v>1</v>
      </c>
      <c r="GH515" s="4">
        <v>1</v>
      </c>
      <c r="GI515" s="4">
        <v>1</v>
      </c>
      <c r="GJ515" s="4">
        <v>1</v>
      </c>
      <c r="GK515" s="4">
        <v>1</v>
      </c>
      <c r="GL515" s="4">
        <v>1</v>
      </c>
      <c r="GM515" s="4">
        <v>1</v>
      </c>
      <c r="GN515" s="4">
        <v>1</v>
      </c>
      <c r="GO515" s="4">
        <v>1</v>
      </c>
      <c r="GP515" s="4">
        <v>1</v>
      </c>
      <c r="GQ515" s="4">
        <v>1</v>
      </c>
      <c r="GR515" s="4">
        <v>1</v>
      </c>
      <c r="GS515" s="4">
        <v>1</v>
      </c>
      <c r="GT515" s="4">
        <v>1</v>
      </c>
      <c r="GU515" s="4">
        <v>1</v>
      </c>
      <c r="GV515" s="4">
        <v>1</v>
      </c>
      <c r="GW515" s="4">
        <v>1</v>
      </c>
      <c r="GX515" s="4">
        <v>1</v>
      </c>
      <c r="GY515" s="4">
        <v>1</v>
      </c>
      <c r="GZ515" s="4">
        <v>1</v>
      </c>
      <c r="HA515" s="4">
        <v>1</v>
      </c>
      <c r="HB515" s="4">
        <v>1</v>
      </c>
      <c r="HC515" s="4">
        <v>1</v>
      </c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</row>
    <row r="516">
      <c r="A516" s="2" t="s">
        <v>2547</v>
      </c>
      <c r="B516" s="2" t="s">
        <v>852</v>
      </c>
      <c r="C516" s="2" t="s">
        <v>943</v>
      </c>
      <c r="D516" s="2" t="s">
        <v>854</v>
      </c>
      <c r="E516" s="2" t="s">
        <v>1005</v>
      </c>
      <c r="F516" s="2" t="s">
        <v>2535</v>
      </c>
      <c r="G516" s="2" t="s">
        <v>2536</v>
      </c>
      <c r="H516" s="2" t="s">
        <v>2537</v>
      </c>
      <c r="I516" s="2" t="s">
        <v>2538</v>
      </c>
      <c r="J516" s="2" t="s">
        <v>2548</v>
      </c>
      <c r="K516" s="2" t="s">
        <v>1238</v>
      </c>
      <c r="L516" s="3">
        <v>22.09</v>
      </c>
      <c r="M516" s="3">
        <v>23.19</v>
      </c>
      <c r="N516" s="3">
        <v>46.99</v>
      </c>
      <c r="O516" s="2" t="s">
        <v>407</v>
      </c>
      <c r="P516" s="2" t="s">
        <v>408</v>
      </c>
      <c r="Q516" s="2" t="s">
        <v>234</v>
      </c>
      <c r="R516" s="2" t="s">
        <v>235</v>
      </c>
      <c r="S516" s="2" t="s">
        <v>2549</v>
      </c>
      <c r="T516" s="2" t="s">
        <v>2541</v>
      </c>
      <c r="U516" s="2" t="s">
        <v>278</v>
      </c>
      <c r="V516" s="2" t="s">
        <v>238</v>
      </c>
      <c r="W516" s="2" t="s">
        <v>682</v>
      </c>
      <c r="X516" s="2" t="s">
        <v>2542</v>
      </c>
      <c r="Y516" s="2" t="s">
        <v>2550</v>
      </c>
      <c r="Z516" s="4"/>
      <c r="AA516" s="4">
        <f>=ROUNDDOWN({0},0)</f>
      </c>
      <c r="AB516" s="5">
        <v>4</v>
      </c>
      <c r="AC516" s="2" t="s">
        <v>235</v>
      </c>
      <c r="AD516" s="4"/>
      <c r="AE516" s="4"/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235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235</v>
      </c>
      <c r="BD516" s="8" t="s">
        <v>235</v>
      </c>
      <c r="BE516" s="4" t="s">
        <v>235</v>
      </c>
      <c r="BF516" s="8" t="s">
        <v>235</v>
      </c>
      <c r="BG516" s="7" t="s">
        <v>235</v>
      </c>
      <c r="BH516" s="7" t="s">
        <v>235</v>
      </c>
      <c r="BI516" s="7"/>
      <c r="BJ516" s="4"/>
      <c r="BK516" s="8"/>
      <c r="BL516" s="2" t="s">
        <v>1576</v>
      </c>
      <c r="BM516" s="7"/>
      <c r="BN516" s="7"/>
      <c r="BO516" s="4"/>
      <c r="BP516" s="8"/>
      <c r="BQ516" s="4"/>
      <c r="BR516" s="8"/>
      <c r="BS516" s="7"/>
      <c r="BT516" s="7"/>
      <c r="BU516" s="2" t="s">
        <v>2544</v>
      </c>
      <c r="BV516" s="2" t="s">
        <v>867</v>
      </c>
      <c r="BW516" s="2" t="s">
        <v>235</v>
      </c>
      <c r="BX516" s="2" t="s">
        <v>414</v>
      </c>
      <c r="BY516" s="2" t="s">
        <v>245</v>
      </c>
      <c r="BZ516" s="2" t="s">
        <v>232</v>
      </c>
      <c r="CA516" s="2" t="s">
        <v>2551</v>
      </c>
      <c r="CB516" s="2" t="s">
        <v>2552</v>
      </c>
      <c r="CC516" s="2" t="s">
        <v>248</v>
      </c>
      <c r="CD516" s="2" t="s">
        <v>248</v>
      </c>
      <c r="CE516" s="2" t="s">
        <v>235</v>
      </c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20">
        <v>0</v>
      </c>
      <c r="HE516" s="20">
        <v>0</v>
      </c>
      <c r="HF516" s="20">
        <v>0</v>
      </c>
      <c r="HG516" s="20">
        <v>0</v>
      </c>
      <c r="HH516" s="20">
        <v>0</v>
      </c>
      <c r="HI516" s="20">
        <v>0</v>
      </c>
      <c r="HJ516" s="20">
        <v>0</v>
      </c>
      <c r="HK516" s="20">
        <v>0</v>
      </c>
      <c r="HL516" s="20">
        <v>0</v>
      </c>
      <c r="HM516" s="20">
        <v>0</v>
      </c>
      <c r="HN516" s="20">
        <v>0</v>
      </c>
      <c r="HO516" s="20">
        <v>0</v>
      </c>
      <c r="HP516" s="20">
        <v>0</v>
      </c>
      <c r="HQ516" s="20">
        <v>0</v>
      </c>
      <c r="HR516" s="20">
        <v>0</v>
      </c>
      <c r="HS516" s="20">
        <v>0</v>
      </c>
      <c r="HT516" s="20">
        <v>0</v>
      </c>
      <c r="HU516" s="20">
        <v>0</v>
      </c>
      <c r="HV516" s="20">
        <v>0</v>
      </c>
      <c r="HW516" s="20">
        <v>0</v>
      </c>
      <c r="HX516" s="20">
        <v>0</v>
      </c>
      <c r="HY516" s="20">
        <v>0</v>
      </c>
      <c r="HZ516" s="20">
        <v>0</v>
      </c>
      <c r="IA516" s="20">
        <v>0</v>
      </c>
      <c r="IB516" s="20">
        <v>0</v>
      </c>
      <c r="IC516" s="20">
        <v>0</v>
      </c>
    </row>
    <row r="517">
      <c r="A517" s="2" t="s">
        <v>2553</v>
      </c>
      <c r="B517" s="2" t="s">
        <v>852</v>
      </c>
      <c r="C517" s="2" t="s">
        <v>943</v>
      </c>
      <c r="D517" s="2" t="s">
        <v>854</v>
      </c>
      <c r="E517" s="2" t="s">
        <v>1005</v>
      </c>
      <c r="F517" s="2" t="s">
        <v>2535</v>
      </c>
      <c r="G517" s="2" t="s">
        <v>2536</v>
      </c>
      <c r="H517" s="2" t="s">
        <v>2537</v>
      </c>
      <c r="I517" s="2" t="s">
        <v>2538</v>
      </c>
      <c r="J517" s="2" t="s">
        <v>2554</v>
      </c>
      <c r="K517" s="2" t="s">
        <v>2555</v>
      </c>
      <c r="L517" s="3">
        <v>21.34</v>
      </c>
      <c r="M517" s="3">
        <v>22.41</v>
      </c>
      <c r="N517" s="3">
        <v>44.99</v>
      </c>
      <c r="O517" s="2" t="s">
        <v>407</v>
      </c>
      <c r="P517" s="2" t="s">
        <v>408</v>
      </c>
      <c r="Q517" s="2" t="s">
        <v>234</v>
      </c>
      <c r="R517" s="2" t="s">
        <v>235</v>
      </c>
      <c r="S517" s="2" t="s">
        <v>2556</v>
      </c>
      <c r="T517" s="2" t="s">
        <v>2541</v>
      </c>
      <c r="U517" s="2" t="s">
        <v>278</v>
      </c>
      <c r="V517" s="2" t="s">
        <v>238</v>
      </c>
      <c r="W517" s="2" t="s">
        <v>682</v>
      </c>
      <c r="X517" s="2" t="s">
        <v>2542</v>
      </c>
      <c r="Y517" s="2" t="s">
        <v>2557</v>
      </c>
      <c r="Z517" s="4">
        <v>174</v>
      </c>
      <c r="AA517" s="4">
        <f>=ROUNDDOWN(290,0)</f>
      </c>
      <c r="AB517" s="5">
        <v>0.6</v>
      </c>
      <c r="AC517" s="2" t="s">
        <v>235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235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235</v>
      </c>
      <c r="BD517" s="8" t="s">
        <v>235</v>
      </c>
      <c r="BE517" s="4" t="s">
        <v>235</v>
      </c>
      <c r="BF517" s="8" t="s">
        <v>235</v>
      </c>
      <c r="BG517" s="7" t="s">
        <v>235</v>
      </c>
      <c r="BH517" s="7" t="s">
        <v>235</v>
      </c>
      <c r="BI517" s="7"/>
      <c r="BJ517" s="4">
        <v>3</v>
      </c>
      <c r="BK517" s="8">
        <v>68.74</v>
      </c>
      <c r="BL517" s="2" t="s">
        <v>2558</v>
      </c>
      <c r="BM517" s="7"/>
      <c r="BN517" s="7"/>
      <c r="BO517" s="4"/>
      <c r="BP517" s="8"/>
      <c r="BQ517" s="4"/>
      <c r="BR517" s="8"/>
      <c r="BS517" s="7"/>
      <c r="BT517" s="7"/>
      <c r="BU517" s="2" t="s">
        <v>2544</v>
      </c>
      <c r="BV517" s="2" t="s">
        <v>867</v>
      </c>
      <c r="BW517" s="2" t="s">
        <v>235</v>
      </c>
      <c r="BX517" s="2" t="s">
        <v>244</v>
      </c>
      <c r="BY517" s="2" t="s">
        <v>245</v>
      </c>
      <c r="BZ517" s="2" t="s">
        <v>232</v>
      </c>
      <c r="CA517" s="2" t="s">
        <v>2559</v>
      </c>
      <c r="CB517" s="2" t="s">
        <v>235</v>
      </c>
      <c r="CC517" s="2" t="s">
        <v>248</v>
      </c>
      <c r="CD517" s="2" t="s">
        <v>248</v>
      </c>
      <c r="CE517" s="2" t="s">
        <v>235</v>
      </c>
      <c r="CF517" s="4">
        <v>174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>
        <v>174</v>
      </c>
      <c r="GE517" s="4">
        <v>173</v>
      </c>
      <c r="GF517" s="4">
        <v>172</v>
      </c>
      <c r="GG517" s="4">
        <v>171</v>
      </c>
      <c r="GH517" s="4">
        <v>170</v>
      </c>
      <c r="GI517" s="4">
        <v>169</v>
      </c>
      <c r="GJ517" s="4">
        <v>168</v>
      </c>
      <c r="GK517" s="4">
        <v>167</v>
      </c>
      <c r="GL517" s="4">
        <v>166</v>
      </c>
      <c r="GM517" s="4">
        <v>165</v>
      </c>
      <c r="GN517" s="4">
        <v>163</v>
      </c>
      <c r="GO517" s="4">
        <v>161</v>
      </c>
      <c r="GP517" s="4">
        <v>160</v>
      </c>
      <c r="GQ517" s="4">
        <v>156</v>
      </c>
      <c r="GR517" s="4">
        <v>153</v>
      </c>
      <c r="GS517" s="4">
        <v>151</v>
      </c>
      <c r="GT517" s="4">
        <v>150</v>
      </c>
      <c r="GU517" s="4">
        <v>147</v>
      </c>
      <c r="GV517" s="4">
        <v>144</v>
      </c>
      <c r="GW517" s="4">
        <v>142</v>
      </c>
      <c r="GX517" s="4">
        <v>139</v>
      </c>
      <c r="GY517" s="4">
        <v>138</v>
      </c>
      <c r="GZ517" s="4">
        <v>136</v>
      </c>
      <c r="HA517" s="4">
        <v>135</v>
      </c>
      <c r="HB517" s="4">
        <v>133</v>
      </c>
      <c r="HC517" s="4">
        <v>132</v>
      </c>
      <c r="HD517" s="19">
        <v>174</v>
      </c>
      <c r="HE517" s="19">
        <v>173</v>
      </c>
      <c r="HF517" s="19">
        <v>172</v>
      </c>
      <c r="HG517" s="19">
        <v>171</v>
      </c>
      <c r="HH517" s="19">
        <v>170</v>
      </c>
      <c r="HI517" s="19">
        <v>169</v>
      </c>
      <c r="HJ517" s="19">
        <v>168</v>
      </c>
      <c r="HK517" s="19">
        <v>83.5</v>
      </c>
      <c r="HL517" s="19">
        <v>83</v>
      </c>
      <c r="HM517" s="19">
        <v>82.5</v>
      </c>
      <c r="HN517" s="19">
        <v>81.5</v>
      </c>
      <c r="HO517" s="19">
        <v>80.5</v>
      </c>
      <c r="HP517" s="19">
        <v>80</v>
      </c>
      <c r="HQ517" s="19">
        <v>78</v>
      </c>
      <c r="HR517" s="19">
        <v>76.5</v>
      </c>
      <c r="HS517" s="19">
        <v>75.5</v>
      </c>
      <c r="HT517" s="19">
        <v>50</v>
      </c>
      <c r="HU517" s="19">
        <v>73.5</v>
      </c>
      <c r="HV517" s="19">
        <v>72</v>
      </c>
      <c r="HW517" s="19">
        <v>71</v>
      </c>
      <c r="HX517" s="19">
        <v>69.5</v>
      </c>
      <c r="HY517" s="19">
        <v>69</v>
      </c>
      <c r="HZ517" s="19">
        <v>68</v>
      </c>
      <c r="IA517" s="19">
        <v>67.5</v>
      </c>
      <c r="IB517" s="19">
        <v>133</v>
      </c>
      <c r="IC517" s="19">
        <v>132</v>
      </c>
    </row>
    <row r="518">
      <c r="A518" s="2" t="s">
        <v>2560</v>
      </c>
      <c r="B518" s="2" t="s">
        <v>852</v>
      </c>
      <c r="C518" s="2" t="s">
        <v>943</v>
      </c>
      <c r="D518" s="2" t="s">
        <v>854</v>
      </c>
      <c r="E518" s="2" t="s">
        <v>1005</v>
      </c>
      <c r="F518" s="2" t="s">
        <v>2535</v>
      </c>
      <c r="G518" s="2" t="s">
        <v>2536</v>
      </c>
      <c r="H518" s="2" t="s">
        <v>2537</v>
      </c>
      <c r="I518" s="2" t="s">
        <v>2538</v>
      </c>
      <c r="J518" s="2" t="s">
        <v>2554</v>
      </c>
      <c r="K518" s="2" t="s">
        <v>2561</v>
      </c>
      <c r="L518" s="3">
        <v>21.34</v>
      </c>
      <c r="M518" s="3">
        <v>22.41</v>
      </c>
      <c r="N518" s="3">
        <v>44.99</v>
      </c>
      <c r="O518" s="2" t="s">
        <v>232</v>
      </c>
      <c r="P518" s="2" t="s">
        <v>878</v>
      </c>
      <c r="Q518" s="2" t="s">
        <v>234</v>
      </c>
      <c r="R518" s="2" t="s">
        <v>235</v>
      </c>
      <c r="S518" s="2" t="s">
        <v>2562</v>
      </c>
      <c r="T518" s="2" t="s">
        <v>2541</v>
      </c>
      <c r="U518" s="2" t="s">
        <v>278</v>
      </c>
      <c r="V518" s="2" t="s">
        <v>238</v>
      </c>
      <c r="W518" s="2" t="s">
        <v>682</v>
      </c>
      <c r="X518" s="2" t="s">
        <v>2542</v>
      </c>
      <c r="Y518" s="2" t="s">
        <v>2557</v>
      </c>
      <c r="Z518" s="4">
        <v>669</v>
      </c>
      <c r="AA518" s="4">
        <f>=ROUNDDOWN(167.25,0)</f>
      </c>
      <c r="AB518" s="5">
        <v>4</v>
      </c>
      <c r="AC518" s="2" t="s">
        <v>235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235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235</v>
      </c>
      <c r="AW518" s="8" t="s">
        <v>235</v>
      </c>
      <c r="AX518" s="4" t="s">
        <v>235</v>
      </c>
      <c r="AY518" s="8" t="s">
        <v>235</v>
      </c>
      <c r="AZ518" s="7" t="s">
        <v>235</v>
      </c>
      <c r="BA518" s="7" t="s">
        <v>235</v>
      </c>
      <c r="BB518" s="7"/>
      <c r="BC518" s="4" t="s">
        <v>235</v>
      </c>
      <c r="BD518" s="8" t="s">
        <v>235</v>
      </c>
      <c r="BE518" s="4" t="s">
        <v>235</v>
      </c>
      <c r="BF518" s="8" t="s">
        <v>235</v>
      </c>
      <c r="BG518" s="7" t="s">
        <v>235</v>
      </c>
      <c r="BH518" s="7" t="s">
        <v>235</v>
      </c>
      <c r="BI518" s="7"/>
      <c r="BJ518" s="4">
        <v>5</v>
      </c>
      <c r="BK518" s="8">
        <v>104.8</v>
      </c>
      <c r="BL518" s="2" t="s">
        <v>2563</v>
      </c>
      <c r="BM518" s="7"/>
      <c r="BN518" s="7"/>
      <c r="BO518" s="4"/>
      <c r="BP518" s="8"/>
      <c r="BQ518" s="4"/>
      <c r="BR518" s="8"/>
      <c r="BS518" s="7"/>
      <c r="BT518" s="7"/>
      <c r="BU518" s="2" t="s">
        <v>2544</v>
      </c>
      <c r="BV518" s="2" t="s">
        <v>867</v>
      </c>
      <c r="BW518" s="2" t="s">
        <v>235</v>
      </c>
      <c r="BX518" s="2" t="s">
        <v>244</v>
      </c>
      <c r="BY518" s="2" t="s">
        <v>245</v>
      </c>
      <c r="BZ518" s="2" t="s">
        <v>232</v>
      </c>
      <c r="CA518" s="2" t="s">
        <v>2559</v>
      </c>
      <c r="CB518" s="2" t="s">
        <v>2564</v>
      </c>
      <c r="CC518" s="2" t="s">
        <v>248</v>
      </c>
      <c r="CD518" s="2" t="s">
        <v>248</v>
      </c>
      <c r="CE518" s="2" t="s">
        <v>235</v>
      </c>
      <c r="CF518" s="4">
        <v>669</v>
      </c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>
        <v>669</v>
      </c>
      <c r="GE518" s="4">
        <v>665</v>
      </c>
      <c r="GF518" s="4">
        <v>661</v>
      </c>
      <c r="GG518" s="4">
        <v>657</v>
      </c>
      <c r="GH518" s="4">
        <v>653</v>
      </c>
      <c r="GI518" s="4">
        <v>649</v>
      </c>
      <c r="GJ518" s="4">
        <v>645</v>
      </c>
      <c r="GK518" s="4">
        <v>641</v>
      </c>
      <c r="GL518" s="4">
        <v>637</v>
      </c>
      <c r="GM518" s="4">
        <v>633</v>
      </c>
      <c r="GN518" s="4">
        <v>625</v>
      </c>
      <c r="GO518" s="4">
        <v>618</v>
      </c>
      <c r="GP518" s="4">
        <v>614</v>
      </c>
      <c r="GQ518" s="4">
        <v>600</v>
      </c>
      <c r="GR518" s="4">
        <v>590</v>
      </c>
      <c r="GS518" s="4">
        <v>583</v>
      </c>
      <c r="GT518" s="4">
        <v>577</v>
      </c>
      <c r="GU518" s="4">
        <v>567</v>
      </c>
      <c r="GV518" s="4">
        <v>556</v>
      </c>
      <c r="GW518" s="4">
        <v>549</v>
      </c>
      <c r="GX518" s="4">
        <v>539</v>
      </c>
      <c r="GY518" s="4">
        <v>534</v>
      </c>
      <c r="GZ518" s="4">
        <v>528</v>
      </c>
      <c r="HA518" s="4">
        <v>522</v>
      </c>
      <c r="HB518" s="4">
        <v>514</v>
      </c>
      <c r="HC518" s="4">
        <v>509</v>
      </c>
      <c r="HD518" s="19">
        <v>167.3</v>
      </c>
      <c r="HE518" s="19">
        <v>166.3</v>
      </c>
      <c r="HF518" s="19">
        <v>165.3</v>
      </c>
      <c r="HG518" s="19">
        <v>164.3</v>
      </c>
      <c r="HH518" s="19">
        <v>163.3</v>
      </c>
      <c r="HI518" s="19">
        <v>162.3</v>
      </c>
      <c r="HJ518" s="19">
        <v>129</v>
      </c>
      <c r="HK518" s="19">
        <v>106.8</v>
      </c>
      <c r="HL518" s="19">
        <v>106.2</v>
      </c>
      <c r="HM518" s="19">
        <v>79.1</v>
      </c>
      <c r="HN518" s="19">
        <v>69.4</v>
      </c>
      <c r="HO518" s="19">
        <v>68.7</v>
      </c>
      <c r="HP518" s="19">
        <v>68.2</v>
      </c>
      <c r="HQ518" s="19">
        <v>75</v>
      </c>
      <c r="HR518" s="19">
        <v>73.8</v>
      </c>
      <c r="HS518" s="19">
        <v>72.9</v>
      </c>
      <c r="HT518" s="19">
        <v>57.7</v>
      </c>
      <c r="HU518" s="19">
        <v>70.9</v>
      </c>
      <c r="HV518" s="19">
        <v>79.4</v>
      </c>
      <c r="HW518" s="19">
        <v>78.4</v>
      </c>
      <c r="HX518" s="19">
        <v>89.8</v>
      </c>
      <c r="HY518" s="19">
        <v>89</v>
      </c>
      <c r="HZ518" s="19">
        <v>88</v>
      </c>
      <c r="IA518" s="19">
        <v>87</v>
      </c>
      <c r="IB518" s="19">
        <v>102.8</v>
      </c>
      <c r="IC518" s="19">
        <v>101.8</v>
      </c>
    </row>
    <row r="519">
      <c r="A519" s="2" t="s">
        <v>2565</v>
      </c>
      <c r="B519" s="2" t="s">
        <v>852</v>
      </c>
      <c r="C519" s="2" t="s">
        <v>943</v>
      </c>
      <c r="D519" s="2" t="s">
        <v>854</v>
      </c>
      <c r="E519" s="2" t="s">
        <v>1005</v>
      </c>
      <c r="F519" s="2" t="s">
        <v>2535</v>
      </c>
      <c r="G519" s="2" t="s">
        <v>2536</v>
      </c>
      <c r="H519" s="2" t="s">
        <v>2537</v>
      </c>
      <c r="I519" s="2" t="s">
        <v>2538</v>
      </c>
      <c r="J519" s="2" t="s">
        <v>2548</v>
      </c>
      <c r="K519" s="2" t="s">
        <v>2561</v>
      </c>
      <c r="L519" s="3">
        <v>24.29</v>
      </c>
      <c r="M519" s="3">
        <v>25.5</v>
      </c>
      <c r="N519" s="3">
        <v>49.99</v>
      </c>
      <c r="O519" s="2" t="s">
        <v>232</v>
      </c>
      <c r="P519" s="2" t="s">
        <v>878</v>
      </c>
      <c r="Q519" s="2" t="s">
        <v>234</v>
      </c>
      <c r="R519" s="2" t="s">
        <v>235</v>
      </c>
      <c r="S519" s="2" t="s">
        <v>2562</v>
      </c>
      <c r="T519" s="2" t="s">
        <v>2541</v>
      </c>
      <c r="U519" s="2" t="s">
        <v>278</v>
      </c>
      <c r="V519" s="2" t="s">
        <v>238</v>
      </c>
      <c r="W519" s="2" t="s">
        <v>682</v>
      </c>
      <c r="X519" s="2" t="s">
        <v>2542</v>
      </c>
      <c r="Y519" s="2" t="s">
        <v>2557</v>
      </c>
      <c r="Z519" s="4">
        <v>564</v>
      </c>
      <c r="AA519" s="4">
        <f>=ROUNDDOWN(94,0)</f>
      </c>
      <c r="AB519" s="5">
        <v>6</v>
      </c>
      <c r="AC519" s="2" t="s">
        <v>235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235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235</v>
      </c>
      <c r="AW519" s="8" t="s">
        <v>235</v>
      </c>
      <c r="AX519" s="4" t="s">
        <v>235</v>
      </c>
      <c r="AY519" s="8" t="s">
        <v>235</v>
      </c>
      <c r="AZ519" s="7" t="s">
        <v>235</v>
      </c>
      <c r="BA519" s="7" t="s">
        <v>235</v>
      </c>
      <c r="BB519" s="7"/>
      <c r="BC519" s="4" t="s">
        <v>235</v>
      </c>
      <c r="BD519" s="8" t="s">
        <v>235</v>
      </c>
      <c r="BE519" s="4" t="s">
        <v>235</v>
      </c>
      <c r="BF519" s="8" t="s">
        <v>235</v>
      </c>
      <c r="BG519" s="7" t="s">
        <v>235</v>
      </c>
      <c r="BH519" s="7" t="s">
        <v>235</v>
      </c>
      <c r="BI519" s="7"/>
      <c r="BJ519" s="4">
        <v>7</v>
      </c>
      <c r="BK519" s="8">
        <v>299.86</v>
      </c>
      <c r="BL519" s="2" t="s">
        <v>2566</v>
      </c>
      <c r="BM519" s="7"/>
      <c r="BN519" s="7"/>
      <c r="BO519" s="4"/>
      <c r="BP519" s="8"/>
      <c r="BQ519" s="4"/>
      <c r="BR519" s="8"/>
      <c r="BS519" s="7"/>
      <c r="BT519" s="7"/>
      <c r="BU519" s="2" t="s">
        <v>2544</v>
      </c>
      <c r="BV519" s="2" t="s">
        <v>867</v>
      </c>
      <c r="BW519" s="2" t="s">
        <v>235</v>
      </c>
      <c r="BX519" s="2" t="s">
        <v>244</v>
      </c>
      <c r="BY519" s="2" t="s">
        <v>245</v>
      </c>
      <c r="BZ519" s="2" t="s">
        <v>232</v>
      </c>
      <c r="CA519" s="2" t="s">
        <v>2559</v>
      </c>
      <c r="CB519" s="2" t="s">
        <v>1656</v>
      </c>
      <c r="CC519" s="2" t="s">
        <v>248</v>
      </c>
      <c r="CD519" s="2" t="s">
        <v>248</v>
      </c>
      <c r="CE519" s="2" t="s">
        <v>235</v>
      </c>
      <c r="CF519" s="4">
        <v>564</v>
      </c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>
        <v>565</v>
      </c>
      <c r="GE519" s="4">
        <v>558</v>
      </c>
      <c r="GF519" s="4">
        <v>552</v>
      </c>
      <c r="GG519" s="4">
        <v>546</v>
      </c>
      <c r="GH519" s="4">
        <v>540</v>
      </c>
      <c r="GI519" s="4">
        <v>534</v>
      </c>
      <c r="GJ519" s="4">
        <v>528</v>
      </c>
      <c r="GK519" s="4">
        <v>522</v>
      </c>
      <c r="GL519" s="4">
        <v>516</v>
      </c>
      <c r="GM519" s="4">
        <v>510</v>
      </c>
      <c r="GN519" s="4">
        <v>498</v>
      </c>
      <c r="GO519" s="4">
        <v>487</v>
      </c>
      <c r="GP519" s="4">
        <v>480</v>
      </c>
      <c r="GQ519" s="4">
        <v>459</v>
      </c>
      <c r="GR519" s="4">
        <v>443</v>
      </c>
      <c r="GS519" s="4">
        <v>432</v>
      </c>
      <c r="GT519" s="4">
        <v>424</v>
      </c>
      <c r="GU519" s="4">
        <v>409</v>
      </c>
      <c r="GV519" s="4">
        <v>392</v>
      </c>
      <c r="GW519" s="4">
        <v>381</v>
      </c>
      <c r="GX519" s="4">
        <v>365</v>
      </c>
      <c r="GY519" s="4">
        <v>357</v>
      </c>
      <c r="GZ519" s="4">
        <v>347</v>
      </c>
      <c r="HA519" s="4">
        <v>339</v>
      </c>
      <c r="HB519" s="4">
        <v>328</v>
      </c>
      <c r="HC519" s="4">
        <v>321</v>
      </c>
      <c r="HD519" s="19">
        <v>94.2</v>
      </c>
      <c r="HE519" s="19">
        <v>93</v>
      </c>
      <c r="HF519" s="19">
        <v>92</v>
      </c>
      <c r="HG519" s="19">
        <v>91</v>
      </c>
      <c r="HH519" s="19">
        <v>90</v>
      </c>
      <c r="HI519" s="19">
        <v>89</v>
      </c>
      <c r="HJ519" s="19">
        <v>66</v>
      </c>
      <c r="HK519" s="19">
        <v>58</v>
      </c>
      <c r="HL519" s="19">
        <v>57.3</v>
      </c>
      <c r="HM519" s="19">
        <v>39.2</v>
      </c>
      <c r="HN519" s="19">
        <v>35.6</v>
      </c>
      <c r="HO519" s="19">
        <v>34.8</v>
      </c>
      <c r="HP519" s="19">
        <v>34.3</v>
      </c>
      <c r="HQ519" s="19">
        <v>38.3</v>
      </c>
      <c r="HR519" s="19">
        <v>34.1</v>
      </c>
      <c r="HS519" s="19">
        <v>33.2</v>
      </c>
      <c r="HT519" s="19">
        <v>28.3</v>
      </c>
      <c r="HU519" s="19">
        <v>31.5</v>
      </c>
      <c r="HV519" s="19">
        <v>35.6</v>
      </c>
      <c r="HW519" s="19">
        <v>38.1</v>
      </c>
      <c r="HX519" s="19">
        <v>40.6</v>
      </c>
      <c r="HY519" s="19">
        <v>39.7</v>
      </c>
      <c r="HZ519" s="19">
        <v>38.6</v>
      </c>
      <c r="IA519" s="19">
        <v>42.4</v>
      </c>
      <c r="IB519" s="19">
        <v>41</v>
      </c>
      <c r="IC519" s="19">
        <v>45.9</v>
      </c>
    </row>
    <row r="520">
      <c r="A520" s="2" t="s">
        <v>2567</v>
      </c>
      <c r="B520" s="2" t="s">
        <v>1071</v>
      </c>
      <c r="C520" s="2" t="s">
        <v>324</v>
      </c>
      <c r="D520" s="2" t="s">
        <v>1086</v>
      </c>
      <c r="E520" s="2" t="s">
        <v>1868</v>
      </c>
      <c r="F520" s="2" t="s">
        <v>2568</v>
      </c>
      <c r="G520" s="2" t="s">
        <v>2167</v>
      </c>
      <c r="H520" s="2" t="s">
        <v>2569</v>
      </c>
      <c r="I520" s="2" t="s">
        <v>2570</v>
      </c>
      <c r="J520" s="2" t="s">
        <v>806</v>
      </c>
      <c r="K520" s="2" t="s">
        <v>231</v>
      </c>
      <c r="L520" s="3">
        <v>180.5</v>
      </c>
      <c r="M520" s="3">
        <v>189.52</v>
      </c>
      <c r="N520" s="3">
        <v>379</v>
      </c>
      <c r="O520" s="2" t="s">
        <v>407</v>
      </c>
      <c r="P520" s="2" t="s">
        <v>408</v>
      </c>
      <c r="Q520" s="2" t="s">
        <v>234</v>
      </c>
      <c r="R520" s="2" t="s">
        <v>235</v>
      </c>
      <c r="S520" s="2" t="s">
        <v>2571</v>
      </c>
      <c r="T520" s="2" t="s">
        <v>235</v>
      </c>
      <c r="U520" s="2" t="s">
        <v>235</v>
      </c>
      <c r="V520" s="2" t="s">
        <v>238</v>
      </c>
      <c r="W520" s="2" t="s">
        <v>1157</v>
      </c>
      <c r="X520" s="2" t="s">
        <v>235</v>
      </c>
      <c r="Y520" s="2" t="s">
        <v>240</v>
      </c>
      <c r="Z520" s="4"/>
      <c r="AA520" s="4">
        <f>=ROUNDDOWN({0},0)</f>
      </c>
      <c r="AB520" s="5">
        <v>4.7</v>
      </c>
      <c r="AC520" s="2" t="s">
        <v>235</v>
      </c>
      <c r="AD520" s="4"/>
      <c r="AE520" s="4"/>
      <c r="AF520" s="6">
        <v>74</v>
      </c>
      <c r="AG520" s="6">
        <v>60</v>
      </c>
      <c r="AH520" s="7">
        <v>0.3871</v>
      </c>
      <c r="AI520" s="4"/>
      <c r="AJ520" s="4">
        <f>=ROUNDDOWN({0},0)</f>
      </c>
      <c r="AK520" s="5"/>
      <c r="AL520" s="2" t="s">
        <v>235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>
        <v>29</v>
      </c>
      <c r="BK520" s="8">
        <v>4973.33</v>
      </c>
      <c r="BL520" s="2" t="s">
        <v>2572</v>
      </c>
      <c r="BM520" s="7"/>
      <c r="BN520" s="7"/>
      <c r="BO520" s="4"/>
      <c r="BP520" s="8"/>
      <c r="BQ520" s="4"/>
      <c r="BR520" s="8"/>
      <c r="BS520" s="7"/>
      <c r="BT520" s="7"/>
      <c r="BU520" s="2" t="s">
        <v>2573</v>
      </c>
      <c r="BV520" s="2" t="s">
        <v>1424</v>
      </c>
      <c r="BW520" s="2" t="s">
        <v>235</v>
      </c>
      <c r="BX520" s="2" t="s">
        <v>414</v>
      </c>
      <c r="BY520" s="2" t="s">
        <v>245</v>
      </c>
      <c r="BZ520" s="2" t="s">
        <v>232</v>
      </c>
      <c r="CA520" s="2" t="s">
        <v>252</v>
      </c>
      <c r="CB520" s="2" t="s">
        <v>2045</v>
      </c>
      <c r="CC520" s="2" t="s">
        <v>248</v>
      </c>
      <c r="CD520" s="2" t="s">
        <v>248</v>
      </c>
      <c r="CE520" s="2" t="s">
        <v>235</v>
      </c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>
        <v>55</v>
      </c>
      <c r="GE520" s="4">
        <v>36</v>
      </c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19">
        <v>1.3</v>
      </c>
      <c r="HE520" s="19">
        <v>1.1</v>
      </c>
      <c r="HF520" s="20">
        <v>0</v>
      </c>
      <c r="HG520" s="20">
        <v>0</v>
      </c>
      <c r="HH520" s="20">
        <v>0</v>
      </c>
      <c r="HI520" s="20">
        <v>0</v>
      </c>
      <c r="HJ520" s="20">
        <v>0</v>
      </c>
      <c r="HK520" s="20">
        <v>0</v>
      </c>
      <c r="HL520" s="20">
        <v>0</v>
      </c>
      <c r="HM520" s="20">
        <v>0</v>
      </c>
      <c r="HN520" s="20">
        <v>0</v>
      </c>
      <c r="HO520" s="20">
        <v>0</v>
      </c>
      <c r="HP520" s="20">
        <v>0</v>
      </c>
      <c r="HQ520" s="20">
        <v>0</v>
      </c>
      <c r="HR520" s="20">
        <v>0</v>
      </c>
      <c r="HS520" s="20">
        <v>0</v>
      </c>
      <c r="HT520" s="20">
        <v>0</v>
      </c>
      <c r="HU520" s="20">
        <v>0</v>
      </c>
      <c r="HV520" s="20">
        <v>0</v>
      </c>
      <c r="HW520" s="20">
        <v>0</v>
      </c>
      <c r="HX520" s="20">
        <v>0</v>
      </c>
      <c r="HY520" s="20">
        <v>0</v>
      </c>
      <c r="HZ520" s="20">
        <v>0</v>
      </c>
      <c r="IA520" s="20">
        <v>0</v>
      </c>
      <c r="IB520" s="20">
        <v>0</v>
      </c>
      <c r="IC520" s="20">
        <v>0</v>
      </c>
    </row>
    <row r="521">
      <c r="A521" s="2" t="s">
        <v>2574</v>
      </c>
      <c r="B521" s="2" t="s">
        <v>323</v>
      </c>
      <c r="C521" s="2" t="s">
        <v>923</v>
      </c>
      <c r="D521" s="2" t="s">
        <v>257</v>
      </c>
      <c r="E521" s="2" t="s">
        <v>258</v>
      </c>
      <c r="F521" s="2" t="s">
        <v>2575</v>
      </c>
      <c r="G521" s="2" t="s">
        <v>2575</v>
      </c>
      <c r="H521" s="2" t="s">
        <v>2575</v>
      </c>
      <c r="I521" s="2" t="s">
        <v>2576</v>
      </c>
      <c r="J521" s="2" t="s">
        <v>394</v>
      </c>
      <c r="K521" s="2" t="s">
        <v>378</v>
      </c>
      <c r="L521" s="3">
        <v>21</v>
      </c>
      <c r="M521" s="3">
        <v>22.05</v>
      </c>
      <c r="N521" s="3">
        <v>44.99</v>
      </c>
      <c r="O521" s="2" t="s">
        <v>407</v>
      </c>
      <c r="P521" s="2" t="s">
        <v>408</v>
      </c>
      <c r="Q521" s="2" t="s">
        <v>234</v>
      </c>
      <c r="R521" s="2" t="s">
        <v>235</v>
      </c>
      <c r="S521" s="2" t="s">
        <v>2577</v>
      </c>
      <c r="T521" s="2" t="s">
        <v>2578</v>
      </c>
      <c r="U521" s="2" t="s">
        <v>552</v>
      </c>
      <c r="V521" s="2" t="s">
        <v>238</v>
      </c>
      <c r="W521" s="2" t="s">
        <v>239</v>
      </c>
      <c r="X521" s="2" t="s">
        <v>235</v>
      </c>
      <c r="Y521" s="2" t="s">
        <v>423</v>
      </c>
      <c r="Z521" s="4">
        <v>32</v>
      </c>
      <c r="AA521" s="4">
        <f>=ROUNDDOWN(16,0)</f>
      </c>
      <c r="AB521" s="5">
        <v>2</v>
      </c>
      <c r="AC521" s="2" t="s">
        <v>235</v>
      </c>
      <c r="AD521" s="4"/>
      <c r="AE521" s="4"/>
      <c r="AF521" s="6">
        <v>67</v>
      </c>
      <c r="AG521" s="6"/>
      <c r="AH521" s="7">
        <v>1</v>
      </c>
      <c r="AI521" s="4"/>
      <c r="AJ521" s="4">
        <f>=ROUNDDOWN({0},0)</f>
      </c>
      <c r="AK521" s="5"/>
      <c r="AL521" s="2" t="s">
        <v>235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235</v>
      </c>
      <c r="AW521" s="8" t="s">
        <v>235</v>
      </c>
      <c r="AX521" s="4" t="s">
        <v>235</v>
      </c>
      <c r="AY521" s="8" t="s">
        <v>235</v>
      </c>
      <c r="AZ521" s="7" t="s">
        <v>235</v>
      </c>
      <c r="BA521" s="7" t="s">
        <v>235</v>
      </c>
      <c r="BB521" s="7"/>
      <c r="BC521" s="4" t="s">
        <v>235</v>
      </c>
      <c r="BD521" s="8" t="s">
        <v>235</v>
      </c>
      <c r="BE521" s="4" t="s">
        <v>235</v>
      </c>
      <c r="BF521" s="8" t="s">
        <v>235</v>
      </c>
      <c r="BG521" s="7" t="s">
        <v>235</v>
      </c>
      <c r="BH521" s="7" t="s">
        <v>235</v>
      </c>
      <c r="BI521" s="7"/>
      <c r="BJ521" s="4">
        <v>2</v>
      </c>
      <c r="BK521" s="8">
        <v>46.3</v>
      </c>
      <c r="BL521" s="2" t="s">
        <v>2579</v>
      </c>
      <c r="BM521" s="7"/>
      <c r="BN521" s="7"/>
      <c r="BO521" s="4"/>
      <c r="BP521" s="8"/>
      <c r="BQ521" s="4"/>
      <c r="BR521" s="8"/>
      <c r="BS521" s="7"/>
      <c r="BT521" s="7"/>
      <c r="BU521" s="2" t="s">
        <v>2580</v>
      </c>
      <c r="BV521" s="2" t="s">
        <v>243</v>
      </c>
      <c r="BW521" s="2" t="s">
        <v>235</v>
      </c>
      <c r="BX521" s="2" t="s">
        <v>414</v>
      </c>
      <c r="BY521" s="2" t="s">
        <v>245</v>
      </c>
      <c r="BZ521" s="2" t="s">
        <v>232</v>
      </c>
      <c r="CA521" s="2" t="s">
        <v>415</v>
      </c>
      <c r="CB521" s="2" t="s">
        <v>2105</v>
      </c>
      <c r="CC521" s="2" t="s">
        <v>248</v>
      </c>
      <c r="CD521" s="2" t="s">
        <v>248</v>
      </c>
      <c r="CE521" s="2" t="s">
        <v>235</v>
      </c>
      <c r="CF521" s="4">
        <v>32</v>
      </c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>
        <v>32</v>
      </c>
      <c r="GE521" s="4">
        <v>30</v>
      </c>
      <c r="GF521" s="4">
        <v>28</v>
      </c>
      <c r="GG521" s="4">
        <v>26</v>
      </c>
      <c r="GH521" s="4">
        <v>24</v>
      </c>
      <c r="GI521" s="4">
        <v>22</v>
      </c>
      <c r="GJ521" s="4">
        <v>20</v>
      </c>
      <c r="GK521" s="4">
        <v>18</v>
      </c>
      <c r="GL521" s="4">
        <v>16</v>
      </c>
      <c r="GM521" s="4">
        <v>14</v>
      </c>
      <c r="GN521" s="4">
        <v>12</v>
      </c>
      <c r="GO521" s="4">
        <v>10</v>
      </c>
      <c r="GP521" s="4">
        <v>7</v>
      </c>
      <c r="GQ521" s="4">
        <v>1</v>
      </c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19">
        <v>16</v>
      </c>
      <c r="HE521" s="19">
        <v>15</v>
      </c>
      <c r="HF521" s="19">
        <v>14</v>
      </c>
      <c r="HG521" s="19">
        <v>13</v>
      </c>
      <c r="HH521" s="19">
        <v>12</v>
      </c>
      <c r="HI521" s="19">
        <v>11</v>
      </c>
      <c r="HJ521" s="19">
        <v>10</v>
      </c>
      <c r="HK521" s="19">
        <v>9</v>
      </c>
      <c r="HL521" s="19">
        <v>8</v>
      </c>
      <c r="HM521" s="19">
        <v>4.7</v>
      </c>
      <c r="HN521" s="19">
        <v>3</v>
      </c>
      <c r="HO521" s="19">
        <v>2</v>
      </c>
      <c r="HP521" s="19">
        <v>1.8</v>
      </c>
      <c r="HQ521" s="19">
        <v>0.3</v>
      </c>
      <c r="HR521" s="20">
        <v>0</v>
      </c>
      <c r="HS521" s="20">
        <v>0</v>
      </c>
      <c r="HT521" s="20">
        <v>0</v>
      </c>
      <c r="HU521" s="20">
        <v>0</v>
      </c>
      <c r="HV521" s="20">
        <v>0</v>
      </c>
      <c r="HW521" s="20">
        <v>0</v>
      </c>
      <c r="HX521" s="20">
        <v>0</v>
      </c>
      <c r="HY521" s="20">
        <v>0</v>
      </c>
      <c r="HZ521" s="20">
        <v>0</v>
      </c>
      <c r="IA521" s="20">
        <v>0</v>
      </c>
      <c r="IB521" s="20">
        <v>0</v>
      </c>
      <c r="IC521" s="20">
        <v>0</v>
      </c>
    </row>
    <row r="522">
      <c r="A522" s="2" t="s">
        <v>2581</v>
      </c>
      <c r="B522" s="2" t="s">
        <v>224</v>
      </c>
      <c r="C522" s="2" t="s">
        <v>923</v>
      </c>
      <c r="D522" s="2" t="s">
        <v>361</v>
      </c>
      <c r="E522" s="2" t="s">
        <v>362</v>
      </c>
      <c r="F522" s="2" t="s">
        <v>2575</v>
      </c>
      <c r="G522" s="2" t="s">
        <v>2575</v>
      </c>
      <c r="H522" s="2" t="s">
        <v>2575</v>
      </c>
      <c r="I522" s="2" t="s">
        <v>2582</v>
      </c>
      <c r="J522" s="2" t="s">
        <v>877</v>
      </c>
      <c r="K522" s="2" t="s">
        <v>378</v>
      </c>
      <c r="L522" s="3">
        <v>24.12</v>
      </c>
      <c r="M522" s="3">
        <v>25.33</v>
      </c>
      <c r="N522" s="3">
        <v>54.99</v>
      </c>
      <c r="O522" s="2" t="s">
        <v>232</v>
      </c>
      <c r="P522" s="2" t="s">
        <v>233</v>
      </c>
      <c r="Q522" s="2" t="s">
        <v>234</v>
      </c>
      <c r="R522" s="2" t="s">
        <v>235</v>
      </c>
      <c r="S522" s="2" t="s">
        <v>2583</v>
      </c>
      <c r="T522" s="2" t="s">
        <v>2578</v>
      </c>
      <c r="U522" s="2" t="s">
        <v>807</v>
      </c>
      <c r="V522" s="2" t="s">
        <v>238</v>
      </c>
      <c r="W522" s="2" t="s">
        <v>239</v>
      </c>
      <c r="X522" s="2" t="s">
        <v>235</v>
      </c>
      <c r="Y522" s="2" t="s">
        <v>2584</v>
      </c>
      <c r="Z522" s="4">
        <v>246</v>
      </c>
      <c r="AA522" s="4">
        <f>=ROUNDDOWN(41,0)</f>
      </c>
      <c r="AB522" s="5">
        <v>6</v>
      </c>
      <c r="AC522" s="2" t="s">
        <v>203</v>
      </c>
      <c r="AD522" s="4">
        <v>70</v>
      </c>
      <c r="AE522" s="4">
        <v>70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235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235</v>
      </c>
      <c r="AW522" s="8" t="s">
        <v>235</v>
      </c>
      <c r="AX522" s="4" t="s">
        <v>235</v>
      </c>
      <c r="AY522" s="8" t="s">
        <v>235</v>
      </c>
      <c r="AZ522" s="7" t="s">
        <v>235</v>
      </c>
      <c r="BA522" s="7" t="s">
        <v>235</v>
      </c>
      <c r="BB522" s="7"/>
      <c r="BC522" s="4" t="s">
        <v>235</v>
      </c>
      <c r="BD522" s="8" t="s">
        <v>235</v>
      </c>
      <c r="BE522" s="4" t="s">
        <v>235</v>
      </c>
      <c r="BF522" s="8" t="s">
        <v>235</v>
      </c>
      <c r="BG522" s="7" t="s">
        <v>235</v>
      </c>
      <c r="BH522" s="7" t="s">
        <v>235</v>
      </c>
      <c r="BI522" s="7"/>
      <c r="BJ522" s="4">
        <v>24</v>
      </c>
      <c r="BK522" s="8">
        <v>643.95</v>
      </c>
      <c r="BL522" s="2" t="s">
        <v>2585</v>
      </c>
      <c r="BM522" s="7"/>
      <c r="BN522" s="7"/>
      <c r="BO522" s="4"/>
      <c r="BP522" s="8"/>
      <c r="BQ522" s="4"/>
      <c r="BR522" s="8"/>
      <c r="BS522" s="7"/>
      <c r="BT522" s="7"/>
      <c r="BU522" s="2" t="s">
        <v>2586</v>
      </c>
      <c r="BV522" s="2" t="s">
        <v>243</v>
      </c>
      <c r="BW522" s="2" t="s">
        <v>235</v>
      </c>
      <c r="BX522" s="2" t="s">
        <v>244</v>
      </c>
      <c r="BY522" s="2" t="s">
        <v>245</v>
      </c>
      <c r="BZ522" s="2" t="s">
        <v>232</v>
      </c>
      <c r="CA522" s="2" t="s">
        <v>2587</v>
      </c>
      <c r="CB522" s="2" t="s">
        <v>839</v>
      </c>
      <c r="CC522" s="2" t="s">
        <v>248</v>
      </c>
      <c r="CD522" s="2" t="s">
        <v>248</v>
      </c>
      <c r="CE522" s="2" t="s">
        <v>235</v>
      </c>
      <c r="CF522" s="4">
        <v>246</v>
      </c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>
        <v>70</v>
      </c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>
        <v>248</v>
      </c>
      <c r="GE522" s="4">
        <v>242</v>
      </c>
      <c r="GF522" s="4">
        <v>237</v>
      </c>
      <c r="GG522" s="4">
        <v>230</v>
      </c>
      <c r="GH522" s="4">
        <v>222</v>
      </c>
      <c r="GI522" s="4">
        <v>212</v>
      </c>
      <c r="GJ522" s="4">
        <v>200</v>
      </c>
      <c r="GK522" s="4">
        <v>190</v>
      </c>
      <c r="GL522" s="4">
        <v>180</v>
      </c>
      <c r="GM522" s="4">
        <v>171</v>
      </c>
      <c r="GN522" s="4">
        <v>161</v>
      </c>
      <c r="GO522" s="4">
        <v>146</v>
      </c>
      <c r="GP522" s="4">
        <v>132</v>
      </c>
      <c r="GQ522" s="4">
        <v>104</v>
      </c>
      <c r="GR522" s="4">
        <v>89</v>
      </c>
      <c r="GS522" s="4">
        <v>145</v>
      </c>
      <c r="GT522" s="4">
        <v>135</v>
      </c>
      <c r="GU522" s="4">
        <v>129</v>
      </c>
      <c r="GV522" s="4">
        <v>124</v>
      </c>
      <c r="GW522" s="4">
        <v>120</v>
      </c>
      <c r="GX522" s="4">
        <v>116</v>
      </c>
      <c r="GY522" s="4">
        <v>112</v>
      </c>
      <c r="GZ522" s="4">
        <v>108</v>
      </c>
      <c r="HA522" s="4">
        <v>102</v>
      </c>
      <c r="HB522" s="4">
        <v>96</v>
      </c>
      <c r="HC522" s="4">
        <v>90</v>
      </c>
      <c r="HD522" s="19">
        <v>41.3</v>
      </c>
      <c r="HE522" s="19">
        <v>30.3</v>
      </c>
      <c r="HF522" s="19">
        <v>26.3</v>
      </c>
      <c r="HG522" s="19">
        <v>23</v>
      </c>
      <c r="HH522" s="19">
        <v>22.2</v>
      </c>
      <c r="HI522" s="19">
        <v>21.2</v>
      </c>
      <c r="HJ522" s="19">
        <v>20</v>
      </c>
      <c r="HK522" s="19">
        <v>17.3</v>
      </c>
      <c r="HL522" s="19">
        <v>15</v>
      </c>
      <c r="HM522" s="19">
        <v>10.1</v>
      </c>
      <c r="HN522" s="19">
        <v>8.9</v>
      </c>
      <c r="HO522" s="19">
        <v>8.1</v>
      </c>
      <c r="HP522" s="19">
        <v>7.8</v>
      </c>
      <c r="HQ522" s="19">
        <v>9.5</v>
      </c>
      <c r="HR522" s="19">
        <v>9.9</v>
      </c>
      <c r="HS522" s="19">
        <v>24.2</v>
      </c>
      <c r="HT522" s="19">
        <v>27</v>
      </c>
      <c r="HU522" s="19">
        <v>32.3</v>
      </c>
      <c r="HV522" s="19">
        <v>31</v>
      </c>
      <c r="HW522" s="19">
        <v>30</v>
      </c>
      <c r="HX522" s="19">
        <v>23.2</v>
      </c>
      <c r="HY522" s="19">
        <v>18.7</v>
      </c>
      <c r="HZ522" s="19">
        <v>18</v>
      </c>
      <c r="IA522" s="19">
        <v>17</v>
      </c>
      <c r="IB522" s="19">
        <v>13.7</v>
      </c>
      <c r="IC522" s="19">
        <v>11.3</v>
      </c>
    </row>
    <row r="523">
      <c r="A523" s="2" t="s">
        <v>2588</v>
      </c>
      <c r="B523" s="2" t="s">
        <v>323</v>
      </c>
      <c r="C523" s="2" t="s">
        <v>923</v>
      </c>
      <c r="D523" s="2" t="s">
        <v>257</v>
      </c>
      <c r="E523" s="2" t="s">
        <v>258</v>
      </c>
      <c r="F523" s="2" t="s">
        <v>2575</v>
      </c>
      <c r="G523" s="2" t="s">
        <v>2575</v>
      </c>
      <c r="H523" s="2" t="s">
        <v>2575</v>
      </c>
      <c r="I523" s="2" t="s">
        <v>2576</v>
      </c>
      <c r="J523" s="2" t="s">
        <v>250</v>
      </c>
      <c r="K523" s="2" t="s">
        <v>378</v>
      </c>
      <c r="L523" s="3">
        <v>25.5</v>
      </c>
      <c r="M523" s="3">
        <v>26.78</v>
      </c>
      <c r="N523" s="3">
        <v>54.99</v>
      </c>
      <c r="O523" s="2" t="s">
        <v>407</v>
      </c>
      <c r="P523" s="2" t="s">
        <v>408</v>
      </c>
      <c r="Q523" s="2" t="s">
        <v>234</v>
      </c>
      <c r="R523" s="2" t="s">
        <v>235</v>
      </c>
      <c r="S523" s="2" t="s">
        <v>2577</v>
      </c>
      <c r="T523" s="2" t="s">
        <v>2578</v>
      </c>
      <c r="U523" s="2" t="s">
        <v>264</v>
      </c>
      <c r="V523" s="2" t="s">
        <v>238</v>
      </c>
      <c r="W523" s="2" t="s">
        <v>239</v>
      </c>
      <c r="X523" s="2" t="s">
        <v>235</v>
      </c>
      <c r="Y523" s="2" t="s">
        <v>423</v>
      </c>
      <c r="Z523" s="4">
        <v>14</v>
      </c>
      <c r="AA523" s="4">
        <f>=ROUNDDOWN(7,0)</f>
      </c>
      <c r="AB523" s="5">
        <v>2</v>
      </c>
      <c r="AC523" s="2" t="s">
        <v>235</v>
      </c>
      <c r="AD523" s="4"/>
      <c r="AE523" s="4"/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235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235</v>
      </c>
      <c r="AW523" s="8" t="s">
        <v>235</v>
      </c>
      <c r="AX523" s="4" t="s">
        <v>235</v>
      </c>
      <c r="AY523" s="8" t="s">
        <v>235</v>
      </c>
      <c r="AZ523" s="7" t="s">
        <v>235</v>
      </c>
      <c r="BA523" s="7" t="s">
        <v>235</v>
      </c>
      <c r="BB523" s="7"/>
      <c r="BC523" s="4" t="s">
        <v>235</v>
      </c>
      <c r="BD523" s="8" t="s">
        <v>235</v>
      </c>
      <c r="BE523" s="4" t="s">
        <v>235</v>
      </c>
      <c r="BF523" s="8" t="s">
        <v>235</v>
      </c>
      <c r="BG523" s="7" t="s">
        <v>235</v>
      </c>
      <c r="BH523" s="7" t="s">
        <v>235</v>
      </c>
      <c r="BI523" s="7"/>
      <c r="BJ523" s="4">
        <v>4</v>
      </c>
      <c r="BK523" s="8">
        <v>91.74</v>
      </c>
      <c r="BL523" s="2" t="s">
        <v>2589</v>
      </c>
      <c r="BM523" s="7"/>
      <c r="BN523" s="7"/>
      <c r="BO523" s="4"/>
      <c r="BP523" s="8"/>
      <c r="BQ523" s="4"/>
      <c r="BR523" s="8"/>
      <c r="BS523" s="7"/>
      <c r="BT523" s="7"/>
      <c r="BU523" s="2" t="s">
        <v>2580</v>
      </c>
      <c r="BV523" s="2" t="s">
        <v>243</v>
      </c>
      <c r="BW523" s="2" t="s">
        <v>235</v>
      </c>
      <c r="BX523" s="2" t="s">
        <v>414</v>
      </c>
      <c r="BY523" s="2" t="s">
        <v>245</v>
      </c>
      <c r="BZ523" s="2" t="s">
        <v>232</v>
      </c>
      <c r="CA523" s="2" t="s">
        <v>415</v>
      </c>
      <c r="CB523" s="2" t="s">
        <v>795</v>
      </c>
      <c r="CC523" s="2" t="s">
        <v>248</v>
      </c>
      <c r="CD523" s="2" t="s">
        <v>248</v>
      </c>
      <c r="CE523" s="2" t="s">
        <v>235</v>
      </c>
      <c r="CF523" s="4">
        <v>14</v>
      </c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>
        <v>15</v>
      </c>
      <c r="GE523" s="4">
        <v>13</v>
      </c>
      <c r="GF523" s="4">
        <v>11</v>
      </c>
      <c r="GG523" s="4">
        <v>9</v>
      </c>
      <c r="GH523" s="4">
        <v>7</v>
      </c>
      <c r="GI523" s="4">
        <v>5</v>
      </c>
      <c r="GJ523" s="4">
        <v>3</v>
      </c>
      <c r="GK523" s="4">
        <v>1</v>
      </c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19">
        <v>7.5</v>
      </c>
      <c r="HE523" s="19">
        <v>6.5</v>
      </c>
      <c r="HF523" s="19">
        <v>5.5</v>
      </c>
      <c r="HG523" s="19">
        <v>4.5</v>
      </c>
      <c r="HH523" s="19">
        <v>3.5</v>
      </c>
      <c r="HI523" s="19">
        <v>2.5</v>
      </c>
      <c r="HJ523" s="19">
        <v>1.5</v>
      </c>
      <c r="HK523" s="19">
        <v>0.5</v>
      </c>
      <c r="HL523" s="20">
        <v>0</v>
      </c>
      <c r="HM523" s="20">
        <v>0</v>
      </c>
      <c r="HN523" s="20">
        <v>0</v>
      </c>
      <c r="HO523" s="20">
        <v>0</v>
      </c>
      <c r="HP523" s="20">
        <v>0</v>
      </c>
      <c r="HQ523" s="20">
        <v>0</v>
      </c>
      <c r="HR523" s="20">
        <v>0</v>
      </c>
      <c r="HS523" s="20">
        <v>0</v>
      </c>
      <c r="HT523" s="20">
        <v>0</v>
      </c>
      <c r="HU523" s="20">
        <v>0</v>
      </c>
      <c r="HV523" s="20">
        <v>0</v>
      </c>
      <c r="HW523" s="20">
        <v>0</v>
      </c>
      <c r="HX523" s="20">
        <v>0</v>
      </c>
      <c r="HY523" s="20">
        <v>0</v>
      </c>
      <c r="HZ523" s="20">
        <v>0</v>
      </c>
      <c r="IA523" s="20">
        <v>0</v>
      </c>
      <c r="IB523" s="20">
        <v>0</v>
      </c>
      <c r="IC523" s="20">
        <v>0</v>
      </c>
    </row>
    <row r="524">
      <c r="A524" s="2" t="s">
        <v>2590</v>
      </c>
      <c r="B524" s="2" t="s">
        <v>224</v>
      </c>
      <c r="C524" s="2" t="s">
        <v>923</v>
      </c>
      <c r="D524" s="2" t="s">
        <v>361</v>
      </c>
      <c r="E524" s="2" t="s">
        <v>362</v>
      </c>
      <c r="F524" s="2" t="s">
        <v>2575</v>
      </c>
      <c r="G524" s="2" t="s">
        <v>2575</v>
      </c>
      <c r="H524" s="2" t="s">
        <v>2575</v>
      </c>
      <c r="I524" s="2" t="s">
        <v>2582</v>
      </c>
      <c r="J524" s="2" t="s">
        <v>372</v>
      </c>
      <c r="K524" s="2" t="s">
        <v>378</v>
      </c>
      <c r="L524" s="3">
        <v>32.45</v>
      </c>
      <c r="M524" s="3">
        <v>34.07</v>
      </c>
      <c r="N524" s="3">
        <v>69.99</v>
      </c>
      <c r="O524" s="2" t="s">
        <v>232</v>
      </c>
      <c r="P524" s="2" t="s">
        <v>233</v>
      </c>
      <c r="Q524" s="2" t="s">
        <v>234</v>
      </c>
      <c r="R524" s="2" t="s">
        <v>235</v>
      </c>
      <c r="S524" s="2" t="s">
        <v>2583</v>
      </c>
      <c r="T524" s="2" t="s">
        <v>2578</v>
      </c>
      <c r="U524" s="2" t="s">
        <v>807</v>
      </c>
      <c r="V524" s="2" t="s">
        <v>238</v>
      </c>
      <c r="W524" s="2" t="s">
        <v>239</v>
      </c>
      <c r="X524" s="2" t="s">
        <v>235</v>
      </c>
      <c r="Y524" s="2" t="s">
        <v>2591</v>
      </c>
      <c r="Z524" s="4">
        <v>226</v>
      </c>
      <c r="AA524" s="4">
        <f>=ROUNDDOWN(37.6666666666667,0)</f>
      </c>
      <c r="AB524" s="5">
        <v>6</v>
      </c>
      <c r="AC524" s="2" t="s">
        <v>203</v>
      </c>
      <c r="AD524" s="4">
        <v>60</v>
      </c>
      <c r="AE524" s="4">
        <v>60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235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235</v>
      </c>
      <c r="AW524" s="8" t="s">
        <v>235</v>
      </c>
      <c r="AX524" s="4" t="s">
        <v>235</v>
      </c>
      <c r="AY524" s="8" t="s">
        <v>235</v>
      </c>
      <c r="AZ524" s="7" t="s">
        <v>235</v>
      </c>
      <c r="BA524" s="7" t="s">
        <v>235</v>
      </c>
      <c r="BB524" s="7"/>
      <c r="BC524" s="4" t="s">
        <v>235</v>
      </c>
      <c r="BD524" s="8" t="s">
        <v>235</v>
      </c>
      <c r="BE524" s="4" t="s">
        <v>235</v>
      </c>
      <c r="BF524" s="8" t="s">
        <v>235</v>
      </c>
      <c r="BG524" s="7" t="s">
        <v>235</v>
      </c>
      <c r="BH524" s="7" t="s">
        <v>235</v>
      </c>
      <c r="BI524" s="7"/>
      <c r="BJ524" s="4">
        <v>29</v>
      </c>
      <c r="BK524" s="8">
        <v>1074.24</v>
      </c>
      <c r="BL524" s="2" t="s">
        <v>2592</v>
      </c>
      <c r="BM524" s="7"/>
      <c r="BN524" s="7"/>
      <c r="BO524" s="4"/>
      <c r="BP524" s="8"/>
      <c r="BQ524" s="4"/>
      <c r="BR524" s="8"/>
      <c r="BS524" s="7"/>
      <c r="BT524" s="7"/>
      <c r="BU524" s="2" t="s">
        <v>2586</v>
      </c>
      <c r="BV524" s="2" t="s">
        <v>243</v>
      </c>
      <c r="BW524" s="2" t="s">
        <v>235</v>
      </c>
      <c r="BX524" s="2" t="s">
        <v>244</v>
      </c>
      <c r="BY524" s="2" t="s">
        <v>245</v>
      </c>
      <c r="BZ524" s="2" t="s">
        <v>232</v>
      </c>
      <c r="CA524" s="2" t="s">
        <v>2587</v>
      </c>
      <c r="CB524" s="2" t="s">
        <v>2593</v>
      </c>
      <c r="CC524" s="2" t="s">
        <v>248</v>
      </c>
      <c r="CD524" s="2" t="s">
        <v>248</v>
      </c>
      <c r="CE524" s="2" t="s">
        <v>235</v>
      </c>
      <c r="CF524" s="4">
        <v>226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>
        <v>60</v>
      </c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>
        <v>228</v>
      </c>
      <c r="GE524" s="4">
        <v>207</v>
      </c>
      <c r="GF524" s="4">
        <v>201</v>
      </c>
      <c r="GG524" s="4">
        <v>194</v>
      </c>
      <c r="GH524" s="4">
        <v>185</v>
      </c>
      <c r="GI524" s="4">
        <v>176</v>
      </c>
      <c r="GJ524" s="4">
        <v>161</v>
      </c>
      <c r="GK524" s="4">
        <v>153</v>
      </c>
      <c r="GL524" s="4">
        <v>145</v>
      </c>
      <c r="GM524" s="4">
        <v>138</v>
      </c>
      <c r="GN524" s="4">
        <v>130</v>
      </c>
      <c r="GO524" s="4">
        <v>117</v>
      </c>
      <c r="GP524" s="4">
        <v>106</v>
      </c>
      <c r="GQ524" s="4">
        <v>84</v>
      </c>
      <c r="GR524" s="4">
        <v>74</v>
      </c>
      <c r="GS524" s="4">
        <v>125</v>
      </c>
      <c r="GT524" s="4">
        <v>118</v>
      </c>
      <c r="GU524" s="4">
        <v>113</v>
      </c>
      <c r="GV524" s="4">
        <v>107</v>
      </c>
      <c r="GW524" s="4">
        <v>103</v>
      </c>
      <c r="GX524" s="4">
        <v>98</v>
      </c>
      <c r="GY524" s="4">
        <v>93</v>
      </c>
      <c r="GZ524" s="4">
        <v>88</v>
      </c>
      <c r="HA524" s="4">
        <v>81</v>
      </c>
      <c r="HB524" s="4">
        <v>74</v>
      </c>
      <c r="HC524" s="4">
        <v>66</v>
      </c>
      <c r="HD524" s="19">
        <v>20.7</v>
      </c>
      <c r="HE524" s="19">
        <v>25.9</v>
      </c>
      <c r="HF524" s="19">
        <v>20.1</v>
      </c>
      <c r="HG524" s="19">
        <v>19.4</v>
      </c>
      <c r="HH524" s="19">
        <v>18.5</v>
      </c>
      <c r="HI524" s="19">
        <v>17.6</v>
      </c>
      <c r="HJ524" s="19">
        <v>20.1</v>
      </c>
      <c r="HK524" s="19">
        <v>17</v>
      </c>
      <c r="HL524" s="19">
        <v>14.5</v>
      </c>
      <c r="HM524" s="19">
        <v>9.9</v>
      </c>
      <c r="HN524" s="19">
        <v>9.3</v>
      </c>
      <c r="HO524" s="19">
        <v>9</v>
      </c>
      <c r="HP524" s="19">
        <v>8.8</v>
      </c>
      <c r="HQ524" s="19">
        <v>10.5</v>
      </c>
      <c r="HR524" s="19">
        <v>10.6</v>
      </c>
      <c r="HS524" s="19">
        <v>20.8</v>
      </c>
      <c r="HT524" s="19">
        <v>23.6</v>
      </c>
      <c r="HU524" s="19">
        <v>22.6</v>
      </c>
      <c r="HV524" s="19">
        <v>21.4</v>
      </c>
      <c r="HW524" s="19">
        <v>17.2</v>
      </c>
      <c r="HX524" s="19">
        <v>16.3</v>
      </c>
      <c r="HY524" s="19">
        <v>13.3</v>
      </c>
      <c r="HZ524" s="19">
        <v>12.6</v>
      </c>
      <c r="IA524" s="19">
        <v>10.1</v>
      </c>
      <c r="IB524" s="19">
        <v>9.3</v>
      </c>
      <c r="IC524" s="19">
        <v>9.4</v>
      </c>
    </row>
    <row r="525">
      <c r="A525" s="2" t="s">
        <v>2594</v>
      </c>
      <c r="B525" s="2" t="s">
        <v>224</v>
      </c>
      <c r="C525" s="2" t="s">
        <v>923</v>
      </c>
      <c r="D525" s="2" t="s">
        <v>361</v>
      </c>
      <c r="E525" s="2" t="s">
        <v>362</v>
      </c>
      <c r="F525" s="2" t="s">
        <v>2575</v>
      </c>
      <c r="G525" s="2" t="s">
        <v>2575</v>
      </c>
      <c r="H525" s="2" t="s">
        <v>2575</v>
      </c>
      <c r="I525" s="2" t="s">
        <v>2582</v>
      </c>
      <c r="J525" s="2" t="s">
        <v>877</v>
      </c>
      <c r="K525" s="2" t="s">
        <v>292</v>
      </c>
      <c r="L525" s="3">
        <v>24.12</v>
      </c>
      <c r="M525" s="3">
        <v>25.33</v>
      </c>
      <c r="N525" s="3">
        <v>54.99</v>
      </c>
      <c r="O525" s="2" t="s">
        <v>232</v>
      </c>
      <c r="P525" s="2" t="s">
        <v>233</v>
      </c>
      <c r="Q525" s="2" t="s">
        <v>234</v>
      </c>
      <c r="R525" s="2" t="s">
        <v>235</v>
      </c>
      <c r="S525" s="2" t="s">
        <v>2595</v>
      </c>
      <c r="T525" s="2" t="s">
        <v>2578</v>
      </c>
      <c r="U525" s="2" t="s">
        <v>807</v>
      </c>
      <c r="V525" s="2" t="s">
        <v>238</v>
      </c>
      <c r="W525" s="2" t="s">
        <v>239</v>
      </c>
      <c r="X525" s="2" t="s">
        <v>235</v>
      </c>
      <c r="Y525" s="2" t="s">
        <v>2591</v>
      </c>
      <c r="Z525" s="4">
        <v>308</v>
      </c>
      <c r="AA525" s="4">
        <f>=ROUNDDOWN(61.6,0)</f>
      </c>
      <c r="AB525" s="5">
        <v>5</v>
      </c>
      <c r="AC525" s="2" t="s">
        <v>235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235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235</v>
      </c>
      <c r="AW525" s="8" t="s">
        <v>235</v>
      </c>
      <c r="AX525" s="4" t="s">
        <v>235</v>
      </c>
      <c r="AY525" s="8" t="s">
        <v>235</v>
      </c>
      <c r="AZ525" s="7" t="s">
        <v>235</v>
      </c>
      <c r="BA525" s="7" t="s">
        <v>235</v>
      </c>
      <c r="BB525" s="7"/>
      <c r="BC525" s="4" t="s">
        <v>235</v>
      </c>
      <c r="BD525" s="8" t="s">
        <v>235</v>
      </c>
      <c r="BE525" s="4" t="s">
        <v>235</v>
      </c>
      <c r="BF525" s="8" t="s">
        <v>235</v>
      </c>
      <c r="BG525" s="7" t="s">
        <v>235</v>
      </c>
      <c r="BH525" s="7" t="s">
        <v>235</v>
      </c>
      <c r="BI525" s="7"/>
      <c r="BJ525" s="4">
        <v>12</v>
      </c>
      <c r="BK525" s="8">
        <v>337.58</v>
      </c>
      <c r="BL525" s="2" t="s">
        <v>2596</v>
      </c>
      <c r="BM525" s="7"/>
      <c r="BN525" s="7"/>
      <c r="BO525" s="4"/>
      <c r="BP525" s="8"/>
      <c r="BQ525" s="4"/>
      <c r="BR525" s="8"/>
      <c r="BS525" s="7"/>
      <c r="BT525" s="7"/>
      <c r="BU525" s="2" t="s">
        <v>2586</v>
      </c>
      <c r="BV525" s="2" t="s">
        <v>243</v>
      </c>
      <c r="BW525" s="2" t="s">
        <v>235</v>
      </c>
      <c r="BX525" s="2" t="s">
        <v>244</v>
      </c>
      <c r="BY525" s="2" t="s">
        <v>245</v>
      </c>
      <c r="BZ525" s="2" t="s">
        <v>232</v>
      </c>
      <c r="CA525" s="2" t="s">
        <v>2587</v>
      </c>
      <c r="CB525" s="2" t="s">
        <v>2593</v>
      </c>
      <c r="CC525" s="2" t="s">
        <v>248</v>
      </c>
      <c r="CD525" s="2" t="s">
        <v>248</v>
      </c>
      <c r="CE525" s="2" t="s">
        <v>235</v>
      </c>
      <c r="CF525" s="4">
        <v>308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>
        <v>309</v>
      </c>
      <c r="GE525" s="4">
        <v>296</v>
      </c>
      <c r="GF525" s="4">
        <v>291</v>
      </c>
      <c r="GG525" s="4">
        <v>285</v>
      </c>
      <c r="GH525" s="4">
        <v>278</v>
      </c>
      <c r="GI525" s="4">
        <v>269</v>
      </c>
      <c r="GJ525" s="4">
        <v>258</v>
      </c>
      <c r="GK525" s="4">
        <v>249</v>
      </c>
      <c r="GL525" s="4">
        <v>240</v>
      </c>
      <c r="GM525" s="4">
        <v>232</v>
      </c>
      <c r="GN525" s="4">
        <v>224</v>
      </c>
      <c r="GO525" s="4">
        <v>212</v>
      </c>
      <c r="GP525" s="4">
        <v>201</v>
      </c>
      <c r="GQ525" s="4">
        <v>179</v>
      </c>
      <c r="GR525" s="4">
        <v>167</v>
      </c>
      <c r="GS525" s="4">
        <v>156</v>
      </c>
      <c r="GT525" s="4">
        <v>148</v>
      </c>
      <c r="GU525" s="4">
        <v>143</v>
      </c>
      <c r="GV525" s="4">
        <v>139</v>
      </c>
      <c r="GW525" s="4">
        <v>136</v>
      </c>
      <c r="GX525" s="4">
        <v>133</v>
      </c>
      <c r="GY525" s="4">
        <v>130</v>
      </c>
      <c r="GZ525" s="4">
        <v>127</v>
      </c>
      <c r="HA525" s="4">
        <v>122</v>
      </c>
      <c r="HB525" s="4">
        <v>117</v>
      </c>
      <c r="HC525" s="4">
        <v>112</v>
      </c>
      <c r="HD525" s="19">
        <v>38.6</v>
      </c>
      <c r="HE525" s="19">
        <v>42.3</v>
      </c>
      <c r="HF525" s="19">
        <v>36.4</v>
      </c>
      <c r="HG525" s="19">
        <v>31.7</v>
      </c>
      <c r="HH525" s="19">
        <v>27.8</v>
      </c>
      <c r="HI525" s="19">
        <v>29.9</v>
      </c>
      <c r="HJ525" s="19">
        <v>32.3</v>
      </c>
      <c r="HK525" s="19">
        <v>27.7</v>
      </c>
      <c r="HL525" s="19">
        <v>24</v>
      </c>
      <c r="HM525" s="19">
        <v>17.8</v>
      </c>
      <c r="HN525" s="19">
        <v>16</v>
      </c>
      <c r="HO525" s="19">
        <v>15.1</v>
      </c>
      <c r="HP525" s="19">
        <v>15.5</v>
      </c>
      <c r="HQ525" s="19">
        <v>19.9</v>
      </c>
      <c r="HR525" s="19">
        <v>23.9</v>
      </c>
      <c r="HS525" s="19">
        <v>31.2</v>
      </c>
      <c r="HT525" s="19">
        <v>37</v>
      </c>
      <c r="HU525" s="19">
        <v>47.7</v>
      </c>
      <c r="HV525" s="19">
        <v>46.3</v>
      </c>
      <c r="HW525" s="19">
        <v>34</v>
      </c>
      <c r="HX525" s="19">
        <v>33.3</v>
      </c>
      <c r="HY525" s="19">
        <v>32.5</v>
      </c>
      <c r="HZ525" s="19">
        <v>25.4</v>
      </c>
      <c r="IA525" s="19">
        <v>24.4</v>
      </c>
      <c r="IB525" s="19">
        <v>19.5</v>
      </c>
      <c r="IC525" s="19">
        <v>18.7</v>
      </c>
    </row>
    <row r="526">
      <c r="A526" s="2" t="s">
        <v>2597</v>
      </c>
      <c r="B526" s="2" t="s">
        <v>323</v>
      </c>
      <c r="C526" s="2" t="s">
        <v>923</v>
      </c>
      <c r="D526" s="2" t="s">
        <v>257</v>
      </c>
      <c r="E526" s="2" t="s">
        <v>258</v>
      </c>
      <c r="F526" s="2" t="s">
        <v>2575</v>
      </c>
      <c r="G526" s="2" t="s">
        <v>2575</v>
      </c>
      <c r="H526" s="2" t="s">
        <v>2575</v>
      </c>
      <c r="I526" s="2" t="s">
        <v>2576</v>
      </c>
      <c r="J526" s="2" t="s">
        <v>261</v>
      </c>
      <c r="K526" s="2" t="s">
        <v>292</v>
      </c>
      <c r="L526" s="3">
        <v>27.85</v>
      </c>
      <c r="M526" s="3">
        <v>29.24</v>
      </c>
      <c r="N526" s="3">
        <v>59.99</v>
      </c>
      <c r="O526" s="2" t="s">
        <v>485</v>
      </c>
      <c r="P526" s="2" t="s">
        <v>408</v>
      </c>
      <c r="Q526" s="2" t="s">
        <v>234</v>
      </c>
      <c r="R526" s="2" t="s">
        <v>235</v>
      </c>
      <c r="S526" s="2" t="s">
        <v>2598</v>
      </c>
      <c r="T526" s="2" t="s">
        <v>2578</v>
      </c>
      <c r="U526" s="2" t="s">
        <v>264</v>
      </c>
      <c r="V526" s="2" t="s">
        <v>238</v>
      </c>
      <c r="W526" s="2" t="s">
        <v>239</v>
      </c>
      <c r="X526" s="2" t="s">
        <v>235</v>
      </c>
      <c r="Y526" s="2" t="s">
        <v>423</v>
      </c>
      <c r="Z526" s="4">
        <v>34</v>
      </c>
      <c r="AA526" s="4">
        <f>=ROUNDDOWN(7.90697674418605,0)</f>
      </c>
      <c r="AB526" s="5">
        <v>4.3</v>
      </c>
      <c r="AC526" s="2" t="s">
        <v>235</v>
      </c>
      <c r="AD526" s="4"/>
      <c r="AE526" s="4"/>
      <c r="AF526" s="6">
        <v>67</v>
      </c>
      <c r="AG526" s="6"/>
      <c r="AH526" s="7">
        <v>1</v>
      </c>
      <c r="AI526" s="4"/>
      <c r="AJ526" s="4">
        <f>=ROUNDDOWN({0},0)</f>
      </c>
      <c r="AK526" s="5"/>
      <c r="AL526" s="2" t="s">
        <v>235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235</v>
      </c>
      <c r="AW526" s="8" t="s">
        <v>235</v>
      </c>
      <c r="AX526" s="4" t="s">
        <v>235</v>
      </c>
      <c r="AY526" s="8" t="s">
        <v>235</v>
      </c>
      <c r="AZ526" s="7" t="s">
        <v>235</v>
      </c>
      <c r="BA526" s="7" t="s">
        <v>235</v>
      </c>
      <c r="BB526" s="7"/>
      <c r="BC526" s="4" t="s">
        <v>235</v>
      </c>
      <c r="BD526" s="8" t="s">
        <v>235</v>
      </c>
      <c r="BE526" s="4" t="s">
        <v>235</v>
      </c>
      <c r="BF526" s="8" t="s">
        <v>235</v>
      </c>
      <c r="BG526" s="7" t="s">
        <v>235</v>
      </c>
      <c r="BH526" s="7" t="s">
        <v>235</v>
      </c>
      <c r="BI526" s="7"/>
      <c r="BJ526" s="4">
        <v>23</v>
      </c>
      <c r="BK526" s="8">
        <v>624.09</v>
      </c>
      <c r="BL526" s="2" t="s">
        <v>2599</v>
      </c>
      <c r="BM526" s="7"/>
      <c r="BN526" s="7"/>
      <c r="BO526" s="4"/>
      <c r="BP526" s="8"/>
      <c r="BQ526" s="4"/>
      <c r="BR526" s="8"/>
      <c r="BS526" s="7"/>
      <c r="BT526" s="7"/>
      <c r="BU526" s="2" t="s">
        <v>2580</v>
      </c>
      <c r="BV526" s="2" t="s">
        <v>243</v>
      </c>
      <c r="BW526" s="2" t="s">
        <v>235</v>
      </c>
      <c r="BX526" s="2" t="s">
        <v>414</v>
      </c>
      <c r="BY526" s="2" t="s">
        <v>245</v>
      </c>
      <c r="BZ526" s="2" t="s">
        <v>232</v>
      </c>
      <c r="CA526" s="2" t="s">
        <v>415</v>
      </c>
      <c r="CB526" s="2" t="s">
        <v>2600</v>
      </c>
      <c r="CC526" s="2" t="s">
        <v>248</v>
      </c>
      <c r="CD526" s="2" t="s">
        <v>248</v>
      </c>
      <c r="CE526" s="2" t="s">
        <v>235</v>
      </c>
      <c r="CF526" s="4">
        <v>34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>
        <v>36</v>
      </c>
      <c r="GE526" s="4">
        <v>30</v>
      </c>
      <c r="GF526" s="4">
        <v>26</v>
      </c>
      <c r="GG526" s="4">
        <v>22</v>
      </c>
      <c r="GH526" s="4">
        <v>18</v>
      </c>
      <c r="GI526" s="4">
        <v>14</v>
      </c>
      <c r="GJ526" s="4">
        <v>10</v>
      </c>
      <c r="GK526" s="4">
        <v>6</v>
      </c>
      <c r="GL526" s="4">
        <v>2</v>
      </c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19">
        <v>9</v>
      </c>
      <c r="HE526" s="19">
        <v>7.5</v>
      </c>
      <c r="HF526" s="19">
        <v>6.5</v>
      </c>
      <c r="HG526" s="19">
        <v>5.5</v>
      </c>
      <c r="HH526" s="19">
        <v>4.5</v>
      </c>
      <c r="HI526" s="19">
        <v>3.5</v>
      </c>
      <c r="HJ526" s="19">
        <v>2.5</v>
      </c>
      <c r="HK526" s="19">
        <v>1.2</v>
      </c>
      <c r="HL526" s="19">
        <v>0.3</v>
      </c>
      <c r="HM526" s="20">
        <v>0</v>
      </c>
      <c r="HN526" s="20">
        <v>0</v>
      </c>
      <c r="HO526" s="20">
        <v>0</v>
      </c>
      <c r="HP526" s="20">
        <v>0</v>
      </c>
      <c r="HQ526" s="20">
        <v>0</v>
      </c>
      <c r="HR526" s="20">
        <v>0</v>
      </c>
      <c r="HS526" s="20">
        <v>0</v>
      </c>
      <c r="HT526" s="20">
        <v>0</v>
      </c>
      <c r="HU526" s="20">
        <v>0</v>
      </c>
      <c r="HV526" s="20">
        <v>0</v>
      </c>
      <c r="HW526" s="20">
        <v>0</v>
      </c>
      <c r="HX526" s="20">
        <v>0</v>
      </c>
      <c r="HY526" s="20">
        <v>0</v>
      </c>
      <c r="HZ526" s="20">
        <v>0</v>
      </c>
      <c r="IA526" s="20">
        <v>0</v>
      </c>
      <c r="IB526" s="20">
        <v>0</v>
      </c>
      <c r="IC526" s="20">
        <v>0</v>
      </c>
    </row>
    <row r="527">
      <c r="A527" s="2" t="s">
        <v>2601</v>
      </c>
      <c r="B527" s="2" t="s">
        <v>323</v>
      </c>
      <c r="C527" s="2" t="s">
        <v>923</v>
      </c>
      <c r="D527" s="2" t="s">
        <v>257</v>
      </c>
      <c r="E527" s="2" t="s">
        <v>258</v>
      </c>
      <c r="F527" s="2" t="s">
        <v>2575</v>
      </c>
      <c r="G527" s="2" t="s">
        <v>2575</v>
      </c>
      <c r="H527" s="2" t="s">
        <v>2575</v>
      </c>
      <c r="I527" s="2" t="s">
        <v>2576</v>
      </c>
      <c r="J527" s="2" t="s">
        <v>394</v>
      </c>
      <c r="K527" s="2" t="s">
        <v>600</v>
      </c>
      <c r="L527" s="3">
        <v>21</v>
      </c>
      <c r="M527" s="3">
        <v>22.05</v>
      </c>
      <c r="N527" s="3">
        <v>44.99</v>
      </c>
      <c r="O527" s="2" t="s">
        <v>407</v>
      </c>
      <c r="P527" s="2" t="s">
        <v>408</v>
      </c>
      <c r="Q527" s="2" t="s">
        <v>234</v>
      </c>
      <c r="R527" s="2" t="s">
        <v>235</v>
      </c>
      <c r="S527" s="2" t="s">
        <v>2602</v>
      </c>
      <c r="T527" s="2" t="s">
        <v>2578</v>
      </c>
      <c r="U527" s="2" t="s">
        <v>552</v>
      </c>
      <c r="V527" s="2" t="s">
        <v>238</v>
      </c>
      <c r="W527" s="2" t="s">
        <v>239</v>
      </c>
      <c r="X527" s="2" t="s">
        <v>235</v>
      </c>
      <c r="Y527" s="2" t="s">
        <v>423</v>
      </c>
      <c r="Z527" s="4">
        <v>90</v>
      </c>
      <c r="AA527" s="4">
        <f>=ROUNDDOWN(45,0)</f>
      </c>
      <c r="AB527" s="5">
        <v>2</v>
      </c>
      <c r="AC527" s="2" t="s">
        <v>235</v>
      </c>
      <c r="AD527" s="4"/>
      <c r="AE527" s="4"/>
      <c r="AF527" s="6">
        <v>67</v>
      </c>
      <c r="AG527" s="6"/>
      <c r="AH527" s="7">
        <v>1</v>
      </c>
      <c r="AI527" s="4"/>
      <c r="AJ527" s="4">
        <f>=ROUNDDOWN({0},0)</f>
      </c>
      <c r="AK527" s="5"/>
      <c r="AL527" s="2" t="s">
        <v>235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235</v>
      </c>
      <c r="AW527" s="8" t="s">
        <v>235</v>
      </c>
      <c r="AX527" s="4" t="s">
        <v>235</v>
      </c>
      <c r="AY527" s="8" t="s">
        <v>235</v>
      </c>
      <c r="AZ527" s="7" t="s">
        <v>235</v>
      </c>
      <c r="BA527" s="7" t="s">
        <v>235</v>
      </c>
      <c r="BB527" s="7"/>
      <c r="BC527" s="4" t="s">
        <v>235</v>
      </c>
      <c r="BD527" s="8" t="s">
        <v>235</v>
      </c>
      <c r="BE527" s="4" t="s">
        <v>235</v>
      </c>
      <c r="BF527" s="8" t="s">
        <v>235</v>
      </c>
      <c r="BG527" s="7" t="s">
        <v>235</v>
      </c>
      <c r="BH527" s="7" t="s">
        <v>235</v>
      </c>
      <c r="BI527" s="7"/>
      <c r="BJ527" s="4">
        <v>2</v>
      </c>
      <c r="BK527" s="8">
        <v>46.96</v>
      </c>
      <c r="BL527" s="2" t="s">
        <v>2603</v>
      </c>
      <c r="BM527" s="7"/>
      <c r="BN527" s="7"/>
      <c r="BO527" s="4"/>
      <c r="BP527" s="8"/>
      <c r="BQ527" s="4"/>
      <c r="BR527" s="8"/>
      <c r="BS527" s="7"/>
      <c r="BT527" s="7"/>
      <c r="BU527" s="2" t="s">
        <v>2580</v>
      </c>
      <c r="BV527" s="2" t="s">
        <v>243</v>
      </c>
      <c r="BW527" s="2" t="s">
        <v>235</v>
      </c>
      <c r="BX527" s="2" t="s">
        <v>414</v>
      </c>
      <c r="BY527" s="2" t="s">
        <v>245</v>
      </c>
      <c r="BZ527" s="2" t="s">
        <v>232</v>
      </c>
      <c r="CA527" s="2" t="s">
        <v>415</v>
      </c>
      <c r="CB527" s="2" t="s">
        <v>2604</v>
      </c>
      <c r="CC527" s="2" t="s">
        <v>248</v>
      </c>
      <c r="CD527" s="2" t="s">
        <v>248</v>
      </c>
      <c r="CE527" s="2" t="s">
        <v>235</v>
      </c>
      <c r="CF527" s="4">
        <v>90</v>
      </c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>
        <v>90</v>
      </c>
      <c r="GE527" s="4">
        <v>88</v>
      </c>
      <c r="GF527" s="4">
        <v>86</v>
      </c>
      <c r="GG527" s="4">
        <v>84</v>
      </c>
      <c r="GH527" s="4">
        <v>82</v>
      </c>
      <c r="GI527" s="4">
        <v>80</v>
      </c>
      <c r="GJ527" s="4">
        <v>78</v>
      </c>
      <c r="GK527" s="4">
        <v>76</v>
      </c>
      <c r="GL527" s="4">
        <v>74</v>
      </c>
      <c r="GM527" s="4">
        <v>72</v>
      </c>
      <c r="GN527" s="4">
        <v>70</v>
      </c>
      <c r="GO527" s="4">
        <v>68</v>
      </c>
      <c r="GP527" s="4">
        <v>65</v>
      </c>
      <c r="GQ527" s="4">
        <v>59</v>
      </c>
      <c r="GR527" s="4">
        <v>54</v>
      </c>
      <c r="GS527" s="4">
        <v>49</v>
      </c>
      <c r="GT527" s="4">
        <v>47</v>
      </c>
      <c r="GU527" s="4">
        <v>45</v>
      </c>
      <c r="GV527" s="4">
        <v>43</v>
      </c>
      <c r="GW527" s="4">
        <v>41</v>
      </c>
      <c r="GX527" s="4">
        <v>39</v>
      </c>
      <c r="GY527" s="4">
        <v>37</v>
      </c>
      <c r="GZ527" s="4">
        <v>35</v>
      </c>
      <c r="HA527" s="4">
        <v>33</v>
      </c>
      <c r="HB527" s="4">
        <v>31</v>
      </c>
      <c r="HC527" s="4">
        <v>29</v>
      </c>
      <c r="HD527" s="19">
        <v>45</v>
      </c>
      <c r="HE527" s="19">
        <v>44</v>
      </c>
      <c r="HF527" s="19">
        <v>43</v>
      </c>
      <c r="HG527" s="19">
        <v>42</v>
      </c>
      <c r="HH527" s="19">
        <v>41</v>
      </c>
      <c r="HI527" s="19">
        <v>40</v>
      </c>
      <c r="HJ527" s="19">
        <v>39</v>
      </c>
      <c r="HK527" s="19">
        <v>38</v>
      </c>
      <c r="HL527" s="19">
        <v>37</v>
      </c>
      <c r="HM527" s="19">
        <v>24</v>
      </c>
      <c r="HN527" s="19">
        <v>17.5</v>
      </c>
      <c r="HO527" s="19">
        <v>13.6</v>
      </c>
      <c r="HP527" s="19">
        <v>16.3</v>
      </c>
      <c r="HQ527" s="19">
        <v>14.8</v>
      </c>
      <c r="HR527" s="19">
        <v>18</v>
      </c>
      <c r="HS527" s="19">
        <v>24.5</v>
      </c>
      <c r="HT527" s="19">
        <v>23.5</v>
      </c>
      <c r="HU527" s="19">
        <v>22.5</v>
      </c>
      <c r="HV527" s="19">
        <v>21.5</v>
      </c>
      <c r="HW527" s="19">
        <v>20.5</v>
      </c>
      <c r="HX527" s="19">
        <v>19.5</v>
      </c>
      <c r="HY527" s="19">
        <v>18.5</v>
      </c>
      <c r="HZ527" s="19">
        <v>17.5</v>
      </c>
      <c r="IA527" s="19">
        <v>16.5</v>
      </c>
      <c r="IB527" s="19">
        <v>15.5</v>
      </c>
      <c r="IC527" s="19">
        <v>14.5</v>
      </c>
    </row>
    <row r="528">
      <c r="A528" s="2" t="s">
        <v>2605</v>
      </c>
      <c r="B528" s="2" t="s">
        <v>224</v>
      </c>
      <c r="C528" s="2" t="s">
        <v>923</v>
      </c>
      <c r="D528" s="2" t="s">
        <v>361</v>
      </c>
      <c r="E528" s="2" t="s">
        <v>362</v>
      </c>
      <c r="F528" s="2" t="s">
        <v>2575</v>
      </c>
      <c r="G528" s="2" t="s">
        <v>2575</v>
      </c>
      <c r="H528" s="2" t="s">
        <v>2575</v>
      </c>
      <c r="I528" s="2" t="s">
        <v>2582</v>
      </c>
      <c r="J528" s="2" t="s">
        <v>877</v>
      </c>
      <c r="K528" s="2" t="s">
        <v>600</v>
      </c>
      <c r="L528" s="3">
        <v>24.12</v>
      </c>
      <c r="M528" s="3">
        <v>25.33</v>
      </c>
      <c r="N528" s="3">
        <v>54.99</v>
      </c>
      <c r="O528" s="2" t="s">
        <v>232</v>
      </c>
      <c r="P528" s="2" t="s">
        <v>233</v>
      </c>
      <c r="Q528" s="2" t="s">
        <v>234</v>
      </c>
      <c r="R528" s="2" t="s">
        <v>235</v>
      </c>
      <c r="S528" s="2" t="s">
        <v>2606</v>
      </c>
      <c r="T528" s="2" t="s">
        <v>2578</v>
      </c>
      <c r="U528" s="2" t="s">
        <v>807</v>
      </c>
      <c r="V528" s="2" t="s">
        <v>238</v>
      </c>
      <c r="W528" s="2" t="s">
        <v>239</v>
      </c>
      <c r="X528" s="2" t="s">
        <v>235</v>
      </c>
      <c r="Y528" s="2" t="s">
        <v>2591</v>
      </c>
      <c r="Z528" s="4">
        <v>190</v>
      </c>
      <c r="AA528" s="4">
        <f>=ROUNDDOWN(31.6666666666667,0)</f>
      </c>
      <c r="AB528" s="5">
        <v>6</v>
      </c>
      <c r="AC528" s="2" t="s">
        <v>203</v>
      </c>
      <c r="AD528" s="4">
        <v>120</v>
      </c>
      <c r="AE528" s="4">
        <v>120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235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235</v>
      </c>
      <c r="AW528" s="8" t="s">
        <v>235</v>
      </c>
      <c r="AX528" s="4" t="s">
        <v>235</v>
      </c>
      <c r="AY528" s="8" t="s">
        <v>235</v>
      </c>
      <c r="AZ528" s="7" t="s">
        <v>235</v>
      </c>
      <c r="BA528" s="7" t="s">
        <v>235</v>
      </c>
      <c r="BB528" s="7"/>
      <c r="BC528" s="4" t="s">
        <v>235</v>
      </c>
      <c r="BD528" s="8" t="s">
        <v>235</v>
      </c>
      <c r="BE528" s="4" t="s">
        <v>235</v>
      </c>
      <c r="BF528" s="8" t="s">
        <v>235</v>
      </c>
      <c r="BG528" s="7" t="s">
        <v>235</v>
      </c>
      <c r="BH528" s="7" t="s">
        <v>235</v>
      </c>
      <c r="BI528" s="7"/>
      <c r="BJ528" s="4">
        <v>32</v>
      </c>
      <c r="BK528" s="8">
        <v>869.58</v>
      </c>
      <c r="BL528" s="2" t="s">
        <v>2607</v>
      </c>
      <c r="BM528" s="7"/>
      <c r="BN528" s="7"/>
      <c r="BO528" s="4"/>
      <c r="BP528" s="8"/>
      <c r="BQ528" s="4"/>
      <c r="BR528" s="8"/>
      <c r="BS528" s="7"/>
      <c r="BT528" s="7"/>
      <c r="BU528" s="2" t="s">
        <v>2586</v>
      </c>
      <c r="BV528" s="2" t="s">
        <v>243</v>
      </c>
      <c r="BW528" s="2" t="s">
        <v>235</v>
      </c>
      <c r="BX528" s="2" t="s">
        <v>244</v>
      </c>
      <c r="BY528" s="2" t="s">
        <v>245</v>
      </c>
      <c r="BZ528" s="2" t="s">
        <v>232</v>
      </c>
      <c r="CA528" s="2" t="s">
        <v>2587</v>
      </c>
      <c r="CB528" s="2" t="s">
        <v>1758</v>
      </c>
      <c r="CC528" s="2" t="s">
        <v>248</v>
      </c>
      <c r="CD528" s="2" t="s">
        <v>248</v>
      </c>
      <c r="CE528" s="2" t="s">
        <v>235</v>
      </c>
      <c r="CF528" s="4">
        <v>190</v>
      </c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>
        <v>120</v>
      </c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>
        <v>190</v>
      </c>
      <c r="GE528" s="4">
        <v>177</v>
      </c>
      <c r="GF528" s="4">
        <v>170</v>
      </c>
      <c r="GG528" s="4">
        <v>163</v>
      </c>
      <c r="GH528" s="4">
        <v>154</v>
      </c>
      <c r="GI528" s="4">
        <v>143</v>
      </c>
      <c r="GJ528" s="4">
        <v>126</v>
      </c>
      <c r="GK528" s="4">
        <v>114</v>
      </c>
      <c r="GL528" s="4">
        <v>103</v>
      </c>
      <c r="GM528" s="4">
        <v>94</v>
      </c>
      <c r="GN528" s="4">
        <v>85</v>
      </c>
      <c r="GO528" s="4">
        <v>72</v>
      </c>
      <c r="GP528" s="4">
        <v>61</v>
      </c>
      <c r="GQ528" s="4">
        <v>39</v>
      </c>
      <c r="GR528" s="4">
        <v>27</v>
      </c>
      <c r="GS528" s="4">
        <v>136</v>
      </c>
      <c r="GT528" s="4">
        <v>127</v>
      </c>
      <c r="GU528" s="4">
        <v>121</v>
      </c>
      <c r="GV528" s="4">
        <v>116</v>
      </c>
      <c r="GW528" s="4">
        <v>112</v>
      </c>
      <c r="GX528" s="4">
        <v>107</v>
      </c>
      <c r="GY528" s="4">
        <v>102</v>
      </c>
      <c r="GZ528" s="4">
        <v>97</v>
      </c>
      <c r="HA528" s="4">
        <v>90</v>
      </c>
      <c r="HB528" s="4">
        <v>84</v>
      </c>
      <c r="HC528" s="4">
        <v>78</v>
      </c>
      <c r="HD528" s="19">
        <v>21.1</v>
      </c>
      <c r="HE528" s="19">
        <v>22.1</v>
      </c>
      <c r="HF528" s="19">
        <v>15.5</v>
      </c>
      <c r="HG528" s="19">
        <v>13.6</v>
      </c>
      <c r="HH528" s="19">
        <v>11.8</v>
      </c>
      <c r="HI528" s="19">
        <v>11.9</v>
      </c>
      <c r="HJ528" s="19">
        <v>12.6</v>
      </c>
      <c r="HK528" s="19">
        <v>11.4</v>
      </c>
      <c r="HL528" s="19">
        <v>10.3</v>
      </c>
      <c r="HM528" s="19">
        <v>6.7</v>
      </c>
      <c r="HN528" s="19">
        <v>6.1</v>
      </c>
      <c r="HO528" s="19">
        <v>5.1</v>
      </c>
      <c r="HP528" s="19">
        <v>4.4</v>
      </c>
      <c r="HQ528" s="19">
        <v>3.9</v>
      </c>
      <c r="HR528" s="19">
        <v>3.4</v>
      </c>
      <c r="HS528" s="19">
        <v>22.7</v>
      </c>
      <c r="HT528" s="19">
        <v>25.4</v>
      </c>
      <c r="HU528" s="19">
        <v>24.2</v>
      </c>
      <c r="HV528" s="19">
        <v>23.2</v>
      </c>
      <c r="HW528" s="19">
        <v>18.7</v>
      </c>
      <c r="HX528" s="19">
        <v>17.8</v>
      </c>
      <c r="HY528" s="19">
        <v>17</v>
      </c>
      <c r="HZ528" s="19">
        <v>16.2</v>
      </c>
      <c r="IA528" s="19">
        <v>15</v>
      </c>
      <c r="IB528" s="19">
        <v>14</v>
      </c>
      <c r="IC528" s="19">
        <v>13</v>
      </c>
    </row>
    <row r="529">
      <c r="A529" s="2" t="s">
        <v>2608</v>
      </c>
      <c r="B529" s="2" t="s">
        <v>224</v>
      </c>
      <c r="C529" s="2" t="s">
        <v>923</v>
      </c>
      <c r="D529" s="2" t="s">
        <v>361</v>
      </c>
      <c r="E529" s="2" t="s">
        <v>362</v>
      </c>
      <c r="F529" s="2" t="s">
        <v>2575</v>
      </c>
      <c r="G529" s="2" t="s">
        <v>2575</v>
      </c>
      <c r="H529" s="2" t="s">
        <v>2575</v>
      </c>
      <c r="I529" s="2" t="s">
        <v>2582</v>
      </c>
      <c r="J529" s="2" t="s">
        <v>365</v>
      </c>
      <c r="K529" s="2" t="s">
        <v>600</v>
      </c>
      <c r="L529" s="3">
        <v>28.57</v>
      </c>
      <c r="M529" s="3">
        <v>30</v>
      </c>
      <c r="N529" s="3">
        <v>64.99</v>
      </c>
      <c r="O529" s="2" t="s">
        <v>232</v>
      </c>
      <c r="P529" s="2" t="s">
        <v>233</v>
      </c>
      <c r="Q529" s="2" t="s">
        <v>234</v>
      </c>
      <c r="R529" s="2" t="s">
        <v>235</v>
      </c>
      <c r="S529" s="2" t="s">
        <v>2606</v>
      </c>
      <c r="T529" s="2" t="s">
        <v>2578</v>
      </c>
      <c r="U529" s="2" t="s">
        <v>807</v>
      </c>
      <c r="V529" s="2" t="s">
        <v>238</v>
      </c>
      <c r="W529" s="2" t="s">
        <v>239</v>
      </c>
      <c r="X529" s="2" t="s">
        <v>235</v>
      </c>
      <c r="Y529" s="2" t="s">
        <v>2591</v>
      </c>
      <c r="Z529" s="4">
        <v>182</v>
      </c>
      <c r="AA529" s="4">
        <f>=ROUNDDOWN(22.75,0)</f>
      </c>
      <c r="AB529" s="5">
        <v>8</v>
      </c>
      <c r="AC529" s="2" t="s">
        <v>203</v>
      </c>
      <c r="AD529" s="4">
        <v>190</v>
      </c>
      <c r="AE529" s="4">
        <v>190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235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235</v>
      </c>
      <c r="AW529" s="8" t="s">
        <v>235</v>
      </c>
      <c r="AX529" s="4" t="s">
        <v>235</v>
      </c>
      <c r="AY529" s="8" t="s">
        <v>235</v>
      </c>
      <c r="AZ529" s="7" t="s">
        <v>235</v>
      </c>
      <c r="BA529" s="7" t="s">
        <v>235</v>
      </c>
      <c r="BB529" s="7"/>
      <c r="BC529" s="4" t="s">
        <v>235</v>
      </c>
      <c r="BD529" s="8" t="s">
        <v>235</v>
      </c>
      <c r="BE529" s="4" t="s">
        <v>235</v>
      </c>
      <c r="BF529" s="8" t="s">
        <v>235</v>
      </c>
      <c r="BG529" s="7" t="s">
        <v>235</v>
      </c>
      <c r="BH529" s="7" t="s">
        <v>235</v>
      </c>
      <c r="BI529" s="7"/>
      <c r="BJ529" s="4">
        <v>32</v>
      </c>
      <c r="BK529" s="8">
        <v>1092.34</v>
      </c>
      <c r="BL529" s="2" t="s">
        <v>2609</v>
      </c>
      <c r="BM529" s="7"/>
      <c r="BN529" s="7"/>
      <c r="BO529" s="4"/>
      <c r="BP529" s="8"/>
      <c r="BQ529" s="4"/>
      <c r="BR529" s="8"/>
      <c r="BS529" s="7"/>
      <c r="BT529" s="7"/>
      <c r="BU529" s="2" t="s">
        <v>2586</v>
      </c>
      <c r="BV529" s="2" t="s">
        <v>243</v>
      </c>
      <c r="BW529" s="2" t="s">
        <v>235</v>
      </c>
      <c r="BX529" s="2" t="s">
        <v>244</v>
      </c>
      <c r="BY529" s="2" t="s">
        <v>245</v>
      </c>
      <c r="BZ529" s="2" t="s">
        <v>232</v>
      </c>
      <c r="CA529" s="2" t="s">
        <v>2587</v>
      </c>
      <c r="CB529" s="2" t="s">
        <v>2593</v>
      </c>
      <c r="CC529" s="2" t="s">
        <v>248</v>
      </c>
      <c r="CD529" s="2" t="s">
        <v>248</v>
      </c>
      <c r="CE529" s="2" t="s">
        <v>235</v>
      </c>
      <c r="CF529" s="4">
        <v>182</v>
      </c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>
        <v>190</v>
      </c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>
        <v>183</v>
      </c>
      <c r="GE529" s="4">
        <v>176</v>
      </c>
      <c r="GF529" s="4">
        <v>169</v>
      </c>
      <c r="GG529" s="4">
        <v>160</v>
      </c>
      <c r="GH529" s="4">
        <v>149</v>
      </c>
      <c r="GI529" s="4">
        <v>136</v>
      </c>
      <c r="GJ529" s="4">
        <v>117</v>
      </c>
      <c r="GK529" s="4">
        <v>105</v>
      </c>
      <c r="GL529" s="4">
        <v>93</v>
      </c>
      <c r="GM529" s="4">
        <v>83</v>
      </c>
      <c r="GN529" s="4">
        <v>70</v>
      </c>
      <c r="GO529" s="4">
        <v>49</v>
      </c>
      <c r="GP529" s="4">
        <v>31</v>
      </c>
      <c r="GQ529" s="4"/>
      <c r="GR529" s="4"/>
      <c r="GS529" s="4">
        <v>190</v>
      </c>
      <c r="GT529" s="4">
        <v>175</v>
      </c>
      <c r="GU529" s="4">
        <v>168</v>
      </c>
      <c r="GV529" s="4">
        <v>161</v>
      </c>
      <c r="GW529" s="4">
        <v>155</v>
      </c>
      <c r="GX529" s="4">
        <v>148</v>
      </c>
      <c r="GY529" s="4">
        <v>141</v>
      </c>
      <c r="GZ529" s="4">
        <v>135</v>
      </c>
      <c r="HA529" s="4">
        <v>126</v>
      </c>
      <c r="HB529" s="4">
        <v>118</v>
      </c>
      <c r="HC529" s="4">
        <v>109</v>
      </c>
      <c r="HD529" s="19">
        <v>22.9</v>
      </c>
      <c r="HE529" s="19">
        <v>17.6</v>
      </c>
      <c r="HF529" s="19">
        <v>13</v>
      </c>
      <c r="HG529" s="19">
        <v>11.4</v>
      </c>
      <c r="HH529" s="19">
        <v>10.6</v>
      </c>
      <c r="HI529" s="19">
        <v>10.5</v>
      </c>
      <c r="HJ529" s="19">
        <v>9.8</v>
      </c>
      <c r="HK529" s="19">
        <v>7.5</v>
      </c>
      <c r="HL529" s="19">
        <v>5.8</v>
      </c>
      <c r="HM529" s="19">
        <v>3.8</v>
      </c>
      <c r="HN529" s="19">
        <v>3</v>
      </c>
      <c r="HO529" s="19">
        <v>2.3</v>
      </c>
      <c r="HP529" s="19">
        <v>1.6</v>
      </c>
      <c r="HQ529" s="20">
        <v>0</v>
      </c>
      <c r="HR529" s="20">
        <v>0</v>
      </c>
      <c r="HS529" s="19">
        <v>21.1</v>
      </c>
      <c r="HT529" s="19">
        <v>25</v>
      </c>
      <c r="HU529" s="19">
        <v>24</v>
      </c>
      <c r="HV529" s="19">
        <v>26.8</v>
      </c>
      <c r="HW529" s="19">
        <v>22.1</v>
      </c>
      <c r="HX529" s="19">
        <v>18.5</v>
      </c>
      <c r="HY529" s="19">
        <v>17.6</v>
      </c>
      <c r="HZ529" s="19">
        <v>16.9</v>
      </c>
      <c r="IA529" s="19">
        <v>14</v>
      </c>
      <c r="IB529" s="19">
        <v>13.1</v>
      </c>
      <c r="IC529" s="19">
        <v>12.1</v>
      </c>
    </row>
    <row r="530">
      <c r="A530" s="2" t="s">
        <v>2610</v>
      </c>
      <c r="B530" s="2" t="s">
        <v>852</v>
      </c>
      <c r="C530" s="2" t="s">
        <v>1126</v>
      </c>
      <c r="D530" s="2" t="s">
        <v>854</v>
      </c>
      <c r="E530" s="2" t="s">
        <v>1005</v>
      </c>
      <c r="F530" s="2" t="s">
        <v>2611</v>
      </c>
      <c r="G530" s="2" t="s">
        <v>2179</v>
      </c>
      <c r="H530" s="2" t="s">
        <v>2612</v>
      </c>
      <c r="I530" s="2" t="s">
        <v>2613</v>
      </c>
      <c r="J530" s="2" t="s">
        <v>2614</v>
      </c>
      <c r="K530" s="2" t="s">
        <v>292</v>
      </c>
      <c r="L530" s="3">
        <v>25.8</v>
      </c>
      <c r="M530" s="3">
        <v>27.09</v>
      </c>
      <c r="N530" s="3">
        <v>59.99</v>
      </c>
      <c r="O530" s="2" t="s">
        <v>485</v>
      </c>
      <c r="P530" s="2" t="s">
        <v>408</v>
      </c>
      <c r="Q530" s="2" t="s">
        <v>234</v>
      </c>
      <c r="R530" s="2" t="s">
        <v>235</v>
      </c>
      <c r="S530" s="2" t="s">
        <v>2615</v>
      </c>
      <c r="T530" s="2" t="s">
        <v>501</v>
      </c>
      <c r="U530" s="2" t="s">
        <v>278</v>
      </c>
      <c r="V530" s="2" t="s">
        <v>238</v>
      </c>
      <c r="W530" s="2" t="s">
        <v>682</v>
      </c>
      <c r="X530" s="2" t="s">
        <v>2542</v>
      </c>
      <c r="Y530" s="2" t="s">
        <v>2616</v>
      </c>
      <c r="Z530" s="4">
        <v>1</v>
      </c>
      <c r="AA530" s="4">
        <f>=ROUNDDOWN(0.2,0)</f>
      </c>
      <c r="AB530" s="5">
        <v>5</v>
      </c>
      <c r="AC530" s="2" t="s">
        <v>235</v>
      </c>
      <c r="AD530" s="4"/>
      <c r="AE530" s="4"/>
      <c r="AF530" s="6">
        <v>65</v>
      </c>
      <c r="AG530" s="6"/>
      <c r="AH530" s="7">
        <v>0.7742</v>
      </c>
      <c r="AI530" s="4"/>
      <c r="AJ530" s="4">
        <f>=ROUNDDOWN({0},0)</f>
      </c>
      <c r="AK530" s="5"/>
      <c r="AL530" s="2" t="s">
        <v>235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235</v>
      </c>
      <c r="BD530" s="8" t="s">
        <v>235</v>
      </c>
      <c r="BE530" s="4" t="s">
        <v>235</v>
      </c>
      <c r="BF530" s="8" t="s">
        <v>235</v>
      </c>
      <c r="BG530" s="7" t="s">
        <v>235</v>
      </c>
      <c r="BH530" s="7" t="s">
        <v>235</v>
      </c>
      <c r="BI530" s="7"/>
      <c r="BJ530" s="4">
        <v>6</v>
      </c>
      <c r="BK530" s="8">
        <v>320.36</v>
      </c>
      <c r="BL530" s="2" t="s">
        <v>2617</v>
      </c>
      <c r="BM530" s="7"/>
      <c r="BN530" s="7"/>
      <c r="BO530" s="4"/>
      <c r="BP530" s="8"/>
      <c r="BQ530" s="4"/>
      <c r="BR530" s="8"/>
      <c r="BS530" s="7"/>
      <c r="BT530" s="7"/>
      <c r="BU530" s="2" t="s">
        <v>2618</v>
      </c>
      <c r="BV530" s="2" t="s">
        <v>867</v>
      </c>
      <c r="BW530" s="2" t="s">
        <v>235</v>
      </c>
      <c r="BX530" s="2" t="s">
        <v>414</v>
      </c>
      <c r="BY530" s="2" t="s">
        <v>245</v>
      </c>
      <c r="BZ530" s="2" t="s">
        <v>232</v>
      </c>
      <c r="CA530" s="2" t="s">
        <v>2619</v>
      </c>
      <c r="CB530" s="2" t="s">
        <v>2620</v>
      </c>
      <c r="CC530" s="2" t="s">
        <v>248</v>
      </c>
      <c r="CD530" s="2" t="s">
        <v>248</v>
      </c>
      <c r="CE530" s="2" t="s">
        <v>235</v>
      </c>
      <c r="CF530" s="4"/>
      <c r="CG530" s="4"/>
      <c r="CH530" s="4"/>
      <c r="CI530" s="4">
        <v>1</v>
      </c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>
        <v>15</v>
      </c>
      <c r="GE530" s="4">
        <v>3</v>
      </c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19">
        <v>1.5</v>
      </c>
      <c r="HE530" s="19">
        <v>0.4</v>
      </c>
      <c r="HF530" s="20">
        <v>0</v>
      </c>
      <c r="HG530" s="20">
        <v>0</v>
      </c>
      <c r="HH530" s="20">
        <v>0</v>
      </c>
      <c r="HI530" s="20">
        <v>0</v>
      </c>
      <c r="HJ530" s="20">
        <v>0</v>
      </c>
      <c r="HK530" s="20">
        <v>0</v>
      </c>
      <c r="HL530" s="20">
        <v>0</v>
      </c>
      <c r="HM530" s="20">
        <v>0</v>
      </c>
      <c r="HN530" s="20">
        <v>0</v>
      </c>
      <c r="HO530" s="20">
        <v>0</v>
      </c>
      <c r="HP530" s="20">
        <v>0</v>
      </c>
      <c r="HQ530" s="20">
        <v>0</v>
      </c>
      <c r="HR530" s="20">
        <v>0</v>
      </c>
      <c r="HS530" s="20">
        <v>0</v>
      </c>
      <c r="HT530" s="20">
        <v>0</v>
      </c>
      <c r="HU530" s="20">
        <v>0</v>
      </c>
      <c r="HV530" s="20">
        <v>0</v>
      </c>
      <c r="HW530" s="20">
        <v>0</v>
      </c>
      <c r="HX530" s="20">
        <v>0</v>
      </c>
      <c r="HY530" s="20">
        <v>0</v>
      </c>
      <c r="HZ530" s="20">
        <v>0</v>
      </c>
      <c r="IA530" s="20">
        <v>0</v>
      </c>
      <c r="IB530" s="20">
        <v>0</v>
      </c>
      <c r="IC530" s="20">
        <v>0</v>
      </c>
    </row>
    <row r="531">
      <c r="A531" s="2" t="s">
        <v>2621</v>
      </c>
      <c r="B531" s="2" t="s">
        <v>852</v>
      </c>
      <c r="C531" s="2" t="s">
        <v>324</v>
      </c>
      <c r="D531" s="2" t="s">
        <v>854</v>
      </c>
      <c r="E531" s="2" t="s">
        <v>2622</v>
      </c>
      <c r="F531" s="2" t="s">
        <v>2611</v>
      </c>
      <c r="G531" s="2" t="s">
        <v>2179</v>
      </c>
      <c r="H531" s="2" t="s">
        <v>2612</v>
      </c>
      <c r="I531" s="2" t="s">
        <v>2623</v>
      </c>
      <c r="J531" s="2" t="s">
        <v>2624</v>
      </c>
      <c r="K531" s="2" t="s">
        <v>295</v>
      </c>
      <c r="L531" s="3">
        <v>30.4</v>
      </c>
      <c r="M531" s="3">
        <v>31.92</v>
      </c>
      <c r="N531" s="3">
        <v>69.99</v>
      </c>
      <c r="O531" s="2" t="s">
        <v>232</v>
      </c>
      <c r="P531" s="2" t="s">
        <v>233</v>
      </c>
      <c r="Q531" s="2" t="s">
        <v>234</v>
      </c>
      <c r="R531" s="2" t="s">
        <v>235</v>
      </c>
      <c r="S531" s="2" t="s">
        <v>2625</v>
      </c>
      <c r="T531" s="2" t="s">
        <v>501</v>
      </c>
      <c r="U531" s="2" t="s">
        <v>807</v>
      </c>
      <c r="V531" s="2" t="s">
        <v>238</v>
      </c>
      <c r="W531" s="2" t="s">
        <v>682</v>
      </c>
      <c r="X531" s="2" t="s">
        <v>235</v>
      </c>
      <c r="Y531" s="2" t="s">
        <v>2626</v>
      </c>
      <c r="Z531" s="4">
        <v>312</v>
      </c>
      <c r="AA531" s="4">
        <f>=ROUNDDOWN(240,0)</f>
      </c>
      <c r="AB531" s="5">
        <v>1.3</v>
      </c>
      <c r="AC531" s="2" t="s">
        <v>235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235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235</v>
      </c>
      <c r="AW531" s="8" t="s">
        <v>235</v>
      </c>
      <c r="AX531" s="4" t="s">
        <v>235</v>
      </c>
      <c r="AY531" s="8" t="s">
        <v>235</v>
      </c>
      <c r="AZ531" s="7" t="s">
        <v>235</v>
      </c>
      <c r="BA531" s="7" t="s">
        <v>235</v>
      </c>
      <c r="BB531" s="7"/>
      <c r="BC531" s="4" t="s">
        <v>235</v>
      </c>
      <c r="BD531" s="8" t="s">
        <v>235</v>
      </c>
      <c r="BE531" s="4" t="s">
        <v>235</v>
      </c>
      <c r="BF531" s="8" t="s">
        <v>235</v>
      </c>
      <c r="BG531" s="7" t="s">
        <v>235</v>
      </c>
      <c r="BH531" s="7" t="s">
        <v>235</v>
      </c>
      <c r="BI531" s="7"/>
      <c r="BJ531" s="4">
        <v>1</v>
      </c>
      <c r="BK531" s="8">
        <v>33.96</v>
      </c>
      <c r="BL531" s="2" t="s">
        <v>865</v>
      </c>
      <c r="BM531" s="7"/>
      <c r="BN531" s="7"/>
      <c r="BO531" s="4"/>
      <c r="BP531" s="8"/>
      <c r="BQ531" s="4"/>
      <c r="BR531" s="8"/>
      <c r="BS531" s="7"/>
      <c r="BT531" s="7"/>
      <c r="BU531" s="2" t="s">
        <v>2627</v>
      </c>
      <c r="BV531" s="2" t="s">
        <v>867</v>
      </c>
      <c r="BW531" s="2" t="s">
        <v>235</v>
      </c>
      <c r="BX531" s="2" t="s">
        <v>244</v>
      </c>
      <c r="BY531" s="2" t="s">
        <v>245</v>
      </c>
      <c r="BZ531" s="2" t="s">
        <v>232</v>
      </c>
      <c r="CA531" s="2" t="s">
        <v>2628</v>
      </c>
      <c r="CB531" s="2" t="s">
        <v>2629</v>
      </c>
      <c r="CC531" s="2" t="s">
        <v>248</v>
      </c>
      <c r="CD531" s="2" t="s">
        <v>248</v>
      </c>
      <c r="CE531" s="2" t="s">
        <v>235</v>
      </c>
      <c r="CF531" s="4">
        <v>312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>
        <v>312</v>
      </c>
      <c r="GE531" s="4">
        <v>311</v>
      </c>
      <c r="GF531" s="4">
        <v>310</v>
      </c>
      <c r="GG531" s="4">
        <v>309</v>
      </c>
      <c r="GH531" s="4">
        <v>308</v>
      </c>
      <c r="GI531" s="4">
        <v>307</v>
      </c>
      <c r="GJ531" s="4">
        <v>306</v>
      </c>
      <c r="GK531" s="4">
        <v>305</v>
      </c>
      <c r="GL531" s="4">
        <v>304</v>
      </c>
      <c r="GM531" s="4">
        <v>303</v>
      </c>
      <c r="GN531" s="4">
        <v>302</v>
      </c>
      <c r="GO531" s="4">
        <v>301</v>
      </c>
      <c r="GP531" s="4">
        <v>300</v>
      </c>
      <c r="GQ531" s="4">
        <v>298</v>
      </c>
      <c r="GR531" s="4">
        <v>297</v>
      </c>
      <c r="GS531" s="4">
        <v>296</v>
      </c>
      <c r="GT531" s="4">
        <v>295</v>
      </c>
      <c r="GU531" s="4">
        <v>294</v>
      </c>
      <c r="GV531" s="4">
        <v>293</v>
      </c>
      <c r="GW531" s="4">
        <v>292</v>
      </c>
      <c r="GX531" s="4">
        <v>291</v>
      </c>
      <c r="GY531" s="4">
        <v>290</v>
      </c>
      <c r="GZ531" s="4">
        <v>289</v>
      </c>
      <c r="HA531" s="4">
        <v>288</v>
      </c>
      <c r="HB531" s="4">
        <v>287</v>
      </c>
      <c r="HC531" s="4">
        <v>286</v>
      </c>
      <c r="HD531" s="19">
        <v>312</v>
      </c>
      <c r="HE531" s="19">
        <v>311</v>
      </c>
      <c r="HF531" s="19">
        <v>310</v>
      </c>
      <c r="HG531" s="9"/>
      <c r="HH531" s="19">
        <v>308</v>
      </c>
      <c r="HI531" s="19">
        <v>307</v>
      </c>
      <c r="HJ531" s="19">
        <v>306</v>
      </c>
      <c r="HK531" s="19">
        <v>305</v>
      </c>
      <c r="HL531" s="19">
        <v>304</v>
      </c>
      <c r="HM531" s="19">
        <v>303</v>
      </c>
      <c r="HN531" s="19">
        <v>302</v>
      </c>
      <c r="HO531" s="19">
        <v>301</v>
      </c>
      <c r="HP531" s="19">
        <v>300</v>
      </c>
      <c r="HQ531" s="19">
        <v>298</v>
      </c>
      <c r="HR531" s="19">
        <v>297</v>
      </c>
      <c r="HS531" s="19">
        <v>296</v>
      </c>
      <c r="HT531" s="19">
        <v>295</v>
      </c>
      <c r="HU531" s="19">
        <v>294</v>
      </c>
      <c r="HV531" s="19">
        <v>293</v>
      </c>
      <c r="HW531" s="19">
        <v>292</v>
      </c>
      <c r="HX531" s="19">
        <v>291</v>
      </c>
      <c r="HY531" s="19">
        <v>290</v>
      </c>
      <c r="HZ531" s="19">
        <v>289</v>
      </c>
      <c r="IA531" s="19">
        <v>288</v>
      </c>
      <c r="IB531" s="19">
        <v>287</v>
      </c>
      <c r="IC531" s="19">
        <v>286</v>
      </c>
    </row>
    <row r="532">
      <c r="A532" s="2" t="s">
        <v>2630</v>
      </c>
      <c r="B532" s="2" t="s">
        <v>852</v>
      </c>
      <c r="C532" s="2" t="s">
        <v>324</v>
      </c>
      <c r="D532" s="2" t="s">
        <v>854</v>
      </c>
      <c r="E532" s="2" t="s">
        <v>2622</v>
      </c>
      <c r="F532" s="2" t="s">
        <v>2611</v>
      </c>
      <c r="G532" s="2" t="s">
        <v>2179</v>
      </c>
      <c r="H532" s="2" t="s">
        <v>2612</v>
      </c>
      <c r="I532" s="2" t="s">
        <v>2623</v>
      </c>
      <c r="J532" s="2" t="s">
        <v>2631</v>
      </c>
      <c r="K532" s="2" t="s">
        <v>295</v>
      </c>
      <c r="L532" s="3">
        <v>36.1</v>
      </c>
      <c r="M532" s="3">
        <v>37.9</v>
      </c>
      <c r="N532" s="3">
        <v>79.99</v>
      </c>
      <c r="O532" s="2" t="s">
        <v>232</v>
      </c>
      <c r="P532" s="2" t="s">
        <v>233</v>
      </c>
      <c r="Q532" s="2" t="s">
        <v>234</v>
      </c>
      <c r="R532" s="2" t="s">
        <v>235</v>
      </c>
      <c r="S532" s="2" t="s">
        <v>2625</v>
      </c>
      <c r="T532" s="2" t="s">
        <v>501</v>
      </c>
      <c r="U532" s="2" t="s">
        <v>807</v>
      </c>
      <c r="V532" s="2" t="s">
        <v>238</v>
      </c>
      <c r="W532" s="2" t="s">
        <v>682</v>
      </c>
      <c r="X532" s="2" t="s">
        <v>235</v>
      </c>
      <c r="Y532" s="2" t="s">
        <v>2626</v>
      </c>
      <c r="Z532" s="4">
        <v>25</v>
      </c>
      <c r="AA532" s="4">
        <f>=ROUNDDOWN(10.8695652173913,0)</f>
      </c>
      <c r="AB532" s="5">
        <v>2.3</v>
      </c>
      <c r="AC532" s="2" t="s">
        <v>235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235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235</v>
      </c>
      <c r="AW532" s="8" t="s">
        <v>235</v>
      </c>
      <c r="AX532" s="4" t="s">
        <v>235</v>
      </c>
      <c r="AY532" s="8" t="s">
        <v>235</v>
      </c>
      <c r="AZ532" s="7" t="s">
        <v>235</v>
      </c>
      <c r="BA532" s="7" t="s">
        <v>235</v>
      </c>
      <c r="BB532" s="7"/>
      <c r="BC532" s="4" t="s">
        <v>235</v>
      </c>
      <c r="BD532" s="8" t="s">
        <v>235</v>
      </c>
      <c r="BE532" s="4" t="s">
        <v>235</v>
      </c>
      <c r="BF532" s="8" t="s">
        <v>235</v>
      </c>
      <c r="BG532" s="7" t="s">
        <v>235</v>
      </c>
      <c r="BH532" s="7" t="s">
        <v>235</v>
      </c>
      <c r="BI532" s="7"/>
      <c r="BJ532" s="4">
        <v>8</v>
      </c>
      <c r="BK532" s="8">
        <v>315.78</v>
      </c>
      <c r="BL532" s="2" t="s">
        <v>1556</v>
      </c>
      <c r="BM532" s="7"/>
      <c r="BN532" s="7"/>
      <c r="BO532" s="4"/>
      <c r="BP532" s="8"/>
      <c r="BQ532" s="4"/>
      <c r="BR532" s="8"/>
      <c r="BS532" s="7"/>
      <c r="BT532" s="7"/>
      <c r="BU532" s="2" t="s">
        <v>2627</v>
      </c>
      <c r="BV532" s="2" t="s">
        <v>867</v>
      </c>
      <c r="BW532" s="2" t="s">
        <v>235</v>
      </c>
      <c r="BX532" s="2" t="s">
        <v>244</v>
      </c>
      <c r="BY532" s="2" t="s">
        <v>245</v>
      </c>
      <c r="BZ532" s="2" t="s">
        <v>232</v>
      </c>
      <c r="CA532" s="2" t="s">
        <v>2628</v>
      </c>
      <c r="CB532" s="2" t="s">
        <v>2632</v>
      </c>
      <c r="CC532" s="2" t="s">
        <v>248</v>
      </c>
      <c r="CD532" s="2" t="s">
        <v>248</v>
      </c>
      <c r="CE532" s="2" t="s">
        <v>235</v>
      </c>
      <c r="CF532" s="4">
        <v>25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>
        <v>25</v>
      </c>
      <c r="GE532" s="4">
        <v>24</v>
      </c>
      <c r="GF532" s="4">
        <v>23</v>
      </c>
      <c r="GG532" s="4">
        <v>22</v>
      </c>
      <c r="GH532" s="4">
        <v>21</v>
      </c>
      <c r="GI532" s="4">
        <v>20</v>
      </c>
      <c r="GJ532" s="4">
        <v>19</v>
      </c>
      <c r="GK532" s="4">
        <v>18</v>
      </c>
      <c r="GL532" s="4">
        <v>17</v>
      </c>
      <c r="GM532" s="4">
        <v>15</v>
      </c>
      <c r="GN532" s="4">
        <v>12</v>
      </c>
      <c r="GO532" s="4">
        <v>9</v>
      </c>
      <c r="GP532" s="4">
        <v>6</v>
      </c>
      <c r="GQ532" s="4">
        <v>2</v>
      </c>
      <c r="GR532" s="4"/>
      <c r="GS532" s="4"/>
      <c r="GT532" s="4"/>
      <c r="GU532" s="4"/>
      <c r="GV532" s="4"/>
      <c r="GW532" s="4">
        <v>144</v>
      </c>
      <c r="GX532" s="4">
        <v>130</v>
      </c>
      <c r="GY532" s="4">
        <v>127</v>
      </c>
      <c r="GZ532" s="4">
        <v>124</v>
      </c>
      <c r="HA532" s="4">
        <v>121</v>
      </c>
      <c r="HB532" s="4">
        <v>118</v>
      </c>
      <c r="HC532" s="4">
        <v>115</v>
      </c>
      <c r="HD532" s="19">
        <v>25</v>
      </c>
      <c r="HE532" s="19">
        <v>24</v>
      </c>
      <c r="HF532" s="19">
        <v>23</v>
      </c>
      <c r="HG532" s="19">
        <v>22</v>
      </c>
      <c r="HH532" s="19">
        <v>21</v>
      </c>
      <c r="HI532" s="19">
        <v>20</v>
      </c>
      <c r="HJ532" s="19">
        <v>9.5</v>
      </c>
      <c r="HK532" s="19">
        <v>9</v>
      </c>
      <c r="HL532" s="19">
        <v>5.7</v>
      </c>
      <c r="HM532" s="19">
        <v>5</v>
      </c>
      <c r="HN532" s="19">
        <v>4</v>
      </c>
      <c r="HO532" s="19">
        <v>4.5</v>
      </c>
      <c r="HP532" s="19">
        <v>3</v>
      </c>
      <c r="HQ532" s="19">
        <v>2</v>
      </c>
      <c r="HR532" s="20">
        <v>0</v>
      </c>
      <c r="HS532" s="20">
        <v>0</v>
      </c>
      <c r="HT532" s="20">
        <v>0</v>
      </c>
      <c r="HU532" s="20">
        <v>0</v>
      </c>
      <c r="HV532" s="20">
        <v>0</v>
      </c>
      <c r="HW532" s="19">
        <v>24</v>
      </c>
      <c r="HX532" s="19">
        <v>43.3</v>
      </c>
      <c r="HY532" s="19">
        <v>42.3</v>
      </c>
      <c r="HZ532" s="19">
        <v>41.3</v>
      </c>
      <c r="IA532" s="19">
        <v>40.3</v>
      </c>
      <c r="IB532" s="19">
        <v>39.3</v>
      </c>
      <c r="IC532" s="19">
        <v>38.3</v>
      </c>
    </row>
    <row r="533">
      <c r="A533" s="2" t="s">
        <v>2633</v>
      </c>
      <c r="B533" s="2" t="s">
        <v>852</v>
      </c>
      <c r="C533" s="2" t="s">
        <v>324</v>
      </c>
      <c r="D533" s="2" t="s">
        <v>854</v>
      </c>
      <c r="E533" s="2" t="s">
        <v>2622</v>
      </c>
      <c r="F533" s="2" t="s">
        <v>2611</v>
      </c>
      <c r="G533" s="2" t="s">
        <v>2179</v>
      </c>
      <c r="H533" s="2" t="s">
        <v>2612</v>
      </c>
      <c r="I533" s="2" t="s">
        <v>2623</v>
      </c>
      <c r="J533" s="2" t="s">
        <v>2634</v>
      </c>
      <c r="K533" s="2" t="s">
        <v>295</v>
      </c>
      <c r="L533" s="3">
        <v>43.24</v>
      </c>
      <c r="M533" s="3">
        <v>45.4</v>
      </c>
      <c r="N533" s="3">
        <v>89.99</v>
      </c>
      <c r="O533" s="2" t="s">
        <v>232</v>
      </c>
      <c r="P533" s="2" t="s">
        <v>233</v>
      </c>
      <c r="Q533" s="2" t="s">
        <v>234</v>
      </c>
      <c r="R533" s="2" t="s">
        <v>235</v>
      </c>
      <c r="S533" s="2" t="s">
        <v>2625</v>
      </c>
      <c r="T533" s="2" t="s">
        <v>501</v>
      </c>
      <c r="U533" s="2" t="s">
        <v>807</v>
      </c>
      <c r="V533" s="2" t="s">
        <v>238</v>
      </c>
      <c r="W533" s="2" t="s">
        <v>682</v>
      </c>
      <c r="X533" s="2" t="s">
        <v>235</v>
      </c>
      <c r="Y533" s="2" t="s">
        <v>2626</v>
      </c>
      <c r="Z533" s="4">
        <v>245</v>
      </c>
      <c r="AA533" s="4">
        <f>=ROUNDDOWN(61.25,0)</f>
      </c>
      <c r="AB533" s="5">
        <v>4</v>
      </c>
      <c r="AC533" s="2" t="s">
        <v>235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235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235</v>
      </c>
      <c r="AW533" s="8" t="s">
        <v>235</v>
      </c>
      <c r="AX533" s="4" t="s">
        <v>235</v>
      </c>
      <c r="AY533" s="8" t="s">
        <v>235</v>
      </c>
      <c r="AZ533" s="7" t="s">
        <v>235</v>
      </c>
      <c r="BA533" s="7" t="s">
        <v>235</v>
      </c>
      <c r="BB533" s="7"/>
      <c r="BC533" s="4" t="s">
        <v>235</v>
      </c>
      <c r="BD533" s="8" t="s">
        <v>235</v>
      </c>
      <c r="BE533" s="4" t="s">
        <v>235</v>
      </c>
      <c r="BF533" s="8" t="s">
        <v>235</v>
      </c>
      <c r="BG533" s="7" t="s">
        <v>235</v>
      </c>
      <c r="BH533" s="7" t="s">
        <v>235</v>
      </c>
      <c r="BI533" s="7"/>
      <c r="BJ533" s="4">
        <v>6</v>
      </c>
      <c r="BK533" s="8">
        <v>267.22</v>
      </c>
      <c r="BL533" s="2" t="s">
        <v>2635</v>
      </c>
      <c r="BM533" s="7"/>
      <c r="BN533" s="7"/>
      <c r="BO533" s="4"/>
      <c r="BP533" s="8"/>
      <c r="BQ533" s="4"/>
      <c r="BR533" s="8"/>
      <c r="BS533" s="7"/>
      <c r="BT533" s="7"/>
      <c r="BU533" s="2" t="s">
        <v>2627</v>
      </c>
      <c r="BV533" s="2" t="s">
        <v>867</v>
      </c>
      <c r="BW533" s="2" t="s">
        <v>235</v>
      </c>
      <c r="BX533" s="2" t="s">
        <v>244</v>
      </c>
      <c r="BY533" s="2" t="s">
        <v>245</v>
      </c>
      <c r="BZ533" s="2" t="s">
        <v>232</v>
      </c>
      <c r="CA533" s="2" t="s">
        <v>2628</v>
      </c>
      <c r="CB533" s="2" t="s">
        <v>2629</v>
      </c>
      <c r="CC533" s="2" t="s">
        <v>248</v>
      </c>
      <c r="CD533" s="2" t="s">
        <v>248</v>
      </c>
      <c r="CE533" s="2" t="s">
        <v>235</v>
      </c>
      <c r="CF533" s="4">
        <v>245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>
        <v>245</v>
      </c>
      <c r="GE533" s="4">
        <v>243</v>
      </c>
      <c r="GF533" s="4">
        <v>241</v>
      </c>
      <c r="GG533" s="4">
        <v>239</v>
      </c>
      <c r="GH533" s="4">
        <v>237</v>
      </c>
      <c r="GI533" s="4">
        <v>235</v>
      </c>
      <c r="GJ533" s="4">
        <v>233</v>
      </c>
      <c r="GK533" s="4">
        <v>231</v>
      </c>
      <c r="GL533" s="4">
        <v>229</v>
      </c>
      <c r="GM533" s="4">
        <v>226</v>
      </c>
      <c r="GN533" s="4">
        <v>222</v>
      </c>
      <c r="GO533" s="4">
        <v>217</v>
      </c>
      <c r="GP533" s="4">
        <v>213</v>
      </c>
      <c r="GQ533" s="4">
        <v>208</v>
      </c>
      <c r="GR533" s="4">
        <v>204</v>
      </c>
      <c r="GS533" s="4">
        <v>200</v>
      </c>
      <c r="GT533" s="4">
        <v>196</v>
      </c>
      <c r="GU533" s="4">
        <v>192</v>
      </c>
      <c r="GV533" s="4">
        <v>188</v>
      </c>
      <c r="GW533" s="4">
        <v>186</v>
      </c>
      <c r="GX533" s="4">
        <v>182</v>
      </c>
      <c r="GY533" s="4">
        <v>178</v>
      </c>
      <c r="GZ533" s="4">
        <v>174</v>
      </c>
      <c r="HA533" s="4">
        <v>170</v>
      </c>
      <c r="HB533" s="4">
        <v>166</v>
      </c>
      <c r="HC533" s="4">
        <v>162</v>
      </c>
      <c r="HD533" s="19">
        <v>122.5</v>
      </c>
      <c r="HE533" s="19">
        <v>121.5</v>
      </c>
      <c r="HF533" s="19">
        <v>120.5</v>
      </c>
      <c r="HG533" s="19">
        <v>119.5</v>
      </c>
      <c r="HH533" s="19">
        <v>118.5</v>
      </c>
      <c r="HI533" s="19">
        <v>117.5</v>
      </c>
      <c r="HJ533" s="19">
        <v>77.7</v>
      </c>
      <c r="HK533" s="19">
        <v>57.8</v>
      </c>
      <c r="HL533" s="19">
        <v>57.3</v>
      </c>
      <c r="HM533" s="19">
        <v>56.5</v>
      </c>
      <c r="HN533" s="19">
        <v>55.5</v>
      </c>
      <c r="HO533" s="19">
        <v>54.3</v>
      </c>
      <c r="HP533" s="19">
        <v>53.3</v>
      </c>
      <c r="HQ533" s="19">
        <v>52</v>
      </c>
      <c r="HR533" s="19">
        <v>51</v>
      </c>
      <c r="HS533" s="19">
        <v>50</v>
      </c>
      <c r="HT533" s="19">
        <v>49</v>
      </c>
      <c r="HU533" s="19">
        <v>48</v>
      </c>
      <c r="HV533" s="19">
        <v>47</v>
      </c>
      <c r="HW533" s="19">
        <v>46.5</v>
      </c>
      <c r="HX533" s="19">
        <v>45.5</v>
      </c>
      <c r="HY533" s="19">
        <v>44.5</v>
      </c>
      <c r="HZ533" s="19">
        <v>43.5</v>
      </c>
      <c r="IA533" s="19">
        <v>42.5</v>
      </c>
      <c r="IB533" s="19">
        <v>41.5</v>
      </c>
      <c r="IC533" s="19">
        <v>40.5</v>
      </c>
    </row>
    <row r="534">
      <c r="A534" s="2" t="s">
        <v>2636</v>
      </c>
      <c r="B534" s="2" t="s">
        <v>852</v>
      </c>
      <c r="C534" s="2" t="s">
        <v>1126</v>
      </c>
      <c r="D534" s="2" t="s">
        <v>854</v>
      </c>
      <c r="E534" s="2" t="s">
        <v>1005</v>
      </c>
      <c r="F534" s="2" t="s">
        <v>2611</v>
      </c>
      <c r="G534" s="2" t="s">
        <v>2179</v>
      </c>
      <c r="H534" s="2" t="s">
        <v>2612</v>
      </c>
      <c r="I534" s="2" t="s">
        <v>2613</v>
      </c>
      <c r="J534" s="2" t="s">
        <v>2614</v>
      </c>
      <c r="K534" s="2" t="s">
        <v>2029</v>
      </c>
      <c r="L534" s="3">
        <v>28.4</v>
      </c>
      <c r="M534" s="3">
        <v>29.82</v>
      </c>
      <c r="N534" s="3">
        <v>64.99</v>
      </c>
      <c r="O534" s="2" t="s">
        <v>232</v>
      </c>
      <c r="P534" s="2" t="s">
        <v>233</v>
      </c>
      <c r="Q534" s="2" t="s">
        <v>234</v>
      </c>
      <c r="R534" s="2" t="s">
        <v>235</v>
      </c>
      <c r="S534" s="2" t="s">
        <v>2637</v>
      </c>
      <c r="T534" s="2" t="s">
        <v>501</v>
      </c>
      <c r="U534" s="2" t="s">
        <v>278</v>
      </c>
      <c r="V534" s="2" t="s">
        <v>238</v>
      </c>
      <c r="W534" s="2" t="s">
        <v>682</v>
      </c>
      <c r="X534" s="2" t="s">
        <v>2542</v>
      </c>
      <c r="Y534" s="2" t="s">
        <v>2616</v>
      </c>
      <c r="Z534" s="4">
        <v>167</v>
      </c>
      <c r="AA534" s="4">
        <f>=ROUNDDOWN(33.4,0)</f>
      </c>
      <c r="AB534" s="5">
        <v>5</v>
      </c>
      <c r="AC534" s="2" t="s">
        <v>235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235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235</v>
      </c>
      <c r="AW534" s="8" t="s">
        <v>235</v>
      </c>
      <c r="AX534" s="4" t="s">
        <v>235</v>
      </c>
      <c r="AY534" s="8" t="s">
        <v>235</v>
      </c>
      <c r="AZ534" s="7" t="s">
        <v>235</v>
      </c>
      <c r="BA534" s="7" t="s">
        <v>235</v>
      </c>
      <c r="BB534" s="7"/>
      <c r="BC534" s="4" t="s">
        <v>235</v>
      </c>
      <c r="BD534" s="8" t="s">
        <v>235</v>
      </c>
      <c r="BE534" s="4" t="s">
        <v>235</v>
      </c>
      <c r="BF534" s="8" t="s">
        <v>235</v>
      </c>
      <c r="BG534" s="7" t="s">
        <v>235</v>
      </c>
      <c r="BH534" s="7" t="s">
        <v>235</v>
      </c>
      <c r="BI534" s="7"/>
      <c r="BJ534" s="4">
        <v>19</v>
      </c>
      <c r="BK534" s="8">
        <v>844.81</v>
      </c>
      <c r="BL534" s="2" t="s">
        <v>2638</v>
      </c>
      <c r="BM534" s="7"/>
      <c r="BN534" s="7"/>
      <c r="BO534" s="4"/>
      <c r="BP534" s="8"/>
      <c r="BQ534" s="4"/>
      <c r="BR534" s="8"/>
      <c r="BS534" s="7"/>
      <c r="BT534" s="7"/>
      <c r="BU534" s="2" t="s">
        <v>2618</v>
      </c>
      <c r="BV534" s="2" t="s">
        <v>867</v>
      </c>
      <c r="BW534" s="2" t="s">
        <v>235</v>
      </c>
      <c r="BX534" s="2" t="s">
        <v>244</v>
      </c>
      <c r="BY534" s="2" t="s">
        <v>245</v>
      </c>
      <c r="BZ534" s="2" t="s">
        <v>232</v>
      </c>
      <c r="CA534" s="2" t="s">
        <v>2619</v>
      </c>
      <c r="CB534" s="2" t="s">
        <v>1499</v>
      </c>
      <c r="CC534" s="2" t="s">
        <v>248</v>
      </c>
      <c r="CD534" s="2" t="s">
        <v>248</v>
      </c>
      <c r="CE534" s="2" t="s">
        <v>235</v>
      </c>
      <c r="CF534" s="4">
        <v>167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>
        <v>167</v>
      </c>
      <c r="GE534" s="4">
        <v>161</v>
      </c>
      <c r="GF534" s="4">
        <v>156</v>
      </c>
      <c r="GG534" s="4">
        <v>151</v>
      </c>
      <c r="GH534" s="4">
        <v>146</v>
      </c>
      <c r="GI534" s="4">
        <v>141</v>
      </c>
      <c r="GJ534" s="4">
        <v>136</v>
      </c>
      <c r="GK534" s="4">
        <v>131</v>
      </c>
      <c r="GL534" s="4">
        <v>126</v>
      </c>
      <c r="GM534" s="4">
        <v>121</v>
      </c>
      <c r="GN534" s="4">
        <v>114</v>
      </c>
      <c r="GO534" s="4">
        <v>106</v>
      </c>
      <c r="GP534" s="4">
        <v>99</v>
      </c>
      <c r="GQ534" s="4">
        <v>90</v>
      </c>
      <c r="GR534" s="4">
        <v>83</v>
      </c>
      <c r="GS534" s="4">
        <v>74</v>
      </c>
      <c r="GT534" s="4">
        <v>69</v>
      </c>
      <c r="GU534" s="4">
        <v>63</v>
      </c>
      <c r="GV534" s="4">
        <v>58</v>
      </c>
      <c r="GW534" s="4">
        <v>53</v>
      </c>
      <c r="GX534" s="4">
        <v>48</v>
      </c>
      <c r="GY534" s="4">
        <v>43</v>
      </c>
      <c r="GZ534" s="4">
        <v>38</v>
      </c>
      <c r="HA534" s="4">
        <v>33</v>
      </c>
      <c r="HB534" s="4">
        <v>28</v>
      </c>
      <c r="HC534" s="4">
        <v>22</v>
      </c>
      <c r="HD534" s="19">
        <v>33.4</v>
      </c>
      <c r="HE534" s="19">
        <v>32.2</v>
      </c>
      <c r="HF534" s="19">
        <v>31.2</v>
      </c>
      <c r="HG534" s="19">
        <v>30.2</v>
      </c>
      <c r="HH534" s="19">
        <v>29.2</v>
      </c>
      <c r="HI534" s="19">
        <v>28.2</v>
      </c>
      <c r="HJ534" s="19">
        <v>22.7</v>
      </c>
      <c r="HK534" s="19">
        <v>21.8</v>
      </c>
      <c r="HL534" s="19">
        <v>18</v>
      </c>
      <c r="HM534" s="19">
        <v>15.1</v>
      </c>
      <c r="HN534" s="19">
        <v>14.3</v>
      </c>
      <c r="HO534" s="19">
        <v>13.3</v>
      </c>
      <c r="HP534" s="19">
        <v>12.4</v>
      </c>
      <c r="HQ534" s="19">
        <v>12.9</v>
      </c>
      <c r="HR534" s="19">
        <v>13.8</v>
      </c>
      <c r="HS534" s="19">
        <v>14.8</v>
      </c>
      <c r="HT534" s="19">
        <v>13.8</v>
      </c>
      <c r="HU534" s="19">
        <v>12.6</v>
      </c>
      <c r="HV534" s="19">
        <v>11.6</v>
      </c>
      <c r="HW534" s="19">
        <v>10.6</v>
      </c>
      <c r="HX534" s="19">
        <v>9.6</v>
      </c>
      <c r="HY534" s="19">
        <v>8.6</v>
      </c>
      <c r="HZ534" s="19">
        <v>7.6</v>
      </c>
      <c r="IA534" s="19">
        <v>6.6</v>
      </c>
      <c r="IB534" s="19">
        <v>5.6</v>
      </c>
      <c r="IC534" s="19">
        <v>4.4</v>
      </c>
    </row>
    <row r="535">
      <c r="A535" s="2" t="s">
        <v>2639</v>
      </c>
      <c r="B535" s="2" t="s">
        <v>852</v>
      </c>
      <c r="C535" s="2" t="s">
        <v>324</v>
      </c>
      <c r="D535" s="2" t="s">
        <v>854</v>
      </c>
      <c r="E535" s="2" t="s">
        <v>2622</v>
      </c>
      <c r="F535" s="2" t="s">
        <v>2611</v>
      </c>
      <c r="G535" s="2" t="s">
        <v>2179</v>
      </c>
      <c r="H535" s="2" t="s">
        <v>2612</v>
      </c>
      <c r="I535" s="2" t="s">
        <v>2623</v>
      </c>
      <c r="J535" s="2" t="s">
        <v>2640</v>
      </c>
      <c r="K535" s="2" t="s">
        <v>2029</v>
      </c>
      <c r="L535" s="3">
        <v>32.96</v>
      </c>
      <c r="M535" s="3">
        <v>34.61</v>
      </c>
      <c r="N535" s="3">
        <v>74.99</v>
      </c>
      <c r="O535" s="2" t="s">
        <v>232</v>
      </c>
      <c r="P535" s="2" t="s">
        <v>233</v>
      </c>
      <c r="Q535" s="2" t="s">
        <v>234</v>
      </c>
      <c r="R535" s="2" t="s">
        <v>235</v>
      </c>
      <c r="S535" s="2" t="s">
        <v>2637</v>
      </c>
      <c r="T535" s="2" t="s">
        <v>501</v>
      </c>
      <c r="U535" s="2" t="s">
        <v>807</v>
      </c>
      <c r="V535" s="2" t="s">
        <v>238</v>
      </c>
      <c r="W535" s="2" t="s">
        <v>682</v>
      </c>
      <c r="X535" s="2" t="s">
        <v>235</v>
      </c>
      <c r="Y535" s="2" t="s">
        <v>2626</v>
      </c>
      <c r="Z535" s="4">
        <v>213</v>
      </c>
      <c r="AA535" s="4">
        <f>=ROUNDDOWN(193.636363636364,0)</f>
      </c>
      <c r="AB535" s="5">
        <v>1.1</v>
      </c>
      <c r="AC535" s="2" t="s">
        <v>235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235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235</v>
      </c>
      <c r="AW535" s="8" t="s">
        <v>235</v>
      </c>
      <c r="AX535" s="4" t="s">
        <v>235</v>
      </c>
      <c r="AY535" s="8" t="s">
        <v>235</v>
      </c>
      <c r="AZ535" s="7" t="s">
        <v>235</v>
      </c>
      <c r="BA535" s="7" t="s">
        <v>235</v>
      </c>
      <c r="BB535" s="7"/>
      <c r="BC535" s="4" t="s">
        <v>235</v>
      </c>
      <c r="BD535" s="8" t="s">
        <v>235</v>
      </c>
      <c r="BE535" s="4" t="s">
        <v>235</v>
      </c>
      <c r="BF535" s="8" t="s">
        <v>235</v>
      </c>
      <c r="BG535" s="7" t="s">
        <v>235</v>
      </c>
      <c r="BH535" s="7" t="s">
        <v>235</v>
      </c>
      <c r="BI535" s="7"/>
      <c r="BJ535" s="4"/>
      <c r="BK535" s="8"/>
      <c r="BL535" s="2" t="s">
        <v>1244</v>
      </c>
      <c r="BM535" s="7"/>
      <c r="BN535" s="7"/>
      <c r="BO535" s="4"/>
      <c r="BP535" s="8"/>
      <c r="BQ535" s="4"/>
      <c r="BR535" s="8"/>
      <c r="BS535" s="7"/>
      <c r="BT535" s="7"/>
      <c r="BU535" s="2" t="s">
        <v>2627</v>
      </c>
      <c r="BV535" s="2" t="s">
        <v>867</v>
      </c>
      <c r="BW535" s="2" t="s">
        <v>235</v>
      </c>
      <c r="BX535" s="2" t="s">
        <v>244</v>
      </c>
      <c r="BY535" s="2" t="s">
        <v>245</v>
      </c>
      <c r="BZ535" s="2" t="s">
        <v>232</v>
      </c>
      <c r="CA535" s="2" t="s">
        <v>2628</v>
      </c>
      <c r="CB535" s="2" t="s">
        <v>2641</v>
      </c>
      <c r="CC535" s="2" t="s">
        <v>248</v>
      </c>
      <c r="CD535" s="2" t="s">
        <v>248</v>
      </c>
      <c r="CE535" s="2" t="s">
        <v>235</v>
      </c>
      <c r="CF535" s="4">
        <v>213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>
        <v>213</v>
      </c>
      <c r="GE535" s="4">
        <v>212</v>
      </c>
      <c r="GF535" s="4">
        <v>211</v>
      </c>
      <c r="GG535" s="4">
        <v>210</v>
      </c>
      <c r="GH535" s="4">
        <v>209</v>
      </c>
      <c r="GI535" s="4">
        <v>208</v>
      </c>
      <c r="GJ535" s="4">
        <v>207</v>
      </c>
      <c r="GK535" s="4">
        <v>206</v>
      </c>
      <c r="GL535" s="4">
        <v>205</v>
      </c>
      <c r="GM535" s="4">
        <v>204</v>
      </c>
      <c r="GN535" s="4">
        <v>203</v>
      </c>
      <c r="GO535" s="4">
        <v>202</v>
      </c>
      <c r="GP535" s="4">
        <v>201</v>
      </c>
      <c r="GQ535" s="4">
        <v>199</v>
      </c>
      <c r="GR535" s="4">
        <v>198</v>
      </c>
      <c r="GS535" s="4">
        <v>197</v>
      </c>
      <c r="GT535" s="4">
        <v>196</v>
      </c>
      <c r="GU535" s="4">
        <v>195</v>
      </c>
      <c r="GV535" s="4">
        <v>194</v>
      </c>
      <c r="GW535" s="4">
        <v>193</v>
      </c>
      <c r="GX535" s="4">
        <v>192</v>
      </c>
      <c r="GY535" s="4">
        <v>191</v>
      </c>
      <c r="GZ535" s="4">
        <v>190</v>
      </c>
      <c r="HA535" s="4">
        <v>189</v>
      </c>
      <c r="HB535" s="4">
        <v>188</v>
      </c>
      <c r="HC535" s="4">
        <v>187</v>
      </c>
      <c r="HD535" s="19">
        <v>213</v>
      </c>
      <c r="HE535" s="19">
        <v>212</v>
      </c>
      <c r="HF535" s="19">
        <v>211</v>
      </c>
      <c r="HG535" s="19">
        <v>210</v>
      </c>
      <c r="HH535" s="19">
        <v>209</v>
      </c>
      <c r="HI535" s="19">
        <v>208</v>
      </c>
      <c r="HJ535" s="19">
        <v>207</v>
      </c>
      <c r="HK535" s="19">
        <v>206</v>
      </c>
      <c r="HL535" s="19">
        <v>205</v>
      </c>
      <c r="HM535" s="19">
        <v>204</v>
      </c>
      <c r="HN535" s="19">
        <v>203</v>
      </c>
      <c r="HO535" s="19">
        <v>202</v>
      </c>
      <c r="HP535" s="19">
        <v>201</v>
      </c>
      <c r="HQ535" s="19">
        <v>199</v>
      </c>
      <c r="HR535" s="19">
        <v>198</v>
      </c>
      <c r="HS535" s="19">
        <v>197</v>
      </c>
      <c r="HT535" s="19">
        <v>196</v>
      </c>
      <c r="HU535" s="19">
        <v>195</v>
      </c>
      <c r="HV535" s="19">
        <v>194</v>
      </c>
      <c r="HW535" s="19">
        <v>193</v>
      </c>
      <c r="HX535" s="19">
        <v>192</v>
      </c>
      <c r="HY535" s="19">
        <v>191</v>
      </c>
      <c r="HZ535" s="19">
        <v>190</v>
      </c>
      <c r="IA535" s="19">
        <v>189</v>
      </c>
      <c r="IB535" s="19">
        <v>188</v>
      </c>
      <c r="IC535" s="19">
        <v>187</v>
      </c>
    </row>
    <row r="536">
      <c r="A536" s="2" t="s">
        <v>2642</v>
      </c>
      <c r="B536" s="2" t="s">
        <v>852</v>
      </c>
      <c r="C536" s="2" t="s">
        <v>324</v>
      </c>
      <c r="D536" s="2" t="s">
        <v>854</v>
      </c>
      <c r="E536" s="2" t="s">
        <v>2622</v>
      </c>
      <c r="F536" s="2" t="s">
        <v>2611</v>
      </c>
      <c r="G536" s="2" t="s">
        <v>2179</v>
      </c>
      <c r="H536" s="2" t="s">
        <v>2612</v>
      </c>
      <c r="I536" s="2" t="s">
        <v>2623</v>
      </c>
      <c r="J536" s="2" t="s">
        <v>2631</v>
      </c>
      <c r="K536" s="2" t="s">
        <v>2029</v>
      </c>
      <c r="L536" s="3">
        <v>36.1</v>
      </c>
      <c r="M536" s="3">
        <v>37.9</v>
      </c>
      <c r="N536" s="3">
        <v>79.99</v>
      </c>
      <c r="O536" s="2" t="s">
        <v>232</v>
      </c>
      <c r="P536" s="2" t="s">
        <v>233</v>
      </c>
      <c r="Q536" s="2" t="s">
        <v>234</v>
      </c>
      <c r="R536" s="2" t="s">
        <v>235</v>
      </c>
      <c r="S536" s="2" t="s">
        <v>2637</v>
      </c>
      <c r="T536" s="2" t="s">
        <v>501</v>
      </c>
      <c r="U536" s="2" t="s">
        <v>807</v>
      </c>
      <c r="V536" s="2" t="s">
        <v>238</v>
      </c>
      <c r="W536" s="2" t="s">
        <v>682</v>
      </c>
      <c r="X536" s="2" t="s">
        <v>235</v>
      </c>
      <c r="Y536" s="2" t="s">
        <v>2626</v>
      </c>
      <c r="Z536" s="4">
        <v>313</v>
      </c>
      <c r="AA536" s="4">
        <f>=ROUNDDOWN(391.25,0)</f>
      </c>
      <c r="AB536" s="5">
        <v>0.8</v>
      </c>
      <c r="AC536" s="2" t="s">
        <v>235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235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235</v>
      </c>
      <c r="AW536" s="8" t="s">
        <v>235</v>
      </c>
      <c r="AX536" s="4" t="s">
        <v>235</v>
      </c>
      <c r="AY536" s="8" t="s">
        <v>235</v>
      </c>
      <c r="AZ536" s="7" t="s">
        <v>235</v>
      </c>
      <c r="BA536" s="7" t="s">
        <v>235</v>
      </c>
      <c r="BB536" s="7"/>
      <c r="BC536" s="4" t="s">
        <v>235</v>
      </c>
      <c r="BD536" s="8" t="s">
        <v>235</v>
      </c>
      <c r="BE536" s="4" t="s">
        <v>235</v>
      </c>
      <c r="BF536" s="8" t="s">
        <v>235</v>
      </c>
      <c r="BG536" s="7" t="s">
        <v>235</v>
      </c>
      <c r="BH536" s="7" t="s">
        <v>235</v>
      </c>
      <c r="BI536" s="7"/>
      <c r="BJ536" s="4">
        <v>1</v>
      </c>
      <c r="BK536" s="8">
        <v>37.03</v>
      </c>
      <c r="BL536" s="2" t="s">
        <v>2643</v>
      </c>
      <c r="BM536" s="7"/>
      <c r="BN536" s="7"/>
      <c r="BO536" s="4"/>
      <c r="BP536" s="8"/>
      <c r="BQ536" s="4"/>
      <c r="BR536" s="8"/>
      <c r="BS536" s="7"/>
      <c r="BT536" s="7"/>
      <c r="BU536" s="2" t="s">
        <v>2627</v>
      </c>
      <c r="BV536" s="2" t="s">
        <v>867</v>
      </c>
      <c r="BW536" s="2" t="s">
        <v>235</v>
      </c>
      <c r="BX536" s="2" t="s">
        <v>244</v>
      </c>
      <c r="BY536" s="2" t="s">
        <v>245</v>
      </c>
      <c r="BZ536" s="2" t="s">
        <v>232</v>
      </c>
      <c r="CA536" s="2" t="s">
        <v>2628</v>
      </c>
      <c r="CB536" s="2" t="s">
        <v>1872</v>
      </c>
      <c r="CC536" s="2" t="s">
        <v>248</v>
      </c>
      <c r="CD536" s="2" t="s">
        <v>248</v>
      </c>
      <c r="CE536" s="2" t="s">
        <v>235</v>
      </c>
      <c r="CF536" s="4">
        <v>313</v>
      </c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>
        <v>313</v>
      </c>
      <c r="GE536" s="4">
        <v>312</v>
      </c>
      <c r="GF536" s="4">
        <v>311</v>
      </c>
      <c r="GG536" s="4">
        <v>310</v>
      </c>
      <c r="GH536" s="4">
        <v>309</v>
      </c>
      <c r="GI536" s="4">
        <v>308</v>
      </c>
      <c r="GJ536" s="4">
        <v>307</v>
      </c>
      <c r="GK536" s="4">
        <v>306</v>
      </c>
      <c r="GL536" s="4">
        <v>305</v>
      </c>
      <c r="GM536" s="4">
        <v>304</v>
      </c>
      <c r="GN536" s="4">
        <v>303</v>
      </c>
      <c r="GO536" s="4">
        <v>302</v>
      </c>
      <c r="GP536" s="4">
        <v>301</v>
      </c>
      <c r="GQ536" s="4">
        <v>299</v>
      </c>
      <c r="GR536" s="4">
        <v>298</v>
      </c>
      <c r="GS536" s="4">
        <v>297</v>
      </c>
      <c r="GT536" s="4">
        <v>296</v>
      </c>
      <c r="GU536" s="4">
        <v>295</v>
      </c>
      <c r="GV536" s="4">
        <v>294</v>
      </c>
      <c r="GW536" s="4">
        <v>293</v>
      </c>
      <c r="GX536" s="4">
        <v>292</v>
      </c>
      <c r="GY536" s="4">
        <v>291</v>
      </c>
      <c r="GZ536" s="4">
        <v>290</v>
      </c>
      <c r="HA536" s="4">
        <v>289</v>
      </c>
      <c r="HB536" s="4">
        <v>288</v>
      </c>
      <c r="HC536" s="4">
        <v>287</v>
      </c>
      <c r="HD536" s="19">
        <v>313</v>
      </c>
      <c r="HE536" s="19">
        <v>312</v>
      </c>
      <c r="HF536" s="19">
        <v>311</v>
      </c>
      <c r="HG536" s="19">
        <v>310</v>
      </c>
      <c r="HH536" s="19">
        <v>309</v>
      </c>
      <c r="HI536" s="19">
        <v>308</v>
      </c>
      <c r="HJ536" s="19">
        <v>307</v>
      </c>
      <c r="HK536" s="19">
        <v>306</v>
      </c>
      <c r="HL536" s="19">
        <v>305</v>
      </c>
      <c r="HM536" s="19">
        <v>304</v>
      </c>
      <c r="HN536" s="19">
        <v>303</v>
      </c>
      <c r="HO536" s="19">
        <v>302</v>
      </c>
      <c r="HP536" s="19">
        <v>301</v>
      </c>
      <c r="HQ536" s="19">
        <v>299</v>
      </c>
      <c r="HR536" s="19">
        <v>298</v>
      </c>
      <c r="HS536" s="19">
        <v>297</v>
      </c>
      <c r="HT536" s="19">
        <v>296</v>
      </c>
      <c r="HU536" s="19">
        <v>295</v>
      </c>
      <c r="HV536" s="19">
        <v>294</v>
      </c>
      <c r="HW536" s="19">
        <v>293</v>
      </c>
      <c r="HX536" s="19">
        <v>292</v>
      </c>
      <c r="HY536" s="19">
        <v>291</v>
      </c>
      <c r="HZ536" s="19">
        <v>290</v>
      </c>
      <c r="IA536" s="19">
        <v>289</v>
      </c>
      <c r="IB536" s="19">
        <v>288</v>
      </c>
      <c r="IC536" s="19">
        <v>287</v>
      </c>
    </row>
    <row r="537">
      <c r="A537" s="2" t="s">
        <v>2644</v>
      </c>
      <c r="B537" s="2" t="s">
        <v>852</v>
      </c>
      <c r="C537" s="2" t="s">
        <v>324</v>
      </c>
      <c r="D537" s="2" t="s">
        <v>854</v>
      </c>
      <c r="E537" s="2" t="s">
        <v>2622</v>
      </c>
      <c r="F537" s="2" t="s">
        <v>2611</v>
      </c>
      <c r="G537" s="2" t="s">
        <v>2179</v>
      </c>
      <c r="H537" s="2" t="s">
        <v>2612</v>
      </c>
      <c r="I537" s="2" t="s">
        <v>2623</v>
      </c>
      <c r="J537" s="2" t="s">
        <v>2645</v>
      </c>
      <c r="K537" s="2" t="s">
        <v>2029</v>
      </c>
      <c r="L537" s="3">
        <v>38.73</v>
      </c>
      <c r="M537" s="3">
        <v>40.67</v>
      </c>
      <c r="N537" s="3">
        <v>84.99</v>
      </c>
      <c r="O537" s="2" t="s">
        <v>232</v>
      </c>
      <c r="P537" s="2" t="s">
        <v>233</v>
      </c>
      <c r="Q537" s="2" t="s">
        <v>234</v>
      </c>
      <c r="R537" s="2" t="s">
        <v>235</v>
      </c>
      <c r="S537" s="2" t="s">
        <v>2637</v>
      </c>
      <c r="T537" s="2" t="s">
        <v>501</v>
      </c>
      <c r="U537" s="2" t="s">
        <v>807</v>
      </c>
      <c r="V537" s="2" t="s">
        <v>238</v>
      </c>
      <c r="W537" s="2" t="s">
        <v>682</v>
      </c>
      <c r="X537" s="2" t="s">
        <v>235</v>
      </c>
      <c r="Y537" s="2" t="s">
        <v>2626</v>
      </c>
      <c r="Z537" s="4">
        <v>256</v>
      </c>
      <c r="AA537" s="4">
        <f>=ROUNDDOWN(32,0)</f>
      </c>
      <c r="AB537" s="5">
        <v>8</v>
      </c>
      <c r="AC537" s="2" t="s">
        <v>235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235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235</v>
      </c>
      <c r="AW537" s="8" t="s">
        <v>235</v>
      </c>
      <c r="AX537" s="4" t="s">
        <v>235</v>
      </c>
      <c r="AY537" s="8" t="s">
        <v>235</v>
      </c>
      <c r="AZ537" s="7" t="s">
        <v>235</v>
      </c>
      <c r="BA537" s="7" t="s">
        <v>235</v>
      </c>
      <c r="BB537" s="7"/>
      <c r="BC537" s="4" t="s">
        <v>235</v>
      </c>
      <c r="BD537" s="8" t="s">
        <v>235</v>
      </c>
      <c r="BE537" s="4" t="s">
        <v>235</v>
      </c>
      <c r="BF537" s="8" t="s">
        <v>235</v>
      </c>
      <c r="BG537" s="7" t="s">
        <v>235</v>
      </c>
      <c r="BH537" s="7" t="s">
        <v>235</v>
      </c>
      <c r="BI537" s="7"/>
      <c r="BJ537" s="4">
        <v>13</v>
      </c>
      <c r="BK537" s="8">
        <v>558.17</v>
      </c>
      <c r="BL537" s="2" t="s">
        <v>2646</v>
      </c>
      <c r="BM537" s="7"/>
      <c r="BN537" s="7"/>
      <c r="BO537" s="4"/>
      <c r="BP537" s="8"/>
      <c r="BQ537" s="4"/>
      <c r="BR537" s="8"/>
      <c r="BS537" s="7"/>
      <c r="BT537" s="7"/>
      <c r="BU537" s="2" t="s">
        <v>2627</v>
      </c>
      <c r="BV537" s="2" t="s">
        <v>867</v>
      </c>
      <c r="BW537" s="2" t="s">
        <v>235</v>
      </c>
      <c r="BX537" s="2" t="s">
        <v>244</v>
      </c>
      <c r="BY537" s="2" t="s">
        <v>245</v>
      </c>
      <c r="BZ537" s="2" t="s">
        <v>232</v>
      </c>
      <c r="CA537" s="2" t="s">
        <v>2628</v>
      </c>
      <c r="CB537" s="2" t="s">
        <v>2632</v>
      </c>
      <c r="CC537" s="2" t="s">
        <v>248</v>
      </c>
      <c r="CD537" s="2" t="s">
        <v>248</v>
      </c>
      <c r="CE537" s="2" t="s">
        <v>235</v>
      </c>
      <c r="CF537" s="4">
        <v>256</v>
      </c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>
        <v>256</v>
      </c>
      <c r="GE537" s="4">
        <v>250</v>
      </c>
      <c r="GF537" s="4">
        <v>245</v>
      </c>
      <c r="GG537" s="4">
        <v>240</v>
      </c>
      <c r="GH537" s="4">
        <v>235</v>
      </c>
      <c r="GI537" s="4">
        <v>230</v>
      </c>
      <c r="GJ537" s="4">
        <v>221</v>
      </c>
      <c r="GK537" s="4">
        <v>213</v>
      </c>
      <c r="GL537" s="4">
        <v>204</v>
      </c>
      <c r="GM537" s="4">
        <v>196</v>
      </c>
      <c r="GN537" s="4">
        <v>187</v>
      </c>
      <c r="GO537" s="4">
        <v>177</v>
      </c>
      <c r="GP537" s="4">
        <v>168</v>
      </c>
      <c r="GQ537" s="4">
        <v>156</v>
      </c>
      <c r="GR537" s="4">
        <v>148</v>
      </c>
      <c r="GS537" s="4">
        <v>139</v>
      </c>
      <c r="GT537" s="4">
        <v>131</v>
      </c>
      <c r="GU537" s="4">
        <v>123</v>
      </c>
      <c r="GV537" s="4">
        <v>114</v>
      </c>
      <c r="GW537" s="4">
        <v>106</v>
      </c>
      <c r="GX537" s="4">
        <v>98</v>
      </c>
      <c r="GY537" s="4">
        <v>90</v>
      </c>
      <c r="GZ537" s="4">
        <v>82</v>
      </c>
      <c r="HA537" s="4">
        <v>74</v>
      </c>
      <c r="HB537" s="4">
        <v>66</v>
      </c>
      <c r="HC537" s="4">
        <v>57</v>
      </c>
      <c r="HD537" s="19">
        <v>51.2</v>
      </c>
      <c r="HE537" s="19">
        <v>50</v>
      </c>
      <c r="HF537" s="19">
        <v>40.8</v>
      </c>
      <c r="HG537" s="19">
        <v>34.3</v>
      </c>
      <c r="HH537" s="19">
        <v>29.4</v>
      </c>
      <c r="HI537" s="19">
        <v>28.8</v>
      </c>
      <c r="HJ537" s="19">
        <v>27.6</v>
      </c>
      <c r="HK537" s="19">
        <v>23.7</v>
      </c>
      <c r="HL537" s="19">
        <v>22.7</v>
      </c>
      <c r="HM537" s="19">
        <v>19.6</v>
      </c>
      <c r="HN537" s="19">
        <v>18.7</v>
      </c>
      <c r="HO537" s="19">
        <v>17.7</v>
      </c>
      <c r="HP537" s="19">
        <v>18.7</v>
      </c>
      <c r="HQ537" s="19">
        <v>19.5</v>
      </c>
      <c r="HR537" s="19">
        <v>18.5</v>
      </c>
      <c r="HS537" s="19">
        <v>17.4</v>
      </c>
      <c r="HT537" s="19">
        <v>16.4</v>
      </c>
      <c r="HU537" s="19">
        <v>15.4</v>
      </c>
      <c r="HV537" s="19">
        <v>14.3</v>
      </c>
      <c r="HW537" s="19">
        <v>13.3</v>
      </c>
      <c r="HX537" s="19">
        <v>12.3</v>
      </c>
      <c r="HY537" s="19">
        <v>11.3</v>
      </c>
      <c r="HZ537" s="19">
        <v>10.3</v>
      </c>
      <c r="IA537" s="19">
        <v>9.3</v>
      </c>
      <c r="IB537" s="19">
        <v>8.3</v>
      </c>
      <c r="IC537" s="19">
        <v>7.1</v>
      </c>
    </row>
    <row r="538">
      <c r="A538" s="2" t="s">
        <v>2647</v>
      </c>
      <c r="B538" s="2" t="s">
        <v>852</v>
      </c>
      <c r="C538" s="2" t="s">
        <v>324</v>
      </c>
      <c r="D538" s="2" t="s">
        <v>854</v>
      </c>
      <c r="E538" s="2" t="s">
        <v>2622</v>
      </c>
      <c r="F538" s="2" t="s">
        <v>2611</v>
      </c>
      <c r="G538" s="2" t="s">
        <v>2179</v>
      </c>
      <c r="H538" s="2" t="s">
        <v>2612</v>
      </c>
      <c r="I538" s="2" t="s">
        <v>2623</v>
      </c>
      <c r="J538" s="2" t="s">
        <v>2634</v>
      </c>
      <c r="K538" s="2" t="s">
        <v>2029</v>
      </c>
      <c r="L538" s="3">
        <v>43.24</v>
      </c>
      <c r="M538" s="3">
        <v>45.4</v>
      </c>
      <c r="N538" s="3">
        <v>89.99</v>
      </c>
      <c r="O538" s="2" t="s">
        <v>232</v>
      </c>
      <c r="P538" s="2" t="s">
        <v>233</v>
      </c>
      <c r="Q538" s="2" t="s">
        <v>234</v>
      </c>
      <c r="R538" s="2" t="s">
        <v>235</v>
      </c>
      <c r="S538" s="2" t="s">
        <v>2637</v>
      </c>
      <c r="T538" s="2" t="s">
        <v>501</v>
      </c>
      <c r="U538" s="2" t="s">
        <v>807</v>
      </c>
      <c r="V538" s="2" t="s">
        <v>238</v>
      </c>
      <c r="W538" s="2" t="s">
        <v>682</v>
      </c>
      <c r="X538" s="2" t="s">
        <v>235</v>
      </c>
      <c r="Y538" s="2" t="s">
        <v>2626</v>
      </c>
      <c r="Z538" s="4">
        <v>57</v>
      </c>
      <c r="AA538" s="4">
        <f>=ROUNDDOWN(19,0)</f>
      </c>
      <c r="AB538" s="5">
        <v>3</v>
      </c>
      <c r="AC538" s="2" t="s">
        <v>235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235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235</v>
      </c>
      <c r="AW538" s="8" t="s">
        <v>235</v>
      </c>
      <c r="AX538" s="4" t="s">
        <v>235</v>
      </c>
      <c r="AY538" s="8" t="s">
        <v>235</v>
      </c>
      <c r="AZ538" s="7" t="s">
        <v>235</v>
      </c>
      <c r="BA538" s="7" t="s">
        <v>235</v>
      </c>
      <c r="BB538" s="7"/>
      <c r="BC538" s="4" t="s">
        <v>235</v>
      </c>
      <c r="BD538" s="8" t="s">
        <v>235</v>
      </c>
      <c r="BE538" s="4" t="s">
        <v>235</v>
      </c>
      <c r="BF538" s="8" t="s">
        <v>235</v>
      </c>
      <c r="BG538" s="7" t="s">
        <v>235</v>
      </c>
      <c r="BH538" s="7" t="s">
        <v>235</v>
      </c>
      <c r="BI538" s="7"/>
      <c r="BJ538" s="4">
        <v>1</v>
      </c>
      <c r="BK538" s="8">
        <v>44.16</v>
      </c>
      <c r="BL538" s="2" t="s">
        <v>2648</v>
      </c>
      <c r="BM538" s="7"/>
      <c r="BN538" s="7"/>
      <c r="BO538" s="4"/>
      <c r="BP538" s="8"/>
      <c r="BQ538" s="4"/>
      <c r="BR538" s="8"/>
      <c r="BS538" s="7"/>
      <c r="BT538" s="7"/>
      <c r="BU538" s="2" t="s">
        <v>2627</v>
      </c>
      <c r="BV538" s="2" t="s">
        <v>867</v>
      </c>
      <c r="BW538" s="2" t="s">
        <v>235</v>
      </c>
      <c r="BX538" s="2" t="s">
        <v>244</v>
      </c>
      <c r="BY538" s="2" t="s">
        <v>245</v>
      </c>
      <c r="BZ538" s="2" t="s">
        <v>232</v>
      </c>
      <c r="CA538" s="2" t="s">
        <v>2628</v>
      </c>
      <c r="CB538" s="2" t="s">
        <v>2632</v>
      </c>
      <c r="CC538" s="2" t="s">
        <v>248</v>
      </c>
      <c r="CD538" s="2" t="s">
        <v>248</v>
      </c>
      <c r="CE538" s="2" t="s">
        <v>235</v>
      </c>
      <c r="CF538" s="4">
        <v>57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>
        <v>57</v>
      </c>
      <c r="GE538" s="4">
        <v>55</v>
      </c>
      <c r="GF538" s="4">
        <v>53</v>
      </c>
      <c r="GG538" s="4">
        <v>51</v>
      </c>
      <c r="GH538" s="4">
        <v>49</v>
      </c>
      <c r="GI538" s="4">
        <v>47</v>
      </c>
      <c r="GJ538" s="4">
        <v>45</v>
      </c>
      <c r="GK538" s="4">
        <v>43</v>
      </c>
      <c r="GL538" s="4">
        <v>41</v>
      </c>
      <c r="GM538" s="4">
        <v>39</v>
      </c>
      <c r="GN538" s="4">
        <v>37</v>
      </c>
      <c r="GO538" s="4">
        <v>34</v>
      </c>
      <c r="GP538" s="4">
        <v>32</v>
      </c>
      <c r="GQ538" s="4">
        <v>29</v>
      </c>
      <c r="GR538" s="4">
        <v>27</v>
      </c>
      <c r="GS538" s="4">
        <v>25</v>
      </c>
      <c r="GT538" s="4">
        <v>23</v>
      </c>
      <c r="GU538" s="4">
        <v>21</v>
      </c>
      <c r="GV538" s="4">
        <v>19</v>
      </c>
      <c r="GW538" s="4">
        <v>17</v>
      </c>
      <c r="GX538" s="4">
        <v>15</v>
      </c>
      <c r="GY538" s="4">
        <v>12</v>
      </c>
      <c r="GZ538" s="4">
        <v>9</v>
      </c>
      <c r="HA538" s="4">
        <v>6</v>
      </c>
      <c r="HB538" s="4">
        <v>3</v>
      </c>
      <c r="HC538" s="4"/>
      <c r="HD538" s="19">
        <v>28.5</v>
      </c>
      <c r="HE538" s="19">
        <v>27.5</v>
      </c>
      <c r="HF538" s="19">
        <v>26.5</v>
      </c>
      <c r="HG538" s="19">
        <v>25.5</v>
      </c>
      <c r="HH538" s="19">
        <v>24.5</v>
      </c>
      <c r="HI538" s="19">
        <v>23.5</v>
      </c>
      <c r="HJ538" s="19">
        <v>22.5</v>
      </c>
      <c r="HK538" s="19">
        <v>21.5</v>
      </c>
      <c r="HL538" s="19">
        <v>20.5</v>
      </c>
      <c r="HM538" s="19">
        <v>19.5</v>
      </c>
      <c r="HN538" s="19">
        <v>18.5</v>
      </c>
      <c r="HO538" s="19">
        <v>17</v>
      </c>
      <c r="HP538" s="19">
        <v>16</v>
      </c>
      <c r="HQ538" s="19">
        <v>14.5</v>
      </c>
      <c r="HR538" s="19">
        <v>13.5</v>
      </c>
      <c r="HS538" s="19">
        <v>12.5</v>
      </c>
      <c r="HT538" s="19">
        <v>11.5</v>
      </c>
      <c r="HU538" s="19">
        <v>10.5</v>
      </c>
      <c r="HV538" s="19">
        <v>9.5</v>
      </c>
      <c r="HW538" s="19">
        <v>5.7</v>
      </c>
      <c r="HX538" s="19">
        <v>5</v>
      </c>
      <c r="HY538" s="19">
        <v>4</v>
      </c>
      <c r="HZ538" s="19">
        <v>3</v>
      </c>
      <c r="IA538" s="19">
        <v>2</v>
      </c>
      <c r="IB538" s="19">
        <v>1</v>
      </c>
      <c r="IC538" s="20">
        <v>0</v>
      </c>
    </row>
    <row r="539">
      <c r="A539" s="2" t="s">
        <v>2649</v>
      </c>
      <c r="B539" s="2" t="s">
        <v>905</v>
      </c>
      <c r="C539" s="2" t="s">
        <v>678</v>
      </c>
      <c r="D539" s="2" t="s">
        <v>2650</v>
      </c>
      <c r="E539" s="2" t="s">
        <v>2651</v>
      </c>
      <c r="F539" s="2" t="s">
        <v>2652</v>
      </c>
      <c r="G539" s="2" t="s">
        <v>2652</v>
      </c>
      <c r="H539" s="2" t="s">
        <v>2652</v>
      </c>
      <c r="I539" s="2" t="s">
        <v>2653</v>
      </c>
      <c r="J539" s="2" t="s">
        <v>394</v>
      </c>
      <c r="K539" s="2" t="s">
        <v>316</v>
      </c>
      <c r="L539" s="3">
        <v>48.47</v>
      </c>
      <c r="M539" s="3">
        <v>50.89</v>
      </c>
      <c r="N539" s="3">
        <v>104.99</v>
      </c>
      <c r="O539" s="2" t="s">
        <v>232</v>
      </c>
      <c r="P539" s="2" t="s">
        <v>233</v>
      </c>
      <c r="Q539" s="2" t="s">
        <v>234</v>
      </c>
      <c r="R539" s="2" t="s">
        <v>235</v>
      </c>
      <c r="S539" s="2" t="s">
        <v>2654</v>
      </c>
      <c r="T539" s="2" t="s">
        <v>235</v>
      </c>
      <c r="U539" s="2" t="s">
        <v>807</v>
      </c>
      <c r="V539" s="2" t="s">
        <v>238</v>
      </c>
      <c r="W539" s="2" t="s">
        <v>239</v>
      </c>
      <c r="X539" s="2" t="s">
        <v>235</v>
      </c>
      <c r="Y539" s="2" t="s">
        <v>1853</v>
      </c>
      <c r="Z539" s="4">
        <v>797</v>
      </c>
      <c r="AA539" s="4">
        <f>=ROUNDDOWN(885.555555555556,0)</f>
      </c>
      <c r="AB539" s="5">
        <v>0.9</v>
      </c>
      <c r="AC539" s="2" t="s">
        <v>235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235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235</v>
      </c>
      <c r="AW539" s="8" t="s">
        <v>235</v>
      </c>
      <c r="AX539" s="4" t="s">
        <v>235</v>
      </c>
      <c r="AY539" s="8" t="s">
        <v>235</v>
      </c>
      <c r="AZ539" s="7" t="s">
        <v>235</v>
      </c>
      <c r="BA539" s="7" t="s">
        <v>235</v>
      </c>
      <c r="BB539" s="7"/>
      <c r="BC539" s="4" t="s">
        <v>235</v>
      </c>
      <c r="BD539" s="8" t="s">
        <v>235</v>
      </c>
      <c r="BE539" s="4" t="s">
        <v>235</v>
      </c>
      <c r="BF539" s="8" t="s">
        <v>235</v>
      </c>
      <c r="BG539" s="7" t="s">
        <v>235</v>
      </c>
      <c r="BH539" s="7" t="s">
        <v>235</v>
      </c>
      <c r="BI539" s="7"/>
      <c r="BJ539" s="4">
        <v>4</v>
      </c>
      <c r="BK539" s="8">
        <v>209.22</v>
      </c>
      <c r="BL539" s="2" t="s">
        <v>2067</v>
      </c>
      <c r="BM539" s="7"/>
      <c r="BN539" s="7"/>
      <c r="BO539" s="4"/>
      <c r="BP539" s="8"/>
      <c r="BQ539" s="4"/>
      <c r="BR539" s="8"/>
      <c r="BS539" s="7"/>
      <c r="BT539" s="7"/>
      <c r="BU539" s="2" t="s">
        <v>2655</v>
      </c>
      <c r="BV539" s="2" t="s">
        <v>243</v>
      </c>
      <c r="BW539" s="2" t="s">
        <v>235</v>
      </c>
      <c r="BX539" s="2" t="s">
        <v>244</v>
      </c>
      <c r="BY539" s="2" t="s">
        <v>245</v>
      </c>
      <c r="BZ539" s="2" t="s">
        <v>232</v>
      </c>
      <c r="CA539" s="2" t="s">
        <v>2656</v>
      </c>
      <c r="CB539" s="2" t="s">
        <v>2657</v>
      </c>
      <c r="CC539" s="2" t="s">
        <v>248</v>
      </c>
      <c r="CD539" s="2" t="s">
        <v>248</v>
      </c>
      <c r="CE539" s="2" t="s">
        <v>235</v>
      </c>
      <c r="CF539" s="4">
        <v>668</v>
      </c>
      <c r="CG539" s="4">
        <v>129</v>
      </c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>
        <v>833</v>
      </c>
      <c r="GE539" s="4">
        <v>832</v>
      </c>
      <c r="GF539" s="4">
        <v>831</v>
      </c>
      <c r="GG539" s="4">
        <v>830</v>
      </c>
      <c r="GH539" s="4">
        <v>827</v>
      </c>
      <c r="GI539" s="4">
        <v>824</v>
      </c>
      <c r="GJ539" s="4">
        <v>821</v>
      </c>
      <c r="GK539" s="4">
        <v>818</v>
      </c>
      <c r="GL539" s="4">
        <v>815</v>
      </c>
      <c r="GM539" s="4">
        <v>812</v>
      </c>
      <c r="GN539" s="4">
        <v>809</v>
      </c>
      <c r="GO539" s="4">
        <v>806</v>
      </c>
      <c r="GP539" s="4">
        <v>802</v>
      </c>
      <c r="GQ539" s="4">
        <v>799</v>
      </c>
      <c r="GR539" s="4">
        <v>794</v>
      </c>
      <c r="GS539" s="4">
        <v>790</v>
      </c>
      <c r="GT539" s="4">
        <v>787</v>
      </c>
      <c r="GU539" s="4">
        <v>786</v>
      </c>
      <c r="GV539" s="4">
        <v>785</v>
      </c>
      <c r="GW539" s="4">
        <v>784</v>
      </c>
      <c r="GX539" s="4">
        <v>783</v>
      </c>
      <c r="GY539" s="4">
        <v>782</v>
      </c>
      <c r="GZ539" s="4">
        <v>781</v>
      </c>
      <c r="HA539" s="4">
        <v>780</v>
      </c>
      <c r="HB539" s="4">
        <v>779</v>
      </c>
      <c r="HC539" s="4">
        <v>778</v>
      </c>
      <c r="HD539" s="19">
        <v>416.5</v>
      </c>
      <c r="HE539" s="19">
        <v>416</v>
      </c>
      <c r="HF539" s="19">
        <v>415.5</v>
      </c>
      <c r="HG539" s="19">
        <v>276.7</v>
      </c>
      <c r="HH539" s="19">
        <v>275.7</v>
      </c>
      <c r="HI539" s="19">
        <v>274.7</v>
      </c>
      <c r="HJ539" s="19">
        <v>273.7</v>
      </c>
      <c r="HK539" s="19">
        <v>272.7</v>
      </c>
      <c r="HL539" s="19">
        <v>271.7</v>
      </c>
      <c r="HM539" s="19">
        <v>270.7</v>
      </c>
      <c r="HN539" s="19">
        <v>202.3</v>
      </c>
      <c r="HO539" s="19">
        <v>201.5</v>
      </c>
      <c r="HP539" s="19">
        <v>200.5</v>
      </c>
      <c r="HQ539" s="19">
        <v>266.3</v>
      </c>
      <c r="HR539" s="19">
        <v>397</v>
      </c>
      <c r="HS539" s="19">
        <v>395</v>
      </c>
      <c r="HT539" s="19">
        <v>787</v>
      </c>
      <c r="HU539" s="19">
        <v>786</v>
      </c>
      <c r="HV539" s="19">
        <v>785</v>
      </c>
      <c r="HW539" s="19">
        <v>784</v>
      </c>
      <c r="HX539" s="19">
        <v>783</v>
      </c>
      <c r="HY539" s="19">
        <v>782</v>
      </c>
      <c r="HZ539" s="19">
        <v>781</v>
      </c>
      <c r="IA539" s="19">
        <v>780</v>
      </c>
      <c r="IB539" s="19">
        <v>779</v>
      </c>
      <c r="IC539" s="19">
        <v>778</v>
      </c>
    </row>
    <row r="540">
      <c r="A540" s="2" t="s">
        <v>2658</v>
      </c>
      <c r="B540" s="2" t="s">
        <v>905</v>
      </c>
      <c r="C540" s="2" t="s">
        <v>678</v>
      </c>
      <c r="D540" s="2" t="s">
        <v>2650</v>
      </c>
      <c r="E540" s="2" t="s">
        <v>2651</v>
      </c>
      <c r="F540" s="2" t="s">
        <v>2652</v>
      </c>
      <c r="G540" s="2" t="s">
        <v>2652</v>
      </c>
      <c r="H540" s="2" t="s">
        <v>2652</v>
      </c>
      <c r="I540" s="2" t="s">
        <v>2653</v>
      </c>
      <c r="J540" s="2" t="s">
        <v>250</v>
      </c>
      <c r="K540" s="2" t="s">
        <v>316</v>
      </c>
      <c r="L540" s="3">
        <v>54.07</v>
      </c>
      <c r="M540" s="3">
        <v>56.77</v>
      </c>
      <c r="N540" s="3">
        <v>109.99</v>
      </c>
      <c r="O540" s="2" t="s">
        <v>232</v>
      </c>
      <c r="P540" s="2" t="s">
        <v>233</v>
      </c>
      <c r="Q540" s="2" t="s">
        <v>234</v>
      </c>
      <c r="R540" s="2" t="s">
        <v>235</v>
      </c>
      <c r="S540" s="2" t="s">
        <v>2654</v>
      </c>
      <c r="T540" s="2" t="s">
        <v>235</v>
      </c>
      <c r="U540" s="2" t="s">
        <v>807</v>
      </c>
      <c r="V540" s="2" t="s">
        <v>238</v>
      </c>
      <c r="W540" s="2" t="s">
        <v>239</v>
      </c>
      <c r="X540" s="2" t="s">
        <v>235</v>
      </c>
      <c r="Y540" s="2" t="s">
        <v>1853</v>
      </c>
      <c r="Z540" s="4">
        <v>731</v>
      </c>
      <c r="AA540" s="4">
        <f>=ROUNDDOWN(192.368421052632,0)</f>
      </c>
      <c r="AB540" s="5">
        <v>3.8</v>
      </c>
      <c r="AC540" s="2" t="s">
        <v>235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235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235</v>
      </c>
      <c r="AW540" s="8" t="s">
        <v>235</v>
      </c>
      <c r="AX540" s="4" t="s">
        <v>235</v>
      </c>
      <c r="AY540" s="8" t="s">
        <v>235</v>
      </c>
      <c r="AZ540" s="7" t="s">
        <v>235</v>
      </c>
      <c r="BA540" s="7" t="s">
        <v>235</v>
      </c>
      <c r="BB540" s="7"/>
      <c r="BC540" s="4" t="s">
        <v>235</v>
      </c>
      <c r="BD540" s="8" t="s">
        <v>235</v>
      </c>
      <c r="BE540" s="4" t="s">
        <v>235</v>
      </c>
      <c r="BF540" s="8" t="s">
        <v>235</v>
      </c>
      <c r="BG540" s="7" t="s">
        <v>235</v>
      </c>
      <c r="BH540" s="7" t="s">
        <v>235</v>
      </c>
      <c r="BI540" s="7"/>
      <c r="BJ540" s="4">
        <v>2</v>
      </c>
      <c r="BK540" s="8">
        <v>121.51</v>
      </c>
      <c r="BL540" s="2" t="s">
        <v>2659</v>
      </c>
      <c r="BM540" s="7"/>
      <c r="BN540" s="7"/>
      <c r="BO540" s="4"/>
      <c r="BP540" s="8"/>
      <c r="BQ540" s="4"/>
      <c r="BR540" s="8"/>
      <c r="BS540" s="7"/>
      <c r="BT540" s="7"/>
      <c r="BU540" s="2" t="s">
        <v>2655</v>
      </c>
      <c r="BV540" s="2" t="s">
        <v>243</v>
      </c>
      <c r="BW540" s="2" t="s">
        <v>235</v>
      </c>
      <c r="BX540" s="2" t="s">
        <v>244</v>
      </c>
      <c r="BY540" s="2" t="s">
        <v>245</v>
      </c>
      <c r="BZ540" s="2" t="s">
        <v>232</v>
      </c>
      <c r="CA540" s="2" t="s">
        <v>2656</v>
      </c>
      <c r="CB540" s="2" t="s">
        <v>2660</v>
      </c>
      <c r="CC540" s="2" t="s">
        <v>248</v>
      </c>
      <c r="CD540" s="2" t="s">
        <v>248</v>
      </c>
      <c r="CE540" s="2" t="s">
        <v>235</v>
      </c>
      <c r="CF540" s="4">
        <v>445</v>
      </c>
      <c r="CG540" s="4">
        <v>144</v>
      </c>
      <c r="CH540" s="4"/>
      <c r="CI540" s="4">
        <v>142</v>
      </c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>
        <v>809</v>
      </c>
      <c r="GE540" s="4">
        <v>808</v>
      </c>
      <c r="GF540" s="4">
        <v>807</v>
      </c>
      <c r="GG540" s="4">
        <v>806</v>
      </c>
      <c r="GH540" s="4">
        <v>805</v>
      </c>
      <c r="GI540" s="4">
        <v>800</v>
      </c>
      <c r="GJ540" s="4">
        <v>795</v>
      </c>
      <c r="GK540" s="4">
        <v>790</v>
      </c>
      <c r="GL540" s="4">
        <v>785</v>
      </c>
      <c r="GM540" s="4">
        <v>781</v>
      </c>
      <c r="GN540" s="4">
        <v>777</v>
      </c>
      <c r="GO540" s="4">
        <v>771</v>
      </c>
      <c r="GP540" s="4">
        <v>761</v>
      </c>
      <c r="GQ540" s="4">
        <v>751</v>
      </c>
      <c r="GR540" s="4">
        <v>735</v>
      </c>
      <c r="GS540" s="4">
        <v>720</v>
      </c>
      <c r="GT540" s="4">
        <v>708</v>
      </c>
      <c r="GU540" s="4">
        <v>703</v>
      </c>
      <c r="GV540" s="4">
        <v>697</v>
      </c>
      <c r="GW540" s="4">
        <v>692</v>
      </c>
      <c r="GX540" s="4">
        <v>687</v>
      </c>
      <c r="GY540" s="4">
        <v>682</v>
      </c>
      <c r="GZ540" s="4">
        <v>680</v>
      </c>
      <c r="HA540" s="4">
        <v>678</v>
      </c>
      <c r="HB540" s="4">
        <v>676</v>
      </c>
      <c r="HC540" s="4">
        <v>674</v>
      </c>
      <c r="HD540" s="19">
        <v>809</v>
      </c>
      <c r="HE540" s="19">
        <v>404</v>
      </c>
      <c r="HF540" s="19">
        <v>269</v>
      </c>
      <c r="HG540" s="19">
        <v>201.5</v>
      </c>
      <c r="HH540" s="19">
        <v>161</v>
      </c>
      <c r="HI540" s="19">
        <v>160</v>
      </c>
      <c r="HJ540" s="19">
        <v>198.8</v>
      </c>
      <c r="HK540" s="19">
        <v>158</v>
      </c>
      <c r="HL540" s="19">
        <v>130.8</v>
      </c>
      <c r="HM540" s="19">
        <v>97.6</v>
      </c>
      <c r="HN540" s="19">
        <v>77.7</v>
      </c>
      <c r="HO540" s="19">
        <v>59.3</v>
      </c>
      <c r="HP540" s="19">
        <v>58.5</v>
      </c>
      <c r="HQ540" s="19">
        <v>62.6</v>
      </c>
      <c r="HR540" s="19">
        <v>73.5</v>
      </c>
      <c r="HS540" s="19">
        <v>102.9</v>
      </c>
      <c r="HT540" s="19">
        <v>141.6</v>
      </c>
      <c r="HU540" s="19">
        <v>140.6</v>
      </c>
      <c r="HV540" s="19">
        <v>174.3</v>
      </c>
      <c r="HW540" s="19">
        <v>173</v>
      </c>
      <c r="HX540" s="19">
        <v>229</v>
      </c>
      <c r="HY540" s="19">
        <v>341</v>
      </c>
      <c r="HZ540" s="19">
        <v>340</v>
      </c>
      <c r="IA540" s="19">
        <v>339</v>
      </c>
      <c r="IB540" s="19">
        <v>338</v>
      </c>
      <c r="IC540" s="19">
        <v>337</v>
      </c>
    </row>
    <row r="541">
      <c r="A541" s="2" t="s">
        <v>2661</v>
      </c>
      <c r="B541" s="2" t="s">
        <v>255</v>
      </c>
      <c r="C541" s="2" t="s">
        <v>256</v>
      </c>
      <c r="D541" s="2" t="s">
        <v>361</v>
      </c>
      <c r="E541" s="2" t="s">
        <v>872</v>
      </c>
      <c r="F541" s="2" t="s">
        <v>2662</v>
      </c>
      <c r="G541" s="2" t="s">
        <v>2662</v>
      </c>
      <c r="H541" s="2" t="s">
        <v>2662</v>
      </c>
      <c r="I541" s="2" t="s">
        <v>2663</v>
      </c>
      <c r="J541" s="2" t="s">
        <v>365</v>
      </c>
      <c r="K541" s="2" t="s">
        <v>231</v>
      </c>
      <c r="L541" s="3">
        <v>64</v>
      </c>
      <c r="M541" s="3">
        <v>67.2</v>
      </c>
      <c r="N541" s="3">
        <v>159.99</v>
      </c>
      <c r="O541" s="2" t="s">
        <v>232</v>
      </c>
      <c r="P541" s="2" t="s">
        <v>262</v>
      </c>
      <c r="Q541" s="2" t="s">
        <v>234</v>
      </c>
      <c r="R541" s="2" t="s">
        <v>235</v>
      </c>
      <c r="S541" s="2" t="s">
        <v>235</v>
      </c>
      <c r="T541" s="2" t="s">
        <v>2664</v>
      </c>
      <c r="U541" s="2" t="s">
        <v>807</v>
      </c>
      <c r="V541" s="2" t="s">
        <v>238</v>
      </c>
      <c r="W541" s="2" t="s">
        <v>1052</v>
      </c>
      <c r="X541" s="2" t="s">
        <v>235</v>
      </c>
      <c r="Y541" s="2" t="s">
        <v>2665</v>
      </c>
      <c r="Z541" s="4">
        <v>117</v>
      </c>
      <c r="AA541" s="4">
        <f>=ROUNDDOWN(29.25,0)</f>
      </c>
      <c r="AB541" s="5">
        <v>4</v>
      </c>
      <c r="AC541" s="2" t="s">
        <v>2666</v>
      </c>
      <c r="AD541" s="4">
        <v>39</v>
      </c>
      <c r="AE541" s="4">
        <v>39</v>
      </c>
      <c r="AF541" s="6"/>
      <c r="AG541" s="6">
        <v>48</v>
      </c>
      <c r="AH541" s="7">
        <v>1</v>
      </c>
      <c r="AI541" s="4"/>
      <c r="AJ541" s="4">
        <f>=ROUNDDOWN({0},0)</f>
      </c>
      <c r="AK541" s="5"/>
      <c r="AL541" s="2" t="s">
        <v>235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235</v>
      </c>
      <c r="AW541" s="8" t="s">
        <v>235</v>
      </c>
      <c r="AX541" s="4" t="s">
        <v>235</v>
      </c>
      <c r="AY541" s="8" t="s">
        <v>235</v>
      </c>
      <c r="AZ541" s="7" t="s">
        <v>235</v>
      </c>
      <c r="BA541" s="7" t="s">
        <v>235</v>
      </c>
      <c r="BB541" s="7"/>
      <c r="BC541" s="4" t="s">
        <v>235</v>
      </c>
      <c r="BD541" s="8" t="s">
        <v>235</v>
      </c>
      <c r="BE541" s="4" t="s">
        <v>235</v>
      </c>
      <c r="BF541" s="8" t="s">
        <v>235</v>
      </c>
      <c r="BG541" s="7" t="s">
        <v>235</v>
      </c>
      <c r="BH541" s="7" t="s">
        <v>235</v>
      </c>
      <c r="BI541" s="7"/>
      <c r="BJ541" s="4">
        <v>2</v>
      </c>
      <c r="BK541" s="8"/>
      <c r="BL541" s="2" t="s">
        <v>1949</v>
      </c>
      <c r="BM541" s="7"/>
      <c r="BN541" s="7"/>
      <c r="BO541" s="4"/>
      <c r="BP541" s="8"/>
      <c r="BQ541" s="4"/>
      <c r="BR541" s="8"/>
      <c r="BS541" s="7"/>
      <c r="BT541" s="7"/>
      <c r="BU541" s="2" t="s">
        <v>2667</v>
      </c>
      <c r="BV541" s="2" t="s">
        <v>235</v>
      </c>
      <c r="BW541" s="2" t="s">
        <v>235</v>
      </c>
      <c r="BX541" s="2" t="s">
        <v>244</v>
      </c>
      <c r="BY541" s="2" t="s">
        <v>245</v>
      </c>
      <c r="BZ541" s="2" t="s">
        <v>232</v>
      </c>
      <c r="CA541" s="2" t="s">
        <v>235</v>
      </c>
      <c r="CB541" s="2" t="s">
        <v>235</v>
      </c>
      <c r="CC541" s="2" t="s">
        <v>248</v>
      </c>
      <c r="CD541" s="2" t="s">
        <v>248</v>
      </c>
      <c r="CE541" s="2" t="s">
        <v>235</v>
      </c>
      <c r="CF541" s="4"/>
      <c r="CG541" s="4"/>
      <c r="CH541" s="4"/>
      <c r="CI541" s="4">
        <v>117</v>
      </c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>
        <v>39</v>
      </c>
      <c r="FX541" s="4"/>
      <c r="FY541" s="4"/>
      <c r="FZ541" s="4"/>
      <c r="GA541" s="4"/>
      <c r="GB541" s="4"/>
      <c r="GC541" s="4"/>
      <c r="GD541" s="4">
        <v>117</v>
      </c>
      <c r="GE541" s="4">
        <v>111</v>
      </c>
      <c r="GF541" s="4">
        <v>105</v>
      </c>
      <c r="GG541" s="4">
        <v>100</v>
      </c>
      <c r="GH541" s="4">
        <v>95</v>
      </c>
      <c r="GI541" s="4">
        <v>91</v>
      </c>
      <c r="GJ541" s="4">
        <v>87</v>
      </c>
      <c r="GK541" s="4">
        <v>83</v>
      </c>
      <c r="GL541" s="4">
        <v>79</v>
      </c>
      <c r="GM541" s="4">
        <v>75</v>
      </c>
      <c r="GN541" s="4">
        <v>71</v>
      </c>
      <c r="GO541" s="4">
        <v>67</v>
      </c>
      <c r="GP541" s="4">
        <v>62</v>
      </c>
      <c r="GQ541" s="4">
        <v>57</v>
      </c>
      <c r="GR541" s="4">
        <v>53</v>
      </c>
      <c r="GS541" s="4">
        <v>49</v>
      </c>
      <c r="GT541" s="4">
        <v>45</v>
      </c>
      <c r="GU541" s="4">
        <v>42</v>
      </c>
      <c r="GV541" s="4">
        <v>77</v>
      </c>
      <c r="GW541" s="4">
        <v>74</v>
      </c>
      <c r="GX541" s="4">
        <v>71</v>
      </c>
      <c r="GY541" s="4">
        <v>68</v>
      </c>
      <c r="GZ541" s="4">
        <v>65</v>
      </c>
      <c r="HA541" s="4">
        <v>62</v>
      </c>
      <c r="HB541" s="4">
        <v>59</v>
      </c>
      <c r="HC541" s="4">
        <v>55</v>
      </c>
      <c r="HD541" s="19">
        <v>19.5</v>
      </c>
      <c r="HE541" s="19">
        <v>22.2</v>
      </c>
      <c r="HF541" s="19">
        <v>26.3</v>
      </c>
      <c r="HG541" s="19">
        <v>25</v>
      </c>
      <c r="HH541" s="19">
        <v>23.8</v>
      </c>
      <c r="HI541" s="19">
        <v>22.8</v>
      </c>
      <c r="HJ541" s="19">
        <v>21.8</v>
      </c>
      <c r="HK541" s="19">
        <v>20.8</v>
      </c>
      <c r="HL541" s="19">
        <v>19.8</v>
      </c>
      <c r="HM541" s="19">
        <v>18.8</v>
      </c>
      <c r="HN541" s="19">
        <v>17.8</v>
      </c>
      <c r="HO541" s="19">
        <v>16.8</v>
      </c>
      <c r="HP541" s="19">
        <v>15.5</v>
      </c>
      <c r="HQ541" s="19">
        <v>14.3</v>
      </c>
      <c r="HR541" s="19">
        <v>13.3</v>
      </c>
      <c r="HS541" s="19">
        <v>12.3</v>
      </c>
      <c r="HT541" s="19">
        <v>15</v>
      </c>
      <c r="HU541" s="19">
        <v>14</v>
      </c>
      <c r="HV541" s="19">
        <v>25.7</v>
      </c>
      <c r="HW541" s="19">
        <v>24.7</v>
      </c>
      <c r="HX541" s="19">
        <v>23.7</v>
      </c>
      <c r="HY541" s="19">
        <v>22.7</v>
      </c>
      <c r="HZ541" s="19">
        <v>21.7</v>
      </c>
      <c r="IA541" s="19">
        <v>20.7</v>
      </c>
      <c r="IB541" s="19">
        <v>19.7</v>
      </c>
      <c r="IC541" s="19">
        <v>18.3</v>
      </c>
    </row>
    <row r="542">
      <c r="A542" s="2" t="s">
        <v>2668</v>
      </c>
      <c r="B542" s="2" t="s">
        <v>255</v>
      </c>
      <c r="C542" s="2" t="s">
        <v>256</v>
      </c>
      <c r="D542" s="2" t="s">
        <v>257</v>
      </c>
      <c r="E542" s="2" t="s">
        <v>258</v>
      </c>
      <c r="F542" s="2" t="s">
        <v>2662</v>
      </c>
      <c r="G542" s="2" t="s">
        <v>2662</v>
      </c>
      <c r="H542" s="2" t="s">
        <v>2662</v>
      </c>
      <c r="I542" s="2" t="s">
        <v>2669</v>
      </c>
      <c r="J542" s="2" t="s">
        <v>261</v>
      </c>
      <c r="K542" s="2" t="s">
        <v>231</v>
      </c>
      <c r="L542" s="3">
        <v>64</v>
      </c>
      <c r="M542" s="3">
        <v>67.2</v>
      </c>
      <c r="N542" s="3">
        <v>159.99</v>
      </c>
      <c r="O542" s="2" t="s">
        <v>232</v>
      </c>
      <c r="P542" s="2" t="s">
        <v>262</v>
      </c>
      <c r="Q542" s="2" t="s">
        <v>234</v>
      </c>
      <c r="R542" s="2" t="s">
        <v>235</v>
      </c>
      <c r="S542" s="2" t="s">
        <v>235</v>
      </c>
      <c r="T542" s="2" t="s">
        <v>2664</v>
      </c>
      <c r="U542" s="2" t="s">
        <v>264</v>
      </c>
      <c r="V542" s="2" t="s">
        <v>238</v>
      </c>
      <c r="W542" s="2" t="s">
        <v>1052</v>
      </c>
      <c r="X542" s="2" t="s">
        <v>235</v>
      </c>
      <c r="Y542" s="2" t="s">
        <v>2665</v>
      </c>
      <c r="Z542" s="4">
        <v>118</v>
      </c>
      <c r="AA542" s="4">
        <f>=ROUNDDOWN(29.5,0)</f>
      </c>
      <c r="AB542" s="5">
        <v>4</v>
      </c>
      <c r="AC542" s="2" t="s">
        <v>2670</v>
      </c>
      <c r="AD542" s="4">
        <v>66</v>
      </c>
      <c r="AE542" s="4">
        <v>66</v>
      </c>
      <c r="AF542" s="6"/>
      <c r="AG542" s="6">
        <v>48</v>
      </c>
      <c r="AH542" s="7">
        <v>1</v>
      </c>
      <c r="AI542" s="4"/>
      <c r="AJ542" s="4">
        <f>=ROUNDDOWN({0},0)</f>
      </c>
      <c r="AK542" s="5"/>
      <c r="AL542" s="2" t="s">
        <v>235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235</v>
      </c>
      <c r="AW542" s="8" t="s">
        <v>235</v>
      </c>
      <c r="AX542" s="4" t="s">
        <v>235</v>
      </c>
      <c r="AY542" s="8" t="s">
        <v>235</v>
      </c>
      <c r="AZ542" s="7" t="s">
        <v>235</v>
      </c>
      <c r="BA542" s="7" t="s">
        <v>235</v>
      </c>
      <c r="BB542" s="7"/>
      <c r="BC542" s="4" t="s">
        <v>235</v>
      </c>
      <c r="BD542" s="8" t="s">
        <v>235</v>
      </c>
      <c r="BE542" s="4" t="s">
        <v>235</v>
      </c>
      <c r="BF542" s="8" t="s">
        <v>235</v>
      </c>
      <c r="BG542" s="7" t="s">
        <v>235</v>
      </c>
      <c r="BH542" s="7" t="s">
        <v>235</v>
      </c>
      <c r="BI542" s="7"/>
      <c r="BJ542" s="4"/>
      <c r="BK542" s="8"/>
      <c r="BL542" s="2" t="s">
        <v>235</v>
      </c>
      <c r="BM542" s="7"/>
      <c r="BN542" s="7"/>
      <c r="BO542" s="4"/>
      <c r="BP542" s="8"/>
      <c r="BQ542" s="4"/>
      <c r="BR542" s="8"/>
      <c r="BS542" s="7"/>
      <c r="BT542" s="7"/>
      <c r="BU542" s="2" t="s">
        <v>2671</v>
      </c>
      <c r="BV542" s="2" t="s">
        <v>235</v>
      </c>
      <c r="BW542" s="2" t="s">
        <v>235</v>
      </c>
      <c r="BX542" s="2" t="s">
        <v>244</v>
      </c>
      <c r="BY542" s="2" t="s">
        <v>245</v>
      </c>
      <c r="BZ542" s="2" t="s">
        <v>232</v>
      </c>
      <c r="CA542" s="2" t="s">
        <v>235</v>
      </c>
      <c r="CB542" s="2" t="s">
        <v>235</v>
      </c>
      <c r="CC542" s="2" t="s">
        <v>248</v>
      </c>
      <c r="CD542" s="2" t="s">
        <v>248</v>
      </c>
      <c r="CE542" s="2" t="s">
        <v>235</v>
      </c>
      <c r="CF542" s="4"/>
      <c r="CG542" s="4"/>
      <c r="CH542" s="4"/>
      <c r="CI542" s="4">
        <v>118</v>
      </c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>
        <v>66</v>
      </c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>
        <v>118</v>
      </c>
      <c r="GE542" s="4">
        <v>105</v>
      </c>
      <c r="GF542" s="4">
        <v>99</v>
      </c>
      <c r="GG542" s="4">
        <v>94</v>
      </c>
      <c r="GH542" s="4">
        <v>89</v>
      </c>
      <c r="GI542" s="4">
        <v>85</v>
      </c>
      <c r="GJ542" s="4">
        <v>81</v>
      </c>
      <c r="GK542" s="4">
        <v>77</v>
      </c>
      <c r="GL542" s="4">
        <v>73</v>
      </c>
      <c r="GM542" s="4">
        <v>69</v>
      </c>
      <c r="GN542" s="4">
        <v>65</v>
      </c>
      <c r="GO542" s="4">
        <v>61</v>
      </c>
      <c r="GP542" s="4">
        <v>56</v>
      </c>
      <c r="GQ542" s="4">
        <v>51</v>
      </c>
      <c r="GR542" s="4">
        <v>113</v>
      </c>
      <c r="GS542" s="4">
        <v>109</v>
      </c>
      <c r="GT542" s="4">
        <v>242</v>
      </c>
      <c r="GU542" s="4">
        <v>239</v>
      </c>
      <c r="GV542" s="4">
        <v>235</v>
      </c>
      <c r="GW542" s="4">
        <v>232</v>
      </c>
      <c r="GX542" s="4">
        <v>229</v>
      </c>
      <c r="GY542" s="4">
        <v>226</v>
      </c>
      <c r="GZ542" s="4">
        <v>223</v>
      </c>
      <c r="HA542" s="4">
        <v>220</v>
      </c>
      <c r="HB542" s="4">
        <v>217</v>
      </c>
      <c r="HC542" s="4">
        <v>213</v>
      </c>
      <c r="HD542" s="19">
        <v>16.9</v>
      </c>
      <c r="HE542" s="19">
        <v>21</v>
      </c>
      <c r="HF542" s="19">
        <v>24.8</v>
      </c>
      <c r="HG542" s="19">
        <v>23.5</v>
      </c>
      <c r="HH542" s="19">
        <v>22.3</v>
      </c>
      <c r="HI542" s="19">
        <v>21.3</v>
      </c>
      <c r="HJ542" s="19">
        <v>20.3</v>
      </c>
      <c r="HK542" s="19">
        <v>19.3</v>
      </c>
      <c r="HL542" s="19">
        <v>18.3</v>
      </c>
      <c r="HM542" s="19">
        <v>17.3</v>
      </c>
      <c r="HN542" s="19">
        <v>16.3</v>
      </c>
      <c r="HO542" s="19">
        <v>15.3</v>
      </c>
      <c r="HP542" s="19">
        <v>14</v>
      </c>
      <c r="HQ542" s="19">
        <v>12.8</v>
      </c>
      <c r="HR542" s="19">
        <v>28.3</v>
      </c>
      <c r="HS542" s="19">
        <v>27.3</v>
      </c>
      <c r="HT542" s="19">
        <v>80.7</v>
      </c>
      <c r="HU542" s="19">
        <v>79.7</v>
      </c>
      <c r="HV542" s="19">
        <v>78.3</v>
      </c>
      <c r="HW542" s="19">
        <v>77.3</v>
      </c>
      <c r="HX542" s="19">
        <v>76.3</v>
      </c>
      <c r="HY542" s="19">
        <v>75.3</v>
      </c>
      <c r="HZ542" s="19">
        <v>74.3</v>
      </c>
      <c r="IA542" s="19">
        <v>73.3</v>
      </c>
      <c r="IB542" s="19">
        <v>72.3</v>
      </c>
      <c r="IC542" s="19">
        <v>71</v>
      </c>
    </row>
    <row r="543">
      <c r="A543" s="2" t="s">
        <v>2672</v>
      </c>
      <c r="B543" s="2" t="s">
        <v>255</v>
      </c>
      <c r="C543" s="2" t="s">
        <v>256</v>
      </c>
      <c r="D543" s="2" t="s">
        <v>257</v>
      </c>
      <c r="E543" s="2" t="s">
        <v>258</v>
      </c>
      <c r="F543" s="2" t="s">
        <v>2662</v>
      </c>
      <c r="G543" s="2" t="s">
        <v>2662</v>
      </c>
      <c r="H543" s="2" t="s">
        <v>2662</v>
      </c>
      <c r="I543" s="2" t="s">
        <v>2669</v>
      </c>
      <c r="J543" s="2" t="s">
        <v>270</v>
      </c>
      <c r="K543" s="2" t="s">
        <v>231</v>
      </c>
      <c r="L543" s="3">
        <v>68</v>
      </c>
      <c r="M543" s="3">
        <v>71.4</v>
      </c>
      <c r="N543" s="3">
        <v>169.99</v>
      </c>
      <c r="O543" s="2" t="s">
        <v>232</v>
      </c>
      <c r="P543" s="2" t="s">
        <v>262</v>
      </c>
      <c r="Q543" s="2" t="s">
        <v>234</v>
      </c>
      <c r="R543" s="2" t="s">
        <v>235</v>
      </c>
      <c r="S543" s="2" t="s">
        <v>235</v>
      </c>
      <c r="T543" s="2" t="s">
        <v>2664</v>
      </c>
      <c r="U543" s="2" t="s">
        <v>264</v>
      </c>
      <c r="V543" s="2" t="s">
        <v>238</v>
      </c>
      <c r="W543" s="2" t="s">
        <v>1052</v>
      </c>
      <c r="X543" s="2" t="s">
        <v>235</v>
      </c>
      <c r="Y543" s="2" t="s">
        <v>2665</v>
      </c>
      <c r="Z543" s="4">
        <v>118</v>
      </c>
      <c r="AA543" s="4">
        <f>=ROUNDDOWN(29.5,0)</f>
      </c>
      <c r="AB543" s="5">
        <v>4</v>
      </c>
      <c r="AC543" s="2" t="s">
        <v>2670</v>
      </c>
      <c r="AD543" s="4">
        <v>84</v>
      </c>
      <c r="AE543" s="4">
        <v>84</v>
      </c>
      <c r="AF543" s="6"/>
      <c r="AG543" s="6">
        <v>48</v>
      </c>
      <c r="AH543" s="7">
        <v>1</v>
      </c>
      <c r="AI543" s="4"/>
      <c r="AJ543" s="4">
        <f>=ROUNDDOWN({0},0)</f>
      </c>
      <c r="AK543" s="5"/>
      <c r="AL543" s="2" t="s">
        <v>235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235</v>
      </c>
      <c r="AW543" s="8" t="s">
        <v>235</v>
      </c>
      <c r="AX543" s="4" t="s">
        <v>235</v>
      </c>
      <c r="AY543" s="8" t="s">
        <v>235</v>
      </c>
      <c r="AZ543" s="7" t="s">
        <v>235</v>
      </c>
      <c r="BA543" s="7" t="s">
        <v>235</v>
      </c>
      <c r="BB543" s="7"/>
      <c r="BC543" s="4" t="s">
        <v>235</v>
      </c>
      <c r="BD543" s="8" t="s">
        <v>235</v>
      </c>
      <c r="BE543" s="4" t="s">
        <v>235</v>
      </c>
      <c r="BF543" s="8" t="s">
        <v>235</v>
      </c>
      <c r="BG543" s="7" t="s">
        <v>235</v>
      </c>
      <c r="BH543" s="7" t="s">
        <v>235</v>
      </c>
      <c r="BI543" s="7"/>
      <c r="BJ543" s="4">
        <v>7</v>
      </c>
      <c r="BK543" s="8">
        <v>639.19</v>
      </c>
      <c r="BL543" s="2" t="s">
        <v>2673</v>
      </c>
      <c r="BM543" s="7"/>
      <c r="BN543" s="7"/>
      <c r="BO543" s="4"/>
      <c r="BP543" s="8"/>
      <c r="BQ543" s="4"/>
      <c r="BR543" s="8"/>
      <c r="BS543" s="7"/>
      <c r="BT543" s="7"/>
      <c r="BU543" s="2" t="s">
        <v>2671</v>
      </c>
      <c r="BV543" s="2" t="s">
        <v>235</v>
      </c>
      <c r="BW543" s="2" t="s">
        <v>235</v>
      </c>
      <c r="BX543" s="2" t="s">
        <v>244</v>
      </c>
      <c r="BY543" s="2" t="s">
        <v>245</v>
      </c>
      <c r="BZ543" s="2" t="s">
        <v>232</v>
      </c>
      <c r="CA543" s="2" t="s">
        <v>235</v>
      </c>
      <c r="CB543" s="2" t="s">
        <v>235</v>
      </c>
      <c r="CC543" s="2" t="s">
        <v>248</v>
      </c>
      <c r="CD543" s="2" t="s">
        <v>248</v>
      </c>
      <c r="CE543" s="2" t="s">
        <v>235</v>
      </c>
      <c r="CF543" s="4"/>
      <c r="CG543" s="4"/>
      <c r="CH543" s="4"/>
      <c r="CI543" s="4">
        <v>118</v>
      </c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>
        <v>84</v>
      </c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>
        <v>118</v>
      </c>
      <c r="GE543" s="4">
        <v>112</v>
      </c>
      <c r="GF543" s="4">
        <v>106</v>
      </c>
      <c r="GG543" s="4">
        <v>101</v>
      </c>
      <c r="GH543" s="4">
        <v>96</v>
      </c>
      <c r="GI543" s="4">
        <v>92</v>
      </c>
      <c r="GJ543" s="4">
        <v>88</v>
      </c>
      <c r="GK543" s="4">
        <v>84</v>
      </c>
      <c r="GL543" s="4">
        <v>80</v>
      </c>
      <c r="GM543" s="4">
        <v>76</v>
      </c>
      <c r="GN543" s="4">
        <v>72</v>
      </c>
      <c r="GO543" s="4">
        <v>68</v>
      </c>
      <c r="GP543" s="4">
        <v>63</v>
      </c>
      <c r="GQ543" s="4">
        <v>58</v>
      </c>
      <c r="GR543" s="4">
        <v>138</v>
      </c>
      <c r="GS543" s="4">
        <v>134</v>
      </c>
      <c r="GT543" s="4">
        <v>245</v>
      </c>
      <c r="GU543" s="4">
        <v>242</v>
      </c>
      <c r="GV543" s="4">
        <v>238</v>
      </c>
      <c r="GW543" s="4">
        <v>235</v>
      </c>
      <c r="GX543" s="4">
        <v>232</v>
      </c>
      <c r="GY543" s="4">
        <v>229</v>
      </c>
      <c r="GZ543" s="4">
        <v>226</v>
      </c>
      <c r="HA543" s="4">
        <v>223</v>
      </c>
      <c r="HB543" s="4">
        <v>220</v>
      </c>
      <c r="HC543" s="4">
        <v>216</v>
      </c>
      <c r="HD543" s="19">
        <v>19.7</v>
      </c>
      <c r="HE543" s="19">
        <v>22.4</v>
      </c>
      <c r="HF543" s="19">
        <v>26.5</v>
      </c>
      <c r="HG543" s="19">
        <v>25.3</v>
      </c>
      <c r="HH543" s="19">
        <v>24</v>
      </c>
      <c r="HI543" s="19">
        <v>23</v>
      </c>
      <c r="HJ543" s="19">
        <v>22</v>
      </c>
      <c r="HK543" s="19">
        <v>21</v>
      </c>
      <c r="HL543" s="19">
        <v>20</v>
      </c>
      <c r="HM543" s="19">
        <v>19</v>
      </c>
      <c r="HN543" s="19">
        <v>18</v>
      </c>
      <c r="HO543" s="19">
        <v>17</v>
      </c>
      <c r="HP543" s="19">
        <v>15.8</v>
      </c>
      <c r="HQ543" s="19">
        <v>14.5</v>
      </c>
      <c r="HR543" s="19">
        <v>34.5</v>
      </c>
      <c r="HS543" s="19">
        <v>33.5</v>
      </c>
      <c r="HT543" s="19">
        <v>81.7</v>
      </c>
      <c r="HU543" s="19">
        <v>80.7</v>
      </c>
      <c r="HV543" s="19">
        <v>79.3</v>
      </c>
      <c r="HW543" s="19">
        <v>78.3</v>
      </c>
      <c r="HX543" s="19">
        <v>77.3</v>
      </c>
      <c r="HY543" s="19">
        <v>76.3</v>
      </c>
      <c r="HZ543" s="19">
        <v>75.3</v>
      </c>
      <c r="IA543" s="19">
        <v>74.3</v>
      </c>
      <c r="IB543" s="19">
        <v>73.3</v>
      </c>
      <c r="IC543" s="19">
        <v>72</v>
      </c>
    </row>
    <row r="544">
      <c r="A544" s="2" t="s">
        <v>2674</v>
      </c>
      <c r="B544" s="2" t="s">
        <v>255</v>
      </c>
      <c r="C544" s="2" t="s">
        <v>256</v>
      </c>
      <c r="D544" s="2" t="s">
        <v>361</v>
      </c>
      <c r="E544" s="2" t="s">
        <v>872</v>
      </c>
      <c r="F544" s="2" t="s">
        <v>2662</v>
      </c>
      <c r="G544" s="2" t="s">
        <v>2662</v>
      </c>
      <c r="H544" s="2" t="s">
        <v>2662</v>
      </c>
      <c r="I544" s="2" t="s">
        <v>2663</v>
      </c>
      <c r="J544" s="2" t="s">
        <v>372</v>
      </c>
      <c r="K544" s="2" t="s">
        <v>231</v>
      </c>
      <c r="L544" s="3">
        <v>68</v>
      </c>
      <c r="M544" s="3">
        <v>71.4</v>
      </c>
      <c r="N544" s="3">
        <v>169.99</v>
      </c>
      <c r="O544" s="2" t="s">
        <v>232</v>
      </c>
      <c r="P544" s="2" t="s">
        <v>262</v>
      </c>
      <c r="Q544" s="2" t="s">
        <v>234</v>
      </c>
      <c r="R544" s="2" t="s">
        <v>235</v>
      </c>
      <c r="S544" s="2" t="s">
        <v>235</v>
      </c>
      <c r="T544" s="2" t="s">
        <v>2664</v>
      </c>
      <c r="U544" s="2" t="s">
        <v>807</v>
      </c>
      <c r="V544" s="2" t="s">
        <v>238</v>
      </c>
      <c r="W544" s="2" t="s">
        <v>1052</v>
      </c>
      <c r="X544" s="2" t="s">
        <v>235</v>
      </c>
      <c r="Y544" s="2" t="s">
        <v>2665</v>
      </c>
      <c r="Z544" s="4">
        <v>170</v>
      </c>
      <c r="AA544" s="4">
        <f>=ROUNDDOWN(34,0)</f>
      </c>
      <c r="AB544" s="5">
        <v>5</v>
      </c>
      <c r="AC544" s="2" t="s">
        <v>2666</v>
      </c>
      <c r="AD544" s="4">
        <v>105</v>
      </c>
      <c r="AE544" s="4">
        <v>105</v>
      </c>
      <c r="AF544" s="6"/>
      <c r="AG544" s="6">
        <v>48</v>
      </c>
      <c r="AH544" s="7">
        <v>1</v>
      </c>
      <c r="AI544" s="4"/>
      <c r="AJ544" s="4">
        <f>=ROUNDDOWN({0},0)</f>
      </c>
      <c r="AK544" s="5"/>
      <c r="AL544" s="2" t="s">
        <v>235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235</v>
      </c>
      <c r="AW544" s="8" t="s">
        <v>235</v>
      </c>
      <c r="AX544" s="4" t="s">
        <v>235</v>
      </c>
      <c r="AY544" s="8" t="s">
        <v>235</v>
      </c>
      <c r="AZ544" s="7" t="s">
        <v>235</v>
      </c>
      <c r="BA544" s="7" t="s">
        <v>235</v>
      </c>
      <c r="BB544" s="7"/>
      <c r="BC544" s="4" t="s">
        <v>235</v>
      </c>
      <c r="BD544" s="8" t="s">
        <v>235</v>
      </c>
      <c r="BE544" s="4" t="s">
        <v>235</v>
      </c>
      <c r="BF544" s="8" t="s">
        <v>235</v>
      </c>
      <c r="BG544" s="7" t="s">
        <v>235</v>
      </c>
      <c r="BH544" s="7" t="s">
        <v>235</v>
      </c>
      <c r="BI544" s="7"/>
      <c r="BJ544" s="4">
        <v>1</v>
      </c>
      <c r="BK544" s="8">
        <v>78.2</v>
      </c>
      <c r="BL544" s="2" t="s">
        <v>1377</v>
      </c>
      <c r="BM544" s="7"/>
      <c r="BN544" s="7"/>
      <c r="BO544" s="4"/>
      <c r="BP544" s="8"/>
      <c r="BQ544" s="4"/>
      <c r="BR544" s="8"/>
      <c r="BS544" s="7"/>
      <c r="BT544" s="7"/>
      <c r="BU544" s="2" t="s">
        <v>2667</v>
      </c>
      <c r="BV544" s="2" t="s">
        <v>235</v>
      </c>
      <c r="BW544" s="2" t="s">
        <v>235</v>
      </c>
      <c r="BX544" s="2" t="s">
        <v>244</v>
      </c>
      <c r="BY544" s="2" t="s">
        <v>245</v>
      </c>
      <c r="BZ544" s="2" t="s">
        <v>232</v>
      </c>
      <c r="CA544" s="2" t="s">
        <v>235</v>
      </c>
      <c r="CB544" s="2" t="s">
        <v>235</v>
      </c>
      <c r="CC544" s="2" t="s">
        <v>248</v>
      </c>
      <c r="CD544" s="2" t="s">
        <v>248</v>
      </c>
      <c r="CE544" s="2" t="s">
        <v>235</v>
      </c>
      <c r="CF544" s="4"/>
      <c r="CG544" s="4"/>
      <c r="CH544" s="4"/>
      <c r="CI544" s="4">
        <v>170</v>
      </c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>
        <v>105</v>
      </c>
      <c r="FX544" s="4"/>
      <c r="FY544" s="4"/>
      <c r="FZ544" s="4"/>
      <c r="GA544" s="4"/>
      <c r="GB544" s="4"/>
      <c r="GC544" s="4"/>
      <c r="GD544" s="4">
        <v>170</v>
      </c>
      <c r="GE544" s="4">
        <v>162</v>
      </c>
      <c r="GF544" s="4">
        <v>154</v>
      </c>
      <c r="GG544" s="4">
        <v>148</v>
      </c>
      <c r="GH544" s="4">
        <v>142</v>
      </c>
      <c r="GI544" s="4">
        <v>136</v>
      </c>
      <c r="GJ544" s="4">
        <v>130</v>
      </c>
      <c r="GK544" s="4">
        <v>125</v>
      </c>
      <c r="GL544" s="4">
        <v>120</v>
      </c>
      <c r="GM544" s="4">
        <v>115</v>
      </c>
      <c r="GN544" s="4">
        <v>110</v>
      </c>
      <c r="GO544" s="4">
        <v>104</v>
      </c>
      <c r="GP544" s="4">
        <v>98</v>
      </c>
      <c r="GQ544" s="4">
        <v>92</v>
      </c>
      <c r="GR544" s="4">
        <v>87</v>
      </c>
      <c r="GS544" s="4">
        <v>82</v>
      </c>
      <c r="GT544" s="4">
        <v>77</v>
      </c>
      <c r="GU544" s="4">
        <v>73</v>
      </c>
      <c r="GV544" s="4">
        <v>172</v>
      </c>
      <c r="GW544" s="4">
        <v>168</v>
      </c>
      <c r="GX544" s="4">
        <v>164</v>
      </c>
      <c r="GY544" s="4">
        <v>160</v>
      </c>
      <c r="GZ544" s="4">
        <v>156</v>
      </c>
      <c r="HA544" s="4">
        <v>152</v>
      </c>
      <c r="HB544" s="4">
        <v>148</v>
      </c>
      <c r="HC544" s="4">
        <v>143</v>
      </c>
      <c r="HD544" s="19">
        <v>24.3</v>
      </c>
      <c r="HE544" s="19">
        <v>27</v>
      </c>
      <c r="HF544" s="19">
        <v>25.7</v>
      </c>
      <c r="HG544" s="19">
        <v>24.7</v>
      </c>
      <c r="HH544" s="19">
        <v>23.7</v>
      </c>
      <c r="HI544" s="19">
        <v>27.2</v>
      </c>
      <c r="HJ544" s="19">
        <v>26</v>
      </c>
      <c r="HK544" s="19">
        <v>25</v>
      </c>
      <c r="HL544" s="19">
        <v>20</v>
      </c>
      <c r="HM544" s="19">
        <v>19.2</v>
      </c>
      <c r="HN544" s="19">
        <v>18.3</v>
      </c>
      <c r="HO544" s="19">
        <v>17.3</v>
      </c>
      <c r="HP544" s="19">
        <v>19.6</v>
      </c>
      <c r="HQ544" s="19">
        <v>18.4</v>
      </c>
      <c r="HR544" s="19">
        <v>17.4</v>
      </c>
      <c r="HS544" s="19">
        <v>16.4</v>
      </c>
      <c r="HT544" s="19">
        <v>19.3</v>
      </c>
      <c r="HU544" s="19">
        <v>18.3</v>
      </c>
      <c r="HV544" s="19">
        <v>43</v>
      </c>
      <c r="HW544" s="19">
        <v>42</v>
      </c>
      <c r="HX544" s="19">
        <v>41</v>
      </c>
      <c r="HY544" s="19">
        <v>40</v>
      </c>
      <c r="HZ544" s="19">
        <v>39</v>
      </c>
      <c r="IA544" s="19">
        <v>38</v>
      </c>
      <c r="IB544" s="19">
        <v>37</v>
      </c>
      <c r="IC544" s="19">
        <v>35.8</v>
      </c>
    </row>
    <row r="545">
      <c r="A545" s="2" t="s">
        <v>2675</v>
      </c>
      <c r="B545" s="2" t="s">
        <v>255</v>
      </c>
      <c r="C545" s="2" t="s">
        <v>256</v>
      </c>
      <c r="D545" s="2" t="s">
        <v>257</v>
      </c>
      <c r="E545" s="2" t="s">
        <v>258</v>
      </c>
      <c r="F545" s="2" t="s">
        <v>2662</v>
      </c>
      <c r="G545" s="2" t="s">
        <v>2662</v>
      </c>
      <c r="H545" s="2" t="s">
        <v>2662</v>
      </c>
      <c r="I545" s="2" t="s">
        <v>2669</v>
      </c>
      <c r="J545" s="2" t="s">
        <v>272</v>
      </c>
      <c r="K545" s="2" t="s">
        <v>231</v>
      </c>
      <c r="L545" s="3">
        <v>72</v>
      </c>
      <c r="M545" s="3">
        <v>75.6</v>
      </c>
      <c r="N545" s="3">
        <v>179.99</v>
      </c>
      <c r="O545" s="2" t="s">
        <v>232</v>
      </c>
      <c r="P545" s="2" t="s">
        <v>262</v>
      </c>
      <c r="Q545" s="2" t="s">
        <v>234</v>
      </c>
      <c r="R545" s="2" t="s">
        <v>235</v>
      </c>
      <c r="S545" s="2" t="s">
        <v>235</v>
      </c>
      <c r="T545" s="2" t="s">
        <v>2664</v>
      </c>
      <c r="U545" s="2" t="s">
        <v>264</v>
      </c>
      <c r="V545" s="2" t="s">
        <v>238</v>
      </c>
      <c r="W545" s="2" t="s">
        <v>1052</v>
      </c>
      <c r="X545" s="2" t="s">
        <v>235</v>
      </c>
      <c r="Y545" s="2" t="s">
        <v>2665</v>
      </c>
      <c r="Z545" s="4">
        <v>39</v>
      </c>
      <c r="AA545" s="4">
        <f>=ROUNDDOWN(19.5,0)</f>
      </c>
      <c r="AB545" s="5">
        <v>2</v>
      </c>
      <c r="AC545" s="2" t="s">
        <v>2670</v>
      </c>
      <c r="AD545" s="4">
        <v>24</v>
      </c>
      <c r="AE545" s="4">
        <v>24</v>
      </c>
      <c r="AF545" s="6"/>
      <c r="AG545" s="6">
        <v>48</v>
      </c>
      <c r="AH545" s="7">
        <v>1</v>
      </c>
      <c r="AI545" s="4"/>
      <c r="AJ545" s="4">
        <f>=ROUNDDOWN({0},0)</f>
      </c>
      <c r="AK545" s="5"/>
      <c r="AL545" s="2" t="s">
        <v>235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235</v>
      </c>
      <c r="AW545" s="8" t="s">
        <v>235</v>
      </c>
      <c r="AX545" s="4" t="s">
        <v>235</v>
      </c>
      <c r="AY545" s="8" t="s">
        <v>235</v>
      </c>
      <c r="AZ545" s="7" t="s">
        <v>235</v>
      </c>
      <c r="BA545" s="7" t="s">
        <v>235</v>
      </c>
      <c r="BB545" s="7"/>
      <c r="BC545" s="4" t="s">
        <v>235</v>
      </c>
      <c r="BD545" s="8" t="s">
        <v>235</v>
      </c>
      <c r="BE545" s="4" t="s">
        <v>235</v>
      </c>
      <c r="BF545" s="8" t="s">
        <v>235</v>
      </c>
      <c r="BG545" s="7" t="s">
        <v>235</v>
      </c>
      <c r="BH545" s="7" t="s">
        <v>235</v>
      </c>
      <c r="BI545" s="7"/>
      <c r="BJ545" s="4"/>
      <c r="BK545" s="8"/>
      <c r="BL545" s="2" t="s">
        <v>235</v>
      </c>
      <c r="BM545" s="7"/>
      <c r="BN545" s="7"/>
      <c r="BO545" s="4"/>
      <c r="BP545" s="8"/>
      <c r="BQ545" s="4"/>
      <c r="BR545" s="8"/>
      <c r="BS545" s="7"/>
      <c r="BT545" s="7"/>
      <c r="BU545" s="2" t="s">
        <v>2671</v>
      </c>
      <c r="BV545" s="2" t="s">
        <v>235</v>
      </c>
      <c r="BW545" s="2" t="s">
        <v>235</v>
      </c>
      <c r="BX545" s="2" t="s">
        <v>244</v>
      </c>
      <c r="BY545" s="2" t="s">
        <v>245</v>
      </c>
      <c r="BZ545" s="2" t="s">
        <v>232</v>
      </c>
      <c r="CA545" s="2" t="s">
        <v>235</v>
      </c>
      <c r="CB545" s="2" t="s">
        <v>235</v>
      </c>
      <c r="CC545" s="2" t="s">
        <v>248</v>
      </c>
      <c r="CD545" s="2" t="s">
        <v>248</v>
      </c>
      <c r="CE545" s="2" t="s">
        <v>235</v>
      </c>
      <c r="CF545" s="4"/>
      <c r="CG545" s="4"/>
      <c r="CH545" s="4"/>
      <c r="CI545" s="4">
        <v>39</v>
      </c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>
        <v>24</v>
      </c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>
        <v>39</v>
      </c>
      <c r="GE545" s="4">
        <v>29</v>
      </c>
      <c r="GF545" s="4">
        <v>26</v>
      </c>
      <c r="GG545" s="4">
        <v>24</v>
      </c>
      <c r="GH545" s="4">
        <v>22</v>
      </c>
      <c r="GI545" s="4">
        <v>20</v>
      </c>
      <c r="GJ545" s="4">
        <v>18</v>
      </c>
      <c r="GK545" s="4">
        <v>16</v>
      </c>
      <c r="GL545" s="4">
        <v>14</v>
      </c>
      <c r="GM545" s="4">
        <v>12</v>
      </c>
      <c r="GN545" s="4">
        <v>10</v>
      </c>
      <c r="GO545" s="4">
        <v>8</v>
      </c>
      <c r="GP545" s="4">
        <v>6</v>
      </c>
      <c r="GQ545" s="4">
        <v>4</v>
      </c>
      <c r="GR545" s="4">
        <v>26</v>
      </c>
      <c r="GS545" s="4">
        <v>24</v>
      </c>
      <c r="GT545" s="4">
        <v>118</v>
      </c>
      <c r="GU545" s="4">
        <v>116</v>
      </c>
      <c r="GV545" s="4">
        <v>114</v>
      </c>
      <c r="GW545" s="4">
        <v>112</v>
      </c>
      <c r="GX545" s="4">
        <v>110</v>
      </c>
      <c r="GY545" s="4">
        <v>108</v>
      </c>
      <c r="GZ545" s="4">
        <v>106</v>
      </c>
      <c r="HA545" s="4">
        <v>104</v>
      </c>
      <c r="HB545" s="4">
        <v>102</v>
      </c>
      <c r="HC545" s="4">
        <v>100</v>
      </c>
      <c r="HD545" s="19">
        <v>9.8</v>
      </c>
      <c r="HE545" s="19">
        <v>14.5</v>
      </c>
      <c r="HF545" s="19">
        <v>13</v>
      </c>
      <c r="HG545" s="19">
        <v>12</v>
      </c>
      <c r="HH545" s="19">
        <v>11</v>
      </c>
      <c r="HI545" s="19">
        <v>10</v>
      </c>
      <c r="HJ545" s="19">
        <v>9</v>
      </c>
      <c r="HK545" s="19">
        <v>8</v>
      </c>
      <c r="HL545" s="19">
        <v>7</v>
      </c>
      <c r="HM545" s="19">
        <v>6</v>
      </c>
      <c r="HN545" s="19">
        <v>5</v>
      </c>
      <c r="HO545" s="19">
        <v>4</v>
      </c>
      <c r="HP545" s="19">
        <v>3</v>
      </c>
      <c r="HQ545" s="19">
        <v>2</v>
      </c>
      <c r="HR545" s="19">
        <v>13</v>
      </c>
      <c r="HS545" s="19">
        <v>12</v>
      </c>
      <c r="HT545" s="19">
        <v>59</v>
      </c>
      <c r="HU545" s="19">
        <v>58</v>
      </c>
      <c r="HV545" s="19">
        <v>57</v>
      </c>
      <c r="HW545" s="19">
        <v>56</v>
      </c>
      <c r="HX545" s="19">
        <v>55</v>
      </c>
      <c r="HY545" s="19">
        <v>54</v>
      </c>
      <c r="HZ545" s="19">
        <v>53</v>
      </c>
      <c r="IA545" s="19">
        <v>52</v>
      </c>
      <c r="IB545" s="19">
        <v>51</v>
      </c>
      <c r="IC545" s="19">
        <v>50</v>
      </c>
    </row>
    <row r="546">
      <c r="A546" s="2" t="s">
        <v>2676</v>
      </c>
      <c r="B546" s="2" t="s">
        <v>255</v>
      </c>
      <c r="C546" s="2" t="s">
        <v>256</v>
      </c>
      <c r="D546" s="2" t="s">
        <v>257</v>
      </c>
      <c r="E546" s="2" t="s">
        <v>258</v>
      </c>
      <c r="F546" s="2" t="s">
        <v>2662</v>
      </c>
      <c r="G546" s="2" t="s">
        <v>2662</v>
      </c>
      <c r="H546" s="2" t="s">
        <v>2662</v>
      </c>
      <c r="I546" s="2" t="s">
        <v>2669</v>
      </c>
      <c r="J546" s="2" t="s">
        <v>281</v>
      </c>
      <c r="K546" s="2" t="s">
        <v>231</v>
      </c>
      <c r="L546" s="3">
        <v>76</v>
      </c>
      <c r="M546" s="3">
        <v>79.8</v>
      </c>
      <c r="N546" s="3">
        <v>189.99</v>
      </c>
      <c r="O546" s="2" t="s">
        <v>232</v>
      </c>
      <c r="P546" s="2" t="s">
        <v>262</v>
      </c>
      <c r="Q546" s="2" t="s">
        <v>234</v>
      </c>
      <c r="R546" s="2" t="s">
        <v>235</v>
      </c>
      <c r="S546" s="2" t="s">
        <v>235</v>
      </c>
      <c r="T546" s="2" t="s">
        <v>2664</v>
      </c>
      <c r="U546" s="2" t="s">
        <v>282</v>
      </c>
      <c r="V546" s="2" t="s">
        <v>238</v>
      </c>
      <c r="W546" s="2" t="s">
        <v>1052</v>
      </c>
      <c r="X546" s="2" t="s">
        <v>235</v>
      </c>
      <c r="Y546" s="2" t="s">
        <v>2665</v>
      </c>
      <c r="Z546" s="4">
        <v>13</v>
      </c>
      <c r="AA546" s="4">
        <f>=ROUNDDOWN(11.8181818181818,0)</f>
      </c>
      <c r="AB546" s="5">
        <v>1.1</v>
      </c>
      <c r="AC546" s="2" t="s">
        <v>2670</v>
      </c>
      <c r="AD546" s="4">
        <v>8</v>
      </c>
      <c r="AE546" s="4">
        <v>8</v>
      </c>
      <c r="AF546" s="6"/>
      <c r="AG546" s="6">
        <v>48</v>
      </c>
      <c r="AH546" s="7">
        <v>1</v>
      </c>
      <c r="AI546" s="4"/>
      <c r="AJ546" s="4">
        <f>=ROUNDDOWN({0},0)</f>
      </c>
      <c r="AK546" s="5"/>
      <c r="AL546" s="2" t="s">
        <v>235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235</v>
      </c>
      <c r="AW546" s="8" t="s">
        <v>235</v>
      </c>
      <c r="AX546" s="4" t="s">
        <v>235</v>
      </c>
      <c r="AY546" s="8" t="s">
        <v>235</v>
      </c>
      <c r="AZ546" s="7" t="s">
        <v>235</v>
      </c>
      <c r="BA546" s="7" t="s">
        <v>235</v>
      </c>
      <c r="BB546" s="7"/>
      <c r="BC546" s="4" t="s">
        <v>235</v>
      </c>
      <c r="BD546" s="8" t="s">
        <v>235</v>
      </c>
      <c r="BE546" s="4" t="s">
        <v>235</v>
      </c>
      <c r="BF546" s="8" t="s">
        <v>235</v>
      </c>
      <c r="BG546" s="7" t="s">
        <v>235</v>
      </c>
      <c r="BH546" s="7" t="s">
        <v>235</v>
      </c>
      <c r="BI546" s="7"/>
      <c r="BJ546" s="4">
        <v>1</v>
      </c>
      <c r="BK546" s="8">
        <v>86.18</v>
      </c>
      <c r="BL546" s="2" t="s">
        <v>1461</v>
      </c>
      <c r="BM546" s="7"/>
      <c r="BN546" s="7"/>
      <c r="BO546" s="4"/>
      <c r="BP546" s="8"/>
      <c r="BQ546" s="4"/>
      <c r="BR546" s="8"/>
      <c r="BS546" s="7"/>
      <c r="BT546" s="7"/>
      <c r="BU546" s="2" t="s">
        <v>2671</v>
      </c>
      <c r="BV546" s="2" t="s">
        <v>235</v>
      </c>
      <c r="BW546" s="2" t="s">
        <v>235</v>
      </c>
      <c r="BX546" s="2" t="s">
        <v>244</v>
      </c>
      <c r="BY546" s="2" t="s">
        <v>245</v>
      </c>
      <c r="BZ546" s="2" t="s">
        <v>232</v>
      </c>
      <c r="CA546" s="2" t="s">
        <v>235</v>
      </c>
      <c r="CB546" s="2" t="s">
        <v>235</v>
      </c>
      <c r="CC546" s="2" t="s">
        <v>248</v>
      </c>
      <c r="CD546" s="2" t="s">
        <v>248</v>
      </c>
      <c r="CE546" s="2" t="s">
        <v>235</v>
      </c>
      <c r="CF546" s="4"/>
      <c r="CG546" s="4"/>
      <c r="CH546" s="4"/>
      <c r="CI546" s="4">
        <v>13</v>
      </c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>
        <v>8</v>
      </c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>
        <v>13</v>
      </c>
      <c r="GE546" s="4">
        <v>5</v>
      </c>
      <c r="GF546" s="4">
        <v>4</v>
      </c>
      <c r="GG546" s="4">
        <v>3</v>
      </c>
      <c r="GH546" s="4">
        <v>2</v>
      </c>
      <c r="GI546" s="4">
        <v>1</v>
      </c>
      <c r="GJ546" s="4"/>
      <c r="GK546" s="4"/>
      <c r="GL546" s="4"/>
      <c r="GM546" s="4"/>
      <c r="GN546" s="4"/>
      <c r="GO546" s="4"/>
      <c r="GP546" s="4"/>
      <c r="GQ546" s="4"/>
      <c r="GR546" s="4">
        <v>8</v>
      </c>
      <c r="GS546" s="4"/>
      <c r="GT546" s="4">
        <v>58</v>
      </c>
      <c r="GU546" s="4">
        <v>56</v>
      </c>
      <c r="GV546" s="4">
        <v>55</v>
      </c>
      <c r="GW546" s="4">
        <v>54</v>
      </c>
      <c r="GX546" s="4">
        <v>53</v>
      </c>
      <c r="GY546" s="4">
        <v>52</v>
      </c>
      <c r="GZ546" s="4">
        <v>51</v>
      </c>
      <c r="HA546" s="4">
        <v>50</v>
      </c>
      <c r="HB546" s="4">
        <v>49</v>
      </c>
      <c r="HC546" s="4">
        <v>48</v>
      </c>
      <c r="HD546" s="19">
        <v>4.3</v>
      </c>
      <c r="HE546" s="19">
        <v>5</v>
      </c>
      <c r="HF546" s="19">
        <v>4</v>
      </c>
      <c r="HG546" s="19">
        <v>3</v>
      </c>
      <c r="HH546" s="20">
        <v>0</v>
      </c>
      <c r="HI546" s="20">
        <v>0</v>
      </c>
      <c r="HJ546" s="9"/>
      <c r="HK546" s="9"/>
      <c r="HL546" s="9"/>
      <c r="HM546" s="9"/>
      <c r="HN546" s="9"/>
      <c r="HO546" s="9"/>
      <c r="HP546" s="9"/>
      <c r="HQ546" s="9"/>
      <c r="HR546" s="19">
        <v>2.7</v>
      </c>
      <c r="HS546" s="9"/>
      <c r="HT546" s="19">
        <v>58</v>
      </c>
      <c r="HU546" s="19">
        <v>56</v>
      </c>
      <c r="HV546" s="19">
        <v>55</v>
      </c>
      <c r="HW546" s="19">
        <v>54</v>
      </c>
      <c r="HX546" s="19">
        <v>53</v>
      </c>
      <c r="HY546" s="19">
        <v>52</v>
      </c>
      <c r="HZ546" s="19">
        <v>51</v>
      </c>
      <c r="IA546" s="19">
        <v>50</v>
      </c>
      <c r="IB546" s="19">
        <v>49</v>
      </c>
      <c r="IC546" s="19">
        <v>48</v>
      </c>
    </row>
    <row r="547">
      <c r="A547" s="2" t="s">
        <v>2677</v>
      </c>
      <c r="B547" s="2" t="s">
        <v>255</v>
      </c>
      <c r="C547" s="2" t="s">
        <v>256</v>
      </c>
      <c r="D547" s="2" t="s">
        <v>361</v>
      </c>
      <c r="E547" s="2" t="s">
        <v>872</v>
      </c>
      <c r="F547" s="2" t="s">
        <v>2662</v>
      </c>
      <c r="G547" s="2" t="s">
        <v>2662</v>
      </c>
      <c r="H547" s="2" t="s">
        <v>2662</v>
      </c>
      <c r="I547" s="2" t="s">
        <v>2663</v>
      </c>
      <c r="J547" s="2" t="s">
        <v>365</v>
      </c>
      <c r="K547" s="2" t="s">
        <v>287</v>
      </c>
      <c r="L547" s="3">
        <v>64</v>
      </c>
      <c r="M547" s="3">
        <v>67.2</v>
      </c>
      <c r="N547" s="3">
        <v>159.99</v>
      </c>
      <c r="O547" s="2" t="s">
        <v>232</v>
      </c>
      <c r="P547" s="2" t="s">
        <v>262</v>
      </c>
      <c r="Q547" s="2" t="s">
        <v>234</v>
      </c>
      <c r="R547" s="2" t="s">
        <v>235</v>
      </c>
      <c r="S547" s="2" t="s">
        <v>235</v>
      </c>
      <c r="T547" s="2" t="s">
        <v>2664</v>
      </c>
      <c r="U547" s="2" t="s">
        <v>807</v>
      </c>
      <c r="V547" s="2" t="s">
        <v>238</v>
      </c>
      <c r="W547" s="2" t="s">
        <v>1052</v>
      </c>
      <c r="X547" s="2" t="s">
        <v>235</v>
      </c>
      <c r="Y547" s="2" t="s">
        <v>2665</v>
      </c>
      <c r="Z547" s="4">
        <v>124</v>
      </c>
      <c r="AA547" s="4">
        <f>=ROUNDDOWN(31,0)</f>
      </c>
      <c r="AB547" s="5">
        <v>4</v>
      </c>
      <c r="AC547" s="2" t="s">
        <v>2666</v>
      </c>
      <c r="AD547" s="4">
        <v>63</v>
      </c>
      <c r="AE547" s="4">
        <v>63</v>
      </c>
      <c r="AF547" s="6"/>
      <c r="AG547" s="6">
        <v>48</v>
      </c>
      <c r="AH547" s="7">
        <v>1</v>
      </c>
      <c r="AI547" s="4"/>
      <c r="AJ547" s="4">
        <f>=ROUNDDOWN({0},0)</f>
      </c>
      <c r="AK547" s="5"/>
      <c r="AL547" s="2" t="s">
        <v>235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235</v>
      </c>
      <c r="AW547" s="8" t="s">
        <v>235</v>
      </c>
      <c r="AX547" s="4" t="s">
        <v>235</v>
      </c>
      <c r="AY547" s="8" t="s">
        <v>235</v>
      </c>
      <c r="AZ547" s="7" t="s">
        <v>235</v>
      </c>
      <c r="BA547" s="7" t="s">
        <v>235</v>
      </c>
      <c r="BB547" s="7"/>
      <c r="BC547" s="4" t="s">
        <v>235</v>
      </c>
      <c r="BD547" s="8" t="s">
        <v>235</v>
      </c>
      <c r="BE547" s="4" t="s">
        <v>235</v>
      </c>
      <c r="BF547" s="8" t="s">
        <v>235</v>
      </c>
      <c r="BG547" s="7" t="s">
        <v>235</v>
      </c>
      <c r="BH547" s="7" t="s">
        <v>235</v>
      </c>
      <c r="BI547" s="7"/>
      <c r="BJ547" s="4">
        <v>3</v>
      </c>
      <c r="BK547" s="8">
        <v>73.6</v>
      </c>
      <c r="BL547" s="2" t="s">
        <v>2678</v>
      </c>
      <c r="BM547" s="7"/>
      <c r="BN547" s="7"/>
      <c r="BO547" s="4"/>
      <c r="BP547" s="8"/>
      <c r="BQ547" s="4"/>
      <c r="BR547" s="8"/>
      <c r="BS547" s="7"/>
      <c r="BT547" s="7"/>
      <c r="BU547" s="2" t="s">
        <v>2667</v>
      </c>
      <c r="BV547" s="2" t="s">
        <v>235</v>
      </c>
      <c r="BW547" s="2" t="s">
        <v>235</v>
      </c>
      <c r="BX547" s="2" t="s">
        <v>244</v>
      </c>
      <c r="BY547" s="2" t="s">
        <v>245</v>
      </c>
      <c r="BZ547" s="2" t="s">
        <v>232</v>
      </c>
      <c r="CA547" s="2" t="s">
        <v>235</v>
      </c>
      <c r="CB547" s="2" t="s">
        <v>235</v>
      </c>
      <c r="CC547" s="2" t="s">
        <v>248</v>
      </c>
      <c r="CD547" s="2" t="s">
        <v>248</v>
      </c>
      <c r="CE547" s="2" t="s">
        <v>235</v>
      </c>
      <c r="CF547" s="4"/>
      <c r="CG547" s="4"/>
      <c r="CH547" s="4"/>
      <c r="CI547" s="4">
        <v>124</v>
      </c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>
        <v>63</v>
      </c>
      <c r="FX547" s="4"/>
      <c r="FY547" s="4"/>
      <c r="FZ547" s="4"/>
      <c r="GA547" s="4"/>
      <c r="GB547" s="4"/>
      <c r="GC547" s="4"/>
      <c r="GD547" s="4">
        <v>124</v>
      </c>
      <c r="GE547" s="4">
        <v>118</v>
      </c>
      <c r="GF547" s="4">
        <v>112</v>
      </c>
      <c r="GG547" s="4">
        <v>107</v>
      </c>
      <c r="GH547" s="4">
        <v>102</v>
      </c>
      <c r="GI547" s="4">
        <v>98</v>
      </c>
      <c r="GJ547" s="4">
        <v>94</v>
      </c>
      <c r="GK547" s="4">
        <v>90</v>
      </c>
      <c r="GL547" s="4">
        <v>86</v>
      </c>
      <c r="GM547" s="4">
        <v>82</v>
      </c>
      <c r="GN547" s="4">
        <v>78</v>
      </c>
      <c r="GO547" s="4">
        <v>74</v>
      </c>
      <c r="GP547" s="4">
        <v>69</v>
      </c>
      <c r="GQ547" s="4">
        <v>64</v>
      </c>
      <c r="GR547" s="4">
        <v>60</v>
      </c>
      <c r="GS547" s="4">
        <v>56</v>
      </c>
      <c r="GT547" s="4">
        <v>52</v>
      </c>
      <c r="GU547" s="4">
        <v>49</v>
      </c>
      <c r="GV547" s="4">
        <v>108</v>
      </c>
      <c r="GW547" s="4">
        <v>105</v>
      </c>
      <c r="GX547" s="4">
        <v>102</v>
      </c>
      <c r="GY547" s="4">
        <v>99</v>
      </c>
      <c r="GZ547" s="4">
        <v>96</v>
      </c>
      <c r="HA547" s="4">
        <v>93</v>
      </c>
      <c r="HB547" s="4">
        <v>90</v>
      </c>
      <c r="HC547" s="4">
        <v>86</v>
      </c>
      <c r="HD547" s="19">
        <v>20.7</v>
      </c>
      <c r="HE547" s="19">
        <v>23.6</v>
      </c>
      <c r="HF547" s="19">
        <v>28</v>
      </c>
      <c r="HG547" s="19">
        <v>26.8</v>
      </c>
      <c r="HH547" s="19">
        <v>25.5</v>
      </c>
      <c r="HI547" s="19">
        <v>24.5</v>
      </c>
      <c r="HJ547" s="19">
        <v>23.5</v>
      </c>
      <c r="HK547" s="19">
        <v>22.5</v>
      </c>
      <c r="HL547" s="19">
        <v>21.5</v>
      </c>
      <c r="HM547" s="19">
        <v>20.5</v>
      </c>
      <c r="HN547" s="19">
        <v>19.5</v>
      </c>
      <c r="HO547" s="19">
        <v>18.5</v>
      </c>
      <c r="HP547" s="19">
        <v>17.3</v>
      </c>
      <c r="HQ547" s="19">
        <v>16</v>
      </c>
      <c r="HR547" s="19">
        <v>15</v>
      </c>
      <c r="HS547" s="19">
        <v>14</v>
      </c>
      <c r="HT547" s="19">
        <v>17.3</v>
      </c>
      <c r="HU547" s="19">
        <v>16.3</v>
      </c>
      <c r="HV547" s="19">
        <v>36</v>
      </c>
      <c r="HW547" s="19">
        <v>35</v>
      </c>
      <c r="HX547" s="19">
        <v>34</v>
      </c>
      <c r="HY547" s="19">
        <v>33</v>
      </c>
      <c r="HZ547" s="19">
        <v>32</v>
      </c>
      <c r="IA547" s="19">
        <v>31</v>
      </c>
      <c r="IB547" s="19">
        <v>30</v>
      </c>
      <c r="IC547" s="19">
        <v>28.7</v>
      </c>
    </row>
    <row r="548">
      <c r="A548" s="2" t="s">
        <v>2679</v>
      </c>
      <c r="B548" s="2" t="s">
        <v>255</v>
      </c>
      <c r="C548" s="2" t="s">
        <v>256</v>
      </c>
      <c r="D548" s="2" t="s">
        <v>361</v>
      </c>
      <c r="E548" s="2" t="s">
        <v>872</v>
      </c>
      <c r="F548" s="2" t="s">
        <v>2662</v>
      </c>
      <c r="G548" s="2" t="s">
        <v>2662</v>
      </c>
      <c r="H548" s="2" t="s">
        <v>2662</v>
      </c>
      <c r="I548" s="2" t="s">
        <v>2663</v>
      </c>
      <c r="J548" s="2" t="s">
        <v>372</v>
      </c>
      <c r="K548" s="2" t="s">
        <v>287</v>
      </c>
      <c r="L548" s="3">
        <v>68</v>
      </c>
      <c r="M548" s="3">
        <v>71.4</v>
      </c>
      <c r="N548" s="3">
        <v>169.99</v>
      </c>
      <c r="O548" s="2" t="s">
        <v>232</v>
      </c>
      <c r="P548" s="2" t="s">
        <v>262</v>
      </c>
      <c r="Q548" s="2" t="s">
        <v>234</v>
      </c>
      <c r="R548" s="2" t="s">
        <v>235</v>
      </c>
      <c r="S548" s="2" t="s">
        <v>235</v>
      </c>
      <c r="T548" s="2" t="s">
        <v>2664</v>
      </c>
      <c r="U548" s="2" t="s">
        <v>807</v>
      </c>
      <c r="V548" s="2" t="s">
        <v>238</v>
      </c>
      <c r="W548" s="2" t="s">
        <v>1052</v>
      </c>
      <c r="X548" s="2" t="s">
        <v>235</v>
      </c>
      <c r="Y548" s="2" t="s">
        <v>2665</v>
      </c>
      <c r="Z548" s="4">
        <v>169</v>
      </c>
      <c r="AA548" s="4">
        <f>=ROUNDDOWN(33.8,0)</f>
      </c>
      <c r="AB548" s="5">
        <v>5</v>
      </c>
      <c r="AC548" s="2" t="s">
        <v>2666</v>
      </c>
      <c r="AD548" s="4">
        <v>105</v>
      </c>
      <c r="AE548" s="4">
        <v>105</v>
      </c>
      <c r="AF548" s="6"/>
      <c r="AG548" s="6">
        <v>48</v>
      </c>
      <c r="AH548" s="7">
        <v>1</v>
      </c>
      <c r="AI548" s="4"/>
      <c r="AJ548" s="4">
        <f>=ROUNDDOWN({0},0)</f>
      </c>
      <c r="AK548" s="5"/>
      <c r="AL548" s="2" t="s">
        <v>235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235</v>
      </c>
      <c r="AW548" s="8" t="s">
        <v>235</v>
      </c>
      <c r="AX548" s="4" t="s">
        <v>235</v>
      </c>
      <c r="AY548" s="8" t="s">
        <v>235</v>
      </c>
      <c r="AZ548" s="7" t="s">
        <v>235</v>
      </c>
      <c r="BA548" s="7" t="s">
        <v>235</v>
      </c>
      <c r="BB548" s="7"/>
      <c r="BC548" s="4" t="s">
        <v>235</v>
      </c>
      <c r="BD548" s="8" t="s">
        <v>235</v>
      </c>
      <c r="BE548" s="4" t="s">
        <v>235</v>
      </c>
      <c r="BF548" s="8" t="s">
        <v>235</v>
      </c>
      <c r="BG548" s="7" t="s">
        <v>235</v>
      </c>
      <c r="BH548" s="7" t="s">
        <v>235</v>
      </c>
      <c r="BI548" s="7"/>
      <c r="BJ548" s="4">
        <v>2</v>
      </c>
      <c r="BK548" s="8"/>
      <c r="BL548" s="2" t="s">
        <v>1949</v>
      </c>
      <c r="BM548" s="7"/>
      <c r="BN548" s="7"/>
      <c r="BO548" s="4"/>
      <c r="BP548" s="8"/>
      <c r="BQ548" s="4"/>
      <c r="BR548" s="8"/>
      <c r="BS548" s="7"/>
      <c r="BT548" s="7"/>
      <c r="BU548" s="2" t="s">
        <v>2667</v>
      </c>
      <c r="BV548" s="2" t="s">
        <v>235</v>
      </c>
      <c r="BW548" s="2" t="s">
        <v>235</v>
      </c>
      <c r="BX548" s="2" t="s">
        <v>244</v>
      </c>
      <c r="BY548" s="2" t="s">
        <v>245</v>
      </c>
      <c r="BZ548" s="2" t="s">
        <v>232</v>
      </c>
      <c r="CA548" s="2" t="s">
        <v>235</v>
      </c>
      <c r="CB548" s="2" t="s">
        <v>235</v>
      </c>
      <c r="CC548" s="2" t="s">
        <v>248</v>
      </c>
      <c r="CD548" s="2" t="s">
        <v>248</v>
      </c>
      <c r="CE548" s="2" t="s">
        <v>235</v>
      </c>
      <c r="CF548" s="4"/>
      <c r="CG548" s="4"/>
      <c r="CH548" s="4"/>
      <c r="CI548" s="4">
        <v>169</v>
      </c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>
        <v>105</v>
      </c>
      <c r="FX548" s="4"/>
      <c r="FY548" s="4"/>
      <c r="FZ548" s="4"/>
      <c r="GA548" s="4"/>
      <c r="GB548" s="4"/>
      <c r="GC548" s="4"/>
      <c r="GD548" s="4">
        <v>169</v>
      </c>
      <c r="GE548" s="4">
        <v>161</v>
      </c>
      <c r="GF548" s="4">
        <v>153</v>
      </c>
      <c r="GG548" s="4">
        <v>147</v>
      </c>
      <c r="GH548" s="4">
        <v>141</v>
      </c>
      <c r="GI548" s="4">
        <v>135</v>
      </c>
      <c r="GJ548" s="4">
        <v>129</v>
      </c>
      <c r="GK548" s="4">
        <v>124</v>
      </c>
      <c r="GL548" s="4">
        <v>119</v>
      </c>
      <c r="GM548" s="4">
        <v>114</v>
      </c>
      <c r="GN548" s="4">
        <v>109</v>
      </c>
      <c r="GO548" s="4">
        <v>103</v>
      </c>
      <c r="GP548" s="4">
        <v>97</v>
      </c>
      <c r="GQ548" s="4">
        <v>91</v>
      </c>
      <c r="GR548" s="4">
        <v>86</v>
      </c>
      <c r="GS548" s="4">
        <v>81</v>
      </c>
      <c r="GT548" s="4">
        <v>76</v>
      </c>
      <c r="GU548" s="4">
        <v>72</v>
      </c>
      <c r="GV548" s="4">
        <v>171</v>
      </c>
      <c r="GW548" s="4">
        <v>167</v>
      </c>
      <c r="GX548" s="4">
        <v>163</v>
      </c>
      <c r="GY548" s="4">
        <v>159</v>
      </c>
      <c r="GZ548" s="4">
        <v>155</v>
      </c>
      <c r="HA548" s="4">
        <v>151</v>
      </c>
      <c r="HB548" s="4">
        <v>147</v>
      </c>
      <c r="HC548" s="4">
        <v>142</v>
      </c>
      <c r="HD548" s="19">
        <v>24.1</v>
      </c>
      <c r="HE548" s="19">
        <v>26.8</v>
      </c>
      <c r="HF548" s="19">
        <v>25.5</v>
      </c>
      <c r="HG548" s="19">
        <v>24.5</v>
      </c>
      <c r="HH548" s="19">
        <v>23.5</v>
      </c>
      <c r="HI548" s="19">
        <v>27</v>
      </c>
      <c r="HJ548" s="19">
        <v>25.8</v>
      </c>
      <c r="HK548" s="19">
        <v>24.8</v>
      </c>
      <c r="HL548" s="19">
        <v>19.8</v>
      </c>
      <c r="HM548" s="19">
        <v>19</v>
      </c>
      <c r="HN548" s="19">
        <v>18.2</v>
      </c>
      <c r="HO548" s="19">
        <v>17.2</v>
      </c>
      <c r="HP548" s="19">
        <v>19.4</v>
      </c>
      <c r="HQ548" s="19">
        <v>18.2</v>
      </c>
      <c r="HR548" s="19">
        <v>17.2</v>
      </c>
      <c r="HS548" s="19">
        <v>16.2</v>
      </c>
      <c r="HT548" s="19">
        <v>19</v>
      </c>
      <c r="HU548" s="19">
        <v>18</v>
      </c>
      <c r="HV548" s="19">
        <v>42.8</v>
      </c>
      <c r="HW548" s="19">
        <v>41.8</v>
      </c>
      <c r="HX548" s="19">
        <v>40.8</v>
      </c>
      <c r="HY548" s="19">
        <v>39.8</v>
      </c>
      <c r="HZ548" s="19">
        <v>38.8</v>
      </c>
      <c r="IA548" s="19">
        <v>37.8</v>
      </c>
      <c r="IB548" s="19">
        <v>36.8</v>
      </c>
      <c r="IC548" s="19">
        <v>35.5</v>
      </c>
    </row>
    <row r="549">
      <c r="A549" s="2" t="s">
        <v>2680</v>
      </c>
      <c r="B549" s="2" t="s">
        <v>255</v>
      </c>
      <c r="C549" s="2" t="s">
        <v>256</v>
      </c>
      <c r="D549" s="2" t="s">
        <v>257</v>
      </c>
      <c r="E549" s="2" t="s">
        <v>258</v>
      </c>
      <c r="F549" s="2" t="s">
        <v>2662</v>
      </c>
      <c r="G549" s="2" t="s">
        <v>2662</v>
      </c>
      <c r="H549" s="2" t="s">
        <v>2662</v>
      </c>
      <c r="I549" s="2" t="s">
        <v>2669</v>
      </c>
      <c r="J549" s="2" t="s">
        <v>261</v>
      </c>
      <c r="K549" s="2" t="s">
        <v>292</v>
      </c>
      <c r="L549" s="3">
        <v>64</v>
      </c>
      <c r="M549" s="3">
        <v>67.2</v>
      </c>
      <c r="N549" s="3">
        <v>159.99</v>
      </c>
      <c r="O549" s="2" t="s">
        <v>232</v>
      </c>
      <c r="P549" s="2" t="s">
        <v>262</v>
      </c>
      <c r="Q549" s="2" t="s">
        <v>234</v>
      </c>
      <c r="R549" s="2" t="s">
        <v>235</v>
      </c>
      <c r="S549" s="2" t="s">
        <v>235</v>
      </c>
      <c r="T549" s="2" t="s">
        <v>2664</v>
      </c>
      <c r="U549" s="2" t="s">
        <v>264</v>
      </c>
      <c r="V549" s="2" t="s">
        <v>238</v>
      </c>
      <c r="W549" s="2" t="s">
        <v>1052</v>
      </c>
      <c r="X549" s="2" t="s">
        <v>235</v>
      </c>
      <c r="Y549" s="2" t="s">
        <v>2665</v>
      </c>
      <c r="Z549" s="4">
        <v>110</v>
      </c>
      <c r="AA549" s="4">
        <f>=ROUNDDOWN(36.6666666666667,0)</f>
      </c>
      <c r="AB549" s="5">
        <v>3</v>
      </c>
      <c r="AC549" s="2" t="s">
        <v>2670</v>
      </c>
      <c r="AD549" s="4">
        <v>66</v>
      </c>
      <c r="AE549" s="4">
        <v>66</v>
      </c>
      <c r="AF549" s="6"/>
      <c r="AG549" s="6">
        <v>48</v>
      </c>
      <c r="AH549" s="7">
        <v>1</v>
      </c>
      <c r="AI549" s="4"/>
      <c r="AJ549" s="4">
        <f>=ROUNDDOWN({0},0)</f>
      </c>
      <c r="AK549" s="5"/>
      <c r="AL549" s="2" t="s">
        <v>235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235</v>
      </c>
      <c r="AW549" s="8" t="s">
        <v>235</v>
      </c>
      <c r="AX549" s="4" t="s">
        <v>235</v>
      </c>
      <c r="AY549" s="8" t="s">
        <v>235</v>
      </c>
      <c r="AZ549" s="7" t="s">
        <v>235</v>
      </c>
      <c r="BA549" s="7" t="s">
        <v>235</v>
      </c>
      <c r="BB549" s="7"/>
      <c r="BC549" s="4" t="s">
        <v>235</v>
      </c>
      <c r="BD549" s="8" t="s">
        <v>235</v>
      </c>
      <c r="BE549" s="4" t="s">
        <v>235</v>
      </c>
      <c r="BF549" s="8" t="s">
        <v>235</v>
      </c>
      <c r="BG549" s="7" t="s">
        <v>235</v>
      </c>
      <c r="BH549" s="7" t="s">
        <v>235</v>
      </c>
      <c r="BI549" s="7"/>
      <c r="BJ549" s="4">
        <v>2</v>
      </c>
      <c r="BK549" s="8">
        <v>159.99</v>
      </c>
      <c r="BL549" s="2" t="s">
        <v>2681</v>
      </c>
      <c r="BM549" s="7"/>
      <c r="BN549" s="7"/>
      <c r="BO549" s="4"/>
      <c r="BP549" s="8"/>
      <c r="BQ549" s="4"/>
      <c r="BR549" s="8"/>
      <c r="BS549" s="7"/>
      <c r="BT549" s="7"/>
      <c r="BU549" s="2" t="s">
        <v>2671</v>
      </c>
      <c r="BV549" s="2" t="s">
        <v>235</v>
      </c>
      <c r="BW549" s="2" t="s">
        <v>235</v>
      </c>
      <c r="BX549" s="2" t="s">
        <v>244</v>
      </c>
      <c r="BY549" s="2" t="s">
        <v>245</v>
      </c>
      <c r="BZ549" s="2" t="s">
        <v>232</v>
      </c>
      <c r="CA549" s="2" t="s">
        <v>235</v>
      </c>
      <c r="CB549" s="2" t="s">
        <v>235</v>
      </c>
      <c r="CC549" s="2" t="s">
        <v>248</v>
      </c>
      <c r="CD549" s="2" t="s">
        <v>248</v>
      </c>
      <c r="CE549" s="2" t="s">
        <v>235</v>
      </c>
      <c r="CF549" s="4"/>
      <c r="CG549" s="4"/>
      <c r="CH549" s="4"/>
      <c r="CI549" s="4">
        <v>110</v>
      </c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>
        <v>66</v>
      </c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>
        <v>110</v>
      </c>
      <c r="GE549" s="4">
        <v>105</v>
      </c>
      <c r="GF549" s="4">
        <v>100</v>
      </c>
      <c r="GG549" s="4">
        <v>96</v>
      </c>
      <c r="GH549" s="4">
        <v>92</v>
      </c>
      <c r="GI549" s="4">
        <v>89</v>
      </c>
      <c r="GJ549" s="4">
        <v>86</v>
      </c>
      <c r="GK549" s="4">
        <v>83</v>
      </c>
      <c r="GL549" s="4">
        <v>80</v>
      </c>
      <c r="GM549" s="4">
        <v>77</v>
      </c>
      <c r="GN549" s="4">
        <v>74</v>
      </c>
      <c r="GO549" s="4">
        <v>71</v>
      </c>
      <c r="GP549" s="4">
        <v>67</v>
      </c>
      <c r="GQ549" s="4">
        <v>63</v>
      </c>
      <c r="GR549" s="4">
        <v>126</v>
      </c>
      <c r="GS549" s="4">
        <v>123</v>
      </c>
      <c r="GT549" s="4">
        <v>120</v>
      </c>
      <c r="GU549" s="4">
        <v>118</v>
      </c>
      <c r="GV549" s="4">
        <v>115</v>
      </c>
      <c r="GW549" s="4">
        <v>113</v>
      </c>
      <c r="GX549" s="4">
        <v>111</v>
      </c>
      <c r="GY549" s="4">
        <v>109</v>
      </c>
      <c r="GZ549" s="4">
        <v>107</v>
      </c>
      <c r="HA549" s="4">
        <v>105</v>
      </c>
      <c r="HB549" s="4">
        <v>103</v>
      </c>
      <c r="HC549" s="4">
        <v>100</v>
      </c>
      <c r="HD549" s="19">
        <v>27.5</v>
      </c>
      <c r="HE549" s="19">
        <v>26.3</v>
      </c>
      <c r="HF549" s="19">
        <v>25</v>
      </c>
      <c r="HG549" s="19">
        <v>32</v>
      </c>
      <c r="HH549" s="19">
        <v>30.7</v>
      </c>
      <c r="HI549" s="19">
        <v>29.7</v>
      </c>
      <c r="HJ549" s="19">
        <v>28.7</v>
      </c>
      <c r="HK549" s="19">
        <v>27.7</v>
      </c>
      <c r="HL549" s="19">
        <v>26.7</v>
      </c>
      <c r="HM549" s="19">
        <v>19.3</v>
      </c>
      <c r="HN549" s="19">
        <v>18.5</v>
      </c>
      <c r="HO549" s="19">
        <v>17.8</v>
      </c>
      <c r="HP549" s="19">
        <v>22.3</v>
      </c>
      <c r="HQ549" s="19">
        <v>21</v>
      </c>
      <c r="HR549" s="19">
        <v>42</v>
      </c>
      <c r="HS549" s="19">
        <v>61.5</v>
      </c>
      <c r="HT549" s="19">
        <v>60</v>
      </c>
      <c r="HU549" s="19">
        <v>59</v>
      </c>
      <c r="HV549" s="19">
        <v>57.5</v>
      </c>
      <c r="HW549" s="19">
        <v>56.5</v>
      </c>
      <c r="HX549" s="19">
        <v>55.5</v>
      </c>
      <c r="HY549" s="19">
        <v>54.5</v>
      </c>
      <c r="HZ549" s="19">
        <v>53.5</v>
      </c>
      <c r="IA549" s="19">
        <v>52.5</v>
      </c>
      <c r="IB549" s="19">
        <v>51.5</v>
      </c>
      <c r="IC549" s="19">
        <v>50</v>
      </c>
    </row>
    <row r="550">
      <c r="A550" s="2" t="s">
        <v>2682</v>
      </c>
      <c r="B550" s="2" t="s">
        <v>255</v>
      </c>
      <c r="C550" s="2" t="s">
        <v>256</v>
      </c>
      <c r="D550" s="2" t="s">
        <v>257</v>
      </c>
      <c r="E550" s="2" t="s">
        <v>258</v>
      </c>
      <c r="F550" s="2" t="s">
        <v>2662</v>
      </c>
      <c r="G550" s="2" t="s">
        <v>2662</v>
      </c>
      <c r="H550" s="2" t="s">
        <v>2662</v>
      </c>
      <c r="I550" s="2" t="s">
        <v>2669</v>
      </c>
      <c r="J550" s="2" t="s">
        <v>270</v>
      </c>
      <c r="K550" s="2" t="s">
        <v>292</v>
      </c>
      <c r="L550" s="3">
        <v>68</v>
      </c>
      <c r="M550" s="3">
        <v>71.4</v>
      </c>
      <c r="N550" s="3">
        <v>169.99</v>
      </c>
      <c r="O550" s="2" t="s">
        <v>232</v>
      </c>
      <c r="P550" s="2" t="s">
        <v>262</v>
      </c>
      <c r="Q550" s="2" t="s">
        <v>234</v>
      </c>
      <c r="R550" s="2" t="s">
        <v>235</v>
      </c>
      <c r="S550" s="2" t="s">
        <v>235</v>
      </c>
      <c r="T550" s="2" t="s">
        <v>2664</v>
      </c>
      <c r="U550" s="2" t="s">
        <v>264</v>
      </c>
      <c r="V550" s="2" t="s">
        <v>238</v>
      </c>
      <c r="W550" s="2" t="s">
        <v>1052</v>
      </c>
      <c r="X550" s="2" t="s">
        <v>235</v>
      </c>
      <c r="Y550" s="2" t="s">
        <v>2665</v>
      </c>
      <c r="Z550" s="4">
        <v>135</v>
      </c>
      <c r="AA550" s="4">
        <f>=ROUNDDOWN(33.75,0)</f>
      </c>
      <c r="AB550" s="5">
        <v>4</v>
      </c>
      <c r="AC550" s="2" t="s">
        <v>2670</v>
      </c>
      <c r="AD550" s="4">
        <v>84</v>
      </c>
      <c r="AE550" s="4">
        <v>84</v>
      </c>
      <c r="AF550" s="6"/>
      <c r="AG550" s="6">
        <v>48</v>
      </c>
      <c r="AH550" s="7">
        <v>1</v>
      </c>
      <c r="AI550" s="4"/>
      <c r="AJ550" s="4">
        <f>=ROUNDDOWN({0},0)</f>
      </c>
      <c r="AK550" s="5"/>
      <c r="AL550" s="2" t="s">
        <v>235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235</v>
      </c>
      <c r="AW550" s="8" t="s">
        <v>235</v>
      </c>
      <c r="AX550" s="4" t="s">
        <v>235</v>
      </c>
      <c r="AY550" s="8" t="s">
        <v>235</v>
      </c>
      <c r="AZ550" s="7" t="s">
        <v>235</v>
      </c>
      <c r="BA550" s="7" t="s">
        <v>235</v>
      </c>
      <c r="BB550" s="7"/>
      <c r="BC550" s="4" t="s">
        <v>235</v>
      </c>
      <c r="BD550" s="8" t="s">
        <v>235</v>
      </c>
      <c r="BE550" s="4" t="s">
        <v>235</v>
      </c>
      <c r="BF550" s="8" t="s">
        <v>235</v>
      </c>
      <c r="BG550" s="7" t="s">
        <v>235</v>
      </c>
      <c r="BH550" s="7" t="s">
        <v>235</v>
      </c>
      <c r="BI550" s="7"/>
      <c r="BJ550" s="4">
        <v>7</v>
      </c>
      <c r="BK550" s="8">
        <v>547.4</v>
      </c>
      <c r="BL550" s="2" t="s">
        <v>2683</v>
      </c>
      <c r="BM550" s="7"/>
      <c r="BN550" s="7"/>
      <c r="BO550" s="4"/>
      <c r="BP550" s="8"/>
      <c r="BQ550" s="4"/>
      <c r="BR550" s="8"/>
      <c r="BS550" s="7"/>
      <c r="BT550" s="7"/>
      <c r="BU550" s="2" t="s">
        <v>2671</v>
      </c>
      <c r="BV550" s="2" t="s">
        <v>235</v>
      </c>
      <c r="BW550" s="2" t="s">
        <v>235</v>
      </c>
      <c r="BX550" s="2" t="s">
        <v>244</v>
      </c>
      <c r="BY550" s="2" t="s">
        <v>245</v>
      </c>
      <c r="BZ550" s="2" t="s">
        <v>232</v>
      </c>
      <c r="CA550" s="2" t="s">
        <v>235</v>
      </c>
      <c r="CB550" s="2" t="s">
        <v>235</v>
      </c>
      <c r="CC550" s="2" t="s">
        <v>248</v>
      </c>
      <c r="CD550" s="2" t="s">
        <v>248</v>
      </c>
      <c r="CE550" s="2" t="s">
        <v>235</v>
      </c>
      <c r="CF550" s="4"/>
      <c r="CG550" s="4"/>
      <c r="CH550" s="4"/>
      <c r="CI550" s="4">
        <v>135</v>
      </c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>
        <v>84</v>
      </c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>
        <v>135</v>
      </c>
      <c r="GE550" s="4">
        <v>129</v>
      </c>
      <c r="GF550" s="4">
        <v>123</v>
      </c>
      <c r="GG550" s="4">
        <v>118</v>
      </c>
      <c r="GH550" s="4">
        <v>113</v>
      </c>
      <c r="GI550" s="4">
        <v>109</v>
      </c>
      <c r="GJ550" s="4">
        <v>105</v>
      </c>
      <c r="GK550" s="4">
        <v>101</v>
      </c>
      <c r="GL550" s="4">
        <v>97</v>
      </c>
      <c r="GM550" s="4">
        <v>93</v>
      </c>
      <c r="GN550" s="4">
        <v>89</v>
      </c>
      <c r="GO550" s="4">
        <v>85</v>
      </c>
      <c r="GP550" s="4">
        <v>80</v>
      </c>
      <c r="GQ550" s="4">
        <v>75</v>
      </c>
      <c r="GR550" s="4">
        <v>155</v>
      </c>
      <c r="GS550" s="4">
        <v>151</v>
      </c>
      <c r="GT550" s="4">
        <v>147</v>
      </c>
      <c r="GU550" s="4">
        <v>144</v>
      </c>
      <c r="GV550" s="4">
        <v>140</v>
      </c>
      <c r="GW550" s="4">
        <v>137</v>
      </c>
      <c r="GX550" s="4">
        <v>134</v>
      </c>
      <c r="GY550" s="4">
        <v>131</v>
      </c>
      <c r="GZ550" s="4">
        <v>128</v>
      </c>
      <c r="HA550" s="4">
        <v>125</v>
      </c>
      <c r="HB550" s="4">
        <v>122</v>
      </c>
      <c r="HC550" s="4">
        <v>118</v>
      </c>
      <c r="HD550" s="19">
        <v>22.5</v>
      </c>
      <c r="HE550" s="19">
        <v>25.8</v>
      </c>
      <c r="HF550" s="19">
        <v>30.8</v>
      </c>
      <c r="HG550" s="19">
        <v>29.5</v>
      </c>
      <c r="HH550" s="19">
        <v>28.3</v>
      </c>
      <c r="HI550" s="19">
        <v>27.3</v>
      </c>
      <c r="HJ550" s="19">
        <v>26.3</v>
      </c>
      <c r="HK550" s="19">
        <v>25.3</v>
      </c>
      <c r="HL550" s="19">
        <v>24.3</v>
      </c>
      <c r="HM550" s="19">
        <v>23.3</v>
      </c>
      <c r="HN550" s="19">
        <v>22.3</v>
      </c>
      <c r="HO550" s="19">
        <v>21.3</v>
      </c>
      <c r="HP550" s="19">
        <v>20</v>
      </c>
      <c r="HQ550" s="19">
        <v>18.8</v>
      </c>
      <c r="HR550" s="19">
        <v>38.8</v>
      </c>
      <c r="HS550" s="19">
        <v>37.8</v>
      </c>
      <c r="HT550" s="19">
        <v>49</v>
      </c>
      <c r="HU550" s="19">
        <v>48</v>
      </c>
      <c r="HV550" s="19">
        <v>46.7</v>
      </c>
      <c r="HW550" s="19">
        <v>45.7</v>
      </c>
      <c r="HX550" s="19">
        <v>44.7</v>
      </c>
      <c r="HY550" s="19">
        <v>43.7</v>
      </c>
      <c r="HZ550" s="19">
        <v>42.7</v>
      </c>
      <c r="IA550" s="19">
        <v>41.7</v>
      </c>
      <c r="IB550" s="19">
        <v>40.7</v>
      </c>
      <c r="IC550" s="19">
        <v>39.3</v>
      </c>
    </row>
    <row r="551">
      <c r="A551" s="2" t="s">
        <v>2684</v>
      </c>
      <c r="B551" s="2" t="s">
        <v>255</v>
      </c>
      <c r="C551" s="2" t="s">
        <v>256</v>
      </c>
      <c r="D551" s="2" t="s">
        <v>257</v>
      </c>
      <c r="E551" s="2" t="s">
        <v>258</v>
      </c>
      <c r="F551" s="2" t="s">
        <v>2662</v>
      </c>
      <c r="G551" s="2" t="s">
        <v>2662</v>
      </c>
      <c r="H551" s="2" t="s">
        <v>2662</v>
      </c>
      <c r="I551" s="2" t="s">
        <v>2669</v>
      </c>
      <c r="J551" s="2" t="s">
        <v>272</v>
      </c>
      <c r="K551" s="2" t="s">
        <v>292</v>
      </c>
      <c r="L551" s="3">
        <v>72</v>
      </c>
      <c r="M551" s="3">
        <v>75.6</v>
      </c>
      <c r="N551" s="3">
        <v>179.99</v>
      </c>
      <c r="O551" s="2" t="s">
        <v>232</v>
      </c>
      <c r="P551" s="2" t="s">
        <v>262</v>
      </c>
      <c r="Q551" s="2" t="s">
        <v>234</v>
      </c>
      <c r="R551" s="2" t="s">
        <v>235</v>
      </c>
      <c r="S551" s="2" t="s">
        <v>235</v>
      </c>
      <c r="T551" s="2" t="s">
        <v>2664</v>
      </c>
      <c r="U551" s="2" t="s">
        <v>264</v>
      </c>
      <c r="V551" s="2" t="s">
        <v>238</v>
      </c>
      <c r="W551" s="2" t="s">
        <v>1052</v>
      </c>
      <c r="X551" s="2" t="s">
        <v>235</v>
      </c>
      <c r="Y551" s="2" t="s">
        <v>2665</v>
      </c>
      <c r="Z551" s="4">
        <v>34</v>
      </c>
      <c r="AA551" s="4">
        <f>=ROUNDDOWN(85,0)</f>
      </c>
      <c r="AB551" s="5">
        <v>0.4</v>
      </c>
      <c r="AC551" s="2" t="s">
        <v>2670</v>
      </c>
      <c r="AD551" s="4">
        <v>24</v>
      </c>
      <c r="AE551" s="4">
        <v>24</v>
      </c>
      <c r="AF551" s="6"/>
      <c r="AG551" s="6">
        <v>48</v>
      </c>
      <c r="AH551" s="7">
        <v>1</v>
      </c>
      <c r="AI551" s="4"/>
      <c r="AJ551" s="4">
        <f>=ROUNDDOWN({0},0)</f>
      </c>
      <c r="AK551" s="5"/>
      <c r="AL551" s="2" t="s">
        <v>235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235</v>
      </c>
      <c r="AW551" s="8" t="s">
        <v>235</v>
      </c>
      <c r="AX551" s="4" t="s">
        <v>235</v>
      </c>
      <c r="AY551" s="8" t="s">
        <v>235</v>
      </c>
      <c r="AZ551" s="7" t="s">
        <v>235</v>
      </c>
      <c r="BA551" s="7" t="s">
        <v>235</v>
      </c>
      <c r="BB551" s="7"/>
      <c r="BC551" s="4" t="s">
        <v>235</v>
      </c>
      <c r="BD551" s="8" t="s">
        <v>235</v>
      </c>
      <c r="BE551" s="4" t="s">
        <v>235</v>
      </c>
      <c r="BF551" s="8" t="s">
        <v>235</v>
      </c>
      <c r="BG551" s="7" t="s">
        <v>235</v>
      </c>
      <c r="BH551" s="7" t="s">
        <v>235</v>
      </c>
      <c r="BI551" s="7"/>
      <c r="BJ551" s="4">
        <v>3</v>
      </c>
      <c r="BK551" s="8">
        <v>292.12</v>
      </c>
      <c r="BL551" s="2" t="s">
        <v>2685</v>
      </c>
      <c r="BM551" s="7"/>
      <c r="BN551" s="7"/>
      <c r="BO551" s="4"/>
      <c r="BP551" s="8"/>
      <c r="BQ551" s="4"/>
      <c r="BR551" s="8"/>
      <c r="BS551" s="7"/>
      <c r="BT551" s="7"/>
      <c r="BU551" s="2" t="s">
        <v>2671</v>
      </c>
      <c r="BV551" s="2" t="s">
        <v>235</v>
      </c>
      <c r="BW551" s="2" t="s">
        <v>235</v>
      </c>
      <c r="BX551" s="2" t="s">
        <v>244</v>
      </c>
      <c r="BY551" s="2" t="s">
        <v>245</v>
      </c>
      <c r="BZ551" s="2" t="s">
        <v>232</v>
      </c>
      <c r="CA551" s="2" t="s">
        <v>235</v>
      </c>
      <c r="CB551" s="2" t="s">
        <v>235</v>
      </c>
      <c r="CC551" s="2" t="s">
        <v>248</v>
      </c>
      <c r="CD551" s="2" t="s">
        <v>248</v>
      </c>
      <c r="CE551" s="2" t="s">
        <v>235</v>
      </c>
      <c r="CF551" s="4"/>
      <c r="CG551" s="4"/>
      <c r="CH551" s="4"/>
      <c r="CI551" s="4">
        <v>34</v>
      </c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>
        <v>24</v>
      </c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>
        <v>34</v>
      </c>
      <c r="GE551" s="4">
        <v>26</v>
      </c>
      <c r="GF551" s="4">
        <v>25</v>
      </c>
      <c r="GG551" s="4">
        <v>24</v>
      </c>
      <c r="GH551" s="4">
        <v>23</v>
      </c>
      <c r="GI551" s="4">
        <v>22</v>
      </c>
      <c r="GJ551" s="4">
        <v>21</v>
      </c>
      <c r="GK551" s="4">
        <v>20</v>
      </c>
      <c r="GL551" s="4">
        <v>19</v>
      </c>
      <c r="GM551" s="4">
        <v>18</v>
      </c>
      <c r="GN551" s="4">
        <v>17</v>
      </c>
      <c r="GO551" s="4">
        <v>16</v>
      </c>
      <c r="GP551" s="4">
        <v>15</v>
      </c>
      <c r="GQ551" s="4">
        <v>14</v>
      </c>
      <c r="GR551" s="4">
        <v>37</v>
      </c>
      <c r="GS551" s="4">
        <v>36</v>
      </c>
      <c r="GT551" s="4">
        <v>35</v>
      </c>
      <c r="GU551" s="4">
        <v>34</v>
      </c>
      <c r="GV551" s="4">
        <v>33</v>
      </c>
      <c r="GW551" s="4">
        <v>32</v>
      </c>
      <c r="GX551" s="4">
        <v>31</v>
      </c>
      <c r="GY551" s="4">
        <v>30</v>
      </c>
      <c r="GZ551" s="4">
        <v>29</v>
      </c>
      <c r="HA551" s="4">
        <v>28</v>
      </c>
      <c r="HB551" s="4">
        <v>27</v>
      </c>
      <c r="HC551" s="4">
        <v>26</v>
      </c>
      <c r="HD551" s="19">
        <v>11.3</v>
      </c>
      <c r="HE551" s="19">
        <v>26</v>
      </c>
      <c r="HF551" s="19">
        <v>25</v>
      </c>
      <c r="HG551" s="19">
        <v>24</v>
      </c>
      <c r="HH551" s="19">
        <v>23</v>
      </c>
      <c r="HI551" s="19">
        <v>22</v>
      </c>
      <c r="HJ551" s="19">
        <v>21</v>
      </c>
      <c r="HK551" s="19">
        <v>20</v>
      </c>
      <c r="HL551" s="19">
        <v>19</v>
      </c>
      <c r="HM551" s="19">
        <v>18</v>
      </c>
      <c r="HN551" s="19">
        <v>17</v>
      </c>
      <c r="HO551" s="19">
        <v>16</v>
      </c>
      <c r="HP551" s="19">
        <v>15</v>
      </c>
      <c r="HQ551" s="19">
        <v>14</v>
      </c>
      <c r="HR551" s="19">
        <v>37</v>
      </c>
      <c r="HS551" s="19">
        <v>36</v>
      </c>
      <c r="HT551" s="19">
        <v>35</v>
      </c>
      <c r="HU551" s="19">
        <v>34</v>
      </c>
      <c r="HV551" s="19">
        <v>33</v>
      </c>
      <c r="HW551" s="19">
        <v>32</v>
      </c>
      <c r="HX551" s="19">
        <v>31</v>
      </c>
      <c r="HY551" s="19">
        <v>30</v>
      </c>
      <c r="HZ551" s="19">
        <v>29</v>
      </c>
      <c r="IA551" s="19">
        <v>28</v>
      </c>
      <c r="IB551" s="19">
        <v>27</v>
      </c>
      <c r="IC551" s="19">
        <v>26</v>
      </c>
    </row>
    <row r="552">
      <c r="A552" s="2" t="s">
        <v>2686</v>
      </c>
      <c r="B552" s="2" t="s">
        <v>255</v>
      </c>
      <c r="C552" s="2" t="s">
        <v>256</v>
      </c>
      <c r="D552" s="2" t="s">
        <v>257</v>
      </c>
      <c r="E552" s="2" t="s">
        <v>258</v>
      </c>
      <c r="F552" s="2" t="s">
        <v>2662</v>
      </c>
      <c r="G552" s="2" t="s">
        <v>2662</v>
      </c>
      <c r="H552" s="2" t="s">
        <v>2662</v>
      </c>
      <c r="I552" s="2" t="s">
        <v>2669</v>
      </c>
      <c r="J552" s="2" t="s">
        <v>281</v>
      </c>
      <c r="K552" s="2" t="s">
        <v>292</v>
      </c>
      <c r="L552" s="3">
        <v>76</v>
      </c>
      <c r="M552" s="3">
        <v>79.8</v>
      </c>
      <c r="N552" s="3">
        <v>189.99</v>
      </c>
      <c r="O552" s="2" t="s">
        <v>232</v>
      </c>
      <c r="P552" s="2" t="s">
        <v>262</v>
      </c>
      <c r="Q552" s="2" t="s">
        <v>234</v>
      </c>
      <c r="R552" s="2" t="s">
        <v>235</v>
      </c>
      <c r="S552" s="2" t="s">
        <v>235</v>
      </c>
      <c r="T552" s="2" t="s">
        <v>2664</v>
      </c>
      <c r="U552" s="2" t="s">
        <v>282</v>
      </c>
      <c r="V552" s="2" t="s">
        <v>238</v>
      </c>
      <c r="W552" s="2" t="s">
        <v>1052</v>
      </c>
      <c r="X552" s="2" t="s">
        <v>235</v>
      </c>
      <c r="Y552" s="2" t="s">
        <v>2665</v>
      </c>
      <c r="Z552" s="4">
        <v>10</v>
      </c>
      <c r="AA552" s="4">
        <f>=ROUNDDOWN(33.3333333333333,0)</f>
      </c>
      <c r="AB552" s="5">
        <v>0.3</v>
      </c>
      <c r="AC552" s="2" t="s">
        <v>2670</v>
      </c>
      <c r="AD552" s="4">
        <v>8</v>
      </c>
      <c r="AE552" s="4">
        <v>8</v>
      </c>
      <c r="AF552" s="6"/>
      <c r="AG552" s="6">
        <v>48</v>
      </c>
      <c r="AH552" s="7">
        <v>1</v>
      </c>
      <c r="AI552" s="4"/>
      <c r="AJ552" s="4">
        <f>=ROUNDDOWN({0},0)</f>
      </c>
      <c r="AK552" s="5"/>
      <c r="AL552" s="2" t="s">
        <v>235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235</v>
      </c>
      <c r="AW552" s="8" t="s">
        <v>235</v>
      </c>
      <c r="AX552" s="4" t="s">
        <v>235</v>
      </c>
      <c r="AY552" s="8" t="s">
        <v>235</v>
      </c>
      <c r="AZ552" s="7" t="s">
        <v>235</v>
      </c>
      <c r="BA552" s="7" t="s">
        <v>235</v>
      </c>
      <c r="BB552" s="7"/>
      <c r="BC552" s="4" t="s">
        <v>235</v>
      </c>
      <c r="BD552" s="8" t="s">
        <v>235</v>
      </c>
      <c r="BE552" s="4" t="s">
        <v>235</v>
      </c>
      <c r="BF552" s="8" t="s">
        <v>235</v>
      </c>
      <c r="BG552" s="7" t="s">
        <v>235</v>
      </c>
      <c r="BH552" s="7" t="s">
        <v>235</v>
      </c>
      <c r="BI552" s="7"/>
      <c r="BJ552" s="4">
        <v>5</v>
      </c>
      <c r="BK552" s="8">
        <v>437</v>
      </c>
      <c r="BL552" s="2" t="s">
        <v>2683</v>
      </c>
      <c r="BM552" s="7"/>
      <c r="BN552" s="7"/>
      <c r="BO552" s="4"/>
      <c r="BP552" s="8"/>
      <c r="BQ552" s="4"/>
      <c r="BR552" s="8"/>
      <c r="BS552" s="7"/>
      <c r="BT552" s="7"/>
      <c r="BU552" s="2" t="s">
        <v>2671</v>
      </c>
      <c r="BV552" s="2" t="s">
        <v>235</v>
      </c>
      <c r="BW552" s="2" t="s">
        <v>235</v>
      </c>
      <c r="BX552" s="2" t="s">
        <v>244</v>
      </c>
      <c r="BY552" s="2" t="s">
        <v>245</v>
      </c>
      <c r="BZ552" s="2" t="s">
        <v>232</v>
      </c>
      <c r="CA552" s="2" t="s">
        <v>235</v>
      </c>
      <c r="CB552" s="2" t="s">
        <v>235</v>
      </c>
      <c r="CC552" s="2" t="s">
        <v>248</v>
      </c>
      <c r="CD552" s="2" t="s">
        <v>248</v>
      </c>
      <c r="CE552" s="2" t="s">
        <v>235</v>
      </c>
      <c r="CF552" s="4"/>
      <c r="CG552" s="4"/>
      <c r="CH552" s="4"/>
      <c r="CI552" s="4">
        <v>10</v>
      </c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>
        <v>8</v>
      </c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>
        <v>10</v>
      </c>
      <c r="GE552" s="4">
        <v>8</v>
      </c>
      <c r="GF552" s="4">
        <v>6</v>
      </c>
      <c r="GG552" s="4">
        <v>5</v>
      </c>
      <c r="GH552" s="4">
        <v>4</v>
      </c>
      <c r="GI552" s="4">
        <v>3</v>
      </c>
      <c r="GJ552" s="4">
        <v>2</v>
      </c>
      <c r="GK552" s="4">
        <v>1</v>
      </c>
      <c r="GL552" s="4"/>
      <c r="GM552" s="4"/>
      <c r="GN552" s="4"/>
      <c r="GO552" s="4"/>
      <c r="GP552" s="4"/>
      <c r="GQ552" s="4"/>
      <c r="GR552" s="4">
        <v>8</v>
      </c>
      <c r="GS552" s="4">
        <v>7</v>
      </c>
      <c r="GT552" s="4">
        <v>6</v>
      </c>
      <c r="GU552" s="4">
        <v>5</v>
      </c>
      <c r="GV552" s="4">
        <v>4</v>
      </c>
      <c r="GW552" s="4">
        <v>3</v>
      </c>
      <c r="GX552" s="4">
        <v>2</v>
      </c>
      <c r="GY552" s="4">
        <v>1</v>
      </c>
      <c r="GZ552" s="4"/>
      <c r="HA552" s="4"/>
      <c r="HB552" s="4">
        <v>16</v>
      </c>
      <c r="HC552" s="4">
        <v>15</v>
      </c>
      <c r="HD552" s="19">
        <v>5</v>
      </c>
      <c r="HE552" s="19">
        <v>8</v>
      </c>
      <c r="HF552" s="19">
        <v>6</v>
      </c>
      <c r="HG552" s="19">
        <v>5</v>
      </c>
      <c r="HH552" s="19">
        <v>4</v>
      </c>
      <c r="HI552" s="19">
        <v>3</v>
      </c>
      <c r="HJ552" s="19">
        <v>2</v>
      </c>
      <c r="HK552" s="19">
        <v>1</v>
      </c>
      <c r="HL552" s="20">
        <v>0</v>
      </c>
      <c r="HM552" s="20">
        <v>0</v>
      </c>
      <c r="HN552" s="20">
        <v>0</v>
      </c>
      <c r="HO552" s="20">
        <v>0</v>
      </c>
      <c r="HP552" s="20">
        <v>0</v>
      </c>
      <c r="HQ552" s="20">
        <v>0</v>
      </c>
      <c r="HR552" s="19">
        <v>8</v>
      </c>
      <c r="HS552" s="19">
        <v>7</v>
      </c>
      <c r="HT552" s="19">
        <v>6</v>
      </c>
      <c r="HU552" s="19">
        <v>5</v>
      </c>
      <c r="HV552" s="19">
        <v>4</v>
      </c>
      <c r="HW552" s="19">
        <v>3</v>
      </c>
      <c r="HX552" s="19">
        <v>2</v>
      </c>
      <c r="HY552" s="19">
        <v>1</v>
      </c>
      <c r="HZ552" s="20">
        <v>0</v>
      </c>
      <c r="IA552" s="20">
        <v>0</v>
      </c>
      <c r="IB552" s="19">
        <v>16</v>
      </c>
      <c r="IC552" s="19">
        <v>15</v>
      </c>
    </row>
    <row r="553">
      <c r="A553" s="2" t="s">
        <v>2687</v>
      </c>
      <c r="B553" s="2" t="s">
        <v>255</v>
      </c>
      <c r="C553" s="2" t="s">
        <v>256</v>
      </c>
      <c r="D553" s="2" t="s">
        <v>361</v>
      </c>
      <c r="E553" s="2" t="s">
        <v>872</v>
      </c>
      <c r="F553" s="2" t="s">
        <v>2662</v>
      </c>
      <c r="G553" s="2" t="s">
        <v>2662</v>
      </c>
      <c r="H553" s="2" t="s">
        <v>2662</v>
      </c>
      <c r="I553" s="2" t="s">
        <v>2663</v>
      </c>
      <c r="J553" s="2" t="s">
        <v>365</v>
      </c>
      <c r="K553" s="2" t="s">
        <v>295</v>
      </c>
      <c r="L553" s="3">
        <v>64</v>
      </c>
      <c r="M553" s="3">
        <v>67.2</v>
      </c>
      <c r="N553" s="3">
        <v>159.99</v>
      </c>
      <c r="O553" s="2" t="s">
        <v>232</v>
      </c>
      <c r="P553" s="2" t="s">
        <v>262</v>
      </c>
      <c r="Q553" s="2" t="s">
        <v>234</v>
      </c>
      <c r="R553" s="2" t="s">
        <v>235</v>
      </c>
      <c r="S553" s="2" t="s">
        <v>235</v>
      </c>
      <c r="T553" s="2" t="s">
        <v>2664</v>
      </c>
      <c r="U553" s="2" t="s">
        <v>807</v>
      </c>
      <c r="V553" s="2" t="s">
        <v>238</v>
      </c>
      <c r="W553" s="2" t="s">
        <v>1052</v>
      </c>
      <c r="X553" s="2" t="s">
        <v>235</v>
      </c>
      <c r="Y553" s="2" t="s">
        <v>2665</v>
      </c>
      <c r="Z553" s="4">
        <v>136</v>
      </c>
      <c r="AA553" s="4">
        <f>=ROUNDDOWN(27.2,0)</f>
      </c>
      <c r="AB553" s="5">
        <v>5</v>
      </c>
      <c r="AC553" s="2" t="s">
        <v>2666</v>
      </c>
      <c r="AD553" s="4">
        <v>63</v>
      </c>
      <c r="AE553" s="4">
        <v>63</v>
      </c>
      <c r="AF553" s="6"/>
      <c r="AG553" s="6">
        <v>48</v>
      </c>
      <c r="AH553" s="7">
        <v>1</v>
      </c>
      <c r="AI553" s="4"/>
      <c r="AJ553" s="4">
        <f>=ROUNDDOWN({0},0)</f>
      </c>
      <c r="AK553" s="5"/>
      <c r="AL553" s="2" t="s">
        <v>235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235</v>
      </c>
      <c r="AW553" s="8" t="s">
        <v>235</v>
      </c>
      <c r="AX553" s="4" t="s">
        <v>235</v>
      </c>
      <c r="AY553" s="8" t="s">
        <v>235</v>
      </c>
      <c r="AZ553" s="7" t="s">
        <v>235</v>
      </c>
      <c r="BA553" s="7" t="s">
        <v>235</v>
      </c>
      <c r="BB553" s="7"/>
      <c r="BC553" s="4" t="s">
        <v>235</v>
      </c>
      <c r="BD553" s="8" t="s">
        <v>235</v>
      </c>
      <c r="BE553" s="4" t="s">
        <v>235</v>
      </c>
      <c r="BF553" s="8" t="s">
        <v>235</v>
      </c>
      <c r="BG553" s="7" t="s">
        <v>235</v>
      </c>
      <c r="BH553" s="7" t="s">
        <v>235</v>
      </c>
      <c r="BI553" s="7"/>
      <c r="BJ553" s="4"/>
      <c r="BK553" s="8"/>
      <c r="BL553" s="2" t="s">
        <v>235</v>
      </c>
      <c r="BM553" s="7"/>
      <c r="BN553" s="7"/>
      <c r="BO553" s="4"/>
      <c r="BP553" s="8"/>
      <c r="BQ553" s="4"/>
      <c r="BR553" s="8"/>
      <c r="BS553" s="7"/>
      <c r="BT553" s="7"/>
      <c r="BU553" s="2" t="s">
        <v>2667</v>
      </c>
      <c r="BV553" s="2" t="s">
        <v>235</v>
      </c>
      <c r="BW553" s="2" t="s">
        <v>235</v>
      </c>
      <c r="BX553" s="2" t="s">
        <v>244</v>
      </c>
      <c r="BY553" s="2" t="s">
        <v>245</v>
      </c>
      <c r="BZ553" s="2" t="s">
        <v>232</v>
      </c>
      <c r="CA553" s="2" t="s">
        <v>235</v>
      </c>
      <c r="CB553" s="2" t="s">
        <v>235</v>
      </c>
      <c r="CC553" s="2" t="s">
        <v>248</v>
      </c>
      <c r="CD553" s="2" t="s">
        <v>248</v>
      </c>
      <c r="CE553" s="2" t="s">
        <v>235</v>
      </c>
      <c r="CF553" s="4"/>
      <c r="CG553" s="4"/>
      <c r="CH553" s="4"/>
      <c r="CI553" s="4">
        <v>136</v>
      </c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>
        <v>63</v>
      </c>
      <c r="FX553" s="4"/>
      <c r="FY553" s="4"/>
      <c r="FZ553" s="4"/>
      <c r="GA553" s="4"/>
      <c r="GB553" s="4"/>
      <c r="GC553" s="4"/>
      <c r="GD553" s="4">
        <v>137</v>
      </c>
      <c r="GE553" s="4">
        <v>122</v>
      </c>
      <c r="GF553" s="4">
        <v>115</v>
      </c>
      <c r="GG553" s="4">
        <v>109</v>
      </c>
      <c r="GH553" s="4">
        <v>103</v>
      </c>
      <c r="GI553" s="4">
        <v>98</v>
      </c>
      <c r="GJ553" s="4">
        <v>93</v>
      </c>
      <c r="GK553" s="4">
        <v>88</v>
      </c>
      <c r="GL553" s="4">
        <v>83</v>
      </c>
      <c r="GM553" s="4">
        <v>78</v>
      </c>
      <c r="GN553" s="4">
        <v>73</v>
      </c>
      <c r="GO553" s="4">
        <v>68</v>
      </c>
      <c r="GP553" s="4">
        <v>62</v>
      </c>
      <c r="GQ553" s="4">
        <v>56</v>
      </c>
      <c r="GR553" s="4">
        <v>51</v>
      </c>
      <c r="GS553" s="4">
        <v>46</v>
      </c>
      <c r="GT553" s="4">
        <v>41</v>
      </c>
      <c r="GU553" s="4">
        <v>37</v>
      </c>
      <c r="GV553" s="4">
        <v>95</v>
      </c>
      <c r="GW553" s="4">
        <v>91</v>
      </c>
      <c r="GX553" s="4">
        <v>87</v>
      </c>
      <c r="GY553" s="4">
        <v>83</v>
      </c>
      <c r="GZ553" s="4">
        <v>79</v>
      </c>
      <c r="HA553" s="4">
        <v>75</v>
      </c>
      <c r="HB553" s="4">
        <v>71</v>
      </c>
      <c r="HC553" s="4">
        <v>66</v>
      </c>
      <c r="HD553" s="19">
        <v>17.1</v>
      </c>
      <c r="HE553" s="19">
        <v>20.3</v>
      </c>
      <c r="HF553" s="19">
        <v>19.2</v>
      </c>
      <c r="HG553" s="19">
        <v>21.8</v>
      </c>
      <c r="HH553" s="19">
        <v>20.6</v>
      </c>
      <c r="HI553" s="19">
        <v>19.6</v>
      </c>
      <c r="HJ553" s="19">
        <v>18.6</v>
      </c>
      <c r="HK553" s="19">
        <v>17.6</v>
      </c>
      <c r="HL553" s="19">
        <v>16.6</v>
      </c>
      <c r="HM553" s="19">
        <v>13</v>
      </c>
      <c r="HN553" s="19">
        <v>12.2</v>
      </c>
      <c r="HO553" s="19">
        <v>11.3</v>
      </c>
      <c r="HP553" s="19">
        <v>12.4</v>
      </c>
      <c r="HQ553" s="19">
        <v>11.2</v>
      </c>
      <c r="HR553" s="19">
        <v>10.2</v>
      </c>
      <c r="HS553" s="19">
        <v>11.5</v>
      </c>
      <c r="HT553" s="19">
        <v>10.3</v>
      </c>
      <c r="HU553" s="19">
        <v>9.3</v>
      </c>
      <c r="HV553" s="19">
        <v>23.8</v>
      </c>
      <c r="HW553" s="19">
        <v>22.8</v>
      </c>
      <c r="HX553" s="19">
        <v>21.8</v>
      </c>
      <c r="HY553" s="19">
        <v>20.8</v>
      </c>
      <c r="HZ553" s="19">
        <v>19.8</v>
      </c>
      <c r="IA553" s="19">
        <v>18.8</v>
      </c>
      <c r="IB553" s="19">
        <v>17.8</v>
      </c>
      <c r="IC553" s="19">
        <v>16.5</v>
      </c>
    </row>
    <row r="554">
      <c r="A554" s="2" t="s">
        <v>2688</v>
      </c>
      <c r="B554" s="2" t="s">
        <v>255</v>
      </c>
      <c r="C554" s="2" t="s">
        <v>256</v>
      </c>
      <c r="D554" s="2" t="s">
        <v>257</v>
      </c>
      <c r="E554" s="2" t="s">
        <v>258</v>
      </c>
      <c r="F554" s="2" t="s">
        <v>2662</v>
      </c>
      <c r="G554" s="2" t="s">
        <v>2662</v>
      </c>
      <c r="H554" s="2" t="s">
        <v>2662</v>
      </c>
      <c r="I554" s="2" t="s">
        <v>2669</v>
      </c>
      <c r="J554" s="2" t="s">
        <v>261</v>
      </c>
      <c r="K554" s="2" t="s">
        <v>295</v>
      </c>
      <c r="L554" s="3">
        <v>64</v>
      </c>
      <c r="M554" s="3">
        <v>67.2</v>
      </c>
      <c r="N554" s="3">
        <v>159.99</v>
      </c>
      <c r="O554" s="2" t="s">
        <v>232</v>
      </c>
      <c r="P554" s="2" t="s">
        <v>262</v>
      </c>
      <c r="Q554" s="2" t="s">
        <v>234</v>
      </c>
      <c r="R554" s="2" t="s">
        <v>235</v>
      </c>
      <c r="S554" s="2" t="s">
        <v>235</v>
      </c>
      <c r="T554" s="2" t="s">
        <v>2664</v>
      </c>
      <c r="U554" s="2" t="s">
        <v>264</v>
      </c>
      <c r="V554" s="2" t="s">
        <v>238</v>
      </c>
      <c r="W554" s="2" t="s">
        <v>1052</v>
      </c>
      <c r="X554" s="2" t="s">
        <v>235</v>
      </c>
      <c r="Y554" s="2" t="s">
        <v>2665</v>
      </c>
      <c r="Z554" s="4">
        <v>103</v>
      </c>
      <c r="AA554" s="4">
        <f>=ROUNDDOWN(34.3333333333333,0)</f>
      </c>
      <c r="AB554" s="5">
        <v>3</v>
      </c>
      <c r="AC554" s="2" t="s">
        <v>2670</v>
      </c>
      <c r="AD554" s="4">
        <v>66</v>
      </c>
      <c r="AE554" s="4">
        <v>66</v>
      </c>
      <c r="AF554" s="6"/>
      <c r="AG554" s="6">
        <v>48</v>
      </c>
      <c r="AH554" s="7">
        <v>1</v>
      </c>
      <c r="AI554" s="4"/>
      <c r="AJ554" s="4">
        <f>=ROUNDDOWN({0},0)</f>
      </c>
      <c r="AK554" s="5"/>
      <c r="AL554" s="2" t="s">
        <v>235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235</v>
      </c>
      <c r="AW554" s="8" t="s">
        <v>235</v>
      </c>
      <c r="AX554" s="4" t="s">
        <v>235</v>
      </c>
      <c r="AY554" s="8" t="s">
        <v>235</v>
      </c>
      <c r="AZ554" s="7" t="s">
        <v>235</v>
      </c>
      <c r="BA554" s="7" t="s">
        <v>235</v>
      </c>
      <c r="BB554" s="7"/>
      <c r="BC554" s="4" t="s">
        <v>235</v>
      </c>
      <c r="BD554" s="8" t="s">
        <v>235</v>
      </c>
      <c r="BE554" s="4" t="s">
        <v>235</v>
      </c>
      <c r="BF554" s="8" t="s">
        <v>235</v>
      </c>
      <c r="BG554" s="7" t="s">
        <v>235</v>
      </c>
      <c r="BH554" s="7" t="s">
        <v>235</v>
      </c>
      <c r="BI554" s="7"/>
      <c r="BJ554" s="4">
        <v>2</v>
      </c>
      <c r="BK554" s="8">
        <v>232.57</v>
      </c>
      <c r="BL554" s="2" t="s">
        <v>2689</v>
      </c>
      <c r="BM554" s="7"/>
      <c r="BN554" s="7"/>
      <c r="BO554" s="4"/>
      <c r="BP554" s="8"/>
      <c r="BQ554" s="4"/>
      <c r="BR554" s="8"/>
      <c r="BS554" s="7"/>
      <c r="BT554" s="7"/>
      <c r="BU554" s="2" t="s">
        <v>2671</v>
      </c>
      <c r="BV554" s="2" t="s">
        <v>235</v>
      </c>
      <c r="BW554" s="2" t="s">
        <v>235</v>
      </c>
      <c r="BX554" s="2" t="s">
        <v>244</v>
      </c>
      <c r="BY554" s="2" t="s">
        <v>245</v>
      </c>
      <c r="BZ554" s="2" t="s">
        <v>232</v>
      </c>
      <c r="CA554" s="2" t="s">
        <v>235</v>
      </c>
      <c r="CB554" s="2" t="s">
        <v>235</v>
      </c>
      <c r="CC554" s="2" t="s">
        <v>248</v>
      </c>
      <c r="CD554" s="2" t="s">
        <v>248</v>
      </c>
      <c r="CE554" s="2" t="s">
        <v>235</v>
      </c>
      <c r="CF554" s="4"/>
      <c r="CG554" s="4"/>
      <c r="CH554" s="4"/>
      <c r="CI554" s="4">
        <v>103</v>
      </c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>
        <v>66</v>
      </c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>
        <v>103</v>
      </c>
      <c r="GE554" s="4">
        <v>98</v>
      </c>
      <c r="GF554" s="4">
        <v>93</v>
      </c>
      <c r="GG554" s="4">
        <v>89</v>
      </c>
      <c r="GH554" s="4">
        <v>85</v>
      </c>
      <c r="GI554" s="4">
        <v>82</v>
      </c>
      <c r="GJ554" s="4">
        <v>79</v>
      </c>
      <c r="GK554" s="4">
        <v>76</v>
      </c>
      <c r="GL554" s="4">
        <v>73</v>
      </c>
      <c r="GM554" s="4">
        <v>70</v>
      </c>
      <c r="GN554" s="4">
        <v>67</v>
      </c>
      <c r="GO554" s="4">
        <v>64</v>
      </c>
      <c r="GP554" s="4">
        <v>60</v>
      </c>
      <c r="GQ554" s="4">
        <v>56</v>
      </c>
      <c r="GR554" s="4">
        <v>119</v>
      </c>
      <c r="GS554" s="4">
        <v>116</v>
      </c>
      <c r="GT554" s="4">
        <v>188</v>
      </c>
      <c r="GU554" s="4">
        <v>186</v>
      </c>
      <c r="GV554" s="4">
        <v>183</v>
      </c>
      <c r="GW554" s="4">
        <v>181</v>
      </c>
      <c r="GX554" s="4">
        <v>179</v>
      </c>
      <c r="GY554" s="4">
        <v>177</v>
      </c>
      <c r="GZ554" s="4">
        <v>175</v>
      </c>
      <c r="HA554" s="4">
        <v>173</v>
      </c>
      <c r="HB554" s="4">
        <v>171</v>
      </c>
      <c r="HC554" s="4">
        <v>168</v>
      </c>
      <c r="HD554" s="19">
        <v>25.8</v>
      </c>
      <c r="HE554" s="19">
        <v>24.5</v>
      </c>
      <c r="HF554" s="19">
        <v>23.3</v>
      </c>
      <c r="HG554" s="19">
        <v>29.7</v>
      </c>
      <c r="HH554" s="19">
        <v>28.3</v>
      </c>
      <c r="HI554" s="19">
        <v>27.3</v>
      </c>
      <c r="HJ554" s="19">
        <v>26.3</v>
      </c>
      <c r="HK554" s="19">
        <v>25.3</v>
      </c>
      <c r="HL554" s="19">
        <v>24.3</v>
      </c>
      <c r="HM554" s="19">
        <v>17.5</v>
      </c>
      <c r="HN554" s="19">
        <v>16.8</v>
      </c>
      <c r="HO554" s="19">
        <v>16</v>
      </c>
      <c r="HP554" s="19">
        <v>20</v>
      </c>
      <c r="HQ554" s="19">
        <v>18.7</v>
      </c>
      <c r="HR554" s="19">
        <v>39.7</v>
      </c>
      <c r="HS554" s="19">
        <v>58</v>
      </c>
      <c r="HT554" s="19">
        <v>94</v>
      </c>
      <c r="HU554" s="19">
        <v>93</v>
      </c>
      <c r="HV554" s="19">
        <v>91.5</v>
      </c>
      <c r="HW554" s="19">
        <v>90.5</v>
      </c>
      <c r="HX554" s="19">
        <v>89.5</v>
      </c>
      <c r="HY554" s="19">
        <v>88.5</v>
      </c>
      <c r="HZ554" s="19">
        <v>87.5</v>
      </c>
      <c r="IA554" s="19">
        <v>86.5</v>
      </c>
      <c r="IB554" s="19">
        <v>85.5</v>
      </c>
      <c r="IC554" s="19">
        <v>84</v>
      </c>
    </row>
    <row r="555">
      <c r="A555" s="2" t="s">
        <v>2690</v>
      </c>
      <c r="B555" s="2" t="s">
        <v>255</v>
      </c>
      <c r="C555" s="2" t="s">
        <v>256</v>
      </c>
      <c r="D555" s="2" t="s">
        <v>257</v>
      </c>
      <c r="E555" s="2" t="s">
        <v>258</v>
      </c>
      <c r="F555" s="2" t="s">
        <v>2662</v>
      </c>
      <c r="G555" s="2" t="s">
        <v>2662</v>
      </c>
      <c r="H555" s="2" t="s">
        <v>2662</v>
      </c>
      <c r="I555" s="2" t="s">
        <v>2669</v>
      </c>
      <c r="J555" s="2" t="s">
        <v>270</v>
      </c>
      <c r="K555" s="2" t="s">
        <v>295</v>
      </c>
      <c r="L555" s="3">
        <v>68</v>
      </c>
      <c r="M555" s="3">
        <v>71.4</v>
      </c>
      <c r="N555" s="3">
        <v>169.99</v>
      </c>
      <c r="O555" s="2" t="s">
        <v>232</v>
      </c>
      <c r="P555" s="2" t="s">
        <v>262</v>
      </c>
      <c r="Q555" s="2" t="s">
        <v>234</v>
      </c>
      <c r="R555" s="2" t="s">
        <v>235</v>
      </c>
      <c r="S555" s="2" t="s">
        <v>235</v>
      </c>
      <c r="T555" s="2" t="s">
        <v>2664</v>
      </c>
      <c r="U555" s="2" t="s">
        <v>264</v>
      </c>
      <c r="V555" s="2" t="s">
        <v>238</v>
      </c>
      <c r="W555" s="2" t="s">
        <v>1052</v>
      </c>
      <c r="X555" s="2" t="s">
        <v>235</v>
      </c>
      <c r="Y555" s="2" t="s">
        <v>2665</v>
      </c>
      <c r="Z555" s="4">
        <v>129</v>
      </c>
      <c r="AA555" s="4">
        <f>=ROUNDDOWN(32.25,0)</f>
      </c>
      <c r="AB555" s="5">
        <v>4</v>
      </c>
      <c r="AC555" s="2" t="s">
        <v>2670</v>
      </c>
      <c r="AD555" s="4">
        <v>84</v>
      </c>
      <c r="AE555" s="4">
        <v>84</v>
      </c>
      <c r="AF555" s="6"/>
      <c r="AG555" s="6">
        <v>48</v>
      </c>
      <c r="AH555" s="7">
        <v>1</v>
      </c>
      <c r="AI555" s="4"/>
      <c r="AJ555" s="4">
        <f>=ROUNDDOWN({0},0)</f>
      </c>
      <c r="AK555" s="5"/>
      <c r="AL555" s="2" t="s">
        <v>235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235</v>
      </c>
      <c r="AW555" s="8" t="s">
        <v>235</v>
      </c>
      <c r="AX555" s="4" t="s">
        <v>235</v>
      </c>
      <c r="AY555" s="8" t="s">
        <v>235</v>
      </c>
      <c r="AZ555" s="7" t="s">
        <v>235</v>
      </c>
      <c r="BA555" s="7" t="s">
        <v>235</v>
      </c>
      <c r="BB555" s="7"/>
      <c r="BC555" s="4" t="s">
        <v>235</v>
      </c>
      <c r="BD555" s="8" t="s">
        <v>235</v>
      </c>
      <c r="BE555" s="4" t="s">
        <v>235</v>
      </c>
      <c r="BF555" s="8" t="s">
        <v>235</v>
      </c>
      <c r="BG555" s="7" t="s">
        <v>235</v>
      </c>
      <c r="BH555" s="7" t="s">
        <v>235</v>
      </c>
      <c r="BI555" s="7"/>
      <c r="BJ555" s="4">
        <v>4</v>
      </c>
      <c r="BK555" s="8">
        <v>248.19</v>
      </c>
      <c r="BL555" s="2" t="s">
        <v>2691</v>
      </c>
      <c r="BM555" s="7"/>
      <c r="BN555" s="7"/>
      <c r="BO555" s="4"/>
      <c r="BP555" s="8"/>
      <c r="BQ555" s="4"/>
      <c r="BR555" s="8"/>
      <c r="BS555" s="7"/>
      <c r="BT555" s="7"/>
      <c r="BU555" s="2" t="s">
        <v>2671</v>
      </c>
      <c r="BV555" s="2" t="s">
        <v>235</v>
      </c>
      <c r="BW555" s="2" t="s">
        <v>235</v>
      </c>
      <c r="BX555" s="2" t="s">
        <v>244</v>
      </c>
      <c r="BY555" s="2" t="s">
        <v>245</v>
      </c>
      <c r="BZ555" s="2" t="s">
        <v>232</v>
      </c>
      <c r="CA555" s="2" t="s">
        <v>235</v>
      </c>
      <c r="CB555" s="2" t="s">
        <v>235</v>
      </c>
      <c r="CC555" s="2" t="s">
        <v>248</v>
      </c>
      <c r="CD555" s="2" t="s">
        <v>248</v>
      </c>
      <c r="CE555" s="2" t="s">
        <v>235</v>
      </c>
      <c r="CF555" s="4"/>
      <c r="CG555" s="4"/>
      <c r="CH555" s="4"/>
      <c r="CI555" s="4">
        <v>129</v>
      </c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>
        <v>84</v>
      </c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>
        <v>130</v>
      </c>
      <c r="GE555" s="4">
        <v>123</v>
      </c>
      <c r="GF555" s="4">
        <v>117</v>
      </c>
      <c r="GG555" s="4">
        <v>112</v>
      </c>
      <c r="GH555" s="4">
        <v>107</v>
      </c>
      <c r="GI555" s="4">
        <v>103</v>
      </c>
      <c r="GJ555" s="4">
        <v>99</v>
      </c>
      <c r="GK555" s="4">
        <v>95</v>
      </c>
      <c r="GL555" s="4">
        <v>91</v>
      </c>
      <c r="GM555" s="4">
        <v>87</v>
      </c>
      <c r="GN555" s="4">
        <v>83</v>
      </c>
      <c r="GO555" s="4">
        <v>79</v>
      </c>
      <c r="GP555" s="4">
        <v>74</v>
      </c>
      <c r="GQ555" s="4">
        <v>69</v>
      </c>
      <c r="GR555" s="4">
        <v>149</v>
      </c>
      <c r="GS555" s="4">
        <v>145</v>
      </c>
      <c r="GT555" s="4">
        <v>245</v>
      </c>
      <c r="GU555" s="4">
        <v>242</v>
      </c>
      <c r="GV555" s="4">
        <v>238</v>
      </c>
      <c r="GW555" s="4">
        <v>235</v>
      </c>
      <c r="GX555" s="4">
        <v>232</v>
      </c>
      <c r="GY555" s="4">
        <v>229</v>
      </c>
      <c r="GZ555" s="4">
        <v>226</v>
      </c>
      <c r="HA555" s="4">
        <v>223</v>
      </c>
      <c r="HB555" s="4">
        <v>220</v>
      </c>
      <c r="HC555" s="4">
        <v>216</v>
      </c>
      <c r="HD555" s="19">
        <v>21.7</v>
      </c>
      <c r="HE555" s="19">
        <v>24.6</v>
      </c>
      <c r="HF555" s="19">
        <v>29.3</v>
      </c>
      <c r="HG555" s="19">
        <v>28</v>
      </c>
      <c r="HH555" s="19">
        <v>26.8</v>
      </c>
      <c r="HI555" s="19">
        <v>25.8</v>
      </c>
      <c r="HJ555" s="19">
        <v>24.8</v>
      </c>
      <c r="HK555" s="19">
        <v>23.8</v>
      </c>
      <c r="HL555" s="19">
        <v>22.8</v>
      </c>
      <c r="HM555" s="19">
        <v>21.8</v>
      </c>
      <c r="HN555" s="19">
        <v>20.8</v>
      </c>
      <c r="HO555" s="19">
        <v>19.8</v>
      </c>
      <c r="HP555" s="19">
        <v>18.5</v>
      </c>
      <c r="HQ555" s="19">
        <v>17.3</v>
      </c>
      <c r="HR555" s="19">
        <v>37.3</v>
      </c>
      <c r="HS555" s="19">
        <v>36.3</v>
      </c>
      <c r="HT555" s="19">
        <v>81.7</v>
      </c>
      <c r="HU555" s="19">
        <v>80.7</v>
      </c>
      <c r="HV555" s="19">
        <v>79.3</v>
      </c>
      <c r="HW555" s="19">
        <v>78.3</v>
      </c>
      <c r="HX555" s="19">
        <v>77.3</v>
      </c>
      <c r="HY555" s="19">
        <v>76.3</v>
      </c>
      <c r="HZ555" s="19">
        <v>75.3</v>
      </c>
      <c r="IA555" s="19">
        <v>74.3</v>
      </c>
      <c r="IB555" s="19">
        <v>73.3</v>
      </c>
      <c r="IC555" s="19">
        <v>72</v>
      </c>
    </row>
    <row r="556">
      <c r="A556" s="2" t="s">
        <v>2692</v>
      </c>
      <c r="B556" s="2" t="s">
        <v>255</v>
      </c>
      <c r="C556" s="2" t="s">
        <v>256</v>
      </c>
      <c r="D556" s="2" t="s">
        <v>361</v>
      </c>
      <c r="E556" s="2" t="s">
        <v>872</v>
      </c>
      <c r="F556" s="2" t="s">
        <v>2662</v>
      </c>
      <c r="G556" s="2" t="s">
        <v>2662</v>
      </c>
      <c r="H556" s="2" t="s">
        <v>2662</v>
      </c>
      <c r="I556" s="2" t="s">
        <v>2663</v>
      </c>
      <c r="J556" s="2" t="s">
        <v>372</v>
      </c>
      <c r="K556" s="2" t="s">
        <v>295</v>
      </c>
      <c r="L556" s="3">
        <v>68</v>
      </c>
      <c r="M556" s="3">
        <v>71.4</v>
      </c>
      <c r="N556" s="3">
        <v>169.99</v>
      </c>
      <c r="O556" s="2" t="s">
        <v>232</v>
      </c>
      <c r="P556" s="2" t="s">
        <v>262</v>
      </c>
      <c r="Q556" s="2" t="s">
        <v>234</v>
      </c>
      <c r="R556" s="2" t="s">
        <v>235</v>
      </c>
      <c r="S556" s="2" t="s">
        <v>235</v>
      </c>
      <c r="T556" s="2" t="s">
        <v>2664</v>
      </c>
      <c r="U556" s="2" t="s">
        <v>807</v>
      </c>
      <c r="V556" s="2" t="s">
        <v>238</v>
      </c>
      <c r="W556" s="2" t="s">
        <v>1052</v>
      </c>
      <c r="X556" s="2" t="s">
        <v>235</v>
      </c>
      <c r="Y556" s="2" t="s">
        <v>2665</v>
      </c>
      <c r="Z556" s="4">
        <v>173</v>
      </c>
      <c r="AA556" s="4">
        <f>=ROUNDDOWN(28.8333333333333,0)</f>
      </c>
      <c r="AB556" s="5">
        <v>6</v>
      </c>
      <c r="AC556" s="2" t="s">
        <v>2666</v>
      </c>
      <c r="AD556" s="4">
        <v>105</v>
      </c>
      <c r="AE556" s="4">
        <v>105</v>
      </c>
      <c r="AF556" s="6"/>
      <c r="AG556" s="6">
        <v>48</v>
      </c>
      <c r="AH556" s="7">
        <v>1</v>
      </c>
      <c r="AI556" s="4"/>
      <c r="AJ556" s="4">
        <f>=ROUNDDOWN({0},0)</f>
      </c>
      <c r="AK556" s="5"/>
      <c r="AL556" s="2" t="s">
        <v>235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235</v>
      </c>
      <c r="AW556" s="8" t="s">
        <v>235</v>
      </c>
      <c r="AX556" s="4" t="s">
        <v>235</v>
      </c>
      <c r="AY556" s="8" t="s">
        <v>235</v>
      </c>
      <c r="AZ556" s="7" t="s">
        <v>235</v>
      </c>
      <c r="BA556" s="7" t="s">
        <v>235</v>
      </c>
      <c r="BB556" s="7"/>
      <c r="BC556" s="4" t="s">
        <v>235</v>
      </c>
      <c r="BD556" s="8" t="s">
        <v>235</v>
      </c>
      <c r="BE556" s="4" t="s">
        <v>235</v>
      </c>
      <c r="BF556" s="8" t="s">
        <v>235</v>
      </c>
      <c r="BG556" s="7" t="s">
        <v>235</v>
      </c>
      <c r="BH556" s="7" t="s">
        <v>235</v>
      </c>
      <c r="BI556" s="7"/>
      <c r="BJ556" s="4">
        <v>6</v>
      </c>
      <c r="BK556" s="8">
        <v>469.2</v>
      </c>
      <c r="BL556" s="2" t="s">
        <v>1226</v>
      </c>
      <c r="BM556" s="7"/>
      <c r="BN556" s="7"/>
      <c r="BO556" s="4"/>
      <c r="BP556" s="8"/>
      <c r="BQ556" s="4"/>
      <c r="BR556" s="8"/>
      <c r="BS556" s="7"/>
      <c r="BT556" s="7"/>
      <c r="BU556" s="2" t="s">
        <v>2667</v>
      </c>
      <c r="BV556" s="2" t="s">
        <v>235</v>
      </c>
      <c r="BW556" s="2" t="s">
        <v>235</v>
      </c>
      <c r="BX556" s="2" t="s">
        <v>244</v>
      </c>
      <c r="BY556" s="2" t="s">
        <v>245</v>
      </c>
      <c r="BZ556" s="2" t="s">
        <v>232</v>
      </c>
      <c r="CA556" s="2" t="s">
        <v>235</v>
      </c>
      <c r="CB556" s="2" t="s">
        <v>235</v>
      </c>
      <c r="CC556" s="2" t="s">
        <v>248</v>
      </c>
      <c r="CD556" s="2" t="s">
        <v>248</v>
      </c>
      <c r="CE556" s="2" t="s">
        <v>235</v>
      </c>
      <c r="CF556" s="4"/>
      <c r="CG556" s="4"/>
      <c r="CH556" s="4"/>
      <c r="CI556" s="4">
        <v>173</v>
      </c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>
        <v>105</v>
      </c>
      <c r="FX556" s="4"/>
      <c r="FY556" s="4"/>
      <c r="FZ556" s="4"/>
      <c r="GA556" s="4"/>
      <c r="GB556" s="4"/>
      <c r="GC556" s="4"/>
      <c r="GD556" s="4">
        <v>173</v>
      </c>
      <c r="GE556" s="4">
        <v>163</v>
      </c>
      <c r="GF556" s="4">
        <v>154</v>
      </c>
      <c r="GG556" s="4">
        <v>147</v>
      </c>
      <c r="GH556" s="4">
        <v>140</v>
      </c>
      <c r="GI556" s="4">
        <v>133</v>
      </c>
      <c r="GJ556" s="4">
        <v>126</v>
      </c>
      <c r="GK556" s="4">
        <v>120</v>
      </c>
      <c r="GL556" s="4">
        <v>114</v>
      </c>
      <c r="GM556" s="4">
        <v>108</v>
      </c>
      <c r="GN556" s="4">
        <v>102</v>
      </c>
      <c r="GO556" s="4">
        <v>95</v>
      </c>
      <c r="GP556" s="4">
        <v>88</v>
      </c>
      <c r="GQ556" s="4">
        <v>81</v>
      </c>
      <c r="GR556" s="4">
        <v>75</v>
      </c>
      <c r="GS556" s="4">
        <v>69</v>
      </c>
      <c r="GT556" s="4">
        <v>63</v>
      </c>
      <c r="GU556" s="4">
        <v>58</v>
      </c>
      <c r="GV556" s="4">
        <v>156</v>
      </c>
      <c r="GW556" s="4">
        <v>151</v>
      </c>
      <c r="GX556" s="4">
        <v>146</v>
      </c>
      <c r="GY556" s="4">
        <v>141</v>
      </c>
      <c r="GZ556" s="4">
        <v>136</v>
      </c>
      <c r="HA556" s="4">
        <v>131</v>
      </c>
      <c r="HB556" s="4">
        <v>126</v>
      </c>
      <c r="HC556" s="4">
        <v>120</v>
      </c>
      <c r="HD556" s="19">
        <v>21.6</v>
      </c>
      <c r="HE556" s="19">
        <v>20.4</v>
      </c>
      <c r="HF556" s="19">
        <v>22</v>
      </c>
      <c r="HG556" s="19">
        <v>21</v>
      </c>
      <c r="HH556" s="19">
        <v>23.3</v>
      </c>
      <c r="HI556" s="19">
        <v>22.2</v>
      </c>
      <c r="HJ556" s="19">
        <v>21</v>
      </c>
      <c r="HK556" s="19">
        <v>20</v>
      </c>
      <c r="HL556" s="19">
        <v>19</v>
      </c>
      <c r="HM556" s="19">
        <v>15.4</v>
      </c>
      <c r="HN556" s="19">
        <v>14.6</v>
      </c>
      <c r="HO556" s="19">
        <v>15.8</v>
      </c>
      <c r="HP556" s="19">
        <v>14.7</v>
      </c>
      <c r="HQ556" s="19">
        <v>13.5</v>
      </c>
      <c r="HR556" s="19">
        <v>12.5</v>
      </c>
      <c r="HS556" s="19">
        <v>11.5</v>
      </c>
      <c r="HT556" s="19">
        <v>10.5</v>
      </c>
      <c r="HU556" s="19">
        <v>9.7</v>
      </c>
      <c r="HV556" s="19">
        <v>31.2</v>
      </c>
      <c r="HW556" s="19">
        <v>30.2</v>
      </c>
      <c r="HX556" s="19">
        <v>29.2</v>
      </c>
      <c r="HY556" s="19">
        <v>28.2</v>
      </c>
      <c r="HZ556" s="19">
        <v>27.2</v>
      </c>
      <c r="IA556" s="19">
        <v>26.2</v>
      </c>
      <c r="IB556" s="19">
        <v>25.2</v>
      </c>
      <c r="IC556" s="19">
        <v>24</v>
      </c>
    </row>
    <row r="557">
      <c r="A557" s="2" t="s">
        <v>2693</v>
      </c>
      <c r="B557" s="2" t="s">
        <v>255</v>
      </c>
      <c r="C557" s="2" t="s">
        <v>256</v>
      </c>
      <c r="D557" s="2" t="s">
        <v>257</v>
      </c>
      <c r="E557" s="2" t="s">
        <v>258</v>
      </c>
      <c r="F557" s="2" t="s">
        <v>2662</v>
      </c>
      <c r="G557" s="2" t="s">
        <v>2662</v>
      </c>
      <c r="H557" s="2" t="s">
        <v>2662</v>
      </c>
      <c r="I557" s="2" t="s">
        <v>2669</v>
      </c>
      <c r="J557" s="2" t="s">
        <v>272</v>
      </c>
      <c r="K557" s="2" t="s">
        <v>295</v>
      </c>
      <c r="L557" s="3">
        <v>72</v>
      </c>
      <c r="M557" s="3">
        <v>75.6</v>
      </c>
      <c r="N557" s="3">
        <v>179.99</v>
      </c>
      <c r="O557" s="2" t="s">
        <v>232</v>
      </c>
      <c r="P557" s="2" t="s">
        <v>262</v>
      </c>
      <c r="Q557" s="2" t="s">
        <v>234</v>
      </c>
      <c r="R557" s="2" t="s">
        <v>235</v>
      </c>
      <c r="S557" s="2" t="s">
        <v>235</v>
      </c>
      <c r="T557" s="2" t="s">
        <v>2664</v>
      </c>
      <c r="U557" s="2" t="s">
        <v>264</v>
      </c>
      <c r="V557" s="2" t="s">
        <v>238</v>
      </c>
      <c r="W557" s="2" t="s">
        <v>1052</v>
      </c>
      <c r="X557" s="2" t="s">
        <v>235</v>
      </c>
      <c r="Y557" s="2" t="s">
        <v>2665</v>
      </c>
      <c r="Z557" s="4">
        <v>38</v>
      </c>
      <c r="AA557" s="4">
        <f>=ROUNDDOWN(19,0)</f>
      </c>
      <c r="AB557" s="5">
        <v>2</v>
      </c>
      <c r="AC557" s="2" t="s">
        <v>2670</v>
      </c>
      <c r="AD557" s="4">
        <v>24</v>
      </c>
      <c r="AE557" s="4">
        <v>24</v>
      </c>
      <c r="AF557" s="6"/>
      <c r="AG557" s="6">
        <v>48</v>
      </c>
      <c r="AH557" s="7">
        <v>1</v>
      </c>
      <c r="AI557" s="4"/>
      <c r="AJ557" s="4">
        <f>=ROUNDDOWN({0},0)</f>
      </c>
      <c r="AK557" s="5"/>
      <c r="AL557" s="2" t="s">
        <v>235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235</v>
      </c>
      <c r="AW557" s="8" t="s">
        <v>235</v>
      </c>
      <c r="AX557" s="4" t="s">
        <v>235</v>
      </c>
      <c r="AY557" s="8" t="s">
        <v>235</v>
      </c>
      <c r="AZ557" s="7" t="s">
        <v>235</v>
      </c>
      <c r="BA557" s="7" t="s">
        <v>235</v>
      </c>
      <c r="BB557" s="7"/>
      <c r="BC557" s="4" t="s">
        <v>235</v>
      </c>
      <c r="BD557" s="8" t="s">
        <v>235</v>
      </c>
      <c r="BE557" s="4" t="s">
        <v>235</v>
      </c>
      <c r="BF557" s="8" t="s">
        <v>235</v>
      </c>
      <c r="BG557" s="7" t="s">
        <v>235</v>
      </c>
      <c r="BH557" s="7" t="s">
        <v>235</v>
      </c>
      <c r="BI557" s="7"/>
      <c r="BJ557" s="4">
        <v>1</v>
      </c>
      <c r="BK557" s="8"/>
      <c r="BL557" s="2" t="s">
        <v>1949</v>
      </c>
      <c r="BM557" s="7"/>
      <c r="BN557" s="7"/>
      <c r="BO557" s="4"/>
      <c r="BP557" s="8"/>
      <c r="BQ557" s="4"/>
      <c r="BR557" s="8"/>
      <c r="BS557" s="7"/>
      <c r="BT557" s="7"/>
      <c r="BU557" s="2" t="s">
        <v>2671</v>
      </c>
      <c r="BV557" s="2" t="s">
        <v>235</v>
      </c>
      <c r="BW557" s="2" t="s">
        <v>235</v>
      </c>
      <c r="BX557" s="2" t="s">
        <v>244</v>
      </c>
      <c r="BY557" s="2" t="s">
        <v>245</v>
      </c>
      <c r="BZ557" s="2" t="s">
        <v>232</v>
      </c>
      <c r="CA557" s="2" t="s">
        <v>235</v>
      </c>
      <c r="CB557" s="2" t="s">
        <v>235</v>
      </c>
      <c r="CC557" s="2" t="s">
        <v>248</v>
      </c>
      <c r="CD557" s="2" t="s">
        <v>248</v>
      </c>
      <c r="CE557" s="2" t="s">
        <v>235</v>
      </c>
      <c r="CF557" s="4"/>
      <c r="CG557" s="4"/>
      <c r="CH557" s="4"/>
      <c r="CI557" s="4">
        <v>38</v>
      </c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>
        <v>24</v>
      </c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>
        <v>38</v>
      </c>
      <c r="GE557" s="4">
        <v>28</v>
      </c>
      <c r="GF557" s="4">
        <v>25</v>
      </c>
      <c r="GG557" s="4">
        <v>23</v>
      </c>
      <c r="GH557" s="4">
        <v>21</v>
      </c>
      <c r="GI557" s="4">
        <v>19</v>
      </c>
      <c r="GJ557" s="4">
        <v>17</v>
      </c>
      <c r="GK557" s="4">
        <v>15</v>
      </c>
      <c r="GL557" s="4">
        <v>13</v>
      </c>
      <c r="GM557" s="4">
        <v>11</v>
      </c>
      <c r="GN557" s="4">
        <v>9</v>
      </c>
      <c r="GO557" s="4">
        <v>7</v>
      </c>
      <c r="GP557" s="4">
        <v>5</v>
      </c>
      <c r="GQ557" s="4">
        <v>3</v>
      </c>
      <c r="GR557" s="4">
        <v>25</v>
      </c>
      <c r="GS557" s="4">
        <v>23</v>
      </c>
      <c r="GT557" s="4">
        <v>118</v>
      </c>
      <c r="GU557" s="4">
        <v>116</v>
      </c>
      <c r="GV557" s="4">
        <v>114</v>
      </c>
      <c r="GW557" s="4">
        <v>112</v>
      </c>
      <c r="GX557" s="4">
        <v>110</v>
      </c>
      <c r="GY557" s="4">
        <v>108</v>
      </c>
      <c r="GZ557" s="4">
        <v>106</v>
      </c>
      <c r="HA557" s="4">
        <v>104</v>
      </c>
      <c r="HB557" s="4">
        <v>102</v>
      </c>
      <c r="HC557" s="4">
        <v>100</v>
      </c>
      <c r="HD557" s="19">
        <v>9.5</v>
      </c>
      <c r="HE557" s="19">
        <v>14</v>
      </c>
      <c r="HF557" s="19">
        <v>12.5</v>
      </c>
      <c r="HG557" s="19">
        <v>11.5</v>
      </c>
      <c r="HH557" s="19">
        <v>10.5</v>
      </c>
      <c r="HI557" s="19">
        <v>9.5</v>
      </c>
      <c r="HJ557" s="19">
        <v>8.5</v>
      </c>
      <c r="HK557" s="19">
        <v>7.5</v>
      </c>
      <c r="HL557" s="19">
        <v>6.5</v>
      </c>
      <c r="HM557" s="19">
        <v>5.5</v>
      </c>
      <c r="HN557" s="19">
        <v>4.5</v>
      </c>
      <c r="HO557" s="19">
        <v>3.5</v>
      </c>
      <c r="HP557" s="19">
        <v>2.5</v>
      </c>
      <c r="HQ557" s="19">
        <v>1.5</v>
      </c>
      <c r="HR557" s="19">
        <v>12.5</v>
      </c>
      <c r="HS557" s="19">
        <v>11.5</v>
      </c>
      <c r="HT557" s="19">
        <v>59</v>
      </c>
      <c r="HU557" s="19">
        <v>58</v>
      </c>
      <c r="HV557" s="19">
        <v>57</v>
      </c>
      <c r="HW557" s="19">
        <v>56</v>
      </c>
      <c r="HX557" s="19">
        <v>55</v>
      </c>
      <c r="HY557" s="19">
        <v>54</v>
      </c>
      <c r="HZ557" s="19">
        <v>53</v>
      </c>
      <c r="IA557" s="19">
        <v>52</v>
      </c>
      <c r="IB557" s="19">
        <v>51</v>
      </c>
      <c r="IC557" s="19">
        <v>50</v>
      </c>
    </row>
    <row r="558">
      <c r="A558" s="2" t="s">
        <v>2694</v>
      </c>
      <c r="B558" s="2" t="s">
        <v>255</v>
      </c>
      <c r="C558" s="2" t="s">
        <v>256</v>
      </c>
      <c r="D558" s="2" t="s">
        <v>257</v>
      </c>
      <c r="E558" s="2" t="s">
        <v>258</v>
      </c>
      <c r="F558" s="2" t="s">
        <v>2662</v>
      </c>
      <c r="G558" s="2" t="s">
        <v>2662</v>
      </c>
      <c r="H558" s="2" t="s">
        <v>2662</v>
      </c>
      <c r="I558" s="2" t="s">
        <v>2669</v>
      </c>
      <c r="J558" s="2" t="s">
        <v>281</v>
      </c>
      <c r="K558" s="2" t="s">
        <v>295</v>
      </c>
      <c r="L558" s="3">
        <v>76</v>
      </c>
      <c r="M558" s="3">
        <v>79.8</v>
      </c>
      <c r="N558" s="3">
        <v>189.99</v>
      </c>
      <c r="O558" s="2" t="s">
        <v>232</v>
      </c>
      <c r="P558" s="2" t="s">
        <v>262</v>
      </c>
      <c r="Q558" s="2" t="s">
        <v>234</v>
      </c>
      <c r="R558" s="2" t="s">
        <v>235</v>
      </c>
      <c r="S558" s="2" t="s">
        <v>235</v>
      </c>
      <c r="T558" s="2" t="s">
        <v>2664</v>
      </c>
      <c r="U558" s="2" t="s">
        <v>282</v>
      </c>
      <c r="V558" s="2" t="s">
        <v>238</v>
      </c>
      <c r="W558" s="2" t="s">
        <v>1052</v>
      </c>
      <c r="X558" s="2" t="s">
        <v>235</v>
      </c>
      <c r="Y558" s="2" t="s">
        <v>2665</v>
      </c>
      <c r="Z558" s="4">
        <v>15</v>
      </c>
      <c r="AA558" s="4">
        <f>=ROUNDDOWN({0},0)</f>
      </c>
      <c r="AB558" s="5"/>
      <c r="AC558" s="2" t="s">
        <v>2670</v>
      </c>
      <c r="AD558" s="4">
        <v>8</v>
      </c>
      <c r="AE558" s="4">
        <v>8</v>
      </c>
      <c r="AF558" s="6"/>
      <c r="AG558" s="6">
        <v>48</v>
      </c>
      <c r="AH558" s="7">
        <v>1</v>
      </c>
      <c r="AI558" s="4"/>
      <c r="AJ558" s="4">
        <f>=ROUNDDOWN({0},0)</f>
      </c>
      <c r="AK558" s="5"/>
      <c r="AL558" s="2" t="s">
        <v>235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235</v>
      </c>
      <c r="AW558" s="8" t="s">
        <v>235</v>
      </c>
      <c r="AX558" s="4" t="s">
        <v>235</v>
      </c>
      <c r="AY558" s="8" t="s">
        <v>235</v>
      </c>
      <c r="AZ558" s="7" t="s">
        <v>235</v>
      </c>
      <c r="BA558" s="7" t="s">
        <v>235</v>
      </c>
      <c r="BB558" s="7"/>
      <c r="BC558" s="4" t="s">
        <v>235</v>
      </c>
      <c r="BD558" s="8" t="s">
        <v>235</v>
      </c>
      <c r="BE558" s="4" t="s">
        <v>235</v>
      </c>
      <c r="BF558" s="8" t="s">
        <v>235</v>
      </c>
      <c r="BG558" s="7" t="s">
        <v>235</v>
      </c>
      <c r="BH558" s="7" t="s">
        <v>235</v>
      </c>
      <c r="BI558" s="7"/>
      <c r="BJ558" s="4"/>
      <c r="BK558" s="8"/>
      <c r="BL558" s="2" t="s">
        <v>235</v>
      </c>
      <c r="BM558" s="7"/>
      <c r="BN558" s="7"/>
      <c r="BO558" s="4"/>
      <c r="BP558" s="8"/>
      <c r="BQ558" s="4"/>
      <c r="BR558" s="8"/>
      <c r="BS558" s="7"/>
      <c r="BT558" s="7"/>
      <c r="BU558" s="2" t="s">
        <v>2671</v>
      </c>
      <c r="BV558" s="2" t="s">
        <v>235</v>
      </c>
      <c r="BW558" s="2" t="s">
        <v>235</v>
      </c>
      <c r="BX558" s="2" t="s">
        <v>244</v>
      </c>
      <c r="BY558" s="2" t="s">
        <v>245</v>
      </c>
      <c r="BZ558" s="2" t="s">
        <v>232</v>
      </c>
      <c r="CA558" s="2" t="s">
        <v>235</v>
      </c>
      <c r="CB558" s="2" t="s">
        <v>235</v>
      </c>
      <c r="CC558" s="2" t="s">
        <v>248</v>
      </c>
      <c r="CD558" s="2" t="s">
        <v>248</v>
      </c>
      <c r="CE558" s="2" t="s">
        <v>235</v>
      </c>
      <c r="CF558" s="4"/>
      <c r="CG558" s="4"/>
      <c r="CH558" s="4"/>
      <c r="CI558" s="4">
        <v>15</v>
      </c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>
        <v>8</v>
      </c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>
        <v>15</v>
      </c>
      <c r="GE558" s="4">
        <v>5</v>
      </c>
      <c r="GF558" s="4">
        <v>2</v>
      </c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>
        <v>8</v>
      </c>
      <c r="GS558" s="4"/>
      <c r="GT558" s="4">
        <v>120</v>
      </c>
      <c r="GU558" s="4">
        <v>116</v>
      </c>
      <c r="GV558" s="4">
        <v>114</v>
      </c>
      <c r="GW558" s="4">
        <v>112</v>
      </c>
      <c r="GX558" s="4">
        <v>110</v>
      </c>
      <c r="GY558" s="4">
        <v>108</v>
      </c>
      <c r="GZ558" s="4">
        <v>106</v>
      </c>
      <c r="HA558" s="4">
        <v>104</v>
      </c>
      <c r="HB558" s="4">
        <v>102</v>
      </c>
      <c r="HC558" s="4">
        <v>100</v>
      </c>
      <c r="HD558" s="19">
        <v>3.8</v>
      </c>
      <c r="HE558" s="19">
        <v>2.5</v>
      </c>
      <c r="HF558" s="19">
        <v>2</v>
      </c>
      <c r="HG558" s="20">
        <v>0</v>
      </c>
      <c r="HH558" s="20">
        <v>0</v>
      </c>
      <c r="HI558" s="20">
        <v>0</v>
      </c>
      <c r="HJ558" s="20">
        <v>0</v>
      </c>
      <c r="HK558" s="20">
        <v>0</v>
      </c>
      <c r="HL558" s="20">
        <v>0</v>
      </c>
      <c r="HM558" s="20">
        <v>0</v>
      </c>
      <c r="HN558" s="20">
        <v>0</v>
      </c>
      <c r="HO558" s="20">
        <v>0</v>
      </c>
      <c r="HP558" s="20">
        <v>0</v>
      </c>
      <c r="HQ558" s="20">
        <v>0</v>
      </c>
      <c r="HR558" s="19">
        <v>2</v>
      </c>
      <c r="HS558" s="20">
        <v>0</v>
      </c>
      <c r="HT558" s="19">
        <v>60</v>
      </c>
      <c r="HU558" s="19">
        <v>58</v>
      </c>
      <c r="HV558" s="19">
        <v>57</v>
      </c>
      <c r="HW558" s="19">
        <v>56</v>
      </c>
      <c r="HX558" s="19">
        <v>55</v>
      </c>
      <c r="HY558" s="19">
        <v>54</v>
      </c>
      <c r="HZ558" s="19">
        <v>53</v>
      </c>
      <c r="IA558" s="19">
        <v>52</v>
      </c>
      <c r="IB558" s="19">
        <v>51</v>
      </c>
      <c r="IC558" s="19">
        <v>50</v>
      </c>
    </row>
    <row r="559">
      <c r="A559" s="2" t="s">
        <v>2695</v>
      </c>
      <c r="B559" s="2" t="s">
        <v>255</v>
      </c>
      <c r="C559" s="2" t="s">
        <v>256</v>
      </c>
      <c r="D559" s="2" t="s">
        <v>361</v>
      </c>
      <c r="E559" s="2" t="s">
        <v>872</v>
      </c>
      <c r="F559" s="2" t="s">
        <v>2662</v>
      </c>
      <c r="G559" s="2" t="s">
        <v>2662</v>
      </c>
      <c r="H559" s="2" t="s">
        <v>2662</v>
      </c>
      <c r="I559" s="2" t="s">
        <v>2663</v>
      </c>
      <c r="J559" s="2" t="s">
        <v>365</v>
      </c>
      <c r="K559" s="2" t="s">
        <v>302</v>
      </c>
      <c r="L559" s="3">
        <v>64</v>
      </c>
      <c r="M559" s="3">
        <v>67.2</v>
      </c>
      <c r="N559" s="3">
        <v>159.99</v>
      </c>
      <c r="O559" s="2" t="s">
        <v>232</v>
      </c>
      <c r="P559" s="2" t="s">
        <v>262</v>
      </c>
      <c r="Q559" s="2" t="s">
        <v>234</v>
      </c>
      <c r="R559" s="2" t="s">
        <v>235</v>
      </c>
      <c r="S559" s="2" t="s">
        <v>235</v>
      </c>
      <c r="T559" s="2" t="s">
        <v>2664</v>
      </c>
      <c r="U559" s="2" t="s">
        <v>807</v>
      </c>
      <c r="V559" s="2" t="s">
        <v>238</v>
      </c>
      <c r="W559" s="2" t="s">
        <v>1052</v>
      </c>
      <c r="X559" s="2" t="s">
        <v>235</v>
      </c>
      <c r="Y559" s="2" t="s">
        <v>2665</v>
      </c>
      <c r="Z559" s="4">
        <v>133</v>
      </c>
      <c r="AA559" s="4">
        <f>=ROUNDDOWN(26.6,0)</f>
      </c>
      <c r="AB559" s="5">
        <v>5</v>
      </c>
      <c r="AC559" s="2" t="s">
        <v>2666</v>
      </c>
      <c r="AD559" s="4">
        <v>63</v>
      </c>
      <c r="AE559" s="4">
        <v>63</v>
      </c>
      <c r="AF559" s="6"/>
      <c r="AG559" s="6">
        <v>48</v>
      </c>
      <c r="AH559" s="7">
        <v>1</v>
      </c>
      <c r="AI559" s="4"/>
      <c r="AJ559" s="4">
        <f>=ROUNDDOWN({0},0)</f>
      </c>
      <c r="AK559" s="5"/>
      <c r="AL559" s="2" t="s">
        <v>235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235</v>
      </c>
      <c r="AW559" s="8" t="s">
        <v>235</v>
      </c>
      <c r="AX559" s="4" t="s">
        <v>235</v>
      </c>
      <c r="AY559" s="8" t="s">
        <v>235</v>
      </c>
      <c r="AZ559" s="7" t="s">
        <v>235</v>
      </c>
      <c r="BA559" s="7" t="s">
        <v>235</v>
      </c>
      <c r="BB559" s="7"/>
      <c r="BC559" s="4" t="s">
        <v>235</v>
      </c>
      <c r="BD559" s="8" t="s">
        <v>235</v>
      </c>
      <c r="BE559" s="4" t="s">
        <v>235</v>
      </c>
      <c r="BF559" s="8" t="s">
        <v>235</v>
      </c>
      <c r="BG559" s="7" t="s">
        <v>235</v>
      </c>
      <c r="BH559" s="7" t="s">
        <v>235</v>
      </c>
      <c r="BI559" s="7"/>
      <c r="BJ559" s="4">
        <v>4</v>
      </c>
      <c r="BK559" s="8">
        <v>220.8</v>
      </c>
      <c r="BL559" s="2" t="s">
        <v>2696</v>
      </c>
      <c r="BM559" s="7"/>
      <c r="BN559" s="7"/>
      <c r="BO559" s="4"/>
      <c r="BP559" s="8"/>
      <c r="BQ559" s="4"/>
      <c r="BR559" s="8"/>
      <c r="BS559" s="7"/>
      <c r="BT559" s="7"/>
      <c r="BU559" s="2" t="s">
        <v>2667</v>
      </c>
      <c r="BV559" s="2" t="s">
        <v>235</v>
      </c>
      <c r="BW559" s="2" t="s">
        <v>235</v>
      </c>
      <c r="BX559" s="2" t="s">
        <v>244</v>
      </c>
      <c r="BY559" s="2" t="s">
        <v>245</v>
      </c>
      <c r="BZ559" s="2" t="s">
        <v>232</v>
      </c>
      <c r="CA559" s="2" t="s">
        <v>235</v>
      </c>
      <c r="CB559" s="2" t="s">
        <v>235</v>
      </c>
      <c r="CC559" s="2" t="s">
        <v>248</v>
      </c>
      <c r="CD559" s="2" t="s">
        <v>248</v>
      </c>
      <c r="CE559" s="2" t="s">
        <v>235</v>
      </c>
      <c r="CF559" s="4"/>
      <c r="CG559" s="4"/>
      <c r="CH559" s="4"/>
      <c r="CI559" s="4">
        <v>133</v>
      </c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>
        <v>63</v>
      </c>
      <c r="FX559" s="4"/>
      <c r="FY559" s="4"/>
      <c r="FZ559" s="4"/>
      <c r="GA559" s="4"/>
      <c r="GB559" s="4"/>
      <c r="GC559" s="4"/>
      <c r="GD559" s="4">
        <v>136</v>
      </c>
      <c r="GE559" s="4">
        <v>125</v>
      </c>
      <c r="GF559" s="4">
        <v>118</v>
      </c>
      <c r="GG559" s="4">
        <v>112</v>
      </c>
      <c r="GH559" s="4">
        <v>106</v>
      </c>
      <c r="GI559" s="4">
        <v>101</v>
      </c>
      <c r="GJ559" s="4">
        <v>96</v>
      </c>
      <c r="GK559" s="4">
        <v>91</v>
      </c>
      <c r="GL559" s="4">
        <v>86</v>
      </c>
      <c r="GM559" s="4">
        <v>81</v>
      </c>
      <c r="GN559" s="4">
        <v>76</v>
      </c>
      <c r="GO559" s="4">
        <v>71</v>
      </c>
      <c r="GP559" s="4">
        <v>65</v>
      </c>
      <c r="GQ559" s="4">
        <v>59</v>
      </c>
      <c r="GR559" s="4">
        <v>54</v>
      </c>
      <c r="GS559" s="4">
        <v>49</v>
      </c>
      <c r="GT559" s="4">
        <v>44</v>
      </c>
      <c r="GU559" s="4">
        <v>40</v>
      </c>
      <c r="GV559" s="4">
        <v>98</v>
      </c>
      <c r="GW559" s="4">
        <v>94</v>
      </c>
      <c r="GX559" s="4">
        <v>90</v>
      </c>
      <c r="GY559" s="4">
        <v>86</v>
      </c>
      <c r="GZ559" s="4">
        <v>82</v>
      </c>
      <c r="HA559" s="4">
        <v>78</v>
      </c>
      <c r="HB559" s="4">
        <v>74</v>
      </c>
      <c r="HC559" s="4">
        <v>69</v>
      </c>
      <c r="HD559" s="19">
        <v>17</v>
      </c>
      <c r="HE559" s="19">
        <v>20.8</v>
      </c>
      <c r="HF559" s="19">
        <v>19.7</v>
      </c>
      <c r="HG559" s="19">
        <v>22.4</v>
      </c>
      <c r="HH559" s="19">
        <v>21.2</v>
      </c>
      <c r="HI559" s="19">
        <v>20.2</v>
      </c>
      <c r="HJ559" s="19">
        <v>19.2</v>
      </c>
      <c r="HK559" s="19">
        <v>18.2</v>
      </c>
      <c r="HL559" s="19">
        <v>17.2</v>
      </c>
      <c r="HM559" s="19">
        <v>13.5</v>
      </c>
      <c r="HN559" s="19">
        <v>12.7</v>
      </c>
      <c r="HO559" s="19">
        <v>11.8</v>
      </c>
      <c r="HP559" s="19">
        <v>13</v>
      </c>
      <c r="HQ559" s="19">
        <v>11.8</v>
      </c>
      <c r="HR559" s="19">
        <v>10.8</v>
      </c>
      <c r="HS559" s="19">
        <v>12.3</v>
      </c>
      <c r="HT559" s="19">
        <v>11</v>
      </c>
      <c r="HU559" s="19">
        <v>10</v>
      </c>
      <c r="HV559" s="19">
        <v>24.5</v>
      </c>
      <c r="HW559" s="19">
        <v>23.5</v>
      </c>
      <c r="HX559" s="19">
        <v>22.5</v>
      </c>
      <c r="HY559" s="19">
        <v>21.5</v>
      </c>
      <c r="HZ559" s="19">
        <v>20.5</v>
      </c>
      <c r="IA559" s="19">
        <v>19.5</v>
      </c>
      <c r="IB559" s="19">
        <v>18.5</v>
      </c>
      <c r="IC559" s="19">
        <v>17.3</v>
      </c>
    </row>
    <row r="560">
      <c r="A560" s="2" t="s">
        <v>2697</v>
      </c>
      <c r="B560" s="2" t="s">
        <v>255</v>
      </c>
      <c r="C560" s="2" t="s">
        <v>256</v>
      </c>
      <c r="D560" s="2" t="s">
        <v>361</v>
      </c>
      <c r="E560" s="2" t="s">
        <v>872</v>
      </c>
      <c r="F560" s="2" t="s">
        <v>2662</v>
      </c>
      <c r="G560" s="2" t="s">
        <v>2662</v>
      </c>
      <c r="H560" s="2" t="s">
        <v>2662</v>
      </c>
      <c r="I560" s="2" t="s">
        <v>2663</v>
      </c>
      <c r="J560" s="2" t="s">
        <v>372</v>
      </c>
      <c r="K560" s="2" t="s">
        <v>302</v>
      </c>
      <c r="L560" s="3">
        <v>68</v>
      </c>
      <c r="M560" s="3">
        <v>71.4</v>
      </c>
      <c r="N560" s="3">
        <v>169.99</v>
      </c>
      <c r="O560" s="2" t="s">
        <v>232</v>
      </c>
      <c r="P560" s="2" t="s">
        <v>262</v>
      </c>
      <c r="Q560" s="2" t="s">
        <v>234</v>
      </c>
      <c r="R560" s="2" t="s">
        <v>235</v>
      </c>
      <c r="S560" s="2" t="s">
        <v>235</v>
      </c>
      <c r="T560" s="2" t="s">
        <v>2664</v>
      </c>
      <c r="U560" s="2" t="s">
        <v>807</v>
      </c>
      <c r="V560" s="2" t="s">
        <v>238</v>
      </c>
      <c r="W560" s="2" t="s">
        <v>1052</v>
      </c>
      <c r="X560" s="2" t="s">
        <v>235</v>
      </c>
      <c r="Y560" s="2" t="s">
        <v>2665</v>
      </c>
      <c r="Z560" s="4">
        <v>159</v>
      </c>
      <c r="AA560" s="4">
        <f>=ROUNDDOWN(31.8,0)</f>
      </c>
      <c r="AB560" s="5">
        <v>5</v>
      </c>
      <c r="AC560" s="2" t="s">
        <v>2666</v>
      </c>
      <c r="AD560" s="4">
        <v>105</v>
      </c>
      <c r="AE560" s="4">
        <v>105</v>
      </c>
      <c r="AF560" s="6"/>
      <c r="AG560" s="6">
        <v>48</v>
      </c>
      <c r="AH560" s="7">
        <v>1</v>
      </c>
      <c r="AI560" s="4"/>
      <c r="AJ560" s="4">
        <f>=ROUNDDOWN({0},0)</f>
      </c>
      <c r="AK560" s="5"/>
      <c r="AL560" s="2" t="s">
        <v>235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235</v>
      </c>
      <c r="AW560" s="8" t="s">
        <v>235</v>
      </c>
      <c r="AX560" s="4" t="s">
        <v>235</v>
      </c>
      <c r="AY560" s="8" t="s">
        <v>235</v>
      </c>
      <c r="AZ560" s="7" t="s">
        <v>235</v>
      </c>
      <c r="BA560" s="7" t="s">
        <v>235</v>
      </c>
      <c r="BB560" s="7"/>
      <c r="BC560" s="4" t="s">
        <v>235</v>
      </c>
      <c r="BD560" s="8" t="s">
        <v>235</v>
      </c>
      <c r="BE560" s="4" t="s">
        <v>235</v>
      </c>
      <c r="BF560" s="8" t="s">
        <v>235</v>
      </c>
      <c r="BG560" s="7" t="s">
        <v>235</v>
      </c>
      <c r="BH560" s="7" t="s">
        <v>235</v>
      </c>
      <c r="BI560" s="7"/>
      <c r="BJ560" s="4">
        <v>9</v>
      </c>
      <c r="BK560" s="8">
        <v>404.59</v>
      </c>
      <c r="BL560" s="2" t="s">
        <v>2698</v>
      </c>
      <c r="BM560" s="7"/>
      <c r="BN560" s="7"/>
      <c r="BO560" s="4"/>
      <c r="BP560" s="8"/>
      <c r="BQ560" s="4"/>
      <c r="BR560" s="8"/>
      <c r="BS560" s="7"/>
      <c r="BT560" s="7"/>
      <c r="BU560" s="2" t="s">
        <v>2667</v>
      </c>
      <c r="BV560" s="2" t="s">
        <v>235</v>
      </c>
      <c r="BW560" s="2" t="s">
        <v>235</v>
      </c>
      <c r="BX560" s="2" t="s">
        <v>244</v>
      </c>
      <c r="BY560" s="2" t="s">
        <v>245</v>
      </c>
      <c r="BZ560" s="2" t="s">
        <v>232</v>
      </c>
      <c r="CA560" s="2" t="s">
        <v>235</v>
      </c>
      <c r="CB560" s="2" t="s">
        <v>235</v>
      </c>
      <c r="CC560" s="2" t="s">
        <v>248</v>
      </c>
      <c r="CD560" s="2" t="s">
        <v>248</v>
      </c>
      <c r="CE560" s="2" t="s">
        <v>235</v>
      </c>
      <c r="CF560" s="4"/>
      <c r="CG560" s="4"/>
      <c r="CH560" s="4"/>
      <c r="CI560" s="4">
        <v>159</v>
      </c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>
        <v>105</v>
      </c>
      <c r="FX560" s="4"/>
      <c r="FY560" s="4"/>
      <c r="FZ560" s="4"/>
      <c r="GA560" s="4"/>
      <c r="GB560" s="4"/>
      <c r="GC560" s="4"/>
      <c r="GD560" s="4">
        <v>159</v>
      </c>
      <c r="GE560" s="4">
        <v>151</v>
      </c>
      <c r="GF560" s="4">
        <v>143</v>
      </c>
      <c r="GG560" s="4">
        <v>137</v>
      </c>
      <c r="GH560" s="4">
        <v>131</v>
      </c>
      <c r="GI560" s="4">
        <v>125</v>
      </c>
      <c r="GJ560" s="4">
        <v>119</v>
      </c>
      <c r="GK560" s="4">
        <v>114</v>
      </c>
      <c r="GL560" s="4">
        <v>109</v>
      </c>
      <c r="GM560" s="4">
        <v>104</v>
      </c>
      <c r="GN560" s="4">
        <v>99</v>
      </c>
      <c r="GO560" s="4">
        <v>93</v>
      </c>
      <c r="GP560" s="4">
        <v>87</v>
      </c>
      <c r="GQ560" s="4">
        <v>81</v>
      </c>
      <c r="GR560" s="4">
        <v>76</v>
      </c>
      <c r="GS560" s="4">
        <v>71</v>
      </c>
      <c r="GT560" s="4">
        <v>66</v>
      </c>
      <c r="GU560" s="4">
        <v>62</v>
      </c>
      <c r="GV560" s="4">
        <v>161</v>
      </c>
      <c r="GW560" s="4">
        <v>157</v>
      </c>
      <c r="GX560" s="4">
        <v>153</v>
      </c>
      <c r="GY560" s="4">
        <v>149</v>
      </c>
      <c r="GZ560" s="4">
        <v>145</v>
      </c>
      <c r="HA560" s="4">
        <v>141</v>
      </c>
      <c r="HB560" s="4">
        <v>137</v>
      </c>
      <c r="HC560" s="4">
        <v>132</v>
      </c>
      <c r="HD560" s="19">
        <v>22.7</v>
      </c>
      <c r="HE560" s="19">
        <v>25.2</v>
      </c>
      <c r="HF560" s="19">
        <v>23.8</v>
      </c>
      <c r="HG560" s="19">
        <v>22.8</v>
      </c>
      <c r="HH560" s="19">
        <v>21.8</v>
      </c>
      <c r="HI560" s="19">
        <v>25</v>
      </c>
      <c r="HJ560" s="19">
        <v>23.8</v>
      </c>
      <c r="HK560" s="19">
        <v>22.8</v>
      </c>
      <c r="HL560" s="19">
        <v>18.2</v>
      </c>
      <c r="HM560" s="19">
        <v>17.3</v>
      </c>
      <c r="HN560" s="19">
        <v>16.5</v>
      </c>
      <c r="HO560" s="19">
        <v>15.5</v>
      </c>
      <c r="HP560" s="19">
        <v>17.4</v>
      </c>
      <c r="HQ560" s="19">
        <v>16.2</v>
      </c>
      <c r="HR560" s="19">
        <v>15.2</v>
      </c>
      <c r="HS560" s="19">
        <v>14.2</v>
      </c>
      <c r="HT560" s="19">
        <v>16.5</v>
      </c>
      <c r="HU560" s="19">
        <v>15.5</v>
      </c>
      <c r="HV560" s="19">
        <v>40.3</v>
      </c>
      <c r="HW560" s="19">
        <v>39.3</v>
      </c>
      <c r="HX560" s="19">
        <v>38.3</v>
      </c>
      <c r="HY560" s="19">
        <v>37.3</v>
      </c>
      <c r="HZ560" s="19">
        <v>36.3</v>
      </c>
      <c r="IA560" s="19">
        <v>35.3</v>
      </c>
      <c r="IB560" s="19">
        <v>34.3</v>
      </c>
      <c r="IC560" s="19">
        <v>33</v>
      </c>
    </row>
    <row r="561">
      <c r="A561" s="2" t="s">
        <v>2699</v>
      </c>
      <c r="B561" s="2" t="s">
        <v>255</v>
      </c>
      <c r="C561" s="2" t="s">
        <v>256</v>
      </c>
      <c r="D561" s="2" t="s">
        <v>361</v>
      </c>
      <c r="E561" s="2" t="s">
        <v>872</v>
      </c>
      <c r="F561" s="2" t="s">
        <v>2662</v>
      </c>
      <c r="G561" s="2" t="s">
        <v>2662</v>
      </c>
      <c r="H561" s="2" t="s">
        <v>2662</v>
      </c>
      <c r="I561" s="2" t="s">
        <v>2663</v>
      </c>
      <c r="J561" s="2" t="s">
        <v>365</v>
      </c>
      <c r="K561" s="2" t="s">
        <v>316</v>
      </c>
      <c r="L561" s="3">
        <v>64</v>
      </c>
      <c r="M561" s="3">
        <v>67.2</v>
      </c>
      <c r="N561" s="3">
        <v>159.99</v>
      </c>
      <c r="O561" s="2" t="s">
        <v>232</v>
      </c>
      <c r="P561" s="2" t="s">
        <v>262</v>
      </c>
      <c r="Q561" s="2" t="s">
        <v>234</v>
      </c>
      <c r="R561" s="2" t="s">
        <v>235</v>
      </c>
      <c r="S561" s="2" t="s">
        <v>235</v>
      </c>
      <c r="T561" s="2" t="s">
        <v>2664</v>
      </c>
      <c r="U561" s="2" t="s">
        <v>807</v>
      </c>
      <c r="V561" s="2" t="s">
        <v>238</v>
      </c>
      <c r="W561" s="2" t="s">
        <v>1052</v>
      </c>
      <c r="X561" s="2" t="s">
        <v>235</v>
      </c>
      <c r="Y561" s="2" t="s">
        <v>2665</v>
      </c>
      <c r="Z561" s="4">
        <v>128</v>
      </c>
      <c r="AA561" s="4">
        <f>=ROUNDDOWN(32,0)</f>
      </c>
      <c r="AB561" s="5">
        <v>4</v>
      </c>
      <c r="AC561" s="2" t="s">
        <v>2666</v>
      </c>
      <c r="AD561" s="4">
        <v>63</v>
      </c>
      <c r="AE561" s="4">
        <v>63</v>
      </c>
      <c r="AF561" s="6"/>
      <c r="AG561" s="6">
        <v>48</v>
      </c>
      <c r="AH561" s="7">
        <v>1</v>
      </c>
      <c r="AI561" s="4"/>
      <c r="AJ561" s="4">
        <f>=ROUNDDOWN({0},0)</f>
      </c>
      <c r="AK561" s="5"/>
      <c r="AL561" s="2" t="s">
        <v>235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235</v>
      </c>
      <c r="AW561" s="8" t="s">
        <v>235</v>
      </c>
      <c r="AX561" s="4" t="s">
        <v>235</v>
      </c>
      <c r="AY561" s="8" t="s">
        <v>235</v>
      </c>
      <c r="AZ561" s="7" t="s">
        <v>235</v>
      </c>
      <c r="BA561" s="7" t="s">
        <v>235</v>
      </c>
      <c r="BB561" s="7"/>
      <c r="BC561" s="4" t="s">
        <v>235</v>
      </c>
      <c r="BD561" s="8" t="s">
        <v>235</v>
      </c>
      <c r="BE561" s="4" t="s">
        <v>235</v>
      </c>
      <c r="BF561" s="8" t="s">
        <v>235</v>
      </c>
      <c r="BG561" s="7" t="s">
        <v>235</v>
      </c>
      <c r="BH561" s="7" t="s">
        <v>235</v>
      </c>
      <c r="BI561" s="7"/>
      <c r="BJ561" s="4">
        <v>6</v>
      </c>
      <c r="BK561" s="8">
        <v>540.78</v>
      </c>
      <c r="BL561" s="2" t="s">
        <v>2698</v>
      </c>
      <c r="BM561" s="7"/>
      <c r="BN561" s="7"/>
      <c r="BO561" s="4"/>
      <c r="BP561" s="8"/>
      <c r="BQ561" s="4"/>
      <c r="BR561" s="8"/>
      <c r="BS561" s="7"/>
      <c r="BT561" s="7"/>
      <c r="BU561" s="2" t="s">
        <v>2667</v>
      </c>
      <c r="BV561" s="2" t="s">
        <v>235</v>
      </c>
      <c r="BW561" s="2" t="s">
        <v>235</v>
      </c>
      <c r="BX561" s="2" t="s">
        <v>244</v>
      </c>
      <c r="BY561" s="2" t="s">
        <v>245</v>
      </c>
      <c r="BZ561" s="2" t="s">
        <v>232</v>
      </c>
      <c r="CA561" s="2" t="s">
        <v>235</v>
      </c>
      <c r="CB561" s="2" t="s">
        <v>235</v>
      </c>
      <c r="CC561" s="2" t="s">
        <v>248</v>
      </c>
      <c r="CD561" s="2" t="s">
        <v>248</v>
      </c>
      <c r="CE561" s="2" t="s">
        <v>235</v>
      </c>
      <c r="CF561" s="4"/>
      <c r="CG561" s="4"/>
      <c r="CH561" s="4"/>
      <c r="CI561" s="4">
        <v>128</v>
      </c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>
        <v>63</v>
      </c>
      <c r="FX561" s="4"/>
      <c r="FY561" s="4"/>
      <c r="FZ561" s="4"/>
      <c r="GA561" s="4"/>
      <c r="GB561" s="4"/>
      <c r="GC561" s="4"/>
      <c r="GD561" s="4">
        <v>128</v>
      </c>
      <c r="GE561" s="4">
        <v>122</v>
      </c>
      <c r="GF561" s="4">
        <v>116</v>
      </c>
      <c r="GG561" s="4">
        <v>111</v>
      </c>
      <c r="GH561" s="4">
        <v>106</v>
      </c>
      <c r="GI561" s="4">
        <v>102</v>
      </c>
      <c r="GJ561" s="4">
        <v>98</v>
      </c>
      <c r="GK561" s="4">
        <v>94</v>
      </c>
      <c r="GL561" s="4">
        <v>90</v>
      </c>
      <c r="GM561" s="4">
        <v>86</v>
      </c>
      <c r="GN561" s="4">
        <v>82</v>
      </c>
      <c r="GO561" s="4">
        <v>78</v>
      </c>
      <c r="GP561" s="4">
        <v>73</v>
      </c>
      <c r="GQ561" s="4">
        <v>68</v>
      </c>
      <c r="GR561" s="4">
        <v>64</v>
      </c>
      <c r="GS561" s="4">
        <v>60</v>
      </c>
      <c r="GT561" s="4">
        <v>56</v>
      </c>
      <c r="GU561" s="4">
        <v>53</v>
      </c>
      <c r="GV561" s="4">
        <v>112</v>
      </c>
      <c r="GW561" s="4">
        <v>109</v>
      </c>
      <c r="GX561" s="4">
        <v>106</v>
      </c>
      <c r="GY561" s="4">
        <v>103</v>
      </c>
      <c r="GZ561" s="4">
        <v>100</v>
      </c>
      <c r="HA561" s="4">
        <v>97</v>
      </c>
      <c r="HB561" s="4">
        <v>94</v>
      </c>
      <c r="HC561" s="4">
        <v>90</v>
      </c>
      <c r="HD561" s="19">
        <v>21.3</v>
      </c>
      <c r="HE561" s="19">
        <v>24.4</v>
      </c>
      <c r="HF561" s="19">
        <v>29</v>
      </c>
      <c r="HG561" s="19">
        <v>27.8</v>
      </c>
      <c r="HH561" s="19">
        <v>26.5</v>
      </c>
      <c r="HI561" s="19">
        <v>25.5</v>
      </c>
      <c r="HJ561" s="19">
        <v>24.5</v>
      </c>
      <c r="HK561" s="19">
        <v>23.5</v>
      </c>
      <c r="HL561" s="19">
        <v>22.5</v>
      </c>
      <c r="HM561" s="19">
        <v>21.5</v>
      </c>
      <c r="HN561" s="19">
        <v>20.5</v>
      </c>
      <c r="HO561" s="19">
        <v>19.5</v>
      </c>
      <c r="HP561" s="19">
        <v>18.3</v>
      </c>
      <c r="HQ561" s="19">
        <v>17</v>
      </c>
      <c r="HR561" s="19">
        <v>16</v>
      </c>
      <c r="HS561" s="19">
        <v>15</v>
      </c>
      <c r="HT561" s="19">
        <v>18.7</v>
      </c>
      <c r="HU561" s="19">
        <v>17.7</v>
      </c>
      <c r="HV561" s="19">
        <v>37.3</v>
      </c>
      <c r="HW561" s="19">
        <v>36.3</v>
      </c>
      <c r="HX561" s="19">
        <v>35.3</v>
      </c>
      <c r="HY561" s="19">
        <v>34.3</v>
      </c>
      <c r="HZ561" s="19">
        <v>33.3</v>
      </c>
      <c r="IA561" s="19">
        <v>32.3</v>
      </c>
      <c r="IB561" s="19">
        <v>31.3</v>
      </c>
      <c r="IC561" s="19">
        <v>30</v>
      </c>
    </row>
    <row r="562">
      <c r="A562" s="2" t="s">
        <v>2700</v>
      </c>
      <c r="B562" s="2" t="s">
        <v>255</v>
      </c>
      <c r="C562" s="2" t="s">
        <v>256</v>
      </c>
      <c r="D562" s="2" t="s">
        <v>257</v>
      </c>
      <c r="E562" s="2" t="s">
        <v>258</v>
      </c>
      <c r="F562" s="2" t="s">
        <v>2662</v>
      </c>
      <c r="G562" s="2" t="s">
        <v>2662</v>
      </c>
      <c r="H562" s="2" t="s">
        <v>2662</v>
      </c>
      <c r="I562" s="2" t="s">
        <v>2669</v>
      </c>
      <c r="J562" s="2" t="s">
        <v>261</v>
      </c>
      <c r="K562" s="2" t="s">
        <v>316</v>
      </c>
      <c r="L562" s="3">
        <v>64</v>
      </c>
      <c r="M562" s="3">
        <v>67.2</v>
      </c>
      <c r="N562" s="3">
        <v>159.99</v>
      </c>
      <c r="O562" s="2" t="s">
        <v>232</v>
      </c>
      <c r="P562" s="2" t="s">
        <v>262</v>
      </c>
      <c r="Q562" s="2" t="s">
        <v>234</v>
      </c>
      <c r="R562" s="2" t="s">
        <v>235</v>
      </c>
      <c r="S562" s="2" t="s">
        <v>235</v>
      </c>
      <c r="T562" s="2" t="s">
        <v>2664</v>
      </c>
      <c r="U562" s="2" t="s">
        <v>264</v>
      </c>
      <c r="V562" s="2" t="s">
        <v>238</v>
      </c>
      <c r="W562" s="2" t="s">
        <v>1052</v>
      </c>
      <c r="X562" s="2" t="s">
        <v>235</v>
      </c>
      <c r="Y562" s="2" t="s">
        <v>2665</v>
      </c>
      <c r="Z562" s="4">
        <v>110</v>
      </c>
      <c r="AA562" s="4">
        <f>=ROUNDDOWN(36.6666666666667,0)</f>
      </c>
      <c r="AB562" s="5">
        <v>3</v>
      </c>
      <c r="AC562" s="2" t="s">
        <v>2670</v>
      </c>
      <c r="AD562" s="4">
        <v>66</v>
      </c>
      <c r="AE562" s="4">
        <v>66</v>
      </c>
      <c r="AF562" s="6"/>
      <c r="AG562" s="6">
        <v>48</v>
      </c>
      <c r="AH562" s="7">
        <v>1</v>
      </c>
      <c r="AI562" s="4"/>
      <c r="AJ562" s="4">
        <f>=ROUNDDOWN({0},0)</f>
      </c>
      <c r="AK562" s="5"/>
      <c r="AL562" s="2" t="s">
        <v>235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235</v>
      </c>
      <c r="AW562" s="8" t="s">
        <v>235</v>
      </c>
      <c r="AX562" s="4" t="s">
        <v>235</v>
      </c>
      <c r="AY562" s="8" t="s">
        <v>235</v>
      </c>
      <c r="AZ562" s="7" t="s">
        <v>235</v>
      </c>
      <c r="BA562" s="7" t="s">
        <v>235</v>
      </c>
      <c r="BB562" s="7"/>
      <c r="BC562" s="4" t="s">
        <v>235</v>
      </c>
      <c r="BD562" s="8" t="s">
        <v>235</v>
      </c>
      <c r="BE562" s="4" t="s">
        <v>235</v>
      </c>
      <c r="BF562" s="8" t="s">
        <v>235</v>
      </c>
      <c r="BG562" s="7" t="s">
        <v>235</v>
      </c>
      <c r="BH562" s="7" t="s">
        <v>235</v>
      </c>
      <c r="BI562" s="7"/>
      <c r="BJ562" s="4">
        <v>2</v>
      </c>
      <c r="BK562" s="8"/>
      <c r="BL562" s="2" t="s">
        <v>1949</v>
      </c>
      <c r="BM562" s="7"/>
      <c r="BN562" s="7"/>
      <c r="BO562" s="4"/>
      <c r="BP562" s="8"/>
      <c r="BQ562" s="4"/>
      <c r="BR562" s="8"/>
      <c r="BS562" s="7"/>
      <c r="BT562" s="7"/>
      <c r="BU562" s="2" t="s">
        <v>2671</v>
      </c>
      <c r="BV562" s="2" t="s">
        <v>235</v>
      </c>
      <c r="BW562" s="2" t="s">
        <v>235</v>
      </c>
      <c r="BX562" s="2" t="s">
        <v>244</v>
      </c>
      <c r="BY562" s="2" t="s">
        <v>245</v>
      </c>
      <c r="BZ562" s="2" t="s">
        <v>232</v>
      </c>
      <c r="CA562" s="2" t="s">
        <v>235</v>
      </c>
      <c r="CB562" s="2" t="s">
        <v>235</v>
      </c>
      <c r="CC562" s="2" t="s">
        <v>248</v>
      </c>
      <c r="CD562" s="2" t="s">
        <v>248</v>
      </c>
      <c r="CE562" s="2" t="s">
        <v>235</v>
      </c>
      <c r="CF562" s="4"/>
      <c r="CG562" s="4"/>
      <c r="CH562" s="4"/>
      <c r="CI562" s="4">
        <v>110</v>
      </c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>
        <v>66</v>
      </c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>
        <v>111</v>
      </c>
      <c r="GE562" s="4">
        <v>105</v>
      </c>
      <c r="GF562" s="4">
        <v>100</v>
      </c>
      <c r="GG562" s="4">
        <v>96</v>
      </c>
      <c r="GH562" s="4">
        <v>92</v>
      </c>
      <c r="GI562" s="4">
        <v>89</v>
      </c>
      <c r="GJ562" s="4">
        <v>86</v>
      </c>
      <c r="GK562" s="4">
        <v>83</v>
      </c>
      <c r="GL562" s="4">
        <v>80</v>
      </c>
      <c r="GM562" s="4">
        <v>77</v>
      </c>
      <c r="GN562" s="4">
        <v>74</v>
      </c>
      <c r="GO562" s="4">
        <v>71</v>
      </c>
      <c r="GP562" s="4">
        <v>67</v>
      </c>
      <c r="GQ562" s="4">
        <v>63</v>
      </c>
      <c r="GR562" s="4">
        <v>126</v>
      </c>
      <c r="GS562" s="4">
        <v>123</v>
      </c>
      <c r="GT562" s="4">
        <v>188</v>
      </c>
      <c r="GU562" s="4">
        <v>186</v>
      </c>
      <c r="GV562" s="4">
        <v>183</v>
      </c>
      <c r="GW562" s="4">
        <v>181</v>
      </c>
      <c r="GX562" s="4">
        <v>179</v>
      </c>
      <c r="GY562" s="4">
        <v>177</v>
      </c>
      <c r="GZ562" s="4">
        <v>175</v>
      </c>
      <c r="HA562" s="4">
        <v>173</v>
      </c>
      <c r="HB562" s="4">
        <v>171</v>
      </c>
      <c r="HC562" s="4">
        <v>168</v>
      </c>
      <c r="HD562" s="19">
        <v>22.2</v>
      </c>
      <c r="HE562" s="19">
        <v>26.3</v>
      </c>
      <c r="HF562" s="19">
        <v>25</v>
      </c>
      <c r="HG562" s="19">
        <v>32</v>
      </c>
      <c r="HH562" s="19">
        <v>30.7</v>
      </c>
      <c r="HI562" s="19">
        <v>29.7</v>
      </c>
      <c r="HJ562" s="19">
        <v>28.7</v>
      </c>
      <c r="HK562" s="19">
        <v>27.7</v>
      </c>
      <c r="HL562" s="19">
        <v>26.7</v>
      </c>
      <c r="HM562" s="19">
        <v>19.3</v>
      </c>
      <c r="HN562" s="19">
        <v>18.5</v>
      </c>
      <c r="HO562" s="19">
        <v>17.8</v>
      </c>
      <c r="HP562" s="19">
        <v>22.3</v>
      </c>
      <c r="HQ562" s="19">
        <v>21</v>
      </c>
      <c r="HR562" s="19">
        <v>42</v>
      </c>
      <c r="HS562" s="19">
        <v>61.5</v>
      </c>
      <c r="HT562" s="19">
        <v>94</v>
      </c>
      <c r="HU562" s="19">
        <v>93</v>
      </c>
      <c r="HV562" s="19">
        <v>91.5</v>
      </c>
      <c r="HW562" s="19">
        <v>90.5</v>
      </c>
      <c r="HX562" s="19">
        <v>89.5</v>
      </c>
      <c r="HY562" s="19">
        <v>88.5</v>
      </c>
      <c r="HZ562" s="19">
        <v>87.5</v>
      </c>
      <c r="IA562" s="19">
        <v>86.5</v>
      </c>
      <c r="IB562" s="19">
        <v>85.5</v>
      </c>
      <c r="IC562" s="19">
        <v>84</v>
      </c>
    </row>
    <row r="563">
      <c r="A563" s="2" t="s">
        <v>2701</v>
      </c>
      <c r="B563" s="2" t="s">
        <v>255</v>
      </c>
      <c r="C563" s="2" t="s">
        <v>256</v>
      </c>
      <c r="D563" s="2" t="s">
        <v>257</v>
      </c>
      <c r="E563" s="2" t="s">
        <v>258</v>
      </c>
      <c r="F563" s="2" t="s">
        <v>2662</v>
      </c>
      <c r="G563" s="2" t="s">
        <v>2662</v>
      </c>
      <c r="H563" s="2" t="s">
        <v>2662</v>
      </c>
      <c r="I563" s="2" t="s">
        <v>2669</v>
      </c>
      <c r="J563" s="2" t="s">
        <v>270</v>
      </c>
      <c r="K563" s="2" t="s">
        <v>316</v>
      </c>
      <c r="L563" s="3">
        <v>68</v>
      </c>
      <c r="M563" s="3">
        <v>71.4</v>
      </c>
      <c r="N563" s="3">
        <v>169.99</v>
      </c>
      <c r="O563" s="2" t="s">
        <v>232</v>
      </c>
      <c r="P563" s="2" t="s">
        <v>262</v>
      </c>
      <c r="Q563" s="2" t="s">
        <v>234</v>
      </c>
      <c r="R563" s="2" t="s">
        <v>235</v>
      </c>
      <c r="S563" s="2" t="s">
        <v>235</v>
      </c>
      <c r="T563" s="2" t="s">
        <v>2664</v>
      </c>
      <c r="U563" s="2" t="s">
        <v>264</v>
      </c>
      <c r="V563" s="2" t="s">
        <v>238</v>
      </c>
      <c r="W563" s="2" t="s">
        <v>1052</v>
      </c>
      <c r="X563" s="2" t="s">
        <v>235</v>
      </c>
      <c r="Y563" s="2" t="s">
        <v>2665</v>
      </c>
      <c r="Z563" s="4">
        <v>133</v>
      </c>
      <c r="AA563" s="4">
        <f>=ROUNDDOWN(33.25,0)</f>
      </c>
      <c r="AB563" s="5">
        <v>4</v>
      </c>
      <c r="AC563" s="2" t="s">
        <v>2670</v>
      </c>
      <c r="AD563" s="4">
        <v>84</v>
      </c>
      <c r="AE563" s="4">
        <v>84</v>
      </c>
      <c r="AF563" s="6"/>
      <c r="AG563" s="6">
        <v>48</v>
      </c>
      <c r="AH563" s="7">
        <v>1</v>
      </c>
      <c r="AI563" s="4"/>
      <c r="AJ563" s="4">
        <f>=ROUNDDOWN({0},0)</f>
      </c>
      <c r="AK563" s="5"/>
      <c r="AL563" s="2" t="s">
        <v>235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235</v>
      </c>
      <c r="AW563" s="8" t="s">
        <v>235</v>
      </c>
      <c r="AX563" s="4" t="s">
        <v>235</v>
      </c>
      <c r="AY563" s="8" t="s">
        <v>235</v>
      </c>
      <c r="AZ563" s="7" t="s">
        <v>235</v>
      </c>
      <c r="BA563" s="7" t="s">
        <v>235</v>
      </c>
      <c r="BB563" s="7"/>
      <c r="BC563" s="4" t="s">
        <v>235</v>
      </c>
      <c r="BD563" s="8" t="s">
        <v>235</v>
      </c>
      <c r="BE563" s="4" t="s">
        <v>235</v>
      </c>
      <c r="BF563" s="8" t="s">
        <v>235</v>
      </c>
      <c r="BG563" s="7" t="s">
        <v>235</v>
      </c>
      <c r="BH563" s="7" t="s">
        <v>235</v>
      </c>
      <c r="BI563" s="7"/>
      <c r="BJ563" s="4">
        <v>3</v>
      </c>
      <c r="BK563" s="8"/>
      <c r="BL563" s="2" t="s">
        <v>1949</v>
      </c>
      <c r="BM563" s="7"/>
      <c r="BN563" s="7"/>
      <c r="BO563" s="4"/>
      <c r="BP563" s="8"/>
      <c r="BQ563" s="4"/>
      <c r="BR563" s="8"/>
      <c r="BS563" s="7"/>
      <c r="BT563" s="7"/>
      <c r="BU563" s="2" t="s">
        <v>2671</v>
      </c>
      <c r="BV563" s="2" t="s">
        <v>235</v>
      </c>
      <c r="BW563" s="2" t="s">
        <v>235</v>
      </c>
      <c r="BX563" s="2" t="s">
        <v>244</v>
      </c>
      <c r="BY563" s="2" t="s">
        <v>245</v>
      </c>
      <c r="BZ563" s="2" t="s">
        <v>232</v>
      </c>
      <c r="CA563" s="2" t="s">
        <v>235</v>
      </c>
      <c r="CB563" s="2" t="s">
        <v>235</v>
      </c>
      <c r="CC563" s="2" t="s">
        <v>248</v>
      </c>
      <c r="CD563" s="2" t="s">
        <v>248</v>
      </c>
      <c r="CE563" s="2" t="s">
        <v>235</v>
      </c>
      <c r="CF563" s="4"/>
      <c r="CG563" s="4"/>
      <c r="CH563" s="4"/>
      <c r="CI563" s="4">
        <v>133</v>
      </c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>
        <v>84</v>
      </c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>
        <v>133</v>
      </c>
      <c r="GE563" s="4">
        <v>127</v>
      </c>
      <c r="GF563" s="4">
        <v>121</v>
      </c>
      <c r="GG563" s="4">
        <v>116</v>
      </c>
      <c r="GH563" s="4">
        <v>111</v>
      </c>
      <c r="GI563" s="4">
        <v>107</v>
      </c>
      <c r="GJ563" s="4">
        <v>103</v>
      </c>
      <c r="GK563" s="4">
        <v>99</v>
      </c>
      <c r="GL563" s="4">
        <v>95</v>
      </c>
      <c r="GM563" s="4">
        <v>91</v>
      </c>
      <c r="GN563" s="4">
        <v>87</v>
      </c>
      <c r="GO563" s="4">
        <v>83</v>
      </c>
      <c r="GP563" s="4">
        <v>78</v>
      </c>
      <c r="GQ563" s="4">
        <v>73</v>
      </c>
      <c r="GR563" s="4">
        <v>153</v>
      </c>
      <c r="GS563" s="4">
        <v>149</v>
      </c>
      <c r="GT563" s="4">
        <v>245</v>
      </c>
      <c r="GU563" s="4">
        <v>242</v>
      </c>
      <c r="GV563" s="4">
        <v>238</v>
      </c>
      <c r="GW563" s="4">
        <v>235</v>
      </c>
      <c r="GX563" s="4">
        <v>232</v>
      </c>
      <c r="GY563" s="4">
        <v>229</v>
      </c>
      <c r="GZ563" s="4">
        <v>226</v>
      </c>
      <c r="HA563" s="4">
        <v>223</v>
      </c>
      <c r="HB563" s="4">
        <v>220</v>
      </c>
      <c r="HC563" s="4">
        <v>216</v>
      </c>
      <c r="HD563" s="19">
        <v>22.2</v>
      </c>
      <c r="HE563" s="19">
        <v>25.4</v>
      </c>
      <c r="HF563" s="19">
        <v>30.3</v>
      </c>
      <c r="HG563" s="19">
        <v>29</v>
      </c>
      <c r="HH563" s="19">
        <v>27.8</v>
      </c>
      <c r="HI563" s="19">
        <v>26.8</v>
      </c>
      <c r="HJ563" s="19">
        <v>25.8</v>
      </c>
      <c r="HK563" s="19">
        <v>24.8</v>
      </c>
      <c r="HL563" s="19">
        <v>23.8</v>
      </c>
      <c r="HM563" s="19">
        <v>22.8</v>
      </c>
      <c r="HN563" s="19">
        <v>21.8</v>
      </c>
      <c r="HO563" s="19">
        <v>20.8</v>
      </c>
      <c r="HP563" s="19">
        <v>19.5</v>
      </c>
      <c r="HQ563" s="19">
        <v>18.3</v>
      </c>
      <c r="HR563" s="19">
        <v>38.3</v>
      </c>
      <c r="HS563" s="19">
        <v>37.3</v>
      </c>
      <c r="HT563" s="19">
        <v>81.7</v>
      </c>
      <c r="HU563" s="19">
        <v>80.7</v>
      </c>
      <c r="HV563" s="19">
        <v>79.3</v>
      </c>
      <c r="HW563" s="19">
        <v>78.3</v>
      </c>
      <c r="HX563" s="19">
        <v>77.3</v>
      </c>
      <c r="HY563" s="19">
        <v>76.3</v>
      </c>
      <c r="HZ563" s="19">
        <v>75.3</v>
      </c>
      <c r="IA563" s="19">
        <v>74.3</v>
      </c>
      <c r="IB563" s="19">
        <v>73.3</v>
      </c>
      <c r="IC563" s="19">
        <v>72</v>
      </c>
    </row>
    <row r="564">
      <c r="A564" s="2" t="s">
        <v>2702</v>
      </c>
      <c r="B564" s="2" t="s">
        <v>255</v>
      </c>
      <c r="C564" s="2" t="s">
        <v>256</v>
      </c>
      <c r="D564" s="2" t="s">
        <v>361</v>
      </c>
      <c r="E564" s="2" t="s">
        <v>872</v>
      </c>
      <c r="F564" s="2" t="s">
        <v>2662</v>
      </c>
      <c r="G564" s="2" t="s">
        <v>2662</v>
      </c>
      <c r="H564" s="2" t="s">
        <v>2662</v>
      </c>
      <c r="I564" s="2" t="s">
        <v>2663</v>
      </c>
      <c r="J564" s="2" t="s">
        <v>372</v>
      </c>
      <c r="K564" s="2" t="s">
        <v>316</v>
      </c>
      <c r="L564" s="3">
        <v>68</v>
      </c>
      <c r="M564" s="3">
        <v>71.4</v>
      </c>
      <c r="N564" s="3">
        <v>169.99</v>
      </c>
      <c r="O564" s="2" t="s">
        <v>232</v>
      </c>
      <c r="P564" s="2" t="s">
        <v>262</v>
      </c>
      <c r="Q564" s="2" t="s">
        <v>234</v>
      </c>
      <c r="R564" s="2" t="s">
        <v>235</v>
      </c>
      <c r="S564" s="2" t="s">
        <v>235</v>
      </c>
      <c r="T564" s="2" t="s">
        <v>2664</v>
      </c>
      <c r="U564" s="2" t="s">
        <v>807</v>
      </c>
      <c r="V564" s="2" t="s">
        <v>238</v>
      </c>
      <c r="W564" s="2" t="s">
        <v>1052</v>
      </c>
      <c r="X564" s="2" t="s">
        <v>235</v>
      </c>
      <c r="Y564" s="2" t="s">
        <v>2665</v>
      </c>
      <c r="Z564" s="4">
        <v>168</v>
      </c>
      <c r="AA564" s="4">
        <f>=ROUNDDOWN(33.6,0)</f>
      </c>
      <c r="AB564" s="5">
        <v>5</v>
      </c>
      <c r="AC564" s="2" t="s">
        <v>2666</v>
      </c>
      <c r="AD564" s="4">
        <v>105</v>
      </c>
      <c r="AE564" s="4">
        <v>105</v>
      </c>
      <c r="AF564" s="6"/>
      <c r="AG564" s="6">
        <v>48</v>
      </c>
      <c r="AH564" s="7">
        <v>1</v>
      </c>
      <c r="AI564" s="4"/>
      <c r="AJ564" s="4">
        <f>=ROUNDDOWN({0},0)</f>
      </c>
      <c r="AK564" s="5"/>
      <c r="AL564" s="2" t="s">
        <v>235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235</v>
      </c>
      <c r="AW564" s="8" t="s">
        <v>235</v>
      </c>
      <c r="AX564" s="4" t="s">
        <v>235</v>
      </c>
      <c r="AY564" s="8" t="s">
        <v>235</v>
      </c>
      <c r="AZ564" s="7" t="s">
        <v>235</v>
      </c>
      <c r="BA564" s="7" t="s">
        <v>235</v>
      </c>
      <c r="BB564" s="7"/>
      <c r="BC564" s="4" t="s">
        <v>235</v>
      </c>
      <c r="BD564" s="8" t="s">
        <v>235</v>
      </c>
      <c r="BE564" s="4" t="s">
        <v>235</v>
      </c>
      <c r="BF564" s="8" t="s">
        <v>235</v>
      </c>
      <c r="BG564" s="7" t="s">
        <v>235</v>
      </c>
      <c r="BH564" s="7" t="s">
        <v>235</v>
      </c>
      <c r="BI564" s="7"/>
      <c r="BJ564" s="4">
        <v>8</v>
      </c>
      <c r="BK564" s="8">
        <v>809.18</v>
      </c>
      <c r="BL564" s="2" t="s">
        <v>2698</v>
      </c>
      <c r="BM564" s="7"/>
      <c r="BN564" s="7"/>
      <c r="BO564" s="4"/>
      <c r="BP564" s="8"/>
      <c r="BQ564" s="4"/>
      <c r="BR564" s="8"/>
      <c r="BS564" s="7"/>
      <c r="BT564" s="7"/>
      <c r="BU564" s="2" t="s">
        <v>2667</v>
      </c>
      <c r="BV564" s="2" t="s">
        <v>235</v>
      </c>
      <c r="BW564" s="2" t="s">
        <v>235</v>
      </c>
      <c r="BX564" s="2" t="s">
        <v>244</v>
      </c>
      <c r="BY564" s="2" t="s">
        <v>245</v>
      </c>
      <c r="BZ564" s="2" t="s">
        <v>232</v>
      </c>
      <c r="CA564" s="2" t="s">
        <v>235</v>
      </c>
      <c r="CB564" s="2" t="s">
        <v>235</v>
      </c>
      <c r="CC564" s="2" t="s">
        <v>248</v>
      </c>
      <c r="CD564" s="2" t="s">
        <v>248</v>
      </c>
      <c r="CE564" s="2" t="s">
        <v>235</v>
      </c>
      <c r="CF564" s="4"/>
      <c r="CG564" s="4"/>
      <c r="CH564" s="4"/>
      <c r="CI564" s="4">
        <v>168</v>
      </c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>
        <v>105</v>
      </c>
      <c r="FX564" s="4"/>
      <c r="FY564" s="4"/>
      <c r="FZ564" s="4"/>
      <c r="GA564" s="4"/>
      <c r="GB564" s="4"/>
      <c r="GC564" s="4"/>
      <c r="GD564" s="4">
        <v>168</v>
      </c>
      <c r="GE564" s="4">
        <v>160</v>
      </c>
      <c r="GF564" s="4">
        <v>152</v>
      </c>
      <c r="GG564" s="4">
        <v>146</v>
      </c>
      <c r="GH564" s="4">
        <v>140</v>
      </c>
      <c r="GI564" s="4">
        <v>134</v>
      </c>
      <c r="GJ564" s="4">
        <v>128</v>
      </c>
      <c r="GK564" s="4">
        <v>123</v>
      </c>
      <c r="GL564" s="4">
        <v>118</v>
      </c>
      <c r="GM564" s="4">
        <v>113</v>
      </c>
      <c r="GN564" s="4">
        <v>108</v>
      </c>
      <c r="GO564" s="4">
        <v>102</v>
      </c>
      <c r="GP564" s="4">
        <v>96</v>
      </c>
      <c r="GQ564" s="4">
        <v>90</v>
      </c>
      <c r="GR564" s="4">
        <v>85</v>
      </c>
      <c r="GS564" s="4">
        <v>80</v>
      </c>
      <c r="GT564" s="4">
        <v>75</v>
      </c>
      <c r="GU564" s="4">
        <v>71</v>
      </c>
      <c r="GV564" s="4">
        <v>170</v>
      </c>
      <c r="GW564" s="4">
        <v>166</v>
      </c>
      <c r="GX564" s="4">
        <v>162</v>
      </c>
      <c r="GY564" s="4">
        <v>158</v>
      </c>
      <c r="GZ564" s="4">
        <v>154</v>
      </c>
      <c r="HA564" s="4">
        <v>150</v>
      </c>
      <c r="HB564" s="4">
        <v>146</v>
      </c>
      <c r="HC564" s="4">
        <v>141</v>
      </c>
      <c r="HD564" s="19">
        <v>24</v>
      </c>
      <c r="HE564" s="19">
        <v>26.7</v>
      </c>
      <c r="HF564" s="19">
        <v>25.3</v>
      </c>
      <c r="HG564" s="19">
        <v>24.3</v>
      </c>
      <c r="HH564" s="19">
        <v>23.3</v>
      </c>
      <c r="HI564" s="19">
        <v>26.8</v>
      </c>
      <c r="HJ564" s="19">
        <v>25.6</v>
      </c>
      <c r="HK564" s="19">
        <v>24.6</v>
      </c>
      <c r="HL564" s="19">
        <v>19.7</v>
      </c>
      <c r="HM564" s="19">
        <v>18.8</v>
      </c>
      <c r="HN564" s="19">
        <v>18</v>
      </c>
      <c r="HO564" s="19">
        <v>17</v>
      </c>
      <c r="HP564" s="19">
        <v>19.2</v>
      </c>
      <c r="HQ564" s="19">
        <v>18</v>
      </c>
      <c r="HR564" s="19">
        <v>17</v>
      </c>
      <c r="HS564" s="19">
        <v>16</v>
      </c>
      <c r="HT564" s="19">
        <v>18.8</v>
      </c>
      <c r="HU564" s="19">
        <v>17.8</v>
      </c>
      <c r="HV564" s="19">
        <v>42.5</v>
      </c>
      <c r="HW564" s="19">
        <v>41.5</v>
      </c>
      <c r="HX564" s="19">
        <v>40.5</v>
      </c>
      <c r="HY564" s="19">
        <v>39.5</v>
      </c>
      <c r="HZ564" s="19">
        <v>38.5</v>
      </c>
      <c r="IA564" s="19">
        <v>37.5</v>
      </c>
      <c r="IB564" s="19">
        <v>36.5</v>
      </c>
      <c r="IC564" s="19">
        <v>35.3</v>
      </c>
    </row>
    <row r="565">
      <c r="A565" s="2" t="s">
        <v>2703</v>
      </c>
      <c r="B565" s="2" t="s">
        <v>255</v>
      </c>
      <c r="C565" s="2" t="s">
        <v>256</v>
      </c>
      <c r="D565" s="2" t="s">
        <v>257</v>
      </c>
      <c r="E565" s="2" t="s">
        <v>258</v>
      </c>
      <c r="F565" s="2" t="s">
        <v>2662</v>
      </c>
      <c r="G565" s="2" t="s">
        <v>2662</v>
      </c>
      <c r="H565" s="2" t="s">
        <v>2662</v>
      </c>
      <c r="I565" s="2" t="s">
        <v>2669</v>
      </c>
      <c r="J565" s="2" t="s">
        <v>272</v>
      </c>
      <c r="K565" s="2" t="s">
        <v>316</v>
      </c>
      <c r="L565" s="3">
        <v>72</v>
      </c>
      <c r="M565" s="3">
        <v>75.6</v>
      </c>
      <c r="N565" s="3">
        <v>179.99</v>
      </c>
      <c r="O565" s="2" t="s">
        <v>232</v>
      </c>
      <c r="P565" s="2" t="s">
        <v>262</v>
      </c>
      <c r="Q565" s="2" t="s">
        <v>234</v>
      </c>
      <c r="R565" s="2" t="s">
        <v>235</v>
      </c>
      <c r="S565" s="2" t="s">
        <v>235</v>
      </c>
      <c r="T565" s="2" t="s">
        <v>2664</v>
      </c>
      <c r="U565" s="2" t="s">
        <v>264</v>
      </c>
      <c r="V565" s="2" t="s">
        <v>238</v>
      </c>
      <c r="W565" s="2" t="s">
        <v>1052</v>
      </c>
      <c r="X565" s="2" t="s">
        <v>235</v>
      </c>
      <c r="Y565" s="2" t="s">
        <v>2665</v>
      </c>
      <c r="Z565" s="4">
        <v>40</v>
      </c>
      <c r="AA565" s="4">
        <f>=ROUNDDOWN(20,0)</f>
      </c>
      <c r="AB565" s="5">
        <v>2</v>
      </c>
      <c r="AC565" s="2" t="s">
        <v>2670</v>
      </c>
      <c r="AD565" s="4">
        <v>24</v>
      </c>
      <c r="AE565" s="4">
        <v>24</v>
      </c>
      <c r="AF565" s="6"/>
      <c r="AG565" s="6">
        <v>48</v>
      </c>
      <c r="AH565" s="7">
        <v>1</v>
      </c>
      <c r="AI565" s="4"/>
      <c r="AJ565" s="4">
        <f>=ROUNDDOWN({0},0)</f>
      </c>
      <c r="AK565" s="5"/>
      <c r="AL565" s="2" t="s">
        <v>235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235</v>
      </c>
      <c r="AW565" s="8" t="s">
        <v>235</v>
      </c>
      <c r="AX565" s="4" t="s">
        <v>235</v>
      </c>
      <c r="AY565" s="8" t="s">
        <v>235</v>
      </c>
      <c r="AZ565" s="7" t="s">
        <v>235</v>
      </c>
      <c r="BA565" s="7" t="s">
        <v>235</v>
      </c>
      <c r="BB565" s="7"/>
      <c r="BC565" s="4" t="s">
        <v>235</v>
      </c>
      <c r="BD565" s="8" t="s">
        <v>235</v>
      </c>
      <c r="BE565" s="4" t="s">
        <v>235</v>
      </c>
      <c r="BF565" s="8" t="s">
        <v>235</v>
      </c>
      <c r="BG565" s="7" t="s">
        <v>235</v>
      </c>
      <c r="BH565" s="7" t="s">
        <v>235</v>
      </c>
      <c r="BI565" s="7"/>
      <c r="BJ565" s="4"/>
      <c r="BK565" s="8"/>
      <c r="BL565" s="2" t="s">
        <v>235</v>
      </c>
      <c r="BM565" s="7"/>
      <c r="BN565" s="7"/>
      <c r="BO565" s="4"/>
      <c r="BP565" s="8"/>
      <c r="BQ565" s="4"/>
      <c r="BR565" s="8"/>
      <c r="BS565" s="7"/>
      <c r="BT565" s="7"/>
      <c r="BU565" s="2" t="s">
        <v>2671</v>
      </c>
      <c r="BV565" s="2" t="s">
        <v>235</v>
      </c>
      <c r="BW565" s="2" t="s">
        <v>235</v>
      </c>
      <c r="BX565" s="2" t="s">
        <v>244</v>
      </c>
      <c r="BY565" s="2" t="s">
        <v>245</v>
      </c>
      <c r="BZ565" s="2" t="s">
        <v>232</v>
      </c>
      <c r="CA565" s="2" t="s">
        <v>235</v>
      </c>
      <c r="CB565" s="2" t="s">
        <v>235</v>
      </c>
      <c r="CC565" s="2" t="s">
        <v>248</v>
      </c>
      <c r="CD565" s="2" t="s">
        <v>248</v>
      </c>
      <c r="CE565" s="2" t="s">
        <v>235</v>
      </c>
      <c r="CF565" s="4"/>
      <c r="CG565" s="4"/>
      <c r="CH565" s="4"/>
      <c r="CI565" s="4">
        <v>40</v>
      </c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>
        <v>24</v>
      </c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>
        <v>40</v>
      </c>
      <c r="GE565" s="4">
        <v>30</v>
      </c>
      <c r="GF565" s="4">
        <v>27</v>
      </c>
      <c r="GG565" s="4">
        <v>25</v>
      </c>
      <c r="GH565" s="4">
        <v>23</v>
      </c>
      <c r="GI565" s="4">
        <v>21</v>
      </c>
      <c r="GJ565" s="4">
        <v>19</v>
      </c>
      <c r="GK565" s="4">
        <v>17</v>
      </c>
      <c r="GL565" s="4">
        <v>15</v>
      </c>
      <c r="GM565" s="4">
        <v>13</v>
      </c>
      <c r="GN565" s="4">
        <v>11</v>
      </c>
      <c r="GO565" s="4">
        <v>9</v>
      </c>
      <c r="GP565" s="4">
        <v>7</v>
      </c>
      <c r="GQ565" s="4">
        <v>5</v>
      </c>
      <c r="GR565" s="4">
        <v>27</v>
      </c>
      <c r="GS565" s="4">
        <v>25</v>
      </c>
      <c r="GT565" s="4">
        <v>118</v>
      </c>
      <c r="GU565" s="4">
        <v>116</v>
      </c>
      <c r="GV565" s="4">
        <v>114</v>
      </c>
      <c r="GW565" s="4">
        <v>112</v>
      </c>
      <c r="GX565" s="4">
        <v>110</v>
      </c>
      <c r="GY565" s="4">
        <v>108</v>
      </c>
      <c r="GZ565" s="4">
        <v>106</v>
      </c>
      <c r="HA565" s="4">
        <v>104</v>
      </c>
      <c r="HB565" s="4">
        <v>102</v>
      </c>
      <c r="HC565" s="4">
        <v>100</v>
      </c>
      <c r="HD565" s="19">
        <v>10</v>
      </c>
      <c r="HE565" s="19">
        <v>15</v>
      </c>
      <c r="HF565" s="19">
        <v>13.5</v>
      </c>
      <c r="HG565" s="19">
        <v>12.5</v>
      </c>
      <c r="HH565" s="19">
        <v>11.5</v>
      </c>
      <c r="HI565" s="19">
        <v>10.5</v>
      </c>
      <c r="HJ565" s="19">
        <v>9.5</v>
      </c>
      <c r="HK565" s="19">
        <v>8.5</v>
      </c>
      <c r="HL565" s="19">
        <v>7.5</v>
      </c>
      <c r="HM565" s="19">
        <v>6.5</v>
      </c>
      <c r="HN565" s="19">
        <v>5.5</v>
      </c>
      <c r="HO565" s="19">
        <v>4.5</v>
      </c>
      <c r="HP565" s="19">
        <v>3.5</v>
      </c>
      <c r="HQ565" s="19">
        <v>2.5</v>
      </c>
      <c r="HR565" s="19">
        <v>13.5</v>
      </c>
      <c r="HS565" s="19">
        <v>12.5</v>
      </c>
      <c r="HT565" s="19">
        <v>59</v>
      </c>
      <c r="HU565" s="19">
        <v>58</v>
      </c>
      <c r="HV565" s="19">
        <v>57</v>
      </c>
      <c r="HW565" s="19">
        <v>56</v>
      </c>
      <c r="HX565" s="19">
        <v>55</v>
      </c>
      <c r="HY565" s="19">
        <v>54</v>
      </c>
      <c r="HZ565" s="19">
        <v>53</v>
      </c>
      <c r="IA565" s="19">
        <v>52</v>
      </c>
      <c r="IB565" s="19">
        <v>51</v>
      </c>
      <c r="IC565" s="19">
        <v>50</v>
      </c>
    </row>
    <row r="566">
      <c r="A566" s="2" t="s">
        <v>2704</v>
      </c>
      <c r="B566" s="2" t="s">
        <v>255</v>
      </c>
      <c r="C566" s="2" t="s">
        <v>256</v>
      </c>
      <c r="D566" s="2" t="s">
        <v>257</v>
      </c>
      <c r="E566" s="2" t="s">
        <v>258</v>
      </c>
      <c r="F566" s="2" t="s">
        <v>2662</v>
      </c>
      <c r="G566" s="2" t="s">
        <v>2662</v>
      </c>
      <c r="H566" s="2" t="s">
        <v>2662</v>
      </c>
      <c r="I566" s="2" t="s">
        <v>2669</v>
      </c>
      <c r="J566" s="2" t="s">
        <v>281</v>
      </c>
      <c r="K566" s="2" t="s">
        <v>316</v>
      </c>
      <c r="L566" s="3">
        <v>76</v>
      </c>
      <c r="M566" s="3">
        <v>79.8</v>
      </c>
      <c r="N566" s="3">
        <v>189.99</v>
      </c>
      <c r="O566" s="2" t="s">
        <v>232</v>
      </c>
      <c r="P566" s="2" t="s">
        <v>262</v>
      </c>
      <c r="Q566" s="2" t="s">
        <v>234</v>
      </c>
      <c r="R566" s="2" t="s">
        <v>235</v>
      </c>
      <c r="S566" s="2" t="s">
        <v>235</v>
      </c>
      <c r="T566" s="2" t="s">
        <v>2664</v>
      </c>
      <c r="U566" s="2" t="s">
        <v>282</v>
      </c>
      <c r="V566" s="2" t="s">
        <v>238</v>
      </c>
      <c r="W566" s="2" t="s">
        <v>1052</v>
      </c>
      <c r="X566" s="2" t="s">
        <v>235</v>
      </c>
      <c r="Y566" s="2" t="s">
        <v>2665</v>
      </c>
      <c r="Z566" s="4">
        <v>16</v>
      </c>
      <c r="AA566" s="4">
        <f>=ROUNDDOWN({0},0)</f>
      </c>
      <c r="AB566" s="5"/>
      <c r="AC566" s="2" t="s">
        <v>2670</v>
      </c>
      <c r="AD566" s="4">
        <v>8</v>
      </c>
      <c r="AE566" s="4">
        <v>8</v>
      </c>
      <c r="AF566" s="6"/>
      <c r="AG566" s="6">
        <v>48</v>
      </c>
      <c r="AH566" s="7">
        <v>1</v>
      </c>
      <c r="AI566" s="4"/>
      <c r="AJ566" s="4">
        <f>=ROUNDDOWN({0},0)</f>
      </c>
      <c r="AK566" s="5"/>
      <c r="AL566" s="2" t="s">
        <v>235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235</v>
      </c>
      <c r="AW566" s="8" t="s">
        <v>235</v>
      </c>
      <c r="AX566" s="4" t="s">
        <v>235</v>
      </c>
      <c r="AY566" s="8" t="s">
        <v>235</v>
      </c>
      <c r="AZ566" s="7" t="s">
        <v>235</v>
      </c>
      <c r="BA566" s="7" t="s">
        <v>235</v>
      </c>
      <c r="BB566" s="7"/>
      <c r="BC566" s="4" t="s">
        <v>235</v>
      </c>
      <c r="BD566" s="8" t="s">
        <v>235</v>
      </c>
      <c r="BE566" s="4" t="s">
        <v>235</v>
      </c>
      <c r="BF566" s="8" t="s">
        <v>235</v>
      </c>
      <c r="BG566" s="7" t="s">
        <v>235</v>
      </c>
      <c r="BH566" s="7" t="s">
        <v>235</v>
      </c>
      <c r="BI566" s="7"/>
      <c r="BJ566" s="4"/>
      <c r="BK566" s="8"/>
      <c r="BL566" s="2" t="s">
        <v>235</v>
      </c>
      <c r="BM566" s="7"/>
      <c r="BN566" s="7"/>
      <c r="BO566" s="4"/>
      <c r="BP566" s="8"/>
      <c r="BQ566" s="4"/>
      <c r="BR566" s="8"/>
      <c r="BS566" s="7"/>
      <c r="BT566" s="7"/>
      <c r="BU566" s="2" t="s">
        <v>2671</v>
      </c>
      <c r="BV566" s="2" t="s">
        <v>235</v>
      </c>
      <c r="BW566" s="2" t="s">
        <v>235</v>
      </c>
      <c r="BX566" s="2" t="s">
        <v>244</v>
      </c>
      <c r="BY566" s="2" t="s">
        <v>245</v>
      </c>
      <c r="BZ566" s="2" t="s">
        <v>232</v>
      </c>
      <c r="CA566" s="2" t="s">
        <v>235</v>
      </c>
      <c r="CB566" s="2" t="s">
        <v>235</v>
      </c>
      <c r="CC566" s="2" t="s">
        <v>248</v>
      </c>
      <c r="CD566" s="2" t="s">
        <v>248</v>
      </c>
      <c r="CE566" s="2" t="s">
        <v>235</v>
      </c>
      <c r="CF566" s="4"/>
      <c r="CG566" s="4"/>
      <c r="CH566" s="4"/>
      <c r="CI566" s="4">
        <v>16</v>
      </c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>
        <v>8</v>
      </c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>
        <v>16</v>
      </c>
      <c r="GE566" s="4">
        <v>6</v>
      </c>
      <c r="GF566" s="4">
        <v>3</v>
      </c>
      <c r="GG566" s="4">
        <v>1</v>
      </c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>
        <v>8</v>
      </c>
      <c r="GS566" s="4"/>
      <c r="GT566" s="4">
        <v>120</v>
      </c>
      <c r="GU566" s="4">
        <v>116</v>
      </c>
      <c r="GV566" s="4">
        <v>114</v>
      </c>
      <c r="GW566" s="4">
        <v>112</v>
      </c>
      <c r="GX566" s="4">
        <v>110</v>
      </c>
      <c r="GY566" s="4">
        <v>108</v>
      </c>
      <c r="GZ566" s="4">
        <v>106</v>
      </c>
      <c r="HA566" s="4">
        <v>104</v>
      </c>
      <c r="HB566" s="4">
        <v>102</v>
      </c>
      <c r="HC566" s="4">
        <v>100</v>
      </c>
      <c r="HD566" s="19">
        <v>4</v>
      </c>
      <c r="HE566" s="19">
        <v>3</v>
      </c>
      <c r="HF566" s="19">
        <v>3</v>
      </c>
      <c r="HG566" s="19">
        <v>1</v>
      </c>
      <c r="HH566" s="20">
        <v>0</v>
      </c>
      <c r="HI566" s="20">
        <v>0</v>
      </c>
      <c r="HJ566" s="20">
        <v>0</v>
      </c>
      <c r="HK566" s="20">
        <v>0</v>
      </c>
      <c r="HL566" s="20">
        <v>0</v>
      </c>
      <c r="HM566" s="20">
        <v>0</v>
      </c>
      <c r="HN566" s="20">
        <v>0</v>
      </c>
      <c r="HO566" s="20">
        <v>0</v>
      </c>
      <c r="HP566" s="20">
        <v>0</v>
      </c>
      <c r="HQ566" s="20">
        <v>0</v>
      </c>
      <c r="HR566" s="19">
        <v>2</v>
      </c>
      <c r="HS566" s="20">
        <v>0</v>
      </c>
      <c r="HT566" s="19">
        <v>60</v>
      </c>
      <c r="HU566" s="19">
        <v>58</v>
      </c>
      <c r="HV566" s="19">
        <v>57</v>
      </c>
      <c r="HW566" s="19">
        <v>56</v>
      </c>
      <c r="HX566" s="19">
        <v>55</v>
      </c>
      <c r="HY566" s="19">
        <v>54</v>
      </c>
      <c r="HZ566" s="19">
        <v>53</v>
      </c>
      <c r="IA566" s="19">
        <v>52</v>
      </c>
      <c r="IB566" s="19">
        <v>51</v>
      </c>
      <c r="IC566" s="19">
        <v>50</v>
      </c>
    </row>
    <row r="567">
      <c r="A567" s="2" t="s">
        <v>2705</v>
      </c>
      <c r="B567" s="2" t="s">
        <v>224</v>
      </c>
      <c r="C567" s="2" t="s">
        <v>1176</v>
      </c>
      <c r="D567" s="2" t="s">
        <v>990</v>
      </c>
      <c r="E567" s="2" t="s">
        <v>1329</v>
      </c>
      <c r="F567" s="2" t="s">
        <v>2706</v>
      </c>
      <c r="G567" s="2" t="s">
        <v>2706</v>
      </c>
      <c r="H567" s="2" t="s">
        <v>2706</v>
      </c>
      <c r="I567" s="2" t="s">
        <v>2707</v>
      </c>
      <c r="J567" s="2" t="s">
        <v>993</v>
      </c>
      <c r="K567" s="2" t="s">
        <v>292</v>
      </c>
      <c r="L567" s="3">
        <v>16.75</v>
      </c>
      <c r="M567" s="3">
        <v>17.59</v>
      </c>
      <c r="N567" s="3">
        <v>39.99</v>
      </c>
      <c r="O567" s="2" t="s">
        <v>232</v>
      </c>
      <c r="P567" s="2" t="s">
        <v>878</v>
      </c>
      <c r="Q567" s="2" t="s">
        <v>234</v>
      </c>
      <c r="R567" s="2" t="s">
        <v>235</v>
      </c>
      <c r="S567" s="2" t="s">
        <v>2708</v>
      </c>
      <c r="T567" s="2" t="s">
        <v>2664</v>
      </c>
      <c r="U567" s="2" t="s">
        <v>807</v>
      </c>
      <c r="V567" s="2" t="s">
        <v>238</v>
      </c>
      <c r="W567" s="2" t="s">
        <v>239</v>
      </c>
      <c r="X567" s="2" t="s">
        <v>235</v>
      </c>
      <c r="Y567" s="2" t="s">
        <v>2709</v>
      </c>
      <c r="Z567" s="4">
        <v>1039</v>
      </c>
      <c r="AA567" s="4">
        <f>=ROUNDDOWN(38.4814814814815,0)</f>
      </c>
      <c r="AB567" s="5">
        <v>27</v>
      </c>
      <c r="AC567" s="2" t="s">
        <v>235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235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235</v>
      </c>
      <c r="BD567" s="8" t="s">
        <v>235</v>
      </c>
      <c r="BE567" s="4" t="s">
        <v>235</v>
      </c>
      <c r="BF567" s="8" t="s">
        <v>235</v>
      </c>
      <c r="BG567" s="7" t="s">
        <v>235</v>
      </c>
      <c r="BH567" s="7" t="s">
        <v>235</v>
      </c>
      <c r="BI567" s="7"/>
      <c r="BJ567" s="4">
        <v>38</v>
      </c>
      <c r="BK567" s="8">
        <v>708.25</v>
      </c>
      <c r="BL567" s="2" t="s">
        <v>2710</v>
      </c>
      <c r="BM567" s="7"/>
      <c r="BN567" s="7"/>
      <c r="BO567" s="4"/>
      <c r="BP567" s="8"/>
      <c r="BQ567" s="4"/>
      <c r="BR567" s="8"/>
      <c r="BS567" s="7"/>
      <c r="BT567" s="7"/>
      <c r="BU567" s="2" t="s">
        <v>2711</v>
      </c>
      <c r="BV567" s="2" t="s">
        <v>243</v>
      </c>
      <c r="BW567" s="2" t="s">
        <v>235</v>
      </c>
      <c r="BX567" s="2" t="s">
        <v>2712</v>
      </c>
      <c r="BY567" s="2" t="s">
        <v>245</v>
      </c>
      <c r="BZ567" s="2" t="s">
        <v>232</v>
      </c>
      <c r="CA567" s="2" t="s">
        <v>2328</v>
      </c>
      <c r="CB567" s="2" t="s">
        <v>1387</v>
      </c>
      <c r="CC567" s="2" t="s">
        <v>248</v>
      </c>
      <c r="CD567" s="2" t="s">
        <v>248</v>
      </c>
      <c r="CE567" s="2" t="s">
        <v>235</v>
      </c>
      <c r="CF567" s="4">
        <v>1039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>
        <v>1041</v>
      </c>
      <c r="GE567" s="4">
        <v>1030</v>
      </c>
      <c r="GF567" s="4">
        <v>1023</v>
      </c>
      <c r="GG567" s="4">
        <v>1016</v>
      </c>
      <c r="GH567" s="4">
        <v>1003</v>
      </c>
      <c r="GI567" s="4">
        <v>1001</v>
      </c>
      <c r="GJ567" s="4">
        <v>973</v>
      </c>
      <c r="GK567" s="4">
        <v>966</v>
      </c>
      <c r="GL567" s="4">
        <v>953</v>
      </c>
      <c r="GM567" s="4">
        <v>942</v>
      </c>
      <c r="GN567" s="4">
        <v>933</v>
      </c>
      <c r="GO567" s="4">
        <v>924</v>
      </c>
      <c r="GP567" s="4">
        <v>748</v>
      </c>
      <c r="GQ567" s="4">
        <v>598</v>
      </c>
      <c r="GR567" s="4">
        <v>382</v>
      </c>
      <c r="GS567" s="4">
        <v>367</v>
      </c>
      <c r="GT567" s="4">
        <v>347</v>
      </c>
      <c r="GU567" s="4">
        <v>338</v>
      </c>
      <c r="GV567" s="4">
        <v>325</v>
      </c>
      <c r="GW567" s="4">
        <v>323</v>
      </c>
      <c r="GX567" s="4">
        <v>314</v>
      </c>
      <c r="GY567" s="4">
        <v>310</v>
      </c>
      <c r="GZ567" s="4">
        <v>306</v>
      </c>
      <c r="HA567" s="4">
        <v>299</v>
      </c>
      <c r="HB567" s="4">
        <v>292</v>
      </c>
      <c r="HC567" s="4">
        <v>288</v>
      </c>
      <c r="HD567" s="19">
        <v>104.1</v>
      </c>
      <c r="HE567" s="19">
        <v>147.1</v>
      </c>
      <c r="HF567" s="19">
        <v>85.3</v>
      </c>
      <c r="HG567" s="19">
        <v>84.7</v>
      </c>
      <c r="HH567" s="19">
        <v>83.6</v>
      </c>
      <c r="HI567" s="19">
        <v>66.7</v>
      </c>
      <c r="HJ567" s="19">
        <v>97.3</v>
      </c>
      <c r="HK567" s="19">
        <v>96.6</v>
      </c>
      <c r="HL567" s="19">
        <v>18.7</v>
      </c>
      <c r="HM567" s="19">
        <v>11</v>
      </c>
      <c r="HN567" s="19">
        <v>6.8</v>
      </c>
      <c r="HO567" s="19">
        <v>6.6</v>
      </c>
      <c r="HP567" s="19">
        <v>7.5</v>
      </c>
      <c r="HQ567" s="19">
        <v>9.2</v>
      </c>
      <c r="HR567" s="19">
        <v>27.3</v>
      </c>
      <c r="HS567" s="19">
        <v>33.4</v>
      </c>
      <c r="HT567" s="19">
        <v>43.4</v>
      </c>
      <c r="HU567" s="19">
        <v>48.3</v>
      </c>
      <c r="HV567" s="19">
        <v>65</v>
      </c>
      <c r="HW567" s="19">
        <v>53.8</v>
      </c>
      <c r="HX567" s="19">
        <v>52.3</v>
      </c>
      <c r="HY567" s="19">
        <v>51.7</v>
      </c>
      <c r="HZ567" s="19">
        <v>51</v>
      </c>
      <c r="IA567" s="19">
        <v>59.8</v>
      </c>
      <c r="IB567" s="19">
        <v>58.4</v>
      </c>
      <c r="IC567" s="19">
        <v>36</v>
      </c>
    </row>
    <row r="568">
      <c r="A568" s="2" t="s">
        <v>2713</v>
      </c>
      <c r="B568" s="2" t="s">
        <v>224</v>
      </c>
      <c r="C568" s="2" t="s">
        <v>1176</v>
      </c>
      <c r="D568" s="2" t="s">
        <v>990</v>
      </c>
      <c r="E568" s="2" t="s">
        <v>1329</v>
      </c>
      <c r="F568" s="2" t="s">
        <v>2706</v>
      </c>
      <c r="G568" s="2" t="s">
        <v>2706</v>
      </c>
      <c r="H568" s="2" t="s">
        <v>2706</v>
      </c>
      <c r="I568" s="2" t="s">
        <v>2707</v>
      </c>
      <c r="J568" s="2" t="s">
        <v>993</v>
      </c>
      <c r="K568" s="2" t="s">
        <v>295</v>
      </c>
      <c r="L568" s="3">
        <v>16.75</v>
      </c>
      <c r="M568" s="3">
        <v>17.59</v>
      </c>
      <c r="N568" s="3">
        <v>39.99</v>
      </c>
      <c r="O568" s="2" t="s">
        <v>232</v>
      </c>
      <c r="P568" s="2" t="s">
        <v>878</v>
      </c>
      <c r="Q568" s="2" t="s">
        <v>234</v>
      </c>
      <c r="R568" s="2" t="s">
        <v>235</v>
      </c>
      <c r="S568" s="2" t="s">
        <v>2714</v>
      </c>
      <c r="T568" s="2" t="s">
        <v>2664</v>
      </c>
      <c r="U568" s="2" t="s">
        <v>807</v>
      </c>
      <c r="V568" s="2" t="s">
        <v>238</v>
      </c>
      <c r="W568" s="2" t="s">
        <v>239</v>
      </c>
      <c r="X568" s="2" t="s">
        <v>235</v>
      </c>
      <c r="Y568" s="2" t="s">
        <v>2709</v>
      </c>
      <c r="Z568" s="4">
        <v>998</v>
      </c>
      <c r="AA568" s="4">
        <f>=ROUNDDOWN(83.1666666666667,0)</f>
      </c>
      <c r="AB568" s="5">
        <v>12</v>
      </c>
      <c r="AC568" s="2" t="s">
        <v>235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235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235</v>
      </c>
      <c r="BD568" s="8" t="s">
        <v>235</v>
      </c>
      <c r="BE568" s="4" t="s">
        <v>235</v>
      </c>
      <c r="BF568" s="8" t="s">
        <v>235</v>
      </c>
      <c r="BG568" s="7" t="s">
        <v>235</v>
      </c>
      <c r="BH568" s="7" t="s">
        <v>235</v>
      </c>
      <c r="BI568" s="7"/>
      <c r="BJ568" s="4">
        <v>23</v>
      </c>
      <c r="BK568" s="8">
        <v>429.6</v>
      </c>
      <c r="BL568" s="2" t="s">
        <v>2715</v>
      </c>
      <c r="BM568" s="7"/>
      <c r="BN568" s="7"/>
      <c r="BO568" s="4"/>
      <c r="BP568" s="8"/>
      <c r="BQ568" s="4"/>
      <c r="BR568" s="8"/>
      <c r="BS568" s="7"/>
      <c r="BT568" s="7"/>
      <c r="BU568" s="2" t="s">
        <v>2711</v>
      </c>
      <c r="BV568" s="2" t="s">
        <v>243</v>
      </c>
      <c r="BW568" s="2" t="s">
        <v>235</v>
      </c>
      <c r="BX568" s="2" t="s">
        <v>2712</v>
      </c>
      <c r="BY568" s="2" t="s">
        <v>245</v>
      </c>
      <c r="BZ568" s="2" t="s">
        <v>232</v>
      </c>
      <c r="CA568" s="2" t="s">
        <v>2328</v>
      </c>
      <c r="CB568" s="2" t="s">
        <v>2716</v>
      </c>
      <c r="CC568" s="2" t="s">
        <v>248</v>
      </c>
      <c r="CD568" s="2" t="s">
        <v>248</v>
      </c>
      <c r="CE568" s="2" t="s">
        <v>235</v>
      </c>
      <c r="CF568" s="4">
        <v>998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>
        <v>1000</v>
      </c>
      <c r="GE568" s="4">
        <v>995</v>
      </c>
      <c r="GF568" s="4">
        <v>992</v>
      </c>
      <c r="GG568" s="4">
        <v>989</v>
      </c>
      <c r="GH568" s="4">
        <v>984</v>
      </c>
      <c r="GI568" s="4">
        <v>983</v>
      </c>
      <c r="GJ568" s="4">
        <v>978</v>
      </c>
      <c r="GK568" s="4">
        <v>975</v>
      </c>
      <c r="GL568" s="4">
        <v>970</v>
      </c>
      <c r="GM568" s="4">
        <v>965</v>
      </c>
      <c r="GN568" s="4">
        <v>961</v>
      </c>
      <c r="GO568" s="4">
        <v>957</v>
      </c>
      <c r="GP568" s="4">
        <v>885</v>
      </c>
      <c r="GQ568" s="4">
        <v>824</v>
      </c>
      <c r="GR568" s="4">
        <v>736</v>
      </c>
      <c r="GS568" s="4">
        <v>730</v>
      </c>
      <c r="GT568" s="4">
        <v>722</v>
      </c>
      <c r="GU568" s="4">
        <v>718</v>
      </c>
      <c r="GV568" s="4">
        <v>713</v>
      </c>
      <c r="GW568" s="4">
        <v>712</v>
      </c>
      <c r="GX568" s="4">
        <v>708</v>
      </c>
      <c r="GY568" s="4">
        <v>706</v>
      </c>
      <c r="GZ568" s="4">
        <v>704</v>
      </c>
      <c r="HA568" s="4">
        <v>701</v>
      </c>
      <c r="HB568" s="4">
        <v>698</v>
      </c>
      <c r="HC568" s="4">
        <v>695</v>
      </c>
      <c r="HD568" s="19">
        <v>250</v>
      </c>
      <c r="HE568" s="19">
        <v>331.7</v>
      </c>
      <c r="HF568" s="19">
        <v>248</v>
      </c>
      <c r="HG568" s="19">
        <v>247.3</v>
      </c>
      <c r="HH568" s="19">
        <v>246</v>
      </c>
      <c r="HI568" s="19">
        <v>245.8</v>
      </c>
      <c r="HJ568" s="19">
        <v>244.5</v>
      </c>
      <c r="HK568" s="19">
        <v>243.8</v>
      </c>
      <c r="HL568" s="19">
        <v>46.2</v>
      </c>
      <c r="HM568" s="19">
        <v>27.6</v>
      </c>
      <c r="HN568" s="19">
        <v>17.2</v>
      </c>
      <c r="HO568" s="19">
        <v>16.8</v>
      </c>
      <c r="HP568" s="19">
        <v>21.6</v>
      </c>
      <c r="HQ568" s="19">
        <v>31.7</v>
      </c>
      <c r="HR568" s="19">
        <v>122.7</v>
      </c>
      <c r="HS568" s="19">
        <v>182.5</v>
      </c>
      <c r="HT568" s="19">
        <v>180.5</v>
      </c>
      <c r="HU568" s="19">
        <v>239.3</v>
      </c>
      <c r="HV568" s="19">
        <v>356.5</v>
      </c>
      <c r="HW568" s="19">
        <v>237.3</v>
      </c>
      <c r="HX568" s="19">
        <v>354</v>
      </c>
      <c r="HY568" s="19">
        <v>235.3</v>
      </c>
      <c r="HZ568" s="19">
        <v>234.7</v>
      </c>
      <c r="IA568" s="19">
        <v>175.3</v>
      </c>
      <c r="IB568" s="19">
        <v>174.5</v>
      </c>
      <c r="IC568" s="19">
        <v>139</v>
      </c>
    </row>
    <row r="569">
      <c r="A569" s="2" t="s">
        <v>2717</v>
      </c>
      <c r="B569" s="2" t="s">
        <v>224</v>
      </c>
      <c r="C569" s="2" t="s">
        <v>1176</v>
      </c>
      <c r="D569" s="2" t="s">
        <v>990</v>
      </c>
      <c r="E569" s="2" t="s">
        <v>1329</v>
      </c>
      <c r="F569" s="2" t="s">
        <v>2706</v>
      </c>
      <c r="G569" s="2" t="s">
        <v>2706</v>
      </c>
      <c r="H569" s="2" t="s">
        <v>2706</v>
      </c>
      <c r="I569" s="2" t="s">
        <v>2707</v>
      </c>
      <c r="J569" s="2" t="s">
        <v>993</v>
      </c>
      <c r="K569" s="2" t="s">
        <v>2718</v>
      </c>
      <c r="L569" s="3">
        <v>16.75</v>
      </c>
      <c r="M569" s="3">
        <v>17.59</v>
      </c>
      <c r="N569" s="3">
        <v>39.99</v>
      </c>
      <c r="O569" s="2" t="s">
        <v>232</v>
      </c>
      <c r="P569" s="2" t="s">
        <v>878</v>
      </c>
      <c r="Q569" s="2" t="s">
        <v>234</v>
      </c>
      <c r="R569" s="2" t="s">
        <v>235</v>
      </c>
      <c r="S569" s="2" t="s">
        <v>2719</v>
      </c>
      <c r="T569" s="2" t="s">
        <v>2664</v>
      </c>
      <c r="U569" s="2" t="s">
        <v>807</v>
      </c>
      <c r="V569" s="2" t="s">
        <v>238</v>
      </c>
      <c r="W569" s="2" t="s">
        <v>239</v>
      </c>
      <c r="X569" s="2" t="s">
        <v>235</v>
      </c>
      <c r="Y569" s="2" t="s">
        <v>2709</v>
      </c>
      <c r="Z569" s="4">
        <v>1242</v>
      </c>
      <c r="AA569" s="4">
        <f>=ROUNDDOWN(88.7142857142857,0)</f>
      </c>
      <c r="AB569" s="5">
        <v>14</v>
      </c>
      <c r="AC569" s="2" t="s">
        <v>235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235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235</v>
      </c>
      <c r="BD569" s="8" t="s">
        <v>235</v>
      </c>
      <c r="BE569" s="4" t="s">
        <v>235</v>
      </c>
      <c r="BF569" s="8" t="s">
        <v>235</v>
      </c>
      <c r="BG569" s="7" t="s">
        <v>235</v>
      </c>
      <c r="BH569" s="7" t="s">
        <v>235</v>
      </c>
      <c r="BI569" s="7"/>
      <c r="BJ569" s="4">
        <v>18</v>
      </c>
      <c r="BK569" s="8">
        <v>340.94</v>
      </c>
      <c r="BL569" s="2" t="s">
        <v>2720</v>
      </c>
      <c r="BM569" s="7"/>
      <c r="BN569" s="7"/>
      <c r="BO569" s="4"/>
      <c r="BP569" s="8"/>
      <c r="BQ569" s="4"/>
      <c r="BR569" s="8"/>
      <c r="BS569" s="7"/>
      <c r="BT569" s="7"/>
      <c r="BU569" s="2" t="s">
        <v>2711</v>
      </c>
      <c r="BV569" s="2" t="s">
        <v>243</v>
      </c>
      <c r="BW569" s="2" t="s">
        <v>235</v>
      </c>
      <c r="BX569" s="2" t="s">
        <v>2712</v>
      </c>
      <c r="BY569" s="2" t="s">
        <v>245</v>
      </c>
      <c r="BZ569" s="2" t="s">
        <v>232</v>
      </c>
      <c r="CA569" s="2" t="s">
        <v>2328</v>
      </c>
      <c r="CB569" s="2" t="s">
        <v>1944</v>
      </c>
      <c r="CC569" s="2" t="s">
        <v>248</v>
      </c>
      <c r="CD569" s="2" t="s">
        <v>248</v>
      </c>
      <c r="CE569" s="2" t="s">
        <v>235</v>
      </c>
      <c r="CF569" s="4">
        <v>1242</v>
      </c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>
        <v>1244</v>
      </c>
      <c r="GE569" s="4">
        <v>1234</v>
      </c>
      <c r="GF569" s="4">
        <v>1230</v>
      </c>
      <c r="GG569" s="4">
        <v>1226</v>
      </c>
      <c r="GH569" s="4">
        <v>1219</v>
      </c>
      <c r="GI569" s="4">
        <v>1218</v>
      </c>
      <c r="GJ569" s="4">
        <v>1198</v>
      </c>
      <c r="GK569" s="4">
        <v>1194</v>
      </c>
      <c r="GL569" s="4">
        <v>1187</v>
      </c>
      <c r="GM569" s="4">
        <v>1181</v>
      </c>
      <c r="GN569" s="4">
        <v>1176</v>
      </c>
      <c r="GO569" s="4">
        <v>1171</v>
      </c>
      <c r="GP569" s="4">
        <v>1075</v>
      </c>
      <c r="GQ569" s="4">
        <v>993</v>
      </c>
      <c r="GR569" s="4">
        <v>875</v>
      </c>
      <c r="GS569" s="4">
        <v>867</v>
      </c>
      <c r="GT569" s="4">
        <v>856</v>
      </c>
      <c r="GU569" s="4">
        <v>851</v>
      </c>
      <c r="GV569" s="4">
        <v>844</v>
      </c>
      <c r="GW569" s="4">
        <v>843</v>
      </c>
      <c r="GX569" s="4">
        <v>838</v>
      </c>
      <c r="GY569" s="4">
        <v>836</v>
      </c>
      <c r="GZ569" s="4">
        <v>834</v>
      </c>
      <c r="HA569" s="4">
        <v>830</v>
      </c>
      <c r="HB569" s="4">
        <v>826</v>
      </c>
      <c r="HC569" s="4">
        <v>824</v>
      </c>
      <c r="HD569" s="19">
        <v>207.3</v>
      </c>
      <c r="HE569" s="19">
        <v>308.5</v>
      </c>
      <c r="HF569" s="19">
        <v>153.8</v>
      </c>
      <c r="HG569" s="19">
        <v>153.3</v>
      </c>
      <c r="HH569" s="19">
        <v>152.4</v>
      </c>
      <c r="HI569" s="19">
        <v>135.3</v>
      </c>
      <c r="HJ569" s="19">
        <v>199.7</v>
      </c>
      <c r="HK569" s="19">
        <v>199</v>
      </c>
      <c r="HL569" s="19">
        <v>42.4</v>
      </c>
      <c r="HM569" s="19">
        <v>25.1</v>
      </c>
      <c r="HN569" s="19">
        <v>15.7</v>
      </c>
      <c r="HO569" s="19">
        <v>15.4</v>
      </c>
      <c r="HP569" s="19">
        <v>19.5</v>
      </c>
      <c r="HQ569" s="19">
        <v>27.6</v>
      </c>
      <c r="HR569" s="19">
        <v>109.4</v>
      </c>
      <c r="HS569" s="19">
        <v>144.5</v>
      </c>
      <c r="HT569" s="19">
        <v>214</v>
      </c>
      <c r="HU569" s="19">
        <v>212.8</v>
      </c>
      <c r="HV569" s="19">
        <v>422</v>
      </c>
      <c r="HW569" s="19">
        <v>281</v>
      </c>
      <c r="HX569" s="19">
        <v>279.3</v>
      </c>
      <c r="HY569" s="19">
        <v>278.7</v>
      </c>
      <c r="HZ569" s="19">
        <v>278</v>
      </c>
      <c r="IA569" s="19">
        <v>415</v>
      </c>
      <c r="IB569" s="19">
        <v>413</v>
      </c>
      <c r="IC569" s="19">
        <v>206</v>
      </c>
    </row>
    <row r="570">
      <c r="A570" s="2" t="s">
        <v>2721</v>
      </c>
      <c r="B570" s="2" t="s">
        <v>224</v>
      </c>
      <c r="C570" s="2" t="s">
        <v>1176</v>
      </c>
      <c r="D570" s="2" t="s">
        <v>361</v>
      </c>
      <c r="E570" s="2" t="s">
        <v>362</v>
      </c>
      <c r="F570" s="2" t="s">
        <v>2706</v>
      </c>
      <c r="G570" s="2" t="s">
        <v>2706</v>
      </c>
      <c r="H570" s="2" t="s">
        <v>2706</v>
      </c>
      <c r="I570" s="2" t="s">
        <v>2582</v>
      </c>
      <c r="J570" s="2" t="s">
        <v>877</v>
      </c>
      <c r="K570" s="2" t="s">
        <v>316</v>
      </c>
      <c r="L570" s="3">
        <v>34.43</v>
      </c>
      <c r="M570" s="3">
        <v>36.15</v>
      </c>
      <c r="N570" s="3">
        <v>74.99</v>
      </c>
      <c r="O570" s="2" t="s">
        <v>232</v>
      </c>
      <c r="P570" s="2" t="s">
        <v>878</v>
      </c>
      <c r="Q570" s="2" t="s">
        <v>234</v>
      </c>
      <c r="R570" s="2" t="s">
        <v>235</v>
      </c>
      <c r="S570" s="2" t="s">
        <v>2722</v>
      </c>
      <c r="T570" s="2" t="s">
        <v>2664</v>
      </c>
      <c r="U570" s="2" t="s">
        <v>807</v>
      </c>
      <c r="V570" s="2" t="s">
        <v>238</v>
      </c>
      <c r="W570" s="2" t="s">
        <v>239</v>
      </c>
      <c r="X570" s="2" t="s">
        <v>235</v>
      </c>
      <c r="Y570" s="2" t="s">
        <v>2723</v>
      </c>
      <c r="Z570" s="4">
        <v>485</v>
      </c>
      <c r="AA570" s="4">
        <f>=ROUNDDOWN(97,0)</f>
      </c>
      <c r="AB570" s="5">
        <v>5</v>
      </c>
      <c r="AC570" s="2" t="s">
        <v>235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235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235</v>
      </c>
      <c r="AW570" s="8" t="s">
        <v>235</v>
      </c>
      <c r="AX570" s="4" t="s">
        <v>235</v>
      </c>
      <c r="AY570" s="8" t="s">
        <v>235</v>
      </c>
      <c r="AZ570" s="7" t="s">
        <v>235</v>
      </c>
      <c r="BA570" s="7" t="s">
        <v>235</v>
      </c>
      <c r="BB570" s="7"/>
      <c r="BC570" s="4" t="s">
        <v>235</v>
      </c>
      <c r="BD570" s="8" t="s">
        <v>235</v>
      </c>
      <c r="BE570" s="4" t="s">
        <v>235</v>
      </c>
      <c r="BF570" s="8" t="s">
        <v>235</v>
      </c>
      <c r="BG570" s="7" t="s">
        <v>235</v>
      </c>
      <c r="BH570" s="7" t="s">
        <v>235</v>
      </c>
      <c r="BI570" s="7"/>
      <c r="BJ570" s="4">
        <v>46</v>
      </c>
      <c r="BK570" s="8">
        <v>1769.98</v>
      </c>
      <c r="BL570" s="2" t="s">
        <v>388</v>
      </c>
      <c r="BM570" s="7"/>
      <c r="BN570" s="7"/>
      <c r="BO570" s="4"/>
      <c r="BP570" s="8"/>
      <c r="BQ570" s="4"/>
      <c r="BR570" s="8"/>
      <c r="BS570" s="7"/>
      <c r="BT570" s="7"/>
      <c r="BU570" s="2" t="s">
        <v>2724</v>
      </c>
      <c r="BV570" s="2" t="s">
        <v>243</v>
      </c>
      <c r="BW570" s="2" t="s">
        <v>235</v>
      </c>
      <c r="BX570" s="2" t="s">
        <v>2712</v>
      </c>
      <c r="BY570" s="2" t="s">
        <v>245</v>
      </c>
      <c r="BZ570" s="2" t="s">
        <v>232</v>
      </c>
      <c r="CA570" s="2" t="s">
        <v>2725</v>
      </c>
      <c r="CB570" s="2" t="s">
        <v>798</v>
      </c>
      <c r="CC570" s="2" t="s">
        <v>248</v>
      </c>
      <c r="CD570" s="2" t="s">
        <v>248</v>
      </c>
      <c r="CE570" s="2" t="s">
        <v>235</v>
      </c>
      <c r="CF570" s="4">
        <v>396</v>
      </c>
      <c r="CG570" s="4"/>
      <c r="CH570" s="4"/>
      <c r="CI570" s="4">
        <v>89</v>
      </c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>
        <v>396</v>
      </c>
      <c r="GE570" s="4">
        <v>387</v>
      </c>
      <c r="GF570" s="4">
        <v>382</v>
      </c>
      <c r="GG570" s="4">
        <v>377</v>
      </c>
      <c r="GH570" s="4">
        <v>371</v>
      </c>
      <c r="GI570" s="4">
        <v>365</v>
      </c>
      <c r="GJ570" s="4">
        <v>355</v>
      </c>
      <c r="GK570" s="4">
        <v>348</v>
      </c>
      <c r="GL570" s="4">
        <v>341</v>
      </c>
      <c r="GM570" s="4">
        <v>335</v>
      </c>
      <c r="GN570" s="4">
        <v>328</v>
      </c>
      <c r="GO570" s="4">
        <v>316</v>
      </c>
      <c r="GP570" s="4">
        <v>305</v>
      </c>
      <c r="GQ570" s="4">
        <v>283</v>
      </c>
      <c r="GR570" s="4">
        <v>272</v>
      </c>
      <c r="GS570" s="4">
        <v>261</v>
      </c>
      <c r="GT570" s="4">
        <v>253</v>
      </c>
      <c r="GU570" s="4">
        <v>248</v>
      </c>
      <c r="GV570" s="4">
        <v>245</v>
      </c>
      <c r="GW570" s="4">
        <v>242</v>
      </c>
      <c r="GX570" s="4">
        <v>239</v>
      </c>
      <c r="GY570" s="4">
        <v>236</v>
      </c>
      <c r="GZ570" s="4">
        <v>233</v>
      </c>
      <c r="HA570" s="4">
        <v>228</v>
      </c>
      <c r="HB570" s="4">
        <v>223</v>
      </c>
      <c r="HC570" s="4">
        <v>218</v>
      </c>
      <c r="HD570" s="19">
        <v>66</v>
      </c>
      <c r="HE570" s="19">
        <v>64.5</v>
      </c>
      <c r="HF570" s="19">
        <v>54.6</v>
      </c>
      <c r="HG570" s="19">
        <v>53.9</v>
      </c>
      <c r="HH570" s="19">
        <v>46.4</v>
      </c>
      <c r="HI570" s="19">
        <v>45.6</v>
      </c>
      <c r="HJ570" s="19">
        <v>50.7</v>
      </c>
      <c r="HK570" s="19">
        <v>43.5</v>
      </c>
      <c r="HL570" s="19">
        <v>37.9</v>
      </c>
      <c r="HM570" s="19">
        <v>25.8</v>
      </c>
      <c r="HN570" s="19">
        <v>23.4</v>
      </c>
      <c r="HO570" s="19">
        <v>22.6</v>
      </c>
      <c r="HP570" s="19">
        <v>23.5</v>
      </c>
      <c r="HQ570" s="19">
        <v>31.4</v>
      </c>
      <c r="HR570" s="19">
        <v>38.9</v>
      </c>
      <c r="HS570" s="19">
        <v>52.2</v>
      </c>
      <c r="HT570" s="19">
        <v>63.3</v>
      </c>
      <c r="HU570" s="19">
        <v>82.7</v>
      </c>
      <c r="HV570" s="19">
        <v>81.7</v>
      </c>
      <c r="HW570" s="19">
        <v>60.5</v>
      </c>
      <c r="HX570" s="19">
        <v>59.8</v>
      </c>
      <c r="HY570" s="19">
        <v>59</v>
      </c>
      <c r="HZ570" s="19">
        <v>46.6</v>
      </c>
      <c r="IA570" s="19">
        <v>45.6</v>
      </c>
      <c r="IB570" s="19">
        <v>37.2</v>
      </c>
      <c r="IC570" s="19">
        <v>36.3</v>
      </c>
    </row>
    <row r="571">
      <c r="A571" s="2" t="s">
        <v>2726</v>
      </c>
      <c r="B571" s="2" t="s">
        <v>224</v>
      </c>
      <c r="C571" s="2" t="s">
        <v>1176</v>
      </c>
      <c r="D571" s="2" t="s">
        <v>981</v>
      </c>
      <c r="E571" s="2" t="s">
        <v>2509</v>
      </c>
      <c r="F571" s="2" t="s">
        <v>2706</v>
      </c>
      <c r="G571" s="2" t="s">
        <v>2706</v>
      </c>
      <c r="H571" s="2" t="s">
        <v>2706</v>
      </c>
      <c r="I571" s="2" t="s">
        <v>2727</v>
      </c>
      <c r="J571" s="2" t="s">
        <v>365</v>
      </c>
      <c r="K571" s="2" t="s">
        <v>316</v>
      </c>
      <c r="L571" s="3">
        <v>29.5</v>
      </c>
      <c r="M571" s="3">
        <v>30.98</v>
      </c>
      <c r="N571" s="3">
        <v>64.99</v>
      </c>
      <c r="O571" s="2" t="s">
        <v>232</v>
      </c>
      <c r="P571" s="2" t="s">
        <v>878</v>
      </c>
      <c r="Q571" s="2" t="s">
        <v>234</v>
      </c>
      <c r="R571" s="2" t="s">
        <v>235</v>
      </c>
      <c r="S571" s="2" t="s">
        <v>2728</v>
      </c>
      <c r="T571" s="2" t="s">
        <v>2664</v>
      </c>
      <c r="U571" s="2" t="s">
        <v>807</v>
      </c>
      <c r="V571" s="2" t="s">
        <v>238</v>
      </c>
      <c r="W571" s="2" t="s">
        <v>239</v>
      </c>
      <c r="X571" s="2" t="s">
        <v>235</v>
      </c>
      <c r="Y571" s="2" t="s">
        <v>2709</v>
      </c>
      <c r="Z571" s="4">
        <v>158</v>
      </c>
      <c r="AA571" s="4">
        <f>=ROUNDDOWN(12.1538461538462,0)</f>
      </c>
      <c r="AB571" s="5">
        <v>13</v>
      </c>
      <c r="AC571" s="2" t="s">
        <v>190</v>
      </c>
      <c r="AD571" s="4">
        <v>240</v>
      </c>
      <c r="AE571" s="4">
        <v>240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235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235</v>
      </c>
      <c r="AW571" s="8" t="s">
        <v>235</v>
      </c>
      <c r="AX571" s="4" t="s">
        <v>235</v>
      </c>
      <c r="AY571" s="8" t="s">
        <v>235</v>
      </c>
      <c r="AZ571" s="7" t="s">
        <v>235</v>
      </c>
      <c r="BA571" s="7" t="s">
        <v>235</v>
      </c>
      <c r="BB571" s="7" t="s">
        <v>235</v>
      </c>
      <c r="BC571" s="4" t="s">
        <v>235</v>
      </c>
      <c r="BD571" s="8" t="s">
        <v>235</v>
      </c>
      <c r="BE571" s="4" t="s">
        <v>235</v>
      </c>
      <c r="BF571" s="8" t="s">
        <v>235</v>
      </c>
      <c r="BG571" s="7" t="s">
        <v>235</v>
      </c>
      <c r="BH571" s="7" t="s">
        <v>235</v>
      </c>
      <c r="BI571" s="7"/>
      <c r="BJ571" s="4">
        <v>214</v>
      </c>
      <c r="BK571" s="8">
        <v>6951.98</v>
      </c>
      <c r="BL571" s="2" t="s">
        <v>2729</v>
      </c>
      <c r="BM571" s="7"/>
      <c r="BN571" s="7"/>
      <c r="BO571" s="4"/>
      <c r="BP571" s="8"/>
      <c r="BQ571" s="4"/>
      <c r="BR571" s="8"/>
      <c r="BS571" s="7"/>
      <c r="BT571" s="7"/>
      <c r="BU571" s="2" t="s">
        <v>2730</v>
      </c>
      <c r="BV571" s="2" t="s">
        <v>243</v>
      </c>
      <c r="BW571" s="2" t="s">
        <v>235</v>
      </c>
      <c r="BX571" s="2" t="s">
        <v>2712</v>
      </c>
      <c r="BY571" s="2" t="s">
        <v>245</v>
      </c>
      <c r="BZ571" s="2" t="s">
        <v>232</v>
      </c>
      <c r="CA571" s="2" t="s">
        <v>2328</v>
      </c>
      <c r="CB571" s="2" t="s">
        <v>1758</v>
      </c>
      <c r="CC571" s="2" t="s">
        <v>248</v>
      </c>
      <c r="CD571" s="2" t="s">
        <v>248</v>
      </c>
      <c r="CE571" s="2" t="s">
        <v>235</v>
      </c>
      <c r="CF571" s="4">
        <v>1</v>
      </c>
      <c r="CG571" s="4">
        <v>157</v>
      </c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>
        <v>240</v>
      </c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>
        <v>6</v>
      </c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>
        <v>240</v>
      </c>
      <c r="GQ571" s="4">
        <v>199</v>
      </c>
      <c r="GR571" s="4">
        <v>183</v>
      </c>
      <c r="GS571" s="4">
        <v>165</v>
      </c>
      <c r="GT571" s="4">
        <v>149</v>
      </c>
      <c r="GU571" s="4">
        <v>136</v>
      </c>
      <c r="GV571" s="4">
        <v>122</v>
      </c>
      <c r="GW571" s="4">
        <v>109</v>
      </c>
      <c r="GX571" s="4">
        <v>96</v>
      </c>
      <c r="GY571" s="4">
        <v>83</v>
      </c>
      <c r="GZ571" s="4">
        <v>70</v>
      </c>
      <c r="HA571" s="4">
        <v>57</v>
      </c>
      <c r="HB571" s="4">
        <v>44</v>
      </c>
      <c r="HC571" s="4">
        <v>271</v>
      </c>
      <c r="HD571" s="19">
        <v>0.6</v>
      </c>
      <c r="HE571" s="20">
        <v>0</v>
      </c>
      <c r="HF571" s="20">
        <v>0</v>
      </c>
      <c r="HG571" s="20">
        <v>0</v>
      </c>
      <c r="HH571" s="20">
        <v>0</v>
      </c>
      <c r="HI571" s="20">
        <v>0</v>
      </c>
      <c r="HJ571" s="20">
        <v>0</v>
      </c>
      <c r="HK571" s="20">
        <v>0</v>
      </c>
      <c r="HL571" s="20">
        <v>0</v>
      </c>
      <c r="HM571" s="20">
        <v>0</v>
      </c>
      <c r="HN571" s="20">
        <v>0</v>
      </c>
      <c r="HO571" s="20">
        <v>0</v>
      </c>
      <c r="HP571" s="19">
        <v>10.4</v>
      </c>
      <c r="HQ571" s="19">
        <v>12.4</v>
      </c>
      <c r="HR571" s="19">
        <v>12.2</v>
      </c>
      <c r="HS571" s="19">
        <v>11.8</v>
      </c>
      <c r="HT571" s="19">
        <v>11.5</v>
      </c>
      <c r="HU571" s="19">
        <v>10.5</v>
      </c>
      <c r="HV571" s="19">
        <v>9.4</v>
      </c>
      <c r="HW571" s="19">
        <v>8.4</v>
      </c>
      <c r="HX571" s="19">
        <v>7.4</v>
      </c>
      <c r="HY571" s="19">
        <v>6.4</v>
      </c>
      <c r="HZ571" s="19">
        <v>5.4</v>
      </c>
      <c r="IA571" s="19">
        <v>4.1</v>
      </c>
      <c r="IB571" s="19">
        <v>3.1</v>
      </c>
      <c r="IC571" s="19">
        <v>19.4</v>
      </c>
    </row>
    <row r="572">
      <c r="A572" s="2" t="s">
        <v>2731</v>
      </c>
      <c r="B572" s="2" t="s">
        <v>224</v>
      </c>
      <c r="C572" s="2" t="s">
        <v>1176</v>
      </c>
      <c r="D572" s="2" t="s">
        <v>361</v>
      </c>
      <c r="E572" s="2" t="s">
        <v>362</v>
      </c>
      <c r="F572" s="2" t="s">
        <v>2706</v>
      </c>
      <c r="G572" s="2" t="s">
        <v>2706</v>
      </c>
      <c r="H572" s="2" t="s">
        <v>2706</v>
      </c>
      <c r="I572" s="2" t="s">
        <v>2582</v>
      </c>
      <c r="J572" s="2" t="s">
        <v>365</v>
      </c>
      <c r="K572" s="2" t="s">
        <v>316</v>
      </c>
      <c r="L572" s="3">
        <v>39.98</v>
      </c>
      <c r="M572" s="3">
        <v>41.98</v>
      </c>
      <c r="N572" s="3">
        <v>84.99</v>
      </c>
      <c r="O572" s="2" t="s">
        <v>232</v>
      </c>
      <c r="P572" s="2" t="s">
        <v>878</v>
      </c>
      <c r="Q572" s="2" t="s">
        <v>234</v>
      </c>
      <c r="R572" s="2" t="s">
        <v>235</v>
      </c>
      <c r="S572" s="2" t="s">
        <v>2722</v>
      </c>
      <c r="T572" s="2" t="s">
        <v>2664</v>
      </c>
      <c r="U572" s="2" t="s">
        <v>807</v>
      </c>
      <c r="V572" s="2" t="s">
        <v>238</v>
      </c>
      <c r="W572" s="2" t="s">
        <v>239</v>
      </c>
      <c r="X572" s="2" t="s">
        <v>235</v>
      </c>
      <c r="Y572" s="2" t="s">
        <v>2709</v>
      </c>
      <c r="Z572" s="4">
        <v>650</v>
      </c>
      <c r="AA572" s="4">
        <f>=ROUNDDOWN(59.0909090909091,0)</f>
      </c>
      <c r="AB572" s="5">
        <v>11</v>
      </c>
      <c r="AC572" s="2" t="s">
        <v>235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235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235</v>
      </c>
      <c r="AW572" s="8" t="s">
        <v>235</v>
      </c>
      <c r="AX572" s="4" t="s">
        <v>235</v>
      </c>
      <c r="AY572" s="8" t="s">
        <v>235</v>
      </c>
      <c r="AZ572" s="7" t="s">
        <v>235</v>
      </c>
      <c r="BA572" s="7" t="s">
        <v>235</v>
      </c>
      <c r="BB572" s="7" t="s">
        <v>235</v>
      </c>
      <c r="BC572" s="4" t="s">
        <v>235</v>
      </c>
      <c r="BD572" s="8" t="s">
        <v>235</v>
      </c>
      <c r="BE572" s="4" t="s">
        <v>235</v>
      </c>
      <c r="BF572" s="8" t="s">
        <v>235</v>
      </c>
      <c r="BG572" s="7" t="s">
        <v>235</v>
      </c>
      <c r="BH572" s="7" t="s">
        <v>235</v>
      </c>
      <c r="BI572" s="7"/>
      <c r="BJ572" s="4">
        <v>44</v>
      </c>
      <c r="BK572" s="8">
        <v>1988.04</v>
      </c>
      <c r="BL572" s="2" t="s">
        <v>388</v>
      </c>
      <c r="BM572" s="7"/>
      <c r="BN572" s="7"/>
      <c r="BO572" s="4"/>
      <c r="BP572" s="8"/>
      <c r="BQ572" s="4"/>
      <c r="BR572" s="8"/>
      <c r="BS572" s="7"/>
      <c r="BT572" s="7"/>
      <c r="BU572" s="2" t="s">
        <v>2724</v>
      </c>
      <c r="BV572" s="2" t="s">
        <v>243</v>
      </c>
      <c r="BW572" s="2" t="s">
        <v>235</v>
      </c>
      <c r="BX572" s="2" t="s">
        <v>2712</v>
      </c>
      <c r="BY572" s="2" t="s">
        <v>245</v>
      </c>
      <c r="BZ572" s="2" t="s">
        <v>232</v>
      </c>
      <c r="CA572" s="2" t="s">
        <v>2725</v>
      </c>
      <c r="CB572" s="2" t="s">
        <v>2190</v>
      </c>
      <c r="CC572" s="2" t="s">
        <v>248</v>
      </c>
      <c r="CD572" s="2" t="s">
        <v>248</v>
      </c>
      <c r="CE572" s="2" t="s">
        <v>235</v>
      </c>
      <c r="CF572" s="4">
        <v>650</v>
      </c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>
        <v>653</v>
      </c>
      <c r="GE572" s="4">
        <v>635</v>
      </c>
      <c r="GF572" s="4">
        <v>625</v>
      </c>
      <c r="GG572" s="4">
        <v>615</v>
      </c>
      <c r="GH572" s="4">
        <v>604</v>
      </c>
      <c r="GI572" s="4">
        <v>592</v>
      </c>
      <c r="GJ572" s="4">
        <v>575</v>
      </c>
      <c r="GK572" s="4">
        <v>563</v>
      </c>
      <c r="GL572" s="4">
        <v>551</v>
      </c>
      <c r="GM572" s="4">
        <v>539</v>
      </c>
      <c r="GN572" s="4">
        <v>519</v>
      </c>
      <c r="GO572" s="4">
        <v>487</v>
      </c>
      <c r="GP572" s="4">
        <v>458</v>
      </c>
      <c r="GQ572" s="4">
        <v>397</v>
      </c>
      <c r="GR572" s="4">
        <v>370</v>
      </c>
      <c r="GS572" s="4">
        <v>344</v>
      </c>
      <c r="GT572" s="4">
        <v>327</v>
      </c>
      <c r="GU572" s="4">
        <v>317</v>
      </c>
      <c r="GV572" s="4">
        <v>308</v>
      </c>
      <c r="GW572" s="4">
        <v>301</v>
      </c>
      <c r="GX572" s="4">
        <v>294</v>
      </c>
      <c r="GY572" s="4">
        <v>287</v>
      </c>
      <c r="GZ572" s="4">
        <v>281</v>
      </c>
      <c r="HA572" s="4">
        <v>270</v>
      </c>
      <c r="HB572" s="4">
        <v>259</v>
      </c>
      <c r="HC572" s="4">
        <v>247</v>
      </c>
      <c r="HD572" s="19">
        <v>54.4</v>
      </c>
      <c r="HE572" s="19">
        <v>57.7</v>
      </c>
      <c r="HF572" s="19">
        <v>52.1</v>
      </c>
      <c r="HG572" s="19">
        <v>47.3</v>
      </c>
      <c r="HH572" s="19">
        <v>46.5</v>
      </c>
      <c r="HI572" s="19">
        <v>45.5</v>
      </c>
      <c r="HJ572" s="19">
        <v>41.1</v>
      </c>
      <c r="HK572" s="19">
        <v>29.6</v>
      </c>
      <c r="HL572" s="19">
        <v>24</v>
      </c>
      <c r="HM572" s="19">
        <v>15</v>
      </c>
      <c r="HN572" s="19">
        <v>14</v>
      </c>
      <c r="HO572" s="19">
        <v>13.5</v>
      </c>
      <c r="HP572" s="19">
        <v>13.9</v>
      </c>
      <c r="HQ572" s="19">
        <v>19.9</v>
      </c>
      <c r="HR572" s="19">
        <v>23.1</v>
      </c>
      <c r="HS572" s="19">
        <v>31.3</v>
      </c>
      <c r="HT572" s="19">
        <v>40.9</v>
      </c>
      <c r="HU572" s="19">
        <v>39.6</v>
      </c>
      <c r="HV572" s="19">
        <v>44</v>
      </c>
      <c r="HW572" s="19">
        <v>37.6</v>
      </c>
      <c r="HX572" s="19">
        <v>32.7</v>
      </c>
      <c r="HY572" s="19">
        <v>28.7</v>
      </c>
      <c r="HZ572" s="19">
        <v>25.5</v>
      </c>
      <c r="IA572" s="19">
        <v>22.5</v>
      </c>
      <c r="IB572" s="19">
        <v>19.9</v>
      </c>
      <c r="IC572" s="19">
        <v>19</v>
      </c>
    </row>
    <row r="573">
      <c r="A573" s="2" t="s">
        <v>2732</v>
      </c>
      <c r="B573" s="2" t="s">
        <v>224</v>
      </c>
      <c r="C573" s="2" t="s">
        <v>1176</v>
      </c>
      <c r="D573" s="2" t="s">
        <v>981</v>
      </c>
      <c r="E573" s="2" t="s">
        <v>2509</v>
      </c>
      <c r="F573" s="2" t="s">
        <v>2706</v>
      </c>
      <c r="G573" s="2" t="s">
        <v>2706</v>
      </c>
      <c r="H573" s="2" t="s">
        <v>2706</v>
      </c>
      <c r="I573" s="2" t="s">
        <v>2727</v>
      </c>
      <c r="J573" s="2" t="s">
        <v>270</v>
      </c>
      <c r="K573" s="2" t="s">
        <v>316</v>
      </c>
      <c r="L573" s="3">
        <v>34.86</v>
      </c>
      <c r="M573" s="3">
        <v>36.6</v>
      </c>
      <c r="N573" s="3">
        <v>74.99</v>
      </c>
      <c r="O573" s="2" t="s">
        <v>232</v>
      </c>
      <c r="P573" s="2" t="s">
        <v>878</v>
      </c>
      <c r="Q573" s="2" t="s">
        <v>234</v>
      </c>
      <c r="R573" s="2" t="s">
        <v>235</v>
      </c>
      <c r="S573" s="2" t="s">
        <v>2728</v>
      </c>
      <c r="T573" s="2" t="s">
        <v>2664</v>
      </c>
      <c r="U573" s="2" t="s">
        <v>807</v>
      </c>
      <c r="V573" s="2" t="s">
        <v>238</v>
      </c>
      <c r="W573" s="2" t="s">
        <v>239</v>
      </c>
      <c r="X573" s="2" t="s">
        <v>235</v>
      </c>
      <c r="Y573" s="2" t="s">
        <v>2709</v>
      </c>
      <c r="Z573" s="4">
        <v>143</v>
      </c>
      <c r="AA573" s="4">
        <f>=ROUNDDOWN(11.9166666666667,0)</f>
      </c>
      <c r="AB573" s="5">
        <v>12</v>
      </c>
      <c r="AC573" s="2" t="s">
        <v>190</v>
      </c>
      <c r="AD573" s="4">
        <v>230</v>
      </c>
      <c r="AE573" s="4">
        <v>230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235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235</v>
      </c>
      <c r="AW573" s="8" t="s">
        <v>235</v>
      </c>
      <c r="AX573" s="4" t="s">
        <v>235</v>
      </c>
      <c r="AY573" s="8" t="s">
        <v>235</v>
      </c>
      <c r="AZ573" s="7" t="s">
        <v>235</v>
      </c>
      <c r="BA573" s="7" t="s">
        <v>235</v>
      </c>
      <c r="BB573" s="7"/>
      <c r="BC573" s="4" t="s">
        <v>235</v>
      </c>
      <c r="BD573" s="8" t="s">
        <v>235</v>
      </c>
      <c r="BE573" s="4" t="s">
        <v>235</v>
      </c>
      <c r="BF573" s="8" t="s">
        <v>235</v>
      </c>
      <c r="BG573" s="7" t="s">
        <v>235</v>
      </c>
      <c r="BH573" s="7" t="s">
        <v>235</v>
      </c>
      <c r="BI573" s="7"/>
      <c r="BJ573" s="4">
        <v>182</v>
      </c>
      <c r="BK573" s="8">
        <v>6974.92</v>
      </c>
      <c r="BL573" s="2" t="s">
        <v>2733</v>
      </c>
      <c r="BM573" s="7"/>
      <c r="BN573" s="7"/>
      <c r="BO573" s="4"/>
      <c r="BP573" s="8"/>
      <c r="BQ573" s="4"/>
      <c r="BR573" s="8"/>
      <c r="BS573" s="7"/>
      <c r="BT573" s="7"/>
      <c r="BU573" s="2" t="s">
        <v>2730</v>
      </c>
      <c r="BV573" s="2" t="s">
        <v>243</v>
      </c>
      <c r="BW573" s="2" t="s">
        <v>235</v>
      </c>
      <c r="BX573" s="2" t="s">
        <v>2712</v>
      </c>
      <c r="BY573" s="2" t="s">
        <v>245</v>
      </c>
      <c r="BZ573" s="2" t="s">
        <v>232</v>
      </c>
      <c r="CA573" s="2" t="s">
        <v>2328</v>
      </c>
      <c r="CB573" s="2" t="s">
        <v>2416</v>
      </c>
      <c r="CC573" s="2" t="s">
        <v>248</v>
      </c>
      <c r="CD573" s="2" t="s">
        <v>248</v>
      </c>
      <c r="CE573" s="2" t="s">
        <v>235</v>
      </c>
      <c r="CF573" s="4">
        <v>43</v>
      </c>
      <c r="CG573" s="4">
        <v>100</v>
      </c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>
        <v>230</v>
      </c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>
        <v>46</v>
      </c>
      <c r="GE573" s="4">
        <v>34</v>
      </c>
      <c r="GF573" s="4">
        <v>24</v>
      </c>
      <c r="GG573" s="4">
        <v>14</v>
      </c>
      <c r="GH573" s="4">
        <v>4</v>
      </c>
      <c r="GI573" s="4"/>
      <c r="GJ573" s="4"/>
      <c r="GK573" s="4"/>
      <c r="GL573" s="4"/>
      <c r="GM573" s="4"/>
      <c r="GN573" s="4"/>
      <c r="GO573" s="4"/>
      <c r="GP573" s="4">
        <v>230</v>
      </c>
      <c r="GQ573" s="4">
        <v>203</v>
      </c>
      <c r="GR573" s="4">
        <v>187</v>
      </c>
      <c r="GS573" s="4">
        <v>170</v>
      </c>
      <c r="GT573" s="4">
        <v>155</v>
      </c>
      <c r="GU573" s="4">
        <v>143</v>
      </c>
      <c r="GV573" s="4">
        <v>131</v>
      </c>
      <c r="GW573" s="4">
        <v>119</v>
      </c>
      <c r="GX573" s="4">
        <v>107</v>
      </c>
      <c r="GY573" s="4">
        <v>95</v>
      </c>
      <c r="GZ573" s="4">
        <v>83</v>
      </c>
      <c r="HA573" s="4">
        <v>71</v>
      </c>
      <c r="HB573" s="4">
        <v>59</v>
      </c>
      <c r="HC573" s="4">
        <v>277</v>
      </c>
      <c r="HD573" s="19">
        <v>4.6</v>
      </c>
      <c r="HE573" s="19">
        <v>3.4</v>
      </c>
      <c r="HF573" s="19">
        <v>2.4</v>
      </c>
      <c r="HG573" s="19">
        <v>1.4</v>
      </c>
      <c r="HH573" s="19">
        <v>0.4</v>
      </c>
      <c r="HI573" s="20">
        <v>0</v>
      </c>
      <c r="HJ573" s="20">
        <v>0</v>
      </c>
      <c r="HK573" s="20">
        <v>0</v>
      </c>
      <c r="HL573" s="20">
        <v>0</v>
      </c>
      <c r="HM573" s="20">
        <v>0</v>
      </c>
      <c r="HN573" s="20">
        <v>0</v>
      </c>
      <c r="HO573" s="20">
        <v>0</v>
      </c>
      <c r="HP573" s="19">
        <v>12.1</v>
      </c>
      <c r="HQ573" s="19">
        <v>13.5</v>
      </c>
      <c r="HR573" s="19">
        <v>13.4</v>
      </c>
      <c r="HS573" s="19">
        <v>13.1</v>
      </c>
      <c r="HT573" s="19">
        <v>12.9</v>
      </c>
      <c r="HU573" s="19">
        <v>11.9</v>
      </c>
      <c r="HV573" s="19">
        <v>10.9</v>
      </c>
      <c r="HW573" s="19">
        <v>9.9</v>
      </c>
      <c r="HX573" s="19">
        <v>8.9</v>
      </c>
      <c r="HY573" s="19">
        <v>7.9</v>
      </c>
      <c r="HZ573" s="19">
        <v>6.9</v>
      </c>
      <c r="IA573" s="19">
        <v>5.9</v>
      </c>
      <c r="IB573" s="19">
        <v>4.9</v>
      </c>
      <c r="IC573" s="19">
        <v>21.3</v>
      </c>
    </row>
    <row r="574">
      <c r="A574" s="2" t="s">
        <v>2734</v>
      </c>
      <c r="B574" s="2" t="s">
        <v>871</v>
      </c>
      <c r="C574" s="2" t="s">
        <v>2735</v>
      </c>
      <c r="D574" s="2" t="s">
        <v>361</v>
      </c>
      <c r="E574" s="2" t="s">
        <v>924</v>
      </c>
      <c r="F574" s="2" t="s">
        <v>2199</v>
      </c>
      <c r="G574" s="2" t="s">
        <v>2736</v>
      </c>
      <c r="H574" s="2" t="s">
        <v>2737</v>
      </c>
      <c r="I574" s="2" t="s">
        <v>2738</v>
      </c>
      <c r="J574" s="2" t="s">
        <v>365</v>
      </c>
      <c r="K574" s="2" t="s">
        <v>2157</v>
      </c>
      <c r="L574" s="3">
        <v>34.96</v>
      </c>
      <c r="M574" s="3">
        <v>36.71</v>
      </c>
      <c r="N574" s="3">
        <v>74.99</v>
      </c>
      <c r="O574" s="2" t="s">
        <v>407</v>
      </c>
      <c r="P574" s="2" t="s">
        <v>408</v>
      </c>
      <c r="Q574" s="2" t="s">
        <v>234</v>
      </c>
      <c r="R574" s="2" t="s">
        <v>235</v>
      </c>
      <c r="S574" s="2" t="s">
        <v>2739</v>
      </c>
      <c r="T574" s="2" t="s">
        <v>879</v>
      </c>
      <c r="U574" s="2" t="s">
        <v>552</v>
      </c>
      <c r="V574" s="2" t="s">
        <v>2159</v>
      </c>
      <c r="W574" s="2" t="s">
        <v>239</v>
      </c>
      <c r="X574" s="2" t="s">
        <v>235</v>
      </c>
      <c r="Y574" s="2" t="s">
        <v>2740</v>
      </c>
      <c r="Z574" s="4">
        <v>8</v>
      </c>
      <c r="AA574" s="4">
        <f>=ROUNDDOWN(2.16216216216216,0)</f>
      </c>
      <c r="AB574" s="5">
        <v>3.7</v>
      </c>
      <c r="AC574" s="2" t="s">
        <v>235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235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>
        <v>9</v>
      </c>
      <c r="BK574" s="8">
        <v>356.3</v>
      </c>
      <c r="BL574" s="2" t="s">
        <v>2741</v>
      </c>
      <c r="BM574" s="7"/>
      <c r="BN574" s="7"/>
      <c r="BO574" s="4"/>
      <c r="BP574" s="8"/>
      <c r="BQ574" s="4"/>
      <c r="BR574" s="8"/>
      <c r="BS574" s="7"/>
      <c r="BT574" s="7"/>
      <c r="BU574" s="2" t="s">
        <v>2742</v>
      </c>
      <c r="BV574" s="2" t="s">
        <v>243</v>
      </c>
      <c r="BW574" s="2" t="s">
        <v>235</v>
      </c>
      <c r="BX574" s="2" t="s">
        <v>414</v>
      </c>
      <c r="BY574" s="2" t="s">
        <v>245</v>
      </c>
      <c r="BZ574" s="2" t="s">
        <v>232</v>
      </c>
      <c r="CA574" s="2" t="s">
        <v>2743</v>
      </c>
      <c r="CB574" s="2" t="s">
        <v>2744</v>
      </c>
      <c r="CC574" s="2" t="s">
        <v>248</v>
      </c>
      <c r="CD574" s="2" t="s">
        <v>248</v>
      </c>
      <c r="CE574" s="2" t="s">
        <v>235</v>
      </c>
      <c r="CF574" s="4">
        <v>8</v>
      </c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>
        <v>9</v>
      </c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19">
        <v>3</v>
      </c>
      <c r="HE574" s="20">
        <v>0</v>
      </c>
      <c r="HF574" s="20">
        <v>0</v>
      </c>
      <c r="HG574" s="20">
        <v>0</v>
      </c>
      <c r="HH574" s="20">
        <v>0</v>
      </c>
      <c r="HI574" s="20">
        <v>0</v>
      </c>
      <c r="HJ574" s="20">
        <v>0</v>
      </c>
      <c r="HK574" s="20">
        <v>0</v>
      </c>
      <c r="HL574" s="20">
        <v>0</v>
      </c>
      <c r="HM574" s="20">
        <v>0</v>
      </c>
      <c r="HN574" s="20">
        <v>0</v>
      </c>
      <c r="HO574" s="20">
        <v>0</v>
      </c>
      <c r="HP574" s="20">
        <v>0</v>
      </c>
      <c r="HQ574" s="20">
        <v>0</v>
      </c>
      <c r="HR574" s="20">
        <v>0</v>
      </c>
      <c r="HS574" s="20">
        <v>0</v>
      </c>
      <c r="HT574" s="20">
        <v>0</v>
      </c>
      <c r="HU574" s="20">
        <v>0</v>
      </c>
      <c r="HV574" s="20">
        <v>0</v>
      </c>
      <c r="HW574" s="20">
        <v>0</v>
      </c>
      <c r="HX574" s="20">
        <v>0</v>
      </c>
      <c r="HY574" s="20">
        <v>0</v>
      </c>
      <c r="HZ574" s="20">
        <v>0</v>
      </c>
      <c r="IA574" s="20">
        <v>0</v>
      </c>
      <c r="IB574" s="20">
        <v>0</v>
      </c>
      <c r="IC574" s="20">
        <v>0</v>
      </c>
    </row>
    <row r="575">
      <c r="A575" s="2" t="s">
        <v>2745</v>
      </c>
      <c r="B575" s="2" t="s">
        <v>905</v>
      </c>
      <c r="C575" s="2" t="s">
        <v>2746</v>
      </c>
      <c r="D575" s="2" t="s">
        <v>1177</v>
      </c>
      <c r="E575" s="2" t="s">
        <v>2747</v>
      </c>
      <c r="F575" s="2" t="s">
        <v>2748</v>
      </c>
      <c r="G575" s="2" t="s">
        <v>2748</v>
      </c>
      <c r="H575" s="2" t="s">
        <v>2748</v>
      </c>
      <c r="I575" s="2" t="s">
        <v>2749</v>
      </c>
      <c r="J575" s="2" t="s">
        <v>394</v>
      </c>
      <c r="K575" s="2" t="s">
        <v>231</v>
      </c>
      <c r="L575" s="3">
        <v>51.56</v>
      </c>
      <c r="M575" s="3">
        <v>54.14</v>
      </c>
      <c r="N575" s="3">
        <v>104.99</v>
      </c>
      <c r="O575" s="2" t="s">
        <v>232</v>
      </c>
      <c r="P575" s="2" t="s">
        <v>233</v>
      </c>
      <c r="Q575" s="2" t="s">
        <v>234</v>
      </c>
      <c r="R575" s="2" t="s">
        <v>235</v>
      </c>
      <c r="S575" s="2" t="s">
        <v>2750</v>
      </c>
      <c r="T575" s="2" t="s">
        <v>2295</v>
      </c>
      <c r="U575" s="2" t="s">
        <v>807</v>
      </c>
      <c r="V575" s="2" t="s">
        <v>238</v>
      </c>
      <c r="W575" s="2" t="s">
        <v>239</v>
      </c>
      <c r="X575" s="2" t="s">
        <v>235</v>
      </c>
      <c r="Y575" s="2" t="s">
        <v>1936</v>
      </c>
      <c r="Z575" s="4">
        <v>112</v>
      </c>
      <c r="AA575" s="4">
        <f>=ROUNDDOWN(140,0)</f>
      </c>
      <c r="AB575" s="5">
        <v>0.8</v>
      </c>
      <c r="AC575" s="2" t="s">
        <v>235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235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235</v>
      </c>
      <c r="AW575" s="8" t="s">
        <v>235</v>
      </c>
      <c r="AX575" s="4" t="s">
        <v>235</v>
      </c>
      <c r="AY575" s="8" t="s">
        <v>235</v>
      </c>
      <c r="AZ575" s="7" t="s">
        <v>235</v>
      </c>
      <c r="BA575" s="7" t="s">
        <v>235</v>
      </c>
      <c r="BB575" s="7"/>
      <c r="BC575" s="4" t="s">
        <v>235</v>
      </c>
      <c r="BD575" s="8" t="s">
        <v>235</v>
      </c>
      <c r="BE575" s="4" t="s">
        <v>235</v>
      </c>
      <c r="BF575" s="8" t="s">
        <v>235</v>
      </c>
      <c r="BG575" s="7" t="s">
        <v>235</v>
      </c>
      <c r="BH575" s="7" t="s">
        <v>235</v>
      </c>
      <c r="BI575" s="7"/>
      <c r="BJ575" s="4">
        <v>2</v>
      </c>
      <c r="BK575" s="8">
        <v>116.77</v>
      </c>
      <c r="BL575" s="2" t="s">
        <v>2751</v>
      </c>
      <c r="BM575" s="7"/>
      <c r="BN575" s="7"/>
      <c r="BO575" s="4"/>
      <c r="BP575" s="8"/>
      <c r="BQ575" s="4"/>
      <c r="BR575" s="8"/>
      <c r="BS575" s="7"/>
      <c r="BT575" s="7"/>
      <c r="BU575" s="2" t="s">
        <v>2752</v>
      </c>
      <c r="BV575" s="2" t="s">
        <v>243</v>
      </c>
      <c r="BW575" s="2" t="s">
        <v>235</v>
      </c>
      <c r="BX575" s="2" t="s">
        <v>244</v>
      </c>
      <c r="BY575" s="2" t="s">
        <v>245</v>
      </c>
      <c r="BZ575" s="2" t="s">
        <v>232</v>
      </c>
      <c r="CA575" s="2" t="s">
        <v>2753</v>
      </c>
      <c r="CB575" s="2" t="s">
        <v>2754</v>
      </c>
      <c r="CC575" s="2" t="s">
        <v>248</v>
      </c>
      <c r="CD575" s="2" t="s">
        <v>248</v>
      </c>
      <c r="CE575" s="2" t="s">
        <v>235</v>
      </c>
      <c r="CF575" s="4">
        <v>112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>
        <v>112</v>
      </c>
      <c r="GE575" s="4">
        <v>112</v>
      </c>
      <c r="GF575" s="4">
        <v>112</v>
      </c>
      <c r="GG575" s="4">
        <v>112</v>
      </c>
      <c r="GH575" s="4">
        <v>112</v>
      </c>
      <c r="GI575" s="4">
        <v>109</v>
      </c>
      <c r="GJ575" s="4">
        <v>106</v>
      </c>
      <c r="GK575" s="4">
        <v>103</v>
      </c>
      <c r="GL575" s="4">
        <v>100</v>
      </c>
      <c r="GM575" s="4">
        <v>97</v>
      </c>
      <c r="GN575" s="4">
        <v>95</v>
      </c>
      <c r="GO575" s="4">
        <v>90</v>
      </c>
      <c r="GP575" s="4">
        <v>83</v>
      </c>
      <c r="GQ575" s="4">
        <v>75</v>
      </c>
      <c r="GR575" s="4">
        <v>52</v>
      </c>
      <c r="GS575" s="4">
        <v>32</v>
      </c>
      <c r="GT575" s="4">
        <v>21</v>
      </c>
      <c r="GU575" s="4">
        <v>16</v>
      </c>
      <c r="GV575" s="4">
        <v>13</v>
      </c>
      <c r="GW575" s="4">
        <v>10</v>
      </c>
      <c r="GX575" s="4">
        <v>7</v>
      </c>
      <c r="GY575" s="4">
        <v>4</v>
      </c>
      <c r="GZ575" s="4">
        <v>3</v>
      </c>
      <c r="HA575" s="4">
        <v>2</v>
      </c>
      <c r="HB575" s="4">
        <v>1</v>
      </c>
      <c r="HC575" s="4"/>
      <c r="HD575" s="9"/>
      <c r="HE575" s="19">
        <v>112</v>
      </c>
      <c r="HF575" s="19">
        <v>56</v>
      </c>
      <c r="HG575" s="19">
        <v>56</v>
      </c>
      <c r="HH575" s="19">
        <v>37.3</v>
      </c>
      <c r="HI575" s="19">
        <v>36.3</v>
      </c>
      <c r="HJ575" s="19">
        <v>35.3</v>
      </c>
      <c r="HK575" s="19">
        <v>34.3</v>
      </c>
      <c r="HL575" s="19">
        <v>25</v>
      </c>
      <c r="HM575" s="19">
        <v>16.2</v>
      </c>
      <c r="HN575" s="19">
        <v>8.6</v>
      </c>
      <c r="HO575" s="19">
        <v>6.4</v>
      </c>
      <c r="HP575" s="19">
        <v>5.2</v>
      </c>
      <c r="HQ575" s="19">
        <v>5</v>
      </c>
      <c r="HR575" s="19">
        <v>5.2</v>
      </c>
      <c r="HS575" s="19">
        <v>5.3</v>
      </c>
      <c r="HT575" s="19">
        <v>5.3</v>
      </c>
      <c r="HU575" s="19">
        <v>5.3</v>
      </c>
      <c r="HV575" s="19">
        <v>6.5</v>
      </c>
      <c r="HW575" s="19">
        <v>5</v>
      </c>
      <c r="HX575" s="19">
        <v>3.5</v>
      </c>
      <c r="HY575" s="19">
        <v>4</v>
      </c>
      <c r="HZ575" s="19">
        <v>3</v>
      </c>
      <c r="IA575" s="20">
        <v>0</v>
      </c>
      <c r="IB575" s="20">
        <v>0</v>
      </c>
      <c r="IC575" s="9"/>
    </row>
    <row r="576">
      <c r="A576" s="2" t="s">
        <v>2755</v>
      </c>
      <c r="B576" s="2" t="s">
        <v>905</v>
      </c>
      <c r="C576" s="2" t="s">
        <v>2746</v>
      </c>
      <c r="D576" s="2" t="s">
        <v>1177</v>
      </c>
      <c r="E576" s="2" t="s">
        <v>2747</v>
      </c>
      <c r="F576" s="2" t="s">
        <v>2748</v>
      </c>
      <c r="G576" s="2" t="s">
        <v>2748</v>
      </c>
      <c r="H576" s="2" t="s">
        <v>2748</v>
      </c>
      <c r="I576" s="2" t="s">
        <v>2749</v>
      </c>
      <c r="J576" s="2" t="s">
        <v>250</v>
      </c>
      <c r="K576" s="2" t="s">
        <v>231</v>
      </c>
      <c r="L576" s="3">
        <v>56.89</v>
      </c>
      <c r="M576" s="3">
        <v>59.73</v>
      </c>
      <c r="N576" s="3">
        <v>124.99</v>
      </c>
      <c r="O576" s="2" t="s">
        <v>232</v>
      </c>
      <c r="P576" s="2" t="s">
        <v>233</v>
      </c>
      <c r="Q576" s="2" t="s">
        <v>234</v>
      </c>
      <c r="R576" s="2" t="s">
        <v>235</v>
      </c>
      <c r="S576" s="2" t="s">
        <v>2750</v>
      </c>
      <c r="T576" s="2" t="s">
        <v>2295</v>
      </c>
      <c r="U576" s="2" t="s">
        <v>807</v>
      </c>
      <c r="V576" s="2" t="s">
        <v>238</v>
      </c>
      <c r="W576" s="2" t="s">
        <v>239</v>
      </c>
      <c r="X576" s="2" t="s">
        <v>235</v>
      </c>
      <c r="Y576" s="2" t="s">
        <v>2756</v>
      </c>
      <c r="Z576" s="4">
        <v>45</v>
      </c>
      <c r="AA576" s="4">
        <f>=ROUNDDOWN(112.5,0)</f>
      </c>
      <c r="AB576" s="5">
        <v>0.4</v>
      </c>
      <c r="AC576" s="2" t="s">
        <v>883</v>
      </c>
      <c r="AD576" s="4">
        <v>100</v>
      </c>
      <c r="AE576" s="4">
        <v>100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235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235</v>
      </c>
      <c r="AW576" s="8" t="s">
        <v>235</v>
      </c>
      <c r="AX576" s="4" t="s">
        <v>235</v>
      </c>
      <c r="AY576" s="8" t="s">
        <v>235</v>
      </c>
      <c r="AZ576" s="7" t="s">
        <v>235</v>
      </c>
      <c r="BA576" s="7" t="s">
        <v>235</v>
      </c>
      <c r="BB576" s="7"/>
      <c r="BC576" s="4" t="s">
        <v>235</v>
      </c>
      <c r="BD576" s="8" t="s">
        <v>235</v>
      </c>
      <c r="BE576" s="4" t="s">
        <v>235</v>
      </c>
      <c r="BF576" s="8" t="s">
        <v>235</v>
      </c>
      <c r="BG576" s="7" t="s">
        <v>235</v>
      </c>
      <c r="BH576" s="7" t="s">
        <v>235</v>
      </c>
      <c r="BI576" s="7"/>
      <c r="BJ576" s="4">
        <v>1</v>
      </c>
      <c r="BK576" s="8">
        <v>64.97</v>
      </c>
      <c r="BL576" s="2" t="s">
        <v>2757</v>
      </c>
      <c r="BM576" s="7"/>
      <c r="BN576" s="7"/>
      <c r="BO576" s="4"/>
      <c r="BP576" s="8"/>
      <c r="BQ576" s="4"/>
      <c r="BR576" s="8"/>
      <c r="BS576" s="7"/>
      <c r="BT576" s="7"/>
      <c r="BU576" s="2" t="s">
        <v>2752</v>
      </c>
      <c r="BV576" s="2" t="s">
        <v>243</v>
      </c>
      <c r="BW576" s="2" t="s">
        <v>235</v>
      </c>
      <c r="BX576" s="2" t="s">
        <v>244</v>
      </c>
      <c r="BY576" s="2" t="s">
        <v>245</v>
      </c>
      <c r="BZ576" s="2" t="s">
        <v>232</v>
      </c>
      <c r="CA576" s="2" t="s">
        <v>2758</v>
      </c>
      <c r="CB576" s="2" t="s">
        <v>2759</v>
      </c>
      <c r="CC576" s="2" t="s">
        <v>248</v>
      </c>
      <c r="CD576" s="2" t="s">
        <v>248</v>
      </c>
      <c r="CE576" s="2" t="s">
        <v>235</v>
      </c>
      <c r="CF576" s="4">
        <v>45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>
        <v>100</v>
      </c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>
        <v>45</v>
      </c>
      <c r="GE576" s="4">
        <v>145</v>
      </c>
      <c r="GF576" s="4">
        <v>145</v>
      </c>
      <c r="GG576" s="4">
        <v>145</v>
      </c>
      <c r="GH576" s="4">
        <v>145</v>
      </c>
      <c r="GI576" s="4">
        <v>142</v>
      </c>
      <c r="GJ576" s="4">
        <v>139</v>
      </c>
      <c r="GK576" s="4">
        <v>136</v>
      </c>
      <c r="GL576" s="4">
        <v>133</v>
      </c>
      <c r="GM576" s="4">
        <v>131</v>
      </c>
      <c r="GN576" s="4">
        <v>129</v>
      </c>
      <c r="GO576" s="4">
        <v>124</v>
      </c>
      <c r="GP576" s="4">
        <v>117</v>
      </c>
      <c r="GQ576" s="4">
        <v>111</v>
      </c>
      <c r="GR576" s="4">
        <v>92</v>
      </c>
      <c r="GS576" s="4">
        <v>75</v>
      </c>
      <c r="GT576" s="4">
        <v>65</v>
      </c>
      <c r="GU576" s="4">
        <v>60</v>
      </c>
      <c r="GV576" s="4">
        <v>56</v>
      </c>
      <c r="GW576" s="4">
        <v>52</v>
      </c>
      <c r="GX576" s="4">
        <v>48</v>
      </c>
      <c r="GY576" s="4">
        <v>44</v>
      </c>
      <c r="GZ576" s="4">
        <v>44</v>
      </c>
      <c r="HA576" s="4">
        <v>44</v>
      </c>
      <c r="HB576" s="4">
        <v>44</v>
      </c>
      <c r="HC576" s="4">
        <v>44</v>
      </c>
      <c r="HD576" s="9"/>
      <c r="HE576" s="19">
        <v>145</v>
      </c>
      <c r="HF576" s="19">
        <v>72.5</v>
      </c>
      <c r="HG576" s="19">
        <v>72.5</v>
      </c>
      <c r="HH576" s="19">
        <v>48.3</v>
      </c>
      <c r="HI576" s="19">
        <v>47.3</v>
      </c>
      <c r="HJ576" s="19">
        <v>69.5</v>
      </c>
      <c r="HK576" s="19">
        <v>45.3</v>
      </c>
      <c r="HL576" s="19">
        <v>33.3</v>
      </c>
      <c r="HM576" s="19">
        <v>26.2</v>
      </c>
      <c r="HN576" s="19">
        <v>14.3</v>
      </c>
      <c r="HO576" s="19">
        <v>10.3</v>
      </c>
      <c r="HP576" s="19">
        <v>9</v>
      </c>
      <c r="HQ576" s="19">
        <v>8.5</v>
      </c>
      <c r="HR576" s="19">
        <v>10.2</v>
      </c>
      <c r="HS576" s="19">
        <v>12.5</v>
      </c>
      <c r="HT576" s="19">
        <v>16.3</v>
      </c>
      <c r="HU576" s="19">
        <v>15</v>
      </c>
      <c r="HV576" s="19">
        <v>18.7</v>
      </c>
      <c r="HW576" s="19">
        <v>26</v>
      </c>
      <c r="HX576" s="19">
        <v>48</v>
      </c>
      <c r="HY576" s="9"/>
      <c r="HZ576" s="9"/>
      <c r="IA576" s="9"/>
      <c r="IB576" s="9"/>
      <c r="IC576" s="9"/>
    </row>
    <row r="577">
      <c r="A577" s="2" t="s">
        <v>2760</v>
      </c>
      <c r="B577" s="2" t="s">
        <v>905</v>
      </c>
      <c r="C577" s="2" t="s">
        <v>2746</v>
      </c>
      <c r="D577" s="2" t="s">
        <v>1177</v>
      </c>
      <c r="E577" s="2" t="s">
        <v>2747</v>
      </c>
      <c r="F577" s="2" t="s">
        <v>2748</v>
      </c>
      <c r="G577" s="2" t="s">
        <v>2748</v>
      </c>
      <c r="H577" s="2" t="s">
        <v>2748</v>
      </c>
      <c r="I577" s="2" t="s">
        <v>2749</v>
      </c>
      <c r="J577" s="2" t="s">
        <v>261</v>
      </c>
      <c r="K577" s="2" t="s">
        <v>231</v>
      </c>
      <c r="L577" s="3">
        <v>81.51</v>
      </c>
      <c r="M577" s="3">
        <v>85.59</v>
      </c>
      <c r="N577" s="3">
        <v>174.99</v>
      </c>
      <c r="O577" s="2" t="s">
        <v>232</v>
      </c>
      <c r="P577" s="2" t="s">
        <v>233</v>
      </c>
      <c r="Q577" s="2" t="s">
        <v>234</v>
      </c>
      <c r="R577" s="2" t="s">
        <v>235</v>
      </c>
      <c r="S577" s="2" t="s">
        <v>2750</v>
      </c>
      <c r="T577" s="2" t="s">
        <v>2295</v>
      </c>
      <c r="U577" s="2" t="s">
        <v>807</v>
      </c>
      <c r="V577" s="2" t="s">
        <v>238</v>
      </c>
      <c r="W577" s="2" t="s">
        <v>239</v>
      </c>
      <c r="X577" s="2" t="s">
        <v>235</v>
      </c>
      <c r="Y577" s="2" t="s">
        <v>2756</v>
      </c>
      <c r="Z577" s="4">
        <v>62</v>
      </c>
      <c r="AA577" s="4">
        <f>=ROUNDDOWN(11.9230769230769,0)</f>
      </c>
      <c r="AB577" s="5">
        <v>5.2</v>
      </c>
      <c r="AC577" s="2" t="s">
        <v>883</v>
      </c>
      <c r="AD577" s="4">
        <v>100</v>
      </c>
      <c r="AE577" s="4">
        <v>100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235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235</v>
      </c>
      <c r="AW577" s="8" t="s">
        <v>235</v>
      </c>
      <c r="AX577" s="4" t="s">
        <v>235</v>
      </c>
      <c r="AY577" s="8" t="s">
        <v>235</v>
      </c>
      <c r="AZ577" s="7" t="s">
        <v>235</v>
      </c>
      <c r="BA577" s="7" t="s">
        <v>235</v>
      </c>
      <c r="BB577" s="7"/>
      <c r="BC577" s="4" t="s">
        <v>235</v>
      </c>
      <c r="BD577" s="8" t="s">
        <v>235</v>
      </c>
      <c r="BE577" s="4" t="s">
        <v>235</v>
      </c>
      <c r="BF577" s="8" t="s">
        <v>235</v>
      </c>
      <c r="BG577" s="7" t="s">
        <v>235</v>
      </c>
      <c r="BH577" s="7" t="s">
        <v>235</v>
      </c>
      <c r="BI577" s="7"/>
      <c r="BJ577" s="4">
        <v>5</v>
      </c>
      <c r="BK577" s="8">
        <v>458.13</v>
      </c>
      <c r="BL577" s="2" t="s">
        <v>536</v>
      </c>
      <c r="BM577" s="7"/>
      <c r="BN577" s="7"/>
      <c r="BO577" s="4"/>
      <c r="BP577" s="8"/>
      <c r="BQ577" s="4"/>
      <c r="BR577" s="8"/>
      <c r="BS577" s="7"/>
      <c r="BT577" s="7"/>
      <c r="BU577" s="2" t="s">
        <v>2752</v>
      </c>
      <c r="BV577" s="2" t="s">
        <v>243</v>
      </c>
      <c r="BW577" s="2" t="s">
        <v>235</v>
      </c>
      <c r="BX577" s="2" t="s">
        <v>244</v>
      </c>
      <c r="BY577" s="2" t="s">
        <v>245</v>
      </c>
      <c r="BZ577" s="2" t="s">
        <v>232</v>
      </c>
      <c r="CA577" s="2" t="s">
        <v>2758</v>
      </c>
      <c r="CB577" s="2" t="s">
        <v>476</v>
      </c>
      <c r="CC577" s="2" t="s">
        <v>248</v>
      </c>
      <c r="CD577" s="2" t="s">
        <v>248</v>
      </c>
      <c r="CE577" s="2" t="s">
        <v>235</v>
      </c>
      <c r="CF577" s="4">
        <v>62</v>
      </c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>
        <v>100</v>
      </c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>
        <v>62</v>
      </c>
      <c r="GE577" s="4">
        <v>160</v>
      </c>
      <c r="GF577" s="4">
        <v>158</v>
      </c>
      <c r="GG577" s="4">
        <v>156</v>
      </c>
      <c r="GH577" s="4">
        <v>154</v>
      </c>
      <c r="GI577" s="4">
        <v>151</v>
      </c>
      <c r="GJ577" s="4">
        <v>148</v>
      </c>
      <c r="GK577" s="4">
        <v>145</v>
      </c>
      <c r="GL577" s="4">
        <v>142</v>
      </c>
      <c r="GM577" s="4">
        <v>140</v>
      </c>
      <c r="GN577" s="4">
        <v>138</v>
      </c>
      <c r="GO577" s="4">
        <v>134</v>
      </c>
      <c r="GP577" s="4">
        <v>128</v>
      </c>
      <c r="GQ577" s="4">
        <v>122</v>
      </c>
      <c r="GR577" s="4">
        <v>105</v>
      </c>
      <c r="GS577" s="4">
        <v>92</v>
      </c>
      <c r="GT577" s="4">
        <v>85</v>
      </c>
      <c r="GU577" s="4">
        <v>80</v>
      </c>
      <c r="GV577" s="4">
        <v>77</v>
      </c>
      <c r="GW577" s="4">
        <v>74</v>
      </c>
      <c r="GX577" s="4">
        <v>71</v>
      </c>
      <c r="GY577" s="4">
        <v>68</v>
      </c>
      <c r="GZ577" s="4">
        <v>66</v>
      </c>
      <c r="HA577" s="4">
        <v>64</v>
      </c>
      <c r="HB577" s="4">
        <v>62</v>
      </c>
      <c r="HC577" s="4">
        <v>60</v>
      </c>
      <c r="HD577" s="19">
        <v>31</v>
      </c>
      <c r="HE577" s="19">
        <v>80</v>
      </c>
      <c r="HF577" s="19">
        <v>79</v>
      </c>
      <c r="HG577" s="19">
        <v>52</v>
      </c>
      <c r="HH577" s="19">
        <v>51.3</v>
      </c>
      <c r="HI577" s="19">
        <v>50.3</v>
      </c>
      <c r="HJ577" s="19">
        <v>74</v>
      </c>
      <c r="HK577" s="19">
        <v>48.3</v>
      </c>
      <c r="HL577" s="19">
        <v>35.5</v>
      </c>
      <c r="HM577" s="19">
        <v>35</v>
      </c>
      <c r="HN577" s="19">
        <v>17.3</v>
      </c>
      <c r="HO577" s="19">
        <v>13.4</v>
      </c>
      <c r="HP577" s="19">
        <v>11.6</v>
      </c>
      <c r="HQ577" s="19">
        <v>12.2</v>
      </c>
      <c r="HR577" s="19">
        <v>15</v>
      </c>
      <c r="HS577" s="19">
        <v>23</v>
      </c>
      <c r="HT577" s="19">
        <v>21.3</v>
      </c>
      <c r="HU577" s="19">
        <v>26.7</v>
      </c>
      <c r="HV577" s="19">
        <v>25.7</v>
      </c>
      <c r="HW577" s="19">
        <v>37</v>
      </c>
      <c r="HX577" s="19">
        <v>35.5</v>
      </c>
      <c r="HY577" s="19">
        <v>34</v>
      </c>
      <c r="HZ577" s="19">
        <v>33</v>
      </c>
      <c r="IA577" s="19">
        <v>32</v>
      </c>
      <c r="IB577" s="19">
        <v>62</v>
      </c>
      <c r="IC577" s="19">
        <v>60</v>
      </c>
    </row>
    <row r="578">
      <c r="A578" s="2" t="s">
        <v>2761</v>
      </c>
      <c r="B578" s="2" t="s">
        <v>905</v>
      </c>
      <c r="C578" s="2" t="s">
        <v>2746</v>
      </c>
      <c r="D578" s="2" t="s">
        <v>1177</v>
      </c>
      <c r="E578" s="2" t="s">
        <v>2747</v>
      </c>
      <c r="F578" s="2" t="s">
        <v>2748</v>
      </c>
      <c r="G578" s="2" t="s">
        <v>2748</v>
      </c>
      <c r="H578" s="2" t="s">
        <v>2748</v>
      </c>
      <c r="I578" s="2" t="s">
        <v>2749</v>
      </c>
      <c r="J578" s="2" t="s">
        <v>270</v>
      </c>
      <c r="K578" s="2" t="s">
        <v>231</v>
      </c>
      <c r="L578" s="3">
        <v>89.34</v>
      </c>
      <c r="M578" s="3">
        <v>93.81</v>
      </c>
      <c r="N578" s="3">
        <v>184.99</v>
      </c>
      <c r="O578" s="2" t="s">
        <v>232</v>
      </c>
      <c r="P578" s="2" t="s">
        <v>233</v>
      </c>
      <c r="Q578" s="2" t="s">
        <v>234</v>
      </c>
      <c r="R578" s="2" t="s">
        <v>235</v>
      </c>
      <c r="S578" s="2" t="s">
        <v>2750</v>
      </c>
      <c r="T578" s="2" t="s">
        <v>2295</v>
      </c>
      <c r="U578" s="2" t="s">
        <v>807</v>
      </c>
      <c r="V578" s="2" t="s">
        <v>238</v>
      </c>
      <c r="W578" s="2" t="s">
        <v>239</v>
      </c>
      <c r="X578" s="2" t="s">
        <v>235</v>
      </c>
      <c r="Y578" s="2" t="s">
        <v>2756</v>
      </c>
      <c r="Z578" s="4">
        <v>110</v>
      </c>
      <c r="AA578" s="4">
        <f>=ROUNDDOWN({0},0)</f>
      </c>
      <c r="AB578" s="5"/>
      <c r="AC578" s="2" t="s">
        <v>235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235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235</v>
      </c>
      <c r="AW578" s="8" t="s">
        <v>235</v>
      </c>
      <c r="AX578" s="4" t="s">
        <v>235</v>
      </c>
      <c r="AY578" s="8" t="s">
        <v>235</v>
      </c>
      <c r="AZ578" s="7" t="s">
        <v>235</v>
      </c>
      <c r="BA578" s="7" t="s">
        <v>235</v>
      </c>
      <c r="BB578" s="7"/>
      <c r="BC578" s="4" t="s">
        <v>235</v>
      </c>
      <c r="BD578" s="8" t="s">
        <v>235</v>
      </c>
      <c r="BE578" s="4" t="s">
        <v>235</v>
      </c>
      <c r="BF578" s="8" t="s">
        <v>235</v>
      </c>
      <c r="BG578" s="7" t="s">
        <v>235</v>
      </c>
      <c r="BH578" s="7" t="s">
        <v>235</v>
      </c>
      <c r="BI578" s="7"/>
      <c r="BJ578" s="4"/>
      <c r="BK578" s="8"/>
      <c r="BL578" s="2" t="s">
        <v>517</v>
      </c>
      <c r="BM578" s="7"/>
      <c r="BN578" s="7"/>
      <c r="BO578" s="4"/>
      <c r="BP578" s="8"/>
      <c r="BQ578" s="4"/>
      <c r="BR578" s="8"/>
      <c r="BS578" s="7"/>
      <c r="BT578" s="7"/>
      <c r="BU578" s="2" t="s">
        <v>2752</v>
      </c>
      <c r="BV578" s="2" t="s">
        <v>243</v>
      </c>
      <c r="BW578" s="2" t="s">
        <v>235</v>
      </c>
      <c r="BX578" s="2" t="s">
        <v>244</v>
      </c>
      <c r="BY578" s="2" t="s">
        <v>245</v>
      </c>
      <c r="BZ578" s="2" t="s">
        <v>232</v>
      </c>
      <c r="CA578" s="2" t="s">
        <v>2758</v>
      </c>
      <c r="CB578" s="2" t="s">
        <v>2762</v>
      </c>
      <c r="CC578" s="2" t="s">
        <v>248</v>
      </c>
      <c r="CD578" s="2" t="s">
        <v>248</v>
      </c>
      <c r="CE578" s="2" t="s">
        <v>235</v>
      </c>
      <c r="CF578" s="4">
        <v>110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>
        <v>110</v>
      </c>
      <c r="GE578" s="4">
        <v>110</v>
      </c>
      <c r="GF578" s="4">
        <v>110</v>
      </c>
      <c r="GG578" s="4">
        <v>110</v>
      </c>
      <c r="GH578" s="4">
        <v>110</v>
      </c>
      <c r="GI578" s="4">
        <v>108</v>
      </c>
      <c r="GJ578" s="4">
        <v>106</v>
      </c>
      <c r="GK578" s="4">
        <v>104</v>
      </c>
      <c r="GL578" s="4">
        <v>102</v>
      </c>
      <c r="GM578" s="4">
        <v>100</v>
      </c>
      <c r="GN578" s="4">
        <v>98</v>
      </c>
      <c r="GO578" s="4">
        <v>95</v>
      </c>
      <c r="GP578" s="4">
        <v>91</v>
      </c>
      <c r="GQ578" s="4">
        <v>88</v>
      </c>
      <c r="GR578" s="4">
        <v>80</v>
      </c>
      <c r="GS578" s="4">
        <v>72</v>
      </c>
      <c r="GT578" s="4">
        <v>67</v>
      </c>
      <c r="GU578" s="4">
        <v>64</v>
      </c>
      <c r="GV578" s="4">
        <v>62</v>
      </c>
      <c r="GW578" s="4">
        <v>60</v>
      </c>
      <c r="GX578" s="4">
        <v>58</v>
      </c>
      <c r="GY578" s="4">
        <v>56</v>
      </c>
      <c r="GZ578" s="4">
        <v>56</v>
      </c>
      <c r="HA578" s="4">
        <v>56</v>
      </c>
      <c r="HB578" s="4">
        <v>56</v>
      </c>
      <c r="HC578" s="4">
        <v>56</v>
      </c>
      <c r="HD578" s="9"/>
      <c r="HE578" s="9"/>
      <c r="HF578" s="19">
        <v>110</v>
      </c>
      <c r="HG578" s="19">
        <v>55</v>
      </c>
      <c r="HH578" s="19">
        <v>55</v>
      </c>
      <c r="HI578" s="19">
        <v>54</v>
      </c>
      <c r="HJ578" s="19">
        <v>53</v>
      </c>
      <c r="HK578" s="19">
        <v>52</v>
      </c>
      <c r="HL578" s="19">
        <v>34</v>
      </c>
      <c r="HM578" s="19">
        <v>33.3</v>
      </c>
      <c r="HN578" s="19">
        <v>24.5</v>
      </c>
      <c r="HO578" s="19">
        <v>15.8</v>
      </c>
      <c r="HP578" s="19">
        <v>15.2</v>
      </c>
      <c r="HQ578" s="19">
        <v>14.7</v>
      </c>
      <c r="HR578" s="19">
        <v>20</v>
      </c>
      <c r="HS578" s="19">
        <v>24</v>
      </c>
      <c r="HT578" s="19">
        <v>33.5</v>
      </c>
      <c r="HU578" s="19">
        <v>32</v>
      </c>
      <c r="HV578" s="19">
        <v>31</v>
      </c>
      <c r="HW578" s="19">
        <v>60</v>
      </c>
      <c r="HX578" s="20">
        <v>0</v>
      </c>
      <c r="HY578" s="9"/>
      <c r="HZ578" s="9"/>
      <c r="IA578" s="9"/>
      <c r="IB578" s="9"/>
      <c r="IC578" s="9"/>
    </row>
    <row r="579">
      <c r="A579" s="2" t="s">
        <v>2763</v>
      </c>
      <c r="B579" s="2" t="s">
        <v>905</v>
      </c>
      <c r="C579" s="2" t="s">
        <v>2746</v>
      </c>
      <c r="D579" s="2" t="s">
        <v>1177</v>
      </c>
      <c r="E579" s="2" t="s">
        <v>2747</v>
      </c>
      <c r="F579" s="2" t="s">
        <v>2748</v>
      </c>
      <c r="G579" s="2" t="s">
        <v>2748</v>
      </c>
      <c r="H579" s="2" t="s">
        <v>2748</v>
      </c>
      <c r="I579" s="2" t="s">
        <v>2749</v>
      </c>
      <c r="J579" s="2" t="s">
        <v>394</v>
      </c>
      <c r="K579" s="2" t="s">
        <v>1196</v>
      </c>
      <c r="L579" s="3">
        <v>51.56</v>
      </c>
      <c r="M579" s="3">
        <v>54.14</v>
      </c>
      <c r="N579" s="3">
        <v>104.99</v>
      </c>
      <c r="O579" s="2" t="s">
        <v>232</v>
      </c>
      <c r="P579" s="2" t="s">
        <v>233</v>
      </c>
      <c r="Q579" s="2" t="s">
        <v>234</v>
      </c>
      <c r="R579" s="2" t="s">
        <v>235</v>
      </c>
      <c r="S579" s="2" t="s">
        <v>2764</v>
      </c>
      <c r="T579" s="2" t="s">
        <v>2295</v>
      </c>
      <c r="U579" s="2" t="s">
        <v>807</v>
      </c>
      <c r="V579" s="2" t="s">
        <v>238</v>
      </c>
      <c r="W579" s="2" t="s">
        <v>239</v>
      </c>
      <c r="X579" s="2" t="s">
        <v>235</v>
      </c>
      <c r="Y579" s="2" t="s">
        <v>2756</v>
      </c>
      <c r="Z579" s="4">
        <v>153</v>
      </c>
      <c r="AA579" s="4">
        <f>=ROUNDDOWN({0},0)</f>
      </c>
      <c r="AB579" s="5"/>
      <c r="AC579" s="2" t="s">
        <v>235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235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235</v>
      </c>
      <c r="AW579" s="8" t="s">
        <v>235</v>
      </c>
      <c r="AX579" s="4" t="s">
        <v>235</v>
      </c>
      <c r="AY579" s="8" t="s">
        <v>235</v>
      </c>
      <c r="AZ579" s="7" t="s">
        <v>235</v>
      </c>
      <c r="BA579" s="7" t="s">
        <v>235</v>
      </c>
      <c r="BB579" s="7"/>
      <c r="BC579" s="4" t="s">
        <v>235</v>
      </c>
      <c r="BD579" s="8" t="s">
        <v>235</v>
      </c>
      <c r="BE579" s="4" t="s">
        <v>235</v>
      </c>
      <c r="BF579" s="8" t="s">
        <v>235</v>
      </c>
      <c r="BG579" s="7" t="s">
        <v>235</v>
      </c>
      <c r="BH579" s="7" t="s">
        <v>235</v>
      </c>
      <c r="BI579" s="7"/>
      <c r="BJ579" s="4"/>
      <c r="BK579" s="8"/>
      <c r="BL579" s="2" t="s">
        <v>536</v>
      </c>
      <c r="BM579" s="7"/>
      <c r="BN579" s="7"/>
      <c r="BO579" s="4"/>
      <c r="BP579" s="8"/>
      <c r="BQ579" s="4"/>
      <c r="BR579" s="8"/>
      <c r="BS579" s="7"/>
      <c r="BT579" s="7"/>
      <c r="BU579" s="2" t="s">
        <v>2752</v>
      </c>
      <c r="BV579" s="2" t="s">
        <v>243</v>
      </c>
      <c r="BW579" s="2" t="s">
        <v>235</v>
      </c>
      <c r="BX579" s="2" t="s">
        <v>244</v>
      </c>
      <c r="BY579" s="2" t="s">
        <v>245</v>
      </c>
      <c r="BZ579" s="2" t="s">
        <v>232</v>
      </c>
      <c r="CA579" s="2" t="s">
        <v>2758</v>
      </c>
      <c r="CB579" s="2" t="s">
        <v>2765</v>
      </c>
      <c r="CC579" s="2" t="s">
        <v>248</v>
      </c>
      <c r="CD579" s="2" t="s">
        <v>248</v>
      </c>
      <c r="CE579" s="2" t="s">
        <v>235</v>
      </c>
      <c r="CF579" s="4">
        <v>153</v>
      </c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>
        <v>153</v>
      </c>
      <c r="GE579" s="4">
        <v>153</v>
      </c>
      <c r="GF579" s="4">
        <v>153</v>
      </c>
      <c r="GG579" s="4">
        <v>153</v>
      </c>
      <c r="GH579" s="4">
        <v>153</v>
      </c>
      <c r="GI579" s="4">
        <v>151</v>
      </c>
      <c r="GJ579" s="4">
        <v>149</v>
      </c>
      <c r="GK579" s="4">
        <v>147</v>
      </c>
      <c r="GL579" s="4">
        <v>145</v>
      </c>
      <c r="GM579" s="4">
        <v>143</v>
      </c>
      <c r="GN579" s="4">
        <v>141</v>
      </c>
      <c r="GO579" s="4">
        <v>138</v>
      </c>
      <c r="GP579" s="4">
        <v>133</v>
      </c>
      <c r="GQ579" s="4">
        <v>128</v>
      </c>
      <c r="GR579" s="4">
        <v>113</v>
      </c>
      <c r="GS579" s="4">
        <v>100</v>
      </c>
      <c r="GT579" s="4">
        <v>93</v>
      </c>
      <c r="GU579" s="4">
        <v>90</v>
      </c>
      <c r="GV579" s="4">
        <v>88</v>
      </c>
      <c r="GW579" s="4">
        <v>86</v>
      </c>
      <c r="GX579" s="4">
        <v>84</v>
      </c>
      <c r="GY579" s="4">
        <v>82</v>
      </c>
      <c r="GZ579" s="4">
        <v>82</v>
      </c>
      <c r="HA579" s="4">
        <v>82</v>
      </c>
      <c r="HB579" s="4">
        <v>82</v>
      </c>
      <c r="HC579" s="4">
        <v>82</v>
      </c>
      <c r="HD579" s="9"/>
      <c r="HE579" s="9"/>
      <c r="HF579" s="19">
        <v>153</v>
      </c>
      <c r="HG579" s="19">
        <v>76.5</v>
      </c>
      <c r="HH579" s="19">
        <v>76.5</v>
      </c>
      <c r="HI579" s="19">
        <v>75.5</v>
      </c>
      <c r="HJ579" s="19">
        <v>74.5</v>
      </c>
      <c r="HK579" s="19">
        <v>73.5</v>
      </c>
      <c r="HL579" s="19">
        <v>48.3</v>
      </c>
      <c r="HM579" s="19">
        <v>35.8</v>
      </c>
      <c r="HN579" s="19">
        <v>20.1</v>
      </c>
      <c r="HO579" s="19">
        <v>13.8</v>
      </c>
      <c r="HP579" s="19">
        <v>13.3</v>
      </c>
      <c r="HQ579" s="19">
        <v>12.8</v>
      </c>
      <c r="HR579" s="19">
        <v>18.8</v>
      </c>
      <c r="HS579" s="19">
        <v>25</v>
      </c>
      <c r="HT579" s="19">
        <v>46.5</v>
      </c>
      <c r="HU579" s="19">
        <v>45</v>
      </c>
      <c r="HV579" s="19">
        <v>44</v>
      </c>
      <c r="HW579" s="19">
        <v>86</v>
      </c>
      <c r="HX579" s="20">
        <v>0</v>
      </c>
      <c r="HY579" s="9"/>
      <c r="HZ579" s="9"/>
      <c r="IA579" s="9"/>
      <c r="IB579" s="9"/>
      <c r="IC579" s="9"/>
    </row>
    <row r="580">
      <c r="A580" s="2" t="s">
        <v>2766</v>
      </c>
      <c r="B580" s="2" t="s">
        <v>905</v>
      </c>
      <c r="C580" s="2" t="s">
        <v>2746</v>
      </c>
      <c r="D580" s="2" t="s">
        <v>1177</v>
      </c>
      <c r="E580" s="2" t="s">
        <v>2747</v>
      </c>
      <c r="F580" s="2" t="s">
        <v>2748</v>
      </c>
      <c r="G580" s="2" t="s">
        <v>2748</v>
      </c>
      <c r="H580" s="2" t="s">
        <v>2748</v>
      </c>
      <c r="I580" s="2" t="s">
        <v>2749</v>
      </c>
      <c r="J580" s="2" t="s">
        <v>250</v>
      </c>
      <c r="K580" s="2" t="s">
        <v>1196</v>
      </c>
      <c r="L580" s="3">
        <v>56.89</v>
      </c>
      <c r="M580" s="3">
        <v>59.73</v>
      </c>
      <c r="N580" s="3">
        <v>124.99</v>
      </c>
      <c r="O580" s="2" t="s">
        <v>232</v>
      </c>
      <c r="P580" s="2" t="s">
        <v>233</v>
      </c>
      <c r="Q580" s="2" t="s">
        <v>234</v>
      </c>
      <c r="R580" s="2" t="s">
        <v>235</v>
      </c>
      <c r="S580" s="2" t="s">
        <v>2764</v>
      </c>
      <c r="T580" s="2" t="s">
        <v>2295</v>
      </c>
      <c r="U580" s="2" t="s">
        <v>807</v>
      </c>
      <c r="V580" s="2" t="s">
        <v>238</v>
      </c>
      <c r="W580" s="2" t="s">
        <v>239</v>
      </c>
      <c r="X580" s="2" t="s">
        <v>235</v>
      </c>
      <c r="Y580" s="2" t="s">
        <v>2756</v>
      </c>
      <c r="Z580" s="4">
        <v>131</v>
      </c>
      <c r="AA580" s="4">
        <f>=ROUNDDOWN(56.9565217391304,0)</f>
      </c>
      <c r="AB580" s="5">
        <v>2.3</v>
      </c>
      <c r="AC580" s="2" t="s">
        <v>235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235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235</v>
      </c>
      <c r="AW580" s="8" t="s">
        <v>235</v>
      </c>
      <c r="AX580" s="4" t="s">
        <v>235</v>
      </c>
      <c r="AY580" s="8" t="s">
        <v>235</v>
      </c>
      <c r="AZ580" s="7" t="s">
        <v>235</v>
      </c>
      <c r="BA580" s="7" t="s">
        <v>235</v>
      </c>
      <c r="BB580" s="7"/>
      <c r="BC580" s="4" t="s">
        <v>235</v>
      </c>
      <c r="BD580" s="8" t="s">
        <v>235</v>
      </c>
      <c r="BE580" s="4" t="s">
        <v>235</v>
      </c>
      <c r="BF580" s="8" t="s">
        <v>235</v>
      </c>
      <c r="BG580" s="7" t="s">
        <v>235</v>
      </c>
      <c r="BH580" s="7" t="s">
        <v>235</v>
      </c>
      <c r="BI580" s="7"/>
      <c r="BJ580" s="4">
        <v>2</v>
      </c>
      <c r="BK580" s="8">
        <v>128.02</v>
      </c>
      <c r="BL580" s="2" t="s">
        <v>2767</v>
      </c>
      <c r="BM580" s="7"/>
      <c r="BN580" s="7"/>
      <c r="BO580" s="4"/>
      <c r="BP580" s="8"/>
      <c r="BQ580" s="4"/>
      <c r="BR580" s="8"/>
      <c r="BS580" s="7"/>
      <c r="BT580" s="7"/>
      <c r="BU580" s="2" t="s">
        <v>2752</v>
      </c>
      <c r="BV580" s="2" t="s">
        <v>243</v>
      </c>
      <c r="BW580" s="2" t="s">
        <v>235</v>
      </c>
      <c r="BX580" s="2" t="s">
        <v>244</v>
      </c>
      <c r="BY580" s="2" t="s">
        <v>245</v>
      </c>
      <c r="BZ580" s="2" t="s">
        <v>232</v>
      </c>
      <c r="CA580" s="2" t="s">
        <v>2758</v>
      </c>
      <c r="CB580" s="2" t="s">
        <v>2768</v>
      </c>
      <c r="CC580" s="2" t="s">
        <v>248</v>
      </c>
      <c r="CD580" s="2" t="s">
        <v>248</v>
      </c>
      <c r="CE580" s="2" t="s">
        <v>235</v>
      </c>
      <c r="CF580" s="4">
        <v>131</v>
      </c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>
        <v>131</v>
      </c>
      <c r="GE580" s="4">
        <v>130</v>
      </c>
      <c r="GF580" s="4">
        <v>129</v>
      </c>
      <c r="GG580" s="4">
        <v>128</v>
      </c>
      <c r="GH580" s="4">
        <v>127</v>
      </c>
      <c r="GI580" s="4">
        <v>125</v>
      </c>
      <c r="GJ580" s="4">
        <v>123</v>
      </c>
      <c r="GK580" s="4">
        <v>121</v>
      </c>
      <c r="GL580" s="4">
        <v>119</v>
      </c>
      <c r="GM580" s="4">
        <v>118</v>
      </c>
      <c r="GN580" s="4">
        <v>117</v>
      </c>
      <c r="GO580" s="4">
        <v>114</v>
      </c>
      <c r="GP580" s="4">
        <v>109</v>
      </c>
      <c r="GQ580" s="4">
        <v>105</v>
      </c>
      <c r="GR580" s="4">
        <v>92</v>
      </c>
      <c r="GS580" s="4">
        <v>81</v>
      </c>
      <c r="GT580" s="4">
        <v>74</v>
      </c>
      <c r="GU580" s="4">
        <v>71</v>
      </c>
      <c r="GV580" s="4">
        <v>69</v>
      </c>
      <c r="GW580" s="4">
        <v>67</v>
      </c>
      <c r="GX580" s="4">
        <v>65</v>
      </c>
      <c r="GY580" s="4">
        <v>63</v>
      </c>
      <c r="GZ580" s="4">
        <v>62</v>
      </c>
      <c r="HA580" s="4">
        <v>61</v>
      </c>
      <c r="HB580" s="4">
        <v>60</v>
      </c>
      <c r="HC580" s="4">
        <v>59</v>
      </c>
      <c r="HD580" s="19">
        <v>131</v>
      </c>
      <c r="HE580" s="19">
        <v>130</v>
      </c>
      <c r="HF580" s="19">
        <v>64.5</v>
      </c>
      <c r="HG580" s="19">
        <v>64</v>
      </c>
      <c r="HH580" s="19">
        <v>63.5</v>
      </c>
      <c r="HI580" s="19">
        <v>62.5</v>
      </c>
      <c r="HJ580" s="19">
        <v>61.5</v>
      </c>
      <c r="HK580" s="19">
        <v>60.5</v>
      </c>
      <c r="HL580" s="19">
        <v>59.5</v>
      </c>
      <c r="HM580" s="19">
        <v>39.3</v>
      </c>
      <c r="HN580" s="19">
        <v>19.5</v>
      </c>
      <c r="HO580" s="19">
        <v>14.3</v>
      </c>
      <c r="HP580" s="19">
        <v>12.1</v>
      </c>
      <c r="HQ580" s="19">
        <v>13.1</v>
      </c>
      <c r="HR580" s="19">
        <v>15.3</v>
      </c>
      <c r="HS580" s="19">
        <v>20.3</v>
      </c>
      <c r="HT580" s="19">
        <v>37</v>
      </c>
      <c r="HU580" s="19">
        <v>35.5</v>
      </c>
      <c r="HV580" s="19">
        <v>34.5</v>
      </c>
      <c r="HW580" s="19">
        <v>33.5</v>
      </c>
      <c r="HX580" s="19">
        <v>65</v>
      </c>
      <c r="HY580" s="19">
        <v>63</v>
      </c>
      <c r="HZ580" s="19">
        <v>62</v>
      </c>
      <c r="IA580" s="20">
        <v>0</v>
      </c>
      <c r="IB580" s="20">
        <v>0</v>
      </c>
      <c r="IC580" s="9"/>
    </row>
    <row r="581">
      <c r="A581" s="2" t="s">
        <v>2769</v>
      </c>
      <c r="B581" s="2" t="s">
        <v>905</v>
      </c>
      <c r="C581" s="2" t="s">
        <v>2746</v>
      </c>
      <c r="D581" s="2" t="s">
        <v>1177</v>
      </c>
      <c r="E581" s="2" t="s">
        <v>2747</v>
      </c>
      <c r="F581" s="2" t="s">
        <v>2748</v>
      </c>
      <c r="G581" s="2" t="s">
        <v>2748</v>
      </c>
      <c r="H581" s="2" t="s">
        <v>2748</v>
      </c>
      <c r="I581" s="2" t="s">
        <v>2749</v>
      </c>
      <c r="J581" s="2" t="s">
        <v>261</v>
      </c>
      <c r="K581" s="2" t="s">
        <v>1196</v>
      </c>
      <c r="L581" s="3">
        <v>81.51</v>
      </c>
      <c r="M581" s="3">
        <v>85.59</v>
      </c>
      <c r="N581" s="3">
        <v>174.99</v>
      </c>
      <c r="O581" s="2" t="s">
        <v>232</v>
      </c>
      <c r="P581" s="2" t="s">
        <v>233</v>
      </c>
      <c r="Q581" s="2" t="s">
        <v>234</v>
      </c>
      <c r="R581" s="2" t="s">
        <v>235</v>
      </c>
      <c r="S581" s="2" t="s">
        <v>2764</v>
      </c>
      <c r="T581" s="2" t="s">
        <v>2295</v>
      </c>
      <c r="U581" s="2" t="s">
        <v>807</v>
      </c>
      <c r="V581" s="2" t="s">
        <v>238</v>
      </c>
      <c r="W581" s="2" t="s">
        <v>239</v>
      </c>
      <c r="X581" s="2" t="s">
        <v>235</v>
      </c>
      <c r="Y581" s="2" t="s">
        <v>2756</v>
      </c>
      <c r="Z581" s="4">
        <v>304</v>
      </c>
      <c r="AA581" s="4">
        <f>=ROUNDDOWN(233.846153846154,0)</f>
      </c>
      <c r="AB581" s="5">
        <v>1.3</v>
      </c>
      <c r="AC581" s="2" t="s">
        <v>235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235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235</v>
      </c>
      <c r="AW581" s="8" t="s">
        <v>235</v>
      </c>
      <c r="AX581" s="4" t="s">
        <v>235</v>
      </c>
      <c r="AY581" s="8" t="s">
        <v>235</v>
      </c>
      <c r="AZ581" s="7" t="s">
        <v>235</v>
      </c>
      <c r="BA581" s="7" t="s">
        <v>235</v>
      </c>
      <c r="BB581" s="7"/>
      <c r="BC581" s="4" t="s">
        <v>235</v>
      </c>
      <c r="BD581" s="8" t="s">
        <v>235</v>
      </c>
      <c r="BE581" s="4" t="s">
        <v>235</v>
      </c>
      <c r="BF581" s="8" t="s">
        <v>235</v>
      </c>
      <c r="BG581" s="7" t="s">
        <v>235</v>
      </c>
      <c r="BH581" s="7" t="s">
        <v>235</v>
      </c>
      <c r="BI581" s="7"/>
      <c r="BJ581" s="4">
        <v>1</v>
      </c>
      <c r="BK581" s="8">
        <v>93.36</v>
      </c>
      <c r="BL581" s="2" t="s">
        <v>692</v>
      </c>
      <c r="BM581" s="7"/>
      <c r="BN581" s="7"/>
      <c r="BO581" s="4"/>
      <c r="BP581" s="8"/>
      <c r="BQ581" s="4"/>
      <c r="BR581" s="8"/>
      <c r="BS581" s="7"/>
      <c r="BT581" s="7"/>
      <c r="BU581" s="2" t="s">
        <v>2752</v>
      </c>
      <c r="BV581" s="2" t="s">
        <v>243</v>
      </c>
      <c r="BW581" s="2" t="s">
        <v>235</v>
      </c>
      <c r="BX581" s="2" t="s">
        <v>244</v>
      </c>
      <c r="BY581" s="2" t="s">
        <v>245</v>
      </c>
      <c r="BZ581" s="2" t="s">
        <v>232</v>
      </c>
      <c r="CA581" s="2" t="s">
        <v>2758</v>
      </c>
      <c r="CB581" s="2" t="s">
        <v>2657</v>
      </c>
      <c r="CC581" s="2" t="s">
        <v>248</v>
      </c>
      <c r="CD581" s="2" t="s">
        <v>248</v>
      </c>
      <c r="CE581" s="2" t="s">
        <v>235</v>
      </c>
      <c r="CF581" s="4">
        <v>304</v>
      </c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>
        <v>304</v>
      </c>
      <c r="GE581" s="4">
        <v>304</v>
      </c>
      <c r="GF581" s="4">
        <v>304</v>
      </c>
      <c r="GG581" s="4">
        <v>304</v>
      </c>
      <c r="GH581" s="4">
        <v>304</v>
      </c>
      <c r="GI581" s="4">
        <v>302</v>
      </c>
      <c r="GJ581" s="4">
        <v>300</v>
      </c>
      <c r="GK581" s="4">
        <v>298</v>
      </c>
      <c r="GL581" s="4">
        <v>296</v>
      </c>
      <c r="GM581" s="4">
        <v>295</v>
      </c>
      <c r="GN581" s="4">
        <v>294</v>
      </c>
      <c r="GO581" s="4">
        <v>291</v>
      </c>
      <c r="GP581" s="4">
        <v>287</v>
      </c>
      <c r="GQ581" s="4">
        <v>283</v>
      </c>
      <c r="GR581" s="4">
        <v>272</v>
      </c>
      <c r="GS581" s="4">
        <v>263</v>
      </c>
      <c r="GT581" s="4">
        <v>259</v>
      </c>
      <c r="GU581" s="4">
        <v>256</v>
      </c>
      <c r="GV581" s="4">
        <v>254</v>
      </c>
      <c r="GW581" s="4">
        <v>252</v>
      </c>
      <c r="GX581" s="4">
        <v>250</v>
      </c>
      <c r="GY581" s="4">
        <v>248</v>
      </c>
      <c r="GZ581" s="4">
        <v>248</v>
      </c>
      <c r="HA581" s="4">
        <v>248</v>
      </c>
      <c r="HB581" s="4">
        <v>248</v>
      </c>
      <c r="HC581" s="4">
        <v>248</v>
      </c>
      <c r="HD581" s="9"/>
      <c r="HE581" s="9"/>
      <c r="HF581" s="19">
        <v>304</v>
      </c>
      <c r="HG581" s="19">
        <v>152</v>
      </c>
      <c r="HH581" s="19">
        <v>152</v>
      </c>
      <c r="HI581" s="19">
        <v>151</v>
      </c>
      <c r="HJ581" s="19">
        <v>150</v>
      </c>
      <c r="HK581" s="19">
        <v>149</v>
      </c>
      <c r="HL581" s="19">
        <v>148</v>
      </c>
      <c r="HM581" s="19">
        <v>98.3</v>
      </c>
      <c r="HN581" s="19">
        <v>49</v>
      </c>
      <c r="HO581" s="19">
        <v>41.6</v>
      </c>
      <c r="HP581" s="19">
        <v>41</v>
      </c>
      <c r="HQ581" s="19">
        <v>40.4</v>
      </c>
      <c r="HR581" s="19">
        <v>68</v>
      </c>
      <c r="HS581" s="19">
        <v>87.7</v>
      </c>
      <c r="HT581" s="19">
        <v>129.5</v>
      </c>
      <c r="HU581" s="19">
        <v>128</v>
      </c>
      <c r="HV581" s="19">
        <v>127</v>
      </c>
      <c r="HW581" s="19">
        <v>252</v>
      </c>
      <c r="HX581" s="20">
        <v>0</v>
      </c>
      <c r="HY581" s="9"/>
      <c r="HZ581" s="9"/>
      <c r="IA581" s="9"/>
      <c r="IB581" s="9"/>
      <c r="IC581" s="9"/>
    </row>
    <row r="582">
      <c r="A582" s="2" t="s">
        <v>2770</v>
      </c>
      <c r="B582" s="2" t="s">
        <v>905</v>
      </c>
      <c r="C582" s="2" t="s">
        <v>2746</v>
      </c>
      <c r="D582" s="2" t="s">
        <v>1177</v>
      </c>
      <c r="E582" s="2" t="s">
        <v>2747</v>
      </c>
      <c r="F582" s="2" t="s">
        <v>2748</v>
      </c>
      <c r="G582" s="2" t="s">
        <v>2748</v>
      </c>
      <c r="H582" s="2" t="s">
        <v>2748</v>
      </c>
      <c r="I582" s="2" t="s">
        <v>2749</v>
      </c>
      <c r="J582" s="2" t="s">
        <v>270</v>
      </c>
      <c r="K582" s="2" t="s">
        <v>1196</v>
      </c>
      <c r="L582" s="3">
        <v>89.34</v>
      </c>
      <c r="M582" s="3">
        <v>93.81</v>
      </c>
      <c r="N582" s="3">
        <v>184.99</v>
      </c>
      <c r="O582" s="2" t="s">
        <v>232</v>
      </c>
      <c r="P582" s="2" t="s">
        <v>233</v>
      </c>
      <c r="Q582" s="2" t="s">
        <v>234</v>
      </c>
      <c r="R582" s="2" t="s">
        <v>235</v>
      </c>
      <c r="S582" s="2" t="s">
        <v>2764</v>
      </c>
      <c r="T582" s="2" t="s">
        <v>2295</v>
      </c>
      <c r="U582" s="2" t="s">
        <v>807</v>
      </c>
      <c r="V582" s="2" t="s">
        <v>238</v>
      </c>
      <c r="W582" s="2" t="s">
        <v>239</v>
      </c>
      <c r="X582" s="2" t="s">
        <v>235</v>
      </c>
      <c r="Y582" s="2" t="s">
        <v>2756</v>
      </c>
      <c r="Z582" s="4">
        <v>287</v>
      </c>
      <c r="AA582" s="4">
        <f>=ROUNDDOWN(179.375,0)</f>
      </c>
      <c r="AB582" s="5">
        <v>1.6</v>
      </c>
      <c r="AC582" s="2" t="s">
        <v>235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235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235</v>
      </c>
      <c r="AW582" s="8" t="s">
        <v>235</v>
      </c>
      <c r="AX582" s="4" t="s">
        <v>235</v>
      </c>
      <c r="AY582" s="8" t="s">
        <v>235</v>
      </c>
      <c r="AZ582" s="7" t="s">
        <v>235</v>
      </c>
      <c r="BA582" s="7" t="s">
        <v>235</v>
      </c>
      <c r="BB582" s="7"/>
      <c r="BC582" s="4" t="s">
        <v>235</v>
      </c>
      <c r="BD582" s="8" t="s">
        <v>235</v>
      </c>
      <c r="BE582" s="4" t="s">
        <v>235</v>
      </c>
      <c r="BF582" s="8" t="s">
        <v>235</v>
      </c>
      <c r="BG582" s="7" t="s">
        <v>235</v>
      </c>
      <c r="BH582" s="7" t="s">
        <v>235</v>
      </c>
      <c r="BI582" s="7"/>
      <c r="BJ582" s="4"/>
      <c r="BK582" s="8"/>
      <c r="BL582" s="2" t="s">
        <v>2757</v>
      </c>
      <c r="BM582" s="7"/>
      <c r="BN582" s="7"/>
      <c r="BO582" s="4"/>
      <c r="BP582" s="8"/>
      <c r="BQ582" s="4"/>
      <c r="BR582" s="8"/>
      <c r="BS582" s="7"/>
      <c r="BT582" s="7"/>
      <c r="BU582" s="2" t="s">
        <v>2752</v>
      </c>
      <c r="BV582" s="2" t="s">
        <v>243</v>
      </c>
      <c r="BW582" s="2" t="s">
        <v>235</v>
      </c>
      <c r="BX582" s="2" t="s">
        <v>244</v>
      </c>
      <c r="BY582" s="2" t="s">
        <v>245</v>
      </c>
      <c r="BZ582" s="2" t="s">
        <v>232</v>
      </c>
      <c r="CA582" s="2" t="s">
        <v>2758</v>
      </c>
      <c r="CB582" s="2" t="s">
        <v>2587</v>
      </c>
      <c r="CC582" s="2" t="s">
        <v>248</v>
      </c>
      <c r="CD582" s="2" t="s">
        <v>248</v>
      </c>
      <c r="CE582" s="2" t="s">
        <v>235</v>
      </c>
      <c r="CF582" s="4">
        <v>287</v>
      </c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>
        <v>287</v>
      </c>
      <c r="GE582" s="4">
        <v>286</v>
      </c>
      <c r="GF582" s="4">
        <v>285</v>
      </c>
      <c r="GG582" s="4">
        <v>284</v>
      </c>
      <c r="GH582" s="4">
        <v>283</v>
      </c>
      <c r="GI582" s="4">
        <v>280</v>
      </c>
      <c r="GJ582" s="4">
        <v>277</v>
      </c>
      <c r="GK582" s="4">
        <v>274</v>
      </c>
      <c r="GL582" s="4">
        <v>271</v>
      </c>
      <c r="GM582" s="4">
        <v>269</v>
      </c>
      <c r="GN582" s="4">
        <v>266</v>
      </c>
      <c r="GO582" s="4">
        <v>261</v>
      </c>
      <c r="GP582" s="4">
        <v>255</v>
      </c>
      <c r="GQ582" s="4">
        <v>250</v>
      </c>
      <c r="GR582" s="4">
        <v>238</v>
      </c>
      <c r="GS582" s="4">
        <v>227</v>
      </c>
      <c r="GT582" s="4">
        <v>220</v>
      </c>
      <c r="GU582" s="4">
        <v>215</v>
      </c>
      <c r="GV582" s="4">
        <v>212</v>
      </c>
      <c r="GW582" s="4">
        <v>209</v>
      </c>
      <c r="GX582" s="4">
        <v>206</v>
      </c>
      <c r="GY582" s="4">
        <v>203</v>
      </c>
      <c r="GZ582" s="4">
        <v>202</v>
      </c>
      <c r="HA582" s="4">
        <v>201</v>
      </c>
      <c r="HB582" s="4">
        <v>200</v>
      </c>
      <c r="HC582" s="4">
        <v>199</v>
      </c>
      <c r="HD582" s="19">
        <v>287</v>
      </c>
      <c r="HE582" s="19">
        <v>143</v>
      </c>
      <c r="HF582" s="19">
        <v>142.5</v>
      </c>
      <c r="HG582" s="19">
        <v>142</v>
      </c>
      <c r="HH582" s="19">
        <v>94.3</v>
      </c>
      <c r="HI582" s="19">
        <v>93.3</v>
      </c>
      <c r="HJ582" s="19">
        <v>92.3</v>
      </c>
      <c r="HK582" s="19">
        <v>91.3</v>
      </c>
      <c r="HL582" s="19">
        <v>67.8</v>
      </c>
      <c r="HM582" s="19">
        <v>53.8</v>
      </c>
      <c r="HN582" s="19">
        <v>38</v>
      </c>
      <c r="HO582" s="19">
        <v>32.6</v>
      </c>
      <c r="HP582" s="19">
        <v>28.3</v>
      </c>
      <c r="HQ582" s="19">
        <v>27.8</v>
      </c>
      <c r="HR582" s="19">
        <v>39.7</v>
      </c>
      <c r="HS582" s="19">
        <v>56.8</v>
      </c>
      <c r="HT582" s="19">
        <v>55</v>
      </c>
      <c r="HU582" s="19">
        <v>71.7</v>
      </c>
      <c r="HV582" s="19">
        <v>106</v>
      </c>
      <c r="HW582" s="19">
        <v>104.5</v>
      </c>
      <c r="HX582" s="19">
        <v>103</v>
      </c>
      <c r="HY582" s="19">
        <v>203</v>
      </c>
      <c r="HZ582" s="19">
        <v>202</v>
      </c>
      <c r="IA582" s="20">
        <v>0</v>
      </c>
      <c r="IB582" s="20">
        <v>0</v>
      </c>
      <c r="IC582" s="9"/>
    </row>
    <row r="583">
      <c r="A583" s="2" t="s">
        <v>2771</v>
      </c>
      <c r="B583" s="2" t="s">
        <v>905</v>
      </c>
      <c r="C583" s="2" t="s">
        <v>2746</v>
      </c>
      <c r="D583" s="2" t="s">
        <v>1177</v>
      </c>
      <c r="E583" s="2" t="s">
        <v>2747</v>
      </c>
      <c r="F583" s="2" t="s">
        <v>2748</v>
      </c>
      <c r="G583" s="2" t="s">
        <v>2748</v>
      </c>
      <c r="H583" s="2" t="s">
        <v>2748</v>
      </c>
      <c r="I583" s="2" t="s">
        <v>2749</v>
      </c>
      <c r="J583" s="2" t="s">
        <v>261</v>
      </c>
      <c r="K583" s="2" t="s">
        <v>292</v>
      </c>
      <c r="L583" s="3">
        <v>81.51</v>
      </c>
      <c r="M583" s="3">
        <v>85.59</v>
      </c>
      <c r="N583" s="3">
        <v>174.99</v>
      </c>
      <c r="O583" s="2" t="s">
        <v>232</v>
      </c>
      <c r="P583" s="2" t="s">
        <v>233</v>
      </c>
      <c r="Q583" s="2" t="s">
        <v>234</v>
      </c>
      <c r="R583" s="2" t="s">
        <v>235</v>
      </c>
      <c r="S583" s="2" t="s">
        <v>2772</v>
      </c>
      <c r="T583" s="2" t="s">
        <v>2295</v>
      </c>
      <c r="U583" s="2" t="s">
        <v>807</v>
      </c>
      <c r="V583" s="2" t="s">
        <v>238</v>
      </c>
      <c r="W583" s="2" t="s">
        <v>239</v>
      </c>
      <c r="X583" s="2" t="s">
        <v>235</v>
      </c>
      <c r="Y583" s="2" t="s">
        <v>1936</v>
      </c>
      <c r="Z583" s="4">
        <v>34</v>
      </c>
      <c r="AA583" s="4">
        <f>=ROUNDDOWN(14.7826086956522,0)</f>
      </c>
      <c r="AB583" s="5">
        <v>2.3</v>
      </c>
      <c r="AC583" s="2" t="s">
        <v>883</v>
      </c>
      <c r="AD583" s="4">
        <v>300</v>
      </c>
      <c r="AE583" s="4">
        <v>300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235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235</v>
      </c>
      <c r="AW583" s="8" t="s">
        <v>235</v>
      </c>
      <c r="AX583" s="4" t="s">
        <v>235</v>
      </c>
      <c r="AY583" s="8" t="s">
        <v>235</v>
      </c>
      <c r="AZ583" s="7" t="s">
        <v>235</v>
      </c>
      <c r="BA583" s="7" t="s">
        <v>235</v>
      </c>
      <c r="BB583" s="7"/>
      <c r="BC583" s="4" t="s">
        <v>235</v>
      </c>
      <c r="BD583" s="8" t="s">
        <v>235</v>
      </c>
      <c r="BE583" s="4" t="s">
        <v>235</v>
      </c>
      <c r="BF583" s="8" t="s">
        <v>235</v>
      </c>
      <c r="BG583" s="7" t="s">
        <v>235</v>
      </c>
      <c r="BH583" s="7" t="s">
        <v>235</v>
      </c>
      <c r="BI583" s="7"/>
      <c r="BJ583" s="4">
        <v>1</v>
      </c>
      <c r="BK583" s="8">
        <v>93.36</v>
      </c>
      <c r="BL583" s="2" t="s">
        <v>517</v>
      </c>
      <c r="BM583" s="7"/>
      <c r="BN583" s="7"/>
      <c r="BO583" s="4"/>
      <c r="BP583" s="8"/>
      <c r="BQ583" s="4"/>
      <c r="BR583" s="8"/>
      <c r="BS583" s="7"/>
      <c r="BT583" s="7"/>
      <c r="BU583" s="2" t="s">
        <v>2752</v>
      </c>
      <c r="BV583" s="2" t="s">
        <v>243</v>
      </c>
      <c r="BW583" s="2" t="s">
        <v>235</v>
      </c>
      <c r="BX583" s="2" t="s">
        <v>244</v>
      </c>
      <c r="BY583" s="2" t="s">
        <v>245</v>
      </c>
      <c r="BZ583" s="2" t="s">
        <v>232</v>
      </c>
      <c r="CA583" s="2" t="s">
        <v>2758</v>
      </c>
      <c r="CB583" s="2" t="s">
        <v>2773</v>
      </c>
      <c r="CC583" s="2" t="s">
        <v>248</v>
      </c>
      <c r="CD583" s="2" t="s">
        <v>248</v>
      </c>
      <c r="CE583" s="2" t="s">
        <v>235</v>
      </c>
      <c r="CF583" s="4">
        <v>34</v>
      </c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>
        <v>300</v>
      </c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>
        <v>34</v>
      </c>
      <c r="GE583" s="4">
        <v>333</v>
      </c>
      <c r="GF583" s="4">
        <v>332</v>
      </c>
      <c r="GG583" s="4">
        <v>331</v>
      </c>
      <c r="GH583" s="4">
        <v>330</v>
      </c>
      <c r="GI583" s="4">
        <v>324</v>
      </c>
      <c r="GJ583" s="4">
        <v>318</v>
      </c>
      <c r="GK583" s="4">
        <v>312</v>
      </c>
      <c r="GL583" s="4">
        <v>306</v>
      </c>
      <c r="GM583" s="4">
        <v>302</v>
      </c>
      <c r="GN583" s="4">
        <v>298</v>
      </c>
      <c r="GO583" s="4">
        <v>290</v>
      </c>
      <c r="GP583" s="4">
        <v>277</v>
      </c>
      <c r="GQ583" s="4">
        <v>266</v>
      </c>
      <c r="GR583" s="4">
        <v>233</v>
      </c>
      <c r="GS583" s="4">
        <v>207</v>
      </c>
      <c r="GT583" s="4">
        <v>194</v>
      </c>
      <c r="GU583" s="4">
        <v>184</v>
      </c>
      <c r="GV583" s="4">
        <v>178</v>
      </c>
      <c r="GW583" s="4">
        <v>172</v>
      </c>
      <c r="GX583" s="4">
        <v>166</v>
      </c>
      <c r="GY583" s="4">
        <v>160</v>
      </c>
      <c r="GZ583" s="4">
        <v>159</v>
      </c>
      <c r="HA583" s="4">
        <v>158</v>
      </c>
      <c r="HB583" s="4">
        <v>157</v>
      </c>
      <c r="HC583" s="4">
        <v>156</v>
      </c>
      <c r="HD583" s="19">
        <v>34</v>
      </c>
      <c r="HE583" s="19">
        <v>166.5</v>
      </c>
      <c r="HF583" s="19">
        <v>83</v>
      </c>
      <c r="HG583" s="19">
        <v>66.2</v>
      </c>
      <c r="HH583" s="19">
        <v>55</v>
      </c>
      <c r="HI583" s="19">
        <v>54</v>
      </c>
      <c r="HJ583" s="19">
        <v>63.6</v>
      </c>
      <c r="HK583" s="19">
        <v>52</v>
      </c>
      <c r="HL583" s="19">
        <v>43.7</v>
      </c>
      <c r="HM583" s="19">
        <v>33.6</v>
      </c>
      <c r="HN583" s="19">
        <v>18.6</v>
      </c>
      <c r="HO583" s="19">
        <v>13.8</v>
      </c>
      <c r="HP583" s="19">
        <v>13.2</v>
      </c>
      <c r="HQ583" s="19">
        <v>13.3</v>
      </c>
      <c r="HR583" s="19">
        <v>16.6</v>
      </c>
      <c r="HS583" s="19">
        <v>23</v>
      </c>
      <c r="HT583" s="19">
        <v>27.7</v>
      </c>
      <c r="HU583" s="19">
        <v>30.7</v>
      </c>
      <c r="HV583" s="19">
        <v>35.6</v>
      </c>
      <c r="HW583" s="19">
        <v>43</v>
      </c>
      <c r="HX583" s="19">
        <v>83</v>
      </c>
      <c r="HY583" s="19">
        <v>160</v>
      </c>
      <c r="HZ583" s="19">
        <v>159</v>
      </c>
      <c r="IA583" s="20">
        <v>0</v>
      </c>
      <c r="IB583" s="20">
        <v>0</v>
      </c>
      <c r="IC583" s="9"/>
    </row>
    <row r="584">
      <c r="A584" s="2" t="s">
        <v>2774</v>
      </c>
      <c r="B584" s="2" t="s">
        <v>905</v>
      </c>
      <c r="C584" s="2" t="s">
        <v>2746</v>
      </c>
      <c r="D584" s="2" t="s">
        <v>1177</v>
      </c>
      <c r="E584" s="2" t="s">
        <v>2747</v>
      </c>
      <c r="F584" s="2" t="s">
        <v>2748</v>
      </c>
      <c r="G584" s="2" t="s">
        <v>2748</v>
      </c>
      <c r="H584" s="2" t="s">
        <v>2748</v>
      </c>
      <c r="I584" s="2" t="s">
        <v>2749</v>
      </c>
      <c r="J584" s="2" t="s">
        <v>270</v>
      </c>
      <c r="K584" s="2" t="s">
        <v>292</v>
      </c>
      <c r="L584" s="3">
        <v>89.34</v>
      </c>
      <c r="M584" s="3">
        <v>93.81</v>
      </c>
      <c r="N584" s="3">
        <v>184.99</v>
      </c>
      <c r="O584" s="2" t="s">
        <v>232</v>
      </c>
      <c r="P584" s="2" t="s">
        <v>233</v>
      </c>
      <c r="Q584" s="2" t="s">
        <v>234</v>
      </c>
      <c r="R584" s="2" t="s">
        <v>235</v>
      </c>
      <c r="S584" s="2" t="s">
        <v>2772</v>
      </c>
      <c r="T584" s="2" t="s">
        <v>2295</v>
      </c>
      <c r="U584" s="2" t="s">
        <v>807</v>
      </c>
      <c r="V584" s="2" t="s">
        <v>238</v>
      </c>
      <c r="W584" s="2" t="s">
        <v>239</v>
      </c>
      <c r="X584" s="2" t="s">
        <v>235</v>
      </c>
      <c r="Y584" s="2" t="s">
        <v>2756</v>
      </c>
      <c r="Z584" s="4">
        <v>314</v>
      </c>
      <c r="AA584" s="4">
        <f>=ROUNDDOWN(80.5128205128205,0)</f>
      </c>
      <c r="AB584" s="5">
        <v>3.9</v>
      </c>
      <c r="AC584" s="2" t="s">
        <v>235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235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235</v>
      </c>
      <c r="AW584" s="8" t="s">
        <v>235</v>
      </c>
      <c r="AX584" s="4" t="s">
        <v>235</v>
      </c>
      <c r="AY584" s="8" t="s">
        <v>235</v>
      </c>
      <c r="AZ584" s="7" t="s">
        <v>235</v>
      </c>
      <c r="BA584" s="7" t="s">
        <v>235</v>
      </c>
      <c r="BB584" s="7"/>
      <c r="BC584" s="4" t="s">
        <v>235</v>
      </c>
      <c r="BD584" s="8" t="s">
        <v>235</v>
      </c>
      <c r="BE584" s="4" t="s">
        <v>235</v>
      </c>
      <c r="BF584" s="8" t="s">
        <v>235</v>
      </c>
      <c r="BG584" s="7" t="s">
        <v>235</v>
      </c>
      <c r="BH584" s="7" t="s">
        <v>235</v>
      </c>
      <c r="BI584" s="7"/>
      <c r="BJ584" s="4">
        <v>3</v>
      </c>
      <c r="BK584" s="8">
        <v>299.92</v>
      </c>
      <c r="BL584" s="2" t="s">
        <v>773</v>
      </c>
      <c r="BM584" s="7"/>
      <c r="BN584" s="7"/>
      <c r="BO584" s="4"/>
      <c r="BP584" s="8"/>
      <c r="BQ584" s="4"/>
      <c r="BR584" s="8"/>
      <c r="BS584" s="7"/>
      <c r="BT584" s="7"/>
      <c r="BU584" s="2" t="s">
        <v>2752</v>
      </c>
      <c r="BV584" s="2" t="s">
        <v>243</v>
      </c>
      <c r="BW584" s="2" t="s">
        <v>235</v>
      </c>
      <c r="BX584" s="2" t="s">
        <v>244</v>
      </c>
      <c r="BY584" s="2" t="s">
        <v>245</v>
      </c>
      <c r="BZ584" s="2" t="s">
        <v>232</v>
      </c>
      <c r="CA584" s="2" t="s">
        <v>2758</v>
      </c>
      <c r="CB584" s="2" t="s">
        <v>2657</v>
      </c>
      <c r="CC584" s="2" t="s">
        <v>248</v>
      </c>
      <c r="CD584" s="2" t="s">
        <v>248</v>
      </c>
      <c r="CE584" s="2" t="s">
        <v>235</v>
      </c>
      <c r="CF584" s="4">
        <v>286</v>
      </c>
      <c r="CG584" s="4">
        <v>28</v>
      </c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>
        <v>317</v>
      </c>
      <c r="GE584" s="4">
        <v>316</v>
      </c>
      <c r="GF584" s="4">
        <v>315</v>
      </c>
      <c r="GG584" s="4">
        <v>314</v>
      </c>
      <c r="GH584" s="4">
        <v>313</v>
      </c>
      <c r="GI584" s="4">
        <v>307</v>
      </c>
      <c r="GJ584" s="4">
        <v>301</v>
      </c>
      <c r="GK584" s="4">
        <v>295</v>
      </c>
      <c r="GL584" s="4">
        <v>289</v>
      </c>
      <c r="GM584" s="4">
        <v>284</v>
      </c>
      <c r="GN584" s="4">
        <v>278</v>
      </c>
      <c r="GO584" s="4">
        <v>269</v>
      </c>
      <c r="GP584" s="4">
        <v>258</v>
      </c>
      <c r="GQ584" s="4">
        <v>248</v>
      </c>
      <c r="GR584" s="4">
        <v>224</v>
      </c>
      <c r="GS584" s="4">
        <v>201</v>
      </c>
      <c r="GT584" s="4">
        <v>187</v>
      </c>
      <c r="GU584" s="4">
        <v>177</v>
      </c>
      <c r="GV584" s="4">
        <v>170</v>
      </c>
      <c r="GW584" s="4">
        <v>163</v>
      </c>
      <c r="GX584" s="4">
        <v>156</v>
      </c>
      <c r="GY584" s="4">
        <v>149</v>
      </c>
      <c r="GZ584" s="4">
        <v>147</v>
      </c>
      <c r="HA584" s="4">
        <v>145</v>
      </c>
      <c r="HB584" s="4">
        <v>143</v>
      </c>
      <c r="HC584" s="4">
        <v>141</v>
      </c>
      <c r="HD584" s="19">
        <v>317</v>
      </c>
      <c r="HE584" s="19">
        <v>158</v>
      </c>
      <c r="HF584" s="19">
        <v>78.8</v>
      </c>
      <c r="HG584" s="19">
        <v>62.8</v>
      </c>
      <c r="HH584" s="19">
        <v>52.2</v>
      </c>
      <c r="HI584" s="19">
        <v>51.2</v>
      </c>
      <c r="HJ584" s="19">
        <v>50.2</v>
      </c>
      <c r="HK584" s="19">
        <v>49.2</v>
      </c>
      <c r="HL584" s="19">
        <v>36.1</v>
      </c>
      <c r="HM584" s="19">
        <v>31.6</v>
      </c>
      <c r="HN584" s="19">
        <v>19.9</v>
      </c>
      <c r="HO584" s="19">
        <v>15.8</v>
      </c>
      <c r="HP584" s="19">
        <v>14.3</v>
      </c>
      <c r="HQ584" s="19">
        <v>13.8</v>
      </c>
      <c r="HR584" s="19">
        <v>16</v>
      </c>
      <c r="HS584" s="19">
        <v>20.1</v>
      </c>
      <c r="HT584" s="19">
        <v>23.4</v>
      </c>
      <c r="HU584" s="19">
        <v>25.3</v>
      </c>
      <c r="HV584" s="19">
        <v>28.3</v>
      </c>
      <c r="HW584" s="19">
        <v>40.8</v>
      </c>
      <c r="HX584" s="19">
        <v>52</v>
      </c>
      <c r="HY584" s="19">
        <v>74.5</v>
      </c>
      <c r="HZ584" s="19">
        <v>73.5</v>
      </c>
      <c r="IA584" s="19">
        <v>72.5</v>
      </c>
      <c r="IB584" s="19">
        <v>143</v>
      </c>
      <c r="IC584" s="19">
        <v>141</v>
      </c>
    </row>
    <row r="585">
      <c r="A585" s="2" t="s">
        <v>2775</v>
      </c>
      <c r="B585" s="2" t="s">
        <v>905</v>
      </c>
      <c r="C585" s="2" t="s">
        <v>2746</v>
      </c>
      <c r="D585" s="2" t="s">
        <v>1177</v>
      </c>
      <c r="E585" s="2" t="s">
        <v>2747</v>
      </c>
      <c r="F585" s="2" t="s">
        <v>2748</v>
      </c>
      <c r="G585" s="2" t="s">
        <v>2748</v>
      </c>
      <c r="H585" s="2" t="s">
        <v>2748</v>
      </c>
      <c r="I585" s="2" t="s">
        <v>2749</v>
      </c>
      <c r="J585" s="2" t="s">
        <v>394</v>
      </c>
      <c r="K585" s="2" t="s">
        <v>295</v>
      </c>
      <c r="L585" s="3">
        <v>51.56</v>
      </c>
      <c r="M585" s="3">
        <v>54.14</v>
      </c>
      <c r="N585" s="3">
        <v>104.99</v>
      </c>
      <c r="O585" s="2" t="s">
        <v>232</v>
      </c>
      <c r="P585" s="2" t="s">
        <v>233</v>
      </c>
      <c r="Q585" s="2" t="s">
        <v>234</v>
      </c>
      <c r="R585" s="2" t="s">
        <v>235</v>
      </c>
      <c r="S585" s="2" t="s">
        <v>2776</v>
      </c>
      <c r="T585" s="2" t="s">
        <v>2295</v>
      </c>
      <c r="U585" s="2" t="s">
        <v>807</v>
      </c>
      <c r="V585" s="2" t="s">
        <v>238</v>
      </c>
      <c r="W585" s="2" t="s">
        <v>239</v>
      </c>
      <c r="X585" s="2" t="s">
        <v>235</v>
      </c>
      <c r="Y585" s="2" t="s">
        <v>2756</v>
      </c>
      <c r="Z585" s="4">
        <v>56</v>
      </c>
      <c r="AA585" s="4">
        <f>=ROUNDDOWN(18.0645161290323,0)</f>
      </c>
      <c r="AB585" s="5">
        <v>3.1</v>
      </c>
      <c r="AC585" s="2" t="s">
        <v>235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235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235</v>
      </c>
      <c r="AW585" s="8" t="s">
        <v>235</v>
      </c>
      <c r="AX585" s="4" t="s">
        <v>235</v>
      </c>
      <c r="AY585" s="8" t="s">
        <v>235</v>
      </c>
      <c r="AZ585" s="7" t="s">
        <v>235</v>
      </c>
      <c r="BA585" s="7" t="s">
        <v>235</v>
      </c>
      <c r="BB585" s="7"/>
      <c r="BC585" s="4" t="s">
        <v>235</v>
      </c>
      <c r="BD585" s="8" t="s">
        <v>235</v>
      </c>
      <c r="BE585" s="4" t="s">
        <v>235</v>
      </c>
      <c r="BF585" s="8" t="s">
        <v>235</v>
      </c>
      <c r="BG585" s="7" t="s">
        <v>235</v>
      </c>
      <c r="BH585" s="7" t="s">
        <v>235</v>
      </c>
      <c r="BI585" s="7"/>
      <c r="BJ585" s="4">
        <v>3</v>
      </c>
      <c r="BK585" s="8">
        <v>174.93</v>
      </c>
      <c r="BL585" s="2" t="s">
        <v>536</v>
      </c>
      <c r="BM585" s="7"/>
      <c r="BN585" s="7"/>
      <c r="BO585" s="4"/>
      <c r="BP585" s="8"/>
      <c r="BQ585" s="4"/>
      <c r="BR585" s="8"/>
      <c r="BS585" s="7"/>
      <c r="BT585" s="7"/>
      <c r="BU585" s="2" t="s">
        <v>2752</v>
      </c>
      <c r="BV585" s="2" t="s">
        <v>243</v>
      </c>
      <c r="BW585" s="2" t="s">
        <v>235</v>
      </c>
      <c r="BX585" s="2" t="s">
        <v>244</v>
      </c>
      <c r="BY585" s="2" t="s">
        <v>245</v>
      </c>
      <c r="BZ585" s="2" t="s">
        <v>232</v>
      </c>
      <c r="CA585" s="2" t="s">
        <v>2758</v>
      </c>
      <c r="CB585" s="2" t="s">
        <v>2777</v>
      </c>
      <c r="CC585" s="2" t="s">
        <v>248</v>
      </c>
      <c r="CD585" s="2" t="s">
        <v>248</v>
      </c>
      <c r="CE585" s="2" t="s">
        <v>235</v>
      </c>
      <c r="CF585" s="4">
        <v>56</v>
      </c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>
        <v>56</v>
      </c>
      <c r="GE585" s="4">
        <v>55</v>
      </c>
      <c r="GF585" s="4">
        <v>54</v>
      </c>
      <c r="GG585" s="4">
        <v>53</v>
      </c>
      <c r="GH585" s="4">
        <v>52</v>
      </c>
      <c r="GI585" s="4">
        <v>49</v>
      </c>
      <c r="GJ585" s="4">
        <v>46</v>
      </c>
      <c r="GK585" s="4">
        <v>43</v>
      </c>
      <c r="GL585" s="4">
        <v>40</v>
      </c>
      <c r="GM585" s="4">
        <v>37</v>
      </c>
      <c r="GN585" s="4">
        <v>35</v>
      </c>
      <c r="GO585" s="4">
        <v>30</v>
      </c>
      <c r="GP585" s="4">
        <v>23</v>
      </c>
      <c r="GQ585" s="4">
        <v>15</v>
      </c>
      <c r="GR585" s="4"/>
      <c r="GS585" s="4"/>
      <c r="GT585" s="4"/>
      <c r="GU585" s="4"/>
      <c r="GV585" s="4"/>
      <c r="GW585" s="4">
        <v>54</v>
      </c>
      <c r="GX585" s="4">
        <v>51</v>
      </c>
      <c r="GY585" s="4">
        <v>48</v>
      </c>
      <c r="GZ585" s="4">
        <v>46</v>
      </c>
      <c r="HA585" s="4">
        <v>44</v>
      </c>
      <c r="HB585" s="4">
        <v>42</v>
      </c>
      <c r="HC585" s="4">
        <v>40</v>
      </c>
      <c r="HD585" s="19">
        <v>56</v>
      </c>
      <c r="HE585" s="19">
        <v>27.5</v>
      </c>
      <c r="HF585" s="19">
        <v>27</v>
      </c>
      <c r="HG585" s="19">
        <v>26.5</v>
      </c>
      <c r="HH585" s="19">
        <v>17.3</v>
      </c>
      <c r="HI585" s="19">
        <v>16.3</v>
      </c>
      <c r="HJ585" s="19">
        <v>15.3</v>
      </c>
      <c r="HK585" s="19">
        <v>14.3</v>
      </c>
      <c r="HL585" s="19">
        <v>10</v>
      </c>
      <c r="HM585" s="19">
        <v>6.2</v>
      </c>
      <c r="HN585" s="19">
        <v>3.2</v>
      </c>
      <c r="HO585" s="19">
        <v>2.1</v>
      </c>
      <c r="HP585" s="19">
        <v>1.4</v>
      </c>
      <c r="HQ585" s="19">
        <v>1</v>
      </c>
      <c r="HR585" s="20">
        <v>0</v>
      </c>
      <c r="HS585" s="20">
        <v>0</v>
      </c>
      <c r="HT585" s="20">
        <v>0</v>
      </c>
      <c r="HU585" s="20">
        <v>0</v>
      </c>
      <c r="HV585" s="20">
        <v>0</v>
      </c>
      <c r="HW585" s="19">
        <v>27</v>
      </c>
      <c r="HX585" s="19">
        <v>25.5</v>
      </c>
      <c r="HY585" s="19">
        <v>24</v>
      </c>
      <c r="HZ585" s="19">
        <v>23</v>
      </c>
      <c r="IA585" s="19">
        <v>22</v>
      </c>
      <c r="IB585" s="19">
        <v>42</v>
      </c>
      <c r="IC585" s="19">
        <v>40</v>
      </c>
    </row>
    <row r="586">
      <c r="A586" s="2" t="s">
        <v>2778</v>
      </c>
      <c r="B586" s="2" t="s">
        <v>905</v>
      </c>
      <c r="C586" s="2" t="s">
        <v>2746</v>
      </c>
      <c r="D586" s="2" t="s">
        <v>1177</v>
      </c>
      <c r="E586" s="2" t="s">
        <v>2747</v>
      </c>
      <c r="F586" s="2" t="s">
        <v>2748</v>
      </c>
      <c r="G586" s="2" t="s">
        <v>2748</v>
      </c>
      <c r="H586" s="2" t="s">
        <v>2748</v>
      </c>
      <c r="I586" s="2" t="s">
        <v>2749</v>
      </c>
      <c r="J586" s="2" t="s">
        <v>250</v>
      </c>
      <c r="K586" s="2" t="s">
        <v>295</v>
      </c>
      <c r="L586" s="3">
        <v>56.89</v>
      </c>
      <c r="M586" s="3">
        <v>59.73</v>
      </c>
      <c r="N586" s="3">
        <v>124.99</v>
      </c>
      <c r="O586" s="2" t="s">
        <v>232</v>
      </c>
      <c r="P586" s="2" t="s">
        <v>233</v>
      </c>
      <c r="Q586" s="2" t="s">
        <v>234</v>
      </c>
      <c r="R586" s="2" t="s">
        <v>235</v>
      </c>
      <c r="S586" s="2" t="s">
        <v>2776</v>
      </c>
      <c r="T586" s="2" t="s">
        <v>2295</v>
      </c>
      <c r="U586" s="2" t="s">
        <v>807</v>
      </c>
      <c r="V586" s="2" t="s">
        <v>238</v>
      </c>
      <c r="W586" s="2" t="s">
        <v>239</v>
      </c>
      <c r="X586" s="2" t="s">
        <v>235</v>
      </c>
      <c r="Y586" s="2" t="s">
        <v>1936</v>
      </c>
      <c r="Z586" s="4">
        <v>298</v>
      </c>
      <c r="AA586" s="4">
        <f>=ROUNDDOWN(47.3015873015873,0)</f>
      </c>
      <c r="AB586" s="5">
        <v>6.3</v>
      </c>
      <c r="AC586" s="2" t="s">
        <v>235</v>
      </c>
      <c r="AD586" s="4"/>
      <c r="AE586" s="4"/>
      <c r="AF586" s="6">
        <v>65</v>
      </c>
      <c r="AG586" s="6"/>
      <c r="AH586" s="7">
        <v>0.0968</v>
      </c>
      <c r="AI586" s="4"/>
      <c r="AJ586" s="4">
        <f>=ROUNDDOWN({0},0)</f>
      </c>
      <c r="AK586" s="5"/>
      <c r="AL586" s="2" t="s">
        <v>235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235</v>
      </c>
      <c r="AW586" s="8" t="s">
        <v>235</v>
      </c>
      <c r="AX586" s="4" t="s">
        <v>235</v>
      </c>
      <c r="AY586" s="8" t="s">
        <v>235</v>
      </c>
      <c r="AZ586" s="7" t="s">
        <v>235</v>
      </c>
      <c r="BA586" s="7" t="s">
        <v>235</v>
      </c>
      <c r="BB586" s="7"/>
      <c r="BC586" s="4" t="s">
        <v>235</v>
      </c>
      <c r="BD586" s="8" t="s">
        <v>235</v>
      </c>
      <c r="BE586" s="4" t="s">
        <v>235</v>
      </c>
      <c r="BF586" s="8" t="s">
        <v>235</v>
      </c>
      <c r="BG586" s="7" t="s">
        <v>235</v>
      </c>
      <c r="BH586" s="7" t="s">
        <v>235</v>
      </c>
      <c r="BI586" s="7"/>
      <c r="BJ586" s="4"/>
      <c r="BK586" s="8"/>
      <c r="BL586" s="2" t="s">
        <v>2779</v>
      </c>
      <c r="BM586" s="7"/>
      <c r="BN586" s="7"/>
      <c r="BO586" s="4"/>
      <c r="BP586" s="8"/>
      <c r="BQ586" s="4"/>
      <c r="BR586" s="8"/>
      <c r="BS586" s="7"/>
      <c r="BT586" s="7"/>
      <c r="BU586" s="2" t="s">
        <v>2752</v>
      </c>
      <c r="BV586" s="2" t="s">
        <v>243</v>
      </c>
      <c r="BW586" s="2" t="s">
        <v>235</v>
      </c>
      <c r="BX586" s="2" t="s">
        <v>244</v>
      </c>
      <c r="BY586" s="2" t="s">
        <v>245</v>
      </c>
      <c r="BZ586" s="2" t="s">
        <v>232</v>
      </c>
      <c r="CA586" s="2" t="s">
        <v>2758</v>
      </c>
      <c r="CB586" s="2" t="s">
        <v>2780</v>
      </c>
      <c r="CC586" s="2" t="s">
        <v>248</v>
      </c>
      <c r="CD586" s="2" t="s">
        <v>248</v>
      </c>
      <c r="CE586" s="2" t="s">
        <v>235</v>
      </c>
      <c r="CF586" s="4">
        <v>298</v>
      </c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>
        <v>299</v>
      </c>
      <c r="GE586" s="4">
        <v>296</v>
      </c>
      <c r="GF586" s="4">
        <v>294</v>
      </c>
      <c r="GG586" s="4">
        <v>292</v>
      </c>
      <c r="GH586" s="4">
        <v>290</v>
      </c>
      <c r="GI586" s="4">
        <v>281</v>
      </c>
      <c r="GJ586" s="4">
        <v>272</v>
      </c>
      <c r="GK586" s="4">
        <v>263</v>
      </c>
      <c r="GL586" s="4">
        <v>254</v>
      </c>
      <c r="GM586" s="4">
        <v>249</v>
      </c>
      <c r="GN586" s="4">
        <v>244</v>
      </c>
      <c r="GO586" s="4">
        <v>230</v>
      </c>
      <c r="GP586" s="4">
        <v>209</v>
      </c>
      <c r="GQ586" s="4">
        <v>191</v>
      </c>
      <c r="GR586" s="4">
        <v>134</v>
      </c>
      <c r="GS586" s="4">
        <v>83</v>
      </c>
      <c r="GT586" s="4">
        <v>53</v>
      </c>
      <c r="GU586" s="4">
        <v>39</v>
      </c>
      <c r="GV586" s="4">
        <v>28</v>
      </c>
      <c r="GW586" s="4">
        <v>92</v>
      </c>
      <c r="GX586" s="4">
        <v>81</v>
      </c>
      <c r="GY586" s="4">
        <v>70</v>
      </c>
      <c r="GZ586" s="4">
        <v>67</v>
      </c>
      <c r="HA586" s="4">
        <v>64</v>
      </c>
      <c r="HB586" s="4">
        <v>61</v>
      </c>
      <c r="HC586" s="4">
        <v>58</v>
      </c>
      <c r="HD586" s="19">
        <v>149.5</v>
      </c>
      <c r="HE586" s="19">
        <v>74</v>
      </c>
      <c r="HF586" s="19">
        <v>49</v>
      </c>
      <c r="HG586" s="19">
        <v>41.7</v>
      </c>
      <c r="HH586" s="19">
        <v>32.2</v>
      </c>
      <c r="HI586" s="19">
        <v>35.1</v>
      </c>
      <c r="HJ586" s="19">
        <v>38.9</v>
      </c>
      <c r="HK586" s="19">
        <v>32.9</v>
      </c>
      <c r="HL586" s="19">
        <v>23.1</v>
      </c>
      <c r="HM586" s="19">
        <v>17.8</v>
      </c>
      <c r="HN586" s="19">
        <v>8.7</v>
      </c>
      <c r="HO586" s="19">
        <v>6.2</v>
      </c>
      <c r="HP586" s="19">
        <v>5.4</v>
      </c>
      <c r="HQ586" s="19">
        <v>5</v>
      </c>
      <c r="HR586" s="19">
        <v>5.2</v>
      </c>
      <c r="HS586" s="19">
        <v>5.2</v>
      </c>
      <c r="HT586" s="19">
        <v>4.4</v>
      </c>
      <c r="HU586" s="19">
        <v>3.5</v>
      </c>
      <c r="HV586" s="19">
        <v>3.1</v>
      </c>
      <c r="HW586" s="19">
        <v>13.1</v>
      </c>
      <c r="HX586" s="19">
        <v>16.2</v>
      </c>
      <c r="HY586" s="19">
        <v>23.3</v>
      </c>
      <c r="HZ586" s="19">
        <v>33.5</v>
      </c>
      <c r="IA586" s="19">
        <v>32</v>
      </c>
      <c r="IB586" s="19">
        <v>30.5</v>
      </c>
      <c r="IC586" s="19">
        <v>58</v>
      </c>
    </row>
    <row r="587">
      <c r="A587" s="2" t="s">
        <v>2781</v>
      </c>
      <c r="B587" s="2" t="s">
        <v>905</v>
      </c>
      <c r="C587" s="2" t="s">
        <v>2746</v>
      </c>
      <c r="D587" s="2" t="s">
        <v>1177</v>
      </c>
      <c r="E587" s="2" t="s">
        <v>2747</v>
      </c>
      <c r="F587" s="2" t="s">
        <v>2748</v>
      </c>
      <c r="G587" s="2" t="s">
        <v>2748</v>
      </c>
      <c r="H587" s="2" t="s">
        <v>2748</v>
      </c>
      <c r="I587" s="2" t="s">
        <v>2749</v>
      </c>
      <c r="J587" s="2" t="s">
        <v>261</v>
      </c>
      <c r="K587" s="2" t="s">
        <v>295</v>
      </c>
      <c r="L587" s="3">
        <v>81.51</v>
      </c>
      <c r="M587" s="3">
        <v>85.59</v>
      </c>
      <c r="N587" s="3">
        <v>174.99</v>
      </c>
      <c r="O587" s="2" t="s">
        <v>232</v>
      </c>
      <c r="P587" s="2" t="s">
        <v>233</v>
      </c>
      <c r="Q587" s="2" t="s">
        <v>234</v>
      </c>
      <c r="R587" s="2" t="s">
        <v>235</v>
      </c>
      <c r="S587" s="2" t="s">
        <v>2776</v>
      </c>
      <c r="T587" s="2" t="s">
        <v>2295</v>
      </c>
      <c r="U587" s="2" t="s">
        <v>807</v>
      </c>
      <c r="V587" s="2" t="s">
        <v>238</v>
      </c>
      <c r="W587" s="2" t="s">
        <v>239</v>
      </c>
      <c r="X587" s="2" t="s">
        <v>235</v>
      </c>
      <c r="Y587" s="2" t="s">
        <v>2756</v>
      </c>
      <c r="Z587" s="4">
        <v>295</v>
      </c>
      <c r="AA587" s="4">
        <f>=ROUNDDOWN(14.75,0)</f>
      </c>
      <c r="AB587" s="5">
        <v>20</v>
      </c>
      <c r="AC587" s="2" t="s">
        <v>235</v>
      </c>
      <c r="AD587" s="4"/>
      <c r="AE587" s="4"/>
      <c r="AF587" s="6">
        <v>65</v>
      </c>
      <c r="AG587" s="6"/>
      <c r="AH587" s="7">
        <v>0.0968</v>
      </c>
      <c r="AI587" s="4"/>
      <c r="AJ587" s="4">
        <f>=ROUNDDOWN({0},0)</f>
      </c>
      <c r="AK587" s="5"/>
      <c r="AL587" s="2" t="s">
        <v>235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235</v>
      </c>
      <c r="AW587" s="8" t="s">
        <v>235</v>
      </c>
      <c r="AX587" s="4" t="s">
        <v>235</v>
      </c>
      <c r="AY587" s="8" t="s">
        <v>235</v>
      </c>
      <c r="AZ587" s="7" t="s">
        <v>235</v>
      </c>
      <c r="BA587" s="7" t="s">
        <v>235</v>
      </c>
      <c r="BB587" s="7"/>
      <c r="BC587" s="4" t="s">
        <v>235</v>
      </c>
      <c r="BD587" s="8" t="s">
        <v>235</v>
      </c>
      <c r="BE587" s="4" t="s">
        <v>235</v>
      </c>
      <c r="BF587" s="8" t="s">
        <v>235</v>
      </c>
      <c r="BG587" s="7" t="s">
        <v>235</v>
      </c>
      <c r="BH587" s="7" t="s">
        <v>235</v>
      </c>
      <c r="BI587" s="7"/>
      <c r="BJ587" s="4"/>
      <c r="BK587" s="8"/>
      <c r="BL587" s="2" t="s">
        <v>2757</v>
      </c>
      <c r="BM587" s="7"/>
      <c r="BN587" s="7"/>
      <c r="BO587" s="4"/>
      <c r="BP587" s="8"/>
      <c r="BQ587" s="4"/>
      <c r="BR587" s="8"/>
      <c r="BS587" s="7"/>
      <c r="BT587" s="7"/>
      <c r="BU587" s="2" t="s">
        <v>2752</v>
      </c>
      <c r="BV587" s="2" t="s">
        <v>243</v>
      </c>
      <c r="BW587" s="2" t="s">
        <v>235</v>
      </c>
      <c r="BX587" s="2" t="s">
        <v>244</v>
      </c>
      <c r="BY587" s="2" t="s">
        <v>245</v>
      </c>
      <c r="BZ587" s="2" t="s">
        <v>232</v>
      </c>
      <c r="CA587" s="2" t="s">
        <v>2758</v>
      </c>
      <c r="CB587" s="2" t="s">
        <v>2765</v>
      </c>
      <c r="CC587" s="2" t="s">
        <v>248</v>
      </c>
      <c r="CD587" s="2" t="s">
        <v>248</v>
      </c>
      <c r="CE587" s="2" t="s">
        <v>235</v>
      </c>
      <c r="CF587" s="4">
        <v>295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>
        <v>296</v>
      </c>
      <c r="GE587" s="4">
        <v>287</v>
      </c>
      <c r="GF587" s="4">
        <v>279</v>
      </c>
      <c r="GG587" s="4">
        <v>271</v>
      </c>
      <c r="GH587" s="4">
        <v>263</v>
      </c>
      <c r="GI587" s="4">
        <v>248</v>
      </c>
      <c r="GJ587" s="4">
        <v>233</v>
      </c>
      <c r="GK587" s="4">
        <v>218</v>
      </c>
      <c r="GL587" s="4">
        <v>203</v>
      </c>
      <c r="GM587" s="4">
        <v>192</v>
      </c>
      <c r="GN587" s="4">
        <v>181</v>
      </c>
      <c r="GO587" s="4">
        <v>160</v>
      </c>
      <c r="GP587" s="4">
        <v>128</v>
      </c>
      <c r="GQ587" s="4">
        <v>99</v>
      </c>
      <c r="GR587" s="4">
        <v>16</v>
      </c>
      <c r="GS587" s="4"/>
      <c r="GT587" s="4"/>
      <c r="GU587" s="4"/>
      <c r="GV587" s="4"/>
      <c r="GW587" s="4">
        <v>84</v>
      </c>
      <c r="GX587" s="4">
        <v>69</v>
      </c>
      <c r="GY587" s="4">
        <v>54</v>
      </c>
      <c r="GZ587" s="4">
        <v>46</v>
      </c>
      <c r="HA587" s="4">
        <v>38</v>
      </c>
      <c r="HB587" s="4">
        <v>30</v>
      </c>
      <c r="HC587" s="4">
        <v>232</v>
      </c>
      <c r="HD587" s="19">
        <v>37</v>
      </c>
      <c r="HE587" s="19">
        <v>28.7</v>
      </c>
      <c r="HF587" s="19">
        <v>23.3</v>
      </c>
      <c r="HG587" s="19">
        <v>20.8</v>
      </c>
      <c r="HH587" s="19">
        <v>17.5</v>
      </c>
      <c r="HI587" s="19">
        <v>17.7</v>
      </c>
      <c r="HJ587" s="19">
        <v>17.9</v>
      </c>
      <c r="HK587" s="19">
        <v>15.6</v>
      </c>
      <c r="HL587" s="19">
        <v>10.7</v>
      </c>
      <c r="HM587" s="19">
        <v>8.3</v>
      </c>
      <c r="HN587" s="19">
        <v>4.4</v>
      </c>
      <c r="HO587" s="19">
        <v>3.1</v>
      </c>
      <c r="HP587" s="19">
        <v>2.5</v>
      </c>
      <c r="HQ587" s="19">
        <v>1.9</v>
      </c>
      <c r="HR587" s="19">
        <v>0.5</v>
      </c>
      <c r="HS587" s="20">
        <v>0</v>
      </c>
      <c r="HT587" s="20">
        <v>0</v>
      </c>
      <c r="HU587" s="20">
        <v>0</v>
      </c>
      <c r="HV587" s="20">
        <v>0</v>
      </c>
      <c r="HW587" s="19">
        <v>7</v>
      </c>
      <c r="HX587" s="19">
        <v>6.9</v>
      </c>
      <c r="HY587" s="19">
        <v>6.8</v>
      </c>
      <c r="HZ587" s="19">
        <v>6.6</v>
      </c>
      <c r="IA587" s="19">
        <v>6.3</v>
      </c>
      <c r="IB587" s="19">
        <v>6</v>
      </c>
      <c r="IC587" s="19">
        <v>58</v>
      </c>
    </row>
    <row r="588">
      <c r="A588" s="2" t="s">
        <v>2782</v>
      </c>
      <c r="B588" s="2" t="s">
        <v>852</v>
      </c>
      <c r="C588" s="2" t="s">
        <v>1561</v>
      </c>
      <c r="D588" s="2" t="s">
        <v>854</v>
      </c>
      <c r="E588" s="2" t="s">
        <v>855</v>
      </c>
      <c r="F588" s="2" t="s">
        <v>2783</v>
      </c>
      <c r="G588" s="2" t="s">
        <v>2783</v>
      </c>
      <c r="H588" s="2" t="s">
        <v>2783</v>
      </c>
      <c r="I588" s="2" t="s">
        <v>2784</v>
      </c>
      <c r="J588" s="2" t="s">
        <v>2785</v>
      </c>
      <c r="K588" s="2" t="s">
        <v>295</v>
      </c>
      <c r="L588" s="3">
        <v>17.02</v>
      </c>
      <c r="M588" s="3">
        <v>17.87</v>
      </c>
      <c r="N588" s="3">
        <v>49.99</v>
      </c>
      <c r="O588" s="2" t="s">
        <v>407</v>
      </c>
      <c r="P588" s="2" t="s">
        <v>408</v>
      </c>
      <c r="Q588" s="2" t="s">
        <v>234</v>
      </c>
      <c r="R588" s="2" t="s">
        <v>235</v>
      </c>
      <c r="S588" s="2" t="s">
        <v>235</v>
      </c>
      <c r="T588" s="2" t="s">
        <v>235</v>
      </c>
      <c r="U588" s="2" t="s">
        <v>807</v>
      </c>
      <c r="V588" s="2" t="s">
        <v>238</v>
      </c>
      <c r="W588" s="2" t="s">
        <v>329</v>
      </c>
      <c r="X588" s="2" t="s">
        <v>235</v>
      </c>
      <c r="Y588" s="2" t="s">
        <v>2145</v>
      </c>
      <c r="Z588" s="4">
        <v>9</v>
      </c>
      <c r="AA588" s="4">
        <f>=ROUNDDOWN(1.60714285714286,0)</f>
      </c>
      <c r="AB588" s="5">
        <v>5.6</v>
      </c>
      <c r="AC588" s="2" t="s">
        <v>235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235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235</v>
      </c>
      <c r="AW588" s="8" t="s">
        <v>235</v>
      </c>
      <c r="AX588" s="4" t="s">
        <v>235</v>
      </c>
      <c r="AY588" s="8" t="s">
        <v>235</v>
      </c>
      <c r="AZ588" s="7" t="s">
        <v>235</v>
      </c>
      <c r="BA588" s="7" t="s">
        <v>235</v>
      </c>
      <c r="BB588" s="7"/>
      <c r="BC588" s="4" t="s">
        <v>235</v>
      </c>
      <c r="BD588" s="8" t="s">
        <v>235</v>
      </c>
      <c r="BE588" s="4" t="s">
        <v>235</v>
      </c>
      <c r="BF588" s="8" t="s">
        <v>235</v>
      </c>
      <c r="BG588" s="7" t="s">
        <v>235</v>
      </c>
      <c r="BH588" s="7" t="s">
        <v>235</v>
      </c>
      <c r="BI588" s="7"/>
      <c r="BJ588" s="4">
        <v>42</v>
      </c>
      <c r="BK588" s="8">
        <v>1667.61</v>
      </c>
      <c r="BL588" s="2" t="s">
        <v>2786</v>
      </c>
      <c r="BM588" s="7"/>
      <c r="BN588" s="7"/>
      <c r="BO588" s="4"/>
      <c r="BP588" s="8"/>
      <c r="BQ588" s="4"/>
      <c r="BR588" s="8"/>
      <c r="BS588" s="7"/>
      <c r="BT588" s="7"/>
      <c r="BU588" s="2" t="s">
        <v>2787</v>
      </c>
      <c r="BV588" s="2" t="s">
        <v>867</v>
      </c>
      <c r="BW588" s="2" t="s">
        <v>235</v>
      </c>
      <c r="BX588" s="2" t="s">
        <v>414</v>
      </c>
      <c r="BY588" s="2" t="s">
        <v>245</v>
      </c>
      <c r="BZ588" s="2" t="s">
        <v>232</v>
      </c>
      <c r="CA588" s="2" t="s">
        <v>1577</v>
      </c>
      <c r="CB588" s="2" t="s">
        <v>2788</v>
      </c>
      <c r="CC588" s="2" t="s">
        <v>248</v>
      </c>
      <c r="CD588" s="2" t="s">
        <v>248</v>
      </c>
      <c r="CE588" s="2" t="s">
        <v>235</v>
      </c>
      <c r="CF588" s="4">
        <v>9</v>
      </c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>
        <v>10</v>
      </c>
      <c r="GE588" s="4">
        <v>2</v>
      </c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19">
        <v>1.7</v>
      </c>
      <c r="HE588" s="19">
        <v>0.3</v>
      </c>
      <c r="HF588" s="20">
        <v>0</v>
      </c>
      <c r="HG588" s="20">
        <v>0</v>
      </c>
      <c r="HH588" s="20">
        <v>0</v>
      </c>
      <c r="HI588" s="20">
        <v>0</v>
      </c>
      <c r="HJ588" s="20">
        <v>0</v>
      </c>
      <c r="HK588" s="20">
        <v>0</v>
      </c>
      <c r="HL588" s="20">
        <v>0</v>
      </c>
      <c r="HM588" s="20">
        <v>0</v>
      </c>
      <c r="HN588" s="20">
        <v>0</v>
      </c>
      <c r="HO588" s="20">
        <v>0</v>
      </c>
      <c r="HP588" s="20">
        <v>0</v>
      </c>
      <c r="HQ588" s="20">
        <v>0</v>
      </c>
      <c r="HR588" s="20">
        <v>0</v>
      </c>
      <c r="HS588" s="20">
        <v>0</v>
      </c>
      <c r="HT588" s="20">
        <v>0</v>
      </c>
      <c r="HU588" s="20">
        <v>0</v>
      </c>
      <c r="HV588" s="20">
        <v>0</v>
      </c>
      <c r="HW588" s="20">
        <v>0</v>
      </c>
      <c r="HX588" s="20">
        <v>0</v>
      </c>
      <c r="HY588" s="20">
        <v>0</v>
      </c>
      <c r="HZ588" s="20">
        <v>0</v>
      </c>
      <c r="IA588" s="20">
        <v>0</v>
      </c>
      <c r="IB588" s="20">
        <v>0</v>
      </c>
      <c r="IC588" s="20">
        <v>0</v>
      </c>
    </row>
    <row r="589">
      <c r="A589" s="2" t="s">
        <v>2789</v>
      </c>
      <c r="B589" s="2" t="s">
        <v>852</v>
      </c>
      <c r="C589" s="2" t="s">
        <v>1561</v>
      </c>
      <c r="D589" s="2" t="s">
        <v>854</v>
      </c>
      <c r="E589" s="2" t="s">
        <v>855</v>
      </c>
      <c r="F589" s="2" t="s">
        <v>2783</v>
      </c>
      <c r="G589" s="2" t="s">
        <v>2783</v>
      </c>
      <c r="H589" s="2" t="s">
        <v>2783</v>
      </c>
      <c r="I589" s="2" t="s">
        <v>2784</v>
      </c>
      <c r="J589" s="2" t="s">
        <v>2790</v>
      </c>
      <c r="K589" s="2" t="s">
        <v>295</v>
      </c>
      <c r="L589" s="3">
        <v>15.32</v>
      </c>
      <c r="M589" s="3">
        <v>16.09</v>
      </c>
      <c r="N589" s="3">
        <v>44.99</v>
      </c>
      <c r="O589" s="2" t="s">
        <v>407</v>
      </c>
      <c r="P589" s="2" t="s">
        <v>408</v>
      </c>
      <c r="Q589" s="2" t="s">
        <v>234</v>
      </c>
      <c r="R589" s="2" t="s">
        <v>235</v>
      </c>
      <c r="S589" s="2" t="s">
        <v>235</v>
      </c>
      <c r="T589" s="2" t="s">
        <v>235</v>
      </c>
      <c r="U589" s="2" t="s">
        <v>807</v>
      </c>
      <c r="V589" s="2" t="s">
        <v>238</v>
      </c>
      <c r="W589" s="2" t="s">
        <v>329</v>
      </c>
      <c r="X589" s="2" t="s">
        <v>235</v>
      </c>
      <c r="Y589" s="2" t="s">
        <v>2145</v>
      </c>
      <c r="Z589" s="4">
        <v>164</v>
      </c>
      <c r="AA589" s="4">
        <f>=ROUNDDOWN(164,0)</f>
      </c>
      <c r="AB589" s="5">
        <v>1</v>
      </c>
      <c r="AC589" s="2" t="s">
        <v>235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235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235</v>
      </c>
      <c r="AW589" s="8" t="s">
        <v>235</v>
      </c>
      <c r="AX589" s="4" t="s">
        <v>235</v>
      </c>
      <c r="AY589" s="8" t="s">
        <v>235</v>
      </c>
      <c r="AZ589" s="7" t="s">
        <v>235</v>
      </c>
      <c r="BA589" s="7" t="s">
        <v>235</v>
      </c>
      <c r="BB589" s="7"/>
      <c r="BC589" s="4" t="s">
        <v>235</v>
      </c>
      <c r="BD589" s="8" t="s">
        <v>235</v>
      </c>
      <c r="BE589" s="4" t="s">
        <v>235</v>
      </c>
      <c r="BF589" s="8" t="s">
        <v>235</v>
      </c>
      <c r="BG589" s="7" t="s">
        <v>235</v>
      </c>
      <c r="BH589" s="7" t="s">
        <v>235</v>
      </c>
      <c r="BI589" s="7"/>
      <c r="BJ589" s="4">
        <v>3</v>
      </c>
      <c r="BK589" s="8">
        <v>93.57</v>
      </c>
      <c r="BL589" s="2" t="s">
        <v>2791</v>
      </c>
      <c r="BM589" s="7"/>
      <c r="BN589" s="7"/>
      <c r="BO589" s="4"/>
      <c r="BP589" s="8"/>
      <c r="BQ589" s="4"/>
      <c r="BR589" s="8"/>
      <c r="BS589" s="7"/>
      <c r="BT589" s="7"/>
      <c r="BU589" s="2" t="s">
        <v>2787</v>
      </c>
      <c r="BV589" s="2" t="s">
        <v>867</v>
      </c>
      <c r="BW589" s="2" t="s">
        <v>235</v>
      </c>
      <c r="BX589" s="2" t="s">
        <v>414</v>
      </c>
      <c r="BY589" s="2" t="s">
        <v>245</v>
      </c>
      <c r="BZ589" s="2" t="s">
        <v>232</v>
      </c>
      <c r="CA589" s="2" t="s">
        <v>1577</v>
      </c>
      <c r="CB589" s="2" t="s">
        <v>2441</v>
      </c>
      <c r="CC589" s="2" t="s">
        <v>248</v>
      </c>
      <c r="CD589" s="2" t="s">
        <v>248</v>
      </c>
      <c r="CE589" s="2" t="s">
        <v>235</v>
      </c>
      <c r="CF589" s="4">
        <v>164</v>
      </c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>
        <v>164</v>
      </c>
      <c r="GE589" s="4">
        <v>163</v>
      </c>
      <c r="GF589" s="4">
        <v>162</v>
      </c>
      <c r="GG589" s="4">
        <v>161</v>
      </c>
      <c r="GH589" s="4">
        <v>160</v>
      </c>
      <c r="GI589" s="4">
        <v>159</v>
      </c>
      <c r="GJ589" s="4">
        <v>158</v>
      </c>
      <c r="GK589" s="4">
        <v>157</v>
      </c>
      <c r="GL589" s="4">
        <v>156</v>
      </c>
      <c r="GM589" s="4">
        <v>155</v>
      </c>
      <c r="GN589" s="4">
        <v>154</v>
      </c>
      <c r="GO589" s="4">
        <v>152</v>
      </c>
      <c r="GP589" s="4">
        <v>150</v>
      </c>
      <c r="GQ589" s="4">
        <v>147</v>
      </c>
      <c r="GR589" s="4">
        <v>145</v>
      </c>
      <c r="GS589" s="4">
        <v>143</v>
      </c>
      <c r="GT589" s="4">
        <v>142</v>
      </c>
      <c r="GU589" s="4">
        <v>141</v>
      </c>
      <c r="GV589" s="4">
        <v>140</v>
      </c>
      <c r="GW589" s="4">
        <v>139</v>
      </c>
      <c r="GX589" s="4">
        <v>138</v>
      </c>
      <c r="GY589" s="4">
        <v>137</v>
      </c>
      <c r="GZ589" s="4">
        <v>136</v>
      </c>
      <c r="HA589" s="4">
        <v>135</v>
      </c>
      <c r="HB589" s="4">
        <v>134</v>
      </c>
      <c r="HC589" s="4">
        <v>133</v>
      </c>
      <c r="HD589" s="19">
        <v>164</v>
      </c>
      <c r="HE589" s="19">
        <v>163</v>
      </c>
      <c r="HF589" s="19">
        <v>162</v>
      </c>
      <c r="HG589" s="19">
        <v>161</v>
      </c>
      <c r="HH589" s="19">
        <v>160</v>
      </c>
      <c r="HI589" s="19">
        <v>159</v>
      </c>
      <c r="HJ589" s="19">
        <v>158</v>
      </c>
      <c r="HK589" s="19">
        <v>157</v>
      </c>
      <c r="HL589" s="19">
        <v>78</v>
      </c>
      <c r="HM589" s="19">
        <v>77.5</v>
      </c>
      <c r="HN589" s="19">
        <v>77</v>
      </c>
      <c r="HO589" s="19">
        <v>76</v>
      </c>
      <c r="HP589" s="19">
        <v>75</v>
      </c>
      <c r="HQ589" s="19">
        <v>73.5</v>
      </c>
      <c r="HR589" s="19">
        <v>145</v>
      </c>
      <c r="HS589" s="19">
        <v>143</v>
      </c>
      <c r="HT589" s="19">
        <v>142</v>
      </c>
      <c r="HU589" s="19">
        <v>141</v>
      </c>
      <c r="HV589" s="19">
        <v>140</v>
      </c>
      <c r="HW589" s="19">
        <v>139</v>
      </c>
      <c r="HX589" s="19">
        <v>138</v>
      </c>
      <c r="HY589" s="19">
        <v>137</v>
      </c>
      <c r="HZ589" s="19">
        <v>136</v>
      </c>
      <c r="IA589" s="19">
        <v>135</v>
      </c>
      <c r="IB589" s="19">
        <v>134</v>
      </c>
      <c r="IC589" s="19">
        <v>133</v>
      </c>
    </row>
    <row r="590">
      <c r="A590" s="2" t="s">
        <v>2792</v>
      </c>
      <c r="B590" s="2" t="s">
        <v>852</v>
      </c>
      <c r="C590" s="2" t="s">
        <v>1561</v>
      </c>
      <c r="D590" s="2" t="s">
        <v>854</v>
      </c>
      <c r="E590" s="2" t="s">
        <v>855</v>
      </c>
      <c r="F590" s="2" t="s">
        <v>2783</v>
      </c>
      <c r="G590" s="2" t="s">
        <v>2783</v>
      </c>
      <c r="H590" s="2" t="s">
        <v>2783</v>
      </c>
      <c r="I590" s="2" t="s">
        <v>2784</v>
      </c>
      <c r="J590" s="2" t="s">
        <v>2785</v>
      </c>
      <c r="K590" s="2" t="s">
        <v>316</v>
      </c>
      <c r="L590" s="3">
        <v>17.02</v>
      </c>
      <c r="M590" s="3">
        <v>17.87</v>
      </c>
      <c r="N590" s="3">
        <v>49.99</v>
      </c>
      <c r="O590" s="2" t="s">
        <v>407</v>
      </c>
      <c r="P590" s="2" t="s">
        <v>408</v>
      </c>
      <c r="Q590" s="2" t="s">
        <v>234</v>
      </c>
      <c r="R590" s="2" t="s">
        <v>235</v>
      </c>
      <c r="S590" s="2" t="s">
        <v>235</v>
      </c>
      <c r="T590" s="2" t="s">
        <v>235</v>
      </c>
      <c r="U590" s="2" t="s">
        <v>807</v>
      </c>
      <c r="V590" s="2" t="s">
        <v>238</v>
      </c>
      <c r="W590" s="2" t="s">
        <v>329</v>
      </c>
      <c r="X590" s="2" t="s">
        <v>235</v>
      </c>
      <c r="Y590" s="2" t="s">
        <v>2145</v>
      </c>
      <c r="Z590" s="4">
        <v>61</v>
      </c>
      <c r="AA590" s="4">
        <f>=ROUNDDOWN(30.5,0)</f>
      </c>
      <c r="AB590" s="5">
        <v>2</v>
      </c>
      <c r="AC590" s="2" t="s">
        <v>235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235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235</v>
      </c>
      <c r="AW590" s="8" t="s">
        <v>235</v>
      </c>
      <c r="AX590" s="4" t="s">
        <v>235</v>
      </c>
      <c r="AY590" s="8" t="s">
        <v>235</v>
      </c>
      <c r="AZ590" s="7" t="s">
        <v>235</v>
      </c>
      <c r="BA590" s="7" t="s">
        <v>235</v>
      </c>
      <c r="BB590" s="7"/>
      <c r="BC590" s="4" t="s">
        <v>235</v>
      </c>
      <c r="BD590" s="8" t="s">
        <v>235</v>
      </c>
      <c r="BE590" s="4" t="s">
        <v>235</v>
      </c>
      <c r="BF590" s="8" t="s">
        <v>235</v>
      </c>
      <c r="BG590" s="7" t="s">
        <v>235</v>
      </c>
      <c r="BH590" s="7" t="s">
        <v>235</v>
      </c>
      <c r="BI590" s="7"/>
      <c r="BJ590" s="4">
        <v>1</v>
      </c>
      <c r="BK590" s="8">
        <v>26.51</v>
      </c>
      <c r="BL590" s="2" t="s">
        <v>900</v>
      </c>
      <c r="BM590" s="7"/>
      <c r="BN590" s="7"/>
      <c r="BO590" s="4"/>
      <c r="BP590" s="8"/>
      <c r="BQ590" s="4"/>
      <c r="BR590" s="8"/>
      <c r="BS590" s="7"/>
      <c r="BT590" s="7"/>
      <c r="BU590" s="2" t="s">
        <v>2787</v>
      </c>
      <c r="BV590" s="2" t="s">
        <v>867</v>
      </c>
      <c r="BW590" s="2" t="s">
        <v>235</v>
      </c>
      <c r="BX590" s="2" t="s">
        <v>414</v>
      </c>
      <c r="BY590" s="2" t="s">
        <v>245</v>
      </c>
      <c r="BZ590" s="2" t="s">
        <v>232</v>
      </c>
      <c r="CA590" s="2" t="s">
        <v>1577</v>
      </c>
      <c r="CB590" s="2" t="s">
        <v>2793</v>
      </c>
      <c r="CC590" s="2" t="s">
        <v>248</v>
      </c>
      <c r="CD590" s="2" t="s">
        <v>248</v>
      </c>
      <c r="CE590" s="2" t="s">
        <v>235</v>
      </c>
      <c r="CF590" s="4">
        <v>61</v>
      </c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>
        <v>61</v>
      </c>
      <c r="GE590" s="4">
        <v>59</v>
      </c>
      <c r="GF590" s="4">
        <v>57</v>
      </c>
      <c r="GG590" s="4">
        <v>55</v>
      </c>
      <c r="GH590" s="4">
        <v>53</v>
      </c>
      <c r="GI590" s="4">
        <v>51</v>
      </c>
      <c r="GJ590" s="4">
        <v>49</v>
      </c>
      <c r="GK590" s="4">
        <v>47</v>
      </c>
      <c r="GL590" s="4">
        <v>45</v>
      </c>
      <c r="GM590" s="4">
        <v>43</v>
      </c>
      <c r="GN590" s="4">
        <v>41</v>
      </c>
      <c r="GO590" s="4">
        <v>38</v>
      </c>
      <c r="GP590" s="4">
        <v>35</v>
      </c>
      <c r="GQ590" s="4">
        <v>29</v>
      </c>
      <c r="GR590" s="4">
        <v>26</v>
      </c>
      <c r="GS590" s="4">
        <v>23</v>
      </c>
      <c r="GT590" s="4">
        <v>21</v>
      </c>
      <c r="GU590" s="4">
        <v>20</v>
      </c>
      <c r="GV590" s="4">
        <v>18</v>
      </c>
      <c r="GW590" s="4">
        <v>16</v>
      </c>
      <c r="GX590" s="4">
        <v>14</v>
      </c>
      <c r="GY590" s="4">
        <v>12</v>
      </c>
      <c r="GZ590" s="4">
        <v>10</v>
      </c>
      <c r="HA590" s="4">
        <v>8</v>
      </c>
      <c r="HB590" s="4">
        <v>6</v>
      </c>
      <c r="HC590" s="4">
        <v>4</v>
      </c>
      <c r="HD590" s="19">
        <v>30.5</v>
      </c>
      <c r="HE590" s="19">
        <v>29.5</v>
      </c>
      <c r="HF590" s="19">
        <v>28.5</v>
      </c>
      <c r="HG590" s="19">
        <v>27.5</v>
      </c>
      <c r="HH590" s="19">
        <v>26.5</v>
      </c>
      <c r="HI590" s="19">
        <v>25.5</v>
      </c>
      <c r="HJ590" s="19">
        <v>24.5</v>
      </c>
      <c r="HK590" s="19">
        <v>23.5</v>
      </c>
      <c r="HL590" s="19">
        <v>22.5</v>
      </c>
      <c r="HM590" s="19">
        <v>10.8</v>
      </c>
      <c r="HN590" s="19">
        <v>10.3</v>
      </c>
      <c r="HO590" s="19">
        <v>9.5</v>
      </c>
      <c r="HP590" s="19">
        <v>8.8</v>
      </c>
      <c r="HQ590" s="19">
        <v>14.5</v>
      </c>
      <c r="HR590" s="19">
        <v>13</v>
      </c>
      <c r="HS590" s="19">
        <v>11.5</v>
      </c>
      <c r="HT590" s="19">
        <v>10.5</v>
      </c>
      <c r="HU590" s="19">
        <v>10</v>
      </c>
      <c r="HV590" s="19">
        <v>9</v>
      </c>
      <c r="HW590" s="19">
        <v>8</v>
      </c>
      <c r="HX590" s="19">
        <v>7</v>
      </c>
      <c r="HY590" s="19">
        <v>6</v>
      </c>
      <c r="HZ590" s="19">
        <v>5</v>
      </c>
      <c r="IA590" s="19">
        <v>4</v>
      </c>
      <c r="IB590" s="19">
        <v>3</v>
      </c>
      <c r="IC590" s="19">
        <v>2</v>
      </c>
    </row>
    <row r="591">
      <c r="A591" s="2" t="s">
        <v>2794</v>
      </c>
      <c r="B591" s="2" t="s">
        <v>852</v>
      </c>
      <c r="C591" s="2" t="s">
        <v>1561</v>
      </c>
      <c r="D591" s="2" t="s">
        <v>854</v>
      </c>
      <c r="E591" s="2" t="s">
        <v>855</v>
      </c>
      <c r="F591" s="2" t="s">
        <v>2783</v>
      </c>
      <c r="G591" s="2" t="s">
        <v>2783</v>
      </c>
      <c r="H591" s="2" t="s">
        <v>2783</v>
      </c>
      <c r="I591" s="2" t="s">
        <v>2784</v>
      </c>
      <c r="J591" s="2" t="s">
        <v>2790</v>
      </c>
      <c r="K591" s="2" t="s">
        <v>316</v>
      </c>
      <c r="L591" s="3">
        <v>15.32</v>
      </c>
      <c r="M591" s="3">
        <v>16.09</v>
      </c>
      <c r="N591" s="3">
        <v>44.99</v>
      </c>
      <c r="O591" s="2" t="s">
        <v>407</v>
      </c>
      <c r="P591" s="2" t="s">
        <v>408</v>
      </c>
      <c r="Q591" s="2" t="s">
        <v>234</v>
      </c>
      <c r="R591" s="2" t="s">
        <v>235</v>
      </c>
      <c r="S591" s="2" t="s">
        <v>235</v>
      </c>
      <c r="T591" s="2" t="s">
        <v>235</v>
      </c>
      <c r="U591" s="2" t="s">
        <v>807</v>
      </c>
      <c r="V591" s="2" t="s">
        <v>238</v>
      </c>
      <c r="W591" s="2" t="s">
        <v>329</v>
      </c>
      <c r="X591" s="2" t="s">
        <v>235</v>
      </c>
      <c r="Y591" s="2" t="s">
        <v>2145</v>
      </c>
      <c r="Z591" s="4">
        <v>198</v>
      </c>
      <c r="AA591" s="4">
        <f>=ROUNDDOWN(99,0)</f>
      </c>
      <c r="AB591" s="5">
        <v>2</v>
      </c>
      <c r="AC591" s="2" t="s">
        <v>235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235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235</v>
      </c>
      <c r="AW591" s="8" t="s">
        <v>235</v>
      </c>
      <c r="AX591" s="4" t="s">
        <v>235</v>
      </c>
      <c r="AY591" s="8" t="s">
        <v>235</v>
      </c>
      <c r="AZ591" s="7" t="s">
        <v>235</v>
      </c>
      <c r="BA591" s="7" t="s">
        <v>235</v>
      </c>
      <c r="BB591" s="7"/>
      <c r="BC591" s="4" t="s">
        <v>235</v>
      </c>
      <c r="BD591" s="8" t="s">
        <v>235</v>
      </c>
      <c r="BE591" s="4" t="s">
        <v>235</v>
      </c>
      <c r="BF591" s="8" t="s">
        <v>235</v>
      </c>
      <c r="BG591" s="7" t="s">
        <v>235</v>
      </c>
      <c r="BH591" s="7" t="s">
        <v>235</v>
      </c>
      <c r="BI591" s="7"/>
      <c r="BJ591" s="4"/>
      <c r="BK591" s="8"/>
      <c r="BL591" s="2" t="s">
        <v>1907</v>
      </c>
      <c r="BM591" s="7"/>
      <c r="BN591" s="7"/>
      <c r="BO591" s="4"/>
      <c r="BP591" s="8"/>
      <c r="BQ591" s="4"/>
      <c r="BR591" s="8"/>
      <c r="BS591" s="7"/>
      <c r="BT591" s="7"/>
      <c r="BU591" s="2" t="s">
        <v>2787</v>
      </c>
      <c r="BV591" s="2" t="s">
        <v>867</v>
      </c>
      <c r="BW591" s="2" t="s">
        <v>235</v>
      </c>
      <c r="BX591" s="2" t="s">
        <v>414</v>
      </c>
      <c r="BY591" s="2" t="s">
        <v>245</v>
      </c>
      <c r="BZ591" s="2" t="s">
        <v>232</v>
      </c>
      <c r="CA591" s="2" t="s">
        <v>1577</v>
      </c>
      <c r="CB591" s="2" t="s">
        <v>2743</v>
      </c>
      <c r="CC591" s="2" t="s">
        <v>248</v>
      </c>
      <c r="CD591" s="2" t="s">
        <v>248</v>
      </c>
      <c r="CE591" s="2" t="s">
        <v>235</v>
      </c>
      <c r="CF591" s="4">
        <v>198</v>
      </c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>
        <v>198</v>
      </c>
      <c r="GE591" s="4">
        <v>196</v>
      </c>
      <c r="GF591" s="4">
        <v>194</v>
      </c>
      <c r="GG591" s="4">
        <v>192</v>
      </c>
      <c r="GH591" s="4">
        <v>190</v>
      </c>
      <c r="GI591" s="4">
        <v>188</v>
      </c>
      <c r="GJ591" s="4">
        <v>186</v>
      </c>
      <c r="GK591" s="4">
        <v>184</v>
      </c>
      <c r="GL591" s="4">
        <v>182</v>
      </c>
      <c r="GM591" s="4">
        <v>180</v>
      </c>
      <c r="GN591" s="4">
        <v>178</v>
      </c>
      <c r="GO591" s="4">
        <v>175</v>
      </c>
      <c r="GP591" s="4">
        <v>172</v>
      </c>
      <c r="GQ591" s="4">
        <v>166</v>
      </c>
      <c r="GR591" s="4">
        <v>163</v>
      </c>
      <c r="GS591" s="4">
        <v>160</v>
      </c>
      <c r="GT591" s="4">
        <v>158</v>
      </c>
      <c r="GU591" s="4">
        <v>157</v>
      </c>
      <c r="GV591" s="4">
        <v>155</v>
      </c>
      <c r="GW591" s="4">
        <v>153</v>
      </c>
      <c r="GX591" s="4">
        <v>151</v>
      </c>
      <c r="GY591" s="4">
        <v>149</v>
      </c>
      <c r="GZ591" s="4">
        <v>147</v>
      </c>
      <c r="HA591" s="4">
        <v>145</v>
      </c>
      <c r="HB591" s="4">
        <v>143</v>
      </c>
      <c r="HC591" s="4">
        <v>141</v>
      </c>
      <c r="HD591" s="19">
        <v>99</v>
      </c>
      <c r="HE591" s="19">
        <v>98</v>
      </c>
      <c r="HF591" s="19">
        <v>97</v>
      </c>
      <c r="HG591" s="19">
        <v>96</v>
      </c>
      <c r="HH591" s="19">
        <v>95</v>
      </c>
      <c r="HI591" s="19">
        <v>94</v>
      </c>
      <c r="HJ591" s="19">
        <v>93</v>
      </c>
      <c r="HK591" s="19">
        <v>92</v>
      </c>
      <c r="HL591" s="19">
        <v>91</v>
      </c>
      <c r="HM591" s="19">
        <v>45</v>
      </c>
      <c r="HN591" s="19">
        <v>44.5</v>
      </c>
      <c r="HO591" s="19">
        <v>43.8</v>
      </c>
      <c r="HP591" s="19">
        <v>43</v>
      </c>
      <c r="HQ591" s="19">
        <v>83</v>
      </c>
      <c r="HR591" s="19">
        <v>81.5</v>
      </c>
      <c r="HS591" s="19">
        <v>80</v>
      </c>
      <c r="HT591" s="19">
        <v>79</v>
      </c>
      <c r="HU591" s="19">
        <v>78.5</v>
      </c>
      <c r="HV591" s="19">
        <v>77.5</v>
      </c>
      <c r="HW591" s="19">
        <v>76.5</v>
      </c>
      <c r="HX591" s="19">
        <v>75.5</v>
      </c>
      <c r="HY591" s="19">
        <v>74.5</v>
      </c>
      <c r="HZ591" s="19">
        <v>73.5</v>
      </c>
      <c r="IA591" s="19">
        <v>72.5</v>
      </c>
      <c r="IB591" s="19">
        <v>71.5</v>
      </c>
      <c r="IC591" s="19">
        <v>70.5</v>
      </c>
    </row>
    <row r="592">
      <c r="A592" s="2" t="s">
        <v>2795</v>
      </c>
      <c r="B592" s="2" t="s">
        <v>1139</v>
      </c>
      <c r="C592" s="2" t="s">
        <v>832</v>
      </c>
      <c r="D592" s="2" t="s">
        <v>2796</v>
      </c>
      <c r="E592" s="2" t="s">
        <v>2797</v>
      </c>
      <c r="F592" s="2" t="s">
        <v>2798</v>
      </c>
      <c r="G592" s="2" t="s">
        <v>2798</v>
      </c>
      <c r="H592" s="2" t="s">
        <v>2798</v>
      </c>
      <c r="I592" s="2" t="s">
        <v>2799</v>
      </c>
      <c r="J592" s="2" t="s">
        <v>897</v>
      </c>
      <c r="K592" s="2" t="s">
        <v>1575</v>
      </c>
      <c r="L592" s="3">
        <v>6.07</v>
      </c>
      <c r="M592" s="3">
        <v>6.37</v>
      </c>
      <c r="N592" s="3">
        <v>19.99</v>
      </c>
      <c r="O592" s="2" t="s">
        <v>485</v>
      </c>
      <c r="P592" s="2" t="s">
        <v>408</v>
      </c>
      <c r="Q592" s="2" t="s">
        <v>234</v>
      </c>
      <c r="R592" s="2" t="s">
        <v>235</v>
      </c>
      <c r="S592" s="2" t="s">
        <v>235</v>
      </c>
      <c r="T592" s="2" t="s">
        <v>235</v>
      </c>
      <c r="U592" s="2" t="s">
        <v>807</v>
      </c>
      <c r="V592" s="2" t="s">
        <v>824</v>
      </c>
      <c r="W592" s="2" t="s">
        <v>329</v>
      </c>
      <c r="X592" s="2" t="s">
        <v>235</v>
      </c>
      <c r="Y592" s="2" t="s">
        <v>2800</v>
      </c>
      <c r="Z592" s="4"/>
      <c r="AA592" s="4">
        <f>=ROUNDDOWN({0},0)</f>
      </c>
      <c r="AB592" s="5">
        <v>1.7</v>
      </c>
      <c r="AC592" s="2" t="s">
        <v>235</v>
      </c>
      <c r="AD592" s="4"/>
      <c r="AE592" s="4"/>
      <c r="AF592" s="6">
        <v>65</v>
      </c>
      <c r="AG592" s="6"/>
      <c r="AH592" s="7">
        <v>0.8387</v>
      </c>
      <c r="AI592" s="4"/>
      <c r="AJ592" s="4">
        <f>=ROUNDDOWN({0},0)</f>
      </c>
      <c r="AK592" s="5"/>
      <c r="AL592" s="2" t="s">
        <v>235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>
        <v>2</v>
      </c>
      <c r="BK592" s="8">
        <v>14.94</v>
      </c>
      <c r="BL592" s="2" t="s">
        <v>2026</v>
      </c>
      <c r="BM592" s="7"/>
      <c r="BN592" s="7"/>
      <c r="BO592" s="4"/>
      <c r="BP592" s="8"/>
      <c r="BQ592" s="4"/>
      <c r="BR592" s="8"/>
      <c r="BS592" s="7"/>
      <c r="BT592" s="7"/>
      <c r="BU592" s="2" t="s">
        <v>2801</v>
      </c>
      <c r="BV592" s="2" t="s">
        <v>618</v>
      </c>
      <c r="BW592" s="2" t="s">
        <v>235</v>
      </c>
      <c r="BX592" s="2" t="s">
        <v>414</v>
      </c>
      <c r="BY592" s="2" t="s">
        <v>245</v>
      </c>
      <c r="BZ592" s="2" t="s">
        <v>232</v>
      </c>
      <c r="CA592" s="2" t="s">
        <v>838</v>
      </c>
      <c r="CB592" s="2" t="s">
        <v>2762</v>
      </c>
      <c r="CC592" s="2" t="s">
        <v>248</v>
      </c>
      <c r="CD592" s="2" t="s">
        <v>248</v>
      </c>
      <c r="CE592" s="2" t="s">
        <v>235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>
        <v>43</v>
      </c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19">
        <v>3.3</v>
      </c>
      <c r="HE592" s="20">
        <v>0</v>
      </c>
      <c r="HF592" s="20">
        <v>0</v>
      </c>
      <c r="HG592" s="20">
        <v>0</v>
      </c>
      <c r="HH592" s="20">
        <v>0</v>
      </c>
      <c r="HI592" s="20">
        <v>0</v>
      </c>
      <c r="HJ592" s="20">
        <v>0</v>
      </c>
      <c r="HK592" s="20">
        <v>0</v>
      </c>
      <c r="HL592" s="20">
        <v>0</v>
      </c>
      <c r="HM592" s="20">
        <v>0</v>
      </c>
      <c r="HN592" s="20">
        <v>0</v>
      </c>
      <c r="HO592" s="20">
        <v>0</v>
      </c>
      <c r="HP592" s="20">
        <v>0</v>
      </c>
      <c r="HQ592" s="20">
        <v>0</v>
      </c>
      <c r="HR592" s="20">
        <v>0</v>
      </c>
      <c r="HS592" s="20">
        <v>0</v>
      </c>
      <c r="HT592" s="20">
        <v>0</v>
      </c>
      <c r="HU592" s="20">
        <v>0</v>
      </c>
      <c r="HV592" s="20">
        <v>0</v>
      </c>
      <c r="HW592" s="20">
        <v>0</v>
      </c>
      <c r="HX592" s="20">
        <v>0</v>
      </c>
      <c r="HY592" s="20">
        <v>0</v>
      </c>
      <c r="HZ592" s="20">
        <v>0</v>
      </c>
      <c r="IA592" s="20">
        <v>0</v>
      </c>
      <c r="IB592" s="20">
        <v>0</v>
      </c>
      <c r="IC592" s="20">
        <v>0</v>
      </c>
    </row>
    <row r="593">
      <c r="A593" s="2" t="s">
        <v>2802</v>
      </c>
      <c r="B593" s="2" t="s">
        <v>817</v>
      </c>
      <c r="C593" s="2" t="s">
        <v>923</v>
      </c>
      <c r="D593" s="2" t="s">
        <v>818</v>
      </c>
      <c r="E593" s="2" t="s">
        <v>819</v>
      </c>
      <c r="F593" s="2" t="s">
        <v>2803</v>
      </c>
      <c r="G593" s="2" t="s">
        <v>2803</v>
      </c>
      <c r="H593" s="2" t="s">
        <v>2803</v>
      </c>
      <c r="I593" s="2" t="s">
        <v>2804</v>
      </c>
      <c r="J593" s="2" t="s">
        <v>897</v>
      </c>
      <c r="K593" s="2" t="s">
        <v>2805</v>
      </c>
      <c r="L593" s="3">
        <v>37.27</v>
      </c>
      <c r="M593" s="3">
        <v>39.13</v>
      </c>
      <c r="N593" s="3">
        <v>76.49</v>
      </c>
      <c r="O593" s="2" t="s">
        <v>485</v>
      </c>
      <c r="P593" s="2" t="s">
        <v>408</v>
      </c>
      <c r="Q593" s="2" t="s">
        <v>234</v>
      </c>
      <c r="R593" s="2" t="s">
        <v>235</v>
      </c>
      <c r="S593" s="2" t="s">
        <v>2806</v>
      </c>
      <c r="T593" s="2" t="s">
        <v>235</v>
      </c>
      <c r="U593" s="2" t="s">
        <v>552</v>
      </c>
      <c r="V593" s="2" t="s">
        <v>863</v>
      </c>
      <c r="W593" s="2" t="s">
        <v>682</v>
      </c>
      <c r="X593" s="2" t="s">
        <v>809</v>
      </c>
      <c r="Y593" s="2" t="s">
        <v>2807</v>
      </c>
      <c r="Z593" s="4">
        <v>25</v>
      </c>
      <c r="AA593" s="4">
        <f>=ROUNDDOWN(20.8333333333333,0)</f>
      </c>
      <c r="AB593" s="5">
        <v>1.2</v>
      </c>
      <c r="AC593" s="2" t="s">
        <v>235</v>
      </c>
      <c r="AD593" s="4"/>
      <c r="AE593" s="4"/>
      <c r="AF593" s="6">
        <v>61</v>
      </c>
      <c r="AG593" s="6"/>
      <c r="AH593" s="7">
        <v>1</v>
      </c>
      <c r="AI593" s="4"/>
      <c r="AJ593" s="4">
        <f>=ROUNDDOWN({0},0)</f>
      </c>
      <c r="AK593" s="5"/>
      <c r="AL593" s="2" t="s">
        <v>235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>
        <v>6</v>
      </c>
      <c r="BK593" s="8">
        <v>263.32</v>
      </c>
      <c r="BL593" s="2" t="s">
        <v>2808</v>
      </c>
      <c r="BM593" s="7"/>
      <c r="BN593" s="7"/>
      <c r="BO593" s="4"/>
      <c r="BP593" s="8"/>
      <c r="BQ593" s="4"/>
      <c r="BR593" s="8"/>
      <c r="BS593" s="7"/>
      <c r="BT593" s="7"/>
      <c r="BU593" s="2" t="s">
        <v>2809</v>
      </c>
      <c r="BV593" s="2" t="s">
        <v>828</v>
      </c>
      <c r="BW593" s="2" t="s">
        <v>235</v>
      </c>
      <c r="BX593" s="2" t="s">
        <v>414</v>
      </c>
      <c r="BY593" s="2" t="s">
        <v>245</v>
      </c>
      <c r="BZ593" s="2" t="s">
        <v>232</v>
      </c>
      <c r="CA593" s="2" t="s">
        <v>2810</v>
      </c>
      <c r="CB593" s="2" t="s">
        <v>2811</v>
      </c>
      <c r="CC593" s="2" t="s">
        <v>248</v>
      </c>
      <c r="CD593" s="2" t="s">
        <v>248</v>
      </c>
      <c r="CE593" s="2" t="s">
        <v>235</v>
      </c>
      <c r="CF593" s="4"/>
      <c r="CG593" s="4">
        <v>25</v>
      </c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>
        <v>26</v>
      </c>
      <c r="GE593" s="4">
        <v>24</v>
      </c>
      <c r="GF593" s="4">
        <v>23</v>
      </c>
      <c r="GG593" s="4">
        <v>22</v>
      </c>
      <c r="GH593" s="4">
        <v>21</v>
      </c>
      <c r="GI593" s="4">
        <v>20</v>
      </c>
      <c r="GJ593" s="4">
        <v>19</v>
      </c>
      <c r="GK593" s="4">
        <v>18</v>
      </c>
      <c r="GL593" s="4">
        <v>17</v>
      </c>
      <c r="GM593" s="4">
        <v>16</v>
      </c>
      <c r="GN593" s="4">
        <v>15</v>
      </c>
      <c r="GO593" s="4">
        <v>14</v>
      </c>
      <c r="GP593" s="4">
        <v>13</v>
      </c>
      <c r="GQ593" s="4">
        <v>12</v>
      </c>
      <c r="GR593" s="4">
        <v>11</v>
      </c>
      <c r="GS593" s="4">
        <v>10</v>
      </c>
      <c r="GT593" s="4">
        <v>9</v>
      </c>
      <c r="GU593" s="4">
        <v>8</v>
      </c>
      <c r="GV593" s="4">
        <v>7</v>
      </c>
      <c r="GW593" s="4">
        <v>6</v>
      </c>
      <c r="GX593" s="4">
        <v>5</v>
      </c>
      <c r="GY593" s="4">
        <v>4</v>
      </c>
      <c r="GZ593" s="4">
        <v>3</v>
      </c>
      <c r="HA593" s="4">
        <v>2</v>
      </c>
      <c r="HB593" s="4">
        <v>1</v>
      </c>
      <c r="HC593" s="4"/>
      <c r="HD593" s="19">
        <v>26</v>
      </c>
      <c r="HE593" s="19">
        <v>24</v>
      </c>
      <c r="HF593" s="19">
        <v>23</v>
      </c>
      <c r="HG593" s="19">
        <v>22</v>
      </c>
      <c r="HH593" s="19">
        <v>21</v>
      </c>
      <c r="HI593" s="19">
        <v>20</v>
      </c>
      <c r="HJ593" s="19">
        <v>19</v>
      </c>
      <c r="HK593" s="19">
        <v>18</v>
      </c>
      <c r="HL593" s="19">
        <v>17</v>
      </c>
      <c r="HM593" s="19">
        <v>16</v>
      </c>
      <c r="HN593" s="19">
        <v>15</v>
      </c>
      <c r="HO593" s="19">
        <v>14</v>
      </c>
      <c r="HP593" s="19">
        <v>13</v>
      </c>
      <c r="HQ593" s="19">
        <v>12</v>
      </c>
      <c r="HR593" s="19">
        <v>11</v>
      </c>
      <c r="HS593" s="19">
        <v>10</v>
      </c>
      <c r="HT593" s="19">
        <v>9</v>
      </c>
      <c r="HU593" s="19">
        <v>8</v>
      </c>
      <c r="HV593" s="19">
        <v>7</v>
      </c>
      <c r="HW593" s="19">
        <v>6</v>
      </c>
      <c r="HX593" s="19">
        <v>5</v>
      </c>
      <c r="HY593" s="19">
        <v>4</v>
      </c>
      <c r="HZ593" s="19">
        <v>3</v>
      </c>
      <c r="IA593" s="19">
        <v>2</v>
      </c>
      <c r="IB593" s="19">
        <v>1</v>
      </c>
      <c r="IC593" s="20">
        <v>0</v>
      </c>
    </row>
    <row r="594">
      <c r="A594" s="2" t="s">
        <v>2812</v>
      </c>
      <c r="B594" s="2" t="s">
        <v>323</v>
      </c>
      <c r="C594" s="2" t="s">
        <v>606</v>
      </c>
      <c r="D594" s="2" t="s">
        <v>257</v>
      </c>
      <c r="E594" s="2" t="s">
        <v>258</v>
      </c>
      <c r="F594" s="2" t="s">
        <v>2813</v>
      </c>
      <c r="G594" s="2" t="s">
        <v>2813</v>
      </c>
      <c r="H594" s="2" t="s">
        <v>2813</v>
      </c>
      <c r="I594" s="2" t="s">
        <v>2814</v>
      </c>
      <c r="J594" s="2" t="s">
        <v>394</v>
      </c>
      <c r="K594" s="2" t="s">
        <v>378</v>
      </c>
      <c r="L594" s="3">
        <v>17.830391</v>
      </c>
      <c r="M594" s="3">
        <v>18.72</v>
      </c>
      <c r="N594" s="3">
        <v>39.99</v>
      </c>
      <c r="O594" s="2" t="s">
        <v>232</v>
      </c>
      <c r="P594" s="2" t="s">
        <v>878</v>
      </c>
      <c r="Q594" s="2" t="s">
        <v>234</v>
      </c>
      <c r="R594" s="2" t="s">
        <v>235</v>
      </c>
      <c r="S594" s="2" t="s">
        <v>235</v>
      </c>
      <c r="T594" s="2" t="s">
        <v>263</v>
      </c>
      <c r="U594" s="2" t="s">
        <v>552</v>
      </c>
      <c r="V594" s="2" t="s">
        <v>238</v>
      </c>
      <c r="W594" s="2" t="s">
        <v>239</v>
      </c>
      <c r="X594" s="2" t="s">
        <v>235</v>
      </c>
      <c r="Y594" s="2" t="s">
        <v>2815</v>
      </c>
      <c r="Z594" s="4">
        <v>518</v>
      </c>
      <c r="AA594" s="4">
        <f>=ROUNDDOWN(19.1851851851852,0)</f>
      </c>
      <c r="AB594" s="5">
        <v>27</v>
      </c>
      <c r="AC594" s="2" t="s">
        <v>883</v>
      </c>
      <c r="AD594" s="4">
        <v>240</v>
      </c>
      <c r="AE594" s="4">
        <v>680</v>
      </c>
      <c r="AF594" s="6">
        <v>76</v>
      </c>
      <c r="AG594" s="6"/>
      <c r="AH594" s="7">
        <v>1</v>
      </c>
      <c r="AI594" s="4"/>
      <c r="AJ594" s="4">
        <f>=ROUNDDOWN({0},0)</f>
      </c>
      <c r="AK594" s="5"/>
      <c r="AL594" s="2" t="s">
        <v>235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235</v>
      </c>
      <c r="AW594" s="8" t="s">
        <v>235</v>
      </c>
      <c r="AX594" s="4" t="s">
        <v>235</v>
      </c>
      <c r="AY594" s="8" t="s">
        <v>235</v>
      </c>
      <c r="AZ594" s="7" t="s">
        <v>235</v>
      </c>
      <c r="BA594" s="7" t="s">
        <v>235</v>
      </c>
      <c r="BB594" s="7"/>
      <c r="BC594" s="4" t="s">
        <v>235</v>
      </c>
      <c r="BD594" s="8" t="s">
        <v>235</v>
      </c>
      <c r="BE594" s="4" t="s">
        <v>235</v>
      </c>
      <c r="BF594" s="8" t="s">
        <v>235</v>
      </c>
      <c r="BG594" s="7" t="s">
        <v>235</v>
      </c>
      <c r="BH594" s="7" t="s">
        <v>235</v>
      </c>
      <c r="BI594" s="7"/>
      <c r="BJ594" s="4"/>
      <c r="BK594" s="8"/>
      <c r="BL594" s="2" t="s">
        <v>235</v>
      </c>
      <c r="BM594" s="7"/>
      <c r="BN594" s="7"/>
      <c r="BO594" s="4"/>
      <c r="BP594" s="8"/>
      <c r="BQ594" s="4"/>
      <c r="BR594" s="8"/>
      <c r="BS594" s="7"/>
      <c r="BT594" s="7"/>
      <c r="BU594" s="2" t="s">
        <v>2816</v>
      </c>
      <c r="BV594" s="2" t="s">
        <v>235</v>
      </c>
      <c r="BW594" s="2" t="s">
        <v>235</v>
      </c>
      <c r="BX594" s="2" t="s">
        <v>619</v>
      </c>
      <c r="BY594" s="2" t="s">
        <v>245</v>
      </c>
      <c r="BZ594" s="2" t="s">
        <v>232</v>
      </c>
      <c r="CA594" s="2" t="s">
        <v>235</v>
      </c>
      <c r="CB594" s="2" t="s">
        <v>1235</v>
      </c>
      <c r="CC594" s="2" t="s">
        <v>248</v>
      </c>
      <c r="CD594" s="2" t="s">
        <v>248</v>
      </c>
      <c r="CE594" s="2" t="s">
        <v>235</v>
      </c>
      <c r="CF594" s="4">
        <v>290</v>
      </c>
      <c r="CG594" s="4"/>
      <c r="CH594" s="4"/>
      <c r="CI594" s="4"/>
      <c r="CJ594" s="4"/>
      <c r="CK594" s="4"/>
      <c r="CL594" s="4"/>
      <c r="CM594" s="4">
        <v>228</v>
      </c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>
        <v>240</v>
      </c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>
        <v>440</v>
      </c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>
        <v>518</v>
      </c>
      <c r="GE594" s="4">
        <v>603</v>
      </c>
      <c r="GF594" s="4">
        <v>588</v>
      </c>
      <c r="GG594" s="4">
        <v>564</v>
      </c>
      <c r="GH594" s="4">
        <v>536</v>
      </c>
      <c r="GI594" s="4">
        <v>511</v>
      </c>
      <c r="GJ594" s="4">
        <v>470</v>
      </c>
      <c r="GK594" s="4">
        <v>863</v>
      </c>
      <c r="GL594" s="4">
        <v>828</v>
      </c>
      <c r="GM594" s="4">
        <v>809</v>
      </c>
      <c r="GN594" s="4">
        <v>765</v>
      </c>
      <c r="GO594" s="4">
        <v>736</v>
      </c>
      <c r="GP594" s="4">
        <v>709</v>
      </c>
      <c r="GQ594" s="4">
        <v>676</v>
      </c>
      <c r="GR594" s="4">
        <v>641</v>
      </c>
      <c r="GS594" s="4">
        <v>610</v>
      </c>
      <c r="GT594" s="4">
        <v>585</v>
      </c>
      <c r="GU594" s="4">
        <v>552</v>
      </c>
      <c r="GV594" s="4">
        <v>521</v>
      </c>
      <c r="GW594" s="4">
        <v>494</v>
      </c>
      <c r="GX594" s="4">
        <v>467</v>
      </c>
      <c r="GY594" s="4">
        <v>440</v>
      </c>
      <c r="GZ594" s="4">
        <v>413</v>
      </c>
      <c r="HA594" s="4">
        <v>386</v>
      </c>
      <c r="HB594" s="4">
        <v>359</v>
      </c>
      <c r="HC594" s="4">
        <v>331</v>
      </c>
      <c r="HD594" s="19">
        <v>9.3</v>
      </c>
      <c r="HE594" s="19">
        <v>26.2</v>
      </c>
      <c r="HF594" s="19">
        <v>19.6</v>
      </c>
      <c r="HG594" s="19">
        <v>16.1</v>
      </c>
      <c r="HH594" s="19">
        <v>14.5</v>
      </c>
      <c r="HI594" s="19">
        <v>14.2</v>
      </c>
      <c r="HJ594" s="19">
        <v>13.1</v>
      </c>
      <c r="HK594" s="19">
        <v>27</v>
      </c>
      <c r="HL594" s="19">
        <v>27.6</v>
      </c>
      <c r="HM594" s="19">
        <v>24.5</v>
      </c>
      <c r="HN594" s="19">
        <v>24.7</v>
      </c>
      <c r="HO594" s="19">
        <v>23</v>
      </c>
      <c r="HP594" s="19">
        <v>22.9</v>
      </c>
      <c r="HQ594" s="19">
        <v>21.8</v>
      </c>
      <c r="HR594" s="19">
        <v>21.4</v>
      </c>
      <c r="HS594" s="19">
        <v>21</v>
      </c>
      <c r="HT594" s="19">
        <v>19.5</v>
      </c>
      <c r="HU594" s="19">
        <v>19.7</v>
      </c>
      <c r="HV594" s="19">
        <v>19.3</v>
      </c>
      <c r="HW594" s="19">
        <v>18.3</v>
      </c>
      <c r="HX594" s="19">
        <v>17.3</v>
      </c>
      <c r="HY594" s="19">
        <v>16.3</v>
      </c>
      <c r="HZ594" s="19">
        <v>15.3</v>
      </c>
      <c r="IA594" s="19">
        <v>14.3</v>
      </c>
      <c r="IB594" s="19">
        <v>13.3</v>
      </c>
      <c r="IC594" s="19">
        <v>12.3</v>
      </c>
    </row>
    <row r="595">
      <c r="A595" s="2" t="s">
        <v>2817</v>
      </c>
      <c r="B595" s="2" t="s">
        <v>323</v>
      </c>
      <c r="C595" s="2" t="s">
        <v>606</v>
      </c>
      <c r="D595" s="2" t="s">
        <v>257</v>
      </c>
      <c r="E595" s="2" t="s">
        <v>258</v>
      </c>
      <c r="F595" s="2" t="s">
        <v>2813</v>
      </c>
      <c r="G595" s="2" t="s">
        <v>2813</v>
      </c>
      <c r="H595" s="2" t="s">
        <v>2813</v>
      </c>
      <c r="I595" s="2" t="s">
        <v>2814</v>
      </c>
      <c r="J595" s="2" t="s">
        <v>230</v>
      </c>
      <c r="K595" s="2" t="s">
        <v>378</v>
      </c>
      <c r="L595" s="3">
        <v>17.830391</v>
      </c>
      <c r="M595" s="3">
        <v>18.72</v>
      </c>
      <c r="N595" s="3">
        <v>39.99</v>
      </c>
      <c r="O595" s="2" t="s">
        <v>232</v>
      </c>
      <c r="P595" s="2" t="s">
        <v>878</v>
      </c>
      <c r="Q595" s="2" t="s">
        <v>234</v>
      </c>
      <c r="R595" s="2" t="s">
        <v>235</v>
      </c>
      <c r="S595" s="2" t="s">
        <v>235</v>
      </c>
      <c r="T595" s="2" t="s">
        <v>263</v>
      </c>
      <c r="U595" s="2" t="s">
        <v>552</v>
      </c>
      <c r="V595" s="2" t="s">
        <v>238</v>
      </c>
      <c r="W595" s="2" t="s">
        <v>239</v>
      </c>
      <c r="X595" s="2" t="s">
        <v>235</v>
      </c>
      <c r="Y595" s="2" t="s">
        <v>2815</v>
      </c>
      <c r="Z595" s="4">
        <v>266</v>
      </c>
      <c r="AA595" s="4">
        <f>=ROUNDDOWN(16.625,0)</f>
      </c>
      <c r="AB595" s="5">
        <v>16</v>
      </c>
      <c r="AC595" s="2" t="s">
        <v>883</v>
      </c>
      <c r="AD595" s="4">
        <v>88</v>
      </c>
      <c r="AE595" s="4">
        <v>384</v>
      </c>
      <c r="AF595" s="6">
        <v>76</v>
      </c>
      <c r="AG595" s="6"/>
      <c r="AH595" s="7">
        <v>1</v>
      </c>
      <c r="AI595" s="4"/>
      <c r="AJ595" s="4">
        <f>=ROUNDDOWN({0},0)</f>
      </c>
      <c r="AK595" s="5"/>
      <c r="AL595" s="2" t="s">
        <v>235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235</v>
      </c>
      <c r="AW595" s="8" t="s">
        <v>235</v>
      </c>
      <c r="AX595" s="4" t="s">
        <v>235</v>
      </c>
      <c r="AY595" s="8" t="s">
        <v>235</v>
      </c>
      <c r="AZ595" s="7" t="s">
        <v>235</v>
      </c>
      <c r="BA595" s="7" t="s">
        <v>235</v>
      </c>
      <c r="BB595" s="7"/>
      <c r="BC595" s="4" t="s">
        <v>235</v>
      </c>
      <c r="BD595" s="8" t="s">
        <v>235</v>
      </c>
      <c r="BE595" s="4" t="s">
        <v>235</v>
      </c>
      <c r="BF595" s="8" t="s">
        <v>235</v>
      </c>
      <c r="BG595" s="7" t="s">
        <v>235</v>
      </c>
      <c r="BH595" s="7" t="s">
        <v>235</v>
      </c>
      <c r="BI595" s="7"/>
      <c r="BJ595" s="4">
        <v>1</v>
      </c>
      <c r="BK595" s="8">
        <v>18.4</v>
      </c>
      <c r="BL595" s="2" t="s">
        <v>1122</v>
      </c>
      <c r="BM595" s="7"/>
      <c r="BN595" s="7"/>
      <c r="BO595" s="4"/>
      <c r="BP595" s="8"/>
      <c r="BQ595" s="4"/>
      <c r="BR595" s="8"/>
      <c r="BS595" s="7"/>
      <c r="BT595" s="7"/>
      <c r="BU595" s="2" t="s">
        <v>2816</v>
      </c>
      <c r="BV595" s="2" t="s">
        <v>235</v>
      </c>
      <c r="BW595" s="2" t="s">
        <v>235</v>
      </c>
      <c r="BX595" s="2" t="s">
        <v>619</v>
      </c>
      <c r="BY595" s="2" t="s">
        <v>245</v>
      </c>
      <c r="BZ595" s="2" t="s">
        <v>232</v>
      </c>
      <c r="CA595" s="2" t="s">
        <v>235</v>
      </c>
      <c r="CB595" s="2" t="s">
        <v>235</v>
      </c>
      <c r="CC595" s="2" t="s">
        <v>248</v>
      </c>
      <c r="CD595" s="2" t="s">
        <v>248</v>
      </c>
      <c r="CE595" s="2" t="s">
        <v>235</v>
      </c>
      <c r="CF595" s="4">
        <v>262</v>
      </c>
      <c r="CG595" s="4"/>
      <c r="CH595" s="4"/>
      <c r="CI595" s="4"/>
      <c r="CJ595" s="4"/>
      <c r="CK595" s="4"/>
      <c r="CL595" s="4"/>
      <c r="CM595" s="4">
        <v>4</v>
      </c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>
        <v>88</v>
      </c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>
        <v>196</v>
      </c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>
        <v>100</v>
      </c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>
        <v>266</v>
      </c>
      <c r="GE595" s="4">
        <v>269</v>
      </c>
      <c r="GF595" s="4">
        <v>260</v>
      </c>
      <c r="GG595" s="4">
        <v>247</v>
      </c>
      <c r="GH595" s="4">
        <v>232</v>
      </c>
      <c r="GI595" s="4">
        <v>218</v>
      </c>
      <c r="GJ595" s="4">
        <v>195</v>
      </c>
      <c r="GK595" s="4">
        <v>365</v>
      </c>
      <c r="GL595" s="4">
        <v>345</v>
      </c>
      <c r="GM595" s="4">
        <v>333</v>
      </c>
      <c r="GN595" s="4">
        <v>307</v>
      </c>
      <c r="GO595" s="4">
        <v>289</v>
      </c>
      <c r="GP595" s="4">
        <v>273</v>
      </c>
      <c r="GQ595" s="4">
        <v>253</v>
      </c>
      <c r="GR595" s="4">
        <v>331</v>
      </c>
      <c r="GS595" s="4">
        <v>312</v>
      </c>
      <c r="GT595" s="4">
        <v>297</v>
      </c>
      <c r="GU595" s="4">
        <v>277</v>
      </c>
      <c r="GV595" s="4">
        <v>259</v>
      </c>
      <c r="GW595" s="4">
        <v>243</v>
      </c>
      <c r="GX595" s="4">
        <v>227</v>
      </c>
      <c r="GY595" s="4">
        <v>211</v>
      </c>
      <c r="GZ595" s="4">
        <v>195</v>
      </c>
      <c r="HA595" s="4">
        <v>179</v>
      </c>
      <c r="HB595" s="4">
        <v>163</v>
      </c>
      <c r="HC595" s="4">
        <v>146</v>
      </c>
      <c r="HD595" s="19">
        <v>8.9</v>
      </c>
      <c r="HE595" s="19">
        <v>20.7</v>
      </c>
      <c r="HF595" s="19">
        <v>16.3</v>
      </c>
      <c r="HG595" s="19">
        <v>12.4</v>
      </c>
      <c r="HH595" s="19">
        <v>11</v>
      </c>
      <c r="HI595" s="19">
        <v>10.9</v>
      </c>
      <c r="HJ595" s="19">
        <v>9.3</v>
      </c>
      <c r="HK595" s="19">
        <v>19.2</v>
      </c>
      <c r="HL595" s="19">
        <v>19.2</v>
      </c>
      <c r="HM595" s="19">
        <v>16.7</v>
      </c>
      <c r="HN595" s="19">
        <v>16.2</v>
      </c>
      <c r="HO595" s="19">
        <v>15.2</v>
      </c>
      <c r="HP595" s="19">
        <v>14.4</v>
      </c>
      <c r="HQ595" s="19">
        <v>13.3</v>
      </c>
      <c r="HR595" s="19">
        <v>18.4</v>
      </c>
      <c r="HS595" s="19">
        <v>18.4</v>
      </c>
      <c r="HT595" s="19">
        <v>16.5</v>
      </c>
      <c r="HU595" s="19">
        <v>17.3</v>
      </c>
      <c r="HV595" s="19">
        <v>16.2</v>
      </c>
      <c r="HW595" s="19">
        <v>15.2</v>
      </c>
      <c r="HX595" s="19">
        <v>14.2</v>
      </c>
      <c r="HY595" s="19">
        <v>13.2</v>
      </c>
      <c r="HZ595" s="19">
        <v>12.2</v>
      </c>
      <c r="IA595" s="19">
        <v>11.2</v>
      </c>
      <c r="IB595" s="19">
        <v>10.2</v>
      </c>
      <c r="IC595" s="19">
        <v>9.1</v>
      </c>
    </row>
    <row r="596">
      <c r="A596" s="2" t="s">
        <v>2818</v>
      </c>
      <c r="B596" s="2" t="s">
        <v>323</v>
      </c>
      <c r="C596" s="2" t="s">
        <v>606</v>
      </c>
      <c r="D596" s="2" t="s">
        <v>257</v>
      </c>
      <c r="E596" s="2" t="s">
        <v>258</v>
      </c>
      <c r="F596" s="2" t="s">
        <v>2813</v>
      </c>
      <c r="G596" s="2" t="s">
        <v>2813</v>
      </c>
      <c r="H596" s="2" t="s">
        <v>2813</v>
      </c>
      <c r="I596" s="2" t="s">
        <v>2814</v>
      </c>
      <c r="J596" s="2" t="s">
        <v>250</v>
      </c>
      <c r="K596" s="2" t="s">
        <v>378</v>
      </c>
      <c r="L596" s="3">
        <v>20.06</v>
      </c>
      <c r="M596" s="3">
        <v>21.06</v>
      </c>
      <c r="N596" s="3">
        <v>44.99</v>
      </c>
      <c r="O596" s="2" t="s">
        <v>232</v>
      </c>
      <c r="P596" s="2" t="s">
        <v>233</v>
      </c>
      <c r="Q596" s="2" t="s">
        <v>234</v>
      </c>
      <c r="R596" s="2" t="s">
        <v>235</v>
      </c>
      <c r="S596" s="2" t="s">
        <v>2819</v>
      </c>
      <c r="T596" s="2" t="s">
        <v>263</v>
      </c>
      <c r="U596" s="2" t="s">
        <v>264</v>
      </c>
      <c r="V596" s="2" t="s">
        <v>238</v>
      </c>
      <c r="W596" s="2" t="s">
        <v>239</v>
      </c>
      <c r="X596" s="2" t="s">
        <v>235</v>
      </c>
      <c r="Y596" s="2" t="s">
        <v>1191</v>
      </c>
      <c r="Z596" s="4">
        <v>10</v>
      </c>
      <c r="AA596" s="4">
        <f>=ROUNDDOWN(0.434782608695652,0)</f>
      </c>
      <c r="AB596" s="5">
        <v>23</v>
      </c>
      <c r="AC596" s="2" t="s">
        <v>166</v>
      </c>
      <c r="AD596" s="4">
        <v>108</v>
      </c>
      <c r="AE596" s="4">
        <v>696</v>
      </c>
      <c r="AF596" s="6">
        <v>76</v>
      </c>
      <c r="AG596" s="6"/>
      <c r="AH596" s="7">
        <v>0.6129</v>
      </c>
      <c r="AI596" s="4"/>
      <c r="AJ596" s="4">
        <f>=ROUNDDOWN({0},0)</f>
      </c>
      <c r="AK596" s="5"/>
      <c r="AL596" s="2" t="s">
        <v>235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235</v>
      </c>
      <c r="AW596" s="8" t="s">
        <v>235</v>
      </c>
      <c r="AX596" s="4" t="s">
        <v>235</v>
      </c>
      <c r="AY596" s="8" t="s">
        <v>235</v>
      </c>
      <c r="AZ596" s="7" t="s">
        <v>235</v>
      </c>
      <c r="BA596" s="7" t="s">
        <v>235</v>
      </c>
      <c r="BB596" s="7"/>
      <c r="BC596" s="4" t="s">
        <v>235</v>
      </c>
      <c r="BD596" s="8" t="s">
        <v>235</v>
      </c>
      <c r="BE596" s="4" t="s">
        <v>235</v>
      </c>
      <c r="BF596" s="8" t="s">
        <v>235</v>
      </c>
      <c r="BG596" s="7" t="s">
        <v>235</v>
      </c>
      <c r="BH596" s="7" t="s">
        <v>235</v>
      </c>
      <c r="BI596" s="7"/>
      <c r="BJ596" s="4">
        <v>214</v>
      </c>
      <c r="BK596" s="8">
        <v>4490.22</v>
      </c>
      <c r="BL596" s="2" t="s">
        <v>2820</v>
      </c>
      <c r="BM596" s="7"/>
      <c r="BN596" s="7"/>
      <c r="BO596" s="4"/>
      <c r="BP596" s="8"/>
      <c r="BQ596" s="4"/>
      <c r="BR596" s="8"/>
      <c r="BS596" s="7"/>
      <c r="BT596" s="7"/>
      <c r="BU596" s="2" t="s">
        <v>2816</v>
      </c>
      <c r="BV596" s="2" t="s">
        <v>243</v>
      </c>
      <c r="BW596" s="2" t="s">
        <v>235</v>
      </c>
      <c r="BX596" s="2" t="s">
        <v>619</v>
      </c>
      <c r="BY596" s="2" t="s">
        <v>245</v>
      </c>
      <c r="BZ596" s="2" t="s">
        <v>232</v>
      </c>
      <c r="CA596" s="2" t="s">
        <v>2821</v>
      </c>
      <c r="CB596" s="2" t="s">
        <v>2822</v>
      </c>
      <c r="CC596" s="2" t="s">
        <v>248</v>
      </c>
      <c r="CD596" s="2" t="s">
        <v>248</v>
      </c>
      <c r="CE596" s="2" t="s">
        <v>235</v>
      </c>
      <c r="CF596" s="4">
        <v>2</v>
      </c>
      <c r="CG596" s="4"/>
      <c r="CH596" s="4"/>
      <c r="CI596" s="4"/>
      <c r="CJ596" s="4"/>
      <c r="CK596" s="4"/>
      <c r="CL596" s="4"/>
      <c r="CM596" s="4">
        <v>8</v>
      </c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>
        <v>108</v>
      </c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>
        <v>52</v>
      </c>
      <c r="FJ596" s="4"/>
      <c r="FK596" s="4"/>
      <c r="FL596" s="4"/>
      <c r="FM596" s="4"/>
      <c r="FN596" s="4"/>
      <c r="FO596" s="4"/>
      <c r="FP596" s="4">
        <v>336</v>
      </c>
      <c r="FQ596" s="4"/>
      <c r="FR596" s="4"/>
      <c r="FS596" s="4"/>
      <c r="FT596" s="4"/>
      <c r="FU596" s="4"/>
      <c r="FV596" s="4"/>
      <c r="FW596" s="4"/>
      <c r="FX596" s="4"/>
      <c r="FY596" s="4"/>
      <c r="FZ596" s="4">
        <v>200</v>
      </c>
      <c r="GA596" s="4"/>
      <c r="GB596" s="4"/>
      <c r="GC596" s="4"/>
      <c r="GD596" s="4">
        <v>10</v>
      </c>
      <c r="GE596" s="4"/>
      <c r="GF596" s="4"/>
      <c r="GG596" s="4"/>
      <c r="GH596" s="4"/>
      <c r="GI596" s="4"/>
      <c r="GJ596" s="4"/>
      <c r="GK596" s="4">
        <v>108</v>
      </c>
      <c r="GL596" s="4"/>
      <c r="GM596" s="4"/>
      <c r="GN596" s="4"/>
      <c r="GO596" s="4"/>
      <c r="GP596" s="4"/>
      <c r="GQ596" s="4"/>
      <c r="GR596" s="4">
        <v>52</v>
      </c>
      <c r="GS596" s="4"/>
      <c r="GT596" s="4">
        <v>336</v>
      </c>
      <c r="GU596" s="4">
        <v>149</v>
      </c>
      <c r="GV596" s="4">
        <v>122</v>
      </c>
      <c r="GW596" s="4">
        <v>299</v>
      </c>
      <c r="GX596" s="4">
        <v>276</v>
      </c>
      <c r="GY596" s="4">
        <v>253</v>
      </c>
      <c r="GZ596" s="4">
        <v>230</v>
      </c>
      <c r="HA596" s="4">
        <v>207</v>
      </c>
      <c r="HB596" s="4">
        <v>184</v>
      </c>
      <c r="HC596" s="4">
        <v>161</v>
      </c>
      <c r="HD596" s="19">
        <v>2.5</v>
      </c>
      <c r="HE596" s="20">
        <v>0</v>
      </c>
      <c r="HF596" s="20">
        <v>0</v>
      </c>
      <c r="HG596" s="20">
        <v>0</v>
      </c>
      <c r="HH596" s="20">
        <v>0</v>
      </c>
      <c r="HI596" s="20">
        <v>0</v>
      </c>
      <c r="HJ596" s="20">
        <v>0</v>
      </c>
      <c r="HK596" s="19">
        <v>3.9</v>
      </c>
      <c r="HL596" s="20">
        <v>0</v>
      </c>
      <c r="HM596" s="20">
        <v>0</v>
      </c>
      <c r="HN596" s="20">
        <v>0</v>
      </c>
      <c r="HO596" s="20">
        <v>0</v>
      </c>
      <c r="HP596" s="20">
        <v>0</v>
      </c>
      <c r="HQ596" s="20">
        <v>0</v>
      </c>
      <c r="HR596" s="19">
        <v>0.8</v>
      </c>
      <c r="HS596" s="20">
        <v>0</v>
      </c>
      <c r="HT596" s="19">
        <v>5.2</v>
      </c>
      <c r="HU596" s="19">
        <v>6.2</v>
      </c>
      <c r="HV596" s="19">
        <v>5.3</v>
      </c>
      <c r="HW596" s="19">
        <v>13</v>
      </c>
      <c r="HX596" s="19">
        <v>12</v>
      </c>
      <c r="HY596" s="19">
        <v>11</v>
      </c>
      <c r="HZ596" s="19">
        <v>10</v>
      </c>
      <c r="IA596" s="19">
        <v>9</v>
      </c>
      <c r="IB596" s="19">
        <v>8</v>
      </c>
      <c r="IC596" s="19">
        <v>7</v>
      </c>
    </row>
    <row r="597">
      <c r="A597" s="2" t="s">
        <v>2823</v>
      </c>
      <c r="B597" s="2" t="s">
        <v>323</v>
      </c>
      <c r="C597" s="2" t="s">
        <v>606</v>
      </c>
      <c r="D597" s="2" t="s">
        <v>257</v>
      </c>
      <c r="E597" s="2" t="s">
        <v>258</v>
      </c>
      <c r="F597" s="2" t="s">
        <v>2813</v>
      </c>
      <c r="G597" s="2" t="s">
        <v>2813</v>
      </c>
      <c r="H597" s="2" t="s">
        <v>2813</v>
      </c>
      <c r="I597" s="2" t="s">
        <v>2814</v>
      </c>
      <c r="J597" s="2" t="s">
        <v>261</v>
      </c>
      <c r="K597" s="2" t="s">
        <v>378</v>
      </c>
      <c r="L597" s="3">
        <v>22.29</v>
      </c>
      <c r="M597" s="3">
        <v>23.4</v>
      </c>
      <c r="N597" s="3">
        <v>49.99</v>
      </c>
      <c r="O597" s="2" t="s">
        <v>232</v>
      </c>
      <c r="P597" s="2" t="s">
        <v>233</v>
      </c>
      <c r="Q597" s="2" t="s">
        <v>234</v>
      </c>
      <c r="R597" s="2" t="s">
        <v>235</v>
      </c>
      <c r="S597" s="2" t="s">
        <v>2819</v>
      </c>
      <c r="T597" s="2" t="s">
        <v>263</v>
      </c>
      <c r="U597" s="2" t="s">
        <v>264</v>
      </c>
      <c r="V597" s="2" t="s">
        <v>238</v>
      </c>
      <c r="W597" s="2" t="s">
        <v>239</v>
      </c>
      <c r="X597" s="2" t="s">
        <v>235</v>
      </c>
      <c r="Y597" s="2" t="s">
        <v>1191</v>
      </c>
      <c r="Z597" s="4">
        <v>15</v>
      </c>
      <c r="AA597" s="4">
        <f>=ROUNDDOWN(0.258620689655172,0)</f>
      </c>
      <c r="AB597" s="5">
        <v>58</v>
      </c>
      <c r="AC597" s="2" t="s">
        <v>883</v>
      </c>
      <c r="AD597" s="4">
        <v>220</v>
      </c>
      <c r="AE597" s="4">
        <v>1724</v>
      </c>
      <c r="AF597" s="6">
        <v>76</v>
      </c>
      <c r="AG597" s="6"/>
      <c r="AH597" s="7">
        <v>0.1613</v>
      </c>
      <c r="AI597" s="4"/>
      <c r="AJ597" s="4">
        <f>=ROUNDDOWN({0},0)</f>
      </c>
      <c r="AK597" s="5"/>
      <c r="AL597" s="2" t="s">
        <v>235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235</v>
      </c>
      <c r="AW597" s="8" t="s">
        <v>235</v>
      </c>
      <c r="AX597" s="4" t="s">
        <v>235</v>
      </c>
      <c r="AY597" s="8" t="s">
        <v>235</v>
      </c>
      <c r="AZ597" s="7" t="s">
        <v>235</v>
      </c>
      <c r="BA597" s="7" t="s">
        <v>235</v>
      </c>
      <c r="BB597" s="7"/>
      <c r="BC597" s="4" t="s">
        <v>235</v>
      </c>
      <c r="BD597" s="8" t="s">
        <v>235</v>
      </c>
      <c r="BE597" s="4" t="s">
        <v>235</v>
      </c>
      <c r="BF597" s="8" t="s">
        <v>235</v>
      </c>
      <c r="BG597" s="7" t="s">
        <v>235</v>
      </c>
      <c r="BH597" s="7" t="s">
        <v>235</v>
      </c>
      <c r="BI597" s="7"/>
      <c r="BJ597" s="4">
        <v>190</v>
      </c>
      <c r="BK597" s="8">
        <v>4448.4</v>
      </c>
      <c r="BL597" s="2" t="s">
        <v>2824</v>
      </c>
      <c r="BM597" s="7"/>
      <c r="BN597" s="7"/>
      <c r="BO597" s="4"/>
      <c r="BP597" s="8"/>
      <c r="BQ597" s="4"/>
      <c r="BR597" s="8"/>
      <c r="BS597" s="7"/>
      <c r="BT597" s="7"/>
      <c r="BU597" s="2" t="s">
        <v>2816</v>
      </c>
      <c r="BV597" s="2" t="s">
        <v>243</v>
      </c>
      <c r="BW597" s="2" t="s">
        <v>235</v>
      </c>
      <c r="BX597" s="2" t="s">
        <v>619</v>
      </c>
      <c r="BY597" s="2" t="s">
        <v>245</v>
      </c>
      <c r="BZ597" s="2" t="s">
        <v>232</v>
      </c>
      <c r="CA597" s="2" t="s">
        <v>2821</v>
      </c>
      <c r="CB597" s="2" t="s">
        <v>2822</v>
      </c>
      <c r="CC597" s="2" t="s">
        <v>248</v>
      </c>
      <c r="CD597" s="2" t="s">
        <v>248</v>
      </c>
      <c r="CE597" s="2" t="s">
        <v>235</v>
      </c>
      <c r="CF597" s="4">
        <v>3</v>
      </c>
      <c r="CG597" s="4"/>
      <c r="CH597" s="4"/>
      <c r="CI597" s="4"/>
      <c r="CJ597" s="4"/>
      <c r="CK597" s="4"/>
      <c r="CL597" s="4"/>
      <c r="CM597" s="4">
        <v>12</v>
      </c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>
        <v>220</v>
      </c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>
        <v>80</v>
      </c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>
        <v>452</v>
      </c>
      <c r="FJ597" s="4"/>
      <c r="FK597" s="4"/>
      <c r="FL597" s="4"/>
      <c r="FM597" s="4"/>
      <c r="FN597" s="4"/>
      <c r="FO597" s="4"/>
      <c r="FP597" s="4">
        <v>572</v>
      </c>
      <c r="FQ597" s="4"/>
      <c r="FR597" s="4"/>
      <c r="FS597" s="4"/>
      <c r="FT597" s="4"/>
      <c r="FU597" s="4"/>
      <c r="FV597" s="4"/>
      <c r="FW597" s="4"/>
      <c r="FX597" s="4"/>
      <c r="FY597" s="4"/>
      <c r="FZ597" s="4">
        <v>400</v>
      </c>
      <c r="GA597" s="4"/>
      <c r="GB597" s="4"/>
      <c r="GC597" s="4"/>
      <c r="GD597" s="4">
        <v>15</v>
      </c>
      <c r="GE597" s="4">
        <v>220</v>
      </c>
      <c r="GF597" s="4"/>
      <c r="GG597" s="4"/>
      <c r="GH597" s="4"/>
      <c r="GI597" s="4"/>
      <c r="GJ597" s="4"/>
      <c r="GK597" s="4">
        <v>80</v>
      </c>
      <c r="GL597" s="4"/>
      <c r="GM597" s="4"/>
      <c r="GN597" s="4"/>
      <c r="GO597" s="4"/>
      <c r="GP597" s="4"/>
      <c r="GQ597" s="4"/>
      <c r="GR597" s="4">
        <v>452</v>
      </c>
      <c r="GS597" s="4"/>
      <c r="GT597" s="4">
        <v>572</v>
      </c>
      <c r="GU597" s="4">
        <v>408</v>
      </c>
      <c r="GV597" s="4">
        <v>339</v>
      </c>
      <c r="GW597" s="4">
        <v>681</v>
      </c>
      <c r="GX597" s="4">
        <v>623</v>
      </c>
      <c r="GY597" s="4">
        <v>565</v>
      </c>
      <c r="GZ597" s="4">
        <v>507</v>
      </c>
      <c r="HA597" s="4">
        <v>449</v>
      </c>
      <c r="HB597" s="4">
        <v>391</v>
      </c>
      <c r="HC597" s="4">
        <v>332</v>
      </c>
      <c r="HD597" s="19">
        <v>0.3</v>
      </c>
      <c r="HE597" s="19">
        <v>3.9</v>
      </c>
      <c r="HF597" s="20">
        <v>0</v>
      </c>
      <c r="HG597" s="20">
        <v>0</v>
      </c>
      <c r="HH597" s="20">
        <v>0</v>
      </c>
      <c r="HI597" s="20">
        <v>0</v>
      </c>
      <c r="HJ597" s="20">
        <v>0</v>
      </c>
      <c r="HK597" s="19">
        <v>3.6</v>
      </c>
      <c r="HL597" s="20">
        <v>0</v>
      </c>
      <c r="HM597" s="20">
        <v>0</v>
      </c>
      <c r="HN597" s="20">
        <v>0</v>
      </c>
      <c r="HO597" s="20">
        <v>0</v>
      </c>
      <c r="HP597" s="20">
        <v>0</v>
      </c>
      <c r="HQ597" s="20">
        <v>0</v>
      </c>
      <c r="HR597" s="19">
        <v>2.6</v>
      </c>
      <c r="HS597" s="20">
        <v>0</v>
      </c>
      <c r="HT597" s="19">
        <v>6.6</v>
      </c>
      <c r="HU597" s="19">
        <v>6.7</v>
      </c>
      <c r="HV597" s="19">
        <v>5.8</v>
      </c>
      <c r="HW597" s="19">
        <v>11.7</v>
      </c>
      <c r="HX597" s="19">
        <v>10.7</v>
      </c>
      <c r="HY597" s="19">
        <v>9.7</v>
      </c>
      <c r="HZ597" s="19">
        <v>8.7</v>
      </c>
      <c r="IA597" s="19">
        <v>7.7</v>
      </c>
      <c r="IB597" s="19">
        <v>6.7</v>
      </c>
      <c r="IC597" s="19">
        <v>5.7</v>
      </c>
    </row>
    <row r="598">
      <c r="A598" s="2" t="s">
        <v>2825</v>
      </c>
      <c r="B598" s="2" t="s">
        <v>323</v>
      </c>
      <c r="C598" s="2" t="s">
        <v>606</v>
      </c>
      <c r="D598" s="2" t="s">
        <v>257</v>
      </c>
      <c r="E598" s="2" t="s">
        <v>258</v>
      </c>
      <c r="F598" s="2" t="s">
        <v>2813</v>
      </c>
      <c r="G598" s="2" t="s">
        <v>2813</v>
      </c>
      <c r="H598" s="2" t="s">
        <v>2813</v>
      </c>
      <c r="I598" s="2" t="s">
        <v>2814</v>
      </c>
      <c r="J598" s="2" t="s">
        <v>270</v>
      </c>
      <c r="K598" s="2" t="s">
        <v>378</v>
      </c>
      <c r="L598" s="3">
        <v>24.52</v>
      </c>
      <c r="M598" s="3">
        <v>25.75</v>
      </c>
      <c r="N598" s="3">
        <v>54.99</v>
      </c>
      <c r="O598" s="2" t="s">
        <v>232</v>
      </c>
      <c r="P598" s="2" t="s">
        <v>233</v>
      </c>
      <c r="Q598" s="2" t="s">
        <v>234</v>
      </c>
      <c r="R598" s="2" t="s">
        <v>235</v>
      </c>
      <c r="S598" s="2" t="s">
        <v>2819</v>
      </c>
      <c r="T598" s="2" t="s">
        <v>263</v>
      </c>
      <c r="U598" s="2" t="s">
        <v>264</v>
      </c>
      <c r="V598" s="2" t="s">
        <v>238</v>
      </c>
      <c r="W598" s="2" t="s">
        <v>239</v>
      </c>
      <c r="X598" s="2" t="s">
        <v>235</v>
      </c>
      <c r="Y598" s="2" t="s">
        <v>1191</v>
      </c>
      <c r="Z598" s="4">
        <v>590</v>
      </c>
      <c r="AA598" s="4">
        <f>=ROUNDDOWN(34.7058823529412,0)</f>
      </c>
      <c r="AB598" s="5">
        <v>17</v>
      </c>
      <c r="AC598" s="2" t="s">
        <v>883</v>
      </c>
      <c r="AD598" s="4">
        <v>148</v>
      </c>
      <c r="AE598" s="4">
        <v>340</v>
      </c>
      <c r="AF598" s="6">
        <v>76</v>
      </c>
      <c r="AG598" s="6"/>
      <c r="AH598" s="7">
        <v>1</v>
      </c>
      <c r="AI598" s="4"/>
      <c r="AJ598" s="4">
        <f>=ROUNDDOWN({0},0)</f>
      </c>
      <c r="AK598" s="5"/>
      <c r="AL598" s="2" t="s">
        <v>235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235</v>
      </c>
      <c r="AW598" s="8" t="s">
        <v>235</v>
      </c>
      <c r="AX598" s="4" t="s">
        <v>235</v>
      </c>
      <c r="AY598" s="8" t="s">
        <v>235</v>
      </c>
      <c r="AZ598" s="7" t="s">
        <v>235</v>
      </c>
      <c r="BA598" s="7" t="s">
        <v>235</v>
      </c>
      <c r="BB598" s="7"/>
      <c r="BC598" s="4" t="s">
        <v>235</v>
      </c>
      <c r="BD598" s="8" t="s">
        <v>235</v>
      </c>
      <c r="BE598" s="4" t="s">
        <v>235</v>
      </c>
      <c r="BF598" s="8" t="s">
        <v>235</v>
      </c>
      <c r="BG598" s="7" t="s">
        <v>235</v>
      </c>
      <c r="BH598" s="7" t="s">
        <v>235</v>
      </c>
      <c r="BI598" s="7"/>
      <c r="BJ598" s="4">
        <v>62</v>
      </c>
      <c r="BK598" s="8">
        <v>1535.46</v>
      </c>
      <c r="BL598" s="2" t="s">
        <v>1616</v>
      </c>
      <c r="BM598" s="7"/>
      <c r="BN598" s="7"/>
      <c r="BO598" s="4"/>
      <c r="BP598" s="8"/>
      <c r="BQ598" s="4"/>
      <c r="BR598" s="8"/>
      <c r="BS598" s="7"/>
      <c r="BT598" s="7"/>
      <c r="BU598" s="2" t="s">
        <v>2816</v>
      </c>
      <c r="BV598" s="2" t="s">
        <v>243</v>
      </c>
      <c r="BW598" s="2" t="s">
        <v>235</v>
      </c>
      <c r="BX598" s="2" t="s">
        <v>619</v>
      </c>
      <c r="BY598" s="2" t="s">
        <v>245</v>
      </c>
      <c r="BZ598" s="2" t="s">
        <v>232</v>
      </c>
      <c r="CA598" s="2" t="s">
        <v>1186</v>
      </c>
      <c r="CB598" s="2" t="s">
        <v>2826</v>
      </c>
      <c r="CC598" s="2" t="s">
        <v>248</v>
      </c>
      <c r="CD598" s="2" t="s">
        <v>248</v>
      </c>
      <c r="CE598" s="2" t="s">
        <v>235</v>
      </c>
      <c r="CF598" s="4">
        <v>566</v>
      </c>
      <c r="CG598" s="4"/>
      <c r="CH598" s="4"/>
      <c r="CI598" s="4"/>
      <c r="CJ598" s="4"/>
      <c r="CK598" s="4"/>
      <c r="CL598" s="4"/>
      <c r="CM598" s="4">
        <v>24</v>
      </c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>
        <v>148</v>
      </c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>
        <v>192</v>
      </c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>
        <v>614</v>
      </c>
      <c r="GE598" s="4">
        <v>701</v>
      </c>
      <c r="GF598" s="4">
        <v>700</v>
      </c>
      <c r="GG598" s="4">
        <v>699</v>
      </c>
      <c r="GH598" s="4">
        <v>679</v>
      </c>
      <c r="GI598" s="4">
        <v>662</v>
      </c>
      <c r="GJ598" s="4">
        <v>632</v>
      </c>
      <c r="GK598" s="4">
        <v>789</v>
      </c>
      <c r="GL598" s="4">
        <v>764</v>
      </c>
      <c r="GM598" s="4">
        <v>752</v>
      </c>
      <c r="GN598" s="4">
        <v>722</v>
      </c>
      <c r="GO598" s="4">
        <v>705</v>
      </c>
      <c r="GP598" s="4">
        <v>688</v>
      </c>
      <c r="GQ598" s="4">
        <v>670</v>
      </c>
      <c r="GR598" s="4">
        <v>652</v>
      </c>
      <c r="GS598" s="4">
        <v>634</v>
      </c>
      <c r="GT598" s="4">
        <v>617</v>
      </c>
      <c r="GU598" s="4">
        <v>599</v>
      </c>
      <c r="GV598" s="4">
        <v>579</v>
      </c>
      <c r="GW598" s="4">
        <v>562</v>
      </c>
      <c r="GX598" s="4">
        <v>545</v>
      </c>
      <c r="GY598" s="4">
        <v>528</v>
      </c>
      <c r="GZ598" s="4">
        <v>511</v>
      </c>
      <c r="HA598" s="4">
        <v>494</v>
      </c>
      <c r="HB598" s="4">
        <v>477</v>
      </c>
      <c r="HC598" s="4">
        <v>460</v>
      </c>
      <c r="HD598" s="19">
        <v>29.2</v>
      </c>
      <c r="HE598" s="19">
        <v>70.1</v>
      </c>
      <c r="HF598" s="19">
        <v>41.2</v>
      </c>
      <c r="HG598" s="19">
        <v>26.9</v>
      </c>
      <c r="HH598" s="19">
        <v>25.1</v>
      </c>
      <c r="HI598" s="19">
        <v>25.5</v>
      </c>
      <c r="HJ598" s="19">
        <v>24.3</v>
      </c>
      <c r="HK598" s="19">
        <v>37.6</v>
      </c>
      <c r="HL598" s="19">
        <v>40.2</v>
      </c>
      <c r="HM598" s="19">
        <v>37.6</v>
      </c>
      <c r="HN598" s="19">
        <v>40.1</v>
      </c>
      <c r="HO598" s="19">
        <v>39.2</v>
      </c>
      <c r="HP598" s="19">
        <v>38.2</v>
      </c>
      <c r="HQ598" s="19">
        <v>37.2</v>
      </c>
      <c r="HR598" s="19">
        <v>36.2</v>
      </c>
      <c r="HS598" s="19">
        <v>35.2</v>
      </c>
      <c r="HT598" s="19">
        <v>34.3</v>
      </c>
      <c r="HU598" s="19">
        <v>33.3</v>
      </c>
      <c r="HV598" s="19">
        <v>34.1</v>
      </c>
      <c r="HW598" s="19">
        <v>33.1</v>
      </c>
      <c r="HX598" s="19">
        <v>32.1</v>
      </c>
      <c r="HY598" s="19">
        <v>31.1</v>
      </c>
      <c r="HZ598" s="19">
        <v>30.1</v>
      </c>
      <c r="IA598" s="19">
        <v>29.1</v>
      </c>
      <c r="IB598" s="19">
        <v>28.1</v>
      </c>
      <c r="IC598" s="19">
        <v>27.1</v>
      </c>
    </row>
    <row r="599">
      <c r="A599" s="2" t="s">
        <v>2827</v>
      </c>
      <c r="B599" s="2" t="s">
        <v>323</v>
      </c>
      <c r="C599" s="2" t="s">
        <v>606</v>
      </c>
      <c r="D599" s="2" t="s">
        <v>257</v>
      </c>
      <c r="E599" s="2" t="s">
        <v>258</v>
      </c>
      <c r="F599" s="2" t="s">
        <v>2813</v>
      </c>
      <c r="G599" s="2" t="s">
        <v>2813</v>
      </c>
      <c r="H599" s="2" t="s">
        <v>2813</v>
      </c>
      <c r="I599" s="2" t="s">
        <v>2814</v>
      </c>
      <c r="J599" s="2" t="s">
        <v>272</v>
      </c>
      <c r="K599" s="2" t="s">
        <v>378</v>
      </c>
      <c r="L599" s="3">
        <v>24.52</v>
      </c>
      <c r="M599" s="3">
        <v>25.75</v>
      </c>
      <c r="N599" s="3">
        <v>54.99</v>
      </c>
      <c r="O599" s="2" t="s">
        <v>232</v>
      </c>
      <c r="P599" s="2" t="s">
        <v>233</v>
      </c>
      <c r="Q599" s="2" t="s">
        <v>234</v>
      </c>
      <c r="R599" s="2" t="s">
        <v>235</v>
      </c>
      <c r="S599" s="2" t="s">
        <v>2819</v>
      </c>
      <c r="T599" s="2" t="s">
        <v>263</v>
      </c>
      <c r="U599" s="2" t="s">
        <v>264</v>
      </c>
      <c r="V599" s="2" t="s">
        <v>238</v>
      </c>
      <c r="W599" s="2" t="s">
        <v>239</v>
      </c>
      <c r="X599" s="2" t="s">
        <v>235</v>
      </c>
      <c r="Y599" s="2" t="s">
        <v>2187</v>
      </c>
      <c r="Z599" s="4">
        <v>186</v>
      </c>
      <c r="AA599" s="4">
        <f>=ROUNDDOWN(62,0)</f>
      </c>
      <c r="AB599" s="5">
        <v>3</v>
      </c>
      <c r="AC599" s="2" t="s">
        <v>235</v>
      </c>
      <c r="AD599" s="4"/>
      <c r="AE599" s="4"/>
      <c r="AF599" s="6">
        <v>76</v>
      </c>
      <c r="AG599" s="6"/>
      <c r="AH599" s="7">
        <v>1</v>
      </c>
      <c r="AI599" s="4"/>
      <c r="AJ599" s="4">
        <f>=ROUNDDOWN({0},0)</f>
      </c>
      <c r="AK599" s="5"/>
      <c r="AL599" s="2" t="s">
        <v>235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235</v>
      </c>
      <c r="AW599" s="8" t="s">
        <v>235</v>
      </c>
      <c r="AX599" s="4" t="s">
        <v>235</v>
      </c>
      <c r="AY599" s="8" t="s">
        <v>235</v>
      </c>
      <c r="AZ599" s="7" t="s">
        <v>235</v>
      </c>
      <c r="BA599" s="7" t="s">
        <v>235</v>
      </c>
      <c r="BB599" s="7"/>
      <c r="BC599" s="4" t="s">
        <v>235</v>
      </c>
      <c r="BD599" s="8" t="s">
        <v>235</v>
      </c>
      <c r="BE599" s="4" t="s">
        <v>235</v>
      </c>
      <c r="BF599" s="8" t="s">
        <v>235</v>
      </c>
      <c r="BG599" s="7" t="s">
        <v>235</v>
      </c>
      <c r="BH599" s="7" t="s">
        <v>235</v>
      </c>
      <c r="BI599" s="7"/>
      <c r="BJ599" s="4">
        <v>3</v>
      </c>
      <c r="BK599" s="8">
        <v>76.05</v>
      </c>
      <c r="BL599" s="2" t="s">
        <v>2828</v>
      </c>
      <c r="BM599" s="7"/>
      <c r="BN599" s="7"/>
      <c r="BO599" s="4"/>
      <c r="BP599" s="8"/>
      <c r="BQ599" s="4"/>
      <c r="BR599" s="8"/>
      <c r="BS599" s="7"/>
      <c r="BT599" s="7"/>
      <c r="BU599" s="2" t="s">
        <v>2816</v>
      </c>
      <c r="BV599" s="2" t="s">
        <v>243</v>
      </c>
      <c r="BW599" s="2" t="s">
        <v>235</v>
      </c>
      <c r="BX599" s="2" t="s">
        <v>619</v>
      </c>
      <c r="BY599" s="2" t="s">
        <v>245</v>
      </c>
      <c r="BZ599" s="2" t="s">
        <v>232</v>
      </c>
      <c r="CA599" s="2" t="s">
        <v>2829</v>
      </c>
      <c r="CB599" s="2" t="s">
        <v>687</v>
      </c>
      <c r="CC599" s="2" t="s">
        <v>248</v>
      </c>
      <c r="CD599" s="2" t="s">
        <v>248</v>
      </c>
      <c r="CE599" s="2" t="s">
        <v>235</v>
      </c>
      <c r="CF599" s="4">
        <v>186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>
        <v>187</v>
      </c>
      <c r="GE599" s="4">
        <v>162</v>
      </c>
      <c r="GF599" s="4">
        <v>160</v>
      </c>
      <c r="GG599" s="4">
        <v>157</v>
      </c>
      <c r="GH599" s="4">
        <v>153</v>
      </c>
      <c r="GI599" s="4">
        <v>150</v>
      </c>
      <c r="GJ599" s="4">
        <v>145</v>
      </c>
      <c r="GK599" s="4">
        <v>139</v>
      </c>
      <c r="GL599" s="4">
        <v>134</v>
      </c>
      <c r="GM599" s="4">
        <v>132</v>
      </c>
      <c r="GN599" s="4">
        <v>127</v>
      </c>
      <c r="GO599" s="4">
        <v>124</v>
      </c>
      <c r="GP599" s="4">
        <v>121</v>
      </c>
      <c r="GQ599" s="4">
        <v>118</v>
      </c>
      <c r="GR599" s="4">
        <v>115</v>
      </c>
      <c r="GS599" s="4">
        <v>112</v>
      </c>
      <c r="GT599" s="4">
        <v>109</v>
      </c>
      <c r="GU599" s="4">
        <v>106</v>
      </c>
      <c r="GV599" s="4">
        <v>102</v>
      </c>
      <c r="GW599" s="4">
        <v>99</v>
      </c>
      <c r="GX599" s="4">
        <v>96</v>
      </c>
      <c r="GY599" s="4">
        <v>93</v>
      </c>
      <c r="GZ599" s="4">
        <v>90</v>
      </c>
      <c r="HA599" s="4">
        <v>87</v>
      </c>
      <c r="HB599" s="4">
        <v>84</v>
      </c>
      <c r="HC599" s="4">
        <v>81</v>
      </c>
      <c r="HD599" s="19">
        <v>23.4</v>
      </c>
      <c r="HE599" s="19">
        <v>54</v>
      </c>
      <c r="HF599" s="19">
        <v>40</v>
      </c>
      <c r="HG599" s="19">
        <v>39.3</v>
      </c>
      <c r="HH599" s="19">
        <v>30.6</v>
      </c>
      <c r="HI599" s="19">
        <v>37.5</v>
      </c>
      <c r="HJ599" s="19">
        <v>36.3</v>
      </c>
      <c r="HK599" s="19">
        <v>34.8</v>
      </c>
      <c r="HL599" s="19">
        <v>44.7</v>
      </c>
      <c r="HM599" s="19">
        <v>33</v>
      </c>
      <c r="HN599" s="19">
        <v>42.3</v>
      </c>
      <c r="HO599" s="19">
        <v>41.3</v>
      </c>
      <c r="HP599" s="19">
        <v>40.3</v>
      </c>
      <c r="HQ599" s="19">
        <v>39.3</v>
      </c>
      <c r="HR599" s="19">
        <v>38.3</v>
      </c>
      <c r="HS599" s="19">
        <v>37.3</v>
      </c>
      <c r="HT599" s="19">
        <v>36.3</v>
      </c>
      <c r="HU599" s="19">
        <v>35.3</v>
      </c>
      <c r="HV599" s="19">
        <v>34</v>
      </c>
      <c r="HW599" s="19">
        <v>33</v>
      </c>
      <c r="HX599" s="19">
        <v>32</v>
      </c>
      <c r="HY599" s="19">
        <v>31</v>
      </c>
      <c r="HZ599" s="19">
        <v>30</v>
      </c>
      <c r="IA599" s="19">
        <v>29</v>
      </c>
      <c r="IB599" s="19">
        <v>28</v>
      </c>
      <c r="IC599" s="19">
        <v>27</v>
      </c>
    </row>
    <row r="600">
      <c r="A600" s="2" t="s">
        <v>2830</v>
      </c>
      <c r="B600" s="2" t="s">
        <v>323</v>
      </c>
      <c r="C600" s="2" t="s">
        <v>606</v>
      </c>
      <c r="D600" s="2" t="s">
        <v>257</v>
      </c>
      <c r="E600" s="2" t="s">
        <v>258</v>
      </c>
      <c r="F600" s="2" t="s">
        <v>2813</v>
      </c>
      <c r="G600" s="2" t="s">
        <v>2813</v>
      </c>
      <c r="H600" s="2" t="s">
        <v>2813</v>
      </c>
      <c r="I600" s="2" t="s">
        <v>2814</v>
      </c>
      <c r="J600" s="2" t="s">
        <v>394</v>
      </c>
      <c r="K600" s="2" t="s">
        <v>2831</v>
      </c>
      <c r="L600" s="3">
        <v>17.83</v>
      </c>
      <c r="M600" s="3">
        <v>18.72</v>
      </c>
      <c r="N600" s="3">
        <v>25.99</v>
      </c>
      <c r="O600" s="2" t="s">
        <v>232</v>
      </c>
      <c r="P600" s="2" t="s">
        <v>233</v>
      </c>
      <c r="Q600" s="2" t="s">
        <v>234</v>
      </c>
      <c r="R600" s="2" t="s">
        <v>235</v>
      </c>
      <c r="S600" s="2" t="s">
        <v>2832</v>
      </c>
      <c r="T600" s="2" t="s">
        <v>263</v>
      </c>
      <c r="U600" s="2" t="s">
        <v>552</v>
      </c>
      <c r="V600" s="2" t="s">
        <v>238</v>
      </c>
      <c r="W600" s="2" t="s">
        <v>239</v>
      </c>
      <c r="X600" s="2" t="s">
        <v>235</v>
      </c>
      <c r="Y600" s="2" t="s">
        <v>1599</v>
      </c>
      <c r="Z600" s="4">
        <v>150</v>
      </c>
      <c r="AA600" s="4">
        <f>=ROUNDDOWN(3.65853658536585,0)</f>
      </c>
      <c r="AB600" s="5">
        <v>41</v>
      </c>
      <c r="AC600" s="2" t="s">
        <v>883</v>
      </c>
      <c r="AD600" s="4">
        <v>348</v>
      </c>
      <c r="AE600" s="4">
        <v>840</v>
      </c>
      <c r="AF600" s="6">
        <v>76</v>
      </c>
      <c r="AG600" s="6"/>
      <c r="AH600" s="7">
        <v>0.7419</v>
      </c>
      <c r="AI600" s="4"/>
      <c r="AJ600" s="4">
        <f>=ROUNDDOWN({0},0)</f>
      </c>
      <c r="AK600" s="5"/>
      <c r="AL600" s="2" t="s">
        <v>235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235</v>
      </c>
      <c r="AW600" s="8" t="s">
        <v>235</v>
      </c>
      <c r="AX600" s="4" t="s">
        <v>235</v>
      </c>
      <c r="AY600" s="8" t="s">
        <v>235</v>
      </c>
      <c r="AZ600" s="7" t="s">
        <v>235</v>
      </c>
      <c r="BA600" s="7" t="s">
        <v>235</v>
      </c>
      <c r="BB600" s="7"/>
      <c r="BC600" s="4" t="s">
        <v>235</v>
      </c>
      <c r="BD600" s="8" t="s">
        <v>235</v>
      </c>
      <c r="BE600" s="4" t="s">
        <v>235</v>
      </c>
      <c r="BF600" s="8" t="s">
        <v>235</v>
      </c>
      <c r="BG600" s="7" t="s">
        <v>235</v>
      </c>
      <c r="BH600" s="7" t="s">
        <v>235</v>
      </c>
      <c r="BI600" s="7"/>
      <c r="BJ600" s="4">
        <v>410</v>
      </c>
      <c r="BK600" s="8">
        <v>6443.51</v>
      </c>
      <c r="BL600" s="2" t="s">
        <v>2833</v>
      </c>
      <c r="BM600" s="7"/>
      <c r="BN600" s="7"/>
      <c r="BO600" s="4"/>
      <c r="BP600" s="8"/>
      <c r="BQ600" s="4"/>
      <c r="BR600" s="8"/>
      <c r="BS600" s="7"/>
      <c r="BT600" s="7"/>
      <c r="BU600" s="2" t="s">
        <v>2816</v>
      </c>
      <c r="BV600" s="2" t="s">
        <v>243</v>
      </c>
      <c r="BW600" s="2" t="s">
        <v>235</v>
      </c>
      <c r="BX600" s="2" t="s">
        <v>619</v>
      </c>
      <c r="BY600" s="2" t="s">
        <v>245</v>
      </c>
      <c r="BZ600" s="2" t="s">
        <v>232</v>
      </c>
      <c r="CA600" s="2" t="s">
        <v>2829</v>
      </c>
      <c r="CB600" s="2" t="s">
        <v>1426</v>
      </c>
      <c r="CC600" s="2" t="s">
        <v>248</v>
      </c>
      <c r="CD600" s="2" t="s">
        <v>248</v>
      </c>
      <c r="CE600" s="2" t="s">
        <v>235</v>
      </c>
      <c r="CF600" s="4">
        <v>18</v>
      </c>
      <c r="CG600" s="4"/>
      <c r="CH600" s="4"/>
      <c r="CI600" s="4"/>
      <c r="CJ600" s="4"/>
      <c r="CK600" s="4"/>
      <c r="CL600" s="4"/>
      <c r="CM600" s="4">
        <v>132</v>
      </c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>
        <v>348</v>
      </c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>
        <v>72</v>
      </c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>
        <v>120</v>
      </c>
      <c r="GA600" s="4"/>
      <c r="GB600" s="4"/>
      <c r="GC600" s="4">
        <v>300</v>
      </c>
      <c r="GD600" s="4">
        <v>150</v>
      </c>
      <c r="GE600" s="4">
        <v>436</v>
      </c>
      <c r="GF600" s="4">
        <v>407</v>
      </c>
      <c r="GG600" s="4">
        <v>362</v>
      </c>
      <c r="GH600" s="4">
        <v>309</v>
      </c>
      <c r="GI600" s="4">
        <v>268</v>
      </c>
      <c r="GJ600" s="4">
        <v>195</v>
      </c>
      <c r="GK600" s="4">
        <v>182</v>
      </c>
      <c r="GL600" s="4">
        <v>121</v>
      </c>
      <c r="GM600" s="4">
        <v>92</v>
      </c>
      <c r="GN600" s="4">
        <v>19</v>
      </c>
      <c r="GO600" s="4"/>
      <c r="GP600" s="4"/>
      <c r="GQ600" s="4"/>
      <c r="GR600" s="4"/>
      <c r="GS600" s="4"/>
      <c r="GT600" s="4"/>
      <c r="GU600" s="4"/>
      <c r="GV600" s="4"/>
      <c r="GW600" s="4">
        <v>521</v>
      </c>
      <c r="GX600" s="4">
        <v>492</v>
      </c>
      <c r="GY600" s="4">
        <v>451</v>
      </c>
      <c r="GZ600" s="4">
        <v>410</v>
      </c>
      <c r="HA600" s="4">
        <v>369</v>
      </c>
      <c r="HB600" s="4">
        <v>328</v>
      </c>
      <c r="HC600" s="4">
        <v>287</v>
      </c>
      <c r="HD600" s="19">
        <v>3.2</v>
      </c>
      <c r="HE600" s="19">
        <v>10.4</v>
      </c>
      <c r="HF600" s="19">
        <v>7.7</v>
      </c>
      <c r="HG600" s="19">
        <v>5.7</v>
      </c>
      <c r="HH600" s="19">
        <v>4.8</v>
      </c>
      <c r="HI600" s="19">
        <v>4.3</v>
      </c>
      <c r="HJ600" s="19">
        <v>3.1</v>
      </c>
      <c r="HK600" s="19">
        <v>4</v>
      </c>
      <c r="HL600" s="19">
        <v>4</v>
      </c>
      <c r="HM600" s="19">
        <v>3.8</v>
      </c>
      <c r="HN600" s="19">
        <v>3.2</v>
      </c>
      <c r="HO600" s="20">
        <v>0</v>
      </c>
      <c r="HP600" s="20">
        <v>0</v>
      </c>
      <c r="HQ600" s="20">
        <v>0</v>
      </c>
      <c r="HR600" s="20">
        <v>0</v>
      </c>
      <c r="HS600" s="20">
        <v>0</v>
      </c>
      <c r="HT600" s="20">
        <v>0</v>
      </c>
      <c r="HU600" s="20">
        <v>0</v>
      </c>
      <c r="HV600" s="20">
        <v>0</v>
      </c>
      <c r="HW600" s="19">
        <v>4.6</v>
      </c>
      <c r="HX600" s="19">
        <v>12</v>
      </c>
      <c r="HY600" s="19">
        <v>11</v>
      </c>
      <c r="HZ600" s="19">
        <v>10</v>
      </c>
      <c r="IA600" s="19">
        <v>9</v>
      </c>
      <c r="IB600" s="19">
        <v>8</v>
      </c>
      <c r="IC600" s="19">
        <v>7</v>
      </c>
    </row>
    <row r="601">
      <c r="A601" s="2" t="s">
        <v>2834</v>
      </c>
      <c r="B601" s="2" t="s">
        <v>323</v>
      </c>
      <c r="C601" s="2" t="s">
        <v>606</v>
      </c>
      <c r="D601" s="2" t="s">
        <v>257</v>
      </c>
      <c r="E601" s="2" t="s">
        <v>258</v>
      </c>
      <c r="F601" s="2" t="s">
        <v>2813</v>
      </c>
      <c r="G601" s="2" t="s">
        <v>2813</v>
      </c>
      <c r="H601" s="2" t="s">
        <v>2813</v>
      </c>
      <c r="I601" s="2" t="s">
        <v>2814</v>
      </c>
      <c r="J601" s="2" t="s">
        <v>230</v>
      </c>
      <c r="K601" s="2" t="s">
        <v>2831</v>
      </c>
      <c r="L601" s="3">
        <v>17.83</v>
      </c>
      <c r="M601" s="3">
        <v>18.72</v>
      </c>
      <c r="N601" s="3">
        <v>39.99</v>
      </c>
      <c r="O601" s="2" t="s">
        <v>232</v>
      </c>
      <c r="P601" s="2" t="s">
        <v>233</v>
      </c>
      <c r="Q601" s="2" t="s">
        <v>234</v>
      </c>
      <c r="R601" s="2" t="s">
        <v>235</v>
      </c>
      <c r="S601" s="2" t="s">
        <v>2832</v>
      </c>
      <c r="T601" s="2" t="s">
        <v>263</v>
      </c>
      <c r="U601" s="2" t="s">
        <v>552</v>
      </c>
      <c r="V601" s="2" t="s">
        <v>238</v>
      </c>
      <c r="W601" s="2" t="s">
        <v>239</v>
      </c>
      <c r="X601" s="2" t="s">
        <v>235</v>
      </c>
      <c r="Y601" s="2" t="s">
        <v>1599</v>
      </c>
      <c r="Z601" s="4">
        <v>3</v>
      </c>
      <c r="AA601" s="4">
        <f>=ROUNDDOWN(0.0833333333333333,0)</f>
      </c>
      <c r="AB601" s="5">
        <v>36</v>
      </c>
      <c r="AC601" s="2" t="s">
        <v>2835</v>
      </c>
      <c r="AD601" s="4">
        <v>388</v>
      </c>
      <c r="AE601" s="4">
        <v>1144</v>
      </c>
      <c r="AF601" s="6">
        <v>76</v>
      </c>
      <c r="AG601" s="6"/>
      <c r="AH601" s="7">
        <v>0.4839</v>
      </c>
      <c r="AI601" s="4"/>
      <c r="AJ601" s="4">
        <f>=ROUNDDOWN({0},0)</f>
      </c>
      <c r="AK601" s="5"/>
      <c r="AL601" s="2" t="s">
        <v>235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235</v>
      </c>
      <c r="AW601" s="8" t="s">
        <v>235</v>
      </c>
      <c r="AX601" s="4" t="s">
        <v>235</v>
      </c>
      <c r="AY601" s="8" t="s">
        <v>235</v>
      </c>
      <c r="AZ601" s="7" t="s">
        <v>235</v>
      </c>
      <c r="BA601" s="7" t="s">
        <v>235</v>
      </c>
      <c r="BB601" s="7"/>
      <c r="BC601" s="4" t="s">
        <v>235</v>
      </c>
      <c r="BD601" s="8" t="s">
        <v>235</v>
      </c>
      <c r="BE601" s="4" t="s">
        <v>235</v>
      </c>
      <c r="BF601" s="8" t="s">
        <v>235</v>
      </c>
      <c r="BG601" s="7" t="s">
        <v>235</v>
      </c>
      <c r="BH601" s="7" t="s">
        <v>235</v>
      </c>
      <c r="BI601" s="7"/>
      <c r="BJ601" s="4">
        <v>111</v>
      </c>
      <c r="BK601" s="8">
        <v>1901.48</v>
      </c>
      <c r="BL601" s="2" t="s">
        <v>2836</v>
      </c>
      <c r="BM601" s="7"/>
      <c r="BN601" s="7"/>
      <c r="BO601" s="4"/>
      <c r="BP601" s="8"/>
      <c r="BQ601" s="4"/>
      <c r="BR601" s="8"/>
      <c r="BS601" s="7"/>
      <c r="BT601" s="7"/>
      <c r="BU601" s="2" t="s">
        <v>2816</v>
      </c>
      <c r="BV601" s="2" t="s">
        <v>243</v>
      </c>
      <c r="BW601" s="2" t="s">
        <v>235</v>
      </c>
      <c r="BX601" s="2" t="s">
        <v>619</v>
      </c>
      <c r="BY601" s="2" t="s">
        <v>245</v>
      </c>
      <c r="BZ601" s="2" t="s">
        <v>232</v>
      </c>
      <c r="CA601" s="2" t="s">
        <v>2829</v>
      </c>
      <c r="CB601" s="2" t="s">
        <v>2837</v>
      </c>
      <c r="CC601" s="2" t="s">
        <v>248</v>
      </c>
      <c r="CD601" s="2" t="s">
        <v>248</v>
      </c>
      <c r="CE601" s="2" t="s">
        <v>235</v>
      </c>
      <c r="CF601" s="4">
        <v>3</v>
      </c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>
        <v>388</v>
      </c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>
        <v>252</v>
      </c>
      <c r="FJ601" s="4"/>
      <c r="FK601" s="4"/>
      <c r="FL601" s="4"/>
      <c r="FM601" s="4"/>
      <c r="FN601" s="4"/>
      <c r="FO601" s="4"/>
      <c r="FP601" s="4">
        <v>204</v>
      </c>
      <c r="FQ601" s="4"/>
      <c r="FR601" s="4"/>
      <c r="FS601" s="4"/>
      <c r="FT601" s="4"/>
      <c r="FU601" s="4"/>
      <c r="FV601" s="4"/>
      <c r="FW601" s="4"/>
      <c r="FX601" s="4"/>
      <c r="FY601" s="4"/>
      <c r="FZ601" s="4">
        <v>200</v>
      </c>
      <c r="GA601" s="4"/>
      <c r="GB601" s="4"/>
      <c r="GC601" s="4">
        <v>100</v>
      </c>
      <c r="GD601" s="4">
        <v>3</v>
      </c>
      <c r="GE601" s="4"/>
      <c r="GF601" s="4"/>
      <c r="GG601" s="4"/>
      <c r="GH601" s="4">
        <v>388</v>
      </c>
      <c r="GI601" s="4">
        <v>139</v>
      </c>
      <c r="GJ601" s="4">
        <v>79</v>
      </c>
      <c r="GK601" s="4">
        <v>10</v>
      </c>
      <c r="GL601" s="4"/>
      <c r="GM601" s="4"/>
      <c r="GN601" s="4"/>
      <c r="GO601" s="4"/>
      <c r="GP601" s="4"/>
      <c r="GQ601" s="4"/>
      <c r="GR601" s="4">
        <v>252</v>
      </c>
      <c r="GS601" s="4"/>
      <c r="GT601" s="4">
        <v>204</v>
      </c>
      <c r="GU601" s="4">
        <v>110</v>
      </c>
      <c r="GV601" s="4">
        <v>68</v>
      </c>
      <c r="GW601" s="4">
        <v>369</v>
      </c>
      <c r="GX601" s="4">
        <v>433</v>
      </c>
      <c r="GY601" s="4">
        <v>397</v>
      </c>
      <c r="GZ601" s="4">
        <v>361</v>
      </c>
      <c r="HA601" s="4">
        <v>325</v>
      </c>
      <c r="HB601" s="4">
        <v>289</v>
      </c>
      <c r="HC601" s="4">
        <v>252</v>
      </c>
      <c r="HD601" s="19">
        <v>0.5</v>
      </c>
      <c r="HE601" s="20">
        <v>0</v>
      </c>
      <c r="HF601" s="20">
        <v>0</v>
      </c>
      <c r="HG601" s="20">
        <v>0</v>
      </c>
      <c r="HH601" s="19">
        <v>4</v>
      </c>
      <c r="HI601" s="19">
        <v>3.9</v>
      </c>
      <c r="HJ601" s="19">
        <v>3.6</v>
      </c>
      <c r="HK601" s="19">
        <v>1.4</v>
      </c>
      <c r="HL601" s="20">
        <v>0</v>
      </c>
      <c r="HM601" s="20">
        <v>0</v>
      </c>
      <c r="HN601" s="20">
        <v>0</v>
      </c>
      <c r="HO601" s="20">
        <v>0</v>
      </c>
      <c r="HP601" s="20">
        <v>0</v>
      </c>
      <c r="HQ601" s="20">
        <v>0</v>
      </c>
      <c r="HR601" s="19">
        <v>2.6</v>
      </c>
      <c r="HS601" s="20">
        <v>0</v>
      </c>
      <c r="HT601" s="19">
        <v>3.9</v>
      </c>
      <c r="HU601" s="19">
        <v>2.9</v>
      </c>
      <c r="HV601" s="19">
        <v>1.9</v>
      </c>
      <c r="HW601" s="19">
        <v>10.3</v>
      </c>
      <c r="HX601" s="19">
        <v>12</v>
      </c>
      <c r="HY601" s="19">
        <v>11</v>
      </c>
      <c r="HZ601" s="19">
        <v>10</v>
      </c>
      <c r="IA601" s="19">
        <v>9</v>
      </c>
      <c r="IB601" s="19">
        <v>8</v>
      </c>
      <c r="IC601" s="19">
        <v>7</v>
      </c>
    </row>
    <row r="602">
      <c r="A602" s="2" t="s">
        <v>2838</v>
      </c>
      <c r="B602" s="2" t="s">
        <v>323</v>
      </c>
      <c r="C602" s="2" t="s">
        <v>606</v>
      </c>
      <c r="D602" s="2" t="s">
        <v>257</v>
      </c>
      <c r="E602" s="2" t="s">
        <v>258</v>
      </c>
      <c r="F602" s="2" t="s">
        <v>2813</v>
      </c>
      <c r="G602" s="2" t="s">
        <v>2813</v>
      </c>
      <c r="H602" s="2" t="s">
        <v>2813</v>
      </c>
      <c r="I602" s="2" t="s">
        <v>2814</v>
      </c>
      <c r="J602" s="2" t="s">
        <v>250</v>
      </c>
      <c r="K602" s="2" t="s">
        <v>2831</v>
      </c>
      <c r="L602" s="3">
        <v>20.06</v>
      </c>
      <c r="M602" s="3">
        <v>21.06</v>
      </c>
      <c r="N602" s="3">
        <v>44.99</v>
      </c>
      <c r="O602" s="2" t="s">
        <v>232</v>
      </c>
      <c r="P602" s="2" t="s">
        <v>233</v>
      </c>
      <c r="Q602" s="2" t="s">
        <v>234</v>
      </c>
      <c r="R602" s="2" t="s">
        <v>235</v>
      </c>
      <c r="S602" s="2" t="s">
        <v>2832</v>
      </c>
      <c r="T602" s="2" t="s">
        <v>263</v>
      </c>
      <c r="U602" s="2" t="s">
        <v>264</v>
      </c>
      <c r="V602" s="2" t="s">
        <v>238</v>
      </c>
      <c r="W602" s="2" t="s">
        <v>239</v>
      </c>
      <c r="X602" s="2" t="s">
        <v>235</v>
      </c>
      <c r="Y602" s="2" t="s">
        <v>2839</v>
      </c>
      <c r="Z602" s="4">
        <v>315</v>
      </c>
      <c r="AA602" s="4">
        <f>=ROUNDDOWN(22.5,0)</f>
      </c>
      <c r="AB602" s="5">
        <v>14</v>
      </c>
      <c r="AC602" s="2" t="s">
        <v>2840</v>
      </c>
      <c r="AD602" s="4">
        <v>32</v>
      </c>
      <c r="AE602" s="4">
        <v>32</v>
      </c>
      <c r="AF602" s="6">
        <v>76</v>
      </c>
      <c r="AG602" s="6"/>
      <c r="AH602" s="7">
        <v>1</v>
      </c>
      <c r="AI602" s="4"/>
      <c r="AJ602" s="4">
        <f>=ROUNDDOWN({0},0)</f>
      </c>
      <c r="AK602" s="5"/>
      <c r="AL602" s="2" t="s">
        <v>235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235</v>
      </c>
      <c r="AW602" s="8" t="s">
        <v>235</v>
      </c>
      <c r="AX602" s="4" t="s">
        <v>235</v>
      </c>
      <c r="AY602" s="8" t="s">
        <v>235</v>
      </c>
      <c r="AZ602" s="7" t="s">
        <v>235</v>
      </c>
      <c r="BA602" s="7" t="s">
        <v>235</v>
      </c>
      <c r="BB602" s="7"/>
      <c r="BC602" s="4" t="s">
        <v>235</v>
      </c>
      <c r="BD602" s="8" t="s">
        <v>235</v>
      </c>
      <c r="BE602" s="4" t="s">
        <v>235</v>
      </c>
      <c r="BF602" s="8" t="s">
        <v>235</v>
      </c>
      <c r="BG602" s="7" t="s">
        <v>235</v>
      </c>
      <c r="BH602" s="7" t="s">
        <v>235</v>
      </c>
      <c r="BI602" s="7"/>
      <c r="BJ602" s="4">
        <v>135</v>
      </c>
      <c r="BK602" s="8">
        <v>2823.57</v>
      </c>
      <c r="BL602" s="2" t="s">
        <v>2841</v>
      </c>
      <c r="BM602" s="7"/>
      <c r="BN602" s="7"/>
      <c r="BO602" s="4"/>
      <c r="BP602" s="8"/>
      <c r="BQ602" s="4"/>
      <c r="BR602" s="8"/>
      <c r="BS602" s="7"/>
      <c r="BT602" s="7"/>
      <c r="BU602" s="2" t="s">
        <v>2816</v>
      </c>
      <c r="BV602" s="2" t="s">
        <v>243</v>
      </c>
      <c r="BW602" s="2" t="s">
        <v>235</v>
      </c>
      <c r="BX602" s="2" t="s">
        <v>619</v>
      </c>
      <c r="BY602" s="2" t="s">
        <v>245</v>
      </c>
      <c r="BZ602" s="2" t="s">
        <v>232</v>
      </c>
      <c r="CA602" s="2" t="s">
        <v>2829</v>
      </c>
      <c r="CB602" s="2" t="s">
        <v>2842</v>
      </c>
      <c r="CC602" s="2" t="s">
        <v>248</v>
      </c>
      <c r="CD602" s="2" t="s">
        <v>248</v>
      </c>
      <c r="CE602" s="2" t="s">
        <v>235</v>
      </c>
      <c r="CF602" s="4">
        <v>315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>
        <v>32</v>
      </c>
      <c r="GA602" s="4"/>
      <c r="GB602" s="4"/>
      <c r="GC602" s="4"/>
      <c r="GD602" s="4">
        <v>367</v>
      </c>
      <c r="GE602" s="4">
        <v>350</v>
      </c>
      <c r="GF602" s="4">
        <v>349</v>
      </c>
      <c r="GG602" s="4">
        <v>348</v>
      </c>
      <c r="GH602" s="4">
        <v>347</v>
      </c>
      <c r="GI602" s="4">
        <v>346</v>
      </c>
      <c r="GJ602" s="4">
        <v>345</v>
      </c>
      <c r="GK602" s="4">
        <v>321</v>
      </c>
      <c r="GL602" s="4">
        <v>300</v>
      </c>
      <c r="GM602" s="4">
        <v>290</v>
      </c>
      <c r="GN602" s="4">
        <v>266</v>
      </c>
      <c r="GO602" s="4">
        <v>252</v>
      </c>
      <c r="GP602" s="4">
        <v>238</v>
      </c>
      <c r="GQ602" s="4">
        <v>223</v>
      </c>
      <c r="GR602" s="4">
        <v>208</v>
      </c>
      <c r="GS602" s="4">
        <v>193</v>
      </c>
      <c r="GT602" s="4">
        <v>179</v>
      </c>
      <c r="GU602" s="4">
        <v>164</v>
      </c>
      <c r="GV602" s="4">
        <v>147</v>
      </c>
      <c r="GW602" s="4">
        <v>182</v>
      </c>
      <c r="GX602" s="4">
        <v>168</v>
      </c>
      <c r="GY602" s="4">
        <v>154</v>
      </c>
      <c r="GZ602" s="4">
        <v>140</v>
      </c>
      <c r="HA602" s="4">
        <v>126</v>
      </c>
      <c r="HB602" s="4">
        <v>112</v>
      </c>
      <c r="HC602" s="4">
        <v>98</v>
      </c>
      <c r="HD602" s="19">
        <v>73.4</v>
      </c>
      <c r="HE602" s="19">
        <v>350</v>
      </c>
      <c r="HF602" s="19">
        <v>349</v>
      </c>
      <c r="HG602" s="19">
        <v>49.7</v>
      </c>
      <c r="HH602" s="19">
        <v>28.9</v>
      </c>
      <c r="HI602" s="19">
        <v>24.7</v>
      </c>
      <c r="HJ602" s="19">
        <v>17.3</v>
      </c>
      <c r="HK602" s="19">
        <v>18.9</v>
      </c>
      <c r="HL602" s="19">
        <v>18.8</v>
      </c>
      <c r="HM602" s="19">
        <v>17.1</v>
      </c>
      <c r="HN602" s="19">
        <v>19</v>
      </c>
      <c r="HO602" s="19">
        <v>16.8</v>
      </c>
      <c r="HP602" s="19">
        <v>15.9</v>
      </c>
      <c r="HQ602" s="19">
        <v>14.9</v>
      </c>
      <c r="HR602" s="19">
        <v>13.9</v>
      </c>
      <c r="HS602" s="19">
        <v>12.9</v>
      </c>
      <c r="HT602" s="19">
        <v>11.9</v>
      </c>
      <c r="HU602" s="19">
        <v>10.9</v>
      </c>
      <c r="HV602" s="19">
        <v>10.5</v>
      </c>
      <c r="HW602" s="19">
        <v>13</v>
      </c>
      <c r="HX602" s="19">
        <v>12</v>
      </c>
      <c r="HY602" s="19">
        <v>11</v>
      </c>
      <c r="HZ602" s="19">
        <v>10</v>
      </c>
      <c r="IA602" s="19">
        <v>9</v>
      </c>
      <c r="IB602" s="19">
        <v>8</v>
      </c>
      <c r="IC602" s="19">
        <v>7</v>
      </c>
    </row>
    <row r="603">
      <c r="A603" s="2" t="s">
        <v>2843</v>
      </c>
      <c r="B603" s="2" t="s">
        <v>323</v>
      </c>
      <c r="C603" s="2" t="s">
        <v>606</v>
      </c>
      <c r="D603" s="2" t="s">
        <v>257</v>
      </c>
      <c r="E603" s="2" t="s">
        <v>258</v>
      </c>
      <c r="F603" s="2" t="s">
        <v>2813</v>
      </c>
      <c r="G603" s="2" t="s">
        <v>2813</v>
      </c>
      <c r="H603" s="2" t="s">
        <v>2813</v>
      </c>
      <c r="I603" s="2" t="s">
        <v>2814</v>
      </c>
      <c r="J603" s="2" t="s">
        <v>270</v>
      </c>
      <c r="K603" s="2" t="s">
        <v>2831</v>
      </c>
      <c r="L603" s="3">
        <v>24.52</v>
      </c>
      <c r="M603" s="3">
        <v>25.75</v>
      </c>
      <c r="N603" s="3">
        <v>54.99</v>
      </c>
      <c r="O603" s="2" t="s">
        <v>232</v>
      </c>
      <c r="P603" s="2" t="s">
        <v>233</v>
      </c>
      <c r="Q603" s="2" t="s">
        <v>234</v>
      </c>
      <c r="R603" s="2" t="s">
        <v>235</v>
      </c>
      <c r="S603" s="2" t="s">
        <v>2832</v>
      </c>
      <c r="T603" s="2" t="s">
        <v>263</v>
      </c>
      <c r="U603" s="2" t="s">
        <v>264</v>
      </c>
      <c r="V603" s="2" t="s">
        <v>238</v>
      </c>
      <c r="W603" s="2" t="s">
        <v>239</v>
      </c>
      <c r="X603" s="2" t="s">
        <v>235</v>
      </c>
      <c r="Y603" s="2" t="s">
        <v>2187</v>
      </c>
      <c r="Z603" s="4">
        <v>56</v>
      </c>
      <c r="AA603" s="4">
        <f>=ROUNDDOWN(2.73170731707317,0)</f>
      </c>
      <c r="AB603" s="5">
        <v>20.5</v>
      </c>
      <c r="AC603" s="2" t="s">
        <v>883</v>
      </c>
      <c r="AD603" s="4">
        <v>88</v>
      </c>
      <c r="AE603" s="4">
        <v>536</v>
      </c>
      <c r="AF603" s="6">
        <v>76</v>
      </c>
      <c r="AG603" s="6"/>
      <c r="AH603" s="7">
        <v>1</v>
      </c>
      <c r="AI603" s="4"/>
      <c r="AJ603" s="4">
        <f>=ROUNDDOWN({0},0)</f>
      </c>
      <c r="AK603" s="5"/>
      <c r="AL603" s="2" t="s">
        <v>235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235</v>
      </c>
      <c r="AW603" s="8" t="s">
        <v>235</v>
      </c>
      <c r="AX603" s="4" t="s">
        <v>235</v>
      </c>
      <c r="AY603" s="8" t="s">
        <v>235</v>
      </c>
      <c r="AZ603" s="7" t="s">
        <v>235</v>
      </c>
      <c r="BA603" s="7" t="s">
        <v>235</v>
      </c>
      <c r="BB603" s="7"/>
      <c r="BC603" s="4" t="s">
        <v>235</v>
      </c>
      <c r="BD603" s="8" t="s">
        <v>235</v>
      </c>
      <c r="BE603" s="4" t="s">
        <v>235</v>
      </c>
      <c r="BF603" s="8" t="s">
        <v>235</v>
      </c>
      <c r="BG603" s="7" t="s">
        <v>235</v>
      </c>
      <c r="BH603" s="7" t="s">
        <v>235</v>
      </c>
      <c r="BI603" s="7"/>
      <c r="BJ603" s="4">
        <v>79</v>
      </c>
      <c r="BK603" s="8">
        <v>1960.38</v>
      </c>
      <c r="BL603" s="2" t="s">
        <v>2844</v>
      </c>
      <c r="BM603" s="7"/>
      <c r="BN603" s="7"/>
      <c r="BO603" s="4"/>
      <c r="BP603" s="8"/>
      <c r="BQ603" s="4"/>
      <c r="BR603" s="8"/>
      <c r="BS603" s="7"/>
      <c r="BT603" s="7"/>
      <c r="BU603" s="2" t="s">
        <v>2816</v>
      </c>
      <c r="BV603" s="2" t="s">
        <v>243</v>
      </c>
      <c r="BW603" s="2" t="s">
        <v>235</v>
      </c>
      <c r="BX603" s="2" t="s">
        <v>619</v>
      </c>
      <c r="BY603" s="2" t="s">
        <v>245</v>
      </c>
      <c r="BZ603" s="2" t="s">
        <v>232</v>
      </c>
      <c r="CA603" s="2" t="s">
        <v>2845</v>
      </c>
      <c r="CB603" s="2" t="s">
        <v>941</v>
      </c>
      <c r="CC603" s="2" t="s">
        <v>248</v>
      </c>
      <c r="CD603" s="2" t="s">
        <v>248</v>
      </c>
      <c r="CE603" s="2" t="s">
        <v>235</v>
      </c>
      <c r="CF603" s="4">
        <v>56</v>
      </c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>
        <v>88</v>
      </c>
      <c r="DE603" s="4"/>
      <c r="DF603" s="4"/>
      <c r="DG603" s="4"/>
      <c r="DH603" s="4"/>
      <c r="DI603" s="4"/>
      <c r="DJ603" s="4"/>
      <c r="DK603" s="4"/>
      <c r="DL603" s="4"/>
      <c r="DM603" s="4"/>
      <c r="DN603" s="4">
        <v>288</v>
      </c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>
        <v>60</v>
      </c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>
        <v>100</v>
      </c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>
        <v>140</v>
      </c>
      <c r="GE603" s="4">
        <v>142</v>
      </c>
      <c r="GF603" s="4">
        <v>140</v>
      </c>
      <c r="GG603" s="4">
        <v>138</v>
      </c>
      <c r="GH603" s="4">
        <v>424</v>
      </c>
      <c r="GI603" s="4">
        <v>422</v>
      </c>
      <c r="GJ603" s="4">
        <v>403</v>
      </c>
      <c r="GK603" s="4">
        <v>421</v>
      </c>
      <c r="GL603" s="4">
        <v>390</v>
      </c>
      <c r="GM603" s="4">
        <v>376</v>
      </c>
      <c r="GN603" s="4">
        <v>340</v>
      </c>
      <c r="GO603" s="4">
        <v>318</v>
      </c>
      <c r="GP603" s="4">
        <v>297</v>
      </c>
      <c r="GQ603" s="4">
        <v>274</v>
      </c>
      <c r="GR603" s="4">
        <v>351</v>
      </c>
      <c r="GS603" s="4">
        <v>329</v>
      </c>
      <c r="GT603" s="4">
        <v>309</v>
      </c>
      <c r="GU603" s="4">
        <v>286</v>
      </c>
      <c r="GV603" s="4">
        <v>261</v>
      </c>
      <c r="GW603" s="4">
        <v>273</v>
      </c>
      <c r="GX603" s="4">
        <v>252</v>
      </c>
      <c r="GY603" s="4">
        <v>231</v>
      </c>
      <c r="GZ603" s="4">
        <v>210</v>
      </c>
      <c r="HA603" s="4">
        <v>189</v>
      </c>
      <c r="HB603" s="4">
        <v>168</v>
      </c>
      <c r="HC603" s="4">
        <v>147</v>
      </c>
      <c r="HD603" s="19">
        <v>6.1</v>
      </c>
      <c r="HE603" s="19">
        <v>71</v>
      </c>
      <c r="HF603" s="19">
        <v>23.3</v>
      </c>
      <c r="HG603" s="19">
        <v>8.6</v>
      </c>
      <c r="HH603" s="19">
        <v>17.7</v>
      </c>
      <c r="HI603" s="19">
        <v>16.2</v>
      </c>
      <c r="HJ603" s="19">
        <v>13</v>
      </c>
      <c r="HK603" s="19">
        <v>16.2</v>
      </c>
      <c r="HL603" s="19">
        <v>17</v>
      </c>
      <c r="HM603" s="19">
        <v>14.5</v>
      </c>
      <c r="HN603" s="19">
        <v>15.5</v>
      </c>
      <c r="HO603" s="19">
        <v>14.5</v>
      </c>
      <c r="HP603" s="19">
        <v>13.5</v>
      </c>
      <c r="HQ603" s="19">
        <v>12.5</v>
      </c>
      <c r="HR603" s="19">
        <v>16</v>
      </c>
      <c r="HS603" s="19">
        <v>15</v>
      </c>
      <c r="HT603" s="19">
        <v>14</v>
      </c>
      <c r="HU603" s="19">
        <v>13</v>
      </c>
      <c r="HV603" s="19">
        <v>12.4</v>
      </c>
      <c r="HW603" s="19">
        <v>13</v>
      </c>
      <c r="HX603" s="19">
        <v>12</v>
      </c>
      <c r="HY603" s="19">
        <v>11</v>
      </c>
      <c r="HZ603" s="19">
        <v>10</v>
      </c>
      <c r="IA603" s="19">
        <v>9</v>
      </c>
      <c r="IB603" s="19">
        <v>8</v>
      </c>
      <c r="IC603" s="19">
        <v>7</v>
      </c>
    </row>
    <row r="604">
      <c r="A604" s="2" t="s">
        <v>2846</v>
      </c>
      <c r="B604" s="2" t="s">
        <v>323</v>
      </c>
      <c r="C604" s="2" t="s">
        <v>606</v>
      </c>
      <c r="D604" s="2" t="s">
        <v>257</v>
      </c>
      <c r="E604" s="2" t="s">
        <v>258</v>
      </c>
      <c r="F604" s="2" t="s">
        <v>2813</v>
      </c>
      <c r="G604" s="2" t="s">
        <v>2813</v>
      </c>
      <c r="H604" s="2" t="s">
        <v>2813</v>
      </c>
      <c r="I604" s="2" t="s">
        <v>2814</v>
      </c>
      <c r="J604" s="2" t="s">
        <v>272</v>
      </c>
      <c r="K604" s="2" t="s">
        <v>2831</v>
      </c>
      <c r="L604" s="3">
        <v>24.52</v>
      </c>
      <c r="M604" s="3">
        <v>25.75</v>
      </c>
      <c r="N604" s="3">
        <v>54.99</v>
      </c>
      <c r="O604" s="2" t="s">
        <v>232</v>
      </c>
      <c r="P604" s="2" t="s">
        <v>233</v>
      </c>
      <c r="Q604" s="2" t="s">
        <v>234</v>
      </c>
      <c r="R604" s="2" t="s">
        <v>235</v>
      </c>
      <c r="S604" s="2" t="s">
        <v>2832</v>
      </c>
      <c r="T604" s="2" t="s">
        <v>263</v>
      </c>
      <c r="U604" s="2" t="s">
        <v>264</v>
      </c>
      <c r="V604" s="2" t="s">
        <v>238</v>
      </c>
      <c r="W604" s="2" t="s">
        <v>239</v>
      </c>
      <c r="X604" s="2" t="s">
        <v>235</v>
      </c>
      <c r="Y604" s="2" t="s">
        <v>2187</v>
      </c>
      <c r="Z604" s="4">
        <v>339</v>
      </c>
      <c r="AA604" s="4">
        <f>=ROUNDDOWN(84.75,0)</f>
      </c>
      <c r="AB604" s="5">
        <v>4</v>
      </c>
      <c r="AC604" s="2" t="s">
        <v>235</v>
      </c>
      <c r="AD604" s="4"/>
      <c r="AE604" s="4"/>
      <c r="AF604" s="6">
        <v>76</v>
      </c>
      <c r="AG604" s="6"/>
      <c r="AH604" s="7">
        <v>1</v>
      </c>
      <c r="AI604" s="4"/>
      <c r="AJ604" s="4">
        <f>=ROUNDDOWN({0},0)</f>
      </c>
      <c r="AK604" s="5"/>
      <c r="AL604" s="2" t="s">
        <v>235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235</v>
      </c>
      <c r="AW604" s="8" t="s">
        <v>235</v>
      </c>
      <c r="AX604" s="4" t="s">
        <v>235</v>
      </c>
      <c r="AY604" s="8" t="s">
        <v>235</v>
      </c>
      <c r="AZ604" s="7" t="s">
        <v>235</v>
      </c>
      <c r="BA604" s="7" t="s">
        <v>235</v>
      </c>
      <c r="BB604" s="7"/>
      <c r="BC604" s="4" t="s">
        <v>235</v>
      </c>
      <c r="BD604" s="8" t="s">
        <v>235</v>
      </c>
      <c r="BE604" s="4" t="s">
        <v>235</v>
      </c>
      <c r="BF604" s="8" t="s">
        <v>235</v>
      </c>
      <c r="BG604" s="7" t="s">
        <v>235</v>
      </c>
      <c r="BH604" s="7" t="s">
        <v>235</v>
      </c>
      <c r="BI604" s="7"/>
      <c r="BJ604" s="4">
        <v>2</v>
      </c>
      <c r="BK604" s="8">
        <v>54.4</v>
      </c>
      <c r="BL604" s="2" t="s">
        <v>1122</v>
      </c>
      <c r="BM604" s="7"/>
      <c r="BN604" s="7"/>
      <c r="BO604" s="4"/>
      <c r="BP604" s="8"/>
      <c r="BQ604" s="4"/>
      <c r="BR604" s="8"/>
      <c r="BS604" s="7"/>
      <c r="BT604" s="7"/>
      <c r="BU604" s="2" t="s">
        <v>2816</v>
      </c>
      <c r="BV604" s="2" t="s">
        <v>243</v>
      </c>
      <c r="BW604" s="2" t="s">
        <v>235</v>
      </c>
      <c r="BX604" s="2" t="s">
        <v>619</v>
      </c>
      <c r="BY604" s="2" t="s">
        <v>245</v>
      </c>
      <c r="BZ604" s="2" t="s">
        <v>232</v>
      </c>
      <c r="CA604" s="2" t="s">
        <v>2829</v>
      </c>
      <c r="CB604" s="2" t="s">
        <v>687</v>
      </c>
      <c r="CC604" s="2" t="s">
        <v>248</v>
      </c>
      <c r="CD604" s="2" t="s">
        <v>248</v>
      </c>
      <c r="CE604" s="2" t="s">
        <v>235</v>
      </c>
      <c r="CF604" s="4">
        <v>339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>
        <v>339</v>
      </c>
      <c r="GE604" s="4">
        <v>320</v>
      </c>
      <c r="GF604" s="4">
        <v>317</v>
      </c>
      <c r="GG604" s="4">
        <v>313</v>
      </c>
      <c r="GH604" s="4">
        <v>308</v>
      </c>
      <c r="GI604" s="4">
        <v>304</v>
      </c>
      <c r="GJ604" s="4">
        <v>298</v>
      </c>
      <c r="GK604" s="4">
        <v>291</v>
      </c>
      <c r="GL604" s="4">
        <v>285</v>
      </c>
      <c r="GM604" s="4">
        <v>282</v>
      </c>
      <c r="GN604" s="4">
        <v>276</v>
      </c>
      <c r="GO604" s="4">
        <v>272</v>
      </c>
      <c r="GP604" s="4">
        <v>268</v>
      </c>
      <c r="GQ604" s="4">
        <v>263</v>
      </c>
      <c r="GR604" s="4">
        <v>258</v>
      </c>
      <c r="GS604" s="4">
        <v>253</v>
      </c>
      <c r="GT604" s="4">
        <v>249</v>
      </c>
      <c r="GU604" s="4">
        <v>244</v>
      </c>
      <c r="GV604" s="4">
        <v>239</v>
      </c>
      <c r="GW604" s="4">
        <v>235</v>
      </c>
      <c r="GX604" s="4">
        <v>231</v>
      </c>
      <c r="GY604" s="4">
        <v>227</v>
      </c>
      <c r="GZ604" s="4">
        <v>223</v>
      </c>
      <c r="HA604" s="4">
        <v>219</v>
      </c>
      <c r="HB604" s="4">
        <v>215</v>
      </c>
      <c r="HC604" s="4">
        <v>211</v>
      </c>
      <c r="HD604" s="19">
        <v>42.4</v>
      </c>
      <c r="HE604" s="19">
        <v>80</v>
      </c>
      <c r="HF604" s="19">
        <v>63.4</v>
      </c>
      <c r="HG604" s="19">
        <v>52.2</v>
      </c>
      <c r="HH604" s="19">
        <v>51.3</v>
      </c>
      <c r="HI604" s="19">
        <v>50.7</v>
      </c>
      <c r="HJ604" s="19">
        <v>49.7</v>
      </c>
      <c r="HK604" s="19">
        <v>58.2</v>
      </c>
      <c r="HL604" s="19">
        <v>71.3</v>
      </c>
      <c r="HM604" s="19">
        <v>56.4</v>
      </c>
      <c r="HN604" s="19">
        <v>69</v>
      </c>
      <c r="HO604" s="19">
        <v>54.4</v>
      </c>
      <c r="HP604" s="19">
        <v>53.6</v>
      </c>
      <c r="HQ604" s="19">
        <v>52.6</v>
      </c>
      <c r="HR604" s="19">
        <v>51.6</v>
      </c>
      <c r="HS604" s="19">
        <v>63.3</v>
      </c>
      <c r="HT604" s="19">
        <v>62.3</v>
      </c>
      <c r="HU604" s="19">
        <v>61</v>
      </c>
      <c r="HV604" s="19">
        <v>59.8</v>
      </c>
      <c r="HW604" s="19">
        <v>58.8</v>
      </c>
      <c r="HX604" s="19">
        <v>57.8</v>
      </c>
      <c r="HY604" s="19">
        <v>56.8</v>
      </c>
      <c r="HZ604" s="19">
        <v>55.8</v>
      </c>
      <c r="IA604" s="19">
        <v>54.8</v>
      </c>
      <c r="IB604" s="19">
        <v>53.8</v>
      </c>
      <c r="IC604" s="19">
        <v>52.8</v>
      </c>
    </row>
    <row r="605">
      <c r="A605" s="2" t="s">
        <v>2847</v>
      </c>
      <c r="B605" s="2" t="s">
        <v>323</v>
      </c>
      <c r="C605" s="2" t="s">
        <v>606</v>
      </c>
      <c r="D605" s="2" t="s">
        <v>257</v>
      </c>
      <c r="E605" s="2" t="s">
        <v>258</v>
      </c>
      <c r="F605" s="2" t="s">
        <v>2813</v>
      </c>
      <c r="G605" s="2" t="s">
        <v>2813</v>
      </c>
      <c r="H605" s="2" t="s">
        <v>2813</v>
      </c>
      <c r="I605" s="2" t="s">
        <v>2848</v>
      </c>
      <c r="J605" s="2" t="s">
        <v>230</v>
      </c>
      <c r="K605" s="2" t="s">
        <v>2849</v>
      </c>
      <c r="L605" s="3">
        <v>17.83</v>
      </c>
      <c r="M605" s="3">
        <v>18.72</v>
      </c>
      <c r="N605" s="3">
        <v>39.99</v>
      </c>
      <c r="O605" s="2" t="s">
        <v>232</v>
      </c>
      <c r="P605" s="2" t="s">
        <v>233</v>
      </c>
      <c r="Q605" s="2" t="s">
        <v>234</v>
      </c>
      <c r="R605" s="2" t="s">
        <v>235</v>
      </c>
      <c r="S605" s="2" t="s">
        <v>235</v>
      </c>
      <c r="T605" s="2" t="s">
        <v>263</v>
      </c>
      <c r="U605" s="2" t="s">
        <v>552</v>
      </c>
      <c r="V605" s="2" t="s">
        <v>2182</v>
      </c>
      <c r="W605" s="2" t="s">
        <v>239</v>
      </c>
      <c r="X605" s="2" t="s">
        <v>235</v>
      </c>
      <c r="Y605" s="2" t="s">
        <v>786</v>
      </c>
      <c r="Z605" s="4">
        <v>144</v>
      </c>
      <c r="AA605" s="4">
        <f>=ROUNDDOWN(57.6,0)</f>
      </c>
      <c r="AB605" s="5">
        <v>2.5</v>
      </c>
      <c r="AC605" s="2" t="s">
        <v>166</v>
      </c>
      <c r="AD605" s="4">
        <v>28</v>
      </c>
      <c r="AE605" s="4">
        <v>28</v>
      </c>
      <c r="AF605" s="6">
        <v>79</v>
      </c>
      <c r="AG605" s="6"/>
      <c r="AH605" s="7">
        <v>1</v>
      </c>
      <c r="AI605" s="4"/>
      <c r="AJ605" s="4">
        <f>=ROUNDDOWN({0},0)</f>
      </c>
      <c r="AK605" s="5"/>
      <c r="AL605" s="2" t="s">
        <v>235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235</v>
      </c>
      <c r="AW605" s="8" t="s">
        <v>235</v>
      </c>
      <c r="AX605" s="4" t="s">
        <v>235</v>
      </c>
      <c r="AY605" s="8" t="s">
        <v>235</v>
      </c>
      <c r="AZ605" s="7" t="s">
        <v>235</v>
      </c>
      <c r="BA605" s="7" t="s">
        <v>235</v>
      </c>
      <c r="BB605" s="7"/>
      <c r="BC605" s="4" t="s">
        <v>235</v>
      </c>
      <c r="BD605" s="8" t="s">
        <v>235</v>
      </c>
      <c r="BE605" s="4" t="s">
        <v>235</v>
      </c>
      <c r="BF605" s="8" t="s">
        <v>235</v>
      </c>
      <c r="BG605" s="7" t="s">
        <v>235</v>
      </c>
      <c r="BH605" s="7" t="s">
        <v>235</v>
      </c>
      <c r="BI605" s="7"/>
      <c r="BJ605" s="4">
        <v>13</v>
      </c>
      <c r="BK605" s="8">
        <v>265.07</v>
      </c>
      <c r="BL605" s="2" t="s">
        <v>2850</v>
      </c>
      <c r="BM605" s="7"/>
      <c r="BN605" s="7"/>
      <c r="BO605" s="4"/>
      <c r="BP605" s="8"/>
      <c r="BQ605" s="4"/>
      <c r="BR605" s="8"/>
      <c r="BS605" s="7"/>
      <c r="BT605" s="7"/>
      <c r="BU605" s="2" t="s">
        <v>2816</v>
      </c>
      <c r="BV605" s="2" t="s">
        <v>243</v>
      </c>
      <c r="BW605" s="2" t="s">
        <v>235</v>
      </c>
      <c r="BX605" s="2" t="s">
        <v>619</v>
      </c>
      <c r="BY605" s="2" t="s">
        <v>245</v>
      </c>
      <c r="BZ605" s="2" t="s">
        <v>232</v>
      </c>
      <c r="CA605" s="2" t="s">
        <v>2851</v>
      </c>
      <c r="CB605" s="2" t="s">
        <v>2852</v>
      </c>
      <c r="CC605" s="2" t="s">
        <v>248</v>
      </c>
      <c r="CD605" s="2" t="s">
        <v>248</v>
      </c>
      <c r="CE605" s="2" t="s">
        <v>235</v>
      </c>
      <c r="CF605" s="4">
        <v>144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>
        <v>28</v>
      </c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>
        <v>144</v>
      </c>
      <c r="GE605" s="4">
        <v>140</v>
      </c>
      <c r="GF605" s="4">
        <v>137</v>
      </c>
      <c r="GG605" s="4">
        <v>134</v>
      </c>
      <c r="GH605" s="4">
        <v>131</v>
      </c>
      <c r="GI605" s="4">
        <v>128</v>
      </c>
      <c r="GJ605" s="4">
        <v>125</v>
      </c>
      <c r="GK605" s="4">
        <v>150</v>
      </c>
      <c r="GL605" s="4">
        <v>147</v>
      </c>
      <c r="GM605" s="4">
        <v>145</v>
      </c>
      <c r="GN605" s="4">
        <v>142</v>
      </c>
      <c r="GO605" s="4">
        <v>138</v>
      </c>
      <c r="GP605" s="4">
        <v>135</v>
      </c>
      <c r="GQ605" s="4">
        <v>130</v>
      </c>
      <c r="GR605" s="4">
        <v>124</v>
      </c>
      <c r="GS605" s="4">
        <v>119</v>
      </c>
      <c r="GT605" s="4">
        <v>117</v>
      </c>
      <c r="GU605" s="4">
        <v>112</v>
      </c>
      <c r="GV605" s="4">
        <v>109</v>
      </c>
      <c r="GW605" s="4">
        <v>106</v>
      </c>
      <c r="GX605" s="4">
        <v>103</v>
      </c>
      <c r="GY605" s="4">
        <v>100</v>
      </c>
      <c r="GZ605" s="4">
        <v>97</v>
      </c>
      <c r="HA605" s="4">
        <v>94</v>
      </c>
      <c r="HB605" s="4">
        <v>91</v>
      </c>
      <c r="HC605" s="4">
        <v>87</v>
      </c>
      <c r="HD605" s="19">
        <v>48</v>
      </c>
      <c r="HE605" s="19">
        <v>46.7</v>
      </c>
      <c r="HF605" s="19">
        <v>45.7</v>
      </c>
      <c r="HG605" s="19">
        <v>44.7</v>
      </c>
      <c r="HH605" s="19">
        <v>43.7</v>
      </c>
      <c r="HI605" s="19">
        <v>42.7</v>
      </c>
      <c r="HJ605" s="19">
        <v>41.7</v>
      </c>
      <c r="HK605" s="19">
        <v>50</v>
      </c>
      <c r="HL605" s="19">
        <v>49</v>
      </c>
      <c r="HM605" s="19">
        <v>36.3</v>
      </c>
      <c r="HN605" s="19">
        <v>35.5</v>
      </c>
      <c r="HO605" s="19">
        <v>27.6</v>
      </c>
      <c r="HP605" s="19">
        <v>33.8</v>
      </c>
      <c r="HQ605" s="19">
        <v>32.5</v>
      </c>
      <c r="HR605" s="19">
        <v>31</v>
      </c>
      <c r="HS605" s="19">
        <v>39.7</v>
      </c>
      <c r="HT605" s="19">
        <v>29.3</v>
      </c>
      <c r="HU605" s="19">
        <v>37.3</v>
      </c>
      <c r="HV605" s="19">
        <v>36.3</v>
      </c>
      <c r="HW605" s="19">
        <v>35.3</v>
      </c>
      <c r="HX605" s="19">
        <v>34.3</v>
      </c>
      <c r="HY605" s="19">
        <v>33.3</v>
      </c>
      <c r="HZ605" s="19">
        <v>32.3</v>
      </c>
      <c r="IA605" s="19">
        <v>31.3</v>
      </c>
      <c r="IB605" s="19">
        <v>30.3</v>
      </c>
      <c r="IC605" s="19">
        <v>29</v>
      </c>
    </row>
    <row r="606">
      <c r="A606" s="2" t="s">
        <v>2853</v>
      </c>
      <c r="B606" s="2" t="s">
        <v>323</v>
      </c>
      <c r="C606" s="2" t="s">
        <v>606</v>
      </c>
      <c r="D606" s="2" t="s">
        <v>257</v>
      </c>
      <c r="E606" s="2" t="s">
        <v>258</v>
      </c>
      <c r="F606" s="2" t="s">
        <v>2813</v>
      </c>
      <c r="G606" s="2" t="s">
        <v>2813</v>
      </c>
      <c r="H606" s="2" t="s">
        <v>2813</v>
      </c>
      <c r="I606" s="2" t="s">
        <v>2848</v>
      </c>
      <c r="J606" s="2" t="s">
        <v>261</v>
      </c>
      <c r="K606" s="2" t="s">
        <v>2849</v>
      </c>
      <c r="L606" s="3">
        <v>22.29</v>
      </c>
      <c r="M606" s="3">
        <v>23.4</v>
      </c>
      <c r="N606" s="3">
        <v>49.99</v>
      </c>
      <c r="O606" s="2" t="s">
        <v>232</v>
      </c>
      <c r="P606" s="2" t="s">
        <v>233</v>
      </c>
      <c r="Q606" s="2" t="s">
        <v>234</v>
      </c>
      <c r="R606" s="2" t="s">
        <v>235</v>
      </c>
      <c r="S606" s="2" t="s">
        <v>235</v>
      </c>
      <c r="T606" s="2" t="s">
        <v>263</v>
      </c>
      <c r="U606" s="2" t="s">
        <v>264</v>
      </c>
      <c r="V606" s="2" t="s">
        <v>2182</v>
      </c>
      <c r="W606" s="2" t="s">
        <v>239</v>
      </c>
      <c r="X606" s="2" t="s">
        <v>235</v>
      </c>
      <c r="Y606" s="2" t="s">
        <v>786</v>
      </c>
      <c r="Z606" s="4">
        <v>168</v>
      </c>
      <c r="AA606" s="4">
        <f>=ROUNDDOWN(62.2222222222222,0)</f>
      </c>
      <c r="AB606" s="5">
        <v>2.7</v>
      </c>
      <c r="AC606" s="2" t="s">
        <v>235</v>
      </c>
      <c r="AD606" s="4"/>
      <c r="AE606" s="4"/>
      <c r="AF606" s="6">
        <v>79</v>
      </c>
      <c r="AG606" s="6"/>
      <c r="AH606" s="7">
        <v>1</v>
      </c>
      <c r="AI606" s="4"/>
      <c r="AJ606" s="4">
        <f>=ROUNDDOWN({0},0)</f>
      </c>
      <c r="AK606" s="5"/>
      <c r="AL606" s="2" t="s">
        <v>235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235</v>
      </c>
      <c r="AW606" s="8" t="s">
        <v>235</v>
      </c>
      <c r="AX606" s="4" t="s">
        <v>235</v>
      </c>
      <c r="AY606" s="8" t="s">
        <v>235</v>
      </c>
      <c r="AZ606" s="7" t="s">
        <v>235</v>
      </c>
      <c r="BA606" s="7" t="s">
        <v>235</v>
      </c>
      <c r="BB606" s="7"/>
      <c r="BC606" s="4" t="s">
        <v>235</v>
      </c>
      <c r="BD606" s="8" t="s">
        <v>235</v>
      </c>
      <c r="BE606" s="4" t="s">
        <v>235</v>
      </c>
      <c r="BF606" s="8" t="s">
        <v>235</v>
      </c>
      <c r="BG606" s="7" t="s">
        <v>235</v>
      </c>
      <c r="BH606" s="7" t="s">
        <v>235</v>
      </c>
      <c r="BI606" s="7"/>
      <c r="BJ606" s="4">
        <v>13</v>
      </c>
      <c r="BK606" s="8">
        <v>322.16</v>
      </c>
      <c r="BL606" s="2" t="s">
        <v>2854</v>
      </c>
      <c r="BM606" s="7"/>
      <c r="BN606" s="7"/>
      <c r="BO606" s="4"/>
      <c r="BP606" s="8"/>
      <c r="BQ606" s="4"/>
      <c r="BR606" s="8"/>
      <c r="BS606" s="7"/>
      <c r="BT606" s="7"/>
      <c r="BU606" s="2" t="s">
        <v>2816</v>
      </c>
      <c r="BV606" s="2" t="s">
        <v>243</v>
      </c>
      <c r="BW606" s="2" t="s">
        <v>235</v>
      </c>
      <c r="BX606" s="2" t="s">
        <v>619</v>
      </c>
      <c r="BY606" s="2" t="s">
        <v>245</v>
      </c>
      <c r="BZ606" s="2" t="s">
        <v>232</v>
      </c>
      <c r="CA606" s="2" t="s">
        <v>2851</v>
      </c>
      <c r="CB606" s="2" t="s">
        <v>2855</v>
      </c>
      <c r="CC606" s="2" t="s">
        <v>248</v>
      </c>
      <c r="CD606" s="2" t="s">
        <v>248</v>
      </c>
      <c r="CE606" s="2" t="s">
        <v>235</v>
      </c>
      <c r="CF606" s="4">
        <v>168</v>
      </c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>
        <v>168</v>
      </c>
      <c r="GE606" s="4">
        <v>165</v>
      </c>
      <c r="GF606" s="4">
        <v>162</v>
      </c>
      <c r="GG606" s="4">
        <v>159</v>
      </c>
      <c r="GH606" s="4">
        <v>156</v>
      </c>
      <c r="GI606" s="4">
        <v>153</v>
      </c>
      <c r="GJ606" s="4">
        <v>150</v>
      </c>
      <c r="GK606" s="4">
        <v>147</v>
      </c>
      <c r="GL606" s="4">
        <v>144</v>
      </c>
      <c r="GM606" s="4">
        <v>142</v>
      </c>
      <c r="GN606" s="4">
        <v>139</v>
      </c>
      <c r="GO606" s="4">
        <v>135</v>
      </c>
      <c r="GP606" s="4">
        <v>132</v>
      </c>
      <c r="GQ606" s="4">
        <v>127</v>
      </c>
      <c r="GR606" s="4">
        <v>121</v>
      </c>
      <c r="GS606" s="4">
        <v>116</v>
      </c>
      <c r="GT606" s="4">
        <v>114</v>
      </c>
      <c r="GU606" s="4">
        <v>109</v>
      </c>
      <c r="GV606" s="4">
        <v>106</v>
      </c>
      <c r="GW606" s="4">
        <v>103</v>
      </c>
      <c r="GX606" s="4">
        <v>100</v>
      </c>
      <c r="GY606" s="4">
        <v>97</v>
      </c>
      <c r="GZ606" s="4">
        <v>94</v>
      </c>
      <c r="HA606" s="4">
        <v>91</v>
      </c>
      <c r="HB606" s="4">
        <v>88</v>
      </c>
      <c r="HC606" s="4">
        <v>84</v>
      </c>
      <c r="HD606" s="19">
        <v>56</v>
      </c>
      <c r="HE606" s="19">
        <v>55</v>
      </c>
      <c r="HF606" s="19">
        <v>54</v>
      </c>
      <c r="HG606" s="19">
        <v>53</v>
      </c>
      <c r="HH606" s="19">
        <v>52</v>
      </c>
      <c r="HI606" s="19">
        <v>51</v>
      </c>
      <c r="HJ606" s="19">
        <v>50</v>
      </c>
      <c r="HK606" s="19">
        <v>49</v>
      </c>
      <c r="HL606" s="19">
        <v>48</v>
      </c>
      <c r="HM606" s="19">
        <v>35.5</v>
      </c>
      <c r="HN606" s="19">
        <v>34.8</v>
      </c>
      <c r="HO606" s="19">
        <v>27</v>
      </c>
      <c r="HP606" s="19">
        <v>33</v>
      </c>
      <c r="HQ606" s="19">
        <v>31.8</v>
      </c>
      <c r="HR606" s="19">
        <v>30.3</v>
      </c>
      <c r="HS606" s="19">
        <v>38.7</v>
      </c>
      <c r="HT606" s="19">
        <v>28.5</v>
      </c>
      <c r="HU606" s="19">
        <v>36.3</v>
      </c>
      <c r="HV606" s="19">
        <v>35.3</v>
      </c>
      <c r="HW606" s="19">
        <v>34.3</v>
      </c>
      <c r="HX606" s="19">
        <v>33.3</v>
      </c>
      <c r="HY606" s="19">
        <v>32.3</v>
      </c>
      <c r="HZ606" s="19">
        <v>31.3</v>
      </c>
      <c r="IA606" s="19">
        <v>30.3</v>
      </c>
      <c r="IB606" s="19">
        <v>29.3</v>
      </c>
      <c r="IC606" s="19">
        <v>28</v>
      </c>
    </row>
    <row r="607">
      <c r="A607" s="2" t="s">
        <v>2856</v>
      </c>
      <c r="B607" s="2" t="s">
        <v>323</v>
      </c>
      <c r="C607" s="2" t="s">
        <v>606</v>
      </c>
      <c r="D607" s="2" t="s">
        <v>257</v>
      </c>
      <c r="E607" s="2" t="s">
        <v>258</v>
      </c>
      <c r="F607" s="2" t="s">
        <v>2813</v>
      </c>
      <c r="G607" s="2" t="s">
        <v>2813</v>
      </c>
      <c r="H607" s="2" t="s">
        <v>2813</v>
      </c>
      <c r="I607" s="2" t="s">
        <v>2848</v>
      </c>
      <c r="J607" s="2" t="s">
        <v>272</v>
      </c>
      <c r="K607" s="2" t="s">
        <v>2849</v>
      </c>
      <c r="L607" s="3">
        <v>24.52</v>
      </c>
      <c r="M607" s="3">
        <v>25.75</v>
      </c>
      <c r="N607" s="3">
        <v>54.99</v>
      </c>
      <c r="O607" s="2" t="s">
        <v>232</v>
      </c>
      <c r="P607" s="2" t="s">
        <v>233</v>
      </c>
      <c r="Q607" s="2" t="s">
        <v>234</v>
      </c>
      <c r="R607" s="2" t="s">
        <v>235</v>
      </c>
      <c r="S607" s="2" t="s">
        <v>235</v>
      </c>
      <c r="T607" s="2" t="s">
        <v>263</v>
      </c>
      <c r="U607" s="2" t="s">
        <v>264</v>
      </c>
      <c r="V607" s="2" t="s">
        <v>2182</v>
      </c>
      <c r="W607" s="2" t="s">
        <v>239</v>
      </c>
      <c r="X607" s="2" t="s">
        <v>235</v>
      </c>
      <c r="Y607" s="2" t="s">
        <v>786</v>
      </c>
      <c r="Z607" s="4">
        <v>37</v>
      </c>
      <c r="AA607" s="4">
        <f>=ROUNDDOWN(19.4736842105263,0)</f>
      </c>
      <c r="AB607" s="5">
        <v>1.9</v>
      </c>
      <c r="AC607" s="2" t="s">
        <v>166</v>
      </c>
      <c r="AD607" s="4">
        <v>76</v>
      </c>
      <c r="AE607" s="4">
        <v>76</v>
      </c>
      <c r="AF607" s="6">
        <v>79</v>
      </c>
      <c r="AG607" s="6"/>
      <c r="AH607" s="7">
        <v>1</v>
      </c>
      <c r="AI607" s="4"/>
      <c r="AJ607" s="4">
        <f>=ROUNDDOWN({0},0)</f>
      </c>
      <c r="AK607" s="5"/>
      <c r="AL607" s="2" t="s">
        <v>235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235</v>
      </c>
      <c r="AW607" s="8" t="s">
        <v>235</v>
      </c>
      <c r="AX607" s="4" t="s">
        <v>235</v>
      </c>
      <c r="AY607" s="8" t="s">
        <v>235</v>
      </c>
      <c r="AZ607" s="7" t="s">
        <v>235</v>
      </c>
      <c r="BA607" s="7" t="s">
        <v>235</v>
      </c>
      <c r="BB607" s="7"/>
      <c r="BC607" s="4" t="s">
        <v>235</v>
      </c>
      <c r="BD607" s="8" t="s">
        <v>235</v>
      </c>
      <c r="BE607" s="4" t="s">
        <v>235</v>
      </c>
      <c r="BF607" s="8" t="s">
        <v>235</v>
      </c>
      <c r="BG607" s="7" t="s">
        <v>235</v>
      </c>
      <c r="BH607" s="7" t="s">
        <v>235</v>
      </c>
      <c r="BI607" s="7"/>
      <c r="BJ607" s="4">
        <v>3</v>
      </c>
      <c r="BK607" s="8">
        <v>112.44</v>
      </c>
      <c r="BL607" s="2" t="s">
        <v>2857</v>
      </c>
      <c r="BM607" s="7"/>
      <c r="BN607" s="7"/>
      <c r="BO607" s="4"/>
      <c r="BP607" s="8"/>
      <c r="BQ607" s="4"/>
      <c r="BR607" s="8"/>
      <c r="BS607" s="7"/>
      <c r="BT607" s="7"/>
      <c r="BU607" s="2" t="s">
        <v>2816</v>
      </c>
      <c r="BV607" s="2" t="s">
        <v>243</v>
      </c>
      <c r="BW607" s="2" t="s">
        <v>235</v>
      </c>
      <c r="BX607" s="2" t="s">
        <v>619</v>
      </c>
      <c r="BY607" s="2" t="s">
        <v>245</v>
      </c>
      <c r="BZ607" s="2" t="s">
        <v>232</v>
      </c>
      <c r="CA607" s="2" t="s">
        <v>2851</v>
      </c>
      <c r="CB607" s="2" t="s">
        <v>2855</v>
      </c>
      <c r="CC607" s="2" t="s">
        <v>248</v>
      </c>
      <c r="CD607" s="2" t="s">
        <v>248</v>
      </c>
      <c r="CE607" s="2" t="s">
        <v>235</v>
      </c>
      <c r="CF607" s="4">
        <v>37</v>
      </c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>
        <v>76</v>
      </c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>
        <v>37</v>
      </c>
      <c r="GE607" s="4">
        <v>35</v>
      </c>
      <c r="GF607" s="4">
        <v>33</v>
      </c>
      <c r="GG607" s="4">
        <v>31</v>
      </c>
      <c r="GH607" s="4">
        <v>29</v>
      </c>
      <c r="GI607" s="4">
        <v>27</v>
      </c>
      <c r="GJ607" s="4">
        <v>25</v>
      </c>
      <c r="GK607" s="4">
        <v>99</v>
      </c>
      <c r="GL607" s="4">
        <v>97</v>
      </c>
      <c r="GM607" s="4">
        <v>96</v>
      </c>
      <c r="GN607" s="4">
        <v>94</v>
      </c>
      <c r="GO607" s="4">
        <v>91</v>
      </c>
      <c r="GP607" s="4">
        <v>89</v>
      </c>
      <c r="GQ607" s="4">
        <v>85</v>
      </c>
      <c r="GR607" s="4">
        <v>81</v>
      </c>
      <c r="GS607" s="4">
        <v>78</v>
      </c>
      <c r="GT607" s="4">
        <v>77</v>
      </c>
      <c r="GU607" s="4">
        <v>73</v>
      </c>
      <c r="GV607" s="4">
        <v>71</v>
      </c>
      <c r="GW607" s="4">
        <v>69</v>
      </c>
      <c r="GX607" s="4">
        <v>67</v>
      </c>
      <c r="GY607" s="4">
        <v>65</v>
      </c>
      <c r="GZ607" s="4">
        <v>63</v>
      </c>
      <c r="HA607" s="4">
        <v>61</v>
      </c>
      <c r="HB607" s="4">
        <v>59</v>
      </c>
      <c r="HC607" s="4">
        <v>57</v>
      </c>
      <c r="HD607" s="19">
        <v>18.5</v>
      </c>
      <c r="HE607" s="19">
        <v>17.5</v>
      </c>
      <c r="HF607" s="19">
        <v>16.5</v>
      </c>
      <c r="HG607" s="19">
        <v>15.5</v>
      </c>
      <c r="HH607" s="19">
        <v>14.5</v>
      </c>
      <c r="HI607" s="19">
        <v>13.5</v>
      </c>
      <c r="HJ607" s="19">
        <v>12.5</v>
      </c>
      <c r="HK607" s="19">
        <v>49.5</v>
      </c>
      <c r="HL607" s="19">
        <v>48.5</v>
      </c>
      <c r="HM607" s="19">
        <v>32</v>
      </c>
      <c r="HN607" s="19">
        <v>31.3</v>
      </c>
      <c r="HO607" s="19">
        <v>30.3</v>
      </c>
      <c r="HP607" s="19">
        <v>29.7</v>
      </c>
      <c r="HQ607" s="19">
        <v>28.3</v>
      </c>
      <c r="HR607" s="19">
        <v>40.5</v>
      </c>
      <c r="HS607" s="19">
        <v>39</v>
      </c>
      <c r="HT607" s="19">
        <v>38.5</v>
      </c>
      <c r="HU607" s="19">
        <v>36.5</v>
      </c>
      <c r="HV607" s="19">
        <v>35.5</v>
      </c>
      <c r="HW607" s="19">
        <v>34.5</v>
      </c>
      <c r="HX607" s="19">
        <v>33.5</v>
      </c>
      <c r="HY607" s="19">
        <v>32.5</v>
      </c>
      <c r="HZ607" s="19">
        <v>31.5</v>
      </c>
      <c r="IA607" s="19">
        <v>30.5</v>
      </c>
      <c r="IB607" s="19">
        <v>29.5</v>
      </c>
      <c r="IC607" s="19">
        <v>28.5</v>
      </c>
    </row>
    <row r="608">
      <c r="A608" s="2" t="s">
        <v>2858</v>
      </c>
      <c r="B608" s="2" t="s">
        <v>323</v>
      </c>
      <c r="C608" s="2" t="s">
        <v>606</v>
      </c>
      <c r="D608" s="2" t="s">
        <v>257</v>
      </c>
      <c r="E608" s="2" t="s">
        <v>258</v>
      </c>
      <c r="F608" s="2" t="s">
        <v>2813</v>
      </c>
      <c r="G608" s="2" t="s">
        <v>2813</v>
      </c>
      <c r="H608" s="2" t="s">
        <v>2813</v>
      </c>
      <c r="I608" s="2" t="s">
        <v>2848</v>
      </c>
      <c r="J608" s="2" t="s">
        <v>250</v>
      </c>
      <c r="K608" s="2" t="s">
        <v>2859</v>
      </c>
      <c r="L608" s="3">
        <v>20.06</v>
      </c>
      <c r="M608" s="3">
        <v>21.06</v>
      </c>
      <c r="N608" s="3">
        <v>44.99</v>
      </c>
      <c r="O608" s="2" t="s">
        <v>232</v>
      </c>
      <c r="P608" s="2" t="s">
        <v>233</v>
      </c>
      <c r="Q608" s="2" t="s">
        <v>234</v>
      </c>
      <c r="R608" s="2" t="s">
        <v>235</v>
      </c>
      <c r="S608" s="2" t="s">
        <v>235</v>
      </c>
      <c r="T608" s="2" t="s">
        <v>263</v>
      </c>
      <c r="U608" s="2" t="s">
        <v>264</v>
      </c>
      <c r="V608" s="2" t="s">
        <v>2182</v>
      </c>
      <c r="W608" s="2" t="s">
        <v>239</v>
      </c>
      <c r="X608" s="2" t="s">
        <v>235</v>
      </c>
      <c r="Y608" s="2" t="s">
        <v>786</v>
      </c>
      <c r="Z608" s="4">
        <v>145</v>
      </c>
      <c r="AA608" s="4">
        <f>=ROUNDDOWN(85.2941176470588,0)</f>
      </c>
      <c r="AB608" s="5">
        <v>1.7</v>
      </c>
      <c r="AC608" s="2" t="s">
        <v>166</v>
      </c>
      <c r="AD608" s="4">
        <v>12</v>
      </c>
      <c r="AE608" s="4">
        <v>12</v>
      </c>
      <c r="AF608" s="6">
        <v>79</v>
      </c>
      <c r="AG608" s="6"/>
      <c r="AH608" s="7">
        <v>1</v>
      </c>
      <c r="AI608" s="4"/>
      <c r="AJ608" s="4">
        <f>=ROUNDDOWN({0},0)</f>
      </c>
      <c r="AK608" s="5"/>
      <c r="AL608" s="2" t="s">
        <v>235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235</v>
      </c>
      <c r="AW608" s="8" t="s">
        <v>235</v>
      </c>
      <c r="AX608" s="4" t="s">
        <v>235</v>
      </c>
      <c r="AY608" s="8" t="s">
        <v>235</v>
      </c>
      <c r="AZ608" s="7" t="s">
        <v>235</v>
      </c>
      <c r="BA608" s="7" t="s">
        <v>235</v>
      </c>
      <c r="BB608" s="7"/>
      <c r="BC608" s="4" t="s">
        <v>235</v>
      </c>
      <c r="BD608" s="8" t="s">
        <v>235</v>
      </c>
      <c r="BE608" s="4" t="s">
        <v>235</v>
      </c>
      <c r="BF608" s="8" t="s">
        <v>235</v>
      </c>
      <c r="BG608" s="7" t="s">
        <v>235</v>
      </c>
      <c r="BH608" s="7" t="s">
        <v>235</v>
      </c>
      <c r="BI608" s="7"/>
      <c r="BJ608" s="4">
        <v>4</v>
      </c>
      <c r="BK608" s="8">
        <v>90.52</v>
      </c>
      <c r="BL608" s="2" t="s">
        <v>2860</v>
      </c>
      <c r="BM608" s="7"/>
      <c r="BN608" s="7"/>
      <c r="BO608" s="4"/>
      <c r="BP608" s="8"/>
      <c r="BQ608" s="4"/>
      <c r="BR608" s="8"/>
      <c r="BS608" s="7"/>
      <c r="BT608" s="7"/>
      <c r="BU608" s="2" t="s">
        <v>2816</v>
      </c>
      <c r="BV608" s="2" t="s">
        <v>243</v>
      </c>
      <c r="BW608" s="2" t="s">
        <v>235</v>
      </c>
      <c r="BX608" s="2" t="s">
        <v>619</v>
      </c>
      <c r="BY608" s="2" t="s">
        <v>245</v>
      </c>
      <c r="BZ608" s="2" t="s">
        <v>232</v>
      </c>
      <c r="CA608" s="2" t="s">
        <v>2851</v>
      </c>
      <c r="CB608" s="2" t="s">
        <v>2861</v>
      </c>
      <c r="CC608" s="2" t="s">
        <v>248</v>
      </c>
      <c r="CD608" s="2" t="s">
        <v>248</v>
      </c>
      <c r="CE608" s="2" t="s">
        <v>235</v>
      </c>
      <c r="CF608" s="4">
        <v>145</v>
      </c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>
        <v>12</v>
      </c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>
        <v>145</v>
      </c>
      <c r="GE608" s="4">
        <v>143</v>
      </c>
      <c r="GF608" s="4">
        <v>141</v>
      </c>
      <c r="GG608" s="4">
        <v>139</v>
      </c>
      <c r="GH608" s="4">
        <v>137</v>
      </c>
      <c r="GI608" s="4">
        <v>135</v>
      </c>
      <c r="GJ608" s="4">
        <v>133</v>
      </c>
      <c r="GK608" s="4">
        <v>143</v>
      </c>
      <c r="GL608" s="4">
        <v>141</v>
      </c>
      <c r="GM608" s="4">
        <v>140</v>
      </c>
      <c r="GN608" s="4">
        <v>138</v>
      </c>
      <c r="GO608" s="4">
        <v>135</v>
      </c>
      <c r="GP608" s="4">
        <v>133</v>
      </c>
      <c r="GQ608" s="4">
        <v>129</v>
      </c>
      <c r="GR608" s="4">
        <v>125</v>
      </c>
      <c r="GS608" s="4">
        <v>122</v>
      </c>
      <c r="GT608" s="4">
        <v>121</v>
      </c>
      <c r="GU608" s="4">
        <v>117</v>
      </c>
      <c r="GV608" s="4">
        <v>115</v>
      </c>
      <c r="GW608" s="4">
        <v>113</v>
      </c>
      <c r="GX608" s="4">
        <v>111</v>
      </c>
      <c r="GY608" s="4">
        <v>109</v>
      </c>
      <c r="GZ608" s="4">
        <v>107</v>
      </c>
      <c r="HA608" s="4">
        <v>105</v>
      </c>
      <c r="HB608" s="4">
        <v>103</v>
      </c>
      <c r="HC608" s="4">
        <v>101</v>
      </c>
      <c r="HD608" s="19">
        <v>72.5</v>
      </c>
      <c r="HE608" s="19">
        <v>71.5</v>
      </c>
      <c r="HF608" s="19">
        <v>70.5</v>
      </c>
      <c r="HG608" s="19">
        <v>69.5</v>
      </c>
      <c r="HH608" s="19">
        <v>68.5</v>
      </c>
      <c r="HI608" s="19">
        <v>67.5</v>
      </c>
      <c r="HJ608" s="19">
        <v>66.5</v>
      </c>
      <c r="HK608" s="19">
        <v>71.5</v>
      </c>
      <c r="HL608" s="19">
        <v>70.5</v>
      </c>
      <c r="HM608" s="19">
        <v>46.7</v>
      </c>
      <c r="HN608" s="19">
        <v>46</v>
      </c>
      <c r="HO608" s="19">
        <v>45</v>
      </c>
      <c r="HP608" s="19">
        <v>44.3</v>
      </c>
      <c r="HQ608" s="19">
        <v>43</v>
      </c>
      <c r="HR608" s="19">
        <v>62.5</v>
      </c>
      <c r="HS608" s="19">
        <v>61</v>
      </c>
      <c r="HT608" s="19">
        <v>60.5</v>
      </c>
      <c r="HU608" s="19">
        <v>58.5</v>
      </c>
      <c r="HV608" s="19">
        <v>57.5</v>
      </c>
      <c r="HW608" s="19">
        <v>56.5</v>
      </c>
      <c r="HX608" s="19">
        <v>55.5</v>
      </c>
      <c r="HY608" s="19">
        <v>54.5</v>
      </c>
      <c r="HZ608" s="19">
        <v>53.5</v>
      </c>
      <c r="IA608" s="19">
        <v>52.5</v>
      </c>
      <c r="IB608" s="19">
        <v>51.5</v>
      </c>
      <c r="IC608" s="19">
        <v>50.5</v>
      </c>
    </row>
    <row r="609">
      <c r="A609" s="2" t="s">
        <v>2862</v>
      </c>
      <c r="B609" s="2" t="s">
        <v>323</v>
      </c>
      <c r="C609" s="2" t="s">
        <v>606</v>
      </c>
      <c r="D609" s="2" t="s">
        <v>257</v>
      </c>
      <c r="E609" s="2" t="s">
        <v>258</v>
      </c>
      <c r="F609" s="2" t="s">
        <v>2813</v>
      </c>
      <c r="G609" s="2" t="s">
        <v>2813</v>
      </c>
      <c r="H609" s="2" t="s">
        <v>2813</v>
      </c>
      <c r="I609" s="2" t="s">
        <v>2848</v>
      </c>
      <c r="J609" s="2" t="s">
        <v>270</v>
      </c>
      <c r="K609" s="2" t="s">
        <v>2859</v>
      </c>
      <c r="L609" s="3">
        <v>24.52</v>
      </c>
      <c r="M609" s="3">
        <v>25.75</v>
      </c>
      <c r="N609" s="3">
        <v>54.99</v>
      </c>
      <c r="O609" s="2" t="s">
        <v>232</v>
      </c>
      <c r="P609" s="2" t="s">
        <v>233</v>
      </c>
      <c r="Q609" s="2" t="s">
        <v>234</v>
      </c>
      <c r="R609" s="2" t="s">
        <v>235</v>
      </c>
      <c r="S609" s="2" t="s">
        <v>235</v>
      </c>
      <c r="T609" s="2" t="s">
        <v>263</v>
      </c>
      <c r="U609" s="2" t="s">
        <v>264</v>
      </c>
      <c r="V609" s="2" t="s">
        <v>2182</v>
      </c>
      <c r="W609" s="2" t="s">
        <v>239</v>
      </c>
      <c r="X609" s="2" t="s">
        <v>235</v>
      </c>
      <c r="Y609" s="2" t="s">
        <v>786</v>
      </c>
      <c r="Z609" s="4">
        <v>185</v>
      </c>
      <c r="AA609" s="4">
        <f>=ROUNDDOWN(102.777777777778,0)</f>
      </c>
      <c r="AB609" s="5">
        <v>1.8</v>
      </c>
      <c r="AC609" s="2" t="s">
        <v>235</v>
      </c>
      <c r="AD609" s="4"/>
      <c r="AE609" s="4"/>
      <c r="AF609" s="6">
        <v>79</v>
      </c>
      <c r="AG609" s="6"/>
      <c r="AH609" s="7">
        <v>1</v>
      </c>
      <c r="AI609" s="4"/>
      <c r="AJ609" s="4">
        <f>=ROUNDDOWN({0},0)</f>
      </c>
      <c r="AK609" s="5"/>
      <c r="AL609" s="2" t="s">
        <v>235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235</v>
      </c>
      <c r="AW609" s="8" t="s">
        <v>235</v>
      </c>
      <c r="AX609" s="4" t="s">
        <v>235</v>
      </c>
      <c r="AY609" s="8" t="s">
        <v>235</v>
      </c>
      <c r="AZ609" s="7" t="s">
        <v>235</v>
      </c>
      <c r="BA609" s="7" t="s">
        <v>235</v>
      </c>
      <c r="BB609" s="7"/>
      <c r="BC609" s="4" t="s">
        <v>235</v>
      </c>
      <c r="BD609" s="8" t="s">
        <v>235</v>
      </c>
      <c r="BE609" s="4" t="s">
        <v>235</v>
      </c>
      <c r="BF609" s="8" t="s">
        <v>235</v>
      </c>
      <c r="BG609" s="7" t="s">
        <v>235</v>
      </c>
      <c r="BH609" s="7" t="s">
        <v>235</v>
      </c>
      <c r="BI609" s="7"/>
      <c r="BJ609" s="4">
        <v>4</v>
      </c>
      <c r="BK609" s="8">
        <v>99.36</v>
      </c>
      <c r="BL609" s="2" t="s">
        <v>2863</v>
      </c>
      <c r="BM609" s="7"/>
      <c r="BN609" s="7"/>
      <c r="BO609" s="4"/>
      <c r="BP609" s="8"/>
      <c r="BQ609" s="4"/>
      <c r="BR609" s="8"/>
      <c r="BS609" s="7"/>
      <c r="BT609" s="7"/>
      <c r="BU609" s="2" t="s">
        <v>2816</v>
      </c>
      <c r="BV609" s="2" t="s">
        <v>243</v>
      </c>
      <c r="BW609" s="2" t="s">
        <v>235</v>
      </c>
      <c r="BX609" s="2" t="s">
        <v>619</v>
      </c>
      <c r="BY609" s="2" t="s">
        <v>245</v>
      </c>
      <c r="BZ609" s="2" t="s">
        <v>232</v>
      </c>
      <c r="CA609" s="2" t="s">
        <v>2851</v>
      </c>
      <c r="CB609" s="2" t="s">
        <v>235</v>
      </c>
      <c r="CC609" s="2" t="s">
        <v>248</v>
      </c>
      <c r="CD609" s="2" t="s">
        <v>248</v>
      </c>
      <c r="CE609" s="2" t="s">
        <v>235</v>
      </c>
      <c r="CF609" s="4">
        <v>185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>
        <v>186</v>
      </c>
      <c r="GE609" s="4">
        <v>183</v>
      </c>
      <c r="GF609" s="4">
        <v>181</v>
      </c>
      <c r="GG609" s="4">
        <v>179</v>
      </c>
      <c r="GH609" s="4">
        <v>177</v>
      </c>
      <c r="GI609" s="4">
        <v>175</v>
      </c>
      <c r="GJ609" s="4">
        <v>173</v>
      </c>
      <c r="GK609" s="4">
        <v>171</v>
      </c>
      <c r="GL609" s="4">
        <v>169</v>
      </c>
      <c r="GM609" s="4">
        <v>168</v>
      </c>
      <c r="GN609" s="4">
        <v>166</v>
      </c>
      <c r="GO609" s="4">
        <v>163</v>
      </c>
      <c r="GP609" s="4">
        <v>161</v>
      </c>
      <c r="GQ609" s="4">
        <v>157</v>
      </c>
      <c r="GR609" s="4">
        <v>153</v>
      </c>
      <c r="GS609" s="4">
        <v>150</v>
      </c>
      <c r="GT609" s="4">
        <v>149</v>
      </c>
      <c r="GU609" s="4">
        <v>145</v>
      </c>
      <c r="GV609" s="4">
        <v>143</v>
      </c>
      <c r="GW609" s="4">
        <v>141</v>
      </c>
      <c r="GX609" s="4">
        <v>139</v>
      </c>
      <c r="GY609" s="4">
        <v>137</v>
      </c>
      <c r="GZ609" s="4">
        <v>135</v>
      </c>
      <c r="HA609" s="4">
        <v>133</v>
      </c>
      <c r="HB609" s="4">
        <v>131</v>
      </c>
      <c r="HC609" s="4">
        <v>129</v>
      </c>
      <c r="HD609" s="19">
        <v>93</v>
      </c>
      <c r="HE609" s="19">
        <v>91.5</v>
      </c>
      <c r="HF609" s="19">
        <v>90.5</v>
      </c>
      <c r="HG609" s="19">
        <v>89.5</v>
      </c>
      <c r="HH609" s="19">
        <v>88.5</v>
      </c>
      <c r="HI609" s="19">
        <v>87.5</v>
      </c>
      <c r="HJ609" s="19">
        <v>86.5</v>
      </c>
      <c r="HK609" s="19">
        <v>85.5</v>
      </c>
      <c r="HL609" s="19">
        <v>84.5</v>
      </c>
      <c r="HM609" s="19">
        <v>56</v>
      </c>
      <c r="HN609" s="19">
        <v>55.3</v>
      </c>
      <c r="HO609" s="19">
        <v>54.3</v>
      </c>
      <c r="HP609" s="19">
        <v>53.7</v>
      </c>
      <c r="HQ609" s="19">
        <v>52.3</v>
      </c>
      <c r="HR609" s="19">
        <v>76.5</v>
      </c>
      <c r="HS609" s="19">
        <v>75</v>
      </c>
      <c r="HT609" s="19">
        <v>74.5</v>
      </c>
      <c r="HU609" s="19">
        <v>72.5</v>
      </c>
      <c r="HV609" s="19">
        <v>71.5</v>
      </c>
      <c r="HW609" s="19">
        <v>70.5</v>
      </c>
      <c r="HX609" s="19">
        <v>69.5</v>
      </c>
      <c r="HY609" s="19">
        <v>68.5</v>
      </c>
      <c r="HZ609" s="19">
        <v>67.5</v>
      </c>
      <c r="IA609" s="19">
        <v>66.5</v>
      </c>
      <c r="IB609" s="19">
        <v>65.5</v>
      </c>
      <c r="IC609" s="19">
        <v>64.5</v>
      </c>
    </row>
    <row r="610">
      <c r="A610" s="2" t="s">
        <v>2864</v>
      </c>
      <c r="B610" s="2" t="s">
        <v>323</v>
      </c>
      <c r="C610" s="2" t="s">
        <v>606</v>
      </c>
      <c r="D610" s="2" t="s">
        <v>257</v>
      </c>
      <c r="E610" s="2" t="s">
        <v>258</v>
      </c>
      <c r="F610" s="2" t="s">
        <v>2813</v>
      </c>
      <c r="G610" s="2" t="s">
        <v>2813</v>
      </c>
      <c r="H610" s="2" t="s">
        <v>2813</v>
      </c>
      <c r="I610" s="2" t="s">
        <v>2848</v>
      </c>
      <c r="J610" s="2" t="s">
        <v>272</v>
      </c>
      <c r="K610" s="2" t="s">
        <v>2859</v>
      </c>
      <c r="L610" s="3">
        <v>24.52</v>
      </c>
      <c r="M610" s="3">
        <v>25.75</v>
      </c>
      <c r="N610" s="3">
        <v>54.99</v>
      </c>
      <c r="O610" s="2" t="s">
        <v>232</v>
      </c>
      <c r="P610" s="2" t="s">
        <v>233</v>
      </c>
      <c r="Q610" s="2" t="s">
        <v>234</v>
      </c>
      <c r="R610" s="2" t="s">
        <v>235</v>
      </c>
      <c r="S610" s="2" t="s">
        <v>235</v>
      </c>
      <c r="T610" s="2" t="s">
        <v>263</v>
      </c>
      <c r="U610" s="2" t="s">
        <v>264</v>
      </c>
      <c r="V610" s="2" t="s">
        <v>2182</v>
      </c>
      <c r="W610" s="2" t="s">
        <v>239</v>
      </c>
      <c r="X610" s="2" t="s">
        <v>235</v>
      </c>
      <c r="Y610" s="2" t="s">
        <v>786</v>
      </c>
      <c r="Z610" s="4">
        <v>95</v>
      </c>
      <c r="AA610" s="4">
        <f>=ROUNDDOWN(237.5,0)</f>
      </c>
      <c r="AB610" s="5">
        <v>0.4</v>
      </c>
      <c r="AC610" s="2" t="s">
        <v>166</v>
      </c>
      <c r="AD610" s="4">
        <v>32</v>
      </c>
      <c r="AE610" s="4">
        <v>32</v>
      </c>
      <c r="AF610" s="6">
        <v>79</v>
      </c>
      <c r="AG610" s="6"/>
      <c r="AH610" s="7">
        <v>1</v>
      </c>
      <c r="AI610" s="4"/>
      <c r="AJ610" s="4">
        <f>=ROUNDDOWN({0},0)</f>
      </c>
      <c r="AK610" s="5"/>
      <c r="AL610" s="2" t="s">
        <v>235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235</v>
      </c>
      <c r="AW610" s="8" t="s">
        <v>235</v>
      </c>
      <c r="AX610" s="4" t="s">
        <v>235</v>
      </c>
      <c r="AY610" s="8" t="s">
        <v>235</v>
      </c>
      <c r="AZ610" s="7" t="s">
        <v>235</v>
      </c>
      <c r="BA610" s="7" t="s">
        <v>235</v>
      </c>
      <c r="BB610" s="7"/>
      <c r="BC610" s="4" t="s">
        <v>235</v>
      </c>
      <c r="BD610" s="8" t="s">
        <v>235</v>
      </c>
      <c r="BE610" s="4" t="s">
        <v>235</v>
      </c>
      <c r="BF610" s="8" t="s">
        <v>235</v>
      </c>
      <c r="BG610" s="7" t="s">
        <v>235</v>
      </c>
      <c r="BH610" s="7" t="s">
        <v>235</v>
      </c>
      <c r="BI610" s="7"/>
      <c r="BJ610" s="4">
        <v>2</v>
      </c>
      <c r="BK610" s="8">
        <v>65.36</v>
      </c>
      <c r="BL610" s="2" t="s">
        <v>2865</v>
      </c>
      <c r="BM610" s="7"/>
      <c r="BN610" s="7"/>
      <c r="BO610" s="4"/>
      <c r="BP610" s="8"/>
      <c r="BQ610" s="4"/>
      <c r="BR610" s="8"/>
      <c r="BS610" s="7"/>
      <c r="BT610" s="7"/>
      <c r="BU610" s="2" t="s">
        <v>2816</v>
      </c>
      <c r="BV610" s="2" t="s">
        <v>243</v>
      </c>
      <c r="BW610" s="2" t="s">
        <v>235</v>
      </c>
      <c r="BX610" s="2" t="s">
        <v>619</v>
      </c>
      <c r="BY610" s="2" t="s">
        <v>245</v>
      </c>
      <c r="BZ610" s="2" t="s">
        <v>232</v>
      </c>
      <c r="CA610" s="2" t="s">
        <v>2851</v>
      </c>
      <c r="CB610" s="2" t="s">
        <v>235</v>
      </c>
      <c r="CC610" s="2" t="s">
        <v>248</v>
      </c>
      <c r="CD610" s="2" t="s">
        <v>248</v>
      </c>
      <c r="CE610" s="2" t="s">
        <v>235</v>
      </c>
      <c r="CF610" s="4">
        <v>95</v>
      </c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>
        <v>32</v>
      </c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>
        <v>95</v>
      </c>
      <c r="GE610" s="4">
        <v>95</v>
      </c>
      <c r="GF610" s="4">
        <v>95</v>
      </c>
      <c r="GG610" s="4">
        <v>95</v>
      </c>
      <c r="GH610" s="4">
        <v>95</v>
      </c>
      <c r="GI610" s="4">
        <v>95</v>
      </c>
      <c r="GJ610" s="4">
        <v>95</v>
      </c>
      <c r="GK610" s="4">
        <v>127</v>
      </c>
      <c r="GL610" s="4">
        <v>127</v>
      </c>
      <c r="GM610" s="4">
        <v>127</v>
      </c>
      <c r="GN610" s="4">
        <v>127</v>
      </c>
      <c r="GO610" s="4">
        <v>127</v>
      </c>
      <c r="GP610" s="4">
        <v>127</v>
      </c>
      <c r="GQ610" s="4">
        <v>127</v>
      </c>
      <c r="GR610" s="4">
        <v>127</v>
      </c>
      <c r="GS610" s="4">
        <v>127</v>
      </c>
      <c r="GT610" s="4">
        <v>127</v>
      </c>
      <c r="GU610" s="4">
        <v>127</v>
      </c>
      <c r="GV610" s="4">
        <v>127</v>
      </c>
      <c r="GW610" s="4">
        <v>127</v>
      </c>
      <c r="GX610" s="4">
        <v>127</v>
      </c>
      <c r="GY610" s="4">
        <v>127</v>
      </c>
      <c r="GZ610" s="4">
        <v>127</v>
      </c>
      <c r="HA610" s="4">
        <v>127</v>
      </c>
      <c r="HB610" s="4">
        <v>127</v>
      </c>
      <c r="HC610" s="4">
        <v>127</v>
      </c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</row>
    <row r="611">
      <c r="A611" s="2" t="s">
        <v>2866</v>
      </c>
      <c r="B611" s="2" t="s">
        <v>323</v>
      </c>
      <c r="C611" s="2" t="s">
        <v>606</v>
      </c>
      <c r="D611" s="2" t="s">
        <v>257</v>
      </c>
      <c r="E611" s="2" t="s">
        <v>258</v>
      </c>
      <c r="F611" s="2" t="s">
        <v>2813</v>
      </c>
      <c r="G611" s="2" t="s">
        <v>2813</v>
      </c>
      <c r="H611" s="2" t="s">
        <v>2813</v>
      </c>
      <c r="I611" s="2" t="s">
        <v>2814</v>
      </c>
      <c r="J611" s="2" t="s">
        <v>394</v>
      </c>
      <c r="K611" s="2" t="s">
        <v>295</v>
      </c>
      <c r="L611" s="3">
        <v>17.830391</v>
      </c>
      <c r="M611" s="3">
        <v>18.72</v>
      </c>
      <c r="N611" s="3">
        <v>39.99</v>
      </c>
      <c r="O611" s="2" t="s">
        <v>232</v>
      </c>
      <c r="P611" s="2" t="s">
        <v>878</v>
      </c>
      <c r="Q611" s="2" t="s">
        <v>234</v>
      </c>
      <c r="R611" s="2" t="s">
        <v>235</v>
      </c>
      <c r="S611" s="2" t="s">
        <v>235</v>
      </c>
      <c r="T611" s="2" t="s">
        <v>263</v>
      </c>
      <c r="U611" s="2" t="s">
        <v>552</v>
      </c>
      <c r="V611" s="2" t="s">
        <v>238</v>
      </c>
      <c r="W611" s="2" t="s">
        <v>239</v>
      </c>
      <c r="X611" s="2" t="s">
        <v>235</v>
      </c>
      <c r="Y611" s="2" t="s">
        <v>235</v>
      </c>
      <c r="Z611" s="4"/>
      <c r="AA611" s="4">
        <f>=ROUNDDOWN({0},0)</f>
      </c>
      <c r="AB611" s="5">
        <v>25</v>
      </c>
      <c r="AC611" s="2" t="s">
        <v>166</v>
      </c>
      <c r="AD611" s="4">
        <v>556</v>
      </c>
      <c r="AE611" s="4">
        <v>556</v>
      </c>
      <c r="AF611" s="6">
        <v>76</v>
      </c>
      <c r="AG611" s="6"/>
      <c r="AH611" s="7"/>
      <c r="AI611" s="4"/>
      <c r="AJ611" s="4">
        <f>=ROUNDDOWN({0},0)</f>
      </c>
      <c r="AK611" s="5"/>
      <c r="AL611" s="2" t="s">
        <v>235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235</v>
      </c>
      <c r="AW611" s="8" t="s">
        <v>235</v>
      </c>
      <c r="AX611" s="4" t="s">
        <v>235</v>
      </c>
      <c r="AY611" s="8" t="s">
        <v>235</v>
      </c>
      <c r="AZ611" s="7" t="s">
        <v>235</v>
      </c>
      <c r="BA611" s="7" t="s">
        <v>235</v>
      </c>
      <c r="BB611" s="7"/>
      <c r="BC611" s="4" t="s">
        <v>235</v>
      </c>
      <c r="BD611" s="8" t="s">
        <v>235</v>
      </c>
      <c r="BE611" s="4" t="s">
        <v>235</v>
      </c>
      <c r="BF611" s="8" t="s">
        <v>235</v>
      </c>
      <c r="BG611" s="7" t="s">
        <v>235</v>
      </c>
      <c r="BH611" s="7" t="s">
        <v>235</v>
      </c>
      <c r="BI611" s="7"/>
      <c r="BJ611" s="4"/>
      <c r="BK611" s="8"/>
      <c r="BL611" s="2" t="s">
        <v>235</v>
      </c>
      <c r="BM611" s="7"/>
      <c r="BN611" s="7"/>
      <c r="BO611" s="4"/>
      <c r="BP611" s="8"/>
      <c r="BQ611" s="4"/>
      <c r="BR611" s="8"/>
      <c r="BS611" s="7"/>
      <c r="BT611" s="7"/>
      <c r="BU611" s="2" t="s">
        <v>2816</v>
      </c>
      <c r="BV611" s="2" t="s">
        <v>235</v>
      </c>
      <c r="BW611" s="2" t="s">
        <v>235</v>
      </c>
      <c r="BX611" s="2" t="s">
        <v>619</v>
      </c>
      <c r="BY611" s="2" t="s">
        <v>245</v>
      </c>
      <c r="BZ611" s="2" t="s">
        <v>232</v>
      </c>
      <c r="CA611" s="2" t="s">
        <v>235</v>
      </c>
      <c r="CB611" s="2" t="s">
        <v>235</v>
      </c>
      <c r="CC611" s="2" t="s">
        <v>248</v>
      </c>
      <c r="CD611" s="2" t="s">
        <v>248</v>
      </c>
      <c r="CE611" s="2" t="s">
        <v>235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>
        <v>556</v>
      </c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>
        <v>556</v>
      </c>
      <c r="GL611" s="4">
        <v>556</v>
      </c>
      <c r="GM611" s="4">
        <v>545</v>
      </c>
      <c r="GN611" s="4">
        <v>517</v>
      </c>
      <c r="GO611" s="4">
        <v>500</v>
      </c>
      <c r="GP611" s="4">
        <v>484</v>
      </c>
      <c r="GQ611" s="4">
        <v>466</v>
      </c>
      <c r="GR611" s="4">
        <v>447</v>
      </c>
      <c r="GS611" s="4">
        <v>428</v>
      </c>
      <c r="GT611" s="4">
        <v>411</v>
      </c>
      <c r="GU611" s="4">
        <v>384</v>
      </c>
      <c r="GV611" s="4">
        <v>359</v>
      </c>
      <c r="GW611" s="4">
        <v>337</v>
      </c>
      <c r="GX611" s="4">
        <v>315</v>
      </c>
      <c r="GY611" s="4">
        <v>290</v>
      </c>
      <c r="GZ611" s="4">
        <v>265</v>
      </c>
      <c r="HA611" s="4">
        <v>240</v>
      </c>
      <c r="HB611" s="4">
        <v>215</v>
      </c>
      <c r="HC611" s="4">
        <v>188</v>
      </c>
      <c r="HD611" s="9"/>
      <c r="HE611" s="9"/>
      <c r="HF611" s="9"/>
      <c r="HG611" s="9"/>
      <c r="HH611" s="9"/>
      <c r="HI611" s="9"/>
      <c r="HJ611" s="9"/>
      <c r="HK611" s="19">
        <v>39.7</v>
      </c>
      <c r="HL611" s="19">
        <v>30.9</v>
      </c>
      <c r="HM611" s="19">
        <v>27.3</v>
      </c>
      <c r="HN611" s="19">
        <v>28.7</v>
      </c>
      <c r="HO611" s="19">
        <v>27.8</v>
      </c>
      <c r="HP611" s="19">
        <v>26.9</v>
      </c>
      <c r="HQ611" s="19">
        <v>23.3</v>
      </c>
      <c r="HR611" s="19">
        <v>20.3</v>
      </c>
      <c r="HS611" s="19">
        <v>18.6</v>
      </c>
      <c r="HT611" s="19">
        <v>17.1</v>
      </c>
      <c r="HU611" s="19">
        <v>16</v>
      </c>
      <c r="HV611" s="19">
        <v>15</v>
      </c>
      <c r="HW611" s="19">
        <v>14</v>
      </c>
      <c r="HX611" s="19">
        <v>12.6</v>
      </c>
      <c r="HY611" s="19">
        <v>11.2</v>
      </c>
      <c r="HZ611" s="19">
        <v>10.2</v>
      </c>
      <c r="IA611" s="19">
        <v>9.2</v>
      </c>
      <c r="IB611" s="19">
        <v>8.3</v>
      </c>
      <c r="IC611" s="19">
        <v>7.5</v>
      </c>
    </row>
    <row r="612">
      <c r="A612" s="2" t="s">
        <v>2867</v>
      </c>
      <c r="B612" s="2" t="s">
        <v>323</v>
      </c>
      <c r="C612" s="2" t="s">
        <v>606</v>
      </c>
      <c r="D612" s="2" t="s">
        <v>257</v>
      </c>
      <c r="E612" s="2" t="s">
        <v>258</v>
      </c>
      <c r="F612" s="2" t="s">
        <v>2813</v>
      </c>
      <c r="G612" s="2" t="s">
        <v>2813</v>
      </c>
      <c r="H612" s="2" t="s">
        <v>2813</v>
      </c>
      <c r="I612" s="2" t="s">
        <v>2814</v>
      </c>
      <c r="J612" s="2" t="s">
        <v>230</v>
      </c>
      <c r="K612" s="2" t="s">
        <v>295</v>
      </c>
      <c r="L612" s="3">
        <v>17.830391</v>
      </c>
      <c r="M612" s="3">
        <v>18.72</v>
      </c>
      <c r="N612" s="3">
        <v>39.99</v>
      </c>
      <c r="O612" s="2" t="s">
        <v>232</v>
      </c>
      <c r="P612" s="2" t="s">
        <v>878</v>
      </c>
      <c r="Q612" s="2" t="s">
        <v>234</v>
      </c>
      <c r="R612" s="2" t="s">
        <v>235</v>
      </c>
      <c r="S612" s="2" t="s">
        <v>235</v>
      </c>
      <c r="T612" s="2" t="s">
        <v>263</v>
      </c>
      <c r="U612" s="2" t="s">
        <v>552</v>
      </c>
      <c r="V612" s="2" t="s">
        <v>238</v>
      </c>
      <c r="W612" s="2" t="s">
        <v>239</v>
      </c>
      <c r="X612" s="2" t="s">
        <v>235</v>
      </c>
      <c r="Y612" s="2" t="s">
        <v>235</v>
      </c>
      <c r="Z612" s="4"/>
      <c r="AA612" s="4">
        <f>=ROUNDDOWN({0},0)</f>
      </c>
      <c r="AB612" s="5">
        <v>13</v>
      </c>
      <c r="AC612" s="2" t="s">
        <v>166</v>
      </c>
      <c r="AD612" s="4">
        <v>268</v>
      </c>
      <c r="AE612" s="4">
        <v>268</v>
      </c>
      <c r="AF612" s="6">
        <v>76</v>
      </c>
      <c r="AG612" s="6"/>
      <c r="AH612" s="7"/>
      <c r="AI612" s="4"/>
      <c r="AJ612" s="4">
        <f>=ROUNDDOWN({0},0)</f>
      </c>
      <c r="AK612" s="5"/>
      <c r="AL612" s="2" t="s">
        <v>235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235</v>
      </c>
      <c r="AW612" s="8" t="s">
        <v>235</v>
      </c>
      <c r="AX612" s="4" t="s">
        <v>235</v>
      </c>
      <c r="AY612" s="8" t="s">
        <v>235</v>
      </c>
      <c r="AZ612" s="7" t="s">
        <v>235</v>
      </c>
      <c r="BA612" s="7" t="s">
        <v>235</v>
      </c>
      <c r="BB612" s="7"/>
      <c r="BC612" s="4" t="s">
        <v>235</v>
      </c>
      <c r="BD612" s="8" t="s">
        <v>235</v>
      </c>
      <c r="BE612" s="4" t="s">
        <v>235</v>
      </c>
      <c r="BF612" s="8" t="s">
        <v>235</v>
      </c>
      <c r="BG612" s="7" t="s">
        <v>235</v>
      </c>
      <c r="BH612" s="7" t="s">
        <v>235</v>
      </c>
      <c r="BI612" s="7"/>
      <c r="BJ612" s="4"/>
      <c r="BK612" s="8"/>
      <c r="BL612" s="2" t="s">
        <v>235</v>
      </c>
      <c r="BM612" s="7"/>
      <c r="BN612" s="7"/>
      <c r="BO612" s="4"/>
      <c r="BP612" s="8"/>
      <c r="BQ612" s="4"/>
      <c r="BR612" s="8"/>
      <c r="BS612" s="7"/>
      <c r="BT612" s="7"/>
      <c r="BU612" s="2" t="s">
        <v>2816</v>
      </c>
      <c r="BV612" s="2" t="s">
        <v>235</v>
      </c>
      <c r="BW612" s="2" t="s">
        <v>235</v>
      </c>
      <c r="BX612" s="2" t="s">
        <v>619</v>
      </c>
      <c r="BY612" s="2" t="s">
        <v>245</v>
      </c>
      <c r="BZ612" s="2" t="s">
        <v>232</v>
      </c>
      <c r="CA612" s="2" t="s">
        <v>235</v>
      </c>
      <c r="CB612" s="2" t="s">
        <v>235</v>
      </c>
      <c r="CC612" s="2" t="s">
        <v>248</v>
      </c>
      <c r="CD612" s="2" t="s">
        <v>248</v>
      </c>
      <c r="CE612" s="2" t="s">
        <v>235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>
        <v>268</v>
      </c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>
        <v>268</v>
      </c>
      <c r="GL612" s="4">
        <v>268</v>
      </c>
      <c r="GM612" s="4">
        <v>262</v>
      </c>
      <c r="GN612" s="4">
        <v>248</v>
      </c>
      <c r="GO612" s="4">
        <v>239</v>
      </c>
      <c r="GP612" s="4">
        <v>230</v>
      </c>
      <c r="GQ612" s="4">
        <v>220</v>
      </c>
      <c r="GR612" s="4">
        <v>210</v>
      </c>
      <c r="GS612" s="4">
        <v>200</v>
      </c>
      <c r="GT612" s="4">
        <v>191</v>
      </c>
      <c r="GU612" s="4">
        <v>177</v>
      </c>
      <c r="GV612" s="4">
        <v>164</v>
      </c>
      <c r="GW612" s="4">
        <v>153</v>
      </c>
      <c r="GX612" s="4">
        <v>142</v>
      </c>
      <c r="GY612" s="4">
        <v>129</v>
      </c>
      <c r="GZ612" s="4">
        <v>116</v>
      </c>
      <c r="HA612" s="4">
        <v>103</v>
      </c>
      <c r="HB612" s="4">
        <v>90</v>
      </c>
      <c r="HC612" s="4">
        <v>76</v>
      </c>
      <c r="HD612" s="9"/>
      <c r="HE612" s="9"/>
      <c r="HF612" s="9"/>
      <c r="HG612" s="9"/>
      <c r="HH612" s="9"/>
      <c r="HI612" s="9"/>
      <c r="HJ612" s="9"/>
      <c r="HK612" s="19">
        <v>38.3</v>
      </c>
      <c r="HL612" s="19">
        <v>26.8</v>
      </c>
      <c r="HM612" s="19">
        <v>26.2</v>
      </c>
      <c r="HN612" s="19">
        <v>24.8</v>
      </c>
      <c r="HO612" s="19">
        <v>23.9</v>
      </c>
      <c r="HP612" s="19">
        <v>23</v>
      </c>
      <c r="HQ612" s="19">
        <v>20</v>
      </c>
      <c r="HR612" s="19">
        <v>17.5</v>
      </c>
      <c r="HS612" s="19">
        <v>16.7</v>
      </c>
      <c r="HT612" s="19">
        <v>15.9</v>
      </c>
      <c r="HU612" s="19">
        <v>14.8</v>
      </c>
      <c r="HV612" s="19">
        <v>13.7</v>
      </c>
      <c r="HW612" s="19">
        <v>12.8</v>
      </c>
      <c r="HX612" s="19">
        <v>10.9</v>
      </c>
      <c r="HY612" s="19">
        <v>9.9</v>
      </c>
      <c r="HZ612" s="19">
        <v>8.9</v>
      </c>
      <c r="IA612" s="19">
        <v>7.9</v>
      </c>
      <c r="IB612" s="19">
        <v>6.9</v>
      </c>
      <c r="IC612" s="19">
        <v>5.8</v>
      </c>
    </row>
    <row r="613">
      <c r="A613" s="2" t="s">
        <v>2868</v>
      </c>
      <c r="B613" s="2" t="s">
        <v>323</v>
      </c>
      <c r="C613" s="2" t="s">
        <v>606</v>
      </c>
      <c r="D613" s="2" t="s">
        <v>257</v>
      </c>
      <c r="E613" s="2" t="s">
        <v>258</v>
      </c>
      <c r="F613" s="2" t="s">
        <v>2813</v>
      </c>
      <c r="G613" s="2" t="s">
        <v>2813</v>
      </c>
      <c r="H613" s="2" t="s">
        <v>2813</v>
      </c>
      <c r="I613" s="2" t="s">
        <v>2814</v>
      </c>
      <c r="J613" s="2" t="s">
        <v>272</v>
      </c>
      <c r="K613" s="2" t="s">
        <v>295</v>
      </c>
      <c r="L613" s="3">
        <v>24.52</v>
      </c>
      <c r="M613" s="3">
        <v>25.75</v>
      </c>
      <c r="N613" s="3">
        <v>54.99</v>
      </c>
      <c r="O613" s="2" t="s">
        <v>232</v>
      </c>
      <c r="P613" s="2" t="s">
        <v>233</v>
      </c>
      <c r="Q613" s="2" t="s">
        <v>234</v>
      </c>
      <c r="R613" s="2" t="s">
        <v>235</v>
      </c>
      <c r="S613" s="2" t="s">
        <v>2869</v>
      </c>
      <c r="T613" s="2" t="s">
        <v>263</v>
      </c>
      <c r="U613" s="2" t="s">
        <v>264</v>
      </c>
      <c r="V613" s="2" t="s">
        <v>238</v>
      </c>
      <c r="W613" s="2" t="s">
        <v>239</v>
      </c>
      <c r="X613" s="2" t="s">
        <v>235</v>
      </c>
      <c r="Y613" s="2" t="s">
        <v>2187</v>
      </c>
      <c r="Z613" s="4">
        <v>291</v>
      </c>
      <c r="AA613" s="4">
        <f>=ROUNDDOWN(121.25,0)</f>
      </c>
      <c r="AB613" s="5">
        <v>2.4</v>
      </c>
      <c r="AC613" s="2" t="s">
        <v>235</v>
      </c>
      <c r="AD613" s="4"/>
      <c r="AE613" s="4"/>
      <c r="AF613" s="6">
        <v>76</v>
      </c>
      <c r="AG613" s="6"/>
      <c r="AH613" s="7">
        <v>1</v>
      </c>
      <c r="AI613" s="4"/>
      <c r="AJ613" s="4">
        <f>=ROUNDDOWN({0},0)</f>
      </c>
      <c r="AK613" s="5"/>
      <c r="AL613" s="2" t="s">
        <v>235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235</v>
      </c>
      <c r="AW613" s="8" t="s">
        <v>235</v>
      </c>
      <c r="AX613" s="4" t="s">
        <v>235</v>
      </c>
      <c r="AY613" s="8" t="s">
        <v>235</v>
      </c>
      <c r="AZ613" s="7" t="s">
        <v>235</v>
      </c>
      <c r="BA613" s="7" t="s">
        <v>235</v>
      </c>
      <c r="BB613" s="7"/>
      <c r="BC613" s="4" t="s">
        <v>235</v>
      </c>
      <c r="BD613" s="8" t="s">
        <v>235</v>
      </c>
      <c r="BE613" s="4" t="s">
        <v>235</v>
      </c>
      <c r="BF613" s="8" t="s">
        <v>235</v>
      </c>
      <c r="BG613" s="7" t="s">
        <v>235</v>
      </c>
      <c r="BH613" s="7" t="s">
        <v>235</v>
      </c>
      <c r="BI613" s="7"/>
      <c r="BJ613" s="4">
        <v>6</v>
      </c>
      <c r="BK613" s="8">
        <v>147.78</v>
      </c>
      <c r="BL613" s="2" t="s">
        <v>2870</v>
      </c>
      <c r="BM613" s="7"/>
      <c r="BN613" s="7"/>
      <c r="BO613" s="4"/>
      <c r="BP613" s="8"/>
      <c r="BQ613" s="4"/>
      <c r="BR613" s="8"/>
      <c r="BS613" s="7"/>
      <c r="BT613" s="7"/>
      <c r="BU613" s="2" t="s">
        <v>2816</v>
      </c>
      <c r="BV613" s="2" t="s">
        <v>243</v>
      </c>
      <c r="BW613" s="2" t="s">
        <v>235</v>
      </c>
      <c r="BX613" s="2" t="s">
        <v>619</v>
      </c>
      <c r="BY613" s="2" t="s">
        <v>245</v>
      </c>
      <c r="BZ613" s="2" t="s">
        <v>232</v>
      </c>
      <c r="CA613" s="2" t="s">
        <v>2829</v>
      </c>
      <c r="CB613" s="2" t="s">
        <v>941</v>
      </c>
      <c r="CC613" s="2" t="s">
        <v>248</v>
      </c>
      <c r="CD613" s="2" t="s">
        <v>248</v>
      </c>
      <c r="CE613" s="2" t="s">
        <v>235</v>
      </c>
      <c r="CF613" s="4">
        <v>291</v>
      </c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>
        <v>291</v>
      </c>
      <c r="GE613" s="4">
        <v>274</v>
      </c>
      <c r="GF613" s="4">
        <v>272</v>
      </c>
      <c r="GG613" s="4">
        <v>269</v>
      </c>
      <c r="GH613" s="4">
        <v>265</v>
      </c>
      <c r="GI613" s="4">
        <v>262</v>
      </c>
      <c r="GJ613" s="4">
        <v>257</v>
      </c>
      <c r="GK613" s="4">
        <v>252</v>
      </c>
      <c r="GL613" s="4">
        <v>248</v>
      </c>
      <c r="GM613" s="4">
        <v>246</v>
      </c>
      <c r="GN613" s="4">
        <v>241</v>
      </c>
      <c r="GO613" s="4">
        <v>238</v>
      </c>
      <c r="GP613" s="4">
        <v>235</v>
      </c>
      <c r="GQ613" s="4">
        <v>231</v>
      </c>
      <c r="GR613" s="4">
        <v>227</v>
      </c>
      <c r="GS613" s="4">
        <v>223</v>
      </c>
      <c r="GT613" s="4">
        <v>220</v>
      </c>
      <c r="GU613" s="4">
        <v>216</v>
      </c>
      <c r="GV613" s="4">
        <v>213</v>
      </c>
      <c r="GW613" s="4">
        <v>210</v>
      </c>
      <c r="GX613" s="4">
        <v>207</v>
      </c>
      <c r="GY613" s="4">
        <v>204</v>
      </c>
      <c r="GZ613" s="4">
        <v>201</v>
      </c>
      <c r="HA613" s="4">
        <v>198</v>
      </c>
      <c r="HB613" s="4">
        <v>195</v>
      </c>
      <c r="HC613" s="4">
        <v>192</v>
      </c>
      <c r="HD613" s="19">
        <v>48.5</v>
      </c>
      <c r="HE613" s="19">
        <v>91.3</v>
      </c>
      <c r="HF613" s="19">
        <v>68</v>
      </c>
      <c r="HG613" s="19">
        <v>67.3</v>
      </c>
      <c r="HH613" s="19">
        <v>66.3</v>
      </c>
      <c r="HI613" s="19">
        <v>65.5</v>
      </c>
      <c r="HJ613" s="19">
        <v>64.3</v>
      </c>
      <c r="HK613" s="19">
        <v>63</v>
      </c>
      <c r="HL613" s="19">
        <v>82.7</v>
      </c>
      <c r="HM613" s="19">
        <v>61.5</v>
      </c>
      <c r="HN613" s="19">
        <v>60.3</v>
      </c>
      <c r="HO613" s="19">
        <v>59.5</v>
      </c>
      <c r="HP613" s="19">
        <v>58.8</v>
      </c>
      <c r="HQ613" s="19">
        <v>57.8</v>
      </c>
      <c r="HR613" s="19">
        <v>56.8</v>
      </c>
      <c r="HS613" s="19">
        <v>74.3</v>
      </c>
      <c r="HT613" s="19">
        <v>73.3</v>
      </c>
      <c r="HU613" s="19">
        <v>72</v>
      </c>
      <c r="HV613" s="19">
        <v>71</v>
      </c>
      <c r="HW613" s="19">
        <v>70</v>
      </c>
      <c r="HX613" s="19">
        <v>69</v>
      </c>
      <c r="HY613" s="19">
        <v>68</v>
      </c>
      <c r="HZ613" s="19">
        <v>67</v>
      </c>
      <c r="IA613" s="19">
        <v>66</v>
      </c>
      <c r="IB613" s="19">
        <v>65</v>
      </c>
      <c r="IC613" s="19">
        <v>64</v>
      </c>
    </row>
    <row r="614">
      <c r="A614" s="2" t="s">
        <v>2871</v>
      </c>
      <c r="B614" s="2" t="s">
        <v>323</v>
      </c>
      <c r="C614" s="2" t="s">
        <v>606</v>
      </c>
      <c r="D614" s="2" t="s">
        <v>257</v>
      </c>
      <c r="E614" s="2" t="s">
        <v>258</v>
      </c>
      <c r="F614" s="2" t="s">
        <v>2813</v>
      </c>
      <c r="G614" s="2" t="s">
        <v>2813</v>
      </c>
      <c r="H614" s="2" t="s">
        <v>2813</v>
      </c>
      <c r="I614" s="2" t="s">
        <v>2814</v>
      </c>
      <c r="J614" s="2" t="s">
        <v>394</v>
      </c>
      <c r="K614" s="2" t="s">
        <v>1667</v>
      </c>
      <c r="L614" s="3">
        <v>17.83</v>
      </c>
      <c r="M614" s="3">
        <v>18.72</v>
      </c>
      <c r="N614" s="3">
        <v>39.99</v>
      </c>
      <c r="O614" s="2" t="s">
        <v>232</v>
      </c>
      <c r="P614" s="2" t="s">
        <v>878</v>
      </c>
      <c r="Q614" s="2" t="s">
        <v>234</v>
      </c>
      <c r="R614" s="2" t="s">
        <v>235</v>
      </c>
      <c r="S614" s="2" t="s">
        <v>235</v>
      </c>
      <c r="T614" s="2" t="s">
        <v>263</v>
      </c>
      <c r="U614" s="2" t="s">
        <v>552</v>
      </c>
      <c r="V614" s="2" t="s">
        <v>238</v>
      </c>
      <c r="W614" s="2" t="s">
        <v>239</v>
      </c>
      <c r="X614" s="2" t="s">
        <v>235</v>
      </c>
      <c r="Y614" s="2" t="s">
        <v>2872</v>
      </c>
      <c r="Z614" s="4"/>
      <c r="AA614" s="4">
        <f>=ROUNDDOWN({0},0)</f>
      </c>
      <c r="AB614" s="5">
        <v>28</v>
      </c>
      <c r="AC614" s="2" t="s">
        <v>883</v>
      </c>
      <c r="AD614" s="4">
        <v>460</v>
      </c>
      <c r="AE614" s="4">
        <v>912</v>
      </c>
      <c r="AF614" s="6">
        <v>76</v>
      </c>
      <c r="AG614" s="6"/>
      <c r="AH614" s="7"/>
      <c r="AI614" s="4"/>
      <c r="AJ614" s="4">
        <f>=ROUNDDOWN({0},0)</f>
      </c>
      <c r="AK614" s="5"/>
      <c r="AL614" s="2" t="s">
        <v>235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235</v>
      </c>
      <c r="AW614" s="8" t="s">
        <v>235</v>
      </c>
      <c r="AX614" s="4" t="s">
        <v>235</v>
      </c>
      <c r="AY614" s="8" t="s">
        <v>235</v>
      </c>
      <c r="AZ614" s="7" t="s">
        <v>235</v>
      </c>
      <c r="BA614" s="7" t="s">
        <v>235</v>
      </c>
      <c r="BB614" s="7"/>
      <c r="BC614" s="4" t="s">
        <v>235</v>
      </c>
      <c r="BD614" s="8" t="s">
        <v>235</v>
      </c>
      <c r="BE614" s="4" t="s">
        <v>235</v>
      </c>
      <c r="BF614" s="8" t="s">
        <v>235</v>
      </c>
      <c r="BG614" s="7" t="s">
        <v>235</v>
      </c>
      <c r="BH614" s="7" t="s">
        <v>235</v>
      </c>
      <c r="BI614" s="7"/>
      <c r="BJ614" s="4"/>
      <c r="BK614" s="8"/>
      <c r="BL614" s="2" t="s">
        <v>235</v>
      </c>
      <c r="BM614" s="7"/>
      <c r="BN614" s="7"/>
      <c r="BO614" s="4"/>
      <c r="BP614" s="8"/>
      <c r="BQ614" s="4"/>
      <c r="BR614" s="8"/>
      <c r="BS614" s="7"/>
      <c r="BT614" s="7"/>
      <c r="BU614" s="2" t="s">
        <v>2816</v>
      </c>
      <c r="BV614" s="2" t="s">
        <v>235</v>
      </c>
      <c r="BW614" s="2" t="s">
        <v>235</v>
      </c>
      <c r="BX614" s="2" t="s">
        <v>619</v>
      </c>
      <c r="BY614" s="2" t="s">
        <v>245</v>
      </c>
      <c r="BZ614" s="2" t="s">
        <v>232</v>
      </c>
      <c r="CA614" s="2" t="s">
        <v>235</v>
      </c>
      <c r="CB614" s="2" t="s">
        <v>235</v>
      </c>
      <c r="CC614" s="2" t="s">
        <v>248</v>
      </c>
      <c r="CD614" s="2" t="s">
        <v>248</v>
      </c>
      <c r="CE614" s="2" t="s">
        <v>235</v>
      </c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>
        <v>460</v>
      </c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>
        <v>452</v>
      </c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>
        <v>460</v>
      </c>
      <c r="GF614" s="4">
        <v>328</v>
      </c>
      <c r="GG614" s="4">
        <v>307</v>
      </c>
      <c r="GH614" s="4">
        <v>283</v>
      </c>
      <c r="GI614" s="4">
        <v>263</v>
      </c>
      <c r="GJ614" s="4">
        <v>229</v>
      </c>
      <c r="GK614" s="4">
        <v>640</v>
      </c>
      <c r="GL614" s="4">
        <v>610</v>
      </c>
      <c r="GM614" s="4">
        <v>592</v>
      </c>
      <c r="GN614" s="4">
        <v>552</v>
      </c>
      <c r="GO614" s="4">
        <v>525</v>
      </c>
      <c r="GP614" s="4">
        <v>500</v>
      </c>
      <c r="GQ614" s="4">
        <v>464</v>
      </c>
      <c r="GR614" s="4">
        <v>425</v>
      </c>
      <c r="GS614" s="4">
        <v>392</v>
      </c>
      <c r="GT614" s="4">
        <v>367</v>
      </c>
      <c r="GU614" s="4">
        <v>331</v>
      </c>
      <c r="GV614" s="4">
        <v>299</v>
      </c>
      <c r="GW614" s="4">
        <v>271</v>
      </c>
      <c r="GX614" s="4">
        <v>243</v>
      </c>
      <c r="GY614" s="4">
        <v>215</v>
      </c>
      <c r="GZ614" s="4">
        <v>187</v>
      </c>
      <c r="HA614" s="4">
        <v>159</v>
      </c>
      <c r="HB614" s="4">
        <v>131</v>
      </c>
      <c r="HC614" s="4">
        <v>101</v>
      </c>
      <c r="HD614" s="9"/>
      <c r="HE614" s="19">
        <v>9.4</v>
      </c>
      <c r="HF614" s="19">
        <v>13.1</v>
      </c>
      <c r="HG614" s="19">
        <v>10.2</v>
      </c>
      <c r="HH614" s="19">
        <v>9.1</v>
      </c>
      <c r="HI614" s="19">
        <v>8.5</v>
      </c>
      <c r="HJ614" s="19">
        <v>7.2</v>
      </c>
      <c r="HK614" s="19">
        <v>22.1</v>
      </c>
      <c r="HL614" s="19">
        <v>21.8</v>
      </c>
      <c r="HM614" s="19">
        <v>18.5</v>
      </c>
      <c r="HN614" s="19">
        <v>17.3</v>
      </c>
      <c r="HO614" s="19">
        <v>15.9</v>
      </c>
      <c r="HP614" s="19">
        <v>15.2</v>
      </c>
      <c r="HQ614" s="19">
        <v>14.1</v>
      </c>
      <c r="HR614" s="19">
        <v>13.3</v>
      </c>
      <c r="HS614" s="19">
        <v>13.1</v>
      </c>
      <c r="HT614" s="19">
        <v>11.8</v>
      </c>
      <c r="HU614" s="19">
        <v>11.4</v>
      </c>
      <c r="HV614" s="19">
        <v>10.7</v>
      </c>
      <c r="HW614" s="19">
        <v>9.7</v>
      </c>
      <c r="HX614" s="19">
        <v>8.7</v>
      </c>
      <c r="HY614" s="19">
        <v>7.7</v>
      </c>
      <c r="HZ614" s="19">
        <v>6.7</v>
      </c>
      <c r="IA614" s="19">
        <v>5.7</v>
      </c>
      <c r="IB614" s="19">
        <v>4.7</v>
      </c>
      <c r="IC614" s="19">
        <v>3.6</v>
      </c>
    </row>
    <row r="615">
      <c r="A615" s="2" t="s">
        <v>2873</v>
      </c>
      <c r="B615" s="2" t="s">
        <v>323</v>
      </c>
      <c r="C615" s="2" t="s">
        <v>606</v>
      </c>
      <c r="D615" s="2" t="s">
        <v>257</v>
      </c>
      <c r="E615" s="2" t="s">
        <v>258</v>
      </c>
      <c r="F615" s="2" t="s">
        <v>2813</v>
      </c>
      <c r="G615" s="2" t="s">
        <v>2813</v>
      </c>
      <c r="H615" s="2" t="s">
        <v>2813</v>
      </c>
      <c r="I615" s="2" t="s">
        <v>2814</v>
      </c>
      <c r="J615" s="2" t="s">
        <v>230</v>
      </c>
      <c r="K615" s="2" t="s">
        <v>1667</v>
      </c>
      <c r="L615" s="3">
        <v>17.83</v>
      </c>
      <c r="M615" s="3">
        <v>18.72</v>
      </c>
      <c r="N615" s="3">
        <v>39.99</v>
      </c>
      <c r="O615" s="2" t="s">
        <v>232</v>
      </c>
      <c r="P615" s="2" t="s">
        <v>878</v>
      </c>
      <c r="Q615" s="2" t="s">
        <v>234</v>
      </c>
      <c r="R615" s="2" t="s">
        <v>235</v>
      </c>
      <c r="S615" s="2" t="s">
        <v>235</v>
      </c>
      <c r="T615" s="2" t="s">
        <v>263</v>
      </c>
      <c r="U615" s="2" t="s">
        <v>552</v>
      </c>
      <c r="V615" s="2" t="s">
        <v>238</v>
      </c>
      <c r="W615" s="2" t="s">
        <v>239</v>
      </c>
      <c r="X615" s="2" t="s">
        <v>235</v>
      </c>
      <c r="Y615" s="2" t="s">
        <v>235</v>
      </c>
      <c r="Z615" s="4"/>
      <c r="AA615" s="4">
        <f>=ROUNDDOWN({0},0)</f>
      </c>
      <c r="AB615" s="5">
        <v>17</v>
      </c>
      <c r="AC615" s="2" t="s">
        <v>166</v>
      </c>
      <c r="AD615" s="4">
        <v>456</v>
      </c>
      <c r="AE615" s="4">
        <v>456</v>
      </c>
      <c r="AF615" s="6">
        <v>76</v>
      </c>
      <c r="AG615" s="6"/>
      <c r="AH615" s="7"/>
      <c r="AI615" s="4"/>
      <c r="AJ615" s="4">
        <f>=ROUNDDOWN({0},0)</f>
      </c>
      <c r="AK615" s="5"/>
      <c r="AL615" s="2" t="s">
        <v>235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235</v>
      </c>
      <c r="AW615" s="8" t="s">
        <v>235</v>
      </c>
      <c r="AX615" s="4" t="s">
        <v>235</v>
      </c>
      <c r="AY615" s="8" t="s">
        <v>235</v>
      </c>
      <c r="AZ615" s="7" t="s">
        <v>235</v>
      </c>
      <c r="BA615" s="7" t="s">
        <v>235</v>
      </c>
      <c r="BB615" s="7"/>
      <c r="BC615" s="4" t="s">
        <v>235</v>
      </c>
      <c r="BD615" s="8" t="s">
        <v>235</v>
      </c>
      <c r="BE615" s="4" t="s">
        <v>235</v>
      </c>
      <c r="BF615" s="8" t="s">
        <v>235</v>
      </c>
      <c r="BG615" s="7" t="s">
        <v>235</v>
      </c>
      <c r="BH615" s="7" t="s">
        <v>235</v>
      </c>
      <c r="BI615" s="7"/>
      <c r="BJ615" s="4"/>
      <c r="BK615" s="8"/>
      <c r="BL615" s="2" t="s">
        <v>235</v>
      </c>
      <c r="BM615" s="7"/>
      <c r="BN615" s="7"/>
      <c r="BO615" s="4"/>
      <c r="BP615" s="8"/>
      <c r="BQ615" s="4"/>
      <c r="BR615" s="8"/>
      <c r="BS615" s="7"/>
      <c r="BT615" s="7"/>
      <c r="BU615" s="2" t="s">
        <v>2816</v>
      </c>
      <c r="BV615" s="2" t="s">
        <v>235</v>
      </c>
      <c r="BW615" s="2" t="s">
        <v>235</v>
      </c>
      <c r="BX615" s="2" t="s">
        <v>619</v>
      </c>
      <c r="BY615" s="2" t="s">
        <v>245</v>
      </c>
      <c r="BZ615" s="2" t="s">
        <v>232</v>
      </c>
      <c r="CA615" s="2" t="s">
        <v>235</v>
      </c>
      <c r="CB615" s="2" t="s">
        <v>235</v>
      </c>
      <c r="CC615" s="2" t="s">
        <v>248</v>
      </c>
      <c r="CD615" s="2" t="s">
        <v>248</v>
      </c>
      <c r="CE615" s="2" t="s">
        <v>235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>
        <v>456</v>
      </c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>
        <v>456</v>
      </c>
      <c r="GL615" s="4">
        <v>456</v>
      </c>
      <c r="GM615" s="4">
        <v>451</v>
      </c>
      <c r="GN615" s="4">
        <v>437</v>
      </c>
      <c r="GO615" s="4">
        <v>428</v>
      </c>
      <c r="GP615" s="4">
        <v>420</v>
      </c>
      <c r="GQ615" s="4">
        <v>410</v>
      </c>
      <c r="GR615" s="4">
        <v>399</v>
      </c>
      <c r="GS615" s="4">
        <v>388</v>
      </c>
      <c r="GT615" s="4">
        <v>379</v>
      </c>
      <c r="GU615" s="4">
        <v>360</v>
      </c>
      <c r="GV615" s="4">
        <v>345</v>
      </c>
      <c r="GW615" s="4">
        <v>331</v>
      </c>
      <c r="GX615" s="4">
        <v>317</v>
      </c>
      <c r="GY615" s="4">
        <v>300</v>
      </c>
      <c r="GZ615" s="4">
        <v>283</v>
      </c>
      <c r="HA615" s="4">
        <v>266</v>
      </c>
      <c r="HB615" s="4">
        <v>249</v>
      </c>
      <c r="HC615" s="4">
        <v>230</v>
      </c>
      <c r="HD615" s="9"/>
      <c r="HE615" s="9"/>
      <c r="HF615" s="9"/>
      <c r="HG615" s="9"/>
      <c r="HH615" s="9"/>
      <c r="HI615" s="9"/>
      <c r="HJ615" s="9"/>
      <c r="HK615" s="19">
        <v>65.1</v>
      </c>
      <c r="HL615" s="19">
        <v>50.7</v>
      </c>
      <c r="HM615" s="19">
        <v>45.1</v>
      </c>
      <c r="HN615" s="19">
        <v>43.7</v>
      </c>
      <c r="HO615" s="19">
        <v>42.8</v>
      </c>
      <c r="HP615" s="19">
        <v>42</v>
      </c>
      <c r="HQ615" s="19">
        <v>34.2</v>
      </c>
      <c r="HR615" s="19">
        <v>28.5</v>
      </c>
      <c r="HS615" s="19">
        <v>27.7</v>
      </c>
      <c r="HT615" s="19">
        <v>23.7</v>
      </c>
      <c r="HU615" s="19">
        <v>24</v>
      </c>
      <c r="HV615" s="19">
        <v>21.6</v>
      </c>
      <c r="HW615" s="19">
        <v>20.7</v>
      </c>
      <c r="HX615" s="19">
        <v>18.6</v>
      </c>
      <c r="HY615" s="19">
        <v>16.7</v>
      </c>
      <c r="HZ615" s="19">
        <v>15.7</v>
      </c>
      <c r="IA615" s="19">
        <v>14.8</v>
      </c>
      <c r="IB615" s="19">
        <v>13.8</v>
      </c>
      <c r="IC615" s="19">
        <v>13.5</v>
      </c>
    </row>
    <row r="616">
      <c r="A616" s="2" t="s">
        <v>2874</v>
      </c>
      <c r="B616" s="2" t="s">
        <v>323</v>
      </c>
      <c r="C616" s="2" t="s">
        <v>606</v>
      </c>
      <c r="D616" s="2" t="s">
        <v>257</v>
      </c>
      <c r="E616" s="2" t="s">
        <v>258</v>
      </c>
      <c r="F616" s="2" t="s">
        <v>2813</v>
      </c>
      <c r="G616" s="2" t="s">
        <v>2813</v>
      </c>
      <c r="H616" s="2" t="s">
        <v>2813</v>
      </c>
      <c r="I616" s="2" t="s">
        <v>2814</v>
      </c>
      <c r="J616" s="2" t="s">
        <v>250</v>
      </c>
      <c r="K616" s="2" t="s">
        <v>1667</v>
      </c>
      <c r="L616" s="3">
        <v>20.06</v>
      </c>
      <c r="M616" s="3">
        <v>21.06</v>
      </c>
      <c r="N616" s="3">
        <v>44.99</v>
      </c>
      <c r="O616" s="2" t="s">
        <v>232</v>
      </c>
      <c r="P616" s="2" t="s">
        <v>233</v>
      </c>
      <c r="Q616" s="2" t="s">
        <v>234</v>
      </c>
      <c r="R616" s="2" t="s">
        <v>235</v>
      </c>
      <c r="S616" s="2" t="s">
        <v>2875</v>
      </c>
      <c r="T616" s="2" t="s">
        <v>263</v>
      </c>
      <c r="U616" s="2" t="s">
        <v>264</v>
      </c>
      <c r="V616" s="2" t="s">
        <v>238</v>
      </c>
      <c r="W616" s="2" t="s">
        <v>239</v>
      </c>
      <c r="X616" s="2" t="s">
        <v>235</v>
      </c>
      <c r="Y616" s="2" t="s">
        <v>1599</v>
      </c>
      <c r="Z616" s="4">
        <v>479</v>
      </c>
      <c r="AA616" s="4">
        <f>=ROUNDDOWN(59.875,0)</f>
      </c>
      <c r="AB616" s="5">
        <v>8</v>
      </c>
      <c r="AC616" s="2" t="s">
        <v>235</v>
      </c>
      <c r="AD616" s="4"/>
      <c r="AE616" s="4"/>
      <c r="AF616" s="6">
        <v>76</v>
      </c>
      <c r="AG616" s="6"/>
      <c r="AH616" s="7">
        <v>1</v>
      </c>
      <c r="AI616" s="4"/>
      <c r="AJ616" s="4">
        <f>=ROUNDDOWN({0},0)</f>
      </c>
      <c r="AK616" s="5"/>
      <c r="AL616" s="2" t="s">
        <v>235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235</v>
      </c>
      <c r="AW616" s="8" t="s">
        <v>235</v>
      </c>
      <c r="AX616" s="4" t="s">
        <v>235</v>
      </c>
      <c r="AY616" s="8" t="s">
        <v>235</v>
      </c>
      <c r="AZ616" s="7" t="s">
        <v>235</v>
      </c>
      <c r="BA616" s="7" t="s">
        <v>235</v>
      </c>
      <c r="BB616" s="7"/>
      <c r="BC616" s="4" t="s">
        <v>235</v>
      </c>
      <c r="BD616" s="8" t="s">
        <v>235</v>
      </c>
      <c r="BE616" s="4" t="s">
        <v>235</v>
      </c>
      <c r="BF616" s="8" t="s">
        <v>235</v>
      </c>
      <c r="BG616" s="7" t="s">
        <v>235</v>
      </c>
      <c r="BH616" s="7" t="s">
        <v>235</v>
      </c>
      <c r="BI616" s="7"/>
      <c r="BJ616" s="4">
        <v>21</v>
      </c>
      <c r="BK616" s="8">
        <v>459.21</v>
      </c>
      <c r="BL616" s="2" t="s">
        <v>2876</v>
      </c>
      <c r="BM616" s="7"/>
      <c r="BN616" s="7"/>
      <c r="BO616" s="4"/>
      <c r="BP616" s="8"/>
      <c r="BQ616" s="4"/>
      <c r="BR616" s="8"/>
      <c r="BS616" s="7"/>
      <c r="BT616" s="7"/>
      <c r="BU616" s="2" t="s">
        <v>2816</v>
      </c>
      <c r="BV616" s="2" t="s">
        <v>243</v>
      </c>
      <c r="BW616" s="2" t="s">
        <v>235</v>
      </c>
      <c r="BX616" s="2" t="s">
        <v>619</v>
      </c>
      <c r="BY616" s="2" t="s">
        <v>245</v>
      </c>
      <c r="BZ616" s="2" t="s">
        <v>232</v>
      </c>
      <c r="CA616" s="2" t="s">
        <v>2829</v>
      </c>
      <c r="CB616" s="2" t="s">
        <v>2877</v>
      </c>
      <c r="CC616" s="2" t="s">
        <v>248</v>
      </c>
      <c r="CD616" s="2" t="s">
        <v>248</v>
      </c>
      <c r="CE616" s="2" t="s">
        <v>235</v>
      </c>
      <c r="CF616" s="4">
        <v>479</v>
      </c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>
        <v>481</v>
      </c>
      <c r="GE616" s="4">
        <v>424</v>
      </c>
      <c r="GF616" s="4">
        <v>418</v>
      </c>
      <c r="GG616" s="4">
        <v>409</v>
      </c>
      <c r="GH616" s="4">
        <v>399</v>
      </c>
      <c r="GI616" s="4">
        <v>391</v>
      </c>
      <c r="GJ616" s="4">
        <v>377</v>
      </c>
      <c r="GK616" s="4">
        <v>361</v>
      </c>
      <c r="GL616" s="4">
        <v>349</v>
      </c>
      <c r="GM616" s="4">
        <v>343</v>
      </c>
      <c r="GN616" s="4">
        <v>329</v>
      </c>
      <c r="GO616" s="4">
        <v>321</v>
      </c>
      <c r="GP616" s="4">
        <v>313</v>
      </c>
      <c r="GQ616" s="4">
        <v>304</v>
      </c>
      <c r="GR616" s="4">
        <v>295</v>
      </c>
      <c r="GS616" s="4">
        <v>286</v>
      </c>
      <c r="GT616" s="4">
        <v>278</v>
      </c>
      <c r="GU616" s="4">
        <v>269</v>
      </c>
      <c r="GV616" s="4">
        <v>260</v>
      </c>
      <c r="GW616" s="4">
        <v>252</v>
      </c>
      <c r="GX616" s="4">
        <v>244</v>
      </c>
      <c r="GY616" s="4">
        <v>236</v>
      </c>
      <c r="GZ616" s="4">
        <v>228</v>
      </c>
      <c r="HA616" s="4">
        <v>220</v>
      </c>
      <c r="HB616" s="4">
        <v>212</v>
      </c>
      <c r="HC616" s="4">
        <v>204</v>
      </c>
      <c r="HD616" s="19">
        <v>24.1</v>
      </c>
      <c r="HE616" s="19">
        <v>53</v>
      </c>
      <c r="HF616" s="19">
        <v>41.8</v>
      </c>
      <c r="HG616" s="19">
        <v>34.1</v>
      </c>
      <c r="HH616" s="19">
        <v>33.3</v>
      </c>
      <c r="HI616" s="19">
        <v>32.6</v>
      </c>
      <c r="HJ616" s="19">
        <v>31.4</v>
      </c>
      <c r="HK616" s="19">
        <v>36.1</v>
      </c>
      <c r="HL616" s="19">
        <v>38.8</v>
      </c>
      <c r="HM616" s="19">
        <v>34.3</v>
      </c>
      <c r="HN616" s="19">
        <v>41.1</v>
      </c>
      <c r="HO616" s="19">
        <v>35.7</v>
      </c>
      <c r="HP616" s="19">
        <v>34.8</v>
      </c>
      <c r="HQ616" s="19">
        <v>33.8</v>
      </c>
      <c r="HR616" s="19">
        <v>32.8</v>
      </c>
      <c r="HS616" s="19">
        <v>35.8</v>
      </c>
      <c r="HT616" s="19">
        <v>34.8</v>
      </c>
      <c r="HU616" s="19">
        <v>33.6</v>
      </c>
      <c r="HV616" s="19">
        <v>32.5</v>
      </c>
      <c r="HW616" s="19">
        <v>31.5</v>
      </c>
      <c r="HX616" s="19">
        <v>30.5</v>
      </c>
      <c r="HY616" s="19">
        <v>29.5</v>
      </c>
      <c r="HZ616" s="19">
        <v>28.5</v>
      </c>
      <c r="IA616" s="19">
        <v>27.5</v>
      </c>
      <c r="IB616" s="19">
        <v>26.5</v>
      </c>
      <c r="IC616" s="19">
        <v>25.5</v>
      </c>
    </row>
    <row r="617">
      <c r="A617" s="2" t="s">
        <v>2878</v>
      </c>
      <c r="B617" s="2" t="s">
        <v>323</v>
      </c>
      <c r="C617" s="2" t="s">
        <v>606</v>
      </c>
      <c r="D617" s="2" t="s">
        <v>257</v>
      </c>
      <c r="E617" s="2" t="s">
        <v>258</v>
      </c>
      <c r="F617" s="2" t="s">
        <v>2813</v>
      </c>
      <c r="G617" s="2" t="s">
        <v>2813</v>
      </c>
      <c r="H617" s="2" t="s">
        <v>2813</v>
      </c>
      <c r="I617" s="2" t="s">
        <v>2814</v>
      </c>
      <c r="J617" s="2" t="s">
        <v>272</v>
      </c>
      <c r="K617" s="2" t="s">
        <v>1667</v>
      </c>
      <c r="L617" s="3">
        <v>24.52</v>
      </c>
      <c r="M617" s="3">
        <v>25.75</v>
      </c>
      <c r="N617" s="3">
        <v>54.99</v>
      </c>
      <c r="O617" s="2" t="s">
        <v>232</v>
      </c>
      <c r="P617" s="2" t="s">
        <v>233</v>
      </c>
      <c r="Q617" s="2" t="s">
        <v>234</v>
      </c>
      <c r="R617" s="2" t="s">
        <v>235</v>
      </c>
      <c r="S617" s="2" t="s">
        <v>2875</v>
      </c>
      <c r="T617" s="2" t="s">
        <v>263</v>
      </c>
      <c r="U617" s="2" t="s">
        <v>264</v>
      </c>
      <c r="V617" s="2" t="s">
        <v>238</v>
      </c>
      <c r="W617" s="2" t="s">
        <v>239</v>
      </c>
      <c r="X617" s="2" t="s">
        <v>235</v>
      </c>
      <c r="Y617" s="2" t="s">
        <v>2187</v>
      </c>
      <c r="Z617" s="4">
        <v>249</v>
      </c>
      <c r="AA617" s="4">
        <f>=ROUNDDOWN(124.5,0)</f>
      </c>
      <c r="AB617" s="5">
        <v>2</v>
      </c>
      <c r="AC617" s="2" t="s">
        <v>235</v>
      </c>
      <c r="AD617" s="4"/>
      <c r="AE617" s="4"/>
      <c r="AF617" s="6">
        <v>76</v>
      </c>
      <c r="AG617" s="6"/>
      <c r="AH617" s="7">
        <v>1</v>
      </c>
      <c r="AI617" s="4"/>
      <c r="AJ617" s="4">
        <f>=ROUNDDOWN({0},0)</f>
      </c>
      <c r="AK617" s="5"/>
      <c r="AL617" s="2" t="s">
        <v>235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235</v>
      </c>
      <c r="AW617" s="8" t="s">
        <v>235</v>
      </c>
      <c r="AX617" s="4" t="s">
        <v>235</v>
      </c>
      <c r="AY617" s="8" t="s">
        <v>235</v>
      </c>
      <c r="AZ617" s="7" t="s">
        <v>235</v>
      </c>
      <c r="BA617" s="7" t="s">
        <v>235</v>
      </c>
      <c r="BB617" s="7"/>
      <c r="BC617" s="4" t="s">
        <v>235</v>
      </c>
      <c r="BD617" s="8" t="s">
        <v>235</v>
      </c>
      <c r="BE617" s="4" t="s">
        <v>235</v>
      </c>
      <c r="BF617" s="8" t="s">
        <v>235</v>
      </c>
      <c r="BG617" s="7" t="s">
        <v>235</v>
      </c>
      <c r="BH617" s="7" t="s">
        <v>235</v>
      </c>
      <c r="BI617" s="7"/>
      <c r="BJ617" s="4">
        <v>7</v>
      </c>
      <c r="BK617" s="8">
        <v>175.34</v>
      </c>
      <c r="BL617" s="2" t="s">
        <v>2879</v>
      </c>
      <c r="BM617" s="7"/>
      <c r="BN617" s="7"/>
      <c r="BO617" s="4"/>
      <c r="BP617" s="8"/>
      <c r="BQ617" s="4"/>
      <c r="BR617" s="8"/>
      <c r="BS617" s="7"/>
      <c r="BT617" s="7"/>
      <c r="BU617" s="2" t="s">
        <v>2816</v>
      </c>
      <c r="BV617" s="2" t="s">
        <v>243</v>
      </c>
      <c r="BW617" s="2" t="s">
        <v>235</v>
      </c>
      <c r="BX617" s="2" t="s">
        <v>619</v>
      </c>
      <c r="BY617" s="2" t="s">
        <v>245</v>
      </c>
      <c r="BZ617" s="2" t="s">
        <v>232</v>
      </c>
      <c r="CA617" s="2" t="s">
        <v>2829</v>
      </c>
      <c r="CB617" s="2" t="s">
        <v>235</v>
      </c>
      <c r="CC617" s="2" t="s">
        <v>248</v>
      </c>
      <c r="CD617" s="2" t="s">
        <v>248</v>
      </c>
      <c r="CE617" s="2" t="s">
        <v>235</v>
      </c>
      <c r="CF617" s="4">
        <v>249</v>
      </c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>
        <v>249</v>
      </c>
      <c r="GE617" s="4">
        <v>233</v>
      </c>
      <c r="GF617" s="4">
        <v>232</v>
      </c>
      <c r="GG617" s="4">
        <v>230</v>
      </c>
      <c r="GH617" s="4">
        <v>227</v>
      </c>
      <c r="GI617" s="4">
        <v>225</v>
      </c>
      <c r="GJ617" s="4">
        <v>221</v>
      </c>
      <c r="GK617" s="4">
        <v>217</v>
      </c>
      <c r="GL617" s="4">
        <v>214</v>
      </c>
      <c r="GM617" s="4">
        <v>213</v>
      </c>
      <c r="GN617" s="4">
        <v>209</v>
      </c>
      <c r="GO617" s="4">
        <v>207</v>
      </c>
      <c r="GP617" s="4">
        <v>205</v>
      </c>
      <c r="GQ617" s="4">
        <v>203</v>
      </c>
      <c r="GR617" s="4">
        <v>201</v>
      </c>
      <c r="GS617" s="4">
        <v>199</v>
      </c>
      <c r="GT617" s="4">
        <v>197</v>
      </c>
      <c r="GU617" s="4">
        <v>195</v>
      </c>
      <c r="GV617" s="4">
        <v>193</v>
      </c>
      <c r="GW617" s="4">
        <v>191</v>
      </c>
      <c r="GX617" s="4">
        <v>189</v>
      </c>
      <c r="GY617" s="4">
        <v>187</v>
      </c>
      <c r="GZ617" s="4">
        <v>185</v>
      </c>
      <c r="HA617" s="4">
        <v>183</v>
      </c>
      <c r="HB617" s="4">
        <v>181</v>
      </c>
      <c r="HC617" s="4">
        <v>179</v>
      </c>
      <c r="HD617" s="19">
        <v>41.5</v>
      </c>
      <c r="HE617" s="19">
        <v>116.5</v>
      </c>
      <c r="HF617" s="19">
        <v>77.3</v>
      </c>
      <c r="HG617" s="19">
        <v>76.7</v>
      </c>
      <c r="HH617" s="19">
        <v>75.7</v>
      </c>
      <c r="HI617" s="19">
        <v>75</v>
      </c>
      <c r="HJ617" s="19">
        <v>73.7</v>
      </c>
      <c r="HK617" s="19">
        <v>108.5</v>
      </c>
      <c r="HL617" s="19">
        <v>107</v>
      </c>
      <c r="HM617" s="19">
        <v>106.5</v>
      </c>
      <c r="HN617" s="19">
        <v>104.5</v>
      </c>
      <c r="HO617" s="19">
        <v>103.5</v>
      </c>
      <c r="HP617" s="19">
        <v>102.5</v>
      </c>
      <c r="HQ617" s="19">
        <v>101.5</v>
      </c>
      <c r="HR617" s="19">
        <v>100.5</v>
      </c>
      <c r="HS617" s="19">
        <v>99.5</v>
      </c>
      <c r="HT617" s="19">
        <v>98.5</v>
      </c>
      <c r="HU617" s="19">
        <v>97.5</v>
      </c>
      <c r="HV617" s="19">
        <v>96.5</v>
      </c>
      <c r="HW617" s="19">
        <v>95.5</v>
      </c>
      <c r="HX617" s="19">
        <v>94.5</v>
      </c>
      <c r="HY617" s="19">
        <v>93.5</v>
      </c>
      <c r="HZ617" s="19">
        <v>92.5</v>
      </c>
      <c r="IA617" s="19">
        <v>91.5</v>
      </c>
      <c r="IB617" s="19">
        <v>90.5</v>
      </c>
      <c r="IC617" s="19">
        <v>89.5</v>
      </c>
    </row>
    <row r="618">
      <c r="A618" s="2" t="s">
        <v>2880</v>
      </c>
      <c r="B618" s="2" t="s">
        <v>323</v>
      </c>
      <c r="C618" s="2" t="s">
        <v>606</v>
      </c>
      <c r="D618" s="2" t="s">
        <v>257</v>
      </c>
      <c r="E618" s="2" t="s">
        <v>258</v>
      </c>
      <c r="F618" s="2" t="s">
        <v>2813</v>
      </c>
      <c r="G618" s="2" t="s">
        <v>2813</v>
      </c>
      <c r="H618" s="2" t="s">
        <v>2813</v>
      </c>
      <c r="I618" s="2" t="s">
        <v>2814</v>
      </c>
      <c r="J618" s="2" t="s">
        <v>272</v>
      </c>
      <c r="K618" s="2" t="s">
        <v>316</v>
      </c>
      <c r="L618" s="3">
        <v>24.52</v>
      </c>
      <c r="M618" s="3">
        <v>25.75</v>
      </c>
      <c r="N618" s="3">
        <v>54.99</v>
      </c>
      <c r="O618" s="2" t="s">
        <v>232</v>
      </c>
      <c r="P618" s="2" t="s">
        <v>233</v>
      </c>
      <c r="Q618" s="2" t="s">
        <v>234</v>
      </c>
      <c r="R618" s="2" t="s">
        <v>235</v>
      </c>
      <c r="S618" s="2" t="s">
        <v>2881</v>
      </c>
      <c r="T618" s="2" t="s">
        <v>263</v>
      </c>
      <c r="U618" s="2" t="s">
        <v>264</v>
      </c>
      <c r="V618" s="2" t="s">
        <v>238</v>
      </c>
      <c r="W618" s="2" t="s">
        <v>239</v>
      </c>
      <c r="X618" s="2" t="s">
        <v>235</v>
      </c>
      <c r="Y618" s="2" t="s">
        <v>2187</v>
      </c>
      <c r="Z618" s="4">
        <v>230</v>
      </c>
      <c r="AA618" s="4">
        <f>=ROUNDDOWN(164.285714285714,0)</f>
      </c>
      <c r="AB618" s="5">
        <v>1.4</v>
      </c>
      <c r="AC618" s="2" t="s">
        <v>235</v>
      </c>
      <c r="AD618" s="4"/>
      <c r="AE618" s="4"/>
      <c r="AF618" s="6">
        <v>76</v>
      </c>
      <c r="AG618" s="6"/>
      <c r="AH618" s="7">
        <v>1</v>
      </c>
      <c r="AI618" s="4"/>
      <c r="AJ618" s="4">
        <f>=ROUNDDOWN({0},0)</f>
      </c>
      <c r="AK618" s="5"/>
      <c r="AL618" s="2" t="s">
        <v>235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235</v>
      </c>
      <c r="BD618" s="8" t="s">
        <v>235</v>
      </c>
      <c r="BE618" s="4" t="s">
        <v>235</v>
      </c>
      <c r="BF618" s="8" t="s">
        <v>235</v>
      </c>
      <c r="BG618" s="7" t="s">
        <v>235</v>
      </c>
      <c r="BH618" s="7" t="s">
        <v>235</v>
      </c>
      <c r="BI618" s="7"/>
      <c r="BJ618" s="4">
        <v>10</v>
      </c>
      <c r="BK618" s="8">
        <v>274.65</v>
      </c>
      <c r="BL618" s="2" t="s">
        <v>1192</v>
      </c>
      <c r="BM618" s="7"/>
      <c r="BN618" s="7"/>
      <c r="BO618" s="4"/>
      <c r="BP618" s="8"/>
      <c r="BQ618" s="4"/>
      <c r="BR618" s="8"/>
      <c r="BS618" s="7"/>
      <c r="BT618" s="7"/>
      <c r="BU618" s="2" t="s">
        <v>2816</v>
      </c>
      <c r="BV618" s="2" t="s">
        <v>243</v>
      </c>
      <c r="BW618" s="2" t="s">
        <v>235</v>
      </c>
      <c r="BX618" s="2" t="s">
        <v>619</v>
      </c>
      <c r="BY618" s="2" t="s">
        <v>245</v>
      </c>
      <c r="BZ618" s="2" t="s">
        <v>232</v>
      </c>
      <c r="CA618" s="2" t="s">
        <v>2829</v>
      </c>
      <c r="CB618" s="2" t="s">
        <v>1661</v>
      </c>
      <c r="CC618" s="2" t="s">
        <v>248</v>
      </c>
      <c r="CD618" s="2" t="s">
        <v>248</v>
      </c>
      <c r="CE618" s="2" t="s">
        <v>235</v>
      </c>
      <c r="CF618" s="4">
        <v>230</v>
      </c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>
        <v>231</v>
      </c>
      <c r="GE618" s="4">
        <v>229</v>
      </c>
      <c r="GF618" s="4">
        <v>228</v>
      </c>
      <c r="GG618" s="4">
        <v>227</v>
      </c>
      <c r="GH618" s="4">
        <v>226</v>
      </c>
      <c r="GI618" s="4">
        <v>225</v>
      </c>
      <c r="GJ618" s="4">
        <v>224</v>
      </c>
      <c r="GK618" s="4">
        <v>223</v>
      </c>
      <c r="GL618" s="4">
        <v>222</v>
      </c>
      <c r="GM618" s="4">
        <v>221</v>
      </c>
      <c r="GN618" s="4">
        <v>220</v>
      </c>
      <c r="GO618" s="4">
        <v>219</v>
      </c>
      <c r="GP618" s="4">
        <v>218</v>
      </c>
      <c r="GQ618" s="4">
        <v>216</v>
      </c>
      <c r="GR618" s="4">
        <v>214</v>
      </c>
      <c r="GS618" s="4">
        <v>212</v>
      </c>
      <c r="GT618" s="4">
        <v>211</v>
      </c>
      <c r="GU618" s="4">
        <v>209</v>
      </c>
      <c r="GV618" s="4">
        <v>208</v>
      </c>
      <c r="GW618" s="4">
        <v>207</v>
      </c>
      <c r="GX618" s="4">
        <v>206</v>
      </c>
      <c r="GY618" s="4">
        <v>205</v>
      </c>
      <c r="GZ618" s="4">
        <v>204</v>
      </c>
      <c r="HA618" s="4">
        <v>203</v>
      </c>
      <c r="HB618" s="4">
        <v>202</v>
      </c>
      <c r="HC618" s="4">
        <v>201</v>
      </c>
      <c r="HD618" s="19">
        <v>231</v>
      </c>
      <c r="HE618" s="19">
        <v>229</v>
      </c>
      <c r="HF618" s="19">
        <v>228</v>
      </c>
      <c r="HG618" s="19">
        <v>227</v>
      </c>
      <c r="HH618" s="19">
        <v>226</v>
      </c>
      <c r="HI618" s="19">
        <v>225</v>
      </c>
      <c r="HJ618" s="19">
        <v>224</v>
      </c>
      <c r="HK618" s="19">
        <v>223</v>
      </c>
      <c r="HL618" s="19">
        <v>222</v>
      </c>
      <c r="HM618" s="19">
        <v>221</v>
      </c>
      <c r="HN618" s="19">
        <v>110</v>
      </c>
      <c r="HO618" s="19">
        <v>109.5</v>
      </c>
      <c r="HP618" s="19">
        <v>109</v>
      </c>
      <c r="HQ618" s="19">
        <v>108</v>
      </c>
      <c r="HR618" s="19">
        <v>107</v>
      </c>
      <c r="HS618" s="19">
        <v>212</v>
      </c>
      <c r="HT618" s="19">
        <v>211</v>
      </c>
      <c r="HU618" s="19">
        <v>209</v>
      </c>
      <c r="HV618" s="19">
        <v>208</v>
      </c>
      <c r="HW618" s="19">
        <v>207</v>
      </c>
      <c r="HX618" s="19">
        <v>206</v>
      </c>
      <c r="HY618" s="19">
        <v>205</v>
      </c>
      <c r="HZ618" s="19">
        <v>204</v>
      </c>
      <c r="IA618" s="19">
        <v>203</v>
      </c>
      <c r="IB618" s="19">
        <v>202</v>
      </c>
      <c r="IC618" s="19">
        <v>201</v>
      </c>
    </row>
    <row r="619">
      <c r="A619" s="2" t="s">
        <v>2882</v>
      </c>
      <c r="B619" s="2" t="s">
        <v>905</v>
      </c>
      <c r="C619" s="2" t="s">
        <v>678</v>
      </c>
      <c r="D619" s="2" t="s">
        <v>2650</v>
      </c>
      <c r="E619" s="2" t="s">
        <v>2651</v>
      </c>
      <c r="F619" s="2" t="s">
        <v>2883</v>
      </c>
      <c r="G619" s="2" t="s">
        <v>2883</v>
      </c>
      <c r="H619" s="2" t="s">
        <v>2883</v>
      </c>
      <c r="I619" s="2" t="s">
        <v>2653</v>
      </c>
      <c r="J619" s="2" t="s">
        <v>272</v>
      </c>
      <c r="K619" s="2" t="s">
        <v>316</v>
      </c>
      <c r="L619" s="3">
        <v>83.84</v>
      </c>
      <c r="M619" s="3">
        <v>88.03</v>
      </c>
      <c r="N619" s="3">
        <v>154.99</v>
      </c>
      <c r="O619" s="2" t="s">
        <v>232</v>
      </c>
      <c r="P619" s="2" t="s">
        <v>333</v>
      </c>
      <c r="Q619" s="2" t="s">
        <v>234</v>
      </c>
      <c r="R619" s="2" t="s">
        <v>235</v>
      </c>
      <c r="S619" s="2" t="s">
        <v>2884</v>
      </c>
      <c r="T619" s="2" t="s">
        <v>328</v>
      </c>
      <c r="U619" s="2" t="s">
        <v>235</v>
      </c>
      <c r="V619" s="2" t="s">
        <v>238</v>
      </c>
      <c r="W619" s="2" t="s">
        <v>239</v>
      </c>
      <c r="X619" s="2" t="s">
        <v>235</v>
      </c>
      <c r="Y619" s="2" t="s">
        <v>240</v>
      </c>
      <c r="Z619" s="4">
        <v>2722</v>
      </c>
      <c r="AA619" s="4">
        <f>=ROUNDDOWN(259.238095238095,0)</f>
      </c>
      <c r="AB619" s="5">
        <v>10.5</v>
      </c>
      <c r="AC619" s="2" t="s">
        <v>235</v>
      </c>
      <c r="AD619" s="4"/>
      <c r="AE619" s="4"/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235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>
        <v>2</v>
      </c>
      <c r="BK619" s="8">
        <v>193.62</v>
      </c>
      <c r="BL619" s="2" t="s">
        <v>2885</v>
      </c>
      <c r="BM619" s="7"/>
      <c r="BN619" s="7"/>
      <c r="BO619" s="4"/>
      <c r="BP619" s="8"/>
      <c r="BQ619" s="4"/>
      <c r="BR619" s="8"/>
      <c r="BS619" s="7"/>
      <c r="BT619" s="7"/>
      <c r="BU619" s="2" t="s">
        <v>2886</v>
      </c>
      <c r="BV619" s="2" t="s">
        <v>243</v>
      </c>
      <c r="BW619" s="2" t="s">
        <v>235</v>
      </c>
      <c r="BX619" s="2" t="s">
        <v>244</v>
      </c>
      <c r="BY619" s="2" t="s">
        <v>245</v>
      </c>
      <c r="BZ619" s="2" t="s">
        <v>232</v>
      </c>
      <c r="CA619" s="2" t="s">
        <v>252</v>
      </c>
      <c r="CB619" s="2" t="s">
        <v>2458</v>
      </c>
      <c r="CC619" s="2" t="s">
        <v>248</v>
      </c>
      <c r="CD619" s="2" t="s">
        <v>248</v>
      </c>
      <c r="CE619" s="2" t="s">
        <v>235</v>
      </c>
      <c r="CF619" s="4">
        <v>823</v>
      </c>
      <c r="CG619" s="4">
        <v>442</v>
      </c>
      <c r="CH619" s="4"/>
      <c r="CI619" s="4">
        <v>1457</v>
      </c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>
        <v>2722</v>
      </c>
      <c r="GE619" s="4">
        <v>2720</v>
      </c>
      <c r="GF619" s="4">
        <v>2718</v>
      </c>
      <c r="GG619" s="4">
        <v>2716</v>
      </c>
      <c r="GH619" s="4">
        <v>2714</v>
      </c>
      <c r="GI619" s="4">
        <v>2710</v>
      </c>
      <c r="GJ619" s="4">
        <v>2706</v>
      </c>
      <c r="GK619" s="4">
        <v>2702</v>
      </c>
      <c r="GL619" s="4">
        <v>2698</v>
      </c>
      <c r="GM619" s="4">
        <v>2694</v>
      </c>
      <c r="GN619" s="4">
        <v>2690</v>
      </c>
      <c r="GO619" s="4">
        <v>2684</v>
      </c>
      <c r="GP619" s="4">
        <v>2676</v>
      </c>
      <c r="GQ619" s="4">
        <v>2666</v>
      </c>
      <c r="GR619" s="4">
        <v>2650</v>
      </c>
      <c r="GS619" s="4">
        <v>2634</v>
      </c>
      <c r="GT619" s="4">
        <v>2621</v>
      </c>
      <c r="GU619" s="4">
        <v>2603</v>
      </c>
      <c r="GV619" s="4">
        <v>2583</v>
      </c>
      <c r="GW619" s="4">
        <v>2569</v>
      </c>
      <c r="GX619" s="4">
        <v>2555</v>
      </c>
      <c r="GY619" s="4">
        <v>2541</v>
      </c>
      <c r="GZ619" s="4">
        <v>2528</v>
      </c>
      <c r="HA619" s="4">
        <v>2515</v>
      </c>
      <c r="HB619" s="4">
        <v>2504</v>
      </c>
      <c r="HC619" s="4">
        <v>2493</v>
      </c>
      <c r="HD619" s="19">
        <v>1361</v>
      </c>
      <c r="HE619" s="19">
        <v>1360</v>
      </c>
      <c r="HF619" s="19">
        <v>679.5</v>
      </c>
      <c r="HG619" s="19">
        <v>679</v>
      </c>
      <c r="HH619" s="19">
        <v>678.5</v>
      </c>
      <c r="HI619" s="19">
        <v>677.5</v>
      </c>
      <c r="HJ619" s="19">
        <v>676.5</v>
      </c>
      <c r="HK619" s="19">
        <v>675.5</v>
      </c>
      <c r="HL619" s="19">
        <v>449.7</v>
      </c>
      <c r="HM619" s="19">
        <v>336.8</v>
      </c>
      <c r="HN619" s="19">
        <v>269</v>
      </c>
      <c r="HO619" s="19">
        <v>223.7</v>
      </c>
      <c r="HP619" s="19">
        <v>191.2</v>
      </c>
      <c r="HQ619" s="19">
        <v>179.4</v>
      </c>
      <c r="HR619" s="19">
        <v>163</v>
      </c>
      <c r="HS619" s="19">
        <v>162</v>
      </c>
      <c r="HT619" s="19">
        <v>161.2</v>
      </c>
      <c r="HU619" s="19">
        <v>183.5</v>
      </c>
      <c r="HV619" s="19">
        <v>190.5</v>
      </c>
      <c r="HW619" s="19">
        <v>189.5</v>
      </c>
      <c r="HX619" s="19">
        <v>211.5</v>
      </c>
      <c r="HY619" s="19">
        <v>244.7</v>
      </c>
      <c r="HZ619" s="19">
        <v>254</v>
      </c>
      <c r="IA619" s="19">
        <v>252.7</v>
      </c>
      <c r="IB619" s="19">
        <v>251.7</v>
      </c>
      <c r="IC619" s="19">
        <v>264.3</v>
      </c>
    </row>
    <row r="620">
      <c r="A620" s="2" t="s">
        <v>2887</v>
      </c>
      <c r="B620" s="2" t="s">
        <v>323</v>
      </c>
      <c r="C620" s="2" t="s">
        <v>853</v>
      </c>
      <c r="D620" s="2" t="s">
        <v>257</v>
      </c>
      <c r="E620" s="2" t="s">
        <v>258</v>
      </c>
      <c r="F620" s="2" t="s">
        <v>2888</v>
      </c>
      <c r="G620" s="2" t="s">
        <v>2888</v>
      </c>
      <c r="H620" s="2" t="s">
        <v>2888</v>
      </c>
      <c r="I620" s="2" t="s">
        <v>2889</v>
      </c>
      <c r="J620" s="2" t="s">
        <v>230</v>
      </c>
      <c r="K620" s="2" t="s">
        <v>506</v>
      </c>
      <c r="L620" s="3">
        <v>20.16</v>
      </c>
      <c r="M620" s="3">
        <v>21.17</v>
      </c>
      <c r="N620" s="3">
        <v>41.99</v>
      </c>
      <c r="O620" s="2" t="s">
        <v>232</v>
      </c>
      <c r="P620" s="2" t="s">
        <v>233</v>
      </c>
      <c r="Q620" s="2" t="s">
        <v>234</v>
      </c>
      <c r="R620" s="2" t="s">
        <v>235</v>
      </c>
      <c r="S620" s="2" t="s">
        <v>2890</v>
      </c>
      <c r="T620" s="2" t="s">
        <v>2578</v>
      </c>
      <c r="U620" s="2" t="s">
        <v>552</v>
      </c>
      <c r="V620" s="2" t="s">
        <v>238</v>
      </c>
      <c r="W620" s="2" t="s">
        <v>239</v>
      </c>
      <c r="X620" s="2" t="s">
        <v>235</v>
      </c>
      <c r="Y620" s="2" t="s">
        <v>665</v>
      </c>
      <c r="Z620" s="4">
        <v>1</v>
      </c>
      <c r="AA620" s="4">
        <f>=ROUNDDOWN(0.111111111111111,0)</f>
      </c>
      <c r="AB620" s="5">
        <v>9</v>
      </c>
      <c r="AC620" s="2" t="s">
        <v>2410</v>
      </c>
      <c r="AD620" s="4">
        <v>190</v>
      </c>
      <c r="AE620" s="4">
        <v>190</v>
      </c>
      <c r="AF620" s="6">
        <v>78</v>
      </c>
      <c r="AG620" s="6"/>
      <c r="AH620" s="7">
        <v>0.0968</v>
      </c>
      <c r="AI620" s="4"/>
      <c r="AJ620" s="4">
        <f>=ROUNDDOWN({0},0)</f>
      </c>
      <c r="AK620" s="5"/>
      <c r="AL620" s="2" t="s">
        <v>235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235</v>
      </c>
      <c r="AW620" s="8" t="s">
        <v>235</v>
      </c>
      <c r="AX620" s="4" t="s">
        <v>235</v>
      </c>
      <c r="AY620" s="8" t="s">
        <v>235</v>
      </c>
      <c r="AZ620" s="7" t="s">
        <v>235</v>
      </c>
      <c r="BA620" s="7" t="s">
        <v>235</v>
      </c>
      <c r="BB620" s="7"/>
      <c r="BC620" s="4" t="s">
        <v>235</v>
      </c>
      <c r="BD620" s="8" t="s">
        <v>235</v>
      </c>
      <c r="BE620" s="4" t="s">
        <v>235</v>
      </c>
      <c r="BF620" s="8" t="s">
        <v>235</v>
      </c>
      <c r="BG620" s="7" t="s">
        <v>235</v>
      </c>
      <c r="BH620" s="7" t="s">
        <v>235</v>
      </c>
      <c r="BI620" s="7"/>
      <c r="BJ620" s="4">
        <v>66</v>
      </c>
      <c r="BK620" s="8">
        <v>1524.98</v>
      </c>
      <c r="BL620" s="2" t="s">
        <v>2589</v>
      </c>
      <c r="BM620" s="7"/>
      <c r="BN620" s="7"/>
      <c r="BO620" s="4"/>
      <c r="BP620" s="8"/>
      <c r="BQ620" s="4"/>
      <c r="BR620" s="8"/>
      <c r="BS620" s="7"/>
      <c r="BT620" s="7"/>
      <c r="BU620" s="2" t="s">
        <v>2891</v>
      </c>
      <c r="BV620" s="2" t="s">
        <v>243</v>
      </c>
      <c r="BW620" s="2" t="s">
        <v>235</v>
      </c>
      <c r="BX620" s="2" t="s">
        <v>383</v>
      </c>
      <c r="BY620" s="2" t="s">
        <v>245</v>
      </c>
      <c r="BZ620" s="2" t="s">
        <v>232</v>
      </c>
      <c r="CA620" s="2" t="s">
        <v>665</v>
      </c>
      <c r="CB620" s="2" t="s">
        <v>235</v>
      </c>
      <c r="CC620" s="2" t="s">
        <v>248</v>
      </c>
      <c r="CD620" s="2" t="s">
        <v>248</v>
      </c>
      <c r="CE620" s="2" t="s">
        <v>235</v>
      </c>
      <c r="CF620" s="4">
        <v>1</v>
      </c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>
        <v>190</v>
      </c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>
        <v>1</v>
      </c>
      <c r="GE620" s="4"/>
      <c r="GF620" s="4"/>
      <c r="GG620" s="4"/>
      <c r="GH620" s="4"/>
      <c r="GI620" s="4"/>
      <c r="GJ620" s="4"/>
      <c r="GK620" s="4"/>
      <c r="GL620" s="4"/>
      <c r="GM620" s="4">
        <v>190</v>
      </c>
      <c r="GN620" s="4">
        <v>82</v>
      </c>
      <c r="GO620" s="4">
        <v>71</v>
      </c>
      <c r="GP620" s="4">
        <v>60</v>
      </c>
      <c r="GQ620" s="4">
        <v>43</v>
      </c>
      <c r="GR620" s="4">
        <v>27</v>
      </c>
      <c r="GS620" s="4">
        <v>12</v>
      </c>
      <c r="GT620" s="4">
        <v>1</v>
      </c>
      <c r="GU620" s="4"/>
      <c r="GV620" s="4"/>
      <c r="GW620" s="4"/>
      <c r="GX620" s="4"/>
      <c r="GY620" s="4">
        <v>225</v>
      </c>
      <c r="GZ620" s="4">
        <v>185</v>
      </c>
      <c r="HA620" s="4">
        <v>176</v>
      </c>
      <c r="HB620" s="4">
        <v>167</v>
      </c>
      <c r="HC620" s="4">
        <v>157</v>
      </c>
      <c r="HD620" s="19">
        <v>0.3</v>
      </c>
      <c r="HE620" s="20">
        <v>0</v>
      </c>
      <c r="HF620" s="20">
        <v>0</v>
      </c>
      <c r="HG620" s="20">
        <v>0</v>
      </c>
      <c r="HH620" s="20">
        <v>0</v>
      </c>
      <c r="HI620" s="20">
        <v>0</v>
      </c>
      <c r="HJ620" s="20">
        <v>0</v>
      </c>
      <c r="HK620" s="20">
        <v>0</v>
      </c>
      <c r="HL620" s="20">
        <v>0</v>
      </c>
      <c r="HM620" s="19">
        <v>5.1</v>
      </c>
      <c r="HN620" s="19">
        <v>5.9</v>
      </c>
      <c r="HO620" s="19">
        <v>4.7</v>
      </c>
      <c r="HP620" s="19">
        <v>4</v>
      </c>
      <c r="HQ620" s="19">
        <v>3.9</v>
      </c>
      <c r="HR620" s="19">
        <v>3.4</v>
      </c>
      <c r="HS620" s="19">
        <v>2.4</v>
      </c>
      <c r="HT620" s="19">
        <v>0.3</v>
      </c>
      <c r="HU620" s="20">
        <v>0</v>
      </c>
      <c r="HV620" s="20">
        <v>0</v>
      </c>
      <c r="HW620" s="20">
        <v>0</v>
      </c>
      <c r="HX620" s="20">
        <v>0</v>
      </c>
      <c r="HY620" s="19">
        <v>13.2</v>
      </c>
      <c r="HZ620" s="19">
        <v>18.5</v>
      </c>
      <c r="IA620" s="19">
        <v>17.6</v>
      </c>
      <c r="IB620" s="19">
        <v>16.7</v>
      </c>
      <c r="IC620" s="19">
        <v>15.7</v>
      </c>
    </row>
    <row r="621">
      <c r="A621" s="2" t="s">
        <v>2892</v>
      </c>
      <c r="B621" s="2" t="s">
        <v>323</v>
      </c>
      <c r="C621" s="2" t="s">
        <v>853</v>
      </c>
      <c r="D621" s="2" t="s">
        <v>257</v>
      </c>
      <c r="E621" s="2" t="s">
        <v>258</v>
      </c>
      <c r="F621" s="2" t="s">
        <v>2888</v>
      </c>
      <c r="G621" s="2" t="s">
        <v>2888</v>
      </c>
      <c r="H621" s="2" t="s">
        <v>2888</v>
      </c>
      <c r="I621" s="2" t="s">
        <v>2889</v>
      </c>
      <c r="J621" s="2" t="s">
        <v>250</v>
      </c>
      <c r="K621" s="2" t="s">
        <v>506</v>
      </c>
      <c r="L621" s="3">
        <v>21.6</v>
      </c>
      <c r="M621" s="3">
        <v>22.68</v>
      </c>
      <c r="N621" s="3">
        <v>44.99</v>
      </c>
      <c r="O621" s="2" t="s">
        <v>232</v>
      </c>
      <c r="P621" s="2" t="s">
        <v>233</v>
      </c>
      <c r="Q621" s="2" t="s">
        <v>234</v>
      </c>
      <c r="R621" s="2" t="s">
        <v>235</v>
      </c>
      <c r="S621" s="2" t="s">
        <v>2890</v>
      </c>
      <c r="T621" s="2" t="s">
        <v>2578</v>
      </c>
      <c r="U621" s="2" t="s">
        <v>264</v>
      </c>
      <c r="V621" s="2" t="s">
        <v>238</v>
      </c>
      <c r="W621" s="2" t="s">
        <v>239</v>
      </c>
      <c r="X621" s="2" t="s">
        <v>235</v>
      </c>
      <c r="Y621" s="2" t="s">
        <v>2893</v>
      </c>
      <c r="Z621" s="4">
        <v>269</v>
      </c>
      <c r="AA621" s="4">
        <f>=ROUNDDOWN(27.7319587628866,0)</f>
      </c>
      <c r="AB621" s="5">
        <v>9.7</v>
      </c>
      <c r="AC621" s="2" t="s">
        <v>2410</v>
      </c>
      <c r="AD621" s="4">
        <v>158</v>
      </c>
      <c r="AE621" s="4">
        <v>158</v>
      </c>
      <c r="AF621" s="6">
        <v>78</v>
      </c>
      <c r="AG621" s="6"/>
      <c r="AH621" s="7">
        <v>1</v>
      </c>
      <c r="AI621" s="4"/>
      <c r="AJ621" s="4">
        <f>=ROUNDDOWN({0},0)</f>
      </c>
      <c r="AK621" s="5"/>
      <c r="AL621" s="2" t="s">
        <v>235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235</v>
      </c>
      <c r="AW621" s="8" t="s">
        <v>235</v>
      </c>
      <c r="AX621" s="4" t="s">
        <v>235</v>
      </c>
      <c r="AY621" s="8" t="s">
        <v>235</v>
      </c>
      <c r="AZ621" s="7" t="s">
        <v>235</v>
      </c>
      <c r="BA621" s="7" t="s">
        <v>235</v>
      </c>
      <c r="BB621" s="7"/>
      <c r="BC621" s="4" t="s">
        <v>235</v>
      </c>
      <c r="BD621" s="8" t="s">
        <v>235</v>
      </c>
      <c r="BE621" s="4" t="s">
        <v>235</v>
      </c>
      <c r="BF621" s="8" t="s">
        <v>235</v>
      </c>
      <c r="BG621" s="7" t="s">
        <v>235</v>
      </c>
      <c r="BH621" s="7" t="s">
        <v>235</v>
      </c>
      <c r="BI621" s="7"/>
      <c r="BJ621" s="4">
        <v>35</v>
      </c>
      <c r="BK621" s="8">
        <v>852.07</v>
      </c>
      <c r="BL621" s="2" t="s">
        <v>2894</v>
      </c>
      <c r="BM621" s="7"/>
      <c r="BN621" s="7"/>
      <c r="BO621" s="4"/>
      <c r="BP621" s="8"/>
      <c r="BQ621" s="4"/>
      <c r="BR621" s="8"/>
      <c r="BS621" s="7"/>
      <c r="BT621" s="7"/>
      <c r="BU621" s="2" t="s">
        <v>2891</v>
      </c>
      <c r="BV621" s="2" t="s">
        <v>243</v>
      </c>
      <c r="BW621" s="2" t="s">
        <v>235</v>
      </c>
      <c r="BX621" s="2" t="s">
        <v>383</v>
      </c>
      <c r="BY621" s="2" t="s">
        <v>245</v>
      </c>
      <c r="BZ621" s="2" t="s">
        <v>232</v>
      </c>
      <c r="CA621" s="2" t="s">
        <v>665</v>
      </c>
      <c r="CB621" s="2" t="s">
        <v>1873</v>
      </c>
      <c r="CC621" s="2" t="s">
        <v>248</v>
      </c>
      <c r="CD621" s="2" t="s">
        <v>248</v>
      </c>
      <c r="CE621" s="2" t="s">
        <v>235</v>
      </c>
      <c r="CF621" s="4">
        <v>269</v>
      </c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>
        <v>158</v>
      </c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>
        <v>274</v>
      </c>
      <c r="GE621" s="4">
        <v>229</v>
      </c>
      <c r="GF621" s="4">
        <v>219</v>
      </c>
      <c r="GG621" s="4">
        <v>207</v>
      </c>
      <c r="GH621" s="4">
        <v>195</v>
      </c>
      <c r="GI621" s="4">
        <v>182</v>
      </c>
      <c r="GJ621" s="4">
        <v>161</v>
      </c>
      <c r="GK621" s="4">
        <v>140</v>
      </c>
      <c r="GL621" s="4">
        <v>122</v>
      </c>
      <c r="GM621" s="4">
        <v>268</v>
      </c>
      <c r="GN621" s="4">
        <v>256</v>
      </c>
      <c r="GO621" s="4">
        <v>244</v>
      </c>
      <c r="GP621" s="4">
        <v>231</v>
      </c>
      <c r="GQ621" s="4">
        <v>210</v>
      </c>
      <c r="GR621" s="4">
        <v>189</v>
      </c>
      <c r="GS621" s="4">
        <v>171</v>
      </c>
      <c r="GT621" s="4">
        <v>159</v>
      </c>
      <c r="GU621" s="4">
        <v>149</v>
      </c>
      <c r="GV621" s="4">
        <v>138</v>
      </c>
      <c r="GW621" s="4">
        <v>128</v>
      </c>
      <c r="GX621" s="4">
        <v>118</v>
      </c>
      <c r="GY621" s="4">
        <v>182</v>
      </c>
      <c r="GZ621" s="4">
        <v>172</v>
      </c>
      <c r="HA621" s="4">
        <v>162</v>
      </c>
      <c r="HB621" s="4">
        <v>152</v>
      </c>
      <c r="HC621" s="4">
        <v>141</v>
      </c>
      <c r="HD621" s="19">
        <v>13.7</v>
      </c>
      <c r="HE621" s="19">
        <v>19.1</v>
      </c>
      <c r="HF621" s="19">
        <v>15.6</v>
      </c>
      <c r="HG621" s="19">
        <v>12.2</v>
      </c>
      <c r="HH621" s="19">
        <v>10.8</v>
      </c>
      <c r="HI621" s="19">
        <v>10.1</v>
      </c>
      <c r="HJ621" s="19">
        <v>10.1</v>
      </c>
      <c r="HK621" s="19">
        <v>10</v>
      </c>
      <c r="HL621" s="19">
        <v>10.2</v>
      </c>
      <c r="HM621" s="19">
        <v>19.1</v>
      </c>
      <c r="HN621" s="19">
        <v>15.1</v>
      </c>
      <c r="HO621" s="19">
        <v>13.6</v>
      </c>
      <c r="HP621" s="19">
        <v>12.8</v>
      </c>
      <c r="HQ621" s="19">
        <v>14</v>
      </c>
      <c r="HR621" s="19">
        <v>14.5</v>
      </c>
      <c r="HS621" s="19">
        <v>15.5</v>
      </c>
      <c r="HT621" s="19">
        <v>15.9</v>
      </c>
      <c r="HU621" s="19">
        <v>14.9</v>
      </c>
      <c r="HV621" s="19">
        <v>13.8</v>
      </c>
      <c r="HW621" s="19">
        <v>12.8</v>
      </c>
      <c r="HX621" s="19">
        <v>11.8</v>
      </c>
      <c r="HY621" s="19">
        <v>18.2</v>
      </c>
      <c r="HZ621" s="19">
        <v>17.2</v>
      </c>
      <c r="IA621" s="19">
        <v>16.2</v>
      </c>
      <c r="IB621" s="19">
        <v>15.2</v>
      </c>
      <c r="IC621" s="19">
        <v>14.1</v>
      </c>
    </row>
    <row r="622">
      <c r="A622" s="2" t="s">
        <v>2895</v>
      </c>
      <c r="B622" s="2" t="s">
        <v>323</v>
      </c>
      <c r="C622" s="2" t="s">
        <v>853</v>
      </c>
      <c r="D622" s="2" t="s">
        <v>257</v>
      </c>
      <c r="E622" s="2" t="s">
        <v>258</v>
      </c>
      <c r="F622" s="2" t="s">
        <v>2888</v>
      </c>
      <c r="G622" s="2" t="s">
        <v>2888</v>
      </c>
      <c r="H622" s="2" t="s">
        <v>2888</v>
      </c>
      <c r="I622" s="2" t="s">
        <v>2889</v>
      </c>
      <c r="J622" s="2" t="s">
        <v>394</v>
      </c>
      <c r="K622" s="2" t="s">
        <v>975</v>
      </c>
      <c r="L622" s="3">
        <v>18.8</v>
      </c>
      <c r="M622" s="3">
        <v>19.74</v>
      </c>
      <c r="N622" s="3">
        <v>39.99</v>
      </c>
      <c r="O622" s="2" t="s">
        <v>232</v>
      </c>
      <c r="P622" s="2" t="s">
        <v>233</v>
      </c>
      <c r="Q622" s="2" t="s">
        <v>234</v>
      </c>
      <c r="R622" s="2" t="s">
        <v>235</v>
      </c>
      <c r="S622" s="2" t="s">
        <v>2896</v>
      </c>
      <c r="T622" s="2" t="s">
        <v>2578</v>
      </c>
      <c r="U622" s="2" t="s">
        <v>552</v>
      </c>
      <c r="V622" s="2" t="s">
        <v>238</v>
      </c>
      <c r="W622" s="2" t="s">
        <v>239</v>
      </c>
      <c r="X622" s="2" t="s">
        <v>235</v>
      </c>
      <c r="Y622" s="2" t="s">
        <v>665</v>
      </c>
      <c r="Z622" s="4">
        <v>252</v>
      </c>
      <c r="AA622" s="4">
        <f>=ROUNDDOWN(70,0)</f>
      </c>
      <c r="AB622" s="5">
        <v>3.6</v>
      </c>
      <c r="AC622" s="2" t="s">
        <v>2897</v>
      </c>
      <c r="AD622" s="4">
        <v>114</v>
      </c>
      <c r="AE622" s="4">
        <v>114</v>
      </c>
      <c r="AF622" s="6">
        <v>78</v>
      </c>
      <c r="AG622" s="6"/>
      <c r="AH622" s="7">
        <v>1</v>
      </c>
      <c r="AI622" s="4"/>
      <c r="AJ622" s="4">
        <f>=ROUNDDOWN({0},0)</f>
      </c>
      <c r="AK622" s="5"/>
      <c r="AL622" s="2" t="s">
        <v>235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235</v>
      </c>
      <c r="BD622" s="8" t="s">
        <v>235</v>
      </c>
      <c r="BE622" s="4" t="s">
        <v>235</v>
      </c>
      <c r="BF622" s="8" t="s">
        <v>235</v>
      </c>
      <c r="BG622" s="7" t="s">
        <v>235</v>
      </c>
      <c r="BH622" s="7" t="s">
        <v>235</v>
      </c>
      <c r="BI622" s="7"/>
      <c r="BJ622" s="4">
        <v>21</v>
      </c>
      <c r="BK622" s="8">
        <v>452.06</v>
      </c>
      <c r="BL622" s="2" t="s">
        <v>2898</v>
      </c>
      <c r="BM622" s="7"/>
      <c r="BN622" s="7"/>
      <c r="BO622" s="4"/>
      <c r="BP622" s="8"/>
      <c r="BQ622" s="4"/>
      <c r="BR622" s="8"/>
      <c r="BS622" s="7"/>
      <c r="BT622" s="7"/>
      <c r="BU622" s="2" t="s">
        <v>2891</v>
      </c>
      <c r="BV622" s="2" t="s">
        <v>243</v>
      </c>
      <c r="BW622" s="2" t="s">
        <v>235</v>
      </c>
      <c r="BX622" s="2" t="s">
        <v>383</v>
      </c>
      <c r="BY622" s="2" t="s">
        <v>245</v>
      </c>
      <c r="BZ622" s="2" t="s">
        <v>232</v>
      </c>
      <c r="CA622" s="2" t="s">
        <v>665</v>
      </c>
      <c r="CB622" s="2" t="s">
        <v>941</v>
      </c>
      <c r="CC622" s="2" t="s">
        <v>248</v>
      </c>
      <c r="CD622" s="2" t="s">
        <v>248</v>
      </c>
      <c r="CE622" s="2" t="s">
        <v>235</v>
      </c>
      <c r="CF622" s="4">
        <v>252</v>
      </c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>
        <v>114</v>
      </c>
      <c r="FY622" s="4"/>
      <c r="FZ622" s="4"/>
      <c r="GA622" s="4"/>
      <c r="GB622" s="4"/>
      <c r="GC622" s="4"/>
      <c r="GD622" s="4">
        <v>255</v>
      </c>
      <c r="GE622" s="4">
        <v>249</v>
      </c>
      <c r="GF622" s="4">
        <v>248</v>
      </c>
      <c r="GG622" s="4">
        <v>247</v>
      </c>
      <c r="GH622" s="4">
        <v>246</v>
      </c>
      <c r="GI622" s="4">
        <v>245</v>
      </c>
      <c r="GJ622" s="4">
        <v>244</v>
      </c>
      <c r="GK622" s="4">
        <v>242</v>
      </c>
      <c r="GL622" s="4">
        <v>236</v>
      </c>
      <c r="GM622" s="4">
        <v>233</v>
      </c>
      <c r="GN622" s="4">
        <v>230</v>
      </c>
      <c r="GO622" s="4">
        <v>227</v>
      </c>
      <c r="GP622" s="4">
        <v>224</v>
      </c>
      <c r="GQ622" s="4">
        <v>219</v>
      </c>
      <c r="GR622" s="4">
        <v>214</v>
      </c>
      <c r="GS622" s="4">
        <v>210</v>
      </c>
      <c r="GT622" s="4">
        <v>207</v>
      </c>
      <c r="GU622" s="4">
        <v>204</v>
      </c>
      <c r="GV622" s="4">
        <v>315</v>
      </c>
      <c r="GW622" s="4">
        <v>312</v>
      </c>
      <c r="GX622" s="4">
        <v>309</v>
      </c>
      <c r="GY622" s="4">
        <v>306</v>
      </c>
      <c r="GZ622" s="4">
        <v>303</v>
      </c>
      <c r="HA622" s="4">
        <v>300</v>
      </c>
      <c r="HB622" s="4">
        <v>297</v>
      </c>
      <c r="HC622" s="4">
        <v>294</v>
      </c>
      <c r="HD622" s="19">
        <v>127.5</v>
      </c>
      <c r="HE622" s="19">
        <v>249</v>
      </c>
      <c r="HF622" s="19">
        <v>248</v>
      </c>
      <c r="HG622" s="19">
        <v>247</v>
      </c>
      <c r="HH622" s="19">
        <v>123</v>
      </c>
      <c r="HI622" s="19">
        <v>81.7</v>
      </c>
      <c r="HJ622" s="19">
        <v>61</v>
      </c>
      <c r="HK622" s="19">
        <v>60.5</v>
      </c>
      <c r="HL622" s="19">
        <v>78.7</v>
      </c>
      <c r="HM622" s="19">
        <v>58.3</v>
      </c>
      <c r="HN622" s="19">
        <v>57.5</v>
      </c>
      <c r="HO622" s="19">
        <v>56.8</v>
      </c>
      <c r="HP622" s="19">
        <v>56</v>
      </c>
      <c r="HQ622" s="19">
        <v>54.8</v>
      </c>
      <c r="HR622" s="19">
        <v>71.3</v>
      </c>
      <c r="HS622" s="19">
        <v>70</v>
      </c>
      <c r="HT622" s="19">
        <v>69</v>
      </c>
      <c r="HU622" s="19">
        <v>68</v>
      </c>
      <c r="HV622" s="19">
        <v>105</v>
      </c>
      <c r="HW622" s="19">
        <v>104</v>
      </c>
      <c r="HX622" s="19">
        <v>103</v>
      </c>
      <c r="HY622" s="19">
        <v>102</v>
      </c>
      <c r="HZ622" s="19">
        <v>101</v>
      </c>
      <c r="IA622" s="19">
        <v>100</v>
      </c>
      <c r="IB622" s="19">
        <v>99</v>
      </c>
      <c r="IC622" s="19">
        <v>98</v>
      </c>
    </row>
    <row r="623">
      <c r="A623" s="2" t="s">
        <v>2899</v>
      </c>
      <c r="B623" s="2" t="s">
        <v>323</v>
      </c>
      <c r="C623" s="2" t="s">
        <v>853</v>
      </c>
      <c r="D623" s="2" t="s">
        <v>257</v>
      </c>
      <c r="E623" s="2" t="s">
        <v>258</v>
      </c>
      <c r="F623" s="2" t="s">
        <v>2888</v>
      </c>
      <c r="G623" s="2" t="s">
        <v>2888</v>
      </c>
      <c r="H623" s="2" t="s">
        <v>2888</v>
      </c>
      <c r="I623" s="2" t="s">
        <v>2889</v>
      </c>
      <c r="J623" s="2" t="s">
        <v>394</v>
      </c>
      <c r="K623" s="2" t="s">
        <v>292</v>
      </c>
      <c r="L623" s="3">
        <v>18.8</v>
      </c>
      <c r="M623" s="3">
        <v>19.74</v>
      </c>
      <c r="N623" s="3">
        <v>39.99</v>
      </c>
      <c r="O623" s="2" t="s">
        <v>232</v>
      </c>
      <c r="P623" s="2" t="s">
        <v>233</v>
      </c>
      <c r="Q623" s="2" t="s">
        <v>234</v>
      </c>
      <c r="R623" s="2" t="s">
        <v>235</v>
      </c>
      <c r="S623" s="2" t="s">
        <v>2900</v>
      </c>
      <c r="T623" s="2" t="s">
        <v>2578</v>
      </c>
      <c r="U623" s="2" t="s">
        <v>552</v>
      </c>
      <c r="V623" s="2" t="s">
        <v>238</v>
      </c>
      <c r="W623" s="2" t="s">
        <v>239</v>
      </c>
      <c r="X623" s="2" t="s">
        <v>235</v>
      </c>
      <c r="Y623" s="2" t="s">
        <v>2901</v>
      </c>
      <c r="Z623" s="4">
        <v>204</v>
      </c>
      <c r="AA623" s="4">
        <f>=ROUNDDOWN(85,0)</f>
      </c>
      <c r="AB623" s="5">
        <v>2.4</v>
      </c>
      <c r="AC623" s="2" t="s">
        <v>2897</v>
      </c>
      <c r="AD623" s="4">
        <v>162</v>
      </c>
      <c r="AE623" s="4">
        <v>162</v>
      </c>
      <c r="AF623" s="6">
        <v>78</v>
      </c>
      <c r="AG623" s="6"/>
      <c r="AH623" s="7">
        <v>1</v>
      </c>
      <c r="AI623" s="4"/>
      <c r="AJ623" s="4">
        <f>=ROUNDDOWN({0},0)</f>
      </c>
      <c r="AK623" s="5"/>
      <c r="AL623" s="2" t="s">
        <v>235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235</v>
      </c>
      <c r="BD623" s="8" t="s">
        <v>235</v>
      </c>
      <c r="BE623" s="4" t="s">
        <v>235</v>
      </c>
      <c r="BF623" s="8" t="s">
        <v>235</v>
      </c>
      <c r="BG623" s="7" t="s">
        <v>235</v>
      </c>
      <c r="BH623" s="7" t="s">
        <v>235</v>
      </c>
      <c r="BI623" s="7"/>
      <c r="BJ623" s="4">
        <v>11</v>
      </c>
      <c r="BK623" s="8">
        <v>232.8</v>
      </c>
      <c r="BL623" s="2" t="s">
        <v>2902</v>
      </c>
      <c r="BM623" s="7"/>
      <c r="BN623" s="7"/>
      <c r="BO623" s="4"/>
      <c r="BP623" s="8"/>
      <c r="BQ623" s="4"/>
      <c r="BR623" s="8"/>
      <c r="BS623" s="7"/>
      <c r="BT623" s="7"/>
      <c r="BU623" s="2" t="s">
        <v>2891</v>
      </c>
      <c r="BV623" s="2" t="s">
        <v>243</v>
      </c>
      <c r="BW623" s="2" t="s">
        <v>235</v>
      </c>
      <c r="BX623" s="2" t="s">
        <v>383</v>
      </c>
      <c r="BY623" s="2" t="s">
        <v>245</v>
      </c>
      <c r="BZ623" s="2" t="s">
        <v>232</v>
      </c>
      <c r="CA623" s="2" t="s">
        <v>2842</v>
      </c>
      <c r="CB623" s="2" t="s">
        <v>2903</v>
      </c>
      <c r="CC623" s="2" t="s">
        <v>248</v>
      </c>
      <c r="CD623" s="2" t="s">
        <v>248</v>
      </c>
      <c r="CE623" s="2" t="s">
        <v>235</v>
      </c>
      <c r="CF623" s="4">
        <v>204</v>
      </c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>
        <v>162</v>
      </c>
      <c r="FY623" s="4"/>
      <c r="FZ623" s="4"/>
      <c r="GA623" s="4"/>
      <c r="GB623" s="4"/>
      <c r="GC623" s="4"/>
      <c r="GD623" s="4">
        <v>208</v>
      </c>
      <c r="GE623" s="4">
        <v>204</v>
      </c>
      <c r="GF623" s="4">
        <v>203</v>
      </c>
      <c r="GG623" s="4">
        <v>202</v>
      </c>
      <c r="GH623" s="4">
        <v>201</v>
      </c>
      <c r="GI623" s="4">
        <v>200</v>
      </c>
      <c r="GJ623" s="4">
        <v>199</v>
      </c>
      <c r="GK623" s="4">
        <v>198</v>
      </c>
      <c r="GL623" s="4">
        <v>197</v>
      </c>
      <c r="GM623" s="4">
        <v>196</v>
      </c>
      <c r="GN623" s="4">
        <v>195</v>
      </c>
      <c r="GO623" s="4">
        <v>194</v>
      </c>
      <c r="GP623" s="4">
        <v>193</v>
      </c>
      <c r="GQ623" s="4">
        <v>190</v>
      </c>
      <c r="GR623" s="4">
        <v>187</v>
      </c>
      <c r="GS623" s="4">
        <v>185</v>
      </c>
      <c r="GT623" s="4">
        <v>184</v>
      </c>
      <c r="GU623" s="4">
        <v>183</v>
      </c>
      <c r="GV623" s="4">
        <v>344</v>
      </c>
      <c r="GW623" s="4">
        <v>343</v>
      </c>
      <c r="GX623" s="4">
        <v>342</v>
      </c>
      <c r="GY623" s="4">
        <v>340</v>
      </c>
      <c r="GZ623" s="4">
        <v>338</v>
      </c>
      <c r="HA623" s="4">
        <v>336</v>
      </c>
      <c r="HB623" s="4">
        <v>334</v>
      </c>
      <c r="HC623" s="4">
        <v>332</v>
      </c>
      <c r="HD623" s="19">
        <v>104</v>
      </c>
      <c r="HE623" s="19">
        <v>204</v>
      </c>
      <c r="HF623" s="19">
        <v>203</v>
      </c>
      <c r="HG623" s="19">
        <v>202</v>
      </c>
      <c r="HH623" s="19">
        <v>201</v>
      </c>
      <c r="HI623" s="19">
        <v>200</v>
      </c>
      <c r="HJ623" s="19">
        <v>199</v>
      </c>
      <c r="HK623" s="19">
        <v>198</v>
      </c>
      <c r="HL623" s="19">
        <v>197</v>
      </c>
      <c r="HM623" s="19">
        <v>98</v>
      </c>
      <c r="HN623" s="19">
        <v>97.5</v>
      </c>
      <c r="HO623" s="19">
        <v>97</v>
      </c>
      <c r="HP623" s="19">
        <v>96.5</v>
      </c>
      <c r="HQ623" s="19">
        <v>95</v>
      </c>
      <c r="HR623" s="19">
        <v>187</v>
      </c>
      <c r="HS623" s="19">
        <v>185</v>
      </c>
      <c r="HT623" s="19">
        <v>184</v>
      </c>
      <c r="HU623" s="19">
        <v>183</v>
      </c>
      <c r="HV623" s="19">
        <v>172</v>
      </c>
      <c r="HW623" s="19">
        <v>171.5</v>
      </c>
      <c r="HX623" s="19">
        <v>171</v>
      </c>
      <c r="HY623" s="19">
        <v>170</v>
      </c>
      <c r="HZ623" s="19">
        <v>169</v>
      </c>
      <c r="IA623" s="19">
        <v>168</v>
      </c>
      <c r="IB623" s="19">
        <v>167</v>
      </c>
      <c r="IC623" s="19">
        <v>166</v>
      </c>
    </row>
    <row r="624">
      <c r="A624" s="2" t="s">
        <v>2904</v>
      </c>
      <c r="B624" s="2" t="s">
        <v>323</v>
      </c>
      <c r="C624" s="2" t="s">
        <v>980</v>
      </c>
      <c r="D624" s="2" t="s">
        <v>257</v>
      </c>
      <c r="E624" s="2" t="s">
        <v>258</v>
      </c>
      <c r="F624" s="2" t="s">
        <v>2905</v>
      </c>
      <c r="G624" s="2" t="s">
        <v>2905</v>
      </c>
      <c r="H624" s="2" t="s">
        <v>2905</v>
      </c>
      <c r="I624" s="2" t="s">
        <v>2906</v>
      </c>
      <c r="J624" s="2" t="s">
        <v>394</v>
      </c>
      <c r="K624" s="2" t="s">
        <v>2907</v>
      </c>
      <c r="L624" s="3">
        <v>19.8</v>
      </c>
      <c r="M624" s="3">
        <v>20.79</v>
      </c>
      <c r="N624" s="3">
        <v>44.99</v>
      </c>
      <c r="O624" s="2" t="s">
        <v>232</v>
      </c>
      <c r="P624" s="2" t="s">
        <v>878</v>
      </c>
      <c r="Q624" s="2" t="s">
        <v>234</v>
      </c>
      <c r="R624" s="2" t="s">
        <v>235</v>
      </c>
      <c r="S624" s="2" t="s">
        <v>235</v>
      </c>
      <c r="T624" s="2" t="s">
        <v>2908</v>
      </c>
      <c r="U624" s="2" t="s">
        <v>552</v>
      </c>
      <c r="V624" s="2" t="s">
        <v>2182</v>
      </c>
      <c r="W624" s="2" t="s">
        <v>329</v>
      </c>
      <c r="X624" s="2" t="s">
        <v>235</v>
      </c>
      <c r="Y624" s="2" t="s">
        <v>2909</v>
      </c>
      <c r="Z624" s="4">
        <v>127</v>
      </c>
      <c r="AA624" s="4">
        <f>=ROUNDDOWN({0},0)</f>
      </c>
      <c r="AB624" s="5"/>
      <c r="AC624" s="2" t="s">
        <v>2122</v>
      </c>
      <c r="AD624" s="4">
        <v>48</v>
      </c>
      <c r="AE624" s="4">
        <v>92</v>
      </c>
      <c r="AF624" s="6">
        <v>82</v>
      </c>
      <c r="AG624" s="6"/>
      <c r="AH624" s="7">
        <v>1</v>
      </c>
      <c r="AI624" s="4"/>
      <c r="AJ624" s="4">
        <f>=ROUNDDOWN({0},0)</f>
      </c>
      <c r="AK624" s="5"/>
      <c r="AL624" s="2" t="s">
        <v>235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235</v>
      </c>
      <c r="AW624" s="8" t="s">
        <v>235</v>
      </c>
      <c r="AX624" s="4" t="s">
        <v>235</v>
      </c>
      <c r="AY624" s="8" t="s">
        <v>235</v>
      </c>
      <c r="AZ624" s="7" t="s">
        <v>235</v>
      </c>
      <c r="BA624" s="7" t="s">
        <v>235</v>
      </c>
      <c r="BB624" s="7"/>
      <c r="BC624" s="4" t="s">
        <v>235</v>
      </c>
      <c r="BD624" s="8" t="s">
        <v>235</v>
      </c>
      <c r="BE624" s="4" t="s">
        <v>235</v>
      </c>
      <c r="BF624" s="8" t="s">
        <v>235</v>
      </c>
      <c r="BG624" s="7" t="s">
        <v>235</v>
      </c>
      <c r="BH624" s="7" t="s">
        <v>235</v>
      </c>
      <c r="BI624" s="7"/>
      <c r="BJ624" s="4"/>
      <c r="BK624" s="8"/>
      <c r="BL624" s="2" t="s">
        <v>235</v>
      </c>
      <c r="BM624" s="7"/>
      <c r="BN624" s="7"/>
      <c r="BO624" s="4"/>
      <c r="BP624" s="8"/>
      <c r="BQ624" s="4"/>
      <c r="BR624" s="8"/>
      <c r="BS624" s="7"/>
      <c r="BT624" s="7"/>
      <c r="BU624" s="2" t="s">
        <v>2910</v>
      </c>
      <c r="BV624" s="2" t="s">
        <v>235</v>
      </c>
      <c r="BW624" s="2" t="s">
        <v>235</v>
      </c>
      <c r="BX624" s="2" t="s">
        <v>244</v>
      </c>
      <c r="BY624" s="2" t="s">
        <v>245</v>
      </c>
      <c r="BZ624" s="2" t="s">
        <v>232</v>
      </c>
      <c r="CA624" s="2" t="s">
        <v>235</v>
      </c>
      <c r="CB624" s="2" t="s">
        <v>235</v>
      </c>
      <c r="CC624" s="2" t="s">
        <v>248</v>
      </c>
      <c r="CD624" s="2" t="s">
        <v>248</v>
      </c>
      <c r="CE624" s="2" t="s">
        <v>235</v>
      </c>
      <c r="CF624" s="4">
        <v>127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>
        <v>48</v>
      </c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>
        <v>44</v>
      </c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>
        <v>127</v>
      </c>
      <c r="GE624" s="4">
        <v>115</v>
      </c>
      <c r="GF624" s="4">
        <v>113</v>
      </c>
      <c r="GG624" s="4">
        <v>158</v>
      </c>
      <c r="GH624" s="4">
        <v>154</v>
      </c>
      <c r="GI624" s="4">
        <v>147</v>
      </c>
      <c r="GJ624" s="4">
        <v>133</v>
      </c>
      <c r="GK624" s="4">
        <v>125</v>
      </c>
      <c r="GL624" s="4">
        <v>161</v>
      </c>
      <c r="GM624" s="4">
        <v>155</v>
      </c>
      <c r="GN624" s="4">
        <v>147</v>
      </c>
      <c r="GO624" s="4">
        <v>138</v>
      </c>
      <c r="GP624" s="4">
        <v>127</v>
      </c>
      <c r="GQ624" s="4">
        <v>106</v>
      </c>
      <c r="GR624" s="4">
        <v>96</v>
      </c>
      <c r="GS624" s="4">
        <v>87</v>
      </c>
      <c r="GT624" s="4">
        <v>81</v>
      </c>
      <c r="GU624" s="4">
        <v>76</v>
      </c>
      <c r="GV624" s="4">
        <v>70</v>
      </c>
      <c r="GW624" s="4">
        <v>66</v>
      </c>
      <c r="GX624" s="4">
        <v>63</v>
      </c>
      <c r="GY624" s="4">
        <v>60</v>
      </c>
      <c r="GZ624" s="4">
        <v>57</v>
      </c>
      <c r="HA624" s="4">
        <v>54</v>
      </c>
      <c r="HB624" s="4">
        <v>51</v>
      </c>
      <c r="HC624" s="4">
        <v>81</v>
      </c>
      <c r="HD624" s="19">
        <v>25.4</v>
      </c>
      <c r="HE624" s="19">
        <v>28.8</v>
      </c>
      <c r="HF624" s="19">
        <v>16.1</v>
      </c>
      <c r="HG624" s="19">
        <v>19.8</v>
      </c>
      <c r="HH624" s="19">
        <v>17.1</v>
      </c>
      <c r="HI624" s="19">
        <v>16.3</v>
      </c>
      <c r="HJ624" s="19">
        <v>16.6</v>
      </c>
      <c r="HK624" s="19">
        <v>15.6</v>
      </c>
      <c r="HL624" s="19">
        <v>20.1</v>
      </c>
      <c r="HM624" s="19">
        <v>12.9</v>
      </c>
      <c r="HN624" s="19">
        <v>11.3</v>
      </c>
      <c r="HO624" s="19">
        <v>10.6</v>
      </c>
      <c r="HP624" s="19">
        <v>10.6</v>
      </c>
      <c r="HQ624" s="19">
        <v>13.3</v>
      </c>
      <c r="HR624" s="19">
        <v>16</v>
      </c>
      <c r="HS624" s="19">
        <v>17.4</v>
      </c>
      <c r="HT624" s="19">
        <v>20.3</v>
      </c>
      <c r="HU624" s="19">
        <v>19</v>
      </c>
      <c r="HV624" s="19">
        <v>23.3</v>
      </c>
      <c r="HW624" s="19">
        <v>22</v>
      </c>
      <c r="HX624" s="19">
        <v>21</v>
      </c>
      <c r="HY624" s="19">
        <v>20</v>
      </c>
      <c r="HZ624" s="19">
        <v>19</v>
      </c>
      <c r="IA624" s="19">
        <v>18</v>
      </c>
      <c r="IB624" s="19">
        <v>17</v>
      </c>
      <c r="IC624" s="19">
        <v>27</v>
      </c>
    </row>
    <row r="625">
      <c r="A625" s="2" t="s">
        <v>2911</v>
      </c>
      <c r="B625" s="2" t="s">
        <v>323</v>
      </c>
      <c r="C625" s="2" t="s">
        <v>980</v>
      </c>
      <c r="D625" s="2" t="s">
        <v>257</v>
      </c>
      <c r="E625" s="2" t="s">
        <v>258</v>
      </c>
      <c r="F625" s="2" t="s">
        <v>2905</v>
      </c>
      <c r="G625" s="2" t="s">
        <v>2905</v>
      </c>
      <c r="H625" s="2" t="s">
        <v>2905</v>
      </c>
      <c r="I625" s="2" t="s">
        <v>2906</v>
      </c>
      <c r="J625" s="2" t="s">
        <v>250</v>
      </c>
      <c r="K625" s="2" t="s">
        <v>2907</v>
      </c>
      <c r="L625" s="3">
        <v>21.78</v>
      </c>
      <c r="M625" s="3">
        <v>22.87</v>
      </c>
      <c r="N625" s="3">
        <v>49.99</v>
      </c>
      <c r="O625" s="2" t="s">
        <v>232</v>
      </c>
      <c r="P625" s="2" t="s">
        <v>878</v>
      </c>
      <c r="Q625" s="2" t="s">
        <v>234</v>
      </c>
      <c r="R625" s="2" t="s">
        <v>235</v>
      </c>
      <c r="S625" s="2" t="s">
        <v>235</v>
      </c>
      <c r="T625" s="2" t="s">
        <v>2908</v>
      </c>
      <c r="U625" s="2" t="s">
        <v>264</v>
      </c>
      <c r="V625" s="2" t="s">
        <v>2182</v>
      </c>
      <c r="W625" s="2" t="s">
        <v>329</v>
      </c>
      <c r="X625" s="2" t="s">
        <v>235</v>
      </c>
      <c r="Y625" s="2" t="s">
        <v>2909</v>
      </c>
      <c r="Z625" s="4">
        <v>192</v>
      </c>
      <c r="AA625" s="4">
        <f>=ROUNDDOWN(24,0)</f>
      </c>
      <c r="AB625" s="5">
        <v>8</v>
      </c>
      <c r="AC625" s="2" t="s">
        <v>2122</v>
      </c>
      <c r="AD625" s="4">
        <v>67</v>
      </c>
      <c r="AE625" s="4">
        <v>130</v>
      </c>
      <c r="AF625" s="6">
        <v>82</v>
      </c>
      <c r="AG625" s="6"/>
      <c r="AH625" s="7">
        <v>1</v>
      </c>
      <c r="AI625" s="4"/>
      <c r="AJ625" s="4">
        <f>=ROUNDDOWN({0},0)</f>
      </c>
      <c r="AK625" s="5"/>
      <c r="AL625" s="2" t="s">
        <v>235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235</v>
      </c>
      <c r="AW625" s="8" t="s">
        <v>235</v>
      </c>
      <c r="AX625" s="4" t="s">
        <v>235</v>
      </c>
      <c r="AY625" s="8" t="s">
        <v>235</v>
      </c>
      <c r="AZ625" s="7" t="s">
        <v>235</v>
      </c>
      <c r="BA625" s="7" t="s">
        <v>235</v>
      </c>
      <c r="BB625" s="7"/>
      <c r="BC625" s="4" t="s">
        <v>235</v>
      </c>
      <c r="BD625" s="8" t="s">
        <v>235</v>
      </c>
      <c r="BE625" s="4" t="s">
        <v>235</v>
      </c>
      <c r="BF625" s="8" t="s">
        <v>235</v>
      </c>
      <c r="BG625" s="7" t="s">
        <v>235</v>
      </c>
      <c r="BH625" s="7" t="s">
        <v>235</v>
      </c>
      <c r="BI625" s="7"/>
      <c r="BJ625" s="4"/>
      <c r="BK625" s="8"/>
      <c r="BL625" s="2" t="s">
        <v>235</v>
      </c>
      <c r="BM625" s="7"/>
      <c r="BN625" s="7"/>
      <c r="BO625" s="4"/>
      <c r="BP625" s="8"/>
      <c r="BQ625" s="4"/>
      <c r="BR625" s="8"/>
      <c r="BS625" s="7"/>
      <c r="BT625" s="7"/>
      <c r="BU625" s="2" t="s">
        <v>2910</v>
      </c>
      <c r="BV625" s="2" t="s">
        <v>235</v>
      </c>
      <c r="BW625" s="2" t="s">
        <v>235</v>
      </c>
      <c r="BX625" s="2" t="s">
        <v>244</v>
      </c>
      <c r="BY625" s="2" t="s">
        <v>245</v>
      </c>
      <c r="BZ625" s="2" t="s">
        <v>232</v>
      </c>
      <c r="CA625" s="2" t="s">
        <v>235</v>
      </c>
      <c r="CB625" s="2" t="s">
        <v>235</v>
      </c>
      <c r="CC625" s="2" t="s">
        <v>248</v>
      </c>
      <c r="CD625" s="2" t="s">
        <v>248</v>
      </c>
      <c r="CE625" s="2" t="s">
        <v>235</v>
      </c>
      <c r="CF625" s="4">
        <v>192</v>
      </c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>
        <v>67</v>
      </c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>
        <v>63</v>
      </c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>
        <v>192</v>
      </c>
      <c r="GE625" s="4">
        <v>178</v>
      </c>
      <c r="GF625" s="4">
        <v>175</v>
      </c>
      <c r="GG625" s="4">
        <v>237</v>
      </c>
      <c r="GH625" s="4">
        <v>230</v>
      </c>
      <c r="GI625" s="4">
        <v>220</v>
      </c>
      <c r="GJ625" s="4">
        <v>198</v>
      </c>
      <c r="GK625" s="4">
        <v>186</v>
      </c>
      <c r="GL625" s="4">
        <v>238</v>
      </c>
      <c r="GM625" s="4">
        <v>230</v>
      </c>
      <c r="GN625" s="4">
        <v>218</v>
      </c>
      <c r="GO625" s="4">
        <v>203</v>
      </c>
      <c r="GP625" s="4">
        <v>184</v>
      </c>
      <c r="GQ625" s="4">
        <v>151</v>
      </c>
      <c r="GR625" s="4">
        <v>134</v>
      </c>
      <c r="GS625" s="4">
        <v>118</v>
      </c>
      <c r="GT625" s="4">
        <v>107</v>
      </c>
      <c r="GU625" s="4">
        <v>98</v>
      </c>
      <c r="GV625" s="4">
        <v>88</v>
      </c>
      <c r="GW625" s="4">
        <v>80</v>
      </c>
      <c r="GX625" s="4">
        <v>74</v>
      </c>
      <c r="GY625" s="4">
        <v>69</v>
      </c>
      <c r="GZ625" s="4">
        <v>63</v>
      </c>
      <c r="HA625" s="4">
        <v>57</v>
      </c>
      <c r="HB625" s="4">
        <v>51</v>
      </c>
      <c r="HC625" s="4">
        <v>124</v>
      </c>
      <c r="HD625" s="19">
        <v>27.4</v>
      </c>
      <c r="HE625" s="19">
        <v>29.7</v>
      </c>
      <c r="HF625" s="19">
        <v>15.9</v>
      </c>
      <c r="HG625" s="19">
        <v>18.2</v>
      </c>
      <c r="HH625" s="19">
        <v>16.4</v>
      </c>
      <c r="HI625" s="19">
        <v>16.9</v>
      </c>
      <c r="HJ625" s="19">
        <v>18</v>
      </c>
      <c r="HK625" s="19">
        <v>15.5</v>
      </c>
      <c r="HL625" s="19">
        <v>17</v>
      </c>
      <c r="HM625" s="19">
        <v>11.5</v>
      </c>
      <c r="HN625" s="19">
        <v>10.4</v>
      </c>
      <c r="HO625" s="19">
        <v>9.7</v>
      </c>
      <c r="HP625" s="19">
        <v>9.7</v>
      </c>
      <c r="HQ625" s="19">
        <v>11.6</v>
      </c>
      <c r="HR625" s="19">
        <v>11.2</v>
      </c>
      <c r="HS625" s="19">
        <v>11.8</v>
      </c>
      <c r="HT625" s="19">
        <v>13.4</v>
      </c>
      <c r="HU625" s="19">
        <v>14</v>
      </c>
      <c r="HV625" s="19">
        <v>14.7</v>
      </c>
      <c r="HW625" s="19">
        <v>13.3</v>
      </c>
      <c r="HX625" s="19">
        <v>12.3</v>
      </c>
      <c r="HY625" s="19">
        <v>11.5</v>
      </c>
      <c r="HZ625" s="19">
        <v>10.5</v>
      </c>
      <c r="IA625" s="19">
        <v>9.5</v>
      </c>
      <c r="IB625" s="19">
        <v>10.2</v>
      </c>
      <c r="IC625" s="19">
        <v>31</v>
      </c>
    </row>
    <row r="626">
      <c r="A626" s="2" t="s">
        <v>2912</v>
      </c>
      <c r="B626" s="2" t="s">
        <v>323</v>
      </c>
      <c r="C626" s="2" t="s">
        <v>980</v>
      </c>
      <c r="D626" s="2" t="s">
        <v>257</v>
      </c>
      <c r="E626" s="2" t="s">
        <v>258</v>
      </c>
      <c r="F626" s="2" t="s">
        <v>2905</v>
      </c>
      <c r="G626" s="2" t="s">
        <v>2905</v>
      </c>
      <c r="H626" s="2" t="s">
        <v>2905</v>
      </c>
      <c r="I626" s="2" t="s">
        <v>2906</v>
      </c>
      <c r="J626" s="2" t="s">
        <v>261</v>
      </c>
      <c r="K626" s="2" t="s">
        <v>2907</v>
      </c>
      <c r="L626" s="3">
        <v>24.3</v>
      </c>
      <c r="M626" s="3">
        <v>25.52</v>
      </c>
      <c r="N626" s="3">
        <v>54.99</v>
      </c>
      <c r="O626" s="2" t="s">
        <v>232</v>
      </c>
      <c r="P626" s="2" t="s">
        <v>878</v>
      </c>
      <c r="Q626" s="2" t="s">
        <v>234</v>
      </c>
      <c r="R626" s="2" t="s">
        <v>235</v>
      </c>
      <c r="S626" s="2" t="s">
        <v>235</v>
      </c>
      <c r="T626" s="2" t="s">
        <v>2908</v>
      </c>
      <c r="U626" s="2" t="s">
        <v>264</v>
      </c>
      <c r="V626" s="2" t="s">
        <v>2182</v>
      </c>
      <c r="W626" s="2" t="s">
        <v>329</v>
      </c>
      <c r="X626" s="2" t="s">
        <v>235</v>
      </c>
      <c r="Y626" s="2" t="s">
        <v>2909</v>
      </c>
      <c r="Z626" s="4">
        <v>486</v>
      </c>
      <c r="AA626" s="4">
        <f>=ROUNDDOWN(21.1304347826087,0)</f>
      </c>
      <c r="AB626" s="5">
        <v>23</v>
      </c>
      <c r="AC626" s="2" t="s">
        <v>2122</v>
      </c>
      <c r="AD626" s="4">
        <v>163</v>
      </c>
      <c r="AE626" s="4">
        <v>324</v>
      </c>
      <c r="AF626" s="6">
        <v>82</v>
      </c>
      <c r="AG626" s="6"/>
      <c r="AH626" s="7">
        <v>1</v>
      </c>
      <c r="AI626" s="4"/>
      <c r="AJ626" s="4">
        <f>=ROUNDDOWN({0},0)</f>
      </c>
      <c r="AK626" s="5"/>
      <c r="AL626" s="2" t="s">
        <v>235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235</v>
      </c>
      <c r="AW626" s="8" t="s">
        <v>235</v>
      </c>
      <c r="AX626" s="4" t="s">
        <v>235</v>
      </c>
      <c r="AY626" s="8" t="s">
        <v>235</v>
      </c>
      <c r="AZ626" s="7" t="s">
        <v>235</v>
      </c>
      <c r="BA626" s="7" t="s">
        <v>235</v>
      </c>
      <c r="BB626" s="7"/>
      <c r="BC626" s="4" t="s">
        <v>235</v>
      </c>
      <c r="BD626" s="8" t="s">
        <v>235</v>
      </c>
      <c r="BE626" s="4" t="s">
        <v>235</v>
      </c>
      <c r="BF626" s="8" t="s">
        <v>235</v>
      </c>
      <c r="BG626" s="7" t="s">
        <v>235</v>
      </c>
      <c r="BH626" s="7" t="s">
        <v>235</v>
      </c>
      <c r="BI626" s="7"/>
      <c r="BJ626" s="4"/>
      <c r="BK626" s="8"/>
      <c r="BL626" s="2" t="s">
        <v>235</v>
      </c>
      <c r="BM626" s="7"/>
      <c r="BN626" s="7"/>
      <c r="BO626" s="4"/>
      <c r="BP626" s="8"/>
      <c r="BQ626" s="4"/>
      <c r="BR626" s="8"/>
      <c r="BS626" s="7"/>
      <c r="BT626" s="7"/>
      <c r="BU626" s="2" t="s">
        <v>2910</v>
      </c>
      <c r="BV626" s="2" t="s">
        <v>235</v>
      </c>
      <c r="BW626" s="2" t="s">
        <v>235</v>
      </c>
      <c r="BX626" s="2" t="s">
        <v>244</v>
      </c>
      <c r="BY626" s="2" t="s">
        <v>245</v>
      </c>
      <c r="BZ626" s="2" t="s">
        <v>232</v>
      </c>
      <c r="CA626" s="2" t="s">
        <v>235</v>
      </c>
      <c r="CB626" s="2" t="s">
        <v>235</v>
      </c>
      <c r="CC626" s="2" t="s">
        <v>248</v>
      </c>
      <c r="CD626" s="2" t="s">
        <v>248</v>
      </c>
      <c r="CE626" s="2" t="s">
        <v>235</v>
      </c>
      <c r="CF626" s="4">
        <v>486</v>
      </c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>
        <v>163</v>
      </c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>
        <v>161</v>
      </c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>
        <v>486</v>
      </c>
      <c r="GE626" s="4">
        <v>435</v>
      </c>
      <c r="GF626" s="4">
        <v>424</v>
      </c>
      <c r="GG626" s="4">
        <v>570</v>
      </c>
      <c r="GH626" s="4">
        <v>548</v>
      </c>
      <c r="GI626" s="4">
        <v>514</v>
      </c>
      <c r="GJ626" s="4">
        <v>443</v>
      </c>
      <c r="GK626" s="4">
        <v>405</v>
      </c>
      <c r="GL626" s="4">
        <v>529</v>
      </c>
      <c r="GM626" s="4">
        <v>502</v>
      </c>
      <c r="GN626" s="4">
        <v>468</v>
      </c>
      <c r="GO626" s="4">
        <v>427</v>
      </c>
      <c r="GP626" s="4">
        <v>376</v>
      </c>
      <c r="GQ626" s="4">
        <v>287</v>
      </c>
      <c r="GR626" s="4">
        <v>243</v>
      </c>
      <c r="GS626" s="4">
        <v>200</v>
      </c>
      <c r="GT626" s="4">
        <v>170</v>
      </c>
      <c r="GU626" s="4">
        <v>146</v>
      </c>
      <c r="GV626" s="4">
        <v>119</v>
      </c>
      <c r="GW626" s="4">
        <v>100</v>
      </c>
      <c r="GX626" s="4">
        <v>85</v>
      </c>
      <c r="GY626" s="4">
        <v>72</v>
      </c>
      <c r="GZ626" s="4">
        <v>58</v>
      </c>
      <c r="HA626" s="4">
        <v>44</v>
      </c>
      <c r="HB626" s="4">
        <v>30</v>
      </c>
      <c r="HC626" s="4">
        <v>337</v>
      </c>
      <c r="HD626" s="19">
        <v>19.4</v>
      </c>
      <c r="HE626" s="19">
        <v>20.7</v>
      </c>
      <c r="HF626" s="19">
        <v>11.8</v>
      </c>
      <c r="HG626" s="19">
        <v>13.9</v>
      </c>
      <c r="HH626" s="19">
        <v>12.2</v>
      </c>
      <c r="HI626" s="19">
        <v>12</v>
      </c>
      <c r="HJ626" s="19">
        <v>13</v>
      </c>
      <c r="HK626" s="19">
        <v>11.6</v>
      </c>
      <c r="HL626" s="19">
        <v>13.9</v>
      </c>
      <c r="HM626" s="19">
        <v>9.3</v>
      </c>
      <c r="HN626" s="19">
        <v>8.4</v>
      </c>
      <c r="HO626" s="19">
        <v>7.5</v>
      </c>
      <c r="HP626" s="19">
        <v>7.2</v>
      </c>
      <c r="HQ626" s="19">
        <v>8.2</v>
      </c>
      <c r="HR626" s="19">
        <v>7.8</v>
      </c>
      <c r="HS626" s="19">
        <v>8</v>
      </c>
      <c r="HT626" s="19">
        <v>8.1</v>
      </c>
      <c r="HU626" s="19">
        <v>8.1</v>
      </c>
      <c r="HV626" s="19">
        <v>7.9</v>
      </c>
      <c r="HW626" s="19">
        <v>7.1</v>
      </c>
      <c r="HX626" s="19">
        <v>6.1</v>
      </c>
      <c r="HY626" s="19">
        <v>5.1</v>
      </c>
      <c r="HZ626" s="19">
        <v>4.1</v>
      </c>
      <c r="IA626" s="19">
        <v>3.4</v>
      </c>
      <c r="IB626" s="19">
        <v>2.5</v>
      </c>
      <c r="IC626" s="19">
        <v>28.1</v>
      </c>
    </row>
    <row r="627">
      <c r="A627" s="2" t="s">
        <v>2913</v>
      </c>
      <c r="B627" s="2" t="s">
        <v>323</v>
      </c>
      <c r="C627" s="2" t="s">
        <v>980</v>
      </c>
      <c r="D627" s="2" t="s">
        <v>257</v>
      </c>
      <c r="E627" s="2" t="s">
        <v>258</v>
      </c>
      <c r="F627" s="2" t="s">
        <v>2905</v>
      </c>
      <c r="G627" s="2" t="s">
        <v>2905</v>
      </c>
      <c r="H627" s="2" t="s">
        <v>2905</v>
      </c>
      <c r="I627" s="2" t="s">
        <v>2906</v>
      </c>
      <c r="J627" s="2" t="s">
        <v>270</v>
      </c>
      <c r="K627" s="2" t="s">
        <v>2907</v>
      </c>
      <c r="L627" s="3">
        <v>28.98</v>
      </c>
      <c r="M627" s="3">
        <v>30.43</v>
      </c>
      <c r="N627" s="3">
        <v>64.99</v>
      </c>
      <c r="O627" s="2" t="s">
        <v>232</v>
      </c>
      <c r="P627" s="2" t="s">
        <v>878</v>
      </c>
      <c r="Q627" s="2" t="s">
        <v>234</v>
      </c>
      <c r="R627" s="2" t="s">
        <v>235</v>
      </c>
      <c r="S627" s="2" t="s">
        <v>235</v>
      </c>
      <c r="T627" s="2" t="s">
        <v>2908</v>
      </c>
      <c r="U627" s="2" t="s">
        <v>264</v>
      </c>
      <c r="V627" s="2" t="s">
        <v>2182</v>
      </c>
      <c r="W627" s="2" t="s">
        <v>329</v>
      </c>
      <c r="X627" s="2" t="s">
        <v>235</v>
      </c>
      <c r="Y627" s="2" t="s">
        <v>2909</v>
      </c>
      <c r="Z627" s="4">
        <v>284</v>
      </c>
      <c r="AA627" s="4">
        <f>=ROUNDDOWN(23.6666666666667,0)</f>
      </c>
      <c r="AB627" s="5">
        <v>12</v>
      </c>
      <c r="AC627" s="2" t="s">
        <v>2122</v>
      </c>
      <c r="AD627" s="4">
        <v>94</v>
      </c>
      <c r="AE627" s="4">
        <v>189</v>
      </c>
      <c r="AF627" s="6">
        <v>82</v>
      </c>
      <c r="AG627" s="6"/>
      <c r="AH627" s="7">
        <v>1</v>
      </c>
      <c r="AI627" s="4"/>
      <c r="AJ627" s="4">
        <f>=ROUNDDOWN({0},0)</f>
      </c>
      <c r="AK627" s="5"/>
      <c r="AL627" s="2" t="s">
        <v>235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235</v>
      </c>
      <c r="AW627" s="8" t="s">
        <v>235</v>
      </c>
      <c r="AX627" s="4" t="s">
        <v>235</v>
      </c>
      <c r="AY627" s="8" t="s">
        <v>235</v>
      </c>
      <c r="AZ627" s="7" t="s">
        <v>235</v>
      </c>
      <c r="BA627" s="7" t="s">
        <v>235</v>
      </c>
      <c r="BB627" s="7"/>
      <c r="BC627" s="4" t="s">
        <v>235</v>
      </c>
      <c r="BD627" s="8" t="s">
        <v>235</v>
      </c>
      <c r="BE627" s="4" t="s">
        <v>235</v>
      </c>
      <c r="BF627" s="8" t="s">
        <v>235</v>
      </c>
      <c r="BG627" s="7" t="s">
        <v>235</v>
      </c>
      <c r="BH627" s="7" t="s">
        <v>235</v>
      </c>
      <c r="BI627" s="7"/>
      <c r="BJ627" s="4"/>
      <c r="BK627" s="8"/>
      <c r="BL627" s="2" t="s">
        <v>235</v>
      </c>
      <c r="BM627" s="7"/>
      <c r="BN627" s="7"/>
      <c r="BO627" s="4"/>
      <c r="BP627" s="8"/>
      <c r="BQ627" s="4"/>
      <c r="BR627" s="8"/>
      <c r="BS627" s="7"/>
      <c r="BT627" s="7"/>
      <c r="BU627" s="2" t="s">
        <v>2910</v>
      </c>
      <c r="BV627" s="2" t="s">
        <v>235</v>
      </c>
      <c r="BW627" s="2" t="s">
        <v>235</v>
      </c>
      <c r="BX627" s="2" t="s">
        <v>244</v>
      </c>
      <c r="BY627" s="2" t="s">
        <v>245</v>
      </c>
      <c r="BZ627" s="2" t="s">
        <v>232</v>
      </c>
      <c r="CA627" s="2" t="s">
        <v>235</v>
      </c>
      <c r="CB627" s="2" t="s">
        <v>235</v>
      </c>
      <c r="CC627" s="2" t="s">
        <v>248</v>
      </c>
      <c r="CD627" s="2" t="s">
        <v>248</v>
      </c>
      <c r="CE627" s="2" t="s">
        <v>235</v>
      </c>
      <c r="CF627" s="4">
        <v>284</v>
      </c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>
        <v>94</v>
      </c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>
        <v>95</v>
      </c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>
        <v>284</v>
      </c>
      <c r="GE627" s="4">
        <v>263</v>
      </c>
      <c r="GF627" s="4">
        <v>258</v>
      </c>
      <c r="GG627" s="4">
        <v>345</v>
      </c>
      <c r="GH627" s="4">
        <v>336</v>
      </c>
      <c r="GI627" s="4">
        <v>322</v>
      </c>
      <c r="GJ627" s="4">
        <v>291</v>
      </c>
      <c r="GK627" s="4">
        <v>273</v>
      </c>
      <c r="GL627" s="4">
        <v>351</v>
      </c>
      <c r="GM627" s="4">
        <v>338</v>
      </c>
      <c r="GN627" s="4">
        <v>320</v>
      </c>
      <c r="GO627" s="4">
        <v>298</v>
      </c>
      <c r="GP627" s="4">
        <v>269</v>
      </c>
      <c r="GQ627" s="4">
        <v>216</v>
      </c>
      <c r="GR627" s="4">
        <v>191</v>
      </c>
      <c r="GS627" s="4">
        <v>166</v>
      </c>
      <c r="GT627" s="4">
        <v>149</v>
      </c>
      <c r="GU627" s="4">
        <v>136</v>
      </c>
      <c r="GV627" s="4">
        <v>121</v>
      </c>
      <c r="GW627" s="4">
        <v>110</v>
      </c>
      <c r="GX627" s="4">
        <v>102</v>
      </c>
      <c r="GY627" s="4">
        <v>95</v>
      </c>
      <c r="GZ627" s="4">
        <v>87</v>
      </c>
      <c r="HA627" s="4">
        <v>79</v>
      </c>
      <c r="HB627" s="4">
        <v>71</v>
      </c>
      <c r="HC627" s="4">
        <v>177</v>
      </c>
      <c r="HD627" s="19">
        <v>28.4</v>
      </c>
      <c r="HE627" s="19">
        <v>29.2</v>
      </c>
      <c r="HF627" s="19">
        <v>17.2</v>
      </c>
      <c r="HG627" s="19">
        <v>19.2</v>
      </c>
      <c r="HH627" s="19">
        <v>16.8</v>
      </c>
      <c r="HI627" s="19">
        <v>16.1</v>
      </c>
      <c r="HJ627" s="19">
        <v>18.2</v>
      </c>
      <c r="HK627" s="19">
        <v>15.2</v>
      </c>
      <c r="HL627" s="19">
        <v>17.6</v>
      </c>
      <c r="HM627" s="19">
        <v>11.3</v>
      </c>
      <c r="HN627" s="19">
        <v>10</v>
      </c>
      <c r="HO627" s="19">
        <v>9</v>
      </c>
      <c r="HP627" s="19">
        <v>9</v>
      </c>
      <c r="HQ627" s="19">
        <v>10.8</v>
      </c>
      <c r="HR627" s="19">
        <v>10.6</v>
      </c>
      <c r="HS627" s="19">
        <v>11.9</v>
      </c>
      <c r="HT627" s="19">
        <v>12.4</v>
      </c>
      <c r="HU627" s="19">
        <v>13.6</v>
      </c>
      <c r="HV627" s="19">
        <v>15.1</v>
      </c>
      <c r="HW627" s="19">
        <v>13.8</v>
      </c>
      <c r="HX627" s="19">
        <v>12.8</v>
      </c>
      <c r="HY627" s="19">
        <v>11.9</v>
      </c>
      <c r="HZ627" s="19">
        <v>10.9</v>
      </c>
      <c r="IA627" s="19">
        <v>11.3</v>
      </c>
      <c r="IB627" s="19">
        <v>11.8</v>
      </c>
      <c r="IC627" s="19">
        <v>29.5</v>
      </c>
    </row>
    <row r="628">
      <c r="A628" s="2" t="s">
        <v>2914</v>
      </c>
      <c r="B628" s="2" t="s">
        <v>323</v>
      </c>
      <c r="C628" s="2" t="s">
        <v>980</v>
      </c>
      <c r="D628" s="2" t="s">
        <v>257</v>
      </c>
      <c r="E628" s="2" t="s">
        <v>258</v>
      </c>
      <c r="F628" s="2" t="s">
        <v>2905</v>
      </c>
      <c r="G628" s="2" t="s">
        <v>2905</v>
      </c>
      <c r="H628" s="2" t="s">
        <v>2905</v>
      </c>
      <c r="I628" s="2" t="s">
        <v>2906</v>
      </c>
      <c r="J628" s="2" t="s">
        <v>272</v>
      </c>
      <c r="K628" s="2" t="s">
        <v>2907</v>
      </c>
      <c r="L628" s="3">
        <v>28.98</v>
      </c>
      <c r="M628" s="3">
        <v>30.43</v>
      </c>
      <c r="N628" s="3">
        <v>64.99</v>
      </c>
      <c r="O628" s="2" t="s">
        <v>232</v>
      </c>
      <c r="P628" s="2" t="s">
        <v>878</v>
      </c>
      <c r="Q628" s="2" t="s">
        <v>234</v>
      </c>
      <c r="R628" s="2" t="s">
        <v>235</v>
      </c>
      <c r="S628" s="2" t="s">
        <v>235</v>
      </c>
      <c r="T628" s="2" t="s">
        <v>2908</v>
      </c>
      <c r="U628" s="2" t="s">
        <v>264</v>
      </c>
      <c r="V628" s="2" t="s">
        <v>2182</v>
      </c>
      <c r="W628" s="2" t="s">
        <v>329</v>
      </c>
      <c r="X628" s="2" t="s">
        <v>235</v>
      </c>
      <c r="Y628" s="2" t="s">
        <v>2915</v>
      </c>
      <c r="Z628" s="4">
        <v>146</v>
      </c>
      <c r="AA628" s="4">
        <f>=ROUNDDOWN({0},0)</f>
      </c>
      <c r="AB628" s="5"/>
      <c r="AC628" s="2" t="s">
        <v>2122</v>
      </c>
      <c r="AD628" s="4">
        <v>49</v>
      </c>
      <c r="AE628" s="4">
        <v>96</v>
      </c>
      <c r="AF628" s="6">
        <v>82</v>
      </c>
      <c r="AG628" s="6"/>
      <c r="AH628" s="7">
        <v>1</v>
      </c>
      <c r="AI628" s="4"/>
      <c r="AJ628" s="4">
        <f>=ROUNDDOWN({0},0)</f>
      </c>
      <c r="AK628" s="5"/>
      <c r="AL628" s="2" t="s">
        <v>235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235</v>
      </c>
      <c r="AW628" s="8" t="s">
        <v>235</v>
      </c>
      <c r="AX628" s="4" t="s">
        <v>235</v>
      </c>
      <c r="AY628" s="8" t="s">
        <v>235</v>
      </c>
      <c r="AZ628" s="7" t="s">
        <v>235</v>
      </c>
      <c r="BA628" s="7" t="s">
        <v>235</v>
      </c>
      <c r="BB628" s="7"/>
      <c r="BC628" s="4" t="s">
        <v>235</v>
      </c>
      <c r="BD628" s="8" t="s">
        <v>235</v>
      </c>
      <c r="BE628" s="4" t="s">
        <v>235</v>
      </c>
      <c r="BF628" s="8" t="s">
        <v>235</v>
      </c>
      <c r="BG628" s="7" t="s">
        <v>235</v>
      </c>
      <c r="BH628" s="7" t="s">
        <v>235</v>
      </c>
      <c r="BI628" s="7"/>
      <c r="BJ628" s="4"/>
      <c r="BK628" s="8"/>
      <c r="BL628" s="2" t="s">
        <v>235</v>
      </c>
      <c r="BM628" s="7"/>
      <c r="BN628" s="7"/>
      <c r="BO628" s="4"/>
      <c r="BP628" s="8"/>
      <c r="BQ628" s="4"/>
      <c r="BR628" s="8"/>
      <c r="BS628" s="7"/>
      <c r="BT628" s="7"/>
      <c r="BU628" s="2" t="s">
        <v>2910</v>
      </c>
      <c r="BV628" s="2" t="s">
        <v>235</v>
      </c>
      <c r="BW628" s="2" t="s">
        <v>235</v>
      </c>
      <c r="BX628" s="2" t="s">
        <v>244</v>
      </c>
      <c r="BY628" s="2" t="s">
        <v>245</v>
      </c>
      <c r="BZ628" s="2" t="s">
        <v>232</v>
      </c>
      <c r="CA628" s="2" t="s">
        <v>235</v>
      </c>
      <c r="CB628" s="2" t="s">
        <v>235</v>
      </c>
      <c r="CC628" s="2" t="s">
        <v>248</v>
      </c>
      <c r="CD628" s="2" t="s">
        <v>248</v>
      </c>
      <c r="CE628" s="2" t="s">
        <v>235</v>
      </c>
      <c r="CF628" s="4">
        <v>146</v>
      </c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>
        <v>49</v>
      </c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>
        <v>47</v>
      </c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>
        <v>146</v>
      </c>
      <c r="GE628" s="4">
        <v>134</v>
      </c>
      <c r="GF628" s="4">
        <v>132</v>
      </c>
      <c r="GG628" s="4">
        <v>178</v>
      </c>
      <c r="GH628" s="4">
        <v>173</v>
      </c>
      <c r="GI628" s="4">
        <v>166</v>
      </c>
      <c r="GJ628" s="4">
        <v>151</v>
      </c>
      <c r="GK628" s="4">
        <v>142</v>
      </c>
      <c r="GL628" s="4">
        <v>180</v>
      </c>
      <c r="GM628" s="4">
        <v>173</v>
      </c>
      <c r="GN628" s="4">
        <v>164</v>
      </c>
      <c r="GO628" s="4">
        <v>153</v>
      </c>
      <c r="GP628" s="4">
        <v>139</v>
      </c>
      <c r="GQ628" s="4">
        <v>112</v>
      </c>
      <c r="GR628" s="4">
        <v>99</v>
      </c>
      <c r="GS628" s="4">
        <v>87</v>
      </c>
      <c r="GT628" s="4">
        <v>79</v>
      </c>
      <c r="GU628" s="4">
        <v>73</v>
      </c>
      <c r="GV628" s="4">
        <v>66</v>
      </c>
      <c r="GW628" s="4">
        <v>61</v>
      </c>
      <c r="GX628" s="4">
        <v>57</v>
      </c>
      <c r="GY628" s="4">
        <v>54</v>
      </c>
      <c r="GZ628" s="4">
        <v>50</v>
      </c>
      <c r="HA628" s="4">
        <v>46</v>
      </c>
      <c r="HB628" s="4">
        <v>42</v>
      </c>
      <c r="HC628" s="4">
        <v>96</v>
      </c>
      <c r="HD628" s="19">
        <v>24.3</v>
      </c>
      <c r="HE628" s="19">
        <v>33.5</v>
      </c>
      <c r="HF628" s="19">
        <v>16.5</v>
      </c>
      <c r="HG628" s="19">
        <v>19.8</v>
      </c>
      <c r="HH628" s="19">
        <v>17.3</v>
      </c>
      <c r="HI628" s="19">
        <v>16.6</v>
      </c>
      <c r="HJ628" s="19">
        <v>18.9</v>
      </c>
      <c r="HK628" s="19">
        <v>15.8</v>
      </c>
      <c r="HL628" s="19">
        <v>18</v>
      </c>
      <c r="HM628" s="19">
        <v>11.5</v>
      </c>
      <c r="HN628" s="19">
        <v>10.3</v>
      </c>
      <c r="HO628" s="19">
        <v>9.6</v>
      </c>
      <c r="HP628" s="19">
        <v>9.3</v>
      </c>
      <c r="HQ628" s="19">
        <v>11.2</v>
      </c>
      <c r="HR628" s="19">
        <v>12.4</v>
      </c>
      <c r="HS628" s="19">
        <v>14.5</v>
      </c>
      <c r="HT628" s="19">
        <v>13.2</v>
      </c>
      <c r="HU628" s="19">
        <v>14.6</v>
      </c>
      <c r="HV628" s="19">
        <v>16.5</v>
      </c>
      <c r="HW628" s="19">
        <v>15.3</v>
      </c>
      <c r="HX628" s="19">
        <v>14.3</v>
      </c>
      <c r="HY628" s="19">
        <v>13.5</v>
      </c>
      <c r="HZ628" s="19">
        <v>12.5</v>
      </c>
      <c r="IA628" s="19">
        <v>11.5</v>
      </c>
      <c r="IB628" s="19">
        <v>14</v>
      </c>
      <c r="IC628" s="19">
        <v>32</v>
      </c>
    </row>
    <row r="629">
      <c r="A629" s="2" t="s">
        <v>2916</v>
      </c>
      <c r="B629" s="2" t="s">
        <v>323</v>
      </c>
      <c r="C629" s="2" t="s">
        <v>980</v>
      </c>
      <c r="D629" s="2" t="s">
        <v>257</v>
      </c>
      <c r="E629" s="2" t="s">
        <v>258</v>
      </c>
      <c r="F629" s="2" t="s">
        <v>2905</v>
      </c>
      <c r="G629" s="2" t="s">
        <v>2905</v>
      </c>
      <c r="H629" s="2" t="s">
        <v>2905</v>
      </c>
      <c r="I629" s="2" t="s">
        <v>405</v>
      </c>
      <c r="J629" s="2" t="s">
        <v>394</v>
      </c>
      <c r="K629" s="2" t="s">
        <v>2917</v>
      </c>
      <c r="L629" s="3">
        <v>19.8</v>
      </c>
      <c r="M629" s="3">
        <v>20.79</v>
      </c>
      <c r="N629" s="3">
        <v>44.99</v>
      </c>
      <c r="O629" s="2" t="s">
        <v>232</v>
      </c>
      <c r="P629" s="2" t="s">
        <v>233</v>
      </c>
      <c r="Q629" s="2" t="s">
        <v>234</v>
      </c>
      <c r="R629" s="2" t="s">
        <v>235</v>
      </c>
      <c r="S629" s="2" t="s">
        <v>2918</v>
      </c>
      <c r="T629" s="2" t="s">
        <v>2908</v>
      </c>
      <c r="U629" s="2" t="s">
        <v>552</v>
      </c>
      <c r="V629" s="2" t="s">
        <v>2919</v>
      </c>
      <c r="W629" s="2" t="s">
        <v>1798</v>
      </c>
      <c r="X629" s="2" t="s">
        <v>239</v>
      </c>
      <c r="Y629" s="2" t="s">
        <v>2920</v>
      </c>
      <c r="Z629" s="4">
        <v>261</v>
      </c>
      <c r="AA629" s="4">
        <f>=ROUNDDOWN(32.625,0)</f>
      </c>
      <c r="AB629" s="5">
        <v>8</v>
      </c>
      <c r="AC629" s="2" t="s">
        <v>2122</v>
      </c>
      <c r="AD629" s="4">
        <v>30</v>
      </c>
      <c r="AE629" s="4">
        <v>30</v>
      </c>
      <c r="AF629" s="6">
        <v>87</v>
      </c>
      <c r="AG629" s="6"/>
      <c r="AH629" s="7">
        <v>1</v>
      </c>
      <c r="AI629" s="4"/>
      <c r="AJ629" s="4">
        <f>=ROUNDDOWN({0},0)</f>
      </c>
      <c r="AK629" s="5"/>
      <c r="AL629" s="2" t="s">
        <v>235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235</v>
      </c>
      <c r="AW629" s="8" t="s">
        <v>235</v>
      </c>
      <c r="AX629" s="4" t="s">
        <v>235</v>
      </c>
      <c r="AY629" s="8" t="s">
        <v>235</v>
      </c>
      <c r="AZ629" s="7" t="s">
        <v>235</v>
      </c>
      <c r="BA629" s="7" t="s">
        <v>235</v>
      </c>
      <c r="BB629" s="7"/>
      <c r="BC629" s="4" t="s">
        <v>235</v>
      </c>
      <c r="BD629" s="8" t="s">
        <v>235</v>
      </c>
      <c r="BE629" s="4" t="s">
        <v>235</v>
      </c>
      <c r="BF629" s="8" t="s">
        <v>235</v>
      </c>
      <c r="BG629" s="7" t="s">
        <v>235</v>
      </c>
      <c r="BH629" s="7" t="s">
        <v>235</v>
      </c>
      <c r="BI629" s="7"/>
      <c r="BJ629" s="4">
        <v>9</v>
      </c>
      <c r="BK629" s="8">
        <v>203.99</v>
      </c>
      <c r="BL629" s="2" t="s">
        <v>2648</v>
      </c>
      <c r="BM629" s="7"/>
      <c r="BN629" s="7"/>
      <c r="BO629" s="4"/>
      <c r="BP629" s="8"/>
      <c r="BQ629" s="4"/>
      <c r="BR629" s="8"/>
      <c r="BS629" s="7"/>
      <c r="BT629" s="7"/>
      <c r="BU629" s="2" t="s">
        <v>2921</v>
      </c>
      <c r="BV629" s="2" t="s">
        <v>243</v>
      </c>
      <c r="BW629" s="2" t="s">
        <v>235</v>
      </c>
      <c r="BX629" s="2" t="s">
        <v>244</v>
      </c>
      <c r="BY629" s="2" t="s">
        <v>245</v>
      </c>
      <c r="BZ629" s="2" t="s">
        <v>232</v>
      </c>
      <c r="CA629" s="2" t="s">
        <v>1701</v>
      </c>
      <c r="CB629" s="2" t="s">
        <v>2587</v>
      </c>
      <c r="CC629" s="2" t="s">
        <v>248</v>
      </c>
      <c r="CD629" s="2" t="s">
        <v>248</v>
      </c>
      <c r="CE629" s="2" t="s">
        <v>235</v>
      </c>
      <c r="CF629" s="4">
        <v>261</v>
      </c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>
        <v>30</v>
      </c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>
        <v>265</v>
      </c>
      <c r="GE629" s="4">
        <v>257</v>
      </c>
      <c r="GF629" s="4">
        <v>252</v>
      </c>
      <c r="GG629" s="4">
        <v>276</v>
      </c>
      <c r="GH629" s="4">
        <v>269</v>
      </c>
      <c r="GI629" s="4">
        <v>257</v>
      </c>
      <c r="GJ629" s="4">
        <v>239</v>
      </c>
      <c r="GK629" s="4">
        <v>227</v>
      </c>
      <c r="GL629" s="4">
        <v>215</v>
      </c>
      <c r="GM629" s="4">
        <v>205</v>
      </c>
      <c r="GN629" s="4">
        <v>192</v>
      </c>
      <c r="GO629" s="4">
        <v>177</v>
      </c>
      <c r="GP629" s="4">
        <v>156</v>
      </c>
      <c r="GQ629" s="4">
        <v>117</v>
      </c>
      <c r="GR629" s="4">
        <v>99</v>
      </c>
      <c r="GS629" s="4">
        <v>81</v>
      </c>
      <c r="GT629" s="4">
        <v>69</v>
      </c>
      <c r="GU629" s="4">
        <v>60</v>
      </c>
      <c r="GV629" s="4">
        <v>50</v>
      </c>
      <c r="GW629" s="4">
        <v>42</v>
      </c>
      <c r="GX629" s="4">
        <v>36</v>
      </c>
      <c r="GY629" s="4">
        <v>31</v>
      </c>
      <c r="GZ629" s="4">
        <v>26</v>
      </c>
      <c r="HA629" s="4">
        <v>21</v>
      </c>
      <c r="HB629" s="4">
        <v>16</v>
      </c>
      <c r="HC629" s="4">
        <v>11</v>
      </c>
      <c r="HD629" s="19">
        <v>44.2</v>
      </c>
      <c r="HE629" s="19">
        <v>32.1</v>
      </c>
      <c r="HF629" s="19">
        <v>22.9</v>
      </c>
      <c r="HG629" s="19">
        <v>23</v>
      </c>
      <c r="HH629" s="19">
        <v>19.2</v>
      </c>
      <c r="HI629" s="19">
        <v>19.8</v>
      </c>
      <c r="HJ629" s="19">
        <v>19.9</v>
      </c>
      <c r="HK629" s="19">
        <v>18.9</v>
      </c>
      <c r="HL629" s="19">
        <v>14.3</v>
      </c>
      <c r="HM629" s="19">
        <v>9.3</v>
      </c>
      <c r="HN629" s="19">
        <v>8.3</v>
      </c>
      <c r="HO629" s="19">
        <v>7.4</v>
      </c>
      <c r="HP629" s="19">
        <v>7.1</v>
      </c>
      <c r="HQ629" s="19">
        <v>8.4</v>
      </c>
      <c r="HR629" s="19">
        <v>8.3</v>
      </c>
      <c r="HS629" s="19">
        <v>8.1</v>
      </c>
      <c r="HT629" s="19">
        <v>8.6</v>
      </c>
      <c r="HU629" s="19">
        <v>8.6</v>
      </c>
      <c r="HV629" s="19">
        <v>8.3</v>
      </c>
      <c r="HW629" s="19">
        <v>8.4</v>
      </c>
      <c r="HX629" s="19">
        <v>7.2</v>
      </c>
      <c r="HY629" s="19">
        <v>6.2</v>
      </c>
      <c r="HZ629" s="19">
        <v>5.2</v>
      </c>
      <c r="IA629" s="19">
        <v>5.3</v>
      </c>
      <c r="IB629" s="19">
        <v>4</v>
      </c>
      <c r="IC629" s="19">
        <v>2.8</v>
      </c>
    </row>
    <row r="630">
      <c r="A630" s="2" t="s">
        <v>2922</v>
      </c>
      <c r="B630" s="2" t="s">
        <v>323</v>
      </c>
      <c r="C630" s="2" t="s">
        <v>980</v>
      </c>
      <c r="D630" s="2" t="s">
        <v>257</v>
      </c>
      <c r="E630" s="2" t="s">
        <v>258</v>
      </c>
      <c r="F630" s="2" t="s">
        <v>2905</v>
      </c>
      <c r="G630" s="2" t="s">
        <v>2905</v>
      </c>
      <c r="H630" s="2" t="s">
        <v>2905</v>
      </c>
      <c r="I630" s="2" t="s">
        <v>405</v>
      </c>
      <c r="J630" s="2" t="s">
        <v>250</v>
      </c>
      <c r="K630" s="2" t="s">
        <v>2917</v>
      </c>
      <c r="L630" s="3">
        <v>21.78</v>
      </c>
      <c r="M630" s="3">
        <v>22.87</v>
      </c>
      <c r="N630" s="3">
        <v>49.99</v>
      </c>
      <c r="O630" s="2" t="s">
        <v>232</v>
      </c>
      <c r="P630" s="2" t="s">
        <v>233</v>
      </c>
      <c r="Q630" s="2" t="s">
        <v>234</v>
      </c>
      <c r="R630" s="2" t="s">
        <v>235</v>
      </c>
      <c r="S630" s="2" t="s">
        <v>2918</v>
      </c>
      <c r="T630" s="2" t="s">
        <v>2908</v>
      </c>
      <c r="U630" s="2" t="s">
        <v>264</v>
      </c>
      <c r="V630" s="2" t="s">
        <v>2919</v>
      </c>
      <c r="W630" s="2" t="s">
        <v>1798</v>
      </c>
      <c r="X630" s="2" t="s">
        <v>239</v>
      </c>
      <c r="Y630" s="2" t="s">
        <v>2920</v>
      </c>
      <c r="Z630" s="4"/>
      <c r="AA630" s="4">
        <f>=ROUNDDOWN({0},0)</f>
      </c>
      <c r="AB630" s="5">
        <v>11</v>
      </c>
      <c r="AC630" s="2" t="s">
        <v>2122</v>
      </c>
      <c r="AD630" s="4">
        <v>150</v>
      </c>
      <c r="AE630" s="4">
        <v>394</v>
      </c>
      <c r="AF630" s="6">
        <v>87</v>
      </c>
      <c r="AG630" s="6"/>
      <c r="AH630" s="7">
        <v>0</v>
      </c>
      <c r="AI630" s="4"/>
      <c r="AJ630" s="4">
        <f>=ROUNDDOWN({0},0)</f>
      </c>
      <c r="AK630" s="5"/>
      <c r="AL630" s="2" t="s">
        <v>235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235</v>
      </c>
      <c r="AW630" s="8" t="s">
        <v>235</v>
      </c>
      <c r="AX630" s="4" t="s">
        <v>235</v>
      </c>
      <c r="AY630" s="8" t="s">
        <v>235</v>
      </c>
      <c r="AZ630" s="7" t="s">
        <v>235</v>
      </c>
      <c r="BA630" s="7" t="s">
        <v>235</v>
      </c>
      <c r="BB630" s="7"/>
      <c r="BC630" s="4" t="s">
        <v>235</v>
      </c>
      <c r="BD630" s="8" t="s">
        <v>235</v>
      </c>
      <c r="BE630" s="4" t="s">
        <v>235</v>
      </c>
      <c r="BF630" s="8" t="s">
        <v>235</v>
      </c>
      <c r="BG630" s="7" t="s">
        <v>235</v>
      </c>
      <c r="BH630" s="7" t="s">
        <v>235</v>
      </c>
      <c r="BI630" s="7"/>
      <c r="BJ630" s="4"/>
      <c r="BK630" s="8"/>
      <c r="BL630" s="2" t="s">
        <v>773</v>
      </c>
      <c r="BM630" s="7"/>
      <c r="BN630" s="7"/>
      <c r="BO630" s="4"/>
      <c r="BP630" s="8"/>
      <c r="BQ630" s="4"/>
      <c r="BR630" s="8"/>
      <c r="BS630" s="7"/>
      <c r="BT630" s="7"/>
      <c r="BU630" s="2" t="s">
        <v>2921</v>
      </c>
      <c r="BV630" s="2" t="s">
        <v>243</v>
      </c>
      <c r="BW630" s="2" t="s">
        <v>235</v>
      </c>
      <c r="BX630" s="2" t="s">
        <v>244</v>
      </c>
      <c r="BY630" s="2" t="s">
        <v>245</v>
      </c>
      <c r="BZ630" s="2" t="s">
        <v>232</v>
      </c>
      <c r="CA630" s="2" t="s">
        <v>1701</v>
      </c>
      <c r="CB630" s="2" t="s">
        <v>2587</v>
      </c>
      <c r="CC630" s="2" t="s">
        <v>248</v>
      </c>
      <c r="CD630" s="2" t="s">
        <v>248</v>
      </c>
      <c r="CE630" s="2" t="s">
        <v>235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>
        <v>150</v>
      </c>
      <c r="DI630" s="4"/>
      <c r="DJ630" s="4"/>
      <c r="DK630" s="4"/>
      <c r="DL630" s="4"/>
      <c r="DM630" s="4"/>
      <c r="DN630" s="4"/>
      <c r="DO630" s="4">
        <v>34</v>
      </c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>
        <v>210</v>
      </c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>
        <v>150</v>
      </c>
      <c r="GH630" s="4">
        <v>118</v>
      </c>
      <c r="GI630" s="4">
        <v>135</v>
      </c>
      <c r="GJ630" s="4">
        <v>108</v>
      </c>
      <c r="GK630" s="4">
        <v>91</v>
      </c>
      <c r="GL630" s="4">
        <v>75</v>
      </c>
      <c r="GM630" s="4">
        <v>272</v>
      </c>
      <c r="GN630" s="4">
        <v>255</v>
      </c>
      <c r="GO630" s="4">
        <v>234</v>
      </c>
      <c r="GP630" s="4">
        <v>206</v>
      </c>
      <c r="GQ630" s="4">
        <v>154</v>
      </c>
      <c r="GR630" s="4">
        <v>129</v>
      </c>
      <c r="GS630" s="4">
        <v>105</v>
      </c>
      <c r="GT630" s="4">
        <v>89</v>
      </c>
      <c r="GU630" s="4">
        <v>77</v>
      </c>
      <c r="GV630" s="4">
        <v>63</v>
      </c>
      <c r="GW630" s="4">
        <v>52</v>
      </c>
      <c r="GX630" s="4">
        <v>44</v>
      </c>
      <c r="GY630" s="4">
        <v>37</v>
      </c>
      <c r="GZ630" s="4">
        <v>29</v>
      </c>
      <c r="HA630" s="4">
        <v>21</v>
      </c>
      <c r="HB630" s="4">
        <v>13</v>
      </c>
      <c r="HC630" s="4">
        <v>5</v>
      </c>
      <c r="HD630" s="20">
        <v>0</v>
      </c>
      <c r="HE630" s="20">
        <v>0</v>
      </c>
      <c r="HF630" s="20">
        <v>0</v>
      </c>
      <c r="HG630" s="19">
        <v>6.5</v>
      </c>
      <c r="HH630" s="19">
        <v>6.2</v>
      </c>
      <c r="HI630" s="19">
        <v>7.5</v>
      </c>
      <c r="HJ630" s="19">
        <v>6.8</v>
      </c>
      <c r="HK630" s="19">
        <v>5.4</v>
      </c>
      <c r="HL630" s="19">
        <v>3.8</v>
      </c>
      <c r="HM630" s="19">
        <v>9.1</v>
      </c>
      <c r="HN630" s="19">
        <v>8</v>
      </c>
      <c r="HO630" s="19">
        <v>7.3</v>
      </c>
      <c r="HP630" s="19">
        <v>7.1</v>
      </c>
      <c r="HQ630" s="19">
        <v>8.1</v>
      </c>
      <c r="HR630" s="19">
        <v>8.1</v>
      </c>
      <c r="HS630" s="19">
        <v>8.1</v>
      </c>
      <c r="HT630" s="19">
        <v>8.1</v>
      </c>
      <c r="HU630" s="19">
        <v>7.7</v>
      </c>
      <c r="HV630" s="19">
        <v>7.9</v>
      </c>
      <c r="HW630" s="19">
        <v>6.5</v>
      </c>
      <c r="HX630" s="19">
        <v>5.5</v>
      </c>
      <c r="HY630" s="19">
        <v>4.6</v>
      </c>
      <c r="HZ630" s="19">
        <v>4.1</v>
      </c>
      <c r="IA630" s="19">
        <v>3.5</v>
      </c>
      <c r="IB630" s="19">
        <v>2.6</v>
      </c>
      <c r="IC630" s="19">
        <v>1.3</v>
      </c>
    </row>
    <row r="631">
      <c r="A631" s="2" t="s">
        <v>2923</v>
      </c>
      <c r="B631" s="2" t="s">
        <v>323</v>
      </c>
      <c r="C631" s="2" t="s">
        <v>980</v>
      </c>
      <c r="D631" s="2" t="s">
        <v>257</v>
      </c>
      <c r="E631" s="2" t="s">
        <v>258</v>
      </c>
      <c r="F631" s="2" t="s">
        <v>2905</v>
      </c>
      <c r="G631" s="2" t="s">
        <v>2905</v>
      </c>
      <c r="H631" s="2" t="s">
        <v>2905</v>
      </c>
      <c r="I631" s="2" t="s">
        <v>405</v>
      </c>
      <c r="J631" s="2" t="s">
        <v>261</v>
      </c>
      <c r="K631" s="2" t="s">
        <v>2917</v>
      </c>
      <c r="L631" s="3">
        <v>24.3</v>
      </c>
      <c r="M631" s="3">
        <v>25.52</v>
      </c>
      <c r="N631" s="3">
        <v>54.99</v>
      </c>
      <c r="O631" s="2" t="s">
        <v>232</v>
      </c>
      <c r="P631" s="2" t="s">
        <v>698</v>
      </c>
      <c r="Q631" s="2" t="s">
        <v>234</v>
      </c>
      <c r="R631" s="2" t="s">
        <v>235</v>
      </c>
      <c r="S631" s="2" t="s">
        <v>2918</v>
      </c>
      <c r="T631" s="2" t="s">
        <v>2908</v>
      </c>
      <c r="U631" s="2" t="s">
        <v>264</v>
      </c>
      <c r="V631" s="2" t="s">
        <v>2919</v>
      </c>
      <c r="W631" s="2" t="s">
        <v>1798</v>
      </c>
      <c r="X631" s="2" t="s">
        <v>239</v>
      </c>
      <c r="Y631" s="2" t="s">
        <v>2920</v>
      </c>
      <c r="Z631" s="4"/>
      <c r="AA631" s="4">
        <f>=ROUNDDOWN({0},0)</f>
      </c>
      <c r="AB631" s="5">
        <v>32</v>
      </c>
      <c r="AC631" s="2" t="s">
        <v>2122</v>
      </c>
      <c r="AD631" s="4">
        <v>300</v>
      </c>
      <c r="AE631" s="4">
        <v>1112</v>
      </c>
      <c r="AF631" s="6">
        <v>87</v>
      </c>
      <c r="AG631" s="6"/>
      <c r="AH631" s="7">
        <v>0</v>
      </c>
      <c r="AI631" s="4"/>
      <c r="AJ631" s="4">
        <f>=ROUNDDOWN({0},0)</f>
      </c>
      <c r="AK631" s="5"/>
      <c r="AL631" s="2" t="s">
        <v>235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235</v>
      </c>
      <c r="AW631" s="8" t="s">
        <v>235</v>
      </c>
      <c r="AX631" s="4" t="s">
        <v>235</v>
      </c>
      <c r="AY631" s="8" t="s">
        <v>235</v>
      </c>
      <c r="AZ631" s="7" t="s">
        <v>235</v>
      </c>
      <c r="BA631" s="7" t="s">
        <v>235</v>
      </c>
      <c r="BB631" s="7"/>
      <c r="BC631" s="4" t="s">
        <v>235</v>
      </c>
      <c r="BD631" s="8" t="s">
        <v>235</v>
      </c>
      <c r="BE631" s="4" t="s">
        <v>235</v>
      </c>
      <c r="BF631" s="8" t="s">
        <v>235</v>
      </c>
      <c r="BG631" s="7" t="s">
        <v>235</v>
      </c>
      <c r="BH631" s="7" t="s">
        <v>235</v>
      </c>
      <c r="BI631" s="7"/>
      <c r="BJ631" s="4"/>
      <c r="BK631" s="8"/>
      <c r="BL631" s="2" t="s">
        <v>2924</v>
      </c>
      <c r="BM631" s="7"/>
      <c r="BN631" s="7"/>
      <c r="BO631" s="4"/>
      <c r="BP631" s="8"/>
      <c r="BQ631" s="4"/>
      <c r="BR631" s="8"/>
      <c r="BS631" s="7"/>
      <c r="BT631" s="7"/>
      <c r="BU631" s="2" t="s">
        <v>2921</v>
      </c>
      <c r="BV631" s="2" t="s">
        <v>243</v>
      </c>
      <c r="BW631" s="2" t="s">
        <v>235</v>
      </c>
      <c r="BX631" s="2" t="s">
        <v>244</v>
      </c>
      <c r="BY631" s="2" t="s">
        <v>245</v>
      </c>
      <c r="BZ631" s="2" t="s">
        <v>232</v>
      </c>
      <c r="CA631" s="2" t="s">
        <v>1701</v>
      </c>
      <c r="CB631" s="2" t="s">
        <v>2925</v>
      </c>
      <c r="CC631" s="2" t="s">
        <v>248</v>
      </c>
      <c r="CD631" s="2" t="s">
        <v>248</v>
      </c>
      <c r="CE631" s="2" t="s">
        <v>235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>
        <v>300</v>
      </c>
      <c r="DI631" s="4"/>
      <c r="DJ631" s="4"/>
      <c r="DK631" s="4"/>
      <c r="DL631" s="4"/>
      <c r="DM631" s="4"/>
      <c r="DN631" s="4"/>
      <c r="DO631" s="4">
        <v>180</v>
      </c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>
        <v>632</v>
      </c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>
        <v>300</v>
      </c>
      <c r="GH631" s="4">
        <v>223</v>
      </c>
      <c r="GI631" s="4">
        <v>356</v>
      </c>
      <c r="GJ631" s="4">
        <v>288</v>
      </c>
      <c r="GK631" s="4">
        <v>243</v>
      </c>
      <c r="GL631" s="4">
        <v>198</v>
      </c>
      <c r="GM631" s="4">
        <v>792</v>
      </c>
      <c r="GN631" s="4">
        <v>743</v>
      </c>
      <c r="GO631" s="4">
        <v>682</v>
      </c>
      <c r="GP631" s="4">
        <v>596</v>
      </c>
      <c r="GQ631" s="4">
        <v>435</v>
      </c>
      <c r="GR631" s="4">
        <v>358</v>
      </c>
      <c r="GS631" s="4">
        <v>283</v>
      </c>
      <c r="GT631" s="4">
        <v>233</v>
      </c>
      <c r="GU631" s="4">
        <v>195</v>
      </c>
      <c r="GV631" s="4">
        <v>152</v>
      </c>
      <c r="GW631" s="4">
        <v>120</v>
      </c>
      <c r="GX631" s="4">
        <v>96</v>
      </c>
      <c r="GY631" s="4">
        <v>77</v>
      </c>
      <c r="GZ631" s="4">
        <v>55</v>
      </c>
      <c r="HA631" s="4">
        <v>33</v>
      </c>
      <c r="HB631" s="4">
        <v>11</v>
      </c>
      <c r="HC631" s="4"/>
      <c r="HD631" s="20">
        <v>0</v>
      </c>
      <c r="HE631" s="20">
        <v>0</v>
      </c>
      <c r="HF631" s="20">
        <v>0</v>
      </c>
      <c r="HG631" s="19">
        <v>5.1</v>
      </c>
      <c r="HH631" s="19">
        <v>4.4</v>
      </c>
      <c r="HI631" s="19">
        <v>7.3</v>
      </c>
      <c r="HJ631" s="19">
        <v>6.5</v>
      </c>
      <c r="HK631" s="19">
        <v>5.1</v>
      </c>
      <c r="HL631" s="19">
        <v>3.4</v>
      </c>
      <c r="HM631" s="19">
        <v>8.9</v>
      </c>
      <c r="HN631" s="19">
        <v>7.7</v>
      </c>
      <c r="HO631" s="19">
        <v>6.8</v>
      </c>
      <c r="HP631" s="19">
        <v>6.5</v>
      </c>
      <c r="HQ631" s="19">
        <v>7.3</v>
      </c>
      <c r="HR631" s="19">
        <v>6.9</v>
      </c>
      <c r="HS631" s="19">
        <v>6.9</v>
      </c>
      <c r="HT631" s="19">
        <v>6.9</v>
      </c>
      <c r="HU631" s="19">
        <v>6.5</v>
      </c>
      <c r="HV631" s="19">
        <v>6.3</v>
      </c>
      <c r="HW631" s="19">
        <v>5.5</v>
      </c>
      <c r="HX631" s="19">
        <v>4.6</v>
      </c>
      <c r="HY631" s="19">
        <v>3.7</v>
      </c>
      <c r="HZ631" s="19">
        <v>2.9</v>
      </c>
      <c r="IA631" s="19">
        <v>2.1</v>
      </c>
      <c r="IB631" s="19">
        <v>0.8</v>
      </c>
      <c r="IC631" s="20">
        <v>0</v>
      </c>
    </row>
    <row r="632">
      <c r="A632" s="2" t="s">
        <v>2926</v>
      </c>
      <c r="B632" s="2" t="s">
        <v>323</v>
      </c>
      <c r="C632" s="2" t="s">
        <v>980</v>
      </c>
      <c r="D632" s="2" t="s">
        <v>257</v>
      </c>
      <c r="E632" s="2" t="s">
        <v>258</v>
      </c>
      <c r="F632" s="2" t="s">
        <v>2905</v>
      </c>
      <c r="G632" s="2" t="s">
        <v>2905</v>
      </c>
      <c r="H632" s="2" t="s">
        <v>2905</v>
      </c>
      <c r="I632" s="2" t="s">
        <v>405</v>
      </c>
      <c r="J632" s="2" t="s">
        <v>270</v>
      </c>
      <c r="K632" s="2" t="s">
        <v>2917</v>
      </c>
      <c r="L632" s="3">
        <v>28.98</v>
      </c>
      <c r="M632" s="3">
        <v>30.43</v>
      </c>
      <c r="N632" s="3">
        <v>64.99</v>
      </c>
      <c r="O632" s="2" t="s">
        <v>232</v>
      </c>
      <c r="P632" s="2" t="s">
        <v>336</v>
      </c>
      <c r="Q632" s="2" t="s">
        <v>234</v>
      </c>
      <c r="R632" s="2" t="s">
        <v>235</v>
      </c>
      <c r="S632" s="2" t="s">
        <v>2918</v>
      </c>
      <c r="T632" s="2" t="s">
        <v>2908</v>
      </c>
      <c r="U632" s="2" t="s">
        <v>264</v>
      </c>
      <c r="V632" s="2" t="s">
        <v>2919</v>
      </c>
      <c r="W632" s="2" t="s">
        <v>1798</v>
      </c>
      <c r="X632" s="2" t="s">
        <v>239</v>
      </c>
      <c r="Y632" s="2" t="s">
        <v>2920</v>
      </c>
      <c r="Z632" s="4"/>
      <c r="AA632" s="4">
        <f>=ROUNDDOWN({0},0)</f>
      </c>
      <c r="AB632" s="5">
        <v>17</v>
      </c>
      <c r="AC632" s="2" t="s">
        <v>2122</v>
      </c>
      <c r="AD632" s="4">
        <v>90</v>
      </c>
      <c r="AE632" s="4">
        <v>627</v>
      </c>
      <c r="AF632" s="6">
        <v>87</v>
      </c>
      <c r="AG632" s="6"/>
      <c r="AH632" s="7">
        <v>0</v>
      </c>
      <c r="AI632" s="4"/>
      <c r="AJ632" s="4">
        <f>=ROUNDDOWN({0},0)</f>
      </c>
      <c r="AK632" s="5"/>
      <c r="AL632" s="2" t="s">
        <v>235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235</v>
      </c>
      <c r="AW632" s="8" t="s">
        <v>235</v>
      </c>
      <c r="AX632" s="4" t="s">
        <v>235</v>
      </c>
      <c r="AY632" s="8" t="s">
        <v>235</v>
      </c>
      <c r="AZ632" s="7" t="s">
        <v>235</v>
      </c>
      <c r="BA632" s="7" t="s">
        <v>235</v>
      </c>
      <c r="BB632" s="7"/>
      <c r="BC632" s="4" t="s">
        <v>235</v>
      </c>
      <c r="BD632" s="8" t="s">
        <v>235</v>
      </c>
      <c r="BE632" s="4" t="s">
        <v>235</v>
      </c>
      <c r="BF632" s="8" t="s">
        <v>235</v>
      </c>
      <c r="BG632" s="7" t="s">
        <v>235</v>
      </c>
      <c r="BH632" s="7" t="s">
        <v>235</v>
      </c>
      <c r="BI632" s="7"/>
      <c r="BJ632" s="4"/>
      <c r="BK632" s="8"/>
      <c r="BL632" s="2" t="s">
        <v>2927</v>
      </c>
      <c r="BM632" s="7"/>
      <c r="BN632" s="7"/>
      <c r="BO632" s="4"/>
      <c r="BP632" s="8"/>
      <c r="BQ632" s="4"/>
      <c r="BR632" s="8"/>
      <c r="BS632" s="7"/>
      <c r="BT632" s="7"/>
      <c r="BU632" s="2" t="s">
        <v>2921</v>
      </c>
      <c r="BV632" s="2" t="s">
        <v>243</v>
      </c>
      <c r="BW632" s="2" t="s">
        <v>235</v>
      </c>
      <c r="BX632" s="2" t="s">
        <v>244</v>
      </c>
      <c r="BY632" s="2" t="s">
        <v>245</v>
      </c>
      <c r="BZ632" s="2" t="s">
        <v>232</v>
      </c>
      <c r="CA632" s="2" t="s">
        <v>1701</v>
      </c>
      <c r="CB632" s="2" t="s">
        <v>620</v>
      </c>
      <c r="CC632" s="2" t="s">
        <v>248</v>
      </c>
      <c r="CD632" s="2" t="s">
        <v>248</v>
      </c>
      <c r="CE632" s="2" t="s">
        <v>235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>
        <v>90</v>
      </c>
      <c r="DI632" s="4"/>
      <c r="DJ632" s="4"/>
      <c r="DK632" s="4"/>
      <c r="DL632" s="4"/>
      <c r="DM632" s="4"/>
      <c r="DN632" s="4"/>
      <c r="DO632" s="4">
        <v>156</v>
      </c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>
        <v>381</v>
      </c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>
        <v>90</v>
      </c>
      <c r="GH632" s="4">
        <v>55</v>
      </c>
      <c r="GI632" s="4">
        <v>188</v>
      </c>
      <c r="GJ632" s="4">
        <v>155</v>
      </c>
      <c r="GK632" s="4">
        <v>132</v>
      </c>
      <c r="GL632" s="4">
        <v>110</v>
      </c>
      <c r="GM632" s="4">
        <v>472</v>
      </c>
      <c r="GN632" s="4">
        <v>446</v>
      </c>
      <c r="GO632" s="4">
        <v>413</v>
      </c>
      <c r="GP632" s="4">
        <v>367</v>
      </c>
      <c r="GQ632" s="4">
        <v>278</v>
      </c>
      <c r="GR632" s="4">
        <v>235</v>
      </c>
      <c r="GS632" s="4">
        <v>194</v>
      </c>
      <c r="GT632" s="4">
        <v>167</v>
      </c>
      <c r="GU632" s="4">
        <v>147</v>
      </c>
      <c r="GV632" s="4">
        <v>124</v>
      </c>
      <c r="GW632" s="4">
        <v>107</v>
      </c>
      <c r="GX632" s="4">
        <v>94</v>
      </c>
      <c r="GY632" s="4">
        <v>84</v>
      </c>
      <c r="GZ632" s="4">
        <v>72</v>
      </c>
      <c r="HA632" s="4">
        <v>60</v>
      </c>
      <c r="HB632" s="4">
        <v>48</v>
      </c>
      <c r="HC632" s="4">
        <v>36</v>
      </c>
      <c r="HD632" s="20">
        <v>0</v>
      </c>
      <c r="HE632" s="20">
        <v>0</v>
      </c>
      <c r="HF632" s="20">
        <v>0</v>
      </c>
      <c r="HG632" s="19">
        <v>3.2</v>
      </c>
      <c r="HH632" s="19">
        <v>2.2</v>
      </c>
      <c r="HI632" s="19">
        <v>7.8</v>
      </c>
      <c r="HJ632" s="19">
        <v>7</v>
      </c>
      <c r="HK632" s="19">
        <v>5.3</v>
      </c>
      <c r="HL632" s="19">
        <v>3.5</v>
      </c>
      <c r="HM632" s="19">
        <v>9.8</v>
      </c>
      <c r="HN632" s="19">
        <v>8.4</v>
      </c>
      <c r="HO632" s="19">
        <v>7.5</v>
      </c>
      <c r="HP632" s="19">
        <v>7.3</v>
      </c>
      <c r="HQ632" s="19">
        <v>8.4</v>
      </c>
      <c r="HR632" s="19">
        <v>8.4</v>
      </c>
      <c r="HS632" s="19">
        <v>8.8</v>
      </c>
      <c r="HT632" s="19">
        <v>9.3</v>
      </c>
      <c r="HU632" s="19">
        <v>9.2</v>
      </c>
      <c r="HV632" s="19">
        <v>9.5</v>
      </c>
      <c r="HW632" s="19">
        <v>8.9</v>
      </c>
      <c r="HX632" s="19">
        <v>7.8</v>
      </c>
      <c r="HY632" s="19">
        <v>7</v>
      </c>
      <c r="HZ632" s="19">
        <v>6.5</v>
      </c>
      <c r="IA632" s="19">
        <v>6</v>
      </c>
      <c r="IB632" s="19">
        <v>4.8</v>
      </c>
      <c r="IC632" s="19">
        <v>4.5</v>
      </c>
    </row>
    <row r="633">
      <c r="A633" s="2" t="s">
        <v>2928</v>
      </c>
      <c r="B633" s="2" t="s">
        <v>323</v>
      </c>
      <c r="C633" s="2" t="s">
        <v>980</v>
      </c>
      <c r="D633" s="2" t="s">
        <v>257</v>
      </c>
      <c r="E633" s="2" t="s">
        <v>258</v>
      </c>
      <c r="F633" s="2" t="s">
        <v>2905</v>
      </c>
      <c r="G633" s="2" t="s">
        <v>2905</v>
      </c>
      <c r="H633" s="2" t="s">
        <v>2905</v>
      </c>
      <c r="I633" s="2" t="s">
        <v>405</v>
      </c>
      <c r="J633" s="2" t="s">
        <v>272</v>
      </c>
      <c r="K633" s="2" t="s">
        <v>2917</v>
      </c>
      <c r="L633" s="3">
        <v>28.98</v>
      </c>
      <c r="M633" s="3">
        <v>30.43</v>
      </c>
      <c r="N633" s="3">
        <v>64.99</v>
      </c>
      <c r="O633" s="2" t="s">
        <v>232</v>
      </c>
      <c r="P633" s="2" t="s">
        <v>233</v>
      </c>
      <c r="Q633" s="2" t="s">
        <v>234</v>
      </c>
      <c r="R633" s="2" t="s">
        <v>235</v>
      </c>
      <c r="S633" s="2" t="s">
        <v>2918</v>
      </c>
      <c r="T633" s="2" t="s">
        <v>2908</v>
      </c>
      <c r="U633" s="2" t="s">
        <v>264</v>
      </c>
      <c r="V633" s="2" t="s">
        <v>2919</v>
      </c>
      <c r="W633" s="2" t="s">
        <v>1798</v>
      </c>
      <c r="X633" s="2" t="s">
        <v>239</v>
      </c>
      <c r="Y633" s="2" t="s">
        <v>2920</v>
      </c>
      <c r="Z633" s="4">
        <v>30</v>
      </c>
      <c r="AA633" s="4">
        <f>=ROUNDDOWN(3.33333333333333,0)</f>
      </c>
      <c r="AB633" s="5">
        <v>9</v>
      </c>
      <c r="AC633" s="2" t="s">
        <v>2122</v>
      </c>
      <c r="AD633" s="4">
        <v>50</v>
      </c>
      <c r="AE633" s="4">
        <v>286</v>
      </c>
      <c r="AF633" s="6">
        <v>87</v>
      </c>
      <c r="AG633" s="6"/>
      <c r="AH633" s="7">
        <v>1</v>
      </c>
      <c r="AI633" s="4"/>
      <c r="AJ633" s="4">
        <f>=ROUNDDOWN({0},0)</f>
      </c>
      <c r="AK633" s="5"/>
      <c r="AL633" s="2" t="s">
        <v>235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235</v>
      </c>
      <c r="AW633" s="8" t="s">
        <v>235</v>
      </c>
      <c r="AX633" s="4" t="s">
        <v>235</v>
      </c>
      <c r="AY633" s="8" t="s">
        <v>235</v>
      </c>
      <c r="AZ633" s="7" t="s">
        <v>235</v>
      </c>
      <c r="BA633" s="7" t="s">
        <v>235</v>
      </c>
      <c r="BB633" s="7"/>
      <c r="BC633" s="4" t="s">
        <v>235</v>
      </c>
      <c r="BD633" s="8" t="s">
        <v>235</v>
      </c>
      <c r="BE633" s="4" t="s">
        <v>235</v>
      </c>
      <c r="BF633" s="8" t="s">
        <v>235</v>
      </c>
      <c r="BG633" s="7" t="s">
        <v>235</v>
      </c>
      <c r="BH633" s="7" t="s">
        <v>235</v>
      </c>
      <c r="BI633" s="7"/>
      <c r="BJ633" s="4">
        <v>4</v>
      </c>
      <c r="BK633" s="8">
        <v>136.38</v>
      </c>
      <c r="BL633" s="2" t="s">
        <v>422</v>
      </c>
      <c r="BM633" s="7"/>
      <c r="BN633" s="7"/>
      <c r="BO633" s="4"/>
      <c r="BP633" s="8"/>
      <c r="BQ633" s="4"/>
      <c r="BR633" s="8"/>
      <c r="BS633" s="7"/>
      <c r="BT633" s="7"/>
      <c r="BU633" s="2" t="s">
        <v>2921</v>
      </c>
      <c r="BV633" s="2" t="s">
        <v>243</v>
      </c>
      <c r="BW633" s="2" t="s">
        <v>235</v>
      </c>
      <c r="BX633" s="2" t="s">
        <v>244</v>
      </c>
      <c r="BY633" s="2" t="s">
        <v>245</v>
      </c>
      <c r="BZ633" s="2" t="s">
        <v>232</v>
      </c>
      <c r="CA633" s="2" t="s">
        <v>1701</v>
      </c>
      <c r="CB633" s="2" t="s">
        <v>235</v>
      </c>
      <c r="CC633" s="2" t="s">
        <v>248</v>
      </c>
      <c r="CD633" s="2" t="s">
        <v>248</v>
      </c>
      <c r="CE633" s="2" t="s">
        <v>235</v>
      </c>
      <c r="CF633" s="4">
        <v>30</v>
      </c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>
        <v>50</v>
      </c>
      <c r="DI633" s="4"/>
      <c r="DJ633" s="4"/>
      <c r="DK633" s="4"/>
      <c r="DL633" s="4"/>
      <c r="DM633" s="4"/>
      <c r="DN633" s="4"/>
      <c r="DO633" s="4">
        <v>48</v>
      </c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>
        <v>188</v>
      </c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>
        <v>31</v>
      </c>
      <c r="GE633" s="4">
        <v>26</v>
      </c>
      <c r="GF633" s="4">
        <v>22</v>
      </c>
      <c r="GG633" s="4">
        <v>68</v>
      </c>
      <c r="GH633" s="4">
        <v>63</v>
      </c>
      <c r="GI633" s="4">
        <v>100</v>
      </c>
      <c r="GJ633" s="4">
        <v>86</v>
      </c>
      <c r="GK633" s="4">
        <v>75</v>
      </c>
      <c r="GL633" s="4">
        <v>64</v>
      </c>
      <c r="GM633" s="4">
        <v>242</v>
      </c>
      <c r="GN633" s="4">
        <v>228</v>
      </c>
      <c r="GO633" s="4">
        <v>210</v>
      </c>
      <c r="GP633" s="4">
        <v>184</v>
      </c>
      <c r="GQ633" s="4">
        <v>133</v>
      </c>
      <c r="GR633" s="4">
        <v>109</v>
      </c>
      <c r="GS633" s="4">
        <v>86</v>
      </c>
      <c r="GT633" s="4">
        <v>71</v>
      </c>
      <c r="GU633" s="4">
        <v>60</v>
      </c>
      <c r="GV633" s="4">
        <v>47</v>
      </c>
      <c r="GW633" s="4">
        <v>37</v>
      </c>
      <c r="GX633" s="4">
        <v>30</v>
      </c>
      <c r="GY633" s="4">
        <v>24</v>
      </c>
      <c r="GZ633" s="4">
        <v>17</v>
      </c>
      <c r="HA633" s="4">
        <v>10</v>
      </c>
      <c r="HB633" s="4">
        <v>3</v>
      </c>
      <c r="HC633" s="4"/>
      <c r="HD633" s="19">
        <v>7.8</v>
      </c>
      <c r="HE633" s="19">
        <v>4.3</v>
      </c>
      <c r="HF633" s="19">
        <v>2.8</v>
      </c>
      <c r="HG633" s="19">
        <v>6.8</v>
      </c>
      <c r="HH633" s="19">
        <v>5.3</v>
      </c>
      <c r="HI633" s="19">
        <v>8.3</v>
      </c>
      <c r="HJ633" s="19">
        <v>7.2</v>
      </c>
      <c r="HK633" s="19">
        <v>5.8</v>
      </c>
      <c r="HL633" s="19">
        <v>3.8</v>
      </c>
      <c r="HM633" s="19">
        <v>9</v>
      </c>
      <c r="HN633" s="19">
        <v>7.6</v>
      </c>
      <c r="HO633" s="19">
        <v>6.8</v>
      </c>
      <c r="HP633" s="19">
        <v>6.6</v>
      </c>
      <c r="HQ633" s="19">
        <v>7.4</v>
      </c>
      <c r="HR633" s="19">
        <v>6.8</v>
      </c>
      <c r="HS633" s="19">
        <v>7.2</v>
      </c>
      <c r="HT633" s="19">
        <v>7.1</v>
      </c>
      <c r="HU633" s="19">
        <v>6.7</v>
      </c>
      <c r="HV633" s="19">
        <v>5.9</v>
      </c>
      <c r="HW633" s="19">
        <v>5.3</v>
      </c>
      <c r="HX633" s="19">
        <v>4.3</v>
      </c>
      <c r="HY633" s="19">
        <v>3.4</v>
      </c>
      <c r="HZ633" s="19">
        <v>2.8</v>
      </c>
      <c r="IA633" s="19">
        <v>2</v>
      </c>
      <c r="IB633" s="19">
        <v>0.8</v>
      </c>
      <c r="IC633" s="20">
        <v>0</v>
      </c>
    </row>
    <row r="634">
      <c r="A634" s="2" t="s">
        <v>2929</v>
      </c>
      <c r="B634" s="2" t="s">
        <v>323</v>
      </c>
      <c r="C634" s="2" t="s">
        <v>980</v>
      </c>
      <c r="D634" s="2" t="s">
        <v>257</v>
      </c>
      <c r="E634" s="2" t="s">
        <v>258</v>
      </c>
      <c r="F634" s="2" t="s">
        <v>2905</v>
      </c>
      <c r="G634" s="2" t="s">
        <v>2905</v>
      </c>
      <c r="H634" s="2" t="s">
        <v>2905</v>
      </c>
      <c r="I634" s="2" t="s">
        <v>405</v>
      </c>
      <c r="J634" s="2" t="s">
        <v>250</v>
      </c>
      <c r="K634" s="2" t="s">
        <v>2930</v>
      </c>
      <c r="L634" s="3">
        <v>21.78</v>
      </c>
      <c r="M634" s="3">
        <v>22.87</v>
      </c>
      <c r="N634" s="3">
        <v>49.99</v>
      </c>
      <c r="O634" s="2" t="s">
        <v>485</v>
      </c>
      <c r="P634" s="2" t="s">
        <v>408</v>
      </c>
      <c r="Q634" s="2" t="s">
        <v>234</v>
      </c>
      <c r="R634" s="2" t="s">
        <v>235</v>
      </c>
      <c r="S634" s="2" t="s">
        <v>2931</v>
      </c>
      <c r="T634" s="2" t="s">
        <v>2908</v>
      </c>
      <c r="U634" s="2" t="s">
        <v>235</v>
      </c>
      <c r="V634" s="2" t="s">
        <v>2919</v>
      </c>
      <c r="W634" s="2" t="s">
        <v>1798</v>
      </c>
      <c r="X634" s="2" t="s">
        <v>235</v>
      </c>
      <c r="Y634" s="2" t="s">
        <v>2932</v>
      </c>
      <c r="Z634" s="4"/>
      <c r="AA634" s="4">
        <f>=ROUNDDOWN({0},0)</f>
      </c>
      <c r="AB634" s="5">
        <v>3.2</v>
      </c>
      <c r="AC634" s="2" t="s">
        <v>235</v>
      </c>
      <c r="AD634" s="4"/>
      <c r="AE634" s="4"/>
      <c r="AF634" s="6">
        <v>78</v>
      </c>
      <c r="AG634" s="6"/>
      <c r="AH634" s="7">
        <v>0.8387</v>
      </c>
      <c r="AI634" s="4"/>
      <c r="AJ634" s="4">
        <f>=ROUNDDOWN({0},0)</f>
      </c>
      <c r="AK634" s="5"/>
      <c r="AL634" s="2" t="s">
        <v>235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235</v>
      </c>
      <c r="BD634" s="8" t="s">
        <v>235</v>
      </c>
      <c r="BE634" s="4" t="s">
        <v>235</v>
      </c>
      <c r="BF634" s="8" t="s">
        <v>235</v>
      </c>
      <c r="BG634" s="7" t="s">
        <v>235</v>
      </c>
      <c r="BH634" s="7" t="s">
        <v>235</v>
      </c>
      <c r="BI634" s="7"/>
      <c r="BJ634" s="4">
        <v>5</v>
      </c>
      <c r="BK634" s="8">
        <v>111.04</v>
      </c>
      <c r="BL634" s="2" t="s">
        <v>422</v>
      </c>
      <c r="BM634" s="7"/>
      <c r="BN634" s="7"/>
      <c r="BO634" s="4"/>
      <c r="BP634" s="8"/>
      <c r="BQ634" s="4"/>
      <c r="BR634" s="8"/>
      <c r="BS634" s="7"/>
      <c r="BT634" s="7"/>
      <c r="BU634" s="2" t="s">
        <v>2921</v>
      </c>
      <c r="BV634" s="2" t="s">
        <v>243</v>
      </c>
      <c r="BW634" s="2" t="s">
        <v>235</v>
      </c>
      <c r="BX634" s="2" t="s">
        <v>414</v>
      </c>
      <c r="BY634" s="2" t="s">
        <v>245</v>
      </c>
      <c r="BZ634" s="2" t="s">
        <v>232</v>
      </c>
      <c r="CA634" s="2" t="s">
        <v>2933</v>
      </c>
      <c r="CB634" s="2" t="s">
        <v>2934</v>
      </c>
      <c r="CC634" s="2" t="s">
        <v>492</v>
      </c>
      <c r="CD634" s="2" t="s">
        <v>248</v>
      </c>
      <c r="CE634" s="2" t="s">
        <v>235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>
        <v>48</v>
      </c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19">
        <v>3.7</v>
      </c>
      <c r="HE634" s="20">
        <v>0</v>
      </c>
      <c r="HF634" s="20">
        <v>0</v>
      </c>
      <c r="HG634" s="20">
        <v>0</v>
      </c>
      <c r="HH634" s="20">
        <v>0</v>
      </c>
      <c r="HI634" s="20">
        <v>0</v>
      </c>
      <c r="HJ634" s="20">
        <v>0</v>
      </c>
      <c r="HK634" s="20">
        <v>0</v>
      </c>
      <c r="HL634" s="20">
        <v>0</v>
      </c>
      <c r="HM634" s="20">
        <v>0</v>
      </c>
      <c r="HN634" s="20">
        <v>0</v>
      </c>
      <c r="HO634" s="20">
        <v>0</v>
      </c>
      <c r="HP634" s="20">
        <v>0</v>
      </c>
      <c r="HQ634" s="20">
        <v>0</v>
      </c>
      <c r="HR634" s="20">
        <v>0</v>
      </c>
      <c r="HS634" s="20">
        <v>0</v>
      </c>
      <c r="HT634" s="20">
        <v>0</v>
      </c>
      <c r="HU634" s="20">
        <v>0</v>
      </c>
      <c r="HV634" s="20">
        <v>0</v>
      </c>
      <c r="HW634" s="20">
        <v>0</v>
      </c>
      <c r="HX634" s="20">
        <v>0</v>
      </c>
      <c r="HY634" s="20">
        <v>0</v>
      </c>
      <c r="HZ634" s="20">
        <v>0</v>
      </c>
      <c r="IA634" s="20">
        <v>0</v>
      </c>
      <c r="IB634" s="20">
        <v>0</v>
      </c>
      <c r="IC634" s="20">
        <v>0</v>
      </c>
    </row>
    <row r="635">
      <c r="A635" s="2" t="s">
        <v>2935</v>
      </c>
      <c r="B635" s="2" t="s">
        <v>323</v>
      </c>
      <c r="C635" s="2" t="s">
        <v>980</v>
      </c>
      <c r="D635" s="2" t="s">
        <v>257</v>
      </c>
      <c r="E635" s="2" t="s">
        <v>258</v>
      </c>
      <c r="F635" s="2" t="s">
        <v>2905</v>
      </c>
      <c r="G635" s="2" t="s">
        <v>2905</v>
      </c>
      <c r="H635" s="2" t="s">
        <v>2905</v>
      </c>
      <c r="I635" s="2" t="s">
        <v>405</v>
      </c>
      <c r="J635" s="2" t="s">
        <v>270</v>
      </c>
      <c r="K635" s="2" t="s">
        <v>2936</v>
      </c>
      <c r="L635" s="3">
        <v>28.98</v>
      </c>
      <c r="M635" s="3">
        <v>30.43</v>
      </c>
      <c r="N635" s="3">
        <v>64.99</v>
      </c>
      <c r="O635" s="2" t="s">
        <v>232</v>
      </c>
      <c r="P635" s="2" t="s">
        <v>233</v>
      </c>
      <c r="Q635" s="2" t="s">
        <v>234</v>
      </c>
      <c r="R635" s="2" t="s">
        <v>235</v>
      </c>
      <c r="S635" s="2" t="s">
        <v>2937</v>
      </c>
      <c r="T635" s="2" t="s">
        <v>2908</v>
      </c>
      <c r="U635" s="2" t="s">
        <v>235</v>
      </c>
      <c r="V635" s="2" t="s">
        <v>1222</v>
      </c>
      <c r="W635" s="2" t="s">
        <v>1798</v>
      </c>
      <c r="X635" s="2" t="s">
        <v>239</v>
      </c>
      <c r="Y635" s="2" t="s">
        <v>2938</v>
      </c>
      <c r="Z635" s="4">
        <v>149</v>
      </c>
      <c r="AA635" s="4">
        <f>=ROUNDDOWN(8.76470588235294,0)</f>
      </c>
      <c r="AB635" s="5">
        <v>17</v>
      </c>
      <c r="AC635" s="2" t="s">
        <v>2122</v>
      </c>
      <c r="AD635" s="4">
        <v>150</v>
      </c>
      <c r="AE635" s="4">
        <v>488</v>
      </c>
      <c r="AF635" s="6">
        <v>78</v>
      </c>
      <c r="AG635" s="6"/>
      <c r="AH635" s="7">
        <v>0</v>
      </c>
      <c r="AI635" s="4"/>
      <c r="AJ635" s="4">
        <f>=ROUNDDOWN({0},0)</f>
      </c>
      <c r="AK635" s="5"/>
      <c r="AL635" s="2" t="s">
        <v>235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235</v>
      </c>
      <c r="AW635" s="8" t="s">
        <v>235</v>
      </c>
      <c r="AX635" s="4" t="s">
        <v>235</v>
      </c>
      <c r="AY635" s="8" t="s">
        <v>235</v>
      </c>
      <c r="AZ635" s="7" t="s">
        <v>235</v>
      </c>
      <c r="BA635" s="7" t="s">
        <v>235</v>
      </c>
      <c r="BB635" s="7"/>
      <c r="BC635" s="4" t="s">
        <v>235</v>
      </c>
      <c r="BD635" s="8" t="s">
        <v>235</v>
      </c>
      <c r="BE635" s="4" t="s">
        <v>235</v>
      </c>
      <c r="BF635" s="8" t="s">
        <v>235</v>
      </c>
      <c r="BG635" s="7" t="s">
        <v>235</v>
      </c>
      <c r="BH635" s="7" t="s">
        <v>235</v>
      </c>
      <c r="BI635" s="7"/>
      <c r="BJ635" s="4"/>
      <c r="BK635" s="8"/>
      <c r="BL635" s="2" t="s">
        <v>2939</v>
      </c>
      <c r="BM635" s="7"/>
      <c r="BN635" s="7"/>
      <c r="BO635" s="4"/>
      <c r="BP635" s="8"/>
      <c r="BQ635" s="4"/>
      <c r="BR635" s="8"/>
      <c r="BS635" s="7"/>
      <c r="BT635" s="7"/>
      <c r="BU635" s="2" t="s">
        <v>2921</v>
      </c>
      <c r="BV635" s="2" t="s">
        <v>243</v>
      </c>
      <c r="BW635" s="2" t="s">
        <v>235</v>
      </c>
      <c r="BX635" s="2" t="s">
        <v>244</v>
      </c>
      <c r="BY635" s="2" t="s">
        <v>245</v>
      </c>
      <c r="BZ635" s="2" t="s">
        <v>232</v>
      </c>
      <c r="CA635" s="2" t="s">
        <v>1924</v>
      </c>
      <c r="CB635" s="2" t="s">
        <v>770</v>
      </c>
      <c r="CC635" s="2" t="s">
        <v>248</v>
      </c>
      <c r="CD635" s="2" t="s">
        <v>248</v>
      </c>
      <c r="CE635" s="2" t="s">
        <v>235</v>
      </c>
      <c r="CF635" s="4">
        <v>149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>
        <v>150</v>
      </c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>
        <v>230</v>
      </c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>
        <v>108</v>
      </c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>
        <v>149</v>
      </c>
      <c r="GE635" s="4">
        <v>107</v>
      </c>
      <c r="GF635" s="4">
        <v>95</v>
      </c>
      <c r="GG635" s="4">
        <v>229</v>
      </c>
      <c r="GH635" s="4">
        <v>211</v>
      </c>
      <c r="GI635" s="4">
        <v>181</v>
      </c>
      <c r="GJ635" s="4">
        <v>133</v>
      </c>
      <c r="GK635" s="4">
        <v>105</v>
      </c>
      <c r="GL635" s="4">
        <v>307</v>
      </c>
      <c r="GM635" s="4">
        <v>285</v>
      </c>
      <c r="GN635" s="4">
        <v>259</v>
      </c>
      <c r="GO635" s="4">
        <v>336</v>
      </c>
      <c r="GP635" s="4">
        <v>295</v>
      </c>
      <c r="GQ635" s="4">
        <v>222</v>
      </c>
      <c r="GR635" s="4">
        <v>186</v>
      </c>
      <c r="GS635" s="4">
        <v>151</v>
      </c>
      <c r="GT635" s="4">
        <v>127</v>
      </c>
      <c r="GU635" s="4">
        <v>109</v>
      </c>
      <c r="GV635" s="4">
        <v>88</v>
      </c>
      <c r="GW635" s="4">
        <v>73</v>
      </c>
      <c r="GX635" s="4">
        <v>61</v>
      </c>
      <c r="GY635" s="4">
        <v>214</v>
      </c>
      <c r="GZ635" s="4">
        <v>203</v>
      </c>
      <c r="HA635" s="4">
        <v>192</v>
      </c>
      <c r="HB635" s="4">
        <v>181</v>
      </c>
      <c r="HC635" s="4">
        <v>170</v>
      </c>
      <c r="HD635" s="19">
        <v>6.8</v>
      </c>
      <c r="HE635" s="19">
        <v>5.6</v>
      </c>
      <c r="HF635" s="19">
        <v>3.4</v>
      </c>
      <c r="HG635" s="19">
        <v>7.4</v>
      </c>
      <c r="HH635" s="19">
        <v>6.2</v>
      </c>
      <c r="HI635" s="19">
        <v>5.7</v>
      </c>
      <c r="HJ635" s="19">
        <v>5.1</v>
      </c>
      <c r="HK635" s="19">
        <v>3.9</v>
      </c>
      <c r="HL635" s="19">
        <v>10.2</v>
      </c>
      <c r="HM635" s="19">
        <v>6.6</v>
      </c>
      <c r="HN635" s="19">
        <v>5.8</v>
      </c>
      <c r="HO635" s="19">
        <v>7.3</v>
      </c>
      <c r="HP635" s="19">
        <v>7</v>
      </c>
      <c r="HQ635" s="19">
        <v>7.9</v>
      </c>
      <c r="HR635" s="19">
        <v>7.8</v>
      </c>
      <c r="HS635" s="19">
        <v>7.6</v>
      </c>
      <c r="HT635" s="19">
        <v>7.9</v>
      </c>
      <c r="HU635" s="19">
        <v>7.8</v>
      </c>
      <c r="HV635" s="19">
        <v>7.3</v>
      </c>
      <c r="HW635" s="19">
        <v>6.6</v>
      </c>
      <c r="HX635" s="19">
        <v>5.5</v>
      </c>
      <c r="HY635" s="19">
        <v>19.5</v>
      </c>
      <c r="HZ635" s="19">
        <v>20.3</v>
      </c>
      <c r="IA635" s="19">
        <v>19.2</v>
      </c>
      <c r="IB635" s="19">
        <v>20.1</v>
      </c>
      <c r="IC635" s="19">
        <v>21.3</v>
      </c>
    </row>
    <row r="636">
      <c r="A636" s="2" t="s">
        <v>2940</v>
      </c>
      <c r="B636" s="2" t="s">
        <v>323</v>
      </c>
      <c r="C636" s="2" t="s">
        <v>980</v>
      </c>
      <c r="D636" s="2" t="s">
        <v>257</v>
      </c>
      <c r="E636" s="2" t="s">
        <v>258</v>
      </c>
      <c r="F636" s="2" t="s">
        <v>2905</v>
      </c>
      <c r="G636" s="2" t="s">
        <v>2905</v>
      </c>
      <c r="H636" s="2" t="s">
        <v>2905</v>
      </c>
      <c r="I636" s="2" t="s">
        <v>405</v>
      </c>
      <c r="J636" s="2" t="s">
        <v>272</v>
      </c>
      <c r="K636" s="2" t="s">
        <v>2936</v>
      </c>
      <c r="L636" s="3">
        <v>28.98</v>
      </c>
      <c r="M636" s="3">
        <v>30.43</v>
      </c>
      <c r="N636" s="3">
        <v>64.99</v>
      </c>
      <c r="O636" s="2" t="s">
        <v>232</v>
      </c>
      <c r="P636" s="2" t="s">
        <v>233</v>
      </c>
      <c r="Q636" s="2" t="s">
        <v>234</v>
      </c>
      <c r="R636" s="2" t="s">
        <v>235</v>
      </c>
      <c r="S636" s="2" t="s">
        <v>2937</v>
      </c>
      <c r="T636" s="2" t="s">
        <v>2908</v>
      </c>
      <c r="U636" s="2" t="s">
        <v>235</v>
      </c>
      <c r="V636" s="2" t="s">
        <v>1222</v>
      </c>
      <c r="W636" s="2" t="s">
        <v>1798</v>
      </c>
      <c r="X636" s="2" t="s">
        <v>239</v>
      </c>
      <c r="Y636" s="2" t="s">
        <v>2938</v>
      </c>
      <c r="Z636" s="4">
        <v>104</v>
      </c>
      <c r="AA636" s="4">
        <f>=ROUNDDOWN(13,0)</f>
      </c>
      <c r="AB636" s="5">
        <v>8</v>
      </c>
      <c r="AC636" s="2" t="s">
        <v>2122</v>
      </c>
      <c r="AD636" s="4">
        <v>60</v>
      </c>
      <c r="AE636" s="4">
        <v>224</v>
      </c>
      <c r="AF636" s="6">
        <v>78</v>
      </c>
      <c r="AG636" s="6"/>
      <c r="AH636" s="7">
        <v>1</v>
      </c>
      <c r="AI636" s="4"/>
      <c r="AJ636" s="4">
        <f>=ROUNDDOWN({0},0)</f>
      </c>
      <c r="AK636" s="5"/>
      <c r="AL636" s="2" t="s">
        <v>235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235</v>
      </c>
      <c r="AW636" s="8" t="s">
        <v>235</v>
      </c>
      <c r="AX636" s="4" t="s">
        <v>235</v>
      </c>
      <c r="AY636" s="8" t="s">
        <v>235</v>
      </c>
      <c r="AZ636" s="7" t="s">
        <v>235</v>
      </c>
      <c r="BA636" s="7" t="s">
        <v>235</v>
      </c>
      <c r="BB636" s="7"/>
      <c r="BC636" s="4" t="s">
        <v>235</v>
      </c>
      <c r="BD636" s="8" t="s">
        <v>235</v>
      </c>
      <c r="BE636" s="4" t="s">
        <v>235</v>
      </c>
      <c r="BF636" s="8" t="s">
        <v>235</v>
      </c>
      <c r="BG636" s="7" t="s">
        <v>235</v>
      </c>
      <c r="BH636" s="7" t="s">
        <v>235</v>
      </c>
      <c r="BI636" s="7"/>
      <c r="BJ636" s="4">
        <v>7</v>
      </c>
      <c r="BK636" s="8">
        <v>229.52</v>
      </c>
      <c r="BL636" s="2" t="s">
        <v>2941</v>
      </c>
      <c r="BM636" s="7"/>
      <c r="BN636" s="7"/>
      <c r="BO636" s="4"/>
      <c r="BP636" s="8"/>
      <c r="BQ636" s="4"/>
      <c r="BR636" s="8"/>
      <c r="BS636" s="7"/>
      <c r="BT636" s="7"/>
      <c r="BU636" s="2" t="s">
        <v>2921</v>
      </c>
      <c r="BV636" s="2" t="s">
        <v>243</v>
      </c>
      <c r="BW636" s="2" t="s">
        <v>235</v>
      </c>
      <c r="BX636" s="2" t="s">
        <v>244</v>
      </c>
      <c r="BY636" s="2" t="s">
        <v>245</v>
      </c>
      <c r="BZ636" s="2" t="s">
        <v>232</v>
      </c>
      <c r="CA636" s="2" t="s">
        <v>1924</v>
      </c>
      <c r="CB636" s="2" t="s">
        <v>2942</v>
      </c>
      <c r="CC636" s="2" t="s">
        <v>248</v>
      </c>
      <c r="CD636" s="2" t="s">
        <v>248</v>
      </c>
      <c r="CE636" s="2" t="s">
        <v>235</v>
      </c>
      <c r="CF636" s="4">
        <v>81</v>
      </c>
      <c r="CG636" s="4"/>
      <c r="CH636" s="4"/>
      <c r="CI636" s="4"/>
      <c r="CJ636" s="4"/>
      <c r="CK636" s="4"/>
      <c r="CL636" s="4"/>
      <c r="CM636" s="4">
        <v>23</v>
      </c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>
        <v>60</v>
      </c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>
        <v>105</v>
      </c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>
        <v>59</v>
      </c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>
        <v>104</v>
      </c>
      <c r="GE636" s="4">
        <v>96</v>
      </c>
      <c r="GF636" s="4">
        <v>90</v>
      </c>
      <c r="GG636" s="4">
        <v>142</v>
      </c>
      <c r="GH636" s="4">
        <v>133</v>
      </c>
      <c r="GI636" s="4">
        <v>119</v>
      </c>
      <c r="GJ636" s="4">
        <v>95</v>
      </c>
      <c r="GK636" s="4">
        <v>81</v>
      </c>
      <c r="GL636" s="4">
        <v>173</v>
      </c>
      <c r="GM636" s="4">
        <v>163</v>
      </c>
      <c r="GN636" s="4">
        <v>151</v>
      </c>
      <c r="GO636" s="4">
        <v>195</v>
      </c>
      <c r="GP636" s="4">
        <v>176</v>
      </c>
      <c r="GQ636" s="4">
        <v>143</v>
      </c>
      <c r="GR636" s="4">
        <v>126</v>
      </c>
      <c r="GS636" s="4">
        <v>110</v>
      </c>
      <c r="GT636" s="4">
        <v>99</v>
      </c>
      <c r="GU636" s="4">
        <v>90</v>
      </c>
      <c r="GV636" s="4">
        <v>80</v>
      </c>
      <c r="GW636" s="4">
        <v>72</v>
      </c>
      <c r="GX636" s="4">
        <v>66</v>
      </c>
      <c r="GY636" s="4">
        <v>113</v>
      </c>
      <c r="GZ636" s="4">
        <v>107</v>
      </c>
      <c r="HA636" s="4">
        <v>101</v>
      </c>
      <c r="HB636" s="4">
        <v>95</v>
      </c>
      <c r="HC636" s="4">
        <v>89</v>
      </c>
      <c r="HD636" s="19">
        <v>13</v>
      </c>
      <c r="HE636" s="19">
        <v>10.7</v>
      </c>
      <c r="HF636" s="19">
        <v>6.4</v>
      </c>
      <c r="HG636" s="19">
        <v>9.5</v>
      </c>
      <c r="HH636" s="19">
        <v>8.3</v>
      </c>
      <c r="HI636" s="19">
        <v>7.9</v>
      </c>
      <c r="HJ636" s="19">
        <v>7.9</v>
      </c>
      <c r="HK636" s="19">
        <v>6.8</v>
      </c>
      <c r="HL636" s="19">
        <v>12.4</v>
      </c>
      <c r="HM636" s="19">
        <v>8.2</v>
      </c>
      <c r="HN636" s="19">
        <v>7.2</v>
      </c>
      <c r="HO636" s="19">
        <v>9.3</v>
      </c>
      <c r="HP636" s="19">
        <v>9.3</v>
      </c>
      <c r="HQ636" s="19">
        <v>11</v>
      </c>
      <c r="HR636" s="19">
        <v>10.5</v>
      </c>
      <c r="HS636" s="19">
        <v>11</v>
      </c>
      <c r="HT636" s="19">
        <v>12.4</v>
      </c>
      <c r="HU636" s="19">
        <v>12.9</v>
      </c>
      <c r="HV636" s="19">
        <v>13.3</v>
      </c>
      <c r="HW636" s="19">
        <v>12</v>
      </c>
      <c r="HX636" s="19">
        <v>11</v>
      </c>
      <c r="HY636" s="19">
        <v>18.8</v>
      </c>
      <c r="HZ636" s="19">
        <v>17.8</v>
      </c>
      <c r="IA636" s="19">
        <v>16.8</v>
      </c>
      <c r="IB636" s="19">
        <v>19</v>
      </c>
      <c r="IC636" s="19">
        <v>22.3</v>
      </c>
    </row>
    <row r="637">
      <c r="A637" s="2" t="s">
        <v>2943</v>
      </c>
      <c r="B637" s="2" t="s">
        <v>323</v>
      </c>
      <c r="C637" s="2" t="s">
        <v>980</v>
      </c>
      <c r="D637" s="2" t="s">
        <v>257</v>
      </c>
      <c r="E637" s="2" t="s">
        <v>258</v>
      </c>
      <c r="F637" s="2" t="s">
        <v>2905</v>
      </c>
      <c r="G637" s="2" t="s">
        <v>2905</v>
      </c>
      <c r="H637" s="2" t="s">
        <v>2905</v>
      </c>
      <c r="I637" s="2" t="s">
        <v>405</v>
      </c>
      <c r="J637" s="2" t="s">
        <v>272</v>
      </c>
      <c r="K637" s="2" t="s">
        <v>2944</v>
      </c>
      <c r="L637" s="3">
        <v>28.98</v>
      </c>
      <c r="M637" s="3">
        <v>30.43</v>
      </c>
      <c r="N637" s="3">
        <v>64.99</v>
      </c>
      <c r="O637" s="2" t="s">
        <v>232</v>
      </c>
      <c r="P637" s="2" t="s">
        <v>233</v>
      </c>
      <c r="Q637" s="2" t="s">
        <v>234</v>
      </c>
      <c r="R637" s="2" t="s">
        <v>235</v>
      </c>
      <c r="S637" s="2" t="s">
        <v>2945</v>
      </c>
      <c r="T637" s="2" t="s">
        <v>2908</v>
      </c>
      <c r="U637" s="2" t="s">
        <v>264</v>
      </c>
      <c r="V637" s="2" t="s">
        <v>2919</v>
      </c>
      <c r="W637" s="2" t="s">
        <v>1798</v>
      </c>
      <c r="X637" s="2" t="s">
        <v>239</v>
      </c>
      <c r="Y637" s="2" t="s">
        <v>2946</v>
      </c>
      <c r="Z637" s="4">
        <v>120</v>
      </c>
      <c r="AA637" s="4">
        <f>=ROUNDDOWN(30,0)</f>
      </c>
      <c r="AB637" s="5">
        <v>4</v>
      </c>
      <c r="AC637" s="2" t="s">
        <v>235</v>
      </c>
      <c r="AD637" s="4"/>
      <c r="AE637" s="4"/>
      <c r="AF637" s="6">
        <v>83</v>
      </c>
      <c r="AG637" s="6"/>
      <c r="AH637" s="7">
        <v>1</v>
      </c>
      <c r="AI637" s="4"/>
      <c r="AJ637" s="4">
        <f>=ROUNDDOWN({0},0)</f>
      </c>
      <c r="AK637" s="5"/>
      <c r="AL637" s="2" t="s">
        <v>235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235</v>
      </c>
      <c r="BD637" s="8" t="s">
        <v>235</v>
      </c>
      <c r="BE637" s="4" t="s">
        <v>235</v>
      </c>
      <c r="BF637" s="8" t="s">
        <v>235</v>
      </c>
      <c r="BG637" s="7" t="s">
        <v>235</v>
      </c>
      <c r="BH637" s="7" t="s">
        <v>235</v>
      </c>
      <c r="BI637" s="7"/>
      <c r="BJ637" s="4">
        <v>12</v>
      </c>
      <c r="BK637" s="8">
        <v>425.62</v>
      </c>
      <c r="BL637" s="2" t="s">
        <v>2947</v>
      </c>
      <c r="BM637" s="7"/>
      <c r="BN637" s="7"/>
      <c r="BO637" s="4"/>
      <c r="BP637" s="8"/>
      <c r="BQ637" s="4"/>
      <c r="BR637" s="8"/>
      <c r="BS637" s="7"/>
      <c r="BT637" s="7"/>
      <c r="BU637" s="2" t="s">
        <v>2921</v>
      </c>
      <c r="BV637" s="2" t="s">
        <v>243</v>
      </c>
      <c r="BW637" s="2" t="s">
        <v>235</v>
      </c>
      <c r="BX637" s="2" t="s">
        <v>244</v>
      </c>
      <c r="BY637" s="2" t="s">
        <v>245</v>
      </c>
      <c r="BZ637" s="2" t="s">
        <v>232</v>
      </c>
      <c r="CA637" s="2" t="s">
        <v>2948</v>
      </c>
      <c r="CB637" s="2" t="s">
        <v>2949</v>
      </c>
      <c r="CC637" s="2" t="s">
        <v>248</v>
      </c>
      <c r="CD637" s="2" t="s">
        <v>248</v>
      </c>
      <c r="CE637" s="2" t="s">
        <v>235</v>
      </c>
      <c r="CF637" s="4">
        <v>71</v>
      </c>
      <c r="CG637" s="4">
        <v>49</v>
      </c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>
        <v>124</v>
      </c>
      <c r="GE637" s="4">
        <v>119</v>
      </c>
      <c r="GF637" s="4">
        <v>117</v>
      </c>
      <c r="GG637" s="4">
        <v>115</v>
      </c>
      <c r="GH637" s="4">
        <v>113</v>
      </c>
      <c r="GI637" s="4">
        <v>107</v>
      </c>
      <c r="GJ637" s="4">
        <v>98</v>
      </c>
      <c r="GK637" s="4">
        <v>92</v>
      </c>
      <c r="GL637" s="4">
        <v>86</v>
      </c>
      <c r="GM637" s="4">
        <v>81</v>
      </c>
      <c r="GN637" s="4">
        <v>75</v>
      </c>
      <c r="GO637" s="4">
        <v>67</v>
      </c>
      <c r="GP637" s="4">
        <v>57</v>
      </c>
      <c r="GQ637" s="4">
        <v>37</v>
      </c>
      <c r="GR637" s="4">
        <v>27</v>
      </c>
      <c r="GS637" s="4">
        <v>18</v>
      </c>
      <c r="GT637" s="4">
        <v>12</v>
      </c>
      <c r="GU637" s="4">
        <v>7</v>
      </c>
      <c r="GV637" s="4">
        <v>1</v>
      </c>
      <c r="GW637" s="4"/>
      <c r="GX637" s="4"/>
      <c r="GY637" s="4"/>
      <c r="GZ637" s="4"/>
      <c r="HA637" s="4"/>
      <c r="HB637" s="4"/>
      <c r="HC637" s="4"/>
      <c r="HD637" s="19">
        <v>41.3</v>
      </c>
      <c r="HE637" s="19">
        <v>39.7</v>
      </c>
      <c r="HF637" s="19">
        <v>23.4</v>
      </c>
      <c r="HG637" s="19">
        <v>19.2</v>
      </c>
      <c r="HH637" s="19">
        <v>16.1</v>
      </c>
      <c r="HI637" s="19">
        <v>17.8</v>
      </c>
      <c r="HJ637" s="19">
        <v>16.3</v>
      </c>
      <c r="HK637" s="19">
        <v>15.3</v>
      </c>
      <c r="HL637" s="19">
        <v>12.3</v>
      </c>
      <c r="HM637" s="19">
        <v>7.4</v>
      </c>
      <c r="HN637" s="19">
        <v>6.3</v>
      </c>
      <c r="HO637" s="19">
        <v>5.6</v>
      </c>
      <c r="HP637" s="19">
        <v>5.2</v>
      </c>
      <c r="HQ637" s="19">
        <v>4.6</v>
      </c>
      <c r="HR637" s="19">
        <v>4.5</v>
      </c>
      <c r="HS637" s="19">
        <v>3.6</v>
      </c>
      <c r="HT637" s="19">
        <v>3</v>
      </c>
      <c r="HU637" s="19">
        <v>2.3</v>
      </c>
      <c r="HV637" s="19">
        <v>0.5</v>
      </c>
      <c r="HW637" s="20">
        <v>0</v>
      </c>
      <c r="HX637" s="20">
        <v>0</v>
      </c>
      <c r="HY637" s="20">
        <v>0</v>
      </c>
      <c r="HZ637" s="20">
        <v>0</v>
      </c>
      <c r="IA637" s="20">
        <v>0</v>
      </c>
      <c r="IB637" s="20">
        <v>0</v>
      </c>
      <c r="IC637" s="20">
        <v>0</v>
      </c>
    </row>
    <row r="638">
      <c r="A638" s="2" t="s">
        <v>2950</v>
      </c>
      <c r="B638" s="2" t="s">
        <v>323</v>
      </c>
      <c r="C638" s="2" t="s">
        <v>980</v>
      </c>
      <c r="D638" s="2" t="s">
        <v>257</v>
      </c>
      <c r="E638" s="2" t="s">
        <v>258</v>
      </c>
      <c r="F638" s="2" t="s">
        <v>2905</v>
      </c>
      <c r="G638" s="2" t="s">
        <v>2905</v>
      </c>
      <c r="H638" s="2" t="s">
        <v>2905</v>
      </c>
      <c r="I638" s="2" t="s">
        <v>405</v>
      </c>
      <c r="J638" s="2" t="s">
        <v>394</v>
      </c>
      <c r="K638" s="2" t="s">
        <v>2951</v>
      </c>
      <c r="L638" s="3">
        <v>19.8</v>
      </c>
      <c r="M638" s="3">
        <v>20.79</v>
      </c>
      <c r="N638" s="3">
        <v>44.99</v>
      </c>
      <c r="O638" s="2" t="s">
        <v>232</v>
      </c>
      <c r="P638" s="2" t="s">
        <v>233</v>
      </c>
      <c r="Q638" s="2" t="s">
        <v>234</v>
      </c>
      <c r="R638" s="2" t="s">
        <v>235</v>
      </c>
      <c r="S638" s="2" t="s">
        <v>2952</v>
      </c>
      <c r="T638" s="2" t="s">
        <v>2908</v>
      </c>
      <c r="U638" s="2" t="s">
        <v>552</v>
      </c>
      <c r="V638" s="2" t="s">
        <v>2919</v>
      </c>
      <c r="W638" s="2" t="s">
        <v>1798</v>
      </c>
      <c r="X638" s="2" t="s">
        <v>239</v>
      </c>
      <c r="Y638" s="2" t="s">
        <v>2953</v>
      </c>
      <c r="Z638" s="4">
        <v>539</v>
      </c>
      <c r="AA638" s="4">
        <f>=ROUNDDOWN(44.9166666666667,0)</f>
      </c>
      <c r="AB638" s="5">
        <v>12</v>
      </c>
      <c r="AC638" s="2" t="s">
        <v>235</v>
      </c>
      <c r="AD638" s="4"/>
      <c r="AE638" s="4"/>
      <c r="AF638" s="6">
        <v>82</v>
      </c>
      <c r="AG638" s="6"/>
      <c r="AH638" s="7">
        <v>1</v>
      </c>
      <c r="AI638" s="4"/>
      <c r="AJ638" s="4">
        <f>=ROUNDDOWN({0},0)</f>
      </c>
      <c r="AK638" s="5"/>
      <c r="AL638" s="2" t="s">
        <v>235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235</v>
      </c>
      <c r="AW638" s="8" t="s">
        <v>235</v>
      </c>
      <c r="AX638" s="4" t="s">
        <v>235</v>
      </c>
      <c r="AY638" s="8" t="s">
        <v>235</v>
      </c>
      <c r="AZ638" s="7" t="s">
        <v>235</v>
      </c>
      <c r="BA638" s="7" t="s">
        <v>235</v>
      </c>
      <c r="BB638" s="7"/>
      <c r="BC638" s="4" t="s">
        <v>235</v>
      </c>
      <c r="BD638" s="8" t="s">
        <v>235</v>
      </c>
      <c r="BE638" s="4" t="s">
        <v>235</v>
      </c>
      <c r="BF638" s="8" t="s">
        <v>235</v>
      </c>
      <c r="BG638" s="7" t="s">
        <v>235</v>
      </c>
      <c r="BH638" s="7" t="s">
        <v>235</v>
      </c>
      <c r="BI638" s="7"/>
      <c r="BJ638" s="4">
        <v>6</v>
      </c>
      <c r="BK638" s="8">
        <v>127.58</v>
      </c>
      <c r="BL638" s="2" t="s">
        <v>2767</v>
      </c>
      <c r="BM638" s="7"/>
      <c r="BN638" s="7"/>
      <c r="BO638" s="4"/>
      <c r="BP638" s="8"/>
      <c r="BQ638" s="4"/>
      <c r="BR638" s="8"/>
      <c r="BS638" s="7"/>
      <c r="BT638" s="7"/>
      <c r="BU638" s="2" t="s">
        <v>2921</v>
      </c>
      <c r="BV638" s="2" t="s">
        <v>243</v>
      </c>
      <c r="BW638" s="2" t="s">
        <v>235</v>
      </c>
      <c r="BX638" s="2" t="s">
        <v>244</v>
      </c>
      <c r="BY638" s="2" t="s">
        <v>245</v>
      </c>
      <c r="BZ638" s="2" t="s">
        <v>232</v>
      </c>
      <c r="CA638" s="2" t="s">
        <v>2954</v>
      </c>
      <c r="CB638" s="2" t="s">
        <v>235</v>
      </c>
      <c r="CC638" s="2" t="s">
        <v>248</v>
      </c>
      <c r="CD638" s="2" t="s">
        <v>248</v>
      </c>
      <c r="CE638" s="2" t="s">
        <v>235</v>
      </c>
      <c r="CF638" s="4">
        <v>539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>
        <v>540</v>
      </c>
      <c r="GE638" s="4">
        <v>534</v>
      </c>
      <c r="GF638" s="4">
        <v>527</v>
      </c>
      <c r="GG638" s="4">
        <v>519</v>
      </c>
      <c r="GH638" s="4">
        <v>510</v>
      </c>
      <c r="GI638" s="4">
        <v>494</v>
      </c>
      <c r="GJ638" s="4">
        <v>472</v>
      </c>
      <c r="GK638" s="4">
        <v>456</v>
      </c>
      <c r="GL638" s="4">
        <v>440</v>
      </c>
      <c r="GM638" s="4">
        <v>426</v>
      </c>
      <c r="GN638" s="4">
        <v>407</v>
      </c>
      <c r="GO638" s="4">
        <v>384</v>
      </c>
      <c r="GP638" s="4">
        <v>351</v>
      </c>
      <c r="GQ638" s="4">
        <v>287</v>
      </c>
      <c r="GR638" s="4">
        <v>257</v>
      </c>
      <c r="GS638" s="4">
        <v>228</v>
      </c>
      <c r="GT638" s="4">
        <v>209</v>
      </c>
      <c r="GU638" s="4">
        <v>195</v>
      </c>
      <c r="GV638" s="4">
        <v>179</v>
      </c>
      <c r="GW638" s="4">
        <v>167</v>
      </c>
      <c r="GX638" s="4">
        <v>158</v>
      </c>
      <c r="GY638" s="4">
        <v>151</v>
      </c>
      <c r="GZ638" s="4">
        <v>143</v>
      </c>
      <c r="HA638" s="4">
        <v>135</v>
      </c>
      <c r="HB638" s="4">
        <v>127</v>
      </c>
      <c r="HC638" s="4">
        <v>119</v>
      </c>
      <c r="HD638" s="19">
        <v>67.5</v>
      </c>
      <c r="HE638" s="19">
        <v>53.4</v>
      </c>
      <c r="HF638" s="19">
        <v>37.6</v>
      </c>
      <c r="HG638" s="19">
        <v>32.4</v>
      </c>
      <c r="HH638" s="19">
        <v>28.3</v>
      </c>
      <c r="HI638" s="19">
        <v>29.1</v>
      </c>
      <c r="HJ638" s="19">
        <v>29.5</v>
      </c>
      <c r="HK638" s="19">
        <v>25.3</v>
      </c>
      <c r="HL638" s="19">
        <v>20</v>
      </c>
      <c r="HM638" s="19">
        <v>12.2</v>
      </c>
      <c r="HN638" s="19">
        <v>10.7</v>
      </c>
      <c r="HO638" s="19">
        <v>9.8</v>
      </c>
      <c r="HP638" s="19">
        <v>9.8</v>
      </c>
      <c r="HQ638" s="19">
        <v>12.5</v>
      </c>
      <c r="HR638" s="19">
        <v>12.9</v>
      </c>
      <c r="HS638" s="19">
        <v>15.2</v>
      </c>
      <c r="HT638" s="19">
        <v>16.1</v>
      </c>
      <c r="HU638" s="19">
        <v>17.7</v>
      </c>
      <c r="HV638" s="19">
        <v>19.9</v>
      </c>
      <c r="HW638" s="19">
        <v>20.9</v>
      </c>
      <c r="HX638" s="19">
        <v>19.8</v>
      </c>
      <c r="HY638" s="19">
        <v>18.9</v>
      </c>
      <c r="HZ638" s="19">
        <v>17.9</v>
      </c>
      <c r="IA638" s="19">
        <v>19.3</v>
      </c>
      <c r="IB638" s="19">
        <v>21.2</v>
      </c>
      <c r="IC638" s="19">
        <v>19.8</v>
      </c>
    </row>
    <row r="639">
      <c r="A639" s="2" t="s">
        <v>2955</v>
      </c>
      <c r="B639" s="2" t="s">
        <v>323</v>
      </c>
      <c r="C639" s="2" t="s">
        <v>980</v>
      </c>
      <c r="D639" s="2" t="s">
        <v>257</v>
      </c>
      <c r="E639" s="2" t="s">
        <v>258</v>
      </c>
      <c r="F639" s="2" t="s">
        <v>2905</v>
      </c>
      <c r="G639" s="2" t="s">
        <v>2905</v>
      </c>
      <c r="H639" s="2" t="s">
        <v>2905</v>
      </c>
      <c r="I639" s="2" t="s">
        <v>405</v>
      </c>
      <c r="J639" s="2" t="s">
        <v>250</v>
      </c>
      <c r="K639" s="2" t="s">
        <v>2951</v>
      </c>
      <c r="L639" s="3">
        <v>21.78</v>
      </c>
      <c r="M639" s="3">
        <v>22.87</v>
      </c>
      <c r="N639" s="3">
        <v>49.99</v>
      </c>
      <c r="O639" s="2" t="s">
        <v>232</v>
      </c>
      <c r="P639" s="2" t="s">
        <v>233</v>
      </c>
      <c r="Q639" s="2" t="s">
        <v>234</v>
      </c>
      <c r="R639" s="2" t="s">
        <v>235</v>
      </c>
      <c r="S639" s="2" t="s">
        <v>2952</v>
      </c>
      <c r="T639" s="2" t="s">
        <v>2908</v>
      </c>
      <c r="U639" s="2" t="s">
        <v>264</v>
      </c>
      <c r="V639" s="2" t="s">
        <v>2919</v>
      </c>
      <c r="W639" s="2" t="s">
        <v>1798</v>
      </c>
      <c r="X639" s="2" t="s">
        <v>239</v>
      </c>
      <c r="Y639" s="2" t="s">
        <v>2953</v>
      </c>
      <c r="Z639" s="4">
        <v>42</v>
      </c>
      <c r="AA639" s="4">
        <f>=ROUNDDOWN(2.47058823529412,0)</f>
      </c>
      <c r="AB639" s="5">
        <v>17</v>
      </c>
      <c r="AC639" s="2" t="s">
        <v>2122</v>
      </c>
      <c r="AD639" s="4">
        <v>200</v>
      </c>
      <c r="AE639" s="4">
        <v>580</v>
      </c>
      <c r="AF639" s="6">
        <v>82</v>
      </c>
      <c r="AG639" s="6"/>
      <c r="AH639" s="7">
        <v>1</v>
      </c>
      <c r="AI639" s="4"/>
      <c r="AJ639" s="4">
        <f>=ROUNDDOWN({0},0)</f>
      </c>
      <c r="AK639" s="5"/>
      <c r="AL639" s="2" t="s">
        <v>235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235</v>
      </c>
      <c r="AW639" s="8" t="s">
        <v>235</v>
      </c>
      <c r="AX639" s="4" t="s">
        <v>235</v>
      </c>
      <c r="AY639" s="8" t="s">
        <v>235</v>
      </c>
      <c r="AZ639" s="7" t="s">
        <v>235</v>
      </c>
      <c r="BA639" s="7" t="s">
        <v>235</v>
      </c>
      <c r="BB639" s="7"/>
      <c r="BC639" s="4" t="s">
        <v>235</v>
      </c>
      <c r="BD639" s="8" t="s">
        <v>235</v>
      </c>
      <c r="BE639" s="4" t="s">
        <v>235</v>
      </c>
      <c r="BF639" s="8" t="s">
        <v>235</v>
      </c>
      <c r="BG639" s="7" t="s">
        <v>235</v>
      </c>
      <c r="BH639" s="7" t="s">
        <v>235</v>
      </c>
      <c r="BI639" s="7"/>
      <c r="BJ639" s="4">
        <v>9</v>
      </c>
      <c r="BK639" s="8">
        <v>212.1</v>
      </c>
      <c r="BL639" s="2" t="s">
        <v>536</v>
      </c>
      <c r="BM639" s="7"/>
      <c r="BN639" s="7"/>
      <c r="BO639" s="4"/>
      <c r="BP639" s="8"/>
      <c r="BQ639" s="4"/>
      <c r="BR639" s="8"/>
      <c r="BS639" s="7"/>
      <c r="BT639" s="7"/>
      <c r="BU639" s="2" t="s">
        <v>2921</v>
      </c>
      <c r="BV639" s="2" t="s">
        <v>243</v>
      </c>
      <c r="BW639" s="2" t="s">
        <v>235</v>
      </c>
      <c r="BX639" s="2" t="s">
        <v>244</v>
      </c>
      <c r="BY639" s="2" t="s">
        <v>245</v>
      </c>
      <c r="BZ639" s="2" t="s">
        <v>232</v>
      </c>
      <c r="CA639" s="2" t="s">
        <v>2954</v>
      </c>
      <c r="CB639" s="2" t="s">
        <v>651</v>
      </c>
      <c r="CC639" s="2" t="s">
        <v>248</v>
      </c>
      <c r="CD639" s="2" t="s">
        <v>248</v>
      </c>
      <c r="CE639" s="2" t="s">
        <v>235</v>
      </c>
      <c r="CF639" s="4">
        <v>42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>
        <v>200</v>
      </c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>
        <v>380</v>
      </c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>
        <v>44</v>
      </c>
      <c r="GE639" s="4">
        <v>34</v>
      </c>
      <c r="GF639" s="4">
        <v>26</v>
      </c>
      <c r="GG639" s="4">
        <v>218</v>
      </c>
      <c r="GH639" s="4">
        <v>207</v>
      </c>
      <c r="GI639" s="4">
        <v>186</v>
      </c>
      <c r="GJ639" s="4">
        <v>159</v>
      </c>
      <c r="GK639" s="4">
        <v>138</v>
      </c>
      <c r="GL639" s="4">
        <v>117</v>
      </c>
      <c r="GM639" s="4">
        <v>478</v>
      </c>
      <c r="GN639" s="4">
        <v>451</v>
      </c>
      <c r="GO639" s="4">
        <v>418</v>
      </c>
      <c r="GP639" s="4">
        <v>369</v>
      </c>
      <c r="GQ639" s="4">
        <v>274</v>
      </c>
      <c r="GR639" s="4">
        <v>229</v>
      </c>
      <c r="GS639" s="4">
        <v>186</v>
      </c>
      <c r="GT639" s="4">
        <v>158</v>
      </c>
      <c r="GU639" s="4">
        <v>137</v>
      </c>
      <c r="GV639" s="4">
        <v>113</v>
      </c>
      <c r="GW639" s="4">
        <v>95</v>
      </c>
      <c r="GX639" s="4">
        <v>82</v>
      </c>
      <c r="GY639" s="4">
        <v>72</v>
      </c>
      <c r="GZ639" s="4">
        <v>60</v>
      </c>
      <c r="HA639" s="4">
        <v>48</v>
      </c>
      <c r="HB639" s="4">
        <v>36</v>
      </c>
      <c r="HC639" s="4">
        <v>172</v>
      </c>
      <c r="HD639" s="19">
        <v>4.9</v>
      </c>
      <c r="HE639" s="19">
        <v>2.8</v>
      </c>
      <c r="HF639" s="19">
        <v>1.5</v>
      </c>
      <c r="HG639" s="19">
        <v>10.9</v>
      </c>
      <c r="HH639" s="19">
        <v>9.4</v>
      </c>
      <c r="HI639" s="19">
        <v>8.5</v>
      </c>
      <c r="HJ639" s="19">
        <v>7.2</v>
      </c>
      <c r="HK639" s="19">
        <v>5.5</v>
      </c>
      <c r="HL639" s="19">
        <v>3.7</v>
      </c>
      <c r="HM639" s="19">
        <v>9.4</v>
      </c>
      <c r="HN639" s="19">
        <v>8.1</v>
      </c>
      <c r="HO639" s="19">
        <v>7.2</v>
      </c>
      <c r="HP639" s="19">
        <v>7</v>
      </c>
      <c r="HQ639" s="19">
        <v>8.1</v>
      </c>
      <c r="HR639" s="19">
        <v>7.9</v>
      </c>
      <c r="HS639" s="19">
        <v>8.1</v>
      </c>
      <c r="HT639" s="19">
        <v>8.3</v>
      </c>
      <c r="HU639" s="19">
        <v>8.6</v>
      </c>
      <c r="HV639" s="19">
        <v>8.7</v>
      </c>
      <c r="HW639" s="19">
        <v>7.9</v>
      </c>
      <c r="HX639" s="19">
        <v>6.8</v>
      </c>
      <c r="HY639" s="19">
        <v>6</v>
      </c>
      <c r="HZ639" s="19">
        <v>5.5</v>
      </c>
      <c r="IA639" s="19">
        <v>4.8</v>
      </c>
      <c r="IB639" s="19">
        <v>3.6</v>
      </c>
      <c r="IC639" s="19">
        <v>19.1</v>
      </c>
    </row>
    <row r="640">
      <c r="A640" s="2" t="s">
        <v>2956</v>
      </c>
      <c r="B640" s="2" t="s">
        <v>323</v>
      </c>
      <c r="C640" s="2" t="s">
        <v>980</v>
      </c>
      <c r="D640" s="2" t="s">
        <v>257</v>
      </c>
      <c r="E640" s="2" t="s">
        <v>258</v>
      </c>
      <c r="F640" s="2" t="s">
        <v>2905</v>
      </c>
      <c r="G640" s="2" t="s">
        <v>2905</v>
      </c>
      <c r="H640" s="2" t="s">
        <v>2905</v>
      </c>
      <c r="I640" s="2" t="s">
        <v>405</v>
      </c>
      <c r="J640" s="2" t="s">
        <v>270</v>
      </c>
      <c r="K640" s="2" t="s">
        <v>2951</v>
      </c>
      <c r="L640" s="3">
        <v>28.98</v>
      </c>
      <c r="M640" s="3">
        <v>30.43</v>
      </c>
      <c r="N640" s="3">
        <v>64.99</v>
      </c>
      <c r="O640" s="2" t="s">
        <v>232</v>
      </c>
      <c r="P640" s="2" t="s">
        <v>336</v>
      </c>
      <c r="Q640" s="2" t="s">
        <v>234</v>
      </c>
      <c r="R640" s="2" t="s">
        <v>235</v>
      </c>
      <c r="S640" s="2" t="s">
        <v>2957</v>
      </c>
      <c r="T640" s="2" t="s">
        <v>2908</v>
      </c>
      <c r="U640" s="2" t="s">
        <v>235</v>
      </c>
      <c r="V640" s="2" t="s">
        <v>2919</v>
      </c>
      <c r="W640" s="2" t="s">
        <v>1798</v>
      </c>
      <c r="X640" s="2" t="s">
        <v>239</v>
      </c>
      <c r="Y640" s="2" t="s">
        <v>240</v>
      </c>
      <c r="Z640" s="4">
        <v>67</v>
      </c>
      <c r="AA640" s="4">
        <f>=ROUNDDOWN(3.72222222222222,0)</f>
      </c>
      <c r="AB640" s="5">
        <v>18</v>
      </c>
      <c r="AC640" s="2" t="s">
        <v>2122</v>
      </c>
      <c r="AD640" s="4">
        <v>300</v>
      </c>
      <c r="AE640" s="4">
        <v>653</v>
      </c>
      <c r="AF640" s="6">
        <v>82</v>
      </c>
      <c r="AG640" s="6"/>
      <c r="AH640" s="7">
        <v>1</v>
      </c>
      <c r="AI640" s="4"/>
      <c r="AJ640" s="4">
        <f>=ROUNDDOWN({0},0)</f>
      </c>
      <c r="AK640" s="5"/>
      <c r="AL640" s="2" t="s">
        <v>235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235</v>
      </c>
      <c r="AW640" s="8" t="s">
        <v>235</v>
      </c>
      <c r="AX640" s="4" t="s">
        <v>235</v>
      </c>
      <c r="AY640" s="8" t="s">
        <v>235</v>
      </c>
      <c r="AZ640" s="7" t="s">
        <v>235</v>
      </c>
      <c r="BA640" s="7" t="s">
        <v>235</v>
      </c>
      <c r="BB640" s="7"/>
      <c r="BC640" s="4" t="s">
        <v>235</v>
      </c>
      <c r="BD640" s="8" t="s">
        <v>235</v>
      </c>
      <c r="BE640" s="4" t="s">
        <v>235</v>
      </c>
      <c r="BF640" s="8" t="s">
        <v>235</v>
      </c>
      <c r="BG640" s="7" t="s">
        <v>235</v>
      </c>
      <c r="BH640" s="7" t="s">
        <v>235</v>
      </c>
      <c r="BI640" s="7"/>
      <c r="BJ640" s="4">
        <v>15</v>
      </c>
      <c r="BK640" s="8">
        <v>497.35</v>
      </c>
      <c r="BL640" s="2" t="s">
        <v>2958</v>
      </c>
      <c r="BM640" s="7"/>
      <c r="BN640" s="7"/>
      <c r="BO640" s="4"/>
      <c r="BP640" s="8"/>
      <c r="BQ640" s="4"/>
      <c r="BR640" s="8"/>
      <c r="BS640" s="7"/>
      <c r="BT640" s="7"/>
      <c r="BU640" s="2" t="s">
        <v>2921</v>
      </c>
      <c r="BV640" s="2" t="s">
        <v>243</v>
      </c>
      <c r="BW640" s="2" t="s">
        <v>235</v>
      </c>
      <c r="BX640" s="2" t="s">
        <v>244</v>
      </c>
      <c r="BY640" s="2" t="s">
        <v>245</v>
      </c>
      <c r="BZ640" s="2" t="s">
        <v>232</v>
      </c>
      <c r="CA640" s="2" t="s">
        <v>1014</v>
      </c>
      <c r="CB640" s="2" t="s">
        <v>521</v>
      </c>
      <c r="CC640" s="2" t="s">
        <v>248</v>
      </c>
      <c r="CD640" s="2" t="s">
        <v>248</v>
      </c>
      <c r="CE640" s="2" t="s">
        <v>235</v>
      </c>
      <c r="CF640" s="4">
        <v>67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>
        <v>300</v>
      </c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>
        <v>353</v>
      </c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>
        <v>67</v>
      </c>
      <c r="GE640" s="4">
        <v>53</v>
      </c>
      <c r="GF640" s="4">
        <v>45</v>
      </c>
      <c r="GG640" s="4">
        <v>333</v>
      </c>
      <c r="GH640" s="4">
        <v>319</v>
      </c>
      <c r="GI640" s="4">
        <v>295</v>
      </c>
      <c r="GJ640" s="4">
        <v>261</v>
      </c>
      <c r="GK640" s="4">
        <v>237</v>
      </c>
      <c r="GL640" s="4">
        <v>214</v>
      </c>
      <c r="GM640" s="4">
        <v>547</v>
      </c>
      <c r="GN640" s="4">
        <v>519</v>
      </c>
      <c r="GO640" s="4">
        <v>484</v>
      </c>
      <c r="GP640" s="4">
        <v>434</v>
      </c>
      <c r="GQ640" s="4">
        <v>339</v>
      </c>
      <c r="GR640" s="4">
        <v>293</v>
      </c>
      <c r="GS640" s="4">
        <v>249</v>
      </c>
      <c r="GT640" s="4">
        <v>220</v>
      </c>
      <c r="GU640" s="4">
        <v>198</v>
      </c>
      <c r="GV640" s="4">
        <v>173</v>
      </c>
      <c r="GW640" s="4">
        <v>154</v>
      </c>
      <c r="GX640" s="4">
        <v>140</v>
      </c>
      <c r="GY640" s="4">
        <v>129</v>
      </c>
      <c r="GZ640" s="4">
        <v>116</v>
      </c>
      <c r="HA640" s="4">
        <v>103</v>
      </c>
      <c r="HB640" s="4">
        <v>90</v>
      </c>
      <c r="HC640" s="4">
        <v>188</v>
      </c>
      <c r="HD640" s="19">
        <v>5.6</v>
      </c>
      <c r="HE640" s="19">
        <v>3.8</v>
      </c>
      <c r="HF640" s="19">
        <v>2.1</v>
      </c>
      <c r="HG640" s="19">
        <v>13.9</v>
      </c>
      <c r="HH640" s="19">
        <v>12.3</v>
      </c>
      <c r="HI640" s="19">
        <v>11.8</v>
      </c>
      <c r="HJ640" s="19">
        <v>10.9</v>
      </c>
      <c r="HK640" s="19">
        <v>9.1</v>
      </c>
      <c r="HL640" s="19">
        <v>6.5</v>
      </c>
      <c r="HM640" s="19">
        <v>10.5</v>
      </c>
      <c r="HN640" s="19">
        <v>9.3</v>
      </c>
      <c r="HO640" s="19">
        <v>8.2</v>
      </c>
      <c r="HP640" s="19">
        <v>8</v>
      </c>
      <c r="HQ640" s="19">
        <v>9.7</v>
      </c>
      <c r="HR640" s="19">
        <v>9.8</v>
      </c>
      <c r="HS640" s="19">
        <v>10.4</v>
      </c>
      <c r="HT640" s="19">
        <v>11</v>
      </c>
      <c r="HU640" s="19">
        <v>11.6</v>
      </c>
      <c r="HV640" s="19">
        <v>12.4</v>
      </c>
      <c r="HW640" s="19">
        <v>11.8</v>
      </c>
      <c r="HX640" s="19">
        <v>11.7</v>
      </c>
      <c r="HY640" s="19">
        <v>9.9</v>
      </c>
      <c r="HZ640" s="19">
        <v>9.7</v>
      </c>
      <c r="IA640" s="19">
        <v>8.6</v>
      </c>
      <c r="IB640" s="19">
        <v>9</v>
      </c>
      <c r="IC640" s="19">
        <v>18.8</v>
      </c>
    </row>
    <row r="641">
      <c r="A641" s="2" t="s">
        <v>2959</v>
      </c>
      <c r="B641" s="2" t="s">
        <v>323</v>
      </c>
      <c r="C641" s="2" t="s">
        <v>980</v>
      </c>
      <c r="D641" s="2" t="s">
        <v>257</v>
      </c>
      <c r="E641" s="2" t="s">
        <v>258</v>
      </c>
      <c r="F641" s="2" t="s">
        <v>2905</v>
      </c>
      <c r="G641" s="2" t="s">
        <v>2905</v>
      </c>
      <c r="H641" s="2" t="s">
        <v>2905</v>
      </c>
      <c r="I641" s="2" t="s">
        <v>405</v>
      </c>
      <c r="J641" s="2" t="s">
        <v>272</v>
      </c>
      <c r="K641" s="2" t="s">
        <v>2951</v>
      </c>
      <c r="L641" s="3">
        <v>28.98</v>
      </c>
      <c r="M641" s="3">
        <v>30.43</v>
      </c>
      <c r="N641" s="3">
        <v>64.99</v>
      </c>
      <c r="O641" s="2" t="s">
        <v>232</v>
      </c>
      <c r="P641" s="2" t="s">
        <v>233</v>
      </c>
      <c r="Q641" s="2" t="s">
        <v>234</v>
      </c>
      <c r="R641" s="2" t="s">
        <v>235</v>
      </c>
      <c r="S641" s="2" t="s">
        <v>2957</v>
      </c>
      <c r="T641" s="2" t="s">
        <v>2908</v>
      </c>
      <c r="U641" s="2" t="s">
        <v>235</v>
      </c>
      <c r="V641" s="2" t="s">
        <v>2919</v>
      </c>
      <c r="W641" s="2" t="s">
        <v>1798</v>
      </c>
      <c r="X641" s="2" t="s">
        <v>239</v>
      </c>
      <c r="Y641" s="2" t="s">
        <v>240</v>
      </c>
      <c r="Z641" s="4">
        <v>84</v>
      </c>
      <c r="AA641" s="4">
        <f>=ROUNDDOWN(9.33333333333333,0)</f>
      </c>
      <c r="AB641" s="5">
        <v>9</v>
      </c>
      <c r="AC641" s="2" t="s">
        <v>2122</v>
      </c>
      <c r="AD641" s="4">
        <v>100</v>
      </c>
      <c r="AE641" s="4">
        <v>284</v>
      </c>
      <c r="AF641" s="6">
        <v>82</v>
      </c>
      <c r="AG641" s="6"/>
      <c r="AH641" s="7">
        <v>1</v>
      </c>
      <c r="AI641" s="4"/>
      <c r="AJ641" s="4">
        <f>=ROUNDDOWN({0},0)</f>
      </c>
      <c r="AK641" s="5"/>
      <c r="AL641" s="2" t="s">
        <v>235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235</v>
      </c>
      <c r="AW641" s="8" t="s">
        <v>235</v>
      </c>
      <c r="AX641" s="4" t="s">
        <v>235</v>
      </c>
      <c r="AY641" s="8" t="s">
        <v>235</v>
      </c>
      <c r="AZ641" s="7" t="s">
        <v>235</v>
      </c>
      <c r="BA641" s="7" t="s">
        <v>235</v>
      </c>
      <c r="BB641" s="7"/>
      <c r="BC641" s="4" t="s">
        <v>235</v>
      </c>
      <c r="BD641" s="8" t="s">
        <v>235</v>
      </c>
      <c r="BE641" s="4" t="s">
        <v>235</v>
      </c>
      <c r="BF641" s="8" t="s">
        <v>235</v>
      </c>
      <c r="BG641" s="7" t="s">
        <v>235</v>
      </c>
      <c r="BH641" s="7" t="s">
        <v>235</v>
      </c>
      <c r="BI641" s="7"/>
      <c r="BJ641" s="4"/>
      <c r="BK641" s="8"/>
      <c r="BL641" s="2" t="s">
        <v>2089</v>
      </c>
      <c r="BM641" s="7"/>
      <c r="BN641" s="7"/>
      <c r="BO641" s="4"/>
      <c r="BP641" s="8"/>
      <c r="BQ641" s="4"/>
      <c r="BR641" s="8"/>
      <c r="BS641" s="7"/>
      <c r="BT641" s="7"/>
      <c r="BU641" s="2" t="s">
        <v>2921</v>
      </c>
      <c r="BV641" s="2" t="s">
        <v>235</v>
      </c>
      <c r="BW641" s="2" t="s">
        <v>235</v>
      </c>
      <c r="BX641" s="2" t="s">
        <v>244</v>
      </c>
      <c r="BY641" s="2" t="s">
        <v>245</v>
      </c>
      <c r="BZ641" s="2" t="s">
        <v>232</v>
      </c>
      <c r="CA641" s="2" t="s">
        <v>1014</v>
      </c>
      <c r="CB641" s="2" t="s">
        <v>2960</v>
      </c>
      <c r="CC641" s="2" t="s">
        <v>248</v>
      </c>
      <c r="CD641" s="2" t="s">
        <v>248</v>
      </c>
      <c r="CE641" s="2" t="s">
        <v>235</v>
      </c>
      <c r="CF641" s="4">
        <v>84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>
        <v>100</v>
      </c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>
        <v>184</v>
      </c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>
        <v>85</v>
      </c>
      <c r="GE641" s="4">
        <v>80</v>
      </c>
      <c r="GF641" s="4">
        <v>74</v>
      </c>
      <c r="GG641" s="4">
        <v>166</v>
      </c>
      <c r="GH641" s="4">
        <v>157</v>
      </c>
      <c r="GI641" s="4">
        <v>142</v>
      </c>
      <c r="GJ641" s="4">
        <v>117</v>
      </c>
      <c r="GK641" s="4">
        <v>102</v>
      </c>
      <c r="GL641" s="4">
        <v>88</v>
      </c>
      <c r="GM641" s="4">
        <v>261</v>
      </c>
      <c r="GN641" s="4">
        <v>247</v>
      </c>
      <c r="GO641" s="4">
        <v>230</v>
      </c>
      <c r="GP641" s="4">
        <v>208</v>
      </c>
      <c r="GQ641" s="4">
        <v>169</v>
      </c>
      <c r="GR641" s="4">
        <v>150</v>
      </c>
      <c r="GS641" s="4">
        <v>131</v>
      </c>
      <c r="GT641" s="4">
        <v>118</v>
      </c>
      <c r="GU641" s="4">
        <v>108</v>
      </c>
      <c r="GV641" s="4">
        <v>97</v>
      </c>
      <c r="GW641" s="4">
        <v>88</v>
      </c>
      <c r="GX641" s="4">
        <v>81</v>
      </c>
      <c r="GY641" s="4">
        <v>75</v>
      </c>
      <c r="GZ641" s="4">
        <v>69</v>
      </c>
      <c r="HA641" s="4">
        <v>63</v>
      </c>
      <c r="HB641" s="4">
        <v>57</v>
      </c>
      <c r="HC641" s="4">
        <v>77</v>
      </c>
      <c r="HD641" s="19">
        <v>12.1</v>
      </c>
      <c r="HE641" s="19">
        <v>8</v>
      </c>
      <c r="HF641" s="19">
        <v>5.3</v>
      </c>
      <c r="HG641" s="19">
        <v>10.4</v>
      </c>
      <c r="HH641" s="19">
        <v>9.2</v>
      </c>
      <c r="HI641" s="19">
        <v>8.9</v>
      </c>
      <c r="HJ641" s="19">
        <v>8.4</v>
      </c>
      <c r="HK641" s="19">
        <v>7.3</v>
      </c>
      <c r="HL641" s="19">
        <v>5.5</v>
      </c>
      <c r="HM641" s="19">
        <v>11.3</v>
      </c>
      <c r="HN641" s="19">
        <v>10.3</v>
      </c>
      <c r="HO641" s="19">
        <v>9.2</v>
      </c>
      <c r="HP641" s="19">
        <v>9.5</v>
      </c>
      <c r="HQ641" s="19">
        <v>11.3</v>
      </c>
      <c r="HR641" s="19">
        <v>11.5</v>
      </c>
      <c r="HS641" s="19">
        <v>11.9</v>
      </c>
      <c r="HT641" s="19">
        <v>13.1</v>
      </c>
      <c r="HU641" s="19">
        <v>13.5</v>
      </c>
      <c r="HV641" s="19">
        <v>13.9</v>
      </c>
      <c r="HW641" s="19">
        <v>14.7</v>
      </c>
      <c r="HX641" s="19">
        <v>13.5</v>
      </c>
      <c r="HY641" s="19">
        <v>12.5</v>
      </c>
      <c r="HZ641" s="19">
        <v>11.5</v>
      </c>
      <c r="IA641" s="19">
        <v>10.5</v>
      </c>
      <c r="IB641" s="19">
        <v>11.4</v>
      </c>
      <c r="IC641" s="19">
        <v>19.3</v>
      </c>
    </row>
    <row r="642">
      <c r="A642" s="2" t="s">
        <v>2961</v>
      </c>
      <c r="B642" s="2" t="s">
        <v>323</v>
      </c>
      <c r="C642" s="2" t="s">
        <v>980</v>
      </c>
      <c r="D642" s="2" t="s">
        <v>257</v>
      </c>
      <c r="E642" s="2" t="s">
        <v>258</v>
      </c>
      <c r="F642" s="2" t="s">
        <v>2905</v>
      </c>
      <c r="G642" s="2" t="s">
        <v>2905</v>
      </c>
      <c r="H642" s="2" t="s">
        <v>2905</v>
      </c>
      <c r="I642" s="2" t="s">
        <v>405</v>
      </c>
      <c r="J642" s="2" t="s">
        <v>261</v>
      </c>
      <c r="K642" s="2" t="s">
        <v>2962</v>
      </c>
      <c r="L642" s="3">
        <v>24.3</v>
      </c>
      <c r="M642" s="3">
        <v>25.52</v>
      </c>
      <c r="N642" s="3">
        <v>54.99</v>
      </c>
      <c r="O642" s="2" t="s">
        <v>232</v>
      </c>
      <c r="P642" s="2" t="s">
        <v>336</v>
      </c>
      <c r="Q642" s="2" t="s">
        <v>234</v>
      </c>
      <c r="R642" s="2" t="s">
        <v>235</v>
      </c>
      <c r="S642" s="2" t="s">
        <v>2963</v>
      </c>
      <c r="T642" s="2" t="s">
        <v>2908</v>
      </c>
      <c r="U642" s="2" t="s">
        <v>235</v>
      </c>
      <c r="V642" s="2" t="s">
        <v>2919</v>
      </c>
      <c r="W642" s="2" t="s">
        <v>1798</v>
      </c>
      <c r="X642" s="2" t="s">
        <v>239</v>
      </c>
      <c r="Y642" s="2" t="s">
        <v>2938</v>
      </c>
      <c r="Z642" s="4">
        <v>727</v>
      </c>
      <c r="AA642" s="4">
        <f>=ROUNDDOWN(22.030303030303,0)</f>
      </c>
      <c r="AB642" s="5">
        <v>33</v>
      </c>
      <c r="AC642" s="2" t="s">
        <v>2964</v>
      </c>
      <c r="AD642" s="4">
        <v>586</v>
      </c>
      <c r="AE642" s="4">
        <v>586</v>
      </c>
      <c r="AF642" s="6">
        <v>78</v>
      </c>
      <c r="AG642" s="6"/>
      <c r="AH642" s="7">
        <v>1</v>
      </c>
      <c r="AI642" s="4"/>
      <c r="AJ642" s="4">
        <f>=ROUNDDOWN({0},0)</f>
      </c>
      <c r="AK642" s="5"/>
      <c r="AL642" s="2" t="s">
        <v>235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235</v>
      </c>
      <c r="AW642" s="8" t="s">
        <v>235</v>
      </c>
      <c r="AX642" s="4" t="s">
        <v>235</v>
      </c>
      <c r="AY642" s="8" t="s">
        <v>235</v>
      </c>
      <c r="AZ642" s="7" t="s">
        <v>235</v>
      </c>
      <c r="BA642" s="7" t="s">
        <v>235</v>
      </c>
      <c r="BB642" s="7"/>
      <c r="BC642" s="4" t="s">
        <v>235</v>
      </c>
      <c r="BD642" s="8" t="s">
        <v>235</v>
      </c>
      <c r="BE642" s="4" t="s">
        <v>235</v>
      </c>
      <c r="BF642" s="8" t="s">
        <v>235</v>
      </c>
      <c r="BG642" s="7" t="s">
        <v>235</v>
      </c>
      <c r="BH642" s="7" t="s">
        <v>235</v>
      </c>
      <c r="BI642" s="7"/>
      <c r="BJ642" s="4">
        <v>10</v>
      </c>
      <c r="BK642" s="8">
        <v>279.68</v>
      </c>
      <c r="BL642" s="2" t="s">
        <v>2965</v>
      </c>
      <c r="BM642" s="7"/>
      <c r="BN642" s="7"/>
      <c r="BO642" s="4"/>
      <c r="BP642" s="8"/>
      <c r="BQ642" s="4"/>
      <c r="BR642" s="8"/>
      <c r="BS642" s="7"/>
      <c r="BT642" s="7"/>
      <c r="BU642" s="2" t="s">
        <v>2921</v>
      </c>
      <c r="BV642" s="2" t="s">
        <v>243</v>
      </c>
      <c r="BW642" s="2" t="s">
        <v>235</v>
      </c>
      <c r="BX642" s="2" t="s">
        <v>244</v>
      </c>
      <c r="BY642" s="2" t="s">
        <v>245</v>
      </c>
      <c r="BZ642" s="2" t="s">
        <v>232</v>
      </c>
      <c r="CA642" s="2" t="s">
        <v>1924</v>
      </c>
      <c r="CB642" s="2" t="s">
        <v>767</v>
      </c>
      <c r="CC642" s="2" t="s">
        <v>248</v>
      </c>
      <c r="CD642" s="2" t="s">
        <v>248</v>
      </c>
      <c r="CE642" s="2" t="s">
        <v>235</v>
      </c>
      <c r="CF642" s="4">
        <v>727</v>
      </c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>
        <v>586</v>
      </c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>
        <v>727</v>
      </c>
      <c r="GE642" s="4">
        <v>681</v>
      </c>
      <c r="GF642" s="4">
        <v>659</v>
      </c>
      <c r="GG642" s="4">
        <v>630</v>
      </c>
      <c r="GH642" s="4">
        <v>597</v>
      </c>
      <c r="GI642" s="4">
        <v>541</v>
      </c>
      <c r="GJ642" s="4">
        <v>451</v>
      </c>
      <c r="GK642" s="4">
        <v>397</v>
      </c>
      <c r="GL642" s="4">
        <v>344</v>
      </c>
      <c r="GM642" s="4">
        <v>888</v>
      </c>
      <c r="GN642" s="4">
        <v>839</v>
      </c>
      <c r="GO642" s="4">
        <v>778</v>
      </c>
      <c r="GP642" s="4">
        <v>698</v>
      </c>
      <c r="GQ642" s="4">
        <v>553</v>
      </c>
      <c r="GR642" s="4">
        <v>482</v>
      </c>
      <c r="GS642" s="4">
        <v>412</v>
      </c>
      <c r="GT642" s="4">
        <v>364</v>
      </c>
      <c r="GU642" s="4">
        <v>327</v>
      </c>
      <c r="GV642" s="4">
        <v>286</v>
      </c>
      <c r="GW642" s="4">
        <v>256</v>
      </c>
      <c r="GX642" s="4">
        <v>232</v>
      </c>
      <c r="GY642" s="4">
        <v>213</v>
      </c>
      <c r="GZ642" s="4">
        <v>192</v>
      </c>
      <c r="HA642" s="4">
        <v>171</v>
      </c>
      <c r="HB642" s="4">
        <v>150</v>
      </c>
      <c r="HC642" s="4">
        <v>129</v>
      </c>
      <c r="HD642" s="19">
        <v>22.7</v>
      </c>
      <c r="HE642" s="19">
        <v>19.5</v>
      </c>
      <c r="HF642" s="19">
        <v>12.7</v>
      </c>
      <c r="HG642" s="19">
        <v>10.9</v>
      </c>
      <c r="HH642" s="19">
        <v>9.5</v>
      </c>
      <c r="HI642" s="19">
        <v>9</v>
      </c>
      <c r="HJ642" s="19">
        <v>9</v>
      </c>
      <c r="HK642" s="19">
        <v>7.8</v>
      </c>
      <c r="HL642" s="19">
        <v>5.9</v>
      </c>
      <c r="HM642" s="19">
        <v>10.6</v>
      </c>
      <c r="HN642" s="19">
        <v>9.4</v>
      </c>
      <c r="HO642" s="19">
        <v>8.5</v>
      </c>
      <c r="HP642" s="19">
        <v>8.3</v>
      </c>
      <c r="HQ642" s="19">
        <v>9.9</v>
      </c>
      <c r="HR642" s="19">
        <v>9.8</v>
      </c>
      <c r="HS642" s="19">
        <v>10.6</v>
      </c>
      <c r="HT642" s="19">
        <v>11</v>
      </c>
      <c r="HU642" s="19">
        <v>11.7</v>
      </c>
      <c r="HV642" s="19">
        <v>11.9</v>
      </c>
      <c r="HW642" s="19">
        <v>12.2</v>
      </c>
      <c r="HX642" s="19">
        <v>11.6</v>
      </c>
      <c r="HY642" s="19">
        <v>10.1</v>
      </c>
      <c r="HZ642" s="19">
        <v>9.6</v>
      </c>
      <c r="IA642" s="19">
        <v>9</v>
      </c>
      <c r="IB642" s="19">
        <v>8.3</v>
      </c>
      <c r="IC642" s="19">
        <v>8.1</v>
      </c>
    </row>
    <row r="643">
      <c r="A643" s="2" t="s">
        <v>2966</v>
      </c>
      <c r="B643" s="2" t="s">
        <v>323</v>
      </c>
      <c r="C643" s="2" t="s">
        <v>980</v>
      </c>
      <c r="D643" s="2" t="s">
        <v>257</v>
      </c>
      <c r="E643" s="2" t="s">
        <v>258</v>
      </c>
      <c r="F643" s="2" t="s">
        <v>2905</v>
      </c>
      <c r="G643" s="2" t="s">
        <v>2905</v>
      </c>
      <c r="H643" s="2" t="s">
        <v>2905</v>
      </c>
      <c r="I643" s="2" t="s">
        <v>405</v>
      </c>
      <c r="J643" s="2" t="s">
        <v>270</v>
      </c>
      <c r="K643" s="2" t="s">
        <v>2962</v>
      </c>
      <c r="L643" s="3">
        <v>28.98</v>
      </c>
      <c r="M643" s="3">
        <v>30.43</v>
      </c>
      <c r="N643" s="3">
        <v>64.99</v>
      </c>
      <c r="O643" s="2" t="s">
        <v>232</v>
      </c>
      <c r="P643" s="2" t="s">
        <v>233</v>
      </c>
      <c r="Q643" s="2" t="s">
        <v>234</v>
      </c>
      <c r="R643" s="2" t="s">
        <v>235</v>
      </c>
      <c r="S643" s="2" t="s">
        <v>2963</v>
      </c>
      <c r="T643" s="2" t="s">
        <v>2908</v>
      </c>
      <c r="U643" s="2" t="s">
        <v>235</v>
      </c>
      <c r="V643" s="2" t="s">
        <v>2919</v>
      </c>
      <c r="W643" s="2" t="s">
        <v>1798</v>
      </c>
      <c r="X643" s="2" t="s">
        <v>239</v>
      </c>
      <c r="Y643" s="2" t="s">
        <v>2938</v>
      </c>
      <c r="Z643" s="4">
        <v>221</v>
      </c>
      <c r="AA643" s="4">
        <f>=ROUNDDOWN(18.4166666666667,0)</f>
      </c>
      <c r="AB643" s="5">
        <v>12</v>
      </c>
      <c r="AC643" s="2" t="s">
        <v>2964</v>
      </c>
      <c r="AD643" s="4">
        <v>230</v>
      </c>
      <c r="AE643" s="4">
        <v>230</v>
      </c>
      <c r="AF643" s="6">
        <v>78</v>
      </c>
      <c r="AG643" s="6"/>
      <c r="AH643" s="7">
        <v>0</v>
      </c>
      <c r="AI643" s="4"/>
      <c r="AJ643" s="4">
        <f>=ROUNDDOWN({0},0)</f>
      </c>
      <c r="AK643" s="5"/>
      <c r="AL643" s="2" t="s">
        <v>235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235</v>
      </c>
      <c r="AW643" s="8" t="s">
        <v>235</v>
      </c>
      <c r="AX643" s="4" t="s">
        <v>235</v>
      </c>
      <c r="AY643" s="8" t="s">
        <v>235</v>
      </c>
      <c r="AZ643" s="7" t="s">
        <v>235</v>
      </c>
      <c r="BA643" s="7" t="s">
        <v>235</v>
      </c>
      <c r="BB643" s="7"/>
      <c r="BC643" s="4" t="s">
        <v>235</v>
      </c>
      <c r="BD643" s="8" t="s">
        <v>235</v>
      </c>
      <c r="BE643" s="4" t="s">
        <v>235</v>
      </c>
      <c r="BF643" s="8" t="s">
        <v>235</v>
      </c>
      <c r="BG643" s="7" t="s">
        <v>235</v>
      </c>
      <c r="BH643" s="7" t="s">
        <v>235</v>
      </c>
      <c r="BI643" s="7"/>
      <c r="BJ643" s="4">
        <v>2</v>
      </c>
      <c r="BK643" s="8">
        <v>67.08</v>
      </c>
      <c r="BL643" s="2" t="s">
        <v>2844</v>
      </c>
      <c r="BM643" s="7"/>
      <c r="BN643" s="7"/>
      <c r="BO643" s="4"/>
      <c r="BP643" s="8"/>
      <c r="BQ643" s="4"/>
      <c r="BR643" s="8"/>
      <c r="BS643" s="7"/>
      <c r="BT643" s="7"/>
      <c r="BU643" s="2" t="s">
        <v>2921</v>
      </c>
      <c r="BV643" s="2" t="s">
        <v>243</v>
      </c>
      <c r="BW643" s="2" t="s">
        <v>235</v>
      </c>
      <c r="BX643" s="2" t="s">
        <v>244</v>
      </c>
      <c r="BY643" s="2" t="s">
        <v>245</v>
      </c>
      <c r="BZ643" s="2" t="s">
        <v>232</v>
      </c>
      <c r="CA643" s="2" t="s">
        <v>1924</v>
      </c>
      <c r="CB643" s="2" t="s">
        <v>2967</v>
      </c>
      <c r="CC643" s="2" t="s">
        <v>248</v>
      </c>
      <c r="CD643" s="2" t="s">
        <v>248</v>
      </c>
      <c r="CE643" s="2" t="s">
        <v>235</v>
      </c>
      <c r="CF643" s="4">
        <v>221</v>
      </c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>
        <v>230</v>
      </c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>
        <v>223</v>
      </c>
      <c r="GE643" s="4">
        <v>195</v>
      </c>
      <c r="GF643" s="4">
        <v>187</v>
      </c>
      <c r="GG643" s="4">
        <v>177</v>
      </c>
      <c r="GH643" s="4">
        <v>165</v>
      </c>
      <c r="GI643" s="4">
        <v>145</v>
      </c>
      <c r="GJ643" s="4">
        <v>112</v>
      </c>
      <c r="GK643" s="4">
        <v>92</v>
      </c>
      <c r="GL643" s="4">
        <v>73</v>
      </c>
      <c r="GM643" s="4">
        <v>288</v>
      </c>
      <c r="GN643" s="4">
        <v>270</v>
      </c>
      <c r="GO643" s="4">
        <v>248</v>
      </c>
      <c r="GP643" s="4">
        <v>219</v>
      </c>
      <c r="GQ643" s="4">
        <v>166</v>
      </c>
      <c r="GR643" s="4">
        <v>141</v>
      </c>
      <c r="GS643" s="4">
        <v>116</v>
      </c>
      <c r="GT643" s="4">
        <v>99</v>
      </c>
      <c r="GU643" s="4">
        <v>86</v>
      </c>
      <c r="GV643" s="4">
        <v>71</v>
      </c>
      <c r="GW643" s="4">
        <v>60</v>
      </c>
      <c r="GX643" s="4">
        <v>52</v>
      </c>
      <c r="GY643" s="4">
        <v>45</v>
      </c>
      <c r="GZ643" s="4">
        <v>37</v>
      </c>
      <c r="HA643" s="4">
        <v>29</v>
      </c>
      <c r="HB643" s="4">
        <v>21</v>
      </c>
      <c r="HC643" s="4">
        <v>13</v>
      </c>
      <c r="HD643" s="19">
        <v>15.9</v>
      </c>
      <c r="HE643" s="19">
        <v>16.3</v>
      </c>
      <c r="HF643" s="19">
        <v>9.8</v>
      </c>
      <c r="HG643" s="19">
        <v>8.4</v>
      </c>
      <c r="HH643" s="19">
        <v>7.2</v>
      </c>
      <c r="HI643" s="19">
        <v>6.6</v>
      </c>
      <c r="HJ643" s="19">
        <v>6.2</v>
      </c>
      <c r="HK643" s="19">
        <v>5.1</v>
      </c>
      <c r="HL643" s="19">
        <v>3.5</v>
      </c>
      <c r="HM643" s="19">
        <v>9.6</v>
      </c>
      <c r="HN643" s="19">
        <v>8.4</v>
      </c>
      <c r="HO643" s="19">
        <v>7.5</v>
      </c>
      <c r="HP643" s="19">
        <v>7.3</v>
      </c>
      <c r="HQ643" s="19">
        <v>8.3</v>
      </c>
      <c r="HR643" s="19">
        <v>7.8</v>
      </c>
      <c r="HS643" s="19">
        <v>8.3</v>
      </c>
      <c r="HT643" s="19">
        <v>8.3</v>
      </c>
      <c r="HU643" s="19">
        <v>8.6</v>
      </c>
      <c r="HV643" s="19">
        <v>8.9</v>
      </c>
      <c r="HW643" s="19">
        <v>7.5</v>
      </c>
      <c r="HX643" s="19">
        <v>6.5</v>
      </c>
      <c r="HY643" s="19">
        <v>5.6</v>
      </c>
      <c r="HZ643" s="19">
        <v>4.6</v>
      </c>
      <c r="IA643" s="19">
        <v>4.1</v>
      </c>
      <c r="IB643" s="19">
        <v>3.5</v>
      </c>
      <c r="IC643" s="19">
        <v>2.2</v>
      </c>
    </row>
    <row r="644">
      <c r="A644" s="2" t="s">
        <v>2968</v>
      </c>
      <c r="B644" s="2" t="s">
        <v>323</v>
      </c>
      <c r="C644" s="2" t="s">
        <v>980</v>
      </c>
      <c r="D644" s="2" t="s">
        <v>257</v>
      </c>
      <c r="E644" s="2" t="s">
        <v>258</v>
      </c>
      <c r="F644" s="2" t="s">
        <v>2905</v>
      </c>
      <c r="G644" s="2" t="s">
        <v>2905</v>
      </c>
      <c r="H644" s="2" t="s">
        <v>2905</v>
      </c>
      <c r="I644" s="2" t="s">
        <v>405</v>
      </c>
      <c r="J644" s="2" t="s">
        <v>272</v>
      </c>
      <c r="K644" s="2" t="s">
        <v>2962</v>
      </c>
      <c r="L644" s="3">
        <v>28.98</v>
      </c>
      <c r="M644" s="3">
        <v>30.43</v>
      </c>
      <c r="N644" s="3">
        <v>64.99</v>
      </c>
      <c r="O644" s="2" t="s">
        <v>232</v>
      </c>
      <c r="P644" s="2" t="s">
        <v>233</v>
      </c>
      <c r="Q644" s="2" t="s">
        <v>234</v>
      </c>
      <c r="R644" s="2" t="s">
        <v>235</v>
      </c>
      <c r="S644" s="2" t="s">
        <v>2963</v>
      </c>
      <c r="T644" s="2" t="s">
        <v>2908</v>
      </c>
      <c r="U644" s="2" t="s">
        <v>235</v>
      </c>
      <c r="V644" s="2" t="s">
        <v>2919</v>
      </c>
      <c r="W644" s="2" t="s">
        <v>1798</v>
      </c>
      <c r="X644" s="2" t="s">
        <v>239</v>
      </c>
      <c r="Y644" s="2" t="s">
        <v>2938</v>
      </c>
      <c r="Z644" s="4">
        <v>168</v>
      </c>
      <c r="AA644" s="4">
        <f>=ROUNDDOWN(24,0)</f>
      </c>
      <c r="AB644" s="5">
        <v>7</v>
      </c>
      <c r="AC644" s="2" t="s">
        <v>2964</v>
      </c>
      <c r="AD644" s="4">
        <v>136</v>
      </c>
      <c r="AE644" s="4">
        <v>136</v>
      </c>
      <c r="AF644" s="6">
        <v>78</v>
      </c>
      <c r="AG644" s="6"/>
      <c r="AH644" s="7">
        <v>1</v>
      </c>
      <c r="AI644" s="4"/>
      <c r="AJ644" s="4">
        <f>=ROUNDDOWN({0},0)</f>
      </c>
      <c r="AK644" s="5"/>
      <c r="AL644" s="2" t="s">
        <v>235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235</v>
      </c>
      <c r="AW644" s="8" t="s">
        <v>235</v>
      </c>
      <c r="AX644" s="4" t="s">
        <v>235</v>
      </c>
      <c r="AY644" s="8" t="s">
        <v>235</v>
      </c>
      <c r="AZ644" s="7" t="s">
        <v>235</v>
      </c>
      <c r="BA644" s="7" t="s">
        <v>235</v>
      </c>
      <c r="BB644" s="7"/>
      <c r="BC644" s="4" t="s">
        <v>235</v>
      </c>
      <c r="BD644" s="8" t="s">
        <v>235</v>
      </c>
      <c r="BE644" s="4" t="s">
        <v>235</v>
      </c>
      <c r="BF644" s="8" t="s">
        <v>235</v>
      </c>
      <c r="BG644" s="7" t="s">
        <v>235</v>
      </c>
      <c r="BH644" s="7" t="s">
        <v>235</v>
      </c>
      <c r="BI644" s="7"/>
      <c r="BJ644" s="4">
        <v>4</v>
      </c>
      <c r="BK644" s="8">
        <v>130.57</v>
      </c>
      <c r="BL644" s="2" t="s">
        <v>2969</v>
      </c>
      <c r="BM644" s="7"/>
      <c r="BN644" s="7"/>
      <c r="BO644" s="4"/>
      <c r="BP644" s="8"/>
      <c r="BQ644" s="4"/>
      <c r="BR644" s="8"/>
      <c r="BS644" s="7"/>
      <c r="BT644" s="7"/>
      <c r="BU644" s="2" t="s">
        <v>2921</v>
      </c>
      <c r="BV644" s="2" t="s">
        <v>243</v>
      </c>
      <c r="BW644" s="2" t="s">
        <v>235</v>
      </c>
      <c r="BX644" s="2" t="s">
        <v>244</v>
      </c>
      <c r="BY644" s="2" t="s">
        <v>245</v>
      </c>
      <c r="BZ644" s="2" t="s">
        <v>232</v>
      </c>
      <c r="CA644" s="2" t="s">
        <v>1924</v>
      </c>
      <c r="CB644" s="2" t="s">
        <v>2948</v>
      </c>
      <c r="CC644" s="2" t="s">
        <v>248</v>
      </c>
      <c r="CD644" s="2" t="s">
        <v>248</v>
      </c>
      <c r="CE644" s="2" t="s">
        <v>235</v>
      </c>
      <c r="CF644" s="4">
        <v>122</v>
      </c>
      <c r="CG644" s="4">
        <v>46</v>
      </c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>
        <v>136</v>
      </c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>
        <v>168</v>
      </c>
      <c r="GE644" s="4">
        <v>153</v>
      </c>
      <c r="GF644" s="4">
        <v>148</v>
      </c>
      <c r="GG644" s="4">
        <v>142</v>
      </c>
      <c r="GH644" s="4">
        <v>135</v>
      </c>
      <c r="GI644" s="4">
        <v>124</v>
      </c>
      <c r="GJ644" s="4">
        <v>107</v>
      </c>
      <c r="GK644" s="4">
        <v>96</v>
      </c>
      <c r="GL644" s="4">
        <v>85</v>
      </c>
      <c r="GM644" s="4">
        <v>212</v>
      </c>
      <c r="GN644" s="4">
        <v>201</v>
      </c>
      <c r="GO644" s="4">
        <v>188</v>
      </c>
      <c r="GP644" s="4">
        <v>170</v>
      </c>
      <c r="GQ644" s="4">
        <v>137</v>
      </c>
      <c r="GR644" s="4">
        <v>121</v>
      </c>
      <c r="GS644" s="4">
        <v>106</v>
      </c>
      <c r="GT644" s="4">
        <v>96</v>
      </c>
      <c r="GU644" s="4">
        <v>88</v>
      </c>
      <c r="GV644" s="4">
        <v>79</v>
      </c>
      <c r="GW644" s="4">
        <v>72</v>
      </c>
      <c r="GX644" s="4">
        <v>67</v>
      </c>
      <c r="GY644" s="4">
        <v>63</v>
      </c>
      <c r="GZ644" s="4">
        <v>58</v>
      </c>
      <c r="HA644" s="4">
        <v>53</v>
      </c>
      <c r="HB644" s="4">
        <v>48</v>
      </c>
      <c r="HC644" s="4">
        <v>43</v>
      </c>
      <c r="HD644" s="19">
        <v>21</v>
      </c>
      <c r="HE644" s="19">
        <v>21.9</v>
      </c>
      <c r="HF644" s="19">
        <v>14.8</v>
      </c>
      <c r="HG644" s="19">
        <v>11.8</v>
      </c>
      <c r="HH644" s="19">
        <v>11.3</v>
      </c>
      <c r="HI644" s="19">
        <v>10.3</v>
      </c>
      <c r="HJ644" s="19">
        <v>10.7</v>
      </c>
      <c r="HK644" s="19">
        <v>8.7</v>
      </c>
      <c r="HL644" s="19">
        <v>6.5</v>
      </c>
      <c r="HM644" s="19">
        <v>11.2</v>
      </c>
      <c r="HN644" s="19">
        <v>10.1</v>
      </c>
      <c r="HO644" s="19">
        <v>9.4</v>
      </c>
      <c r="HP644" s="19">
        <v>9.4</v>
      </c>
      <c r="HQ644" s="19">
        <v>11.4</v>
      </c>
      <c r="HR644" s="19">
        <v>12.1</v>
      </c>
      <c r="HS644" s="19">
        <v>13.3</v>
      </c>
      <c r="HT644" s="19">
        <v>13.7</v>
      </c>
      <c r="HU644" s="19">
        <v>14.7</v>
      </c>
      <c r="HV644" s="19">
        <v>15.8</v>
      </c>
      <c r="HW644" s="19">
        <v>14.4</v>
      </c>
      <c r="HX644" s="19">
        <v>13.4</v>
      </c>
      <c r="HY644" s="19">
        <v>12.6</v>
      </c>
      <c r="HZ644" s="19">
        <v>11.6</v>
      </c>
      <c r="IA644" s="19">
        <v>13.3</v>
      </c>
      <c r="IB644" s="19">
        <v>12</v>
      </c>
      <c r="IC644" s="19">
        <v>10.8</v>
      </c>
    </row>
    <row r="645">
      <c r="A645" s="2" t="s">
        <v>2970</v>
      </c>
      <c r="B645" s="2" t="s">
        <v>323</v>
      </c>
      <c r="C645" s="2" t="s">
        <v>980</v>
      </c>
      <c r="D645" s="2" t="s">
        <v>257</v>
      </c>
      <c r="E645" s="2" t="s">
        <v>258</v>
      </c>
      <c r="F645" s="2" t="s">
        <v>2905</v>
      </c>
      <c r="G645" s="2" t="s">
        <v>2905</v>
      </c>
      <c r="H645" s="2" t="s">
        <v>2905</v>
      </c>
      <c r="I645" s="2" t="s">
        <v>405</v>
      </c>
      <c r="J645" s="2" t="s">
        <v>272</v>
      </c>
      <c r="K645" s="2" t="s">
        <v>2971</v>
      </c>
      <c r="L645" s="3">
        <v>28.98</v>
      </c>
      <c r="M645" s="3">
        <v>30.43</v>
      </c>
      <c r="N645" s="3">
        <v>64.99</v>
      </c>
      <c r="O645" s="2" t="s">
        <v>232</v>
      </c>
      <c r="P645" s="2" t="s">
        <v>233</v>
      </c>
      <c r="Q645" s="2" t="s">
        <v>234</v>
      </c>
      <c r="R645" s="2" t="s">
        <v>235</v>
      </c>
      <c r="S645" s="2" t="s">
        <v>2972</v>
      </c>
      <c r="T645" s="2" t="s">
        <v>2908</v>
      </c>
      <c r="U645" s="2" t="s">
        <v>235</v>
      </c>
      <c r="V645" s="2" t="s">
        <v>1222</v>
      </c>
      <c r="W645" s="2" t="s">
        <v>1798</v>
      </c>
      <c r="X645" s="2" t="s">
        <v>239</v>
      </c>
      <c r="Y645" s="2" t="s">
        <v>240</v>
      </c>
      <c r="Z645" s="4">
        <v>99</v>
      </c>
      <c r="AA645" s="4">
        <f>=ROUNDDOWN(12.375,0)</f>
      </c>
      <c r="AB645" s="5">
        <v>8</v>
      </c>
      <c r="AC645" s="2" t="s">
        <v>163</v>
      </c>
      <c r="AD645" s="4">
        <v>230</v>
      </c>
      <c r="AE645" s="4">
        <v>262</v>
      </c>
      <c r="AF645" s="6">
        <v>78</v>
      </c>
      <c r="AG645" s="6"/>
      <c r="AH645" s="7">
        <v>1</v>
      </c>
      <c r="AI645" s="4"/>
      <c r="AJ645" s="4">
        <f>=ROUNDDOWN({0},0)</f>
      </c>
      <c r="AK645" s="5"/>
      <c r="AL645" s="2" t="s">
        <v>235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235</v>
      </c>
      <c r="BD645" s="8" t="s">
        <v>235</v>
      </c>
      <c r="BE645" s="4" t="s">
        <v>235</v>
      </c>
      <c r="BF645" s="8" t="s">
        <v>235</v>
      </c>
      <c r="BG645" s="7" t="s">
        <v>235</v>
      </c>
      <c r="BH645" s="7" t="s">
        <v>235</v>
      </c>
      <c r="BI645" s="7"/>
      <c r="BJ645" s="4">
        <v>2</v>
      </c>
      <c r="BK645" s="8">
        <v>66.82</v>
      </c>
      <c r="BL645" s="2" t="s">
        <v>2973</v>
      </c>
      <c r="BM645" s="7"/>
      <c r="BN645" s="7"/>
      <c r="BO645" s="4"/>
      <c r="BP645" s="8"/>
      <c r="BQ645" s="4"/>
      <c r="BR645" s="8"/>
      <c r="BS645" s="7"/>
      <c r="BT645" s="7"/>
      <c r="BU645" s="2" t="s">
        <v>2921</v>
      </c>
      <c r="BV645" s="2" t="s">
        <v>243</v>
      </c>
      <c r="BW645" s="2" t="s">
        <v>235</v>
      </c>
      <c r="BX645" s="2" t="s">
        <v>244</v>
      </c>
      <c r="BY645" s="2" t="s">
        <v>245</v>
      </c>
      <c r="BZ645" s="2" t="s">
        <v>232</v>
      </c>
      <c r="CA645" s="2" t="s">
        <v>1014</v>
      </c>
      <c r="CB645" s="2" t="s">
        <v>2974</v>
      </c>
      <c r="CC645" s="2" t="s">
        <v>248</v>
      </c>
      <c r="CD645" s="2" t="s">
        <v>248</v>
      </c>
      <c r="CE645" s="2" t="s">
        <v>235</v>
      </c>
      <c r="CF645" s="4">
        <v>99</v>
      </c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>
        <v>230</v>
      </c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>
        <v>32</v>
      </c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>
        <v>100</v>
      </c>
      <c r="GE645" s="4">
        <v>87</v>
      </c>
      <c r="GF645" s="4">
        <v>81</v>
      </c>
      <c r="GG645" s="4">
        <v>73</v>
      </c>
      <c r="GH645" s="4">
        <v>63</v>
      </c>
      <c r="GI645" s="4">
        <v>47</v>
      </c>
      <c r="GJ645" s="4">
        <v>248</v>
      </c>
      <c r="GK645" s="4">
        <v>232</v>
      </c>
      <c r="GL645" s="4">
        <v>217</v>
      </c>
      <c r="GM645" s="4">
        <v>206</v>
      </c>
      <c r="GN645" s="4">
        <v>195</v>
      </c>
      <c r="GO645" s="4">
        <v>213</v>
      </c>
      <c r="GP645" s="4">
        <v>197</v>
      </c>
      <c r="GQ645" s="4">
        <v>169</v>
      </c>
      <c r="GR645" s="4">
        <v>155</v>
      </c>
      <c r="GS645" s="4">
        <v>141</v>
      </c>
      <c r="GT645" s="4">
        <v>131</v>
      </c>
      <c r="GU645" s="4">
        <v>123</v>
      </c>
      <c r="GV645" s="4">
        <v>114</v>
      </c>
      <c r="GW645" s="4">
        <v>108</v>
      </c>
      <c r="GX645" s="4">
        <v>103</v>
      </c>
      <c r="GY645" s="4">
        <v>99</v>
      </c>
      <c r="GZ645" s="4">
        <v>94</v>
      </c>
      <c r="HA645" s="4">
        <v>89</v>
      </c>
      <c r="HB645" s="4">
        <v>84</v>
      </c>
      <c r="HC645" s="4">
        <v>79</v>
      </c>
      <c r="HD645" s="19">
        <v>11.1</v>
      </c>
      <c r="HE645" s="19">
        <v>8.7</v>
      </c>
      <c r="HF645" s="19">
        <v>5.1</v>
      </c>
      <c r="HG645" s="19">
        <v>4.1</v>
      </c>
      <c r="HH645" s="19">
        <v>3.3</v>
      </c>
      <c r="HI645" s="19">
        <v>2.6</v>
      </c>
      <c r="HJ645" s="19">
        <v>19.1</v>
      </c>
      <c r="HK645" s="19">
        <v>17.8</v>
      </c>
      <c r="HL645" s="19">
        <v>16.7</v>
      </c>
      <c r="HM645" s="19">
        <v>12.1</v>
      </c>
      <c r="HN645" s="19">
        <v>10.8</v>
      </c>
      <c r="HO645" s="19">
        <v>11.8</v>
      </c>
      <c r="HP645" s="19">
        <v>12.3</v>
      </c>
      <c r="HQ645" s="19">
        <v>14.1</v>
      </c>
      <c r="HR645" s="19">
        <v>15.5</v>
      </c>
      <c r="HS645" s="19">
        <v>17.6</v>
      </c>
      <c r="HT645" s="19">
        <v>18.7</v>
      </c>
      <c r="HU645" s="19">
        <v>20.5</v>
      </c>
      <c r="HV645" s="19">
        <v>22.8</v>
      </c>
      <c r="HW645" s="19">
        <v>21.6</v>
      </c>
      <c r="HX645" s="19">
        <v>20.6</v>
      </c>
      <c r="HY645" s="19">
        <v>19.8</v>
      </c>
      <c r="HZ645" s="19">
        <v>18.8</v>
      </c>
      <c r="IA645" s="19">
        <v>22.3</v>
      </c>
      <c r="IB645" s="19">
        <v>21</v>
      </c>
      <c r="IC645" s="19">
        <v>19.8</v>
      </c>
    </row>
    <row r="646">
      <c r="A646" s="2" t="s">
        <v>2975</v>
      </c>
      <c r="B646" s="2" t="s">
        <v>323</v>
      </c>
      <c r="C646" s="2" t="s">
        <v>980</v>
      </c>
      <c r="D646" s="2" t="s">
        <v>257</v>
      </c>
      <c r="E646" s="2" t="s">
        <v>258</v>
      </c>
      <c r="F646" s="2" t="s">
        <v>2905</v>
      </c>
      <c r="G646" s="2" t="s">
        <v>2905</v>
      </c>
      <c r="H646" s="2" t="s">
        <v>2905</v>
      </c>
      <c r="I646" s="2" t="s">
        <v>2906</v>
      </c>
      <c r="J646" s="2" t="s">
        <v>394</v>
      </c>
      <c r="K646" s="2" t="s">
        <v>2976</v>
      </c>
      <c r="L646" s="3">
        <v>19.8</v>
      </c>
      <c r="M646" s="3">
        <v>20.79</v>
      </c>
      <c r="N646" s="3">
        <v>44.99</v>
      </c>
      <c r="O646" s="2" t="s">
        <v>232</v>
      </c>
      <c r="P646" s="2" t="s">
        <v>878</v>
      </c>
      <c r="Q646" s="2" t="s">
        <v>234</v>
      </c>
      <c r="R646" s="2" t="s">
        <v>235</v>
      </c>
      <c r="S646" s="2" t="s">
        <v>235</v>
      </c>
      <c r="T646" s="2" t="s">
        <v>2908</v>
      </c>
      <c r="U646" s="2" t="s">
        <v>552</v>
      </c>
      <c r="V646" s="2" t="s">
        <v>2182</v>
      </c>
      <c r="W646" s="2" t="s">
        <v>329</v>
      </c>
      <c r="X646" s="2" t="s">
        <v>235</v>
      </c>
      <c r="Y646" s="2" t="s">
        <v>2909</v>
      </c>
      <c r="Z646" s="4">
        <v>186</v>
      </c>
      <c r="AA646" s="4">
        <f>=ROUNDDOWN(23.25,0)</f>
      </c>
      <c r="AB646" s="5">
        <v>8</v>
      </c>
      <c r="AC646" s="2" t="s">
        <v>163</v>
      </c>
      <c r="AD646" s="4">
        <v>58</v>
      </c>
      <c r="AE646" s="4">
        <v>119</v>
      </c>
      <c r="AF646" s="6">
        <v>82</v>
      </c>
      <c r="AG646" s="6"/>
      <c r="AH646" s="7">
        <v>1</v>
      </c>
      <c r="AI646" s="4"/>
      <c r="AJ646" s="4">
        <f>=ROUNDDOWN({0},0)</f>
      </c>
      <c r="AK646" s="5"/>
      <c r="AL646" s="2" t="s">
        <v>235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235</v>
      </c>
      <c r="AW646" s="8" t="s">
        <v>235</v>
      </c>
      <c r="AX646" s="4" t="s">
        <v>235</v>
      </c>
      <c r="AY646" s="8" t="s">
        <v>235</v>
      </c>
      <c r="AZ646" s="7" t="s">
        <v>235</v>
      </c>
      <c r="BA646" s="7" t="s">
        <v>235</v>
      </c>
      <c r="BB646" s="7"/>
      <c r="BC646" s="4" t="s">
        <v>235</v>
      </c>
      <c r="BD646" s="8" t="s">
        <v>235</v>
      </c>
      <c r="BE646" s="4" t="s">
        <v>235</v>
      </c>
      <c r="BF646" s="8" t="s">
        <v>235</v>
      </c>
      <c r="BG646" s="7" t="s">
        <v>235</v>
      </c>
      <c r="BH646" s="7" t="s">
        <v>235</v>
      </c>
      <c r="BI646" s="7"/>
      <c r="BJ646" s="4"/>
      <c r="BK646" s="8"/>
      <c r="BL646" s="2" t="s">
        <v>235</v>
      </c>
      <c r="BM646" s="7"/>
      <c r="BN646" s="7"/>
      <c r="BO646" s="4"/>
      <c r="BP646" s="8"/>
      <c r="BQ646" s="4"/>
      <c r="BR646" s="8"/>
      <c r="BS646" s="7"/>
      <c r="BT646" s="7"/>
      <c r="BU646" s="2" t="s">
        <v>2910</v>
      </c>
      <c r="BV646" s="2" t="s">
        <v>235</v>
      </c>
      <c r="BW646" s="2" t="s">
        <v>235</v>
      </c>
      <c r="BX646" s="2" t="s">
        <v>244</v>
      </c>
      <c r="BY646" s="2" t="s">
        <v>245</v>
      </c>
      <c r="BZ646" s="2" t="s">
        <v>232</v>
      </c>
      <c r="CA646" s="2" t="s">
        <v>235</v>
      </c>
      <c r="CB646" s="2" t="s">
        <v>235</v>
      </c>
      <c r="CC646" s="2" t="s">
        <v>248</v>
      </c>
      <c r="CD646" s="2" t="s">
        <v>248</v>
      </c>
      <c r="CE646" s="2" t="s">
        <v>235</v>
      </c>
      <c r="CF646" s="4">
        <v>186</v>
      </c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>
        <v>58</v>
      </c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>
        <v>61</v>
      </c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>
        <v>186</v>
      </c>
      <c r="GE646" s="4">
        <v>172</v>
      </c>
      <c r="GF646" s="4">
        <v>169</v>
      </c>
      <c r="GG646" s="4">
        <v>164</v>
      </c>
      <c r="GH646" s="4">
        <v>157</v>
      </c>
      <c r="GI646" s="4">
        <v>147</v>
      </c>
      <c r="GJ646" s="4">
        <v>183</v>
      </c>
      <c r="GK646" s="4">
        <v>171</v>
      </c>
      <c r="GL646" s="4">
        <v>160</v>
      </c>
      <c r="GM646" s="4">
        <v>152</v>
      </c>
      <c r="GN646" s="4">
        <v>140</v>
      </c>
      <c r="GO646" s="4">
        <v>186</v>
      </c>
      <c r="GP646" s="4">
        <v>167</v>
      </c>
      <c r="GQ646" s="4">
        <v>134</v>
      </c>
      <c r="GR646" s="4">
        <v>117</v>
      </c>
      <c r="GS646" s="4">
        <v>101</v>
      </c>
      <c r="GT646" s="4">
        <v>90</v>
      </c>
      <c r="GU646" s="4">
        <v>81</v>
      </c>
      <c r="GV646" s="4">
        <v>71</v>
      </c>
      <c r="GW646" s="4">
        <v>63</v>
      </c>
      <c r="GX646" s="4">
        <v>57</v>
      </c>
      <c r="GY646" s="4">
        <v>52</v>
      </c>
      <c r="GZ646" s="4">
        <v>46</v>
      </c>
      <c r="HA646" s="4">
        <v>40</v>
      </c>
      <c r="HB646" s="4">
        <v>34</v>
      </c>
      <c r="HC646" s="4">
        <v>28</v>
      </c>
      <c r="HD646" s="19">
        <v>26.6</v>
      </c>
      <c r="HE646" s="19">
        <v>28.7</v>
      </c>
      <c r="HF646" s="19">
        <v>15.4</v>
      </c>
      <c r="HG646" s="19">
        <v>12.6</v>
      </c>
      <c r="HH646" s="19">
        <v>11.2</v>
      </c>
      <c r="HI646" s="19">
        <v>11.3</v>
      </c>
      <c r="HJ646" s="19">
        <v>16.6</v>
      </c>
      <c r="HK646" s="19">
        <v>14.3</v>
      </c>
      <c r="HL646" s="19">
        <v>11.4</v>
      </c>
      <c r="HM646" s="19">
        <v>7.6</v>
      </c>
      <c r="HN646" s="19">
        <v>6.7</v>
      </c>
      <c r="HO646" s="19">
        <v>8.9</v>
      </c>
      <c r="HP646" s="19">
        <v>8.8</v>
      </c>
      <c r="HQ646" s="19">
        <v>10.3</v>
      </c>
      <c r="HR646" s="19">
        <v>9.8</v>
      </c>
      <c r="HS646" s="19">
        <v>10.1</v>
      </c>
      <c r="HT646" s="19">
        <v>11.3</v>
      </c>
      <c r="HU646" s="19">
        <v>11.6</v>
      </c>
      <c r="HV646" s="19">
        <v>11.8</v>
      </c>
      <c r="HW646" s="19">
        <v>10.5</v>
      </c>
      <c r="HX646" s="19">
        <v>9.5</v>
      </c>
      <c r="HY646" s="19">
        <v>8.7</v>
      </c>
      <c r="HZ646" s="19">
        <v>7.7</v>
      </c>
      <c r="IA646" s="19">
        <v>6.7</v>
      </c>
      <c r="IB646" s="19">
        <v>6.8</v>
      </c>
      <c r="IC646" s="19">
        <v>7</v>
      </c>
    </row>
    <row r="647">
      <c r="A647" s="2" t="s">
        <v>2977</v>
      </c>
      <c r="B647" s="2" t="s">
        <v>323</v>
      </c>
      <c r="C647" s="2" t="s">
        <v>980</v>
      </c>
      <c r="D647" s="2" t="s">
        <v>257</v>
      </c>
      <c r="E647" s="2" t="s">
        <v>258</v>
      </c>
      <c r="F647" s="2" t="s">
        <v>2905</v>
      </c>
      <c r="G647" s="2" t="s">
        <v>2905</v>
      </c>
      <c r="H647" s="2" t="s">
        <v>2905</v>
      </c>
      <c r="I647" s="2" t="s">
        <v>2906</v>
      </c>
      <c r="J647" s="2" t="s">
        <v>250</v>
      </c>
      <c r="K647" s="2" t="s">
        <v>2976</v>
      </c>
      <c r="L647" s="3">
        <v>21.78</v>
      </c>
      <c r="M647" s="3">
        <v>22.87</v>
      </c>
      <c r="N647" s="3">
        <v>49.99</v>
      </c>
      <c r="O647" s="2" t="s">
        <v>232</v>
      </c>
      <c r="P647" s="2" t="s">
        <v>878</v>
      </c>
      <c r="Q647" s="2" t="s">
        <v>234</v>
      </c>
      <c r="R647" s="2" t="s">
        <v>235</v>
      </c>
      <c r="S647" s="2" t="s">
        <v>235</v>
      </c>
      <c r="T647" s="2" t="s">
        <v>2908</v>
      </c>
      <c r="U647" s="2" t="s">
        <v>264</v>
      </c>
      <c r="V647" s="2" t="s">
        <v>2182</v>
      </c>
      <c r="W647" s="2" t="s">
        <v>329</v>
      </c>
      <c r="X647" s="2" t="s">
        <v>235</v>
      </c>
      <c r="Y647" s="2" t="s">
        <v>2909</v>
      </c>
      <c r="Z647" s="4">
        <v>245</v>
      </c>
      <c r="AA647" s="4">
        <f>=ROUNDDOWN(27.2222222222222,0)</f>
      </c>
      <c r="AB647" s="5">
        <v>9</v>
      </c>
      <c r="AC647" s="2" t="s">
        <v>163</v>
      </c>
      <c r="AD647" s="4">
        <v>88</v>
      </c>
      <c r="AE647" s="4">
        <v>175</v>
      </c>
      <c r="AF647" s="6">
        <v>82</v>
      </c>
      <c r="AG647" s="6"/>
      <c r="AH647" s="7">
        <v>1</v>
      </c>
      <c r="AI647" s="4"/>
      <c r="AJ647" s="4">
        <f>=ROUNDDOWN({0},0)</f>
      </c>
      <c r="AK647" s="5"/>
      <c r="AL647" s="2" t="s">
        <v>235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235</v>
      </c>
      <c r="AW647" s="8" t="s">
        <v>235</v>
      </c>
      <c r="AX647" s="4" t="s">
        <v>235</v>
      </c>
      <c r="AY647" s="8" t="s">
        <v>235</v>
      </c>
      <c r="AZ647" s="7" t="s">
        <v>235</v>
      </c>
      <c r="BA647" s="7" t="s">
        <v>235</v>
      </c>
      <c r="BB647" s="7"/>
      <c r="BC647" s="4" t="s">
        <v>235</v>
      </c>
      <c r="BD647" s="8" t="s">
        <v>235</v>
      </c>
      <c r="BE647" s="4" t="s">
        <v>235</v>
      </c>
      <c r="BF647" s="8" t="s">
        <v>235</v>
      </c>
      <c r="BG647" s="7" t="s">
        <v>235</v>
      </c>
      <c r="BH647" s="7" t="s">
        <v>235</v>
      </c>
      <c r="BI647" s="7"/>
      <c r="BJ647" s="4"/>
      <c r="BK647" s="8"/>
      <c r="BL647" s="2" t="s">
        <v>235</v>
      </c>
      <c r="BM647" s="7"/>
      <c r="BN647" s="7"/>
      <c r="BO647" s="4"/>
      <c r="BP647" s="8"/>
      <c r="BQ647" s="4"/>
      <c r="BR647" s="8"/>
      <c r="BS647" s="7"/>
      <c r="BT647" s="7"/>
      <c r="BU647" s="2" t="s">
        <v>2910</v>
      </c>
      <c r="BV647" s="2" t="s">
        <v>235</v>
      </c>
      <c r="BW647" s="2" t="s">
        <v>235</v>
      </c>
      <c r="BX647" s="2" t="s">
        <v>244</v>
      </c>
      <c r="BY647" s="2" t="s">
        <v>245</v>
      </c>
      <c r="BZ647" s="2" t="s">
        <v>232</v>
      </c>
      <c r="CA647" s="2" t="s">
        <v>235</v>
      </c>
      <c r="CB647" s="2" t="s">
        <v>235</v>
      </c>
      <c r="CC647" s="2" t="s">
        <v>248</v>
      </c>
      <c r="CD647" s="2" t="s">
        <v>248</v>
      </c>
      <c r="CE647" s="2" t="s">
        <v>235</v>
      </c>
      <c r="CF647" s="4">
        <v>245</v>
      </c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>
        <v>88</v>
      </c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>
        <v>87</v>
      </c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>
        <v>245</v>
      </c>
      <c r="GE647" s="4">
        <v>231</v>
      </c>
      <c r="GF647" s="4">
        <v>227</v>
      </c>
      <c r="GG647" s="4">
        <v>221</v>
      </c>
      <c r="GH647" s="4">
        <v>214</v>
      </c>
      <c r="GI647" s="4">
        <v>203</v>
      </c>
      <c r="GJ647" s="4">
        <v>268</v>
      </c>
      <c r="GK647" s="4">
        <v>255</v>
      </c>
      <c r="GL647" s="4">
        <v>243</v>
      </c>
      <c r="GM647" s="4">
        <v>234</v>
      </c>
      <c r="GN647" s="4">
        <v>220</v>
      </c>
      <c r="GO647" s="4">
        <v>290</v>
      </c>
      <c r="GP647" s="4">
        <v>268</v>
      </c>
      <c r="GQ647" s="4">
        <v>229</v>
      </c>
      <c r="GR647" s="4">
        <v>210</v>
      </c>
      <c r="GS647" s="4">
        <v>191</v>
      </c>
      <c r="GT647" s="4">
        <v>178</v>
      </c>
      <c r="GU647" s="4">
        <v>168</v>
      </c>
      <c r="GV647" s="4">
        <v>157</v>
      </c>
      <c r="GW647" s="4">
        <v>148</v>
      </c>
      <c r="GX647" s="4">
        <v>141</v>
      </c>
      <c r="GY647" s="4">
        <v>135</v>
      </c>
      <c r="GZ647" s="4">
        <v>129</v>
      </c>
      <c r="HA647" s="4">
        <v>123</v>
      </c>
      <c r="HB647" s="4">
        <v>117</v>
      </c>
      <c r="HC647" s="4">
        <v>111</v>
      </c>
      <c r="HD647" s="19">
        <v>30.6</v>
      </c>
      <c r="HE647" s="19">
        <v>33</v>
      </c>
      <c r="HF647" s="19">
        <v>18.9</v>
      </c>
      <c r="HG647" s="19">
        <v>15.8</v>
      </c>
      <c r="HH647" s="19">
        <v>14.3</v>
      </c>
      <c r="HI647" s="19">
        <v>14.5</v>
      </c>
      <c r="HJ647" s="19">
        <v>22.3</v>
      </c>
      <c r="HK647" s="19">
        <v>19.6</v>
      </c>
      <c r="HL647" s="19">
        <v>15.2</v>
      </c>
      <c r="HM647" s="19">
        <v>10.2</v>
      </c>
      <c r="HN647" s="19">
        <v>9.2</v>
      </c>
      <c r="HO647" s="19">
        <v>11.6</v>
      </c>
      <c r="HP647" s="19">
        <v>12.2</v>
      </c>
      <c r="HQ647" s="19">
        <v>15.3</v>
      </c>
      <c r="HR647" s="19">
        <v>16.2</v>
      </c>
      <c r="HS647" s="19">
        <v>17.4</v>
      </c>
      <c r="HT647" s="19">
        <v>19.8</v>
      </c>
      <c r="HU647" s="19">
        <v>21</v>
      </c>
      <c r="HV647" s="19">
        <v>22.4</v>
      </c>
      <c r="HW647" s="19">
        <v>24.7</v>
      </c>
      <c r="HX647" s="19">
        <v>23.5</v>
      </c>
      <c r="HY647" s="19">
        <v>22.5</v>
      </c>
      <c r="HZ647" s="19">
        <v>21.5</v>
      </c>
      <c r="IA647" s="19">
        <v>20.5</v>
      </c>
      <c r="IB647" s="19">
        <v>23.4</v>
      </c>
      <c r="IC647" s="19">
        <v>27.8</v>
      </c>
    </row>
    <row r="648">
      <c r="A648" s="2" t="s">
        <v>2978</v>
      </c>
      <c r="B648" s="2" t="s">
        <v>323</v>
      </c>
      <c r="C648" s="2" t="s">
        <v>980</v>
      </c>
      <c r="D648" s="2" t="s">
        <v>257</v>
      </c>
      <c r="E648" s="2" t="s">
        <v>258</v>
      </c>
      <c r="F648" s="2" t="s">
        <v>2905</v>
      </c>
      <c r="G648" s="2" t="s">
        <v>2905</v>
      </c>
      <c r="H648" s="2" t="s">
        <v>2905</v>
      </c>
      <c r="I648" s="2" t="s">
        <v>2906</v>
      </c>
      <c r="J648" s="2" t="s">
        <v>261</v>
      </c>
      <c r="K648" s="2" t="s">
        <v>2976</v>
      </c>
      <c r="L648" s="3">
        <v>24.3</v>
      </c>
      <c r="M648" s="3">
        <v>25.52</v>
      </c>
      <c r="N648" s="3">
        <v>54.99</v>
      </c>
      <c r="O648" s="2" t="s">
        <v>232</v>
      </c>
      <c r="P648" s="2" t="s">
        <v>878</v>
      </c>
      <c r="Q648" s="2" t="s">
        <v>234</v>
      </c>
      <c r="R648" s="2" t="s">
        <v>235</v>
      </c>
      <c r="S648" s="2" t="s">
        <v>235</v>
      </c>
      <c r="T648" s="2" t="s">
        <v>2908</v>
      </c>
      <c r="U648" s="2" t="s">
        <v>264</v>
      </c>
      <c r="V648" s="2" t="s">
        <v>2182</v>
      </c>
      <c r="W648" s="2" t="s">
        <v>329</v>
      </c>
      <c r="X648" s="2" t="s">
        <v>235</v>
      </c>
      <c r="Y648" s="2" t="s">
        <v>2909</v>
      </c>
      <c r="Z648" s="4">
        <v>598</v>
      </c>
      <c r="AA648" s="4">
        <f>=ROUNDDOWN(23.92,0)</f>
      </c>
      <c r="AB648" s="5">
        <v>25</v>
      </c>
      <c r="AC648" s="2" t="s">
        <v>163</v>
      </c>
      <c r="AD648" s="4">
        <v>221</v>
      </c>
      <c r="AE648" s="4">
        <v>445</v>
      </c>
      <c r="AF648" s="6">
        <v>82</v>
      </c>
      <c r="AG648" s="6"/>
      <c r="AH648" s="7">
        <v>1</v>
      </c>
      <c r="AI648" s="4"/>
      <c r="AJ648" s="4">
        <f>=ROUNDDOWN({0},0)</f>
      </c>
      <c r="AK648" s="5"/>
      <c r="AL648" s="2" t="s">
        <v>235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235</v>
      </c>
      <c r="AW648" s="8" t="s">
        <v>235</v>
      </c>
      <c r="AX648" s="4" t="s">
        <v>235</v>
      </c>
      <c r="AY648" s="8" t="s">
        <v>235</v>
      </c>
      <c r="AZ648" s="7" t="s">
        <v>235</v>
      </c>
      <c r="BA648" s="7" t="s">
        <v>235</v>
      </c>
      <c r="BB648" s="7"/>
      <c r="BC648" s="4" t="s">
        <v>235</v>
      </c>
      <c r="BD648" s="8" t="s">
        <v>235</v>
      </c>
      <c r="BE648" s="4" t="s">
        <v>235</v>
      </c>
      <c r="BF648" s="8" t="s">
        <v>235</v>
      </c>
      <c r="BG648" s="7" t="s">
        <v>235</v>
      </c>
      <c r="BH648" s="7" t="s">
        <v>235</v>
      </c>
      <c r="BI648" s="7"/>
      <c r="BJ648" s="4"/>
      <c r="BK648" s="8"/>
      <c r="BL648" s="2" t="s">
        <v>235</v>
      </c>
      <c r="BM648" s="7"/>
      <c r="BN648" s="7"/>
      <c r="BO648" s="4"/>
      <c r="BP648" s="8"/>
      <c r="BQ648" s="4"/>
      <c r="BR648" s="8"/>
      <c r="BS648" s="7"/>
      <c r="BT648" s="7"/>
      <c r="BU648" s="2" t="s">
        <v>2910</v>
      </c>
      <c r="BV648" s="2" t="s">
        <v>235</v>
      </c>
      <c r="BW648" s="2" t="s">
        <v>235</v>
      </c>
      <c r="BX648" s="2" t="s">
        <v>244</v>
      </c>
      <c r="BY648" s="2" t="s">
        <v>245</v>
      </c>
      <c r="BZ648" s="2" t="s">
        <v>232</v>
      </c>
      <c r="CA648" s="2" t="s">
        <v>235</v>
      </c>
      <c r="CB648" s="2" t="s">
        <v>235</v>
      </c>
      <c r="CC648" s="2" t="s">
        <v>248</v>
      </c>
      <c r="CD648" s="2" t="s">
        <v>248</v>
      </c>
      <c r="CE648" s="2" t="s">
        <v>235</v>
      </c>
      <c r="CF648" s="4">
        <v>598</v>
      </c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>
        <v>221</v>
      </c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>
        <v>224</v>
      </c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>
        <v>598</v>
      </c>
      <c r="GE648" s="4">
        <v>561</v>
      </c>
      <c r="GF648" s="4">
        <v>552</v>
      </c>
      <c r="GG648" s="4">
        <v>539</v>
      </c>
      <c r="GH648" s="4">
        <v>523</v>
      </c>
      <c r="GI648" s="4">
        <v>496</v>
      </c>
      <c r="GJ648" s="4">
        <v>662</v>
      </c>
      <c r="GK648" s="4">
        <v>630</v>
      </c>
      <c r="GL648" s="4">
        <v>598</v>
      </c>
      <c r="GM648" s="4">
        <v>573</v>
      </c>
      <c r="GN648" s="4">
        <v>535</v>
      </c>
      <c r="GO648" s="4">
        <v>712</v>
      </c>
      <c r="GP648" s="4">
        <v>648</v>
      </c>
      <c r="GQ648" s="4">
        <v>530</v>
      </c>
      <c r="GR648" s="4">
        <v>474</v>
      </c>
      <c r="GS648" s="4">
        <v>419</v>
      </c>
      <c r="GT648" s="4">
        <v>382</v>
      </c>
      <c r="GU648" s="4">
        <v>354</v>
      </c>
      <c r="GV648" s="4">
        <v>322</v>
      </c>
      <c r="GW648" s="4">
        <v>298</v>
      </c>
      <c r="GX648" s="4">
        <v>280</v>
      </c>
      <c r="GY648" s="4">
        <v>265</v>
      </c>
      <c r="GZ648" s="4">
        <v>248</v>
      </c>
      <c r="HA648" s="4">
        <v>231</v>
      </c>
      <c r="HB648" s="4">
        <v>214</v>
      </c>
      <c r="HC648" s="4">
        <v>197</v>
      </c>
      <c r="HD648" s="19">
        <v>31.5</v>
      </c>
      <c r="HE648" s="19">
        <v>35.1</v>
      </c>
      <c r="HF648" s="19">
        <v>19.7</v>
      </c>
      <c r="HG648" s="19">
        <v>16.8</v>
      </c>
      <c r="HH648" s="19">
        <v>14.5</v>
      </c>
      <c r="HI648" s="19">
        <v>13.8</v>
      </c>
      <c r="HJ648" s="19">
        <v>20.7</v>
      </c>
      <c r="HK648" s="19">
        <v>17.5</v>
      </c>
      <c r="HL648" s="19">
        <v>13.6</v>
      </c>
      <c r="HM648" s="19">
        <v>8.6</v>
      </c>
      <c r="HN648" s="19">
        <v>7.5</v>
      </c>
      <c r="HO648" s="19">
        <v>9.8</v>
      </c>
      <c r="HP648" s="19">
        <v>9.8</v>
      </c>
      <c r="HQ648" s="19">
        <v>12</v>
      </c>
      <c r="HR648" s="19">
        <v>12.5</v>
      </c>
      <c r="HS648" s="19">
        <v>14</v>
      </c>
      <c r="HT648" s="19">
        <v>14.7</v>
      </c>
      <c r="HU648" s="19">
        <v>16.1</v>
      </c>
      <c r="HV648" s="19">
        <v>17.9</v>
      </c>
      <c r="HW648" s="19">
        <v>17.5</v>
      </c>
      <c r="HX648" s="19">
        <v>17.5</v>
      </c>
      <c r="HY648" s="19">
        <v>15.6</v>
      </c>
      <c r="HZ648" s="19">
        <v>15.5</v>
      </c>
      <c r="IA648" s="19">
        <v>15.4</v>
      </c>
      <c r="IB648" s="19">
        <v>15.3</v>
      </c>
      <c r="IC648" s="19">
        <v>16.4</v>
      </c>
    </row>
    <row r="649">
      <c r="A649" s="2" t="s">
        <v>2979</v>
      </c>
      <c r="B649" s="2" t="s">
        <v>323</v>
      </c>
      <c r="C649" s="2" t="s">
        <v>980</v>
      </c>
      <c r="D649" s="2" t="s">
        <v>257</v>
      </c>
      <c r="E649" s="2" t="s">
        <v>258</v>
      </c>
      <c r="F649" s="2" t="s">
        <v>2905</v>
      </c>
      <c r="G649" s="2" t="s">
        <v>2905</v>
      </c>
      <c r="H649" s="2" t="s">
        <v>2905</v>
      </c>
      <c r="I649" s="2" t="s">
        <v>2906</v>
      </c>
      <c r="J649" s="2" t="s">
        <v>270</v>
      </c>
      <c r="K649" s="2" t="s">
        <v>2976</v>
      </c>
      <c r="L649" s="3">
        <v>28.98</v>
      </c>
      <c r="M649" s="3">
        <v>30.43</v>
      </c>
      <c r="N649" s="3">
        <v>64.99</v>
      </c>
      <c r="O649" s="2" t="s">
        <v>232</v>
      </c>
      <c r="P649" s="2" t="s">
        <v>878</v>
      </c>
      <c r="Q649" s="2" t="s">
        <v>234</v>
      </c>
      <c r="R649" s="2" t="s">
        <v>235</v>
      </c>
      <c r="S649" s="2" t="s">
        <v>235</v>
      </c>
      <c r="T649" s="2" t="s">
        <v>2908</v>
      </c>
      <c r="U649" s="2" t="s">
        <v>264</v>
      </c>
      <c r="V649" s="2" t="s">
        <v>2182</v>
      </c>
      <c r="W649" s="2" t="s">
        <v>329</v>
      </c>
      <c r="X649" s="2" t="s">
        <v>235</v>
      </c>
      <c r="Y649" s="2" t="s">
        <v>2909</v>
      </c>
      <c r="Z649" s="4">
        <v>352</v>
      </c>
      <c r="AA649" s="4">
        <f>=ROUNDDOWN(23.4666666666667,0)</f>
      </c>
      <c r="AB649" s="5">
        <v>15</v>
      </c>
      <c r="AC649" s="2" t="s">
        <v>163</v>
      </c>
      <c r="AD649" s="4">
        <v>117</v>
      </c>
      <c r="AE649" s="4">
        <v>235</v>
      </c>
      <c r="AF649" s="6">
        <v>82</v>
      </c>
      <c r="AG649" s="6"/>
      <c r="AH649" s="7">
        <v>1</v>
      </c>
      <c r="AI649" s="4"/>
      <c r="AJ649" s="4">
        <f>=ROUNDDOWN({0},0)</f>
      </c>
      <c r="AK649" s="5"/>
      <c r="AL649" s="2" t="s">
        <v>235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235</v>
      </c>
      <c r="AW649" s="8" t="s">
        <v>235</v>
      </c>
      <c r="AX649" s="4" t="s">
        <v>235</v>
      </c>
      <c r="AY649" s="8" t="s">
        <v>235</v>
      </c>
      <c r="AZ649" s="7" t="s">
        <v>235</v>
      </c>
      <c r="BA649" s="7" t="s">
        <v>235</v>
      </c>
      <c r="BB649" s="7"/>
      <c r="BC649" s="4" t="s">
        <v>235</v>
      </c>
      <c r="BD649" s="8" t="s">
        <v>235</v>
      </c>
      <c r="BE649" s="4" t="s">
        <v>235</v>
      </c>
      <c r="BF649" s="8" t="s">
        <v>235</v>
      </c>
      <c r="BG649" s="7" t="s">
        <v>235</v>
      </c>
      <c r="BH649" s="7" t="s">
        <v>235</v>
      </c>
      <c r="BI649" s="7"/>
      <c r="BJ649" s="4"/>
      <c r="BK649" s="8"/>
      <c r="BL649" s="2" t="s">
        <v>235</v>
      </c>
      <c r="BM649" s="7"/>
      <c r="BN649" s="7"/>
      <c r="BO649" s="4"/>
      <c r="BP649" s="8"/>
      <c r="BQ649" s="4"/>
      <c r="BR649" s="8"/>
      <c r="BS649" s="7"/>
      <c r="BT649" s="7"/>
      <c r="BU649" s="2" t="s">
        <v>2910</v>
      </c>
      <c r="BV649" s="2" t="s">
        <v>235</v>
      </c>
      <c r="BW649" s="2" t="s">
        <v>235</v>
      </c>
      <c r="BX649" s="2" t="s">
        <v>244</v>
      </c>
      <c r="BY649" s="2" t="s">
        <v>245</v>
      </c>
      <c r="BZ649" s="2" t="s">
        <v>232</v>
      </c>
      <c r="CA649" s="2" t="s">
        <v>235</v>
      </c>
      <c r="CB649" s="2" t="s">
        <v>235</v>
      </c>
      <c r="CC649" s="2" t="s">
        <v>248</v>
      </c>
      <c r="CD649" s="2" t="s">
        <v>248</v>
      </c>
      <c r="CE649" s="2" t="s">
        <v>235</v>
      </c>
      <c r="CF649" s="4">
        <v>352</v>
      </c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>
        <v>117</v>
      </c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>
        <v>118</v>
      </c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>
        <v>352</v>
      </c>
      <c r="GE649" s="4">
        <v>339</v>
      </c>
      <c r="GF649" s="4">
        <v>336</v>
      </c>
      <c r="GG649" s="4">
        <v>332</v>
      </c>
      <c r="GH649" s="4">
        <v>326</v>
      </c>
      <c r="GI649" s="4">
        <v>317</v>
      </c>
      <c r="GJ649" s="4">
        <v>413</v>
      </c>
      <c r="GK649" s="4">
        <v>398</v>
      </c>
      <c r="GL649" s="4">
        <v>383</v>
      </c>
      <c r="GM649" s="4">
        <v>370</v>
      </c>
      <c r="GN649" s="4">
        <v>346</v>
      </c>
      <c r="GO649" s="4">
        <v>435</v>
      </c>
      <c r="GP649" s="4">
        <v>393</v>
      </c>
      <c r="GQ649" s="4">
        <v>310</v>
      </c>
      <c r="GR649" s="4">
        <v>271</v>
      </c>
      <c r="GS649" s="4">
        <v>234</v>
      </c>
      <c r="GT649" s="4">
        <v>210</v>
      </c>
      <c r="GU649" s="4">
        <v>192</v>
      </c>
      <c r="GV649" s="4">
        <v>171</v>
      </c>
      <c r="GW649" s="4">
        <v>156</v>
      </c>
      <c r="GX649" s="4">
        <v>145</v>
      </c>
      <c r="GY649" s="4">
        <v>136</v>
      </c>
      <c r="GZ649" s="4">
        <v>126</v>
      </c>
      <c r="HA649" s="4">
        <v>116</v>
      </c>
      <c r="HB649" s="4">
        <v>106</v>
      </c>
      <c r="HC649" s="4">
        <v>96</v>
      </c>
      <c r="HD649" s="19">
        <v>58.7</v>
      </c>
      <c r="HE649" s="19">
        <v>56.5</v>
      </c>
      <c r="HF649" s="19">
        <v>33.6</v>
      </c>
      <c r="HG649" s="19">
        <v>25.5</v>
      </c>
      <c r="HH649" s="19">
        <v>21.7</v>
      </c>
      <c r="HI649" s="19">
        <v>19.8</v>
      </c>
      <c r="HJ649" s="19">
        <v>24.3</v>
      </c>
      <c r="HK649" s="19">
        <v>19.9</v>
      </c>
      <c r="HL649" s="19">
        <v>14.2</v>
      </c>
      <c r="HM649" s="19">
        <v>8.4</v>
      </c>
      <c r="HN649" s="19">
        <v>7.2</v>
      </c>
      <c r="HO649" s="19">
        <v>8.7</v>
      </c>
      <c r="HP649" s="19">
        <v>8.5</v>
      </c>
      <c r="HQ649" s="19">
        <v>10.3</v>
      </c>
      <c r="HR649" s="19">
        <v>10.8</v>
      </c>
      <c r="HS649" s="19">
        <v>11.7</v>
      </c>
      <c r="HT649" s="19">
        <v>13.1</v>
      </c>
      <c r="HU649" s="19">
        <v>13.7</v>
      </c>
      <c r="HV649" s="19">
        <v>15.5</v>
      </c>
      <c r="HW649" s="19">
        <v>15.6</v>
      </c>
      <c r="HX649" s="19">
        <v>14.5</v>
      </c>
      <c r="HY649" s="19">
        <v>13.6</v>
      </c>
      <c r="HZ649" s="19">
        <v>12.6</v>
      </c>
      <c r="IA649" s="19">
        <v>12.9</v>
      </c>
      <c r="IB649" s="19">
        <v>13.3</v>
      </c>
      <c r="IC649" s="19">
        <v>12</v>
      </c>
    </row>
    <row r="650">
      <c r="A650" s="2" t="s">
        <v>2980</v>
      </c>
      <c r="B650" s="2" t="s">
        <v>323</v>
      </c>
      <c r="C650" s="2" t="s">
        <v>980</v>
      </c>
      <c r="D650" s="2" t="s">
        <v>257</v>
      </c>
      <c r="E650" s="2" t="s">
        <v>258</v>
      </c>
      <c r="F650" s="2" t="s">
        <v>2905</v>
      </c>
      <c r="G650" s="2" t="s">
        <v>2905</v>
      </c>
      <c r="H650" s="2" t="s">
        <v>2905</v>
      </c>
      <c r="I650" s="2" t="s">
        <v>2906</v>
      </c>
      <c r="J650" s="2" t="s">
        <v>272</v>
      </c>
      <c r="K650" s="2" t="s">
        <v>2976</v>
      </c>
      <c r="L650" s="3">
        <v>28.98</v>
      </c>
      <c r="M650" s="3">
        <v>30.43</v>
      </c>
      <c r="N650" s="3">
        <v>64.99</v>
      </c>
      <c r="O650" s="2" t="s">
        <v>232</v>
      </c>
      <c r="P650" s="2" t="s">
        <v>878</v>
      </c>
      <c r="Q650" s="2" t="s">
        <v>234</v>
      </c>
      <c r="R650" s="2" t="s">
        <v>235</v>
      </c>
      <c r="S650" s="2" t="s">
        <v>235</v>
      </c>
      <c r="T650" s="2" t="s">
        <v>2908</v>
      </c>
      <c r="U650" s="2" t="s">
        <v>264</v>
      </c>
      <c r="V650" s="2" t="s">
        <v>2182</v>
      </c>
      <c r="W650" s="2" t="s">
        <v>329</v>
      </c>
      <c r="X650" s="2" t="s">
        <v>235</v>
      </c>
      <c r="Y650" s="2" t="s">
        <v>2915</v>
      </c>
      <c r="Z650" s="4">
        <v>132</v>
      </c>
      <c r="AA650" s="4">
        <f>=ROUNDDOWN(22,0)</f>
      </c>
      <c r="AB650" s="5">
        <v>6</v>
      </c>
      <c r="AC650" s="2" t="s">
        <v>163</v>
      </c>
      <c r="AD650" s="4">
        <v>47</v>
      </c>
      <c r="AE650" s="4">
        <v>96</v>
      </c>
      <c r="AF650" s="6">
        <v>82</v>
      </c>
      <c r="AG650" s="6"/>
      <c r="AH650" s="7">
        <v>1</v>
      </c>
      <c r="AI650" s="4"/>
      <c r="AJ650" s="4">
        <f>=ROUNDDOWN({0},0)</f>
      </c>
      <c r="AK650" s="5"/>
      <c r="AL650" s="2" t="s">
        <v>235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235</v>
      </c>
      <c r="AW650" s="8" t="s">
        <v>235</v>
      </c>
      <c r="AX650" s="4" t="s">
        <v>235</v>
      </c>
      <c r="AY650" s="8" t="s">
        <v>235</v>
      </c>
      <c r="AZ650" s="7" t="s">
        <v>235</v>
      </c>
      <c r="BA650" s="7" t="s">
        <v>235</v>
      </c>
      <c r="BB650" s="7"/>
      <c r="BC650" s="4" t="s">
        <v>235</v>
      </c>
      <c r="BD650" s="8" t="s">
        <v>235</v>
      </c>
      <c r="BE650" s="4" t="s">
        <v>235</v>
      </c>
      <c r="BF650" s="8" t="s">
        <v>235</v>
      </c>
      <c r="BG650" s="7" t="s">
        <v>235</v>
      </c>
      <c r="BH650" s="7" t="s">
        <v>235</v>
      </c>
      <c r="BI650" s="7"/>
      <c r="BJ650" s="4"/>
      <c r="BK650" s="8"/>
      <c r="BL650" s="2" t="s">
        <v>235</v>
      </c>
      <c r="BM650" s="7"/>
      <c r="BN650" s="7"/>
      <c r="BO650" s="4"/>
      <c r="BP650" s="8"/>
      <c r="BQ650" s="4"/>
      <c r="BR650" s="8"/>
      <c r="BS650" s="7"/>
      <c r="BT650" s="7"/>
      <c r="BU650" s="2" t="s">
        <v>2910</v>
      </c>
      <c r="BV650" s="2" t="s">
        <v>235</v>
      </c>
      <c r="BW650" s="2" t="s">
        <v>235</v>
      </c>
      <c r="BX650" s="2" t="s">
        <v>244</v>
      </c>
      <c r="BY650" s="2" t="s">
        <v>245</v>
      </c>
      <c r="BZ650" s="2" t="s">
        <v>232</v>
      </c>
      <c r="CA650" s="2" t="s">
        <v>235</v>
      </c>
      <c r="CB650" s="2" t="s">
        <v>235</v>
      </c>
      <c r="CC650" s="2" t="s">
        <v>248</v>
      </c>
      <c r="CD650" s="2" t="s">
        <v>248</v>
      </c>
      <c r="CE650" s="2" t="s">
        <v>235</v>
      </c>
      <c r="CF650" s="4">
        <v>132</v>
      </c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>
        <v>47</v>
      </c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>
        <v>49</v>
      </c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>
        <v>132</v>
      </c>
      <c r="GE650" s="4">
        <v>128</v>
      </c>
      <c r="GF650" s="4">
        <v>127</v>
      </c>
      <c r="GG650" s="4">
        <v>125</v>
      </c>
      <c r="GH650" s="4">
        <v>122</v>
      </c>
      <c r="GI650" s="4">
        <v>118</v>
      </c>
      <c r="GJ650" s="4">
        <v>156</v>
      </c>
      <c r="GK650" s="4">
        <v>150</v>
      </c>
      <c r="GL650" s="4">
        <v>144</v>
      </c>
      <c r="GM650" s="4">
        <v>139</v>
      </c>
      <c r="GN650" s="4">
        <v>130</v>
      </c>
      <c r="GO650" s="4">
        <v>167</v>
      </c>
      <c r="GP650" s="4">
        <v>150</v>
      </c>
      <c r="GQ650" s="4">
        <v>118</v>
      </c>
      <c r="GR650" s="4">
        <v>102</v>
      </c>
      <c r="GS650" s="4">
        <v>87</v>
      </c>
      <c r="GT650" s="4">
        <v>77</v>
      </c>
      <c r="GU650" s="4">
        <v>69</v>
      </c>
      <c r="GV650" s="4">
        <v>60</v>
      </c>
      <c r="GW650" s="4">
        <v>53</v>
      </c>
      <c r="GX650" s="4">
        <v>48</v>
      </c>
      <c r="GY650" s="4">
        <v>44</v>
      </c>
      <c r="GZ650" s="4">
        <v>39</v>
      </c>
      <c r="HA650" s="4">
        <v>34</v>
      </c>
      <c r="HB650" s="4">
        <v>29</v>
      </c>
      <c r="HC650" s="4">
        <v>24</v>
      </c>
      <c r="HD650" s="19">
        <v>66</v>
      </c>
      <c r="HE650" s="19">
        <v>64</v>
      </c>
      <c r="HF650" s="19">
        <v>31.8</v>
      </c>
      <c r="HG650" s="19">
        <v>20.8</v>
      </c>
      <c r="HH650" s="19">
        <v>20.3</v>
      </c>
      <c r="HI650" s="19">
        <v>19.7</v>
      </c>
      <c r="HJ650" s="19">
        <v>26</v>
      </c>
      <c r="HK650" s="19">
        <v>18.8</v>
      </c>
      <c r="HL650" s="19">
        <v>13.1</v>
      </c>
      <c r="HM650" s="19">
        <v>7.7</v>
      </c>
      <c r="HN650" s="19">
        <v>6.8</v>
      </c>
      <c r="HO650" s="19">
        <v>8.4</v>
      </c>
      <c r="HP650" s="19">
        <v>8.3</v>
      </c>
      <c r="HQ650" s="19">
        <v>9.8</v>
      </c>
      <c r="HR650" s="19">
        <v>10.2</v>
      </c>
      <c r="HS650" s="19">
        <v>10.9</v>
      </c>
      <c r="HT650" s="19">
        <v>11</v>
      </c>
      <c r="HU650" s="19">
        <v>11.5</v>
      </c>
      <c r="HV650" s="19">
        <v>12</v>
      </c>
      <c r="HW650" s="19">
        <v>10.6</v>
      </c>
      <c r="HX650" s="19">
        <v>9.6</v>
      </c>
      <c r="HY650" s="19">
        <v>8.8</v>
      </c>
      <c r="HZ650" s="19">
        <v>7.8</v>
      </c>
      <c r="IA650" s="19">
        <v>8.5</v>
      </c>
      <c r="IB650" s="19">
        <v>7.3</v>
      </c>
      <c r="IC650" s="19">
        <v>6</v>
      </c>
    </row>
    <row r="651">
      <c r="A651" s="2" t="s">
        <v>2981</v>
      </c>
      <c r="B651" s="2" t="s">
        <v>323</v>
      </c>
      <c r="C651" s="2" t="s">
        <v>980</v>
      </c>
      <c r="D651" s="2" t="s">
        <v>257</v>
      </c>
      <c r="E651" s="2" t="s">
        <v>258</v>
      </c>
      <c r="F651" s="2" t="s">
        <v>2905</v>
      </c>
      <c r="G651" s="2" t="s">
        <v>2905</v>
      </c>
      <c r="H651" s="2" t="s">
        <v>2905</v>
      </c>
      <c r="I651" s="2" t="s">
        <v>405</v>
      </c>
      <c r="J651" s="2" t="s">
        <v>394</v>
      </c>
      <c r="K651" s="2" t="s">
        <v>2982</v>
      </c>
      <c r="L651" s="3">
        <v>19.8</v>
      </c>
      <c r="M651" s="3">
        <v>20.79</v>
      </c>
      <c r="N651" s="3">
        <v>44.99</v>
      </c>
      <c r="O651" s="2" t="s">
        <v>232</v>
      </c>
      <c r="P651" s="2" t="s">
        <v>233</v>
      </c>
      <c r="Q651" s="2" t="s">
        <v>234</v>
      </c>
      <c r="R651" s="2" t="s">
        <v>235</v>
      </c>
      <c r="S651" s="2" t="s">
        <v>2983</v>
      </c>
      <c r="T651" s="2" t="s">
        <v>2908</v>
      </c>
      <c r="U651" s="2" t="s">
        <v>552</v>
      </c>
      <c r="V651" s="2" t="s">
        <v>2984</v>
      </c>
      <c r="W651" s="2" t="s">
        <v>1798</v>
      </c>
      <c r="X651" s="2" t="s">
        <v>239</v>
      </c>
      <c r="Y651" s="2" t="s">
        <v>2953</v>
      </c>
      <c r="Z651" s="4">
        <v>19</v>
      </c>
      <c r="AA651" s="4">
        <f>=ROUNDDOWN(2.71428571428571,0)</f>
      </c>
      <c r="AB651" s="5">
        <v>7</v>
      </c>
      <c r="AC651" s="2" t="s">
        <v>2985</v>
      </c>
      <c r="AD651" s="4">
        <v>70</v>
      </c>
      <c r="AE651" s="4">
        <v>70</v>
      </c>
      <c r="AF651" s="6">
        <v>77</v>
      </c>
      <c r="AG651" s="6"/>
      <c r="AH651" s="7">
        <v>1</v>
      </c>
      <c r="AI651" s="4"/>
      <c r="AJ651" s="4">
        <f>=ROUNDDOWN({0},0)</f>
      </c>
      <c r="AK651" s="5"/>
      <c r="AL651" s="2" t="s">
        <v>235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235</v>
      </c>
      <c r="AW651" s="8" t="s">
        <v>235</v>
      </c>
      <c r="AX651" s="4" t="s">
        <v>235</v>
      </c>
      <c r="AY651" s="8" t="s">
        <v>235</v>
      </c>
      <c r="AZ651" s="7" t="s">
        <v>235</v>
      </c>
      <c r="BA651" s="7" t="s">
        <v>235</v>
      </c>
      <c r="BB651" s="7"/>
      <c r="BC651" s="4" t="s">
        <v>235</v>
      </c>
      <c r="BD651" s="8" t="s">
        <v>235</v>
      </c>
      <c r="BE651" s="4" t="s">
        <v>235</v>
      </c>
      <c r="BF651" s="8" t="s">
        <v>235</v>
      </c>
      <c r="BG651" s="7" t="s">
        <v>235</v>
      </c>
      <c r="BH651" s="7" t="s">
        <v>235</v>
      </c>
      <c r="BI651" s="7"/>
      <c r="BJ651" s="4">
        <v>61</v>
      </c>
      <c r="BK651" s="8">
        <v>1387.09</v>
      </c>
      <c r="BL651" s="2" t="s">
        <v>1244</v>
      </c>
      <c r="BM651" s="7"/>
      <c r="BN651" s="7"/>
      <c r="BO651" s="4"/>
      <c r="BP651" s="8"/>
      <c r="BQ651" s="4"/>
      <c r="BR651" s="8"/>
      <c r="BS651" s="7"/>
      <c r="BT651" s="7"/>
      <c r="BU651" s="2" t="s">
        <v>2921</v>
      </c>
      <c r="BV651" s="2" t="s">
        <v>243</v>
      </c>
      <c r="BW651" s="2" t="s">
        <v>235</v>
      </c>
      <c r="BX651" s="2" t="s">
        <v>244</v>
      </c>
      <c r="BY651" s="2" t="s">
        <v>245</v>
      </c>
      <c r="BZ651" s="2" t="s">
        <v>232</v>
      </c>
      <c r="CA651" s="2" t="s">
        <v>2953</v>
      </c>
      <c r="CB651" s="2" t="s">
        <v>2986</v>
      </c>
      <c r="CC651" s="2" t="s">
        <v>248</v>
      </c>
      <c r="CD651" s="2" t="s">
        <v>248</v>
      </c>
      <c r="CE651" s="2" t="s">
        <v>235</v>
      </c>
      <c r="CF651" s="4">
        <v>19</v>
      </c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>
        <v>70</v>
      </c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>
        <v>66</v>
      </c>
      <c r="GE651" s="4">
        <v>26</v>
      </c>
      <c r="GF651" s="4">
        <v>24</v>
      </c>
      <c r="GG651" s="4">
        <v>22</v>
      </c>
      <c r="GH651" s="4">
        <v>90</v>
      </c>
      <c r="GI651" s="4">
        <v>87</v>
      </c>
      <c r="GJ651" s="4">
        <v>84</v>
      </c>
      <c r="GK651" s="4">
        <v>81</v>
      </c>
      <c r="GL651" s="4">
        <v>78</v>
      </c>
      <c r="GM651" s="4">
        <v>75</v>
      </c>
      <c r="GN651" s="4">
        <v>70</v>
      </c>
      <c r="GO651" s="4">
        <v>64</v>
      </c>
      <c r="GP651" s="4">
        <v>55</v>
      </c>
      <c r="GQ651" s="4">
        <v>36</v>
      </c>
      <c r="GR651" s="4">
        <v>27</v>
      </c>
      <c r="GS651" s="4">
        <v>19</v>
      </c>
      <c r="GT651" s="4">
        <v>13</v>
      </c>
      <c r="GU651" s="4">
        <v>6</v>
      </c>
      <c r="GV651" s="4"/>
      <c r="GW651" s="4"/>
      <c r="GX651" s="4"/>
      <c r="GY651" s="4"/>
      <c r="GZ651" s="4"/>
      <c r="HA651" s="4"/>
      <c r="HB651" s="4">
        <v>81</v>
      </c>
      <c r="HC651" s="4">
        <v>63</v>
      </c>
      <c r="HD651" s="19">
        <v>5.5</v>
      </c>
      <c r="HE651" s="19">
        <v>13</v>
      </c>
      <c r="HF651" s="19">
        <v>12</v>
      </c>
      <c r="HG651" s="19">
        <v>7.3</v>
      </c>
      <c r="HH651" s="19">
        <v>30</v>
      </c>
      <c r="HI651" s="19">
        <v>29</v>
      </c>
      <c r="HJ651" s="19">
        <v>21</v>
      </c>
      <c r="HK651" s="19">
        <v>20.3</v>
      </c>
      <c r="HL651" s="19">
        <v>13</v>
      </c>
      <c r="HM651" s="19">
        <v>7.5</v>
      </c>
      <c r="HN651" s="19">
        <v>6.4</v>
      </c>
      <c r="HO651" s="19">
        <v>5.8</v>
      </c>
      <c r="HP651" s="19">
        <v>5.5</v>
      </c>
      <c r="HQ651" s="19">
        <v>4.5</v>
      </c>
      <c r="HR651" s="19">
        <v>3.9</v>
      </c>
      <c r="HS651" s="19">
        <v>3.2</v>
      </c>
      <c r="HT651" s="19">
        <v>3.3</v>
      </c>
      <c r="HU651" s="19">
        <v>2</v>
      </c>
      <c r="HV651" s="20">
        <v>0</v>
      </c>
      <c r="HW651" s="20">
        <v>0</v>
      </c>
      <c r="HX651" s="20">
        <v>0</v>
      </c>
      <c r="HY651" s="20">
        <v>0</v>
      </c>
      <c r="HZ651" s="20">
        <v>0</v>
      </c>
      <c r="IA651" s="20">
        <v>0</v>
      </c>
      <c r="IB651" s="19">
        <v>10.1</v>
      </c>
      <c r="IC651" s="19">
        <v>15.8</v>
      </c>
    </row>
    <row r="652">
      <c r="A652" s="2" t="s">
        <v>2987</v>
      </c>
      <c r="B652" s="2" t="s">
        <v>323</v>
      </c>
      <c r="C652" s="2" t="s">
        <v>980</v>
      </c>
      <c r="D652" s="2" t="s">
        <v>257</v>
      </c>
      <c r="E652" s="2" t="s">
        <v>258</v>
      </c>
      <c r="F652" s="2" t="s">
        <v>2905</v>
      </c>
      <c r="G652" s="2" t="s">
        <v>2905</v>
      </c>
      <c r="H652" s="2" t="s">
        <v>2905</v>
      </c>
      <c r="I652" s="2" t="s">
        <v>405</v>
      </c>
      <c r="J652" s="2" t="s">
        <v>250</v>
      </c>
      <c r="K652" s="2" t="s">
        <v>2982</v>
      </c>
      <c r="L652" s="3">
        <v>21.78</v>
      </c>
      <c r="M652" s="3">
        <v>22.87</v>
      </c>
      <c r="N652" s="3">
        <v>49.99</v>
      </c>
      <c r="O652" s="2" t="s">
        <v>232</v>
      </c>
      <c r="P652" s="2" t="s">
        <v>233</v>
      </c>
      <c r="Q652" s="2" t="s">
        <v>234</v>
      </c>
      <c r="R652" s="2" t="s">
        <v>235</v>
      </c>
      <c r="S652" s="2" t="s">
        <v>2983</v>
      </c>
      <c r="T652" s="2" t="s">
        <v>2908</v>
      </c>
      <c r="U652" s="2" t="s">
        <v>264</v>
      </c>
      <c r="V652" s="2" t="s">
        <v>2984</v>
      </c>
      <c r="W652" s="2" t="s">
        <v>1798</v>
      </c>
      <c r="X652" s="2" t="s">
        <v>239</v>
      </c>
      <c r="Y652" s="2" t="s">
        <v>2953</v>
      </c>
      <c r="Z652" s="4">
        <v>522</v>
      </c>
      <c r="AA652" s="4">
        <f>=ROUNDDOWN(22.695652173913,0)</f>
      </c>
      <c r="AB652" s="5">
        <v>23</v>
      </c>
      <c r="AC652" s="2" t="s">
        <v>2985</v>
      </c>
      <c r="AD652" s="4">
        <v>258</v>
      </c>
      <c r="AE652" s="4">
        <v>381</v>
      </c>
      <c r="AF652" s="6">
        <v>77</v>
      </c>
      <c r="AG652" s="6"/>
      <c r="AH652" s="7">
        <v>0.5484</v>
      </c>
      <c r="AI652" s="4"/>
      <c r="AJ652" s="4">
        <f>=ROUNDDOWN({0},0)</f>
      </c>
      <c r="AK652" s="5"/>
      <c r="AL652" s="2" t="s">
        <v>235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235</v>
      </c>
      <c r="AW652" s="8" t="s">
        <v>235</v>
      </c>
      <c r="AX652" s="4" t="s">
        <v>235</v>
      </c>
      <c r="AY652" s="8" t="s">
        <v>235</v>
      </c>
      <c r="AZ652" s="7" t="s">
        <v>235</v>
      </c>
      <c r="BA652" s="7" t="s">
        <v>235</v>
      </c>
      <c r="BB652" s="7"/>
      <c r="BC652" s="4" t="s">
        <v>235</v>
      </c>
      <c r="BD652" s="8" t="s">
        <v>235</v>
      </c>
      <c r="BE652" s="4" t="s">
        <v>235</v>
      </c>
      <c r="BF652" s="8" t="s">
        <v>235</v>
      </c>
      <c r="BG652" s="7" t="s">
        <v>235</v>
      </c>
      <c r="BH652" s="7" t="s">
        <v>235</v>
      </c>
      <c r="BI652" s="7"/>
      <c r="BJ652" s="4">
        <v>2</v>
      </c>
      <c r="BK652" s="8">
        <v>51.51</v>
      </c>
      <c r="BL652" s="2" t="s">
        <v>2388</v>
      </c>
      <c r="BM652" s="7"/>
      <c r="BN652" s="7"/>
      <c r="BO652" s="4"/>
      <c r="BP652" s="8"/>
      <c r="BQ652" s="4"/>
      <c r="BR652" s="8"/>
      <c r="BS652" s="7"/>
      <c r="BT652" s="7"/>
      <c r="BU652" s="2" t="s">
        <v>2921</v>
      </c>
      <c r="BV652" s="2" t="s">
        <v>243</v>
      </c>
      <c r="BW652" s="2" t="s">
        <v>235</v>
      </c>
      <c r="BX652" s="2" t="s">
        <v>244</v>
      </c>
      <c r="BY652" s="2" t="s">
        <v>245</v>
      </c>
      <c r="BZ652" s="2" t="s">
        <v>232</v>
      </c>
      <c r="CA652" s="2" t="s">
        <v>2953</v>
      </c>
      <c r="CB652" s="2" t="s">
        <v>934</v>
      </c>
      <c r="CC652" s="2" t="s">
        <v>248</v>
      </c>
      <c r="CD652" s="2" t="s">
        <v>248</v>
      </c>
      <c r="CE652" s="2" t="s">
        <v>235</v>
      </c>
      <c r="CF652" s="4">
        <v>522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>
        <v>258</v>
      </c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>
        <v>123</v>
      </c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>
        <v>524</v>
      </c>
      <c r="GE652" s="4">
        <v>464</v>
      </c>
      <c r="GF652" s="4">
        <v>447</v>
      </c>
      <c r="GG652" s="4">
        <v>424</v>
      </c>
      <c r="GH652" s="4">
        <v>655</v>
      </c>
      <c r="GI652" s="4">
        <v>611</v>
      </c>
      <c r="GJ652" s="4">
        <v>536</v>
      </c>
      <c r="GK652" s="4">
        <v>494</v>
      </c>
      <c r="GL652" s="4">
        <v>453</v>
      </c>
      <c r="GM652" s="4">
        <v>545</v>
      </c>
      <c r="GN652" s="4">
        <v>511</v>
      </c>
      <c r="GO652" s="4">
        <v>470</v>
      </c>
      <c r="GP652" s="4">
        <v>419</v>
      </c>
      <c r="GQ652" s="4">
        <v>330</v>
      </c>
      <c r="GR652" s="4">
        <v>286</v>
      </c>
      <c r="GS652" s="4">
        <v>243</v>
      </c>
      <c r="GT652" s="4">
        <v>213</v>
      </c>
      <c r="GU652" s="4">
        <v>189</v>
      </c>
      <c r="GV652" s="4">
        <v>162</v>
      </c>
      <c r="GW652" s="4">
        <v>143</v>
      </c>
      <c r="GX652" s="4">
        <v>128</v>
      </c>
      <c r="GY652" s="4">
        <v>115</v>
      </c>
      <c r="GZ652" s="4">
        <v>101</v>
      </c>
      <c r="HA652" s="4">
        <v>87</v>
      </c>
      <c r="HB652" s="4">
        <v>196</v>
      </c>
      <c r="HC652" s="4">
        <v>182</v>
      </c>
      <c r="HD652" s="19">
        <v>16.4</v>
      </c>
      <c r="HE652" s="19">
        <v>16.6</v>
      </c>
      <c r="HF652" s="19">
        <v>10.6</v>
      </c>
      <c r="HG652" s="19">
        <v>9</v>
      </c>
      <c r="HH652" s="19">
        <v>13.1</v>
      </c>
      <c r="HI652" s="19">
        <v>13</v>
      </c>
      <c r="HJ652" s="19">
        <v>14.5</v>
      </c>
      <c r="HK652" s="19">
        <v>13.4</v>
      </c>
      <c r="HL652" s="19">
        <v>11.6</v>
      </c>
      <c r="HM652" s="19">
        <v>10.1</v>
      </c>
      <c r="HN652" s="19">
        <v>9.1</v>
      </c>
      <c r="HO652" s="19">
        <v>8.2</v>
      </c>
      <c r="HP652" s="19">
        <v>8.1</v>
      </c>
      <c r="HQ652" s="19">
        <v>9.4</v>
      </c>
      <c r="HR652" s="19">
        <v>9.2</v>
      </c>
      <c r="HS652" s="19">
        <v>9.7</v>
      </c>
      <c r="HT652" s="19">
        <v>10.1</v>
      </c>
      <c r="HU652" s="19">
        <v>10.5</v>
      </c>
      <c r="HV652" s="19">
        <v>10.8</v>
      </c>
      <c r="HW652" s="19">
        <v>10.2</v>
      </c>
      <c r="HX652" s="19">
        <v>9.1</v>
      </c>
      <c r="HY652" s="19">
        <v>8.2</v>
      </c>
      <c r="HZ652" s="19">
        <v>7.2</v>
      </c>
      <c r="IA652" s="19">
        <v>6.7</v>
      </c>
      <c r="IB652" s="19">
        <v>16.3</v>
      </c>
      <c r="IC652" s="19">
        <v>15.2</v>
      </c>
    </row>
    <row r="653">
      <c r="A653" s="2" t="s">
        <v>2988</v>
      </c>
      <c r="B653" s="2" t="s">
        <v>323</v>
      </c>
      <c r="C653" s="2" t="s">
        <v>980</v>
      </c>
      <c r="D653" s="2" t="s">
        <v>257</v>
      </c>
      <c r="E653" s="2" t="s">
        <v>258</v>
      </c>
      <c r="F653" s="2" t="s">
        <v>2905</v>
      </c>
      <c r="G653" s="2" t="s">
        <v>2905</v>
      </c>
      <c r="H653" s="2" t="s">
        <v>2905</v>
      </c>
      <c r="I653" s="2" t="s">
        <v>405</v>
      </c>
      <c r="J653" s="2" t="s">
        <v>272</v>
      </c>
      <c r="K653" s="2" t="s">
        <v>2982</v>
      </c>
      <c r="L653" s="3">
        <v>28.98</v>
      </c>
      <c r="M653" s="3">
        <v>30.43</v>
      </c>
      <c r="N653" s="3">
        <v>64.99</v>
      </c>
      <c r="O653" s="2" t="s">
        <v>232</v>
      </c>
      <c r="P653" s="2" t="s">
        <v>233</v>
      </c>
      <c r="Q653" s="2" t="s">
        <v>234</v>
      </c>
      <c r="R653" s="2" t="s">
        <v>235</v>
      </c>
      <c r="S653" s="2" t="s">
        <v>2983</v>
      </c>
      <c r="T653" s="2" t="s">
        <v>2908</v>
      </c>
      <c r="U653" s="2" t="s">
        <v>264</v>
      </c>
      <c r="V653" s="2" t="s">
        <v>2984</v>
      </c>
      <c r="W653" s="2" t="s">
        <v>1798</v>
      </c>
      <c r="X653" s="2" t="s">
        <v>239</v>
      </c>
      <c r="Y653" s="2" t="s">
        <v>2953</v>
      </c>
      <c r="Z653" s="4">
        <v>190</v>
      </c>
      <c r="AA653" s="4">
        <f>=ROUNDDOWN(23.75,0)</f>
      </c>
      <c r="AB653" s="5">
        <v>8</v>
      </c>
      <c r="AC653" s="2" t="s">
        <v>2985</v>
      </c>
      <c r="AD653" s="4">
        <v>97</v>
      </c>
      <c r="AE653" s="4">
        <v>142</v>
      </c>
      <c r="AF653" s="6">
        <v>77</v>
      </c>
      <c r="AG653" s="6"/>
      <c r="AH653" s="7">
        <v>1</v>
      </c>
      <c r="AI653" s="4"/>
      <c r="AJ653" s="4">
        <f>=ROUNDDOWN({0},0)</f>
      </c>
      <c r="AK653" s="5"/>
      <c r="AL653" s="2" t="s">
        <v>235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235</v>
      </c>
      <c r="AW653" s="8" t="s">
        <v>235</v>
      </c>
      <c r="AX653" s="4" t="s">
        <v>235</v>
      </c>
      <c r="AY653" s="8" t="s">
        <v>235</v>
      </c>
      <c r="AZ653" s="7" t="s">
        <v>235</v>
      </c>
      <c r="BA653" s="7" t="s">
        <v>235</v>
      </c>
      <c r="BB653" s="7"/>
      <c r="BC653" s="4" t="s">
        <v>235</v>
      </c>
      <c r="BD653" s="8" t="s">
        <v>235</v>
      </c>
      <c r="BE653" s="4" t="s">
        <v>235</v>
      </c>
      <c r="BF653" s="8" t="s">
        <v>235</v>
      </c>
      <c r="BG653" s="7" t="s">
        <v>235</v>
      </c>
      <c r="BH653" s="7" t="s">
        <v>235</v>
      </c>
      <c r="BI653" s="7"/>
      <c r="BJ653" s="4">
        <v>6</v>
      </c>
      <c r="BK653" s="8">
        <v>201.66</v>
      </c>
      <c r="BL653" s="2" t="s">
        <v>2989</v>
      </c>
      <c r="BM653" s="7"/>
      <c r="BN653" s="7"/>
      <c r="BO653" s="4"/>
      <c r="BP653" s="8"/>
      <c r="BQ653" s="4"/>
      <c r="BR653" s="8"/>
      <c r="BS653" s="7"/>
      <c r="BT653" s="7"/>
      <c r="BU653" s="2" t="s">
        <v>2921</v>
      </c>
      <c r="BV653" s="2" t="s">
        <v>243</v>
      </c>
      <c r="BW653" s="2" t="s">
        <v>235</v>
      </c>
      <c r="BX653" s="2" t="s">
        <v>244</v>
      </c>
      <c r="BY653" s="2" t="s">
        <v>245</v>
      </c>
      <c r="BZ653" s="2" t="s">
        <v>232</v>
      </c>
      <c r="CA653" s="2" t="s">
        <v>2953</v>
      </c>
      <c r="CB653" s="2" t="s">
        <v>2105</v>
      </c>
      <c r="CC653" s="2" t="s">
        <v>248</v>
      </c>
      <c r="CD653" s="2" t="s">
        <v>248</v>
      </c>
      <c r="CE653" s="2" t="s">
        <v>235</v>
      </c>
      <c r="CF653" s="4">
        <v>190</v>
      </c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>
        <v>97</v>
      </c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>
        <v>45</v>
      </c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>
        <v>191</v>
      </c>
      <c r="GE653" s="4">
        <v>168</v>
      </c>
      <c r="GF653" s="4">
        <v>162</v>
      </c>
      <c r="GG653" s="4">
        <v>154</v>
      </c>
      <c r="GH653" s="4">
        <v>242</v>
      </c>
      <c r="GI653" s="4">
        <v>228</v>
      </c>
      <c r="GJ653" s="4">
        <v>204</v>
      </c>
      <c r="GK653" s="4">
        <v>190</v>
      </c>
      <c r="GL653" s="4">
        <v>177</v>
      </c>
      <c r="GM653" s="4">
        <v>212</v>
      </c>
      <c r="GN653" s="4">
        <v>200</v>
      </c>
      <c r="GO653" s="4">
        <v>185</v>
      </c>
      <c r="GP653" s="4">
        <v>166</v>
      </c>
      <c r="GQ653" s="4">
        <v>133</v>
      </c>
      <c r="GR653" s="4">
        <v>116</v>
      </c>
      <c r="GS653" s="4">
        <v>100</v>
      </c>
      <c r="GT653" s="4">
        <v>89</v>
      </c>
      <c r="GU653" s="4">
        <v>80</v>
      </c>
      <c r="GV653" s="4">
        <v>70</v>
      </c>
      <c r="GW653" s="4">
        <v>62</v>
      </c>
      <c r="GX653" s="4">
        <v>56</v>
      </c>
      <c r="GY653" s="4">
        <v>51</v>
      </c>
      <c r="GZ653" s="4">
        <v>45</v>
      </c>
      <c r="HA653" s="4">
        <v>39</v>
      </c>
      <c r="HB653" s="4">
        <v>71</v>
      </c>
      <c r="HC653" s="4">
        <v>65</v>
      </c>
      <c r="HD653" s="19">
        <v>15.9</v>
      </c>
      <c r="HE653" s="19">
        <v>18.7</v>
      </c>
      <c r="HF653" s="19">
        <v>11.6</v>
      </c>
      <c r="HG653" s="19">
        <v>10.3</v>
      </c>
      <c r="HH653" s="19">
        <v>15.1</v>
      </c>
      <c r="HI653" s="19">
        <v>15.2</v>
      </c>
      <c r="HJ653" s="19">
        <v>17</v>
      </c>
      <c r="HK653" s="19">
        <v>15.8</v>
      </c>
      <c r="HL653" s="19">
        <v>12.6</v>
      </c>
      <c r="HM653" s="19">
        <v>10.6</v>
      </c>
      <c r="HN653" s="19">
        <v>9.5</v>
      </c>
      <c r="HO653" s="19">
        <v>8.8</v>
      </c>
      <c r="HP653" s="19">
        <v>8.7</v>
      </c>
      <c r="HQ653" s="19">
        <v>10.2</v>
      </c>
      <c r="HR653" s="19">
        <v>9.7</v>
      </c>
      <c r="HS653" s="19">
        <v>10</v>
      </c>
      <c r="HT653" s="19">
        <v>11.1</v>
      </c>
      <c r="HU653" s="19">
        <v>11.4</v>
      </c>
      <c r="HV653" s="19">
        <v>11.7</v>
      </c>
      <c r="HW653" s="19">
        <v>10.3</v>
      </c>
      <c r="HX653" s="19">
        <v>9.3</v>
      </c>
      <c r="HY653" s="19">
        <v>8.5</v>
      </c>
      <c r="HZ653" s="19">
        <v>7.5</v>
      </c>
      <c r="IA653" s="19">
        <v>6.5</v>
      </c>
      <c r="IB653" s="19">
        <v>14.2</v>
      </c>
      <c r="IC653" s="19">
        <v>16.3</v>
      </c>
    </row>
    <row r="654">
      <c r="A654" s="2" t="s">
        <v>2990</v>
      </c>
      <c r="B654" s="2" t="s">
        <v>323</v>
      </c>
      <c r="C654" s="2" t="s">
        <v>980</v>
      </c>
      <c r="D654" s="2" t="s">
        <v>257</v>
      </c>
      <c r="E654" s="2" t="s">
        <v>258</v>
      </c>
      <c r="F654" s="2" t="s">
        <v>2905</v>
      </c>
      <c r="G654" s="2" t="s">
        <v>2905</v>
      </c>
      <c r="H654" s="2" t="s">
        <v>2905</v>
      </c>
      <c r="I654" s="2" t="s">
        <v>405</v>
      </c>
      <c r="J654" s="2" t="s">
        <v>250</v>
      </c>
      <c r="K654" s="2" t="s">
        <v>1807</v>
      </c>
      <c r="L654" s="3">
        <v>21.78</v>
      </c>
      <c r="M654" s="3">
        <v>22.87</v>
      </c>
      <c r="N654" s="3">
        <v>49.99</v>
      </c>
      <c r="O654" s="2" t="s">
        <v>232</v>
      </c>
      <c r="P654" s="2" t="s">
        <v>233</v>
      </c>
      <c r="Q654" s="2" t="s">
        <v>234</v>
      </c>
      <c r="R654" s="2" t="s">
        <v>235</v>
      </c>
      <c r="S654" s="2" t="s">
        <v>2991</v>
      </c>
      <c r="T654" s="2" t="s">
        <v>2908</v>
      </c>
      <c r="U654" s="2" t="s">
        <v>264</v>
      </c>
      <c r="V654" s="2" t="s">
        <v>1222</v>
      </c>
      <c r="W654" s="2" t="s">
        <v>1798</v>
      </c>
      <c r="X654" s="2" t="s">
        <v>239</v>
      </c>
      <c r="Y654" s="2" t="s">
        <v>2992</v>
      </c>
      <c r="Z654" s="4">
        <v>671</v>
      </c>
      <c r="AA654" s="4">
        <f>=ROUNDDOWN(39.4705882352941,0)</f>
      </c>
      <c r="AB654" s="5">
        <v>17</v>
      </c>
      <c r="AC654" s="2" t="s">
        <v>235</v>
      </c>
      <c r="AD654" s="4"/>
      <c r="AE654" s="4"/>
      <c r="AF654" s="6">
        <v>82</v>
      </c>
      <c r="AG654" s="6"/>
      <c r="AH654" s="7">
        <v>1</v>
      </c>
      <c r="AI654" s="4"/>
      <c r="AJ654" s="4">
        <f>=ROUNDDOWN({0},0)</f>
      </c>
      <c r="AK654" s="5"/>
      <c r="AL654" s="2" t="s">
        <v>235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235</v>
      </c>
      <c r="AW654" s="8" t="s">
        <v>235</v>
      </c>
      <c r="AX654" s="4" t="s">
        <v>235</v>
      </c>
      <c r="AY654" s="8" t="s">
        <v>235</v>
      </c>
      <c r="AZ654" s="7" t="s">
        <v>235</v>
      </c>
      <c r="BA654" s="7" t="s">
        <v>235</v>
      </c>
      <c r="BB654" s="7"/>
      <c r="BC654" s="4" t="s">
        <v>235</v>
      </c>
      <c r="BD654" s="8" t="s">
        <v>235</v>
      </c>
      <c r="BE654" s="4" t="s">
        <v>235</v>
      </c>
      <c r="BF654" s="8" t="s">
        <v>235</v>
      </c>
      <c r="BG654" s="7" t="s">
        <v>235</v>
      </c>
      <c r="BH654" s="7" t="s">
        <v>235</v>
      </c>
      <c r="BI654" s="7"/>
      <c r="BJ654" s="4">
        <v>10</v>
      </c>
      <c r="BK654" s="8">
        <v>241.93</v>
      </c>
      <c r="BL654" s="2" t="s">
        <v>2993</v>
      </c>
      <c r="BM654" s="7"/>
      <c r="BN654" s="7"/>
      <c r="BO654" s="4"/>
      <c r="BP654" s="8"/>
      <c r="BQ654" s="4"/>
      <c r="BR654" s="8"/>
      <c r="BS654" s="7"/>
      <c r="BT654" s="7"/>
      <c r="BU654" s="2" t="s">
        <v>2921</v>
      </c>
      <c r="BV654" s="2" t="s">
        <v>243</v>
      </c>
      <c r="BW654" s="2" t="s">
        <v>235</v>
      </c>
      <c r="BX654" s="2" t="s">
        <v>244</v>
      </c>
      <c r="BY654" s="2" t="s">
        <v>245</v>
      </c>
      <c r="BZ654" s="2" t="s">
        <v>232</v>
      </c>
      <c r="CA654" s="2" t="s">
        <v>2954</v>
      </c>
      <c r="CB654" s="2" t="s">
        <v>1426</v>
      </c>
      <c r="CC654" s="2" t="s">
        <v>248</v>
      </c>
      <c r="CD654" s="2" t="s">
        <v>248</v>
      </c>
      <c r="CE654" s="2" t="s">
        <v>235</v>
      </c>
      <c r="CF654" s="4">
        <v>671</v>
      </c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>
        <v>671</v>
      </c>
      <c r="GE654" s="4">
        <v>636</v>
      </c>
      <c r="GF654" s="4">
        <v>624</v>
      </c>
      <c r="GG654" s="4">
        <v>609</v>
      </c>
      <c r="GH654" s="4">
        <v>592</v>
      </c>
      <c r="GI654" s="4">
        <v>563</v>
      </c>
      <c r="GJ654" s="4">
        <v>519</v>
      </c>
      <c r="GK654" s="4">
        <v>491</v>
      </c>
      <c r="GL654" s="4">
        <v>464</v>
      </c>
      <c r="GM654" s="4">
        <v>442</v>
      </c>
      <c r="GN654" s="4">
        <v>414</v>
      </c>
      <c r="GO654" s="4">
        <v>380</v>
      </c>
      <c r="GP654" s="4">
        <v>334</v>
      </c>
      <c r="GQ654" s="4">
        <v>249</v>
      </c>
      <c r="GR654" s="4">
        <v>208</v>
      </c>
      <c r="GS654" s="4">
        <v>169</v>
      </c>
      <c r="GT654" s="4">
        <v>143</v>
      </c>
      <c r="GU654" s="4">
        <v>123</v>
      </c>
      <c r="GV654" s="4">
        <v>100</v>
      </c>
      <c r="GW654" s="4">
        <v>84</v>
      </c>
      <c r="GX654" s="4">
        <v>72</v>
      </c>
      <c r="GY654" s="4">
        <v>62</v>
      </c>
      <c r="GZ654" s="4">
        <v>51</v>
      </c>
      <c r="HA654" s="4">
        <v>40</v>
      </c>
      <c r="HB654" s="4">
        <v>29</v>
      </c>
      <c r="HC654" s="4">
        <v>213</v>
      </c>
      <c r="HD654" s="19">
        <v>33.6</v>
      </c>
      <c r="HE654" s="19">
        <v>35.3</v>
      </c>
      <c r="HF654" s="19">
        <v>24</v>
      </c>
      <c r="HG654" s="19">
        <v>20.3</v>
      </c>
      <c r="HH654" s="19">
        <v>18.5</v>
      </c>
      <c r="HI654" s="19">
        <v>18.8</v>
      </c>
      <c r="HJ654" s="19">
        <v>20</v>
      </c>
      <c r="HK654" s="19">
        <v>17.5</v>
      </c>
      <c r="HL654" s="19">
        <v>14.5</v>
      </c>
      <c r="HM654" s="19">
        <v>9.2</v>
      </c>
      <c r="HN654" s="19">
        <v>8</v>
      </c>
      <c r="HO654" s="19">
        <v>7.2</v>
      </c>
      <c r="HP654" s="19">
        <v>7</v>
      </c>
      <c r="HQ654" s="19">
        <v>7.8</v>
      </c>
      <c r="HR654" s="19">
        <v>7.7</v>
      </c>
      <c r="HS654" s="19">
        <v>8</v>
      </c>
      <c r="HT654" s="19">
        <v>7.9</v>
      </c>
      <c r="HU654" s="19">
        <v>8.2</v>
      </c>
      <c r="HV654" s="19">
        <v>8.3</v>
      </c>
      <c r="HW654" s="19">
        <v>7.6</v>
      </c>
      <c r="HX654" s="19">
        <v>6.5</v>
      </c>
      <c r="HY654" s="19">
        <v>5.6</v>
      </c>
      <c r="HZ654" s="19">
        <v>5.1</v>
      </c>
      <c r="IA654" s="19">
        <v>4</v>
      </c>
      <c r="IB654" s="19">
        <v>2.9</v>
      </c>
      <c r="IC654" s="19">
        <v>23.7</v>
      </c>
    </row>
    <row r="655">
      <c r="A655" s="2" t="s">
        <v>2994</v>
      </c>
      <c r="B655" s="2" t="s">
        <v>323</v>
      </c>
      <c r="C655" s="2" t="s">
        <v>980</v>
      </c>
      <c r="D655" s="2" t="s">
        <v>257</v>
      </c>
      <c r="E655" s="2" t="s">
        <v>258</v>
      </c>
      <c r="F655" s="2" t="s">
        <v>2905</v>
      </c>
      <c r="G655" s="2" t="s">
        <v>2905</v>
      </c>
      <c r="H655" s="2" t="s">
        <v>2905</v>
      </c>
      <c r="I655" s="2" t="s">
        <v>405</v>
      </c>
      <c r="J655" s="2" t="s">
        <v>272</v>
      </c>
      <c r="K655" s="2" t="s">
        <v>1807</v>
      </c>
      <c r="L655" s="3">
        <v>28.98</v>
      </c>
      <c r="M655" s="3">
        <v>30.43</v>
      </c>
      <c r="N655" s="3">
        <v>64.99</v>
      </c>
      <c r="O655" s="2" t="s">
        <v>232</v>
      </c>
      <c r="P655" s="2" t="s">
        <v>233</v>
      </c>
      <c r="Q655" s="2" t="s">
        <v>234</v>
      </c>
      <c r="R655" s="2" t="s">
        <v>235</v>
      </c>
      <c r="S655" s="2" t="s">
        <v>2991</v>
      </c>
      <c r="T655" s="2" t="s">
        <v>2908</v>
      </c>
      <c r="U655" s="2" t="s">
        <v>264</v>
      </c>
      <c r="V655" s="2" t="s">
        <v>1222</v>
      </c>
      <c r="W655" s="2" t="s">
        <v>1798</v>
      </c>
      <c r="X655" s="2" t="s">
        <v>239</v>
      </c>
      <c r="Y655" s="2" t="s">
        <v>2953</v>
      </c>
      <c r="Z655" s="4">
        <v>395</v>
      </c>
      <c r="AA655" s="4">
        <f>=ROUNDDOWN(49.375,0)</f>
      </c>
      <c r="AB655" s="5">
        <v>8</v>
      </c>
      <c r="AC655" s="2" t="s">
        <v>235</v>
      </c>
      <c r="AD655" s="4"/>
      <c r="AE655" s="4"/>
      <c r="AF655" s="6">
        <v>82</v>
      </c>
      <c r="AG655" s="6"/>
      <c r="AH655" s="7">
        <v>1</v>
      </c>
      <c r="AI655" s="4"/>
      <c r="AJ655" s="4">
        <f>=ROUNDDOWN({0},0)</f>
      </c>
      <c r="AK655" s="5"/>
      <c r="AL655" s="2" t="s">
        <v>235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235</v>
      </c>
      <c r="AW655" s="8" t="s">
        <v>235</v>
      </c>
      <c r="AX655" s="4" t="s">
        <v>235</v>
      </c>
      <c r="AY655" s="8" t="s">
        <v>235</v>
      </c>
      <c r="AZ655" s="7" t="s">
        <v>235</v>
      </c>
      <c r="BA655" s="7" t="s">
        <v>235</v>
      </c>
      <c r="BB655" s="7"/>
      <c r="BC655" s="4" t="s">
        <v>235</v>
      </c>
      <c r="BD655" s="8" t="s">
        <v>235</v>
      </c>
      <c r="BE655" s="4" t="s">
        <v>235</v>
      </c>
      <c r="BF655" s="8" t="s">
        <v>235</v>
      </c>
      <c r="BG655" s="7" t="s">
        <v>235</v>
      </c>
      <c r="BH655" s="7" t="s">
        <v>235</v>
      </c>
      <c r="BI655" s="7"/>
      <c r="BJ655" s="4">
        <v>2</v>
      </c>
      <c r="BK655" s="8">
        <v>63.9</v>
      </c>
      <c r="BL655" s="2" t="s">
        <v>1097</v>
      </c>
      <c r="BM655" s="7"/>
      <c r="BN655" s="7"/>
      <c r="BO655" s="4"/>
      <c r="BP655" s="8"/>
      <c r="BQ655" s="4"/>
      <c r="BR655" s="8"/>
      <c r="BS655" s="7"/>
      <c r="BT655" s="7"/>
      <c r="BU655" s="2" t="s">
        <v>2921</v>
      </c>
      <c r="BV655" s="2" t="s">
        <v>243</v>
      </c>
      <c r="BW655" s="2" t="s">
        <v>235</v>
      </c>
      <c r="BX655" s="2" t="s">
        <v>244</v>
      </c>
      <c r="BY655" s="2" t="s">
        <v>245</v>
      </c>
      <c r="BZ655" s="2" t="s">
        <v>232</v>
      </c>
      <c r="CA655" s="2" t="s">
        <v>2954</v>
      </c>
      <c r="CB655" s="2" t="s">
        <v>235</v>
      </c>
      <c r="CC655" s="2" t="s">
        <v>248</v>
      </c>
      <c r="CD655" s="2" t="s">
        <v>248</v>
      </c>
      <c r="CE655" s="2" t="s">
        <v>235</v>
      </c>
      <c r="CF655" s="4">
        <v>395</v>
      </c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>
        <v>396</v>
      </c>
      <c r="GE655" s="4">
        <v>378</v>
      </c>
      <c r="GF655" s="4">
        <v>372</v>
      </c>
      <c r="GG655" s="4">
        <v>364</v>
      </c>
      <c r="GH655" s="4">
        <v>355</v>
      </c>
      <c r="GI655" s="4">
        <v>341</v>
      </c>
      <c r="GJ655" s="4">
        <v>317</v>
      </c>
      <c r="GK655" s="4">
        <v>303</v>
      </c>
      <c r="GL655" s="4">
        <v>290</v>
      </c>
      <c r="GM655" s="4">
        <v>280</v>
      </c>
      <c r="GN655" s="4">
        <v>268</v>
      </c>
      <c r="GO655" s="4">
        <v>253</v>
      </c>
      <c r="GP655" s="4">
        <v>234</v>
      </c>
      <c r="GQ655" s="4">
        <v>201</v>
      </c>
      <c r="GR655" s="4">
        <v>184</v>
      </c>
      <c r="GS655" s="4">
        <v>168</v>
      </c>
      <c r="GT655" s="4">
        <v>157</v>
      </c>
      <c r="GU655" s="4">
        <v>148</v>
      </c>
      <c r="GV655" s="4">
        <v>138</v>
      </c>
      <c r="GW655" s="4">
        <v>130</v>
      </c>
      <c r="GX655" s="4">
        <v>124</v>
      </c>
      <c r="GY655" s="4">
        <v>119</v>
      </c>
      <c r="GZ655" s="4">
        <v>113</v>
      </c>
      <c r="HA655" s="4">
        <v>107</v>
      </c>
      <c r="HB655" s="4">
        <v>101</v>
      </c>
      <c r="HC655" s="4">
        <v>100</v>
      </c>
      <c r="HD655" s="19">
        <v>39.6</v>
      </c>
      <c r="HE655" s="19">
        <v>42</v>
      </c>
      <c r="HF655" s="19">
        <v>26.6</v>
      </c>
      <c r="HG655" s="19">
        <v>24.3</v>
      </c>
      <c r="HH655" s="19">
        <v>22.2</v>
      </c>
      <c r="HI655" s="19">
        <v>22.7</v>
      </c>
      <c r="HJ655" s="19">
        <v>26.4</v>
      </c>
      <c r="HK655" s="19">
        <v>25.3</v>
      </c>
      <c r="HL655" s="19">
        <v>20.7</v>
      </c>
      <c r="HM655" s="19">
        <v>14</v>
      </c>
      <c r="HN655" s="19">
        <v>12.8</v>
      </c>
      <c r="HO655" s="19">
        <v>12</v>
      </c>
      <c r="HP655" s="19">
        <v>12.3</v>
      </c>
      <c r="HQ655" s="19">
        <v>15.5</v>
      </c>
      <c r="HR655" s="19">
        <v>15.3</v>
      </c>
      <c r="HS655" s="19">
        <v>16.8</v>
      </c>
      <c r="HT655" s="19">
        <v>19.6</v>
      </c>
      <c r="HU655" s="19">
        <v>21.1</v>
      </c>
      <c r="HV655" s="19">
        <v>23</v>
      </c>
      <c r="HW655" s="19">
        <v>21.7</v>
      </c>
      <c r="HX655" s="19">
        <v>20.7</v>
      </c>
      <c r="HY655" s="19">
        <v>19.8</v>
      </c>
      <c r="HZ655" s="19">
        <v>18.8</v>
      </c>
      <c r="IA655" s="19">
        <v>17.8</v>
      </c>
      <c r="IB655" s="19">
        <v>20.2</v>
      </c>
      <c r="IC655" s="19">
        <v>25</v>
      </c>
    </row>
    <row r="656">
      <c r="A656" s="2" t="s">
        <v>2995</v>
      </c>
      <c r="B656" s="2" t="s">
        <v>323</v>
      </c>
      <c r="C656" s="2" t="s">
        <v>980</v>
      </c>
      <c r="D656" s="2" t="s">
        <v>257</v>
      </c>
      <c r="E656" s="2" t="s">
        <v>258</v>
      </c>
      <c r="F656" s="2" t="s">
        <v>2905</v>
      </c>
      <c r="G656" s="2" t="s">
        <v>2905</v>
      </c>
      <c r="H656" s="2" t="s">
        <v>2905</v>
      </c>
      <c r="I656" s="2" t="s">
        <v>405</v>
      </c>
      <c r="J656" s="2" t="s">
        <v>394</v>
      </c>
      <c r="K656" s="2" t="s">
        <v>2996</v>
      </c>
      <c r="L656" s="3">
        <v>19.8</v>
      </c>
      <c r="M656" s="3">
        <v>20.79</v>
      </c>
      <c r="N656" s="3">
        <v>44.99</v>
      </c>
      <c r="O656" s="2" t="s">
        <v>232</v>
      </c>
      <c r="P656" s="2" t="s">
        <v>233</v>
      </c>
      <c r="Q656" s="2" t="s">
        <v>234</v>
      </c>
      <c r="R656" s="2" t="s">
        <v>235</v>
      </c>
      <c r="S656" s="2" t="s">
        <v>2997</v>
      </c>
      <c r="T656" s="2" t="s">
        <v>2908</v>
      </c>
      <c r="U656" s="2" t="s">
        <v>552</v>
      </c>
      <c r="V656" s="2" t="s">
        <v>2919</v>
      </c>
      <c r="W656" s="2" t="s">
        <v>1798</v>
      </c>
      <c r="X656" s="2" t="s">
        <v>239</v>
      </c>
      <c r="Y656" s="2" t="s">
        <v>2920</v>
      </c>
      <c r="Z656" s="4">
        <v>964</v>
      </c>
      <c r="AA656" s="4">
        <f>=ROUNDDOWN(96.4,0)</f>
      </c>
      <c r="AB656" s="5">
        <v>10</v>
      </c>
      <c r="AC656" s="2" t="s">
        <v>235</v>
      </c>
      <c r="AD656" s="4"/>
      <c r="AE656" s="4"/>
      <c r="AF656" s="6">
        <v>87</v>
      </c>
      <c r="AG656" s="6"/>
      <c r="AH656" s="7">
        <v>1</v>
      </c>
      <c r="AI656" s="4"/>
      <c r="AJ656" s="4">
        <f>=ROUNDDOWN({0},0)</f>
      </c>
      <c r="AK656" s="5"/>
      <c r="AL656" s="2" t="s">
        <v>235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235</v>
      </c>
      <c r="AW656" s="8" t="s">
        <v>235</v>
      </c>
      <c r="AX656" s="4" t="s">
        <v>235</v>
      </c>
      <c r="AY656" s="8" t="s">
        <v>235</v>
      </c>
      <c r="AZ656" s="7" t="s">
        <v>235</v>
      </c>
      <c r="BA656" s="7" t="s">
        <v>235</v>
      </c>
      <c r="BB656" s="7"/>
      <c r="BC656" s="4" t="s">
        <v>235</v>
      </c>
      <c r="BD656" s="8" t="s">
        <v>235</v>
      </c>
      <c r="BE656" s="4" t="s">
        <v>235</v>
      </c>
      <c r="BF656" s="8" t="s">
        <v>235</v>
      </c>
      <c r="BG656" s="7" t="s">
        <v>235</v>
      </c>
      <c r="BH656" s="7" t="s">
        <v>235</v>
      </c>
      <c r="BI656" s="7"/>
      <c r="BJ656" s="4">
        <v>4</v>
      </c>
      <c r="BK656" s="8">
        <v>87.32</v>
      </c>
      <c r="BL656" s="2" t="s">
        <v>2751</v>
      </c>
      <c r="BM656" s="7"/>
      <c r="BN656" s="7"/>
      <c r="BO656" s="4"/>
      <c r="BP656" s="8"/>
      <c r="BQ656" s="4"/>
      <c r="BR656" s="8"/>
      <c r="BS656" s="7"/>
      <c r="BT656" s="7"/>
      <c r="BU656" s="2" t="s">
        <v>2921</v>
      </c>
      <c r="BV656" s="2" t="s">
        <v>243</v>
      </c>
      <c r="BW656" s="2" t="s">
        <v>235</v>
      </c>
      <c r="BX656" s="2" t="s">
        <v>244</v>
      </c>
      <c r="BY656" s="2" t="s">
        <v>245</v>
      </c>
      <c r="BZ656" s="2" t="s">
        <v>232</v>
      </c>
      <c r="CA656" s="2" t="s">
        <v>1701</v>
      </c>
      <c r="CB656" s="2" t="s">
        <v>2998</v>
      </c>
      <c r="CC656" s="2" t="s">
        <v>248</v>
      </c>
      <c r="CD656" s="2" t="s">
        <v>248</v>
      </c>
      <c r="CE656" s="2" t="s">
        <v>235</v>
      </c>
      <c r="CF656" s="4">
        <v>964</v>
      </c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>
        <v>964</v>
      </c>
      <c r="GE656" s="4">
        <v>960</v>
      </c>
      <c r="GF656" s="4">
        <v>956</v>
      </c>
      <c r="GG656" s="4">
        <v>952</v>
      </c>
      <c r="GH656" s="4">
        <v>948</v>
      </c>
      <c r="GI656" s="4">
        <v>935</v>
      </c>
      <c r="GJ656" s="4">
        <v>915</v>
      </c>
      <c r="GK656" s="4">
        <v>901</v>
      </c>
      <c r="GL656" s="4">
        <v>887</v>
      </c>
      <c r="GM656" s="4">
        <v>875</v>
      </c>
      <c r="GN656" s="4">
        <v>859</v>
      </c>
      <c r="GO656" s="4">
        <v>840</v>
      </c>
      <c r="GP656" s="4">
        <v>813</v>
      </c>
      <c r="GQ656" s="4">
        <v>761</v>
      </c>
      <c r="GR656" s="4">
        <v>737</v>
      </c>
      <c r="GS656" s="4">
        <v>714</v>
      </c>
      <c r="GT656" s="4">
        <v>699</v>
      </c>
      <c r="GU656" s="4">
        <v>688</v>
      </c>
      <c r="GV656" s="4">
        <v>675</v>
      </c>
      <c r="GW656" s="4">
        <v>665</v>
      </c>
      <c r="GX656" s="4">
        <v>658</v>
      </c>
      <c r="GY656" s="4">
        <v>652</v>
      </c>
      <c r="GZ656" s="4">
        <v>645</v>
      </c>
      <c r="HA656" s="4">
        <v>638</v>
      </c>
      <c r="HB656" s="4">
        <v>631</v>
      </c>
      <c r="HC656" s="4">
        <v>624</v>
      </c>
      <c r="HD656" s="19">
        <v>241</v>
      </c>
      <c r="HE656" s="19">
        <v>160</v>
      </c>
      <c r="HF656" s="19">
        <v>95.6</v>
      </c>
      <c r="HG656" s="19">
        <v>73.2</v>
      </c>
      <c r="HH656" s="19">
        <v>63.2</v>
      </c>
      <c r="HI656" s="19">
        <v>62.3</v>
      </c>
      <c r="HJ656" s="19">
        <v>65.4</v>
      </c>
      <c r="HK656" s="19">
        <v>60.1</v>
      </c>
      <c r="HL656" s="19">
        <v>49.3</v>
      </c>
      <c r="HM656" s="19">
        <v>31.3</v>
      </c>
      <c r="HN656" s="19">
        <v>28.6</v>
      </c>
      <c r="HO656" s="19">
        <v>26.3</v>
      </c>
      <c r="HP656" s="19">
        <v>29</v>
      </c>
      <c r="HQ656" s="19">
        <v>42.3</v>
      </c>
      <c r="HR656" s="19">
        <v>46.1</v>
      </c>
      <c r="HS656" s="19">
        <v>59.5</v>
      </c>
      <c r="HT656" s="19">
        <v>69.9</v>
      </c>
      <c r="HU656" s="19">
        <v>76.4</v>
      </c>
      <c r="HV656" s="19">
        <v>84.4</v>
      </c>
      <c r="HW656" s="19">
        <v>95</v>
      </c>
      <c r="HX656" s="19">
        <v>94</v>
      </c>
      <c r="HY656" s="19">
        <v>93.1</v>
      </c>
      <c r="HZ656" s="19">
        <v>107.5</v>
      </c>
      <c r="IA656" s="19">
        <v>106.3</v>
      </c>
      <c r="IB656" s="19">
        <v>105.2</v>
      </c>
      <c r="IC656" s="19">
        <v>124.8</v>
      </c>
    </row>
    <row r="657">
      <c r="A657" s="2" t="s">
        <v>2999</v>
      </c>
      <c r="B657" s="2" t="s">
        <v>323</v>
      </c>
      <c r="C657" s="2" t="s">
        <v>980</v>
      </c>
      <c r="D657" s="2" t="s">
        <v>257</v>
      </c>
      <c r="E657" s="2" t="s">
        <v>258</v>
      </c>
      <c r="F657" s="2" t="s">
        <v>2905</v>
      </c>
      <c r="G657" s="2" t="s">
        <v>2905</v>
      </c>
      <c r="H657" s="2" t="s">
        <v>2905</v>
      </c>
      <c r="I657" s="2" t="s">
        <v>405</v>
      </c>
      <c r="J657" s="2" t="s">
        <v>250</v>
      </c>
      <c r="K657" s="2" t="s">
        <v>2996</v>
      </c>
      <c r="L657" s="3">
        <v>21.78</v>
      </c>
      <c r="M657" s="3">
        <v>22.87</v>
      </c>
      <c r="N657" s="3">
        <v>49.99</v>
      </c>
      <c r="O657" s="2" t="s">
        <v>232</v>
      </c>
      <c r="P657" s="2" t="s">
        <v>233</v>
      </c>
      <c r="Q657" s="2" t="s">
        <v>234</v>
      </c>
      <c r="R657" s="2" t="s">
        <v>235</v>
      </c>
      <c r="S657" s="2" t="s">
        <v>2997</v>
      </c>
      <c r="T657" s="2" t="s">
        <v>2908</v>
      </c>
      <c r="U657" s="2" t="s">
        <v>264</v>
      </c>
      <c r="V657" s="2" t="s">
        <v>2919</v>
      </c>
      <c r="W657" s="2" t="s">
        <v>1798</v>
      </c>
      <c r="X657" s="2" t="s">
        <v>239</v>
      </c>
      <c r="Y657" s="2" t="s">
        <v>2920</v>
      </c>
      <c r="Z657" s="4">
        <v>1685</v>
      </c>
      <c r="AA657" s="4">
        <f>=ROUNDDOWN(88.6842105263158,0)</f>
      </c>
      <c r="AB657" s="5">
        <v>19</v>
      </c>
      <c r="AC657" s="2" t="s">
        <v>235</v>
      </c>
      <c r="AD657" s="4"/>
      <c r="AE657" s="4"/>
      <c r="AF657" s="6">
        <v>87</v>
      </c>
      <c r="AG657" s="6"/>
      <c r="AH657" s="7">
        <v>1</v>
      </c>
      <c r="AI657" s="4"/>
      <c r="AJ657" s="4">
        <f>=ROUNDDOWN({0},0)</f>
      </c>
      <c r="AK657" s="5"/>
      <c r="AL657" s="2" t="s">
        <v>235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235</v>
      </c>
      <c r="AW657" s="8" t="s">
        <v>235</v>
      </c>
      <c r="AX657" s="4" t="s">
        <v>235</v>
      </c>
      <c r="AY657" s="8" t="s">
        <v>235</v>
      </c>
      <c r="AZ657" s="7" t="s">
        <v>235</v>
      </c>
      <c r="BA657" s="7" t="s">
        <v>235</v>
      </c>
      <c r="BB657" s="7"/>
      <c r="BC657" s="4" t="s">
        <v>235</v>
      </c>
      <c r="BD657" s="8" t="s">
        <v>235</v>
      </c>
      <c r="BE657" s="4" t="s">
        <v>235</v>
      </c>
      <c r="BF657" s="8" t="s">
        <v>235</v>
      </c>
      <c r="BG657" s="7" t="s">
        <v>235</v>
      </c>
      <c r="BH657" s="7" t="s">
        <v>235</v>
      </c>
      <c r="BI657" s="7"/>
      <c r="BJ657" s="4"/>
      <c r="BK657" s="8"/>
      <c r="BL657" s="2" t="s">
        <v>422</v>
      </c>
      <c r="BM657" s="7"/>
      <c r="BN657" s="7"/>
      <c r="BO657" s="4"/>
      <c r="BP657" s="8"/>
      <c r="BQ657" s="4"/>
      <c r="BR657" s="8"/>
      <c r="BS657" s="7"/>
      <c r="BT657" s="7"/>
      <c r="BU657" s="2" t="s">
        <v>2921</v>
      </c>
      <c r="BV657" s="2" t="s">
        <v>243</v>
      </c>
      <c r="BW657" s="2" t="s">
        <v>235</v>
      </c>
      <c r="BX657" s="2" t="s">
        <v>244</v>
      </c>
      <c r="BY657" s="2" t="s">
        <v>245</v>
      </c>
      <c r="BZ657" s="2" t="s">
        <v>232</v>
      </c>
      <c r="CA657" s="2" t="s">
        <v>1701</v>
      </c>
      <c r="CB657" s="2" t="s">
        <v>3000</v>
      </c>
      <c r="CC657" s="2" t="s">
        <v>248</v>
      </c>
      <c r="CD657" s="2" t="s">
        <v>248</v>
      </c>
      <c r="CE657" s="2" t="s">
        <v>235</v>
      </c>
      <c r="CF657" s="4">
        <v>1685</v>
      </c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>
        <v>1685</v>
      </c>
      <c r="GE657" s="4">
        <v>1677</v>
      </c>
      <c r="GF657" s="4">
        <v>1669</v>
      </c>
      <c r="GG657" s="4">
        <v>1661</v>
      </c>
      <c r="GH657" s="4">
        <v>1653</v>
      </c>
      <c r="GI657" s="4">
        <v>1633</v>
      </c>
      <c r="GJ657" s="4">
        <v>1598</v>
      </c>
      <c r="GK657" s="4">
        <v>1573</v>
      </c>
      <c r="GL657" s="4">
        <v>1549</v>
      </c>
      <c r="GM657" s="4">
        <v>1528</v>
      </c>
      <c r="GN657" s="4">
        <v>1498</v>
      </c>
      <c r="GO657" s="4">
        <v>1461</v>
      </c>
      <c r="GP657" s="4">
        <v>1408</v>
      </c>
      <c r="GQ657" s="4">
        <v>1307</v>
      </c>
      <c r="GR657" s="4">
        <v>1259</v>
      </c>
      <c r="GS657" s="4">
        <v>1212</v>
      </c>
      <c r="GT657" s="4">
        <v>1181</v>
      </c>
      <c r="GU657" s="4">
        <v>1158</v>
      </c>
      <c r="GV657" s="4">
        <v>1132</v>
      </c>
      <c r="GW657" s="4">
        <v>1112</v>
      </c>
      <c r="GX657" s="4">
        <v>1097</v>
      </c>
      <c r="GY657" s="4">
        <v>1085</v>
      </c>
      <c r="GZ657" s="4">
        <v>1072</v>
      </c>
      <c r="HA657" s="4">
        <v>1059</v>
      </c>
      <c r="HB657" s="4">
        <v>1046</v>
      </c>
      <c r="HC657" s="4">
        <v>1033</v>
      </c>
      <c r="HD657" s="19">
        <v>210.6</v>
      </c>
      <c r="HE657" s="19">
        <v>152.5</v>
      </c>
      <c r="HF657" s="19">
        <v>92.7</v>
      </c>
      <c r="HG657" s="19">
        <v>75.5</v>
      </c>
      <c r="HH657" s="19">
        <v>63.6</v>
      </c>
      <c r="HI657" s="19">
        <v>62.8</v>
      </c>
      <c r="HJ657" s="19">
        <v>63.9</v>
      </c>
      <c r="HK657" s="19">
        <v>56.2</v>
      </c>
      <c r="HL657" s="19">
        <v>44.3</v>
      </c>
      <c r="HM657" s="19">
        <v>27.8</v>
      </c>
      <c r="HN657" s="19">
        <v>25</v>
      </c>
      <c r="HO657" s="19">
        <v>23.6</v>
      </c>
      <c r="HP657" s="19">
        <v>24.7</v>
      </c>
      <c r="HQ657" s="19">
        <v>35.3</v>
      </c>
      <c r="HR657" s="19">
        <v>39.3</v>
      </c>
      <c r="HS657" s="19">
        <v>48.5</v>
      </c>
      <c r="HT657" s="19">
        <v>56.2</v>
      </c>
      <c r="HU657" s="19">
        <v>64.3</v>
      </c>
      <c r="HV657" s="19">
        <v>75.5</v>
      </c>
      <c r="HW657" s="19">
        <v>85.5</v>
      </c>
      <c r="HX657" s="19">
        <v>84.4</v>
      </c>
      <c r="HY657" s="19">
        <v>83.5</v>
      </c>
      <c r="HZ657" s="19">
        <v>89.3</v>
      </c>
      <c r="IA657" s="19">
        <v>88.3</v>
      </c>
      <c r="IB657" s="19">
        <v>104.6</v>
      </c>
      <c r="IC657" s="19">
        <v>103.3</v>
      </c>
    </row>
    <row r="658">
      <c r="A658" s="2" t="s">
        <v>3001</v>
      </c>
      <c r="B658" s="2" t="s">
        <v>323</v>
      </c>
      <c r="C658" s="2" t="s">
        <v>980</v>
      </c>
      <c r="D658" s="2" t="s">
        <v>257</v>
      </c>
      <c r="E658" s="2" t="s">
        <v>258</v>
      </c>
      <c r="F658" s="2" t="s">
        <v>2905</v>
      </c>
      <c r="G658" s="2" t="s">
        <v>2905</v>
      </c>
      <c r="H658" s="2" t="s">
        <v>2905</v>
      </c>
      <c r="I658" s="2" t="s">
        <v>405</v>
      </c>
      <c r="J658" s="2" t="s">
        <v>270</v>
      </c>
      <c r="K658" s="2" t="s">
        <v>2996</v>
      </c>
      <c r="L658" s="3">
        <v>28.98</v>
      </c>
      <c r="M658" s="3">
        <v>30.43</v>
      </c>
      <c r="N658" s="3">
        <v>64.99</v>
      </c>
      <c r="O658" s="2" t="s">
        <v>232</v>
      </c>
      <c r="P658" s="2" t="s">
        <v>336</v>
      </c>
      <c r="Q658" s="2" t="s">
        <v>234</v>
      </c>
      <c r="R658" s="2" t="s">
        <v>235</v>
      </c>
      <c r="S658" s="2" t="s">
        <v>2997</v>
      </c>
      <c r="T658" s="2" t="s">
        <v>2908</v>
      </c>
      <c r="U658" s="2" t="s">
        <v>264</v>
      </c>
      <c r="V658" s="2" t="s">
        <v>2919</v>
      </c>
      <c r="W658" s="2" t="s">
        <v>1798</v>
      </c>
      <c r="X658" s="2" t="s">
        <v>239</v>
      </c>
      <c r="Y658" s="2" t="s">
        <v>2920</v>
      </c>
      <c r="Z658" s="4">
        <v>590</v>
      </c>
      <c r="AA658" s="4">
        <f>=ROUNDDOWN(26.8181818181818,0)</f>
      </c>
      <c r="AB658" s="5">
        <v>22</v>
      </c>
      <c r="AC658" s="2" t="s">
        <v>2122</v>
      </c>
      <c r="AD658" s="4">
        <v>240</v>
      </c>
      <c r="AE658" s="4">
        <v>386</v>
      </c>
      <c r="AF658" s="6">
        <v>87</v>
      </c>
      <c r="AG658" s="6"/>
      <c r="AH658" s="7">
        <v>1</v>
      </c>
      <c r="AI658" s="4"/>
      <c r="AJ658" s="4">
        <f>=ROUNDDOWN({0},0)</f>
      </c>
      <c r="AK658" s="5"/>
      <c r="AL658" s="2" t="s">
        <v>235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235</v>
      </c>
      <c r="AW658" s="8" t="s">
        <v>235</v>
      </c>
      <c r="AX658" s="4" t="s">
        <v>235</v>
      </c>
      <c r="AY658" s="8" t="s">
        <v>235</v>
      </c>
      <c r="AZ658" s="7" t="s">
        <v>235</v>
      </c>
      <c r="BA658" s="7" t="s">
        <v>235</v>
      </c>
      <c r="BB658" s="7"/>
      <c r="BC658" s="4" t="s">
        <v>235</v>
      </c>
      <c r="BD658" s="8" t="s">
        <v>235</v>
      </c>
      <c r="BE658" s="4" t="s">
        <v>235</v>
      </c>
      <c r="BF658" s="8" t="s">
        <v>235</v>
      </c>
      <c r="BG658" s="7" t="s">
        <v>235</v>
      </c>
      <c r="BH658" s="7" t="s">
        <v>235</v>
      </c>
      <c r="BI658" s="7"/>
      <c r="BJ658" s="4">
        <v>8</v>
      </c>
      <c r="BK658" s="8">
        <v>260.98</v>
      </c>
      <c r="BL658" s="2" t="s">
        <v>1702</v>
      </c>
      <c r="BM658" s="7"/>
      <c r="BN658" s="7"/>
      <c r="BO658" s="4"/>
      <c r="BP658" s="8"/>
      <c r="BQ658" s="4"/>
      <c r="BR658" s="8"/>
      <c r="BS658" s="7"/>
      <c r="BT658" s="7"/>
      <c r="BU658" s="2" t="s">
        <v>2921</v>
      </c>
      <c r="BV658" s="2" t="s">
        <v>243</v>
      </c>
      <c r="BW658" s="2" t="s">
        <v>235</v>
      </c>
      <c r="BX658" s="2" t="s">
        <v>244</v>
      </c>
      <c r="BY658" s="2" t="s">
        <v>245</v>
      </c>
      <c r="BZ658" s="2" t="s">
        <v>232</v>
      </c>
      <c r="CA658" s="2" t="s">
        <v>1701</v>
      </c>
      <c r="CB658" s="2" t="s">
        <v>2998</v>
      </c>
      <c r="CC658" s="2" t="s">
        <v>248</v>
      </c>
      <c r="CD658" s="2" t="s">
        <v>248</v>
      </c>
      <c r="CE658" s="2" t="s">
        <v>235</v>
      </c>
      <c r="CF658" s="4">
        <v>589</v>
      </c>
      <c r="CG658" s="4"/>
      <c r="CH658" s="4"/>
      <c r="CI658" s="4"/>
      <c r="CJ658" s="4"/>
      <c r="CK658" s="4"/>
      <c r="CL658" s="4"/>
      <c r="CM658" s="4">
        <v>1</v>
      </c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>
        <v>240</v>
      </c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>
        <v>146</v>
      </c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>
        <v>591</v>
      </c>
      <c r="GE658" s="4">
        <v>572</v>
      </c>
      <c r="GF658" s="4">
        <v>559</v>
      </c>
      <c r="GG658" s="4">
        <v>784</v>
      </c>
      <c r="GH658" s="4">
        <v>768</v>
      </c>
      <c r="GI658" s="4">
        <v>740</v>
      </c>
      <c r="GJ658" s="4">
        <v>702</v>
      </c>
      <c r="GK658" s="4">
        <v>674</v>
      </c>
      <c r="GL658" s="4">
        <v>647</v>
      </c>
      <c r="GM658" s="4">
        <v>623</v>
      </c>
      <c r="GN658" s="4">
        <v>589</v>
      </c>
      <c r="GO658" s="4">
        <v>692</v>
      </c>
      <c r="GP658" s="4">
        <v>630</v>
      </c>
      <c r="GQ658" s="4">
        <v>510</v>
      </c>
      <c r="GR658" s="4">
        <v>453</v>
      </c>
      <c r="GS658" s="4">
        <v>398</v>
      </c>
      <c r="GT658" s="4">
        <v>362</v>
      </c>
      <c r="GU658" s="4">
        <v>335</v>
      </c>
      <c r="GV658" s="4">
        <v>304</v>
      </c>
      <c r="GW658" s="4">
        <v>281</v>
      </c>
      <c r="GX658" s="4">
        <v>264</v>
      </c>
      <c r="GY658" s="4">
        <v>251</v>
      </c>
      <c r="GZ658" s="4">
        <v>236</v>
      </c>
      <c r="HA658" s="4">
        <v>221</v>
      </c>
      <c r="HB658" s="4">
        <v>206</v>
      </c>
      <c r="HC658" s="4">
        <v>191</v>
      </c>
      <c r="HD658" s="19">
        <v>36.9</v>
      </c>
      <c r="HE658" s="19">
        <v>31.8</v>
      </c>
      <c r="HF658" s="19">
        <v>23.3</v>
      </c>
      <c r="HG658" s="19">
        <v>28</v>
      </c>
      <c r="HH658" s="19">
        <v>25.6</v>
      </c>
      <c r="HI658" s="19">
        <v>25.5</v>
      </c>
      <c r="HJ658" s="19">
        <v>25.1</v>
      </c>
      <c r="HK658" s="19">
        <v>21.1</v>
      </c>
      <c r="HL658" s="19">
        <v>15.8</v>
      </c>
      <c r="HM658" s="19">
        <v>9.6</v>
      </c>
      <c r="HN658" s="19">
        <v>8.4</v>
      </c>
      <c r="HO658" s="19">
        <v>9.4</v>
      </c>
      <c r="HP658" s="19">
        <v>9.4</v>
      </c>
      <c r="HQ658" s="19">
        <v>11.6</v>
      </c>
      <c r="HR658" s="19">
        <v>12.2</v>
      </c>
      <c r="HS658" s="19">
        <v>13.7</v>
      </c>
      <c r="HT658" s="19">
        <v>15.1</v>
      </c>
      <c r="HU658" s="19">
        <v>16</v>
      </c>
      <c r="HV658" s="19">
        <v>17.9</v>
      </c>
      <c r="HW658" s="19">
        <v>18.7</v>
      </c>
      <c r="HX658" s="19">
        <v>18.9</v>
      </c>
      <c r="HY658" s="19">
        <v>16.7</v>
      </c>
      <c r="HZ658" s="19">
        <v>16.9</v>
      </c>
      <c r="IA658" s="19">
        <v>15.8</v>
      </c>
      <c r="IB658" s="19">
        <v>17.2</v>
      </c>
      <c r="IC658" s="19">
        <v>15.9</v>
      </c>
    </row>
    <row r="659">
      <c r="A659" s="2" t="s">
        <v>3002</v>
      </c>
      <c r="B659" s="2" t="s">
        <v>323</v>
      </c>
      <c r="C659" s="2" t="s">
        <v>980</v>
      </c>
      <c r="D659" s="2" t="s">
        <v>257</v>
      </c>
      <c r="E659" s="2" t="s">
        <v>258</v>
      </c>
      <c r="F659" s="2" t="s">
        <v>2905</v>
      </c>
      <c r="G659" s="2" t="s">
        <v>2905</v>
      </c>
      <c r="H659" s="2" t="s">
        <v>2905</v>
      </c>
      <c r="I659" s="2" t="s">
        <v>405</v>
      </c>
      <c r="J659" s="2" t="s">
        <v>272</v>
      </c>
      <c r="K659" s="2" t="s">
        <v>2996</v>
      </c>
      <c r="L659" s="3">
        <v>28.98</v>
      </c>
      <c r="M659" s="3">
        <v>30.43</v>
      </c>
      <c r="N659" s="3">
        <v>64.99</v>
      </c>
      <c r="O659" s="2" t="s">
        <v>232</v>
      </c>
      <c r="P659" s="2" t="s">
        <v>233</v>
      </c>
      <c r="Q659" s="2" t="s">
        <v>234</v>
      </c>
      <c r="R659" s="2" t="s">
        <v>235</v>
      </c>
      <c r="S659" s="2" t="s">
        <v>2997</v>
      </c>
      <c r="T659" s="2" t="s">
        <v>2908</v>
      </c>
      <c r="U659" s="2" t="s">
        <v>264</v>
      </c>
      <c r="V659" s="2" t="s">
        <v>2919</v>
      </c>
      <c r="W659" s="2" t="s">
        <v>1798</v>
      </c>
      <c r="X659" s="2" t="s">
        <v>239</v>
      </c>
      <c r="Y659" s="2" t="s">
        <v>2920</v>
      </c>
      <c r="Z659" s="4">
        <v>192</v>
      </c>
      <c r="AA659" s="4">
        <f>=ROUNDDOWN(19.2,0)</f>
      </c>
      <c r="AB659" s="5">
        <v>10</v>
      </c>
      <c r="AC659" s="2" t="s">
        <v>2122</v>
      </c>
      <c r="AD659" s="4">
        <v>187</v>
      </c>
      <c r="AE659" s="4">
        <v>240</v>
      </c>
      <c r="AF659" s="6">
        <v>87</v>
      </c>
      <c r="AG659" s="6"/>
      <c r="AH659" s="7">
        <v>1</v>
      </c>
      <c r="AI659" s="4"/>
      <c r="AJ659" s="4">
        <f>=ROUNDDOWN({0},0)</f>
      </c>
      <c r="AK659" s="5"/>
      <c r="AL659" s="2" t="s">
        <v>235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235</v>
      </c>
      <c r="AW659" s="8" t="s">
        <v>235</v>
      </c>
      <c r="AX659" s="4" t="s">
        <v>235</v>
      </c>
      <c r="AY659" s="8" t="s">
        <v>235</v>
      </c>
      <c r="AZ659" s="7" t="s">
        <v>235</v>
      </c>
      <c r="BA659" s="7" t="s">
        <v>235</v>
      </c>
      <c r="BB659" s="7"/>
      <c r="BC659" s="4" t="s">
        <v>235</v>
      </c>
      <c r="BD659" s="8" t="s">
        <v>235</v>
      </c>
      <c r="BE659" s="4" t="s">
        <v>235</v>
      </c>
      <c r="BF659" s="8" t="s">
        <v>235</v>
      </c>
      <c r="BG659" s="7" t="s">
        <v>235</v>
      </c>
      <c r="BH659" s="7" t="s">
        <v>235</v>
      </c>
      <c r="BI659" s="7"/>
      <c r="BJ659" s="4">
        <v>1</v>
      </c>
      <c r="BK659" s="8">
        <v>31.95</v>
      </c>
      <c r="BL659" s="2" t="s">
        <v>2589</v>
      </c>
      <c r="BM659" s="7"/>
      <c r="BN659" s="7"/>
      <c r="BO659" s="4"/>
      <c r="BP659" s="8"/>
      <c r="BQ659" s="4"/>
      <c r="BR659" s="8"/>
      <c r="BS659" s="7"/>
      <c r="BT659" s="7"/>
      <c r="BU659" s="2" t="s">
        <v>2921</v>
      </c>
      <c r="BV659" s="2" t="s">
        <v>243</v>
      </c>
      <c r="BW659" s="2" t="s">
        <v>235</v>
      </c>
      <c r="BX659" s="2" t="s">
        <v>244</v>
      </c>
      <c r="BY659" s="2" t="s">
        <v>245</v>
      </c>
      <c r="BZ659" s="2" t="s">
        <v>232</v>
      </c>
      <c r="CA659" s="2" t="s">
        <v>1701</v>
      </c>
      <c r="CB659" s="2" t="s">
        <v>2765</v>
      </c>
      <c r="CC659" s="2" t="s">
        <v>248</v>
      </c>
      <c r="CD659" s="2" t="s">
        <v>248</v>
      </c>
      <c r="CE659" s="2" t="s">
        <v>235</v>
      </c>
      <c r="CF659" s="4">
        <v>192</v>
      </c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>
        <v>187</v>
      </c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>
        <v>53</v>
      </c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>
        <v>192</v>
      </c>
      <c r="GE659" s="4">
        <v>187</v>
      </c>
      <c r="GF659" s="4">
        <v>182</v>
      </c>
      <c r="GG659" s="4">
        <v>364</v>
      </c>
      <c r="GH659" s="4">
        <v>359</v>
      </c>
      <c r="GI659" s="4">
        <v>350</v>
      </c>
      <c r="GJ659" s="4">
        <v>341</v>
      </c>
      <c r="GK659" s="4">
        <v>331</v>
      </c>
      <c r="GL659" s="4">
        <v>319</v>
      </c>
      <c r="GM659" s="4">
        <v>308</v>
      </c>
      <c r="GN659" s="4">
        <v>293</v>
      </c>
      <c r="GO659" s="4">
        <v>326</v>
      </c>
      <c r="GP659" s="4">
        <v>297</v>
      </c>
      <c r="GQ659" s="4">
        <v>240</v>
      </c>
      <c r="GR659" s="4">
        <v>213</v>
      </c>
      <c r="GS659" s="4">
        <v>187</v>
      </c>
      <c r="GT659" s="4">
        <v>170</v>
      </c>
      <c r="GU659" s="4">
        <v>157</v>
      </c>
      <c r="GV659" s="4">
        <v>142</v>
      </c>
      <c r="GW659" s="4">
        <v>131</v>
      </c>
      <c r="GX659" s="4">
        <v>123</v>
      </c>
      <c r="GY659" s="4">
        <v>117</v>
      </c>
      <c r="GZ659" s="4">
        <v>110</v>
      </c>
      <c r="HA659" s="4">
        <v>103</v>
      </c>
      <c r="HB659" s="4">
        <v>96</v>
      </c>
      <c r="HC659" s="4">
        <v>89</v>
      </c>
      <c r="HD659" s="19">
        <v>38.4</v>
      </c>
      <c r="HE659" s="19">
        <v>31.2</v>
      </c>
      <c r="HF659" s="19">
        <v>26</v>
      </c>
      <c r="HG659" s="19">
        <v>45.5</v>
      </c>
      <c r="HH659" s="19">
        <v>35.9</v>
      </c>
      <c r="HI659" s="19">
        <v>35</v>
      </c>
      <c r="HJ659" s="19">
        <v>28.4</v>
      </c>
      <c r="HK659" s="19">
        <v>23.6</v>
      </c>
      <c r="HL659" s="19">
        <v>16.8</v>
      </c>
      <c r="HM659" s="19">
        <v>10.3</v>
      </c>
      <c r="HN659" s="19">
        <v>8.9</v>
      </c>
      <c r="HO659" s="19">
        <v>9.3</v>
      </c>
      <c r="HP659" s="19">
        <v>9.3</v>
      </c>
      <c r="HQ659" s="19">
        <v>11.4</v>
      </c>
      <c r="HR659" s="19">
        <v>11.8</v>
      </c>
      <c r="HS659" s="19">
        <v>13.4</v>
      </c>
      <c r="HT659" s="19">
        <v>14.2</v>
      </c>
      <c r="HU659" s="19">
        <v>15.7</v>
      </c>
      <c r="HV659" s="19">
        <v>17.8</v>
      </c>
      <c r="HW659" s="19">
        <v>18.7</v>
      </c>
      <c r="HX659" s="19">
        <v>17.6</v>
      </c>
      <c r="HY659" s="19">
        <v>16.7</v>
      </c>
      <c r="HZ659" s="19">
        <v>15.7</v>
      </c>
      <c r="IA659" s="19">
        <v>17.2</v>
      </c>
      <c r="IB659" s="19">
        <v>16</v>
      </c>
      <c r="IC659" s="19">
        <v>14.8</v>
      </c>
    </row>
    <row r="660">
      <c r="A660" s="2" t="s">
        <v>3003</v>
      </c>
      <c r="B660" s="2" t="s">
        <v>323</v>
      </c>
      <c r="C660" s="2" t="s">
        <v>980</v>
      </c>
      <c r="D660" s="2" t="s">
        <v>257</v>
      </c>
      <c r="E660" s="2" t="s">
        <v>258</v>
      </c>
      <c r="F660" s="2" t="s">
        <v>2905</v>
      </c>
      <c r="G660" s="2" t="s">
        <v>2905</v>
      </c>
      <c r="H660" s="2" t="s">
        <v>2905</v>
      </c>
      <c r="I660" s="2" t="s">
        <v>405</v>
      </c>
      <c r="J660" s="2" t="s">
        <v>394</v>
      </c>
      <c r="K660" s="2" t="s">
        <v>3004</v>
      </c>
      <c r="L660" s="3">
        <v>19.8</v>
      </c>
      <c r="M660" s="3">
        <v>20.79</v>
      </c>
      <c r="N660" s="3">
        <v>44.99</v>
      </c>
      <c r="O660" s="2" t="s">
        <v>232</v>
      </c>
      <c r="P660" s="2" t="s">
        <v>233</v>
      </c>
      <c r="Q660" s="2" t="s">
        <v>234</v>
      </c>
      <c r="R660" s="2" t="s">
        <v>235</v>
      </c>
      <c r="S660" s="2" t="s">
        <v>3005</v>
      </c>
      <c r="T660" s="2" t="s">
        <v>2908</v>
      </c>
      <c r="U660" s="2" t="s">
        <v>552</v>
      </c>
      <c r="V660" s="2" t="s">
        <v>2919</v>
      </c>
      <c r="W660" s="2" t="s">
        <v>1798</v>
      </c>
      <c r="X660" s="2" t="s">
        <v>239</v>
      </c>
      <c r="Y660" s="2" t="s">
        <v>2953</v>
      </c>
      <c r="Z660" s="4">
        <v>701</v>
      </c>
      <c r="AA660" s="4">
        <f>=ROUNDDOWN(87.625,0)</f>
      </c>
      <c r="AB660" s="5">
        <v>8</v>
      </c>
      <c r="AC660" s="2" t="s">
        <v>235</v>
      </c>
      <c r="AD660" s="4"/>
      <c r="AE660" s="4"/>
      <c r="AF660" s="6">
        <v>77</v>
      </c>
      <c r="AG660" s="6"/>
      <c r="AH660" s="7">
        <v>1</v>
      </c>
      <c r="AI660" s="4"/>
      <c r="AJ660" s="4">
        <f>=ROUNDDOWN({0},0)</f>
      </c>
      <c r="AK660" s="5"/>
      <c r="AL660" s="2" t="s">
        <v>235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235</v>
      </c>
      <c r="AW660" s="8" t="s">
        <v>235</v>
      </c>
      <c r="AX660" s="4" t="s">
        <v>235</v>
      </c>
      <c r="AY660" s="8" t="s">
        <v>235</v>
      </c>
      <c r="AZ660" s="7" t="s">
        <v>235</v>
      </c>
      <c r="BA660" s="7" t="s">
        <v>235</v>
      </c>
      <c r="BB660" s="7"/>
      <c r="BC660" s="4" t="s">
        <v>235</v>
      </c>
      <c r="BD660" s="8" t="s">
        <v>235</v>
      </c>
      <c r="BE660" s="4" t="s">
        <v>235</v>
      </c>
      <c r="BF660" s="8" t="s">
        <v>235</v>
      </c>
      <c r="BG660" s="7" t="s">
        <v>235</v>
      </c>
      <c r="BH660" s="7" t="s">
        <v>235</v>
      </c>
      <c r="BI660" s="7"/>
      <c r="BJ660" s="4">
        <v>4</v>
      </c>
      <c r="BK660" s="8">
        <v>90.14</v>
      </c>
      <c r="BL660" s="2" t="s">
        <v>3006</v>
      </c>
      <c r="BM660" s="7"/>
      <c r="BN660" s="7"/>
      <c r="BO660" s="4"/>
      <c r="BP660" s="8"/>
      <c r="BQ660" s="4"/>
      <c r="BR660" s="8"/>
      <c r="BS660" s="7"/>
      <c r="BT660" s="7"/>
      <c r="BU660" s="2" t="s">
        <v>2921</v>
      </c>
      <c r="BV660" s="2" t="s">
        <v>243</v>
      </c>
      <c r="BW660" s="2" t="s">
        <v>235</v>
      </c>
      <c r="BX660" s="2" t="s">
        <v>244</v>
      </c>
      <c r="BY660" s="2" t="s">
        <v>245</v>
      </c>
      <c r="BZ660" s="2" t="s">
        <v>232</v>
      </c>
      <c r="CA660" s="2" t="s">
        <v>3007</v>
      </c>
      <c r="CB660" s="2" t="s">
        <v>3008</v>
      </c>
      <c r="CC660" s="2" t="s">
        <v>248</v>
      </c>
      <c r="CD660" s="2" t="s">
        <v>248</v>
      </c>
      <c r="CE660" s="2" t="s">
        <v>235</v>
      </c>
      <c r="CF660" s="4">
        <v>701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>
        <v>705</v>
      </c>
      <c r="GE660" s="4">
        <v>697</v>
      </c>
      <c r="GF660" s="4">
        <v>693</v>
      </c>
      <c r="GG660" s="4">
        <v>689</v>
      </c>
      <c r="GH660" s="4">
        <v>683</v>
      </c>
      <c r="GI660" s="4">
        <v>673</v>
      </c>
      <c r="GJ660" s="4">
        <v>660</v>
      </c>
      <c r="GK660" s="4">
        <v>650</v>
      </c>
      <c r="GL660" s="4">
        <v>640</v>
      </c>
      <c r="GM660" s="4">
        <v>631</v>
      </c>
      <c r="GN660" s="4">
        <v>619</v>
      </c>
      <c r="GO660" s="4">
        <v>603</v>
      </c>
      <c r="GP660" s="4">
        <v>580</v>
      </c>
      <c r="GQ660" s="4">
        <v>536</v>
      </c>
      <c r="GR660" s="4">
        <v>515</v>
      </c>
      <c r="GS660" s="4">
        <v>494</v>
      </c>
      <c r="GT660" s="4">
        <v>480</v>
      </c>
      <c r="GU660" s="4">
        <v>470</v>
      </c>
      <c r="GV660" s="4">
        <v>458</v>
      </c>
      <c r="GW660" s="4">
        <v>449</v>
      </c>
      <c r="GX660" s="4">
        <v>442</v>
      </c>
      <c r="GY660" s="4">
        <v>437</v>
      </c>
      <c r="GZ660" s="4">
        <v>431</v>
      </c>
      <c r="HA660" s="4">
        <v>425</v>
      </c>
      <c r="HB660" s="4">
        <v>419</v>
      </c>
      <c r="HC660" s="4">
        <v>413</v>
      </c>
      <c r="HD660" s="19">
        <v>117.5</v>
      </c>
      <c r="HE660" s="19">
        <v>116.2</v>
      </c>
      <c r="HF660" s="19">
        <v>86.6</v>
      </c>
      <c r="HG660" s="19">
        <v>68.9</v>
      </c>
      <c r="HH660" s="19">
        <v>62.1</v>
      </c>
      <c r="HI660" s="19">
        <v>67.3</v>
      </c>
      <c r="HJ660" s="19">
        <v>66</v>
      </c>
      <c r="HK660" s="19">
        <v>54.2</v>
      </c>
      <c r="HL660" s="19">
        <v>42.7</v>
      </c>
      <c r="HM660" s="19">
        <v>26.3</v>
      </c>
      <c r="HN660" s="19">
        <v>23.8</v>
      </c>
      <c r="HO660" s="19">
        <v>22.3</v>
      </c>
      <c r="HP660" s="19">
        <v>23.2</v>
      </c>
      <c r="HQ660" s="19">
        <v>33.5</v>
      </c>
      <c r="HR660" s="19">
        <v>36.8</v>
      </c>
      <c r="HS660" s="19">
        <v>44.9</v>
      </c>
      <c r="HT660" s="19">
        <v>48</v>
      </c>
      <c r="HU660" s="19">
        <v>58.8</v>
      </c>
      <c r="HV660" s="19">
        <v>65.4</v>
      </c>
      <c r="HW660" s="19">
        <v>74.8</v>
      </c>
      <c r="HX660" s="19">
        <v>73.7</v>
      </c>
      <c r="HY660" s="19">
        <v>72.8</v>
      </c>
      <c r="HZ660" s="19">
        <v>71.8</v>
      </c>
      <c r="IA660" s="19">
        <v>70.8</v>
      </c>
      <c r="IB660" s="19">
        <v>83.8</v>
      </c>
      <c r="IC660" s="19">
        <v>103.3</v>
      </c>
    </row>
    <row r="661">
      <c r="A661" s="2" t="s">
        <v>3009</v>
      </c>
      <c r="B661" s="2" t="s">
        <v>323</v>
      </c>
      <c r="C661" s="2" t="s">
        <v>980</v>
      </c>
      <c r="D661" s="2" t="s">
        <v>257</v>
      </c>
      <c r="E661" s="2" t="s">
        <v>258</v>
      </c>
      <c r="F661" s="2" t="s">
        <v>2905</v>
      </c>
      <c r="G661" s="2" t="s">
        <v>2905</v>
      </c>
      <c r="H661" s="2" t="s">
        <v>2905</v>
      </c>
      <c r="I661" s="2" t="s">
        <v>405</v>
      </c>
      <c r="J661" s="2" t="s">
        <v>250</v>
      </c>
      <c r="K661" s="2" t="s">
        <v>3004</v>
      </c>
      <c r="L661" s="3">
        <v>21.78</v>
      </c>
      <c r="M661" s="3">
        <v>22.87</v>
      </c>
      <c r="N661" s="3">
        <v>49.99</v>
      </c>
      <c r="O661" s="2" t="s">
        <v>232</v>
      </c>
      <c r="P661" s="2" t="s">
        <v>233</v>
      </c>
      <c r="Q661" s="2" t="s">
        <v>234</v>
      </c>
      <c r="R661" s="2" t="s">
        <v>235</v>
      </c>
      <c r="S661" s="2" t="s">
        <v>3005</v>
      </c>
      <c r="T661" s="2" t="s">
        <v>2908</v>
      </c>
      <c r="U661" s="2" t="s">
        <v>264</v>
      </c>
      <c r="V661" s="2" t="s">
        <v>2919</v>
      </c>
      <c r="W661" s="2" t="s">
        <v>1798</v>
      </c>
      <c r="X661" s="2" t="s">
        <v>239</v>
      </c>
      <c r="Y661" s="2" t="s">
        <v>2953</v>
      </c>
      <c r="Z661" s="4">
        <v>1586</v>
      </c>
      <c r="AA661" s="4">
        <f>=ROUNDDOWN(122,0)</f>
      </c>
      <c r="AB661" s="5">
        <v>13</v>
      </c>
      <c r="AC661" s="2" t="s">
        <v>235</v>
      </c>
      <c r="AD661" s="4"/>
      <c r="AE661" s="4"/>
      <c r="AF661" s="6">
        <v>77</v>
      </c>
      <c r="AG661" s="6"/>
      <c r="AH661" s="7">
        <v>1</v>
      </c>
      <c r="AI661" s="4"/>
      <c r="AJ661" s="4">
        <f>=ROUNDDOWN({0},0)</f>
      </c>
      <c r="AK661" s="5"/>
      <c r="AL661" s="2" t="s">
        <v>235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235</v>
      </c>
      <c r="AW661" s="8" t="s">
        <v>235</v>
      </c>
      <c r="AX661" s="4" t="s">
        <v>235</v>
      </c>
      <c r="AY661" s="8" t="s">
        <v>235</v>
      </c>
      <c r="AZ661" s="7" t="s">
        <v>235</v>
      </c>
      <c r="BA661" s="7" t="s">
        <v>235</v>
      </c>
      <c r="BB661" s="7"/>
      <c r="BC661" s="4" t="s">
        <v>235</v>
      </c>
      <c r="BD661" s="8" t="s">
        <v>235</v>
      </c>
      <c r="BE661" s="4" t="s">
        <v>235</v>
      </c>
      <c r="BF661" s="8" t="s">
        <v>235</v>
      </c>
      <c r="BG661" s="7" t="s">
        <v>235</v>
      </c>
      <c r="BH661" s="7" t="s">
        <v>235</v>
      </c>
      <c r="BI661" s="7"/>
      <c r="BJ661" s="4"/>
      <c r="BK661" s="8"/>
      <c r="BL661" s="2" t="s">
        <v>235</v>
      </c>
      <c r="BM661" s="7"/>
      <c r="BN661" s="7"/>
      <c r="BO661" s="4"/>
      <c r="BP661" s="8"/>
      <c r="BQ661" s="4"/>
      <c r="BR661" s="8"/>
      <c r="BS661" s="7"/>
      <c r="BT661" s="7"/>
      <c r="BU661" s="2" t="s">
        <v>2921</v>
      </c>
      <c r="BV661" s="2" t="s">
        <v>243</v>
      </c>
      <c r="BW661" s="2" t="s">
        <v>235</v>
      </c>
      <c r="BX661" s="2" t="s">
        <v>244</v>
      </c>
      <c r="BY661" s="2" t="s">
        <v>245</v>
      </c>
      <c r="BZ661" s="2" t="s">
        <v>232</v>
      </c>
      <c r="CA661" s="2" t="s">
        <v>2953</v>
      </c>
      <c r="CB661" s="2" t="s">
        <v>235</v>
      </c>
      <c r="CC661" s="2" t="s">
        <v>248</v>
      </c>
      <c r="CD661" s="2" t="s">
        <v>248</v>
      </c>
      <c r="CE661" s="2" t="s">
        <v>235</v>
      </c>
      <c r="CF661" s="4">
        <v>1586</v>
      </c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>
        <v>1586</v>
      </c>
      <c r="GE661" s="4">
        <v>1573</v>
      </c>
      <c r="GF661" s="4">
        <v>1564</v>
      </c>
      <c r="GG661" s="4">
        <v>1553</v>
      </c>
      <c r="GH661" s="4">
        <v>1540</v>
      </c>
      <c r="GI661" s="4">
        <v>1519</v>
      </c>
      <c r="GJ661" s="4">
        <v>1485</v>
      </c>
      <c r="GK661" s="4">
        <v>1464</v>
      </c>
      <c r="GL661" s="4">
        <v>1444</v>
      </c>
      <c r="GM661" s="4">
        <v>1428</v>
      </c>
      <c r="GN661" s="4">
        <v>1409</v>
      </c>
      <c r="GO661" s="4">
        <v>1385</v>
      </c>
      <c r="GP661" s="4">
        <v>1353</v>
      </c>
      <c r="GQ661" s="4">
        <v>1294</v>
      </c>
      <c r="GR661" s="4">
        <v>1266</v>
      </c>
      <c r="GS661" s="4">
        <v>1238</v>
      </c>
      <c r="GT661" s="4">
        <v>1219</v>
      </c>
      <c r="GU661" s="4">
        <v>1204</v>
      </c>
      <c r="GV661" s="4">
        <v>1187</v>
      </c>
      <c r="GW661" s="4">
        <v>1175</v>
      </c>
      <c r="GX661" s="4">
        <v>1166</v>
      </c>
      <c r="GY661" s="4">
        <v>1159</v>
      </c>
      <c r="GZ661" s="4">
        <v>1151</v>
      </c>
      <c r="HA661" s="4">
        <v>1143</v>
      </c>
      <c r="HB661" s="4">
        <v>1135</v>
      </c>
      <c r="HC661" s="4">
        <v>1127</v>
      </c>
      <c r="HD661" s="19">
        <v>132.2</v>
      </c>
      <c r="HE661" s="19">
        <v>112.4</v>
      </c>
      <c r="HF661" s="19">
        <v>78.2</v>
      </c>
      <c r="HG661" s="19">
        <v>70.6</v>
      </c>
      <c r="HH661" s="19">
        <v>64.2</v>
      </c>
      <c r="HI661" s="19">
        <v>66</v>
      </c>
      <c r="HJ661" s="19">
        <v>78.2</v>
      </c>
      <c r="HK661" s="19">
        <v>73.2</v>
      </c>
      <c r="HL661" s="19">
        <v>62.8</v>
      </c>
      <c r="HM661" s="19">
        <v>42</v>
      </c>
      <c r="HN661" s="19">
        <v>39.1</v>
      </c>
      <c r="HO661" s="19">
        <v>37.4</v>
      </c>
      <c r="HP661" s="19">
        <v>39.8</v>
      </c>
      <c r="HQ661" s="19">
        <v>58.8</v>
      </c>
      <c r="HR661" s="19">
        <v>63.3</v>
      </c>
      <c r="HS661" s="19">
        <v>77.4</v>
      </c>
      <c r="HT661" s="19">
        <v>93.8</v>
      </c>
      <c r="HU661" s="19">
        <v>109.5</v>
      </c>
      <c r="HV661" s="19">
        <v>131.9</v>
      </c>
      <c r="HW661" s="19">
        <v>146.9</v>
      </c>
      <c r="HX661" s="19">
        <v>145.8</v>
      </c>
      <c r="HY661" s="19">
        <v>144.9</v>
      </c>
      <c r="HZ661" s="19">
        <v>143.9</v>
      </c>
      <c r="IA661" s="19">
        <v>142.9</v>
      </c>
      <c r="IB661" s="19">
        <v>162.1</v>
      </c>
      <c r="IC661" s="19">
        <v>161</v>
      </c>
    </row>
    <row r="662">
      <c r="A662" s="2" t="s">
        <v>3010</v>
      </c>
      <c r="B662" s="2" t="s">
        <v>323</v>
      </c>
      <c r="C662" s="2" t="s">
        <v>980</v>
      </c>
      <c r="D662" s="2" t="s">
        <v>257</v>
      </c>
      <c r="E662" s="2" t="s">
        <v>258</v>
      </c>
      <c r="F662" s="2" t="s">
        <v>2905</v>
      </c>
      <c r="G662" s="2" t="s">
        <v>2905</v>
      </c>
      <c r="H662" s="2" t="s">
        <v>2905</v>
      </c>
      <c r="I662" s="2" t="s">
        <v>405</v>
      </c>
      <c r="J662" s="2" t="s">
        <v>261</v>
      </c>
      <c r="K662" s="2" t="s">
        <v>3004</v>
      </c>
      <c r="L662" s="3">
        <v>24.3</v>
      </c>
      <c r="M662" s="3">
        <v>25.52</v>
      </c>
      <c r="N662" s="3">
        <v>54.99</v>
      </c>
      <c r="O662" s="2" t="s">
        <v>232</v>
      </c>
      <c r="P662" s="2" t="s">
        <v>233</v>
      </c>
      <c r="Q662" s="2" t="s">
        <v>234</v>
      </c>
      <c r="R662" s="2" t="s">
        <v>235</v>
      </c>
      <c r="S662" s="2" t="s">
        <v>3005</v>
      </c>
      <c r="T662" s="2" t="s">
        <v>2908</v>
      </c>
      <c r="U662" s="2" t="s">
        <v>264</v>
      </c>
      <c r="V662" s="2" t="s">
        <v>2919</v>
      </c>
      <c r="W662" s="2" t="s">
        <v>1798</v>
      </c>
      <c r="X662" s="2" t="s">
        <v>239</v>
      </c>
      <c r="Y662" s="2" t="s">
        <v>2953</v>
      </c>
      <c r="Z662" s="4">
        <v>2494</v>
      </c>
      <c r="AA662" s="4">
        <f>=ROUNDDOWN(178.142857142857,0)</f>
      </c>
      <c r="AB662" s="5">
        <v>14</v>
      </c>
      <c r="AC662" s="2" t="s">
        <v>235</v>
      </c>
      <c r="AD662" s="4"/>
      <c r="AE662" s="4"/>
      <c r="AF662" s="6">
        <v>77</v>
      </c>
      <c r="AG662" s="6"/>
      <c r="AH662" s="7">
        <v>1</v>
      </c>
      <c r="AI662" s="4"/>
      <c r="AJ662" s="4">
        <f>=ROUNDDOWN({0},0)</f>
      </c>
      <c r="AK662" s="5"/>
      <c r="AL662" s="2" t="s">
        <v>235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235</v>
      </c>
      <c r="AW662" s="8" t="s">
        <v>235</v>
      </c>
      <c r="AX662" s="4" t="s">
        <v>235</v>
      </c>
      <c r="AY662" s="8" t="s">
        <v>235</v>
      </c>
      <c r="AZ662" s="7" t="s">
        <v>235</v>
      </c>
      <c r="BA662" s="7" t="s">
        <v>235</v>
      </c>
      <c r="BB662" s="7"/>
      <c r="BC662" s="4" t="s">
        <v>235</v>
      </c>
      <c r="BD662" s="8" t="s">
        <v>235</v>
      </c>
      <c r="BE662" s="4" t="s">
        <v>235</v>
      </c>
      <c r="BF662" s="8" t="s">
        <v>235</v>
      </c>
      <c r="BG662" s="7" t="s">
        <v>235</v>
      </c>
      <c r="BH662" s="7" t="s">
        <v>235</v>
      </c>
      <c r="BI662" s="7"/>
      <c r="BJ662" s="4">
        <v>6</v>
      </c>
      <c r="BK662" s="8">
        <v>165.08</v>
      </c>
      <c r="BL662" s="2" t="s">
        <v>3011</v>
      </c>
      <c r="BM662" s="7"/>
      <c r="BN662" s="7"/>
      <c r="BO662" s="4"/>
      <c r="BP662" s="8"/>
      <c r="BQ662" s="4"/>
      <c r="BR662" s="8"/>
      <c r="BS662" s="7"/>
      <c r="BT662" s="7"/>
      <c r="BU662" s="2" t="s">
        <v>2921</v>
      </c>
      <c r="BV662" s="2" t="s">
        <v>243</v>
      </c>
      <c r="BW662" s="2" t="s">
        <v>235</v>
      </c>
      <c r="BX662" s="2" t="s">
        <v>244</v>
      </c>
      <c r="BY662" s="2" t="s">
        <v>245</v>
      </c>
      <c r="BZ662" s="2" t="s">
        <v>232</v>
      </c>
      <c r="CA662" s="2" t="s">
        <v>2953</v>
      </c>
      <c r="CB662" s="2" t="s">
        <v>3012</v>
      </c>
      <c r="CC662" s="2" t="s">
        <v>248</v>
      </c>
      <c r="CD662" s="2" t="s">
        <v>248</v>
      </c>
      <c r="CE662" s="2" t="s">
        <v>235</v>
      </c>
      <c r="CF662" s="4">
        <v>2494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>
        <v>2494</v>
      </c>
      <c r="GE662" s="4">
        <v>2487</v>
      </c>
      <c r="GF662" s="4">
        <v>2480</v>
      </c>
      <c r="GG662" s="4">
        <v>2473</v>
      </c>
      <c r="GH662" s="4">
        <v>2466</v>
      </c>
      <c r="GI662" s="4">
        <v>2452</v>
      </c>
      <c r="GJ662" s="4">
        <v>2432</v>
      </c>
      <c r="GK662" s="4">
        <v>2412</v>
      </c>
      <c r="GL662" s="4">
        <v>2392</v>
      </c>
      <c r="GM662" s="4">
        <v>2374</v>
      </c>
      <c r="GN662" s="4">
        <v>2349</v>
      </c>
      <c r="GO662" s="4">
        <v>2318</v>
      </c>
      <c r="GP662" s="4">
        <v>2273</v>
      </c>
      <c r="GQ662" s="4">
        <v>2184</v>
      </c>
      <c r="GR662" s="4">
        <v>2142</v>
      </c>
      <c r="GS662" s="4">
        <v>2103</v>
      </c>
      <c r="GT662" s="4">
        <v>2078</v>
      </c>
      <c r="GU662" s="4">
        <v>2060</v>
      </c>
      <c r="GV662" s="4">
        <v>2039</v>
      </c>
      <c r="GW662" s="4">
        <v>2024</v>
      </c>
      <c r="GX662" s="4">
        <v>2013</v>
      </c>
      <c r="GY662" s="4">
        <v>2005</v>
      </c>
      <c r="GZ662" s="4">
        <v>1995</v>
      </c>
      <c r="HA662" s="4">
        <v>1985</v>
      </c>
      <c r="HB662" s="4">
        <v>1975</v>
      </c>
      <c r="HC662" s="4">
        <v>1965</v>
      </c>
      <c r="HD662" s="19">
        <v>356.3</v>
      </c>
      <c r="HE662" s="19">
        <v>276.3</v>
      </c>
      <c r="HF662" s="19">
        <v>206.7</v>
      </c>
      <c r="HG662" s="19">
        <v>164.9</v>
      </c>
      <c r="HH662" s="19">
        <v>137</v>
      </c>
      <c r="HI662" s="19">
        <v>122.6</v>
      </c>
      <c r="HJ662" s="19">
        <v>115.8</v>
      </c>
      <c r="HK662" s="19">
        <v>100.5</v>
      </c>
      <c r="HL662" s="19">
        <v>79.7</v>
      </c>
      <c r="HM662" s="19">
        <v>49.5</v>
      </c>
      <c r="HN662" s="19">
        <v>45.2</v>
      </c>
      <c r="HO662" s="19">
        <v>42.9</v>
      </c>
      <c r="HP662" s="19">
        <v>46.4</v>
      </c>
      <c r="HQ662" s="19">
        <v>70.5</v>
      </c>
      <c r="HR662" s="19">
        <v>82.4</v>
      </c>
      <c r="HS662" s="19">
        <v>105.2</v>
      </c>
      <c r="HT662" s="19">
        <v>129.9</v>
      </c>
      <c r="HU662" s="19">
        <v>147.1</v>
      </c>
      <c r="HV662" s="19">
        <v>185.4</v>
      </c>
      <c r="HW662" s="19">
        <v>202.4</v>
      </c>
      <c r="HX662" s="19">
        <v>201.3</v>
      </c>
      <c r="HY662" s="19">
        <v>200.5</v>
      </c>
      <c r="HZ662" s="19">
        <v>221.7</v>
      </c>
      <c r="IA662" s="19">
        <v>248.1</v>
      </c>
      <c r="IB662" s="19">
        <v>246.9</v>
      </c>
      <c r="IC662" s="19">
        <v>280.7</v>
      </c>
    </row>
    <row r="663">
      <c r="A663" s="2" t="s">
        <v>3013</v>
      </c>
      <c r="B663" s="2" t="s">
        <v>323</v>
      </c>
      <c r="C663" s="2" t="s">
        <v>980</v>
      </c>
      <c r="D663" s="2" t="s">
        <v>257</v>
      </c>
      <c r="E663" s="2" t="s">
        <v>258</v>
      </c>
      <c r="F663" s="2" t="s">
        <v>2905</v>
      </c>
      <c r="G663" s="2" t="s">
        <v>2905</v>
      </c>
      <c r="H663" s="2" t="s">
        <v>2905</v>
      </c>
      <c r="I663" s="2" t="s">
        <v>405</v>
      </c>
      <c r="J663" s="2" t="s">
        <v>270</v>
      </c>
      <c r="K663" s="2" t="s">
        <v>3004</v>
      </c>
      <c r="L663" s="3">
        <v>28.98</v>
      </c>
      <c r="M663" s="3">
        <v>30.43</v>
      </c>
      <c r="N663" s="3">
        <v>64.99</v>
      </c>
      <c r="O663" s="2" t="s">
        <v>232</v>
      </c>
      <c r="P663" s="2" t="s">
        <v>233</v>
      </c>
      <c r="Q663" s="2" t="s">
        <v>234</v>
      </c>
      <c r="R663" s="2" t="s">
        <v>235</v>
      </c>
      <c r="S663" s="2" t="s">
        <v>3005</v>
      </c>
      <c r="T663" s="2" t="s">
        <v>2908</v>
      </c>
      <c r="U663" s="2" t="s">
        <v>264</v>
      </c>
      <c r="V663" s="2" t="s">
        <v>2919</v>
      </c>
      <c r="W663" s="2" t="s">
        <v>1798</v>
      </c>
      <c r="X663" s="2" t="s">
        <v>239</v>
      </c>
      <c r="Y663" s="2" t="s">
        <v>2953</v>
      </c>
      <c r="Z663" s="4">
        <v>1129</v>
      </c>
      <c r="AA663" s="4">
        <f>=ROUNDDOWN(125.444444444444,0)</f>
      </c>
      <c r="AB663" s="5">
        <v>9</v>
      </c>
      <c r="AC663" s="2" t="s">
        <v>235</v>
      </c>
      <c r="AD663" s="4"/>
      <c r="AE663" s="4"/>
      <c r="AF663" s="6">
        <v>77</v>
      </c>
      <c r="AG663" s="6"/>
      <c r="AH663" s="7">
        <v>1</v>
      </c>
      <c r="AI663" s="4"/>
      <c r="AJ663" s="4">
        <f>=ROUNDDOWN({0},0)</f>
      </c>
      <c r="AK663" s="5"/>
      <c r="AL663" s="2" t="s">
        <v>235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235</v>
      </c>
      <c r="AW663" s="8" t="s">
        <v>235</v>
      </c>
      <c r="AX663" s="4" t="s">
        <v>235</v>
      </c>
      <c r="AY663" s="8" t="s">
        <v>235</v>
      </c>
      <c r="AZ663" s="7" t="s">
        <v>235</v>
      </c>
      <c r="BA663" s="7" t="s">
        <v>235</v>
      </c>
      <c r="BB663" s="7"/>
      <c r="BC663" s="4" t="s">
        <v>235</v>
      </c>
      <c r="BD663" s="8" t="s">
        <v>235</v>
      </c>
      <c r="BE663" s="4" t="s">
        <v>235</v>
      </c>
      <c r="BF663" s="8" t="s">
        <v>235</v>
      </c>
      <c r="BG663" s="7" t="s">
        <v>235</v>
      </c>
      <c r="BH663" s="7" t="s">
        <v>235</v>
      </c>
      <c r="BI663" s="7"/>
      <c r="BJ663" s="4">
        <v>4</v>
      </c>
      <c r="BK663" s="8">
        <v>129.18</v>
      </c>
      <c r="BL663" s="2" t="s">
        <v>3014</v>
      </c>
      <c r="BM663" s="7"/>
      <c r="BN663" s="7"/>
      <c r="BO663" s="4"/>
      <c r="BP663" s="8"/>
      <c r="BQ663" s="4"/>
      <c r="BR663" s="8"/>
      <c r="BS663" s="7"/>
      <c r="BT663" s="7"/>
      <c r="BU663" s="2" t="s">
        <v>2921</v>
      </c>
      <c r="BV663" s="2" t="s">
        <v>243</v>
      </c>
      <c r="BW663" s="2" t="s">
        <v>235</v>
      </c>
      <c r="BX663" s="2" t="s">
        <v>244</v>
      </c>
      <c r="BY663" s="2" t="s">
        <v>245</v>
      </c>
      <c r="BZ663" s="2" t="s">
        <v>232</v>
      </c>
      <c r="CA663" s="2" t="s">
        <v>2953</v>
      </c>
      <c r="CB663" s="2" t="s">
        <v>235</v>
      </c>
      <c r="CC663" s="2" t="s">
        <v>248</v>
      </c>
      <c r="CD663" s="2" t="s">
        <v>248</v>
      </c>
      <c r="CE663" s="2" t="s">
        <v>235</v>
      </c>
      <c r="CF663" s="4">
        <v>1129</v>
      </c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>
        <v>1131</v>
      </c>
      <c r="GE663" s="4">
        <v>1126</v>
      </c>
      <c r="GF663" s="4">
        <v>1122</v>
      </c>
      <c r="GG663" s="4">
        <v>1117</v>
      </c>
      <c r="GH663" s="4">
        <v>1111</v>
      </c>
      <c r="GI663" s="4">
        <v>1100</v>
      </c>
      <c r="GJ663" s="4">
        <v>1086</v>
      </c>
      <c r="GK663" s="4">
        <v>1075</v>
      </c>
      <c r="GL663" s="4">
        <v>1064</v>
      </c>
      <c r="GM663" s="4">
        <v>1054</v>
      </c>
      <c r="GN663" s="4">
        <v>1040</v>
      </c>
      <c r="GO663" s="4">
        <v>1022</v>
      </c>
      <c r="GP663" s="4">
        <v>996</v>
      </c>
      <c r="GQ663" s="4">
        <v>945</v>
      </c>
      <c r="GR663" s="4">
        <v>921</v>
      </c>
      <c r="GS663" s="4">
        <v>898</v>
      </c>
      <c r="GT663" s="4">
        <v>883</v>
      </c>
      <c r="GU663" s="4">
        <v>872</v>
      </c>
      <c r="GV663" s="4">
        <v>859</v>
      </c>
      <c r="GW663" s="4">
        <v>849</v>
      </c>
      <c r="GX663" s="4">
        <v>842</v>
      </c>
      <c r="GY663" s="4">
        <v>836</v>
      </c>
      <c r="GZ663" s="4">
        <v>829</v>
      </c>
      <c r="HA663" s="4">
        <v>822</v>
      </c>
      <c r="HB663" s="4">
        <v>815</v>
      </c>
      <c r="HC663" s="4">
        <v>808</v>
      </c>
      <c r="HD663" s="19">
        <v>226.2</v>
      </c>
      <c r="HE663" s="19">
        <v>187.7</v>
      </c>
      <c r="HF663" s="19">
        <v>124.7</v>
      </c>
      <c r="HG663" s="19">
        <v>111.7</v>
      </c>
      <c r="HH663" s="19">
        <v>92.6</v>
      </c>
      <c r="HI663" s="19">
        <v>91.7</v>
      </c>
      <c r="HJ663" s="19">
        <v>90.5</v>
      </c>
      <c r="HK663" s="19">
        <v>82.7</v>
      </c>
      <c r="HL663" s="19">
        <v>62.6</v>
      </c>
      <c r="HM663" s="19">
        <v>39</v>
      </c>
      <c r="HN663" s="19">
        <v>34.7</v>
      </c>
      <c r="HO663" s="19">
        <v>33</v>
      </c>
      <c r="HP663" s="19">
        <v>35.6</v>
      </c>
      <c r="HQ663" s="19">
        <v>52.5</v>
      </c>
      <c r="HR663" s="19">
        <v>57.6</v>
      </c>
      <c r="HS663" s="19">
        <v>74.8</v>
      </c>
      <c r="HT663" s="19">
        <v>88.3</v>
      </c>
      <c r="HU663" s="19">
        <v>96.9</v>
      </c>
      <c r="HV663" s="19">
        <v>107.4</v>
      </c>
      <c r="HW663" s="19">
        <v>121.3</v>
      </c>
      <c r="HX663" s="19">
        <v>120.3</v>
      </c>
      <c r="HY663" s="19">
        <v>119.4</v>
      </c>
      <c r="HZ663" s="19">
        <v>138.2</v>
      </c>
      <c r="IA663" s="19">
        <v>137</v>
      </c>
      <c r="IB663" s="19">
        <v>163</v>
      </c>
      <c r="IC663" s="19">
        <v>202</v>
      </c>
    </row>
    <row r="664">
      <c r="A664" s="2" t="s">
        <v>3015</v>
      </c>
      <c r="B664" s="2" t="s">
        <v>323</v>
      </c>
      <c r="C664" s="2" t="s">
        <v>980</v>
      </c>
      <c r="D664" s="2" t="s">
        <v>257</v>
      </c>
      <c r="E664" s="2" t="s">
        <v>258</v>
      </c>
      <c r="F664" s="2" t="s">
        <v>2905</v>
      </c>
      <c r="G664" s="2" t="s">
        <v>2905</v>
      </c>
      <c r="H664" s="2" t="s">
        <v>2905</v>
      </c>
      <c r="I664" s="2" t="s">
        <v>405</v>
      </c>
      <c r="J664" s="2" t="s">
        <v>272</v>
      </c>
      <c r="K664" s="2" t="s">
        <v>3004</v>
      </c>
      <c r="L664" s="3">
        <v>28.98</v>
      </c>
      <c r="M664" s="3">
        <v>30.43</v>
      </c>
      <c r="N664" s="3">
        <v>64.99</v>
      </c>
      <c r="O664" s="2" t="s">
        <v>232</v>
      </c>
      <c r="P664" s="2" t="s">
        <v>233</v>
      </c>
      <c r="Q664" s="2" t="s">
        <v>234</v>
      </c>
      <c r="R664" s="2" t="s">
        <v>235</v>
      </c>
      <c r="S664" s="2" t="s">
        <v>3005</v>
      </c>
      <c r="T664" s="2" t="s">
        <v>2908</v>
      </c>
      <c r="U664" s="2" t="s">
        <v>264</v>
      </c>
      <c r="V664" s="2" t="s">
        <v>2919</v>
      </c>
      <c r="W664" s="2" t="s">
        <v>1798</v>
      </c>
      <c r="X664" s="2" t="s">
        <v>239</v>
      </c>
      <c r="Y664" s="2" t="s">
        <v>2953</v>
      </c>
      <c r="Z664" s="4">
        <v>422</v>
      </c>
      <c r="AA664" s="4">
        <f>=ROUNDDOWN(84.4,0)</f>
      </c>
      <c r="AB664" s="5">
        <v>5</v>
      </c>
      <c r="AC664" s="2" t="s">
        <v>235</v>
      </c>
      <c r="AD664" s="4"/>
      <c r="AE664" s="4"/>
      <c r="AF664" s="6">
        <v>77</v>
      </c>
      <c r="AG664" s="6"/>
      <c r="AH664" s="7">
        <v>1</v>
      </c>
      <c r="AI664" s="4"/>
      <c r="AJ664" s="4">
        <f>=ROUNDDOWN({0},0)</f>
      </c>
      <c r="AK664" s="5"/>
      <c r="AL664" s="2" t="s">
        <v>235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235</v>
      </c>
      <c r="AW664" s="8" t="s">
        <v>235</v>
      </c>
      <c r="AX664" s="4" t="s">
        <v>235</v>
      </c>
      <c r="AY664" s="8" t="s">
        <v>235</v>
      </c>
      <c r="AZ664" s="7" t="s">
        <v>235</v>
      </c>
      <c r="BA664" s="7" t="s">
        <v>235</v>
      </c>
      <c r="BB664" s="7"/>
      <c r="BC664" s="4" t="s">
        <v>235</v>
      </c>
      <c r="BD664" s="8" t="s">
        <v>235</v>
      </c>
      <c r="BE664" s="4" t="s">
        <v>235</v>
      </c>
      <c r="BF664" s="8" t="s">
        <v>235</v>
      </c>
      <c r="BG664" s="7" t="s">
        <v>235</v>
      </c>
      <c r="BH664" s="7" t="s">
        <v>235</v>
      </c>
      <c r="BI664" s="7"/>
      <c r="BJ664" s="4"/>
      <c r="BK664" s="8"/>
      <c r="BL664" s="2" t="s">
        <v>235</v>
      </c>
      <c r="BM664" s="7"/>
      <c r="BN664" s="7"/>
      <c r="BO664" s="4"/>
      <c r="BP664" s="8"/>
      <c r="BQ664" s="4"/>
      <c r="BR664" s="8"/>
      <c r="BS664" s="7"/>
      <c r="BT664" s="7"/>
      <c r="BU664" s="2" t="s">
        <v>2921</v>
      </c>
      <c r="BV664" s="2" t="s">
        <v>243</v>
      </c>
      <c r="BW664" s="2" t="s">
        <v>235</v>
      </c>
      <c r="BX664" s="2" t="s">
        <v>244</v>
      </c>
      <c r="BY664" s="2" t="s">
        <v>245</v>
      </c>
      <c r="BZ664" s="2" t="s">
        <v>232</v>
      </c>
      <c r="CA664" s="2" t="s">
        <v>2953</v>
      </c>
      <c r="CB664" s="2" t="s">
        <v>235</v>
      </c>
      <c r="CC664" s="2" t="s">
        <v>248</v>
      </c>
      <c r="CD664" s="2" t="s">
        <v>248</v>
      </c>
      <c r="CE664" s="2" t="s">
        <v>235</v>
      </c>
      <c r="CF664" s="4">
        <v>422</v>
      </c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>
        <v>422</v>
      </c>
      <c r="GE664" s="4">
        <v>419</v>
      </c>
      <c r="GF664" s="4">
        <v>416</v>
      </c>
      <c r="GG664" s="4">
        <v>412</v>
      </c>
      <c r="GH664" s="4">
        <v>405</v>
      </c>
      <c r="GI664" s="4">
        <v>394</v>
      </c>
      <c r="GJ664" s="4">
        <v>377</v>
      </c>
      <c r="GK664" s="4">
        <v>366</v>
      </c>
      <c r="GL664" s="4">
        <v>355</v>
      </c>
      <c r="GM664" s="4">
        <v>346</v>
      </c>
      <c r="GN664" s="4">
        <v>335</v>
      </c>
      <c r="GO664" s="4">
        <v>322</v>
      </c>
      <c r="GP664" s="4">
        <v>304</v>
      </c>
      <c r="GQ664" s="4">
        <v>271</v>
      </c>
      <c r="GR664" s="4">
        <v>255</v>
      </c>
      <c r="GS664" s="4">
        <v>241</v>
      </c>
      <c r="GT664" s="4">
        <v>232</v>
      </c>
      <c r="GU664" s="4">
        <v>225</v>
      </c>
      <c r="GV664" s="4">
        <v>217</v>
      </c>
      <c r="GW664" s="4">
        <v>211</v>
      </c>
      <c r="GX664" s="4">
        <v>207</v>
      </c>
      <c r="GY664" s="4">
        <v>204</v>
      </c>
      <c r="GZ664" s="4">
        <v>200</v>
      </c>
      <c r="HA664" s="4">
        <v>196</v>
      </c>
      <c r="HB664" s="4">
        <v>192</v>
      </c>
      <c r="HC664" s="4">
        <v>188</v>
      </c>
      <c r="HD664" s="19">
        <v>105.5</v>
      </c>
      <c r="HE664" s="19">
        <v>69.8</v>
      </c>
      <c r="HF664" s="19">
        <v>41.6</v>
      </c>
      <c r="HG664" s="19">
        <v>34.3</v>
      </c>
      <c r="HH664" s="19">
        <v>33.8</v>
      </c>
      <c r="HI664" s="19">
        <v>32.8</v>
      </c>
      <c r="HJ664" s="19">
        <v>37.7</v>
      </c>
      <c r="HK664" s="19">
        <v>33.3</v>
      </c>
      <c r="HL664" s="19">
        <v>27.3</v>
      </c>
      <c r="HM664" s="19">
        <v>18.2</v>
      </c>
      <c r="HN664" s="19">
        <v>16.8</v>
      </c>
      <c r="HO664" s="19">
        <v>16.1</v>
      </c>
      <c r="HP664" s="19">
        <v>16.9</v>
      </c>
      <c r="HQ664" s="19">
        <v>22.6</v>
      </c>
      <c r="HR664" s="19">
        <v>25.5</v>
      </c>
      <c r="HS664" s="19">
        <v>30.1</v>
      </c>
      <c r="HT664" s="19">
        <v>38.7</v>
      </c>
      <c r="HU664" s="19">
        <v>45</v>
      </c>
      <c r="HV664" s="19">
        <v>54.3</v>
      </c>
      <c r="HW664" s="19">
        <v>52.8</v>
      </c>
      <c r="HX664" s="19">
        <v>51.8</v>
      </c>
      <c r="HY664" s="19">
        <v>51</v>
      </c>
      <c r="HZ664" s="19">
        <v>50</v>
      </c>
      <c r="IA664" s="19">
        <v>49</v>
      </c>
      <c r="IB664" s="19">
        <v>64</v>
      </c>
      <c r="IC664" s="19">
        <v>62.7</v>
      </c>
    </row>
    <row r="665">
      <c r="A665" s="2" t="s">
        <v>3016</v>
      </c>
      <c r="B665" s="2" t="s">
        <v>323</v>
      </c>
      <c r="C665" s="2" t="s">
        <v>980</v>
      </c>
      <c r="D665" s="2" t="s">
        <v>257</v>
      </c>
      <c r="E665" s="2" t="s">
        <v>258</v>
      </c>
      <c r="F665" s="2" t="s">
        <v>2905</v>
      </c>
      <c r="G665" s="2" t="s">
        <v>2905</v>
      </c>
      <c r="H665" s="2" t="s">
        <v>2905</v>
      </c>
      <c r="I665" s="2" t="s">
        <v>405</v>
      </c>
      <c r="J665" s="2" t="s">
        <v>261</v>
      </c>
      <c r="K665" s="2" t="s">
        <v>3017</v>
      </c>
      <c r="L665" s="3">
        <v>24.3</v>
      </c>
      <c r="M665" s="3">
        <v>25.52</v>
      </c>
      <c r="N665" s="3">
        <v>54.99</v>
      </c>
      <c r="O665" s="2" t="s">
        <v>232</v>
      </c>
      <c r="P665" s="2" t="s">
        <v>233</v>
      </c>
      <c r="Q665" s="2" t="s">
        <v>234</v>
      </c>
      <c r="R665" s="2" t="s">
        <v>235</v>
      </c>
      <c r="S665" s="2" t="s">
        <v>3018</v>
      </c>
      <c r="T665" s="2" t="s">
        <v>2908</v>
      </c>
      <c r="U665" s="2" t="s">
        <v>264</v>
      </c>
      <c r="V665" s="2" t="s">
        <v>2919</v>
      </c>
      <c r="W665" s="2" t="s">
        <v>1798</v>
      </c>
      <c r="X665" s="2" t="s">
        <v>239</v>
      </c>
      <c r="Y665" s="2" t="s">
        <v>2946</v>
      </c>
      <c r="Z665" s="4">
        <v>271</v>
      </c>
      <c r="AA665" s="4">
        <f>=ROUNDDOWN(13.55,0)</f>
      </c>
      <c r="AB665" s="5">
        <v>20</v>
      </c>
      <c r="AC665" s="2" t="s">
        <v>3019</v>
      </c>
      <c r="AD665" s="4">
        <v>377</v>
      </c>
      <c r="AE665" s="4">
        <v>377</v>
      </c>
      <c r="AF665" s="6">
        <v>78</v>
      </c>
      <c r="AG665" s="6"/>
      <c r="AH665" s="7">
        <v>0</v>
      </c>
      <c r="AI665" s="4"/>
      <c r="AJ665" s="4">
        <f>=ROUNDDOWN({0},0)</f>
      </c>
      <c r="AK665" s="5"/>
      <c r="AL665" s="2" t="s">
        <v>235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235</v>
      </c>
      <c r="AW665" s="8" t="s">
        <v>235</v>
      </c>
      <c r="AX665" s="4" t="s">
        <v>235</v>
      </c>
      <c r="AY665" s="8" t="s">
        <v>235</v>
      </c>
      <c r="AZ665" s="7" t="s">
        <v>235</v>
      </c>
      <c r="BA665" s="7" t="s">
        <v>235</v>
      </c>
      <c r="BB665" s="7"/>
      <c r="BC665" s="4" t="s">
        <v>235</v>
      </c>
      <c r="BD665" s="8" t="s">
        <v>235</v>
      </c>
      <c r="BE665" s="4" t="s">
        <v>235</v>
      </c>
      <c r="BF665" s="8" t="s">
        <v>235</v>
      </c>
      <c r="BG665" s="7" t="s">
        <v>235</v>
      </c>
      <c r="BH665" s="7" t="s">
        <v>235</v>
      </c>
      <c r="BI665" s="7"/>
      <c r="BJ665" s="4"/>
      <c r="BK665" s="8"/>
      <c r="BL665" s="2" t="s">
        <v>529</v>
      </c>
      <c r="BM665" s="7"/>
      <c r="BN665" s="7"/>
      <c r="BO665" s="4"/>
      <c r="BP665" s="8"/>
      <c r="BQ665" s="4"/>
      <c r="BR665" s="8"/>
      <c r="BS665" s="7"/>
      <c r="BT665" s="7"/>
      <c r="BU665" s="2" t="s">
        <v>2921</v>
      </c>
      <c r="BV665" s="2" t="s">
        <v>243</v>
      </c>
      <c r="BW665" s="2" t="s">
        <v>235</v>
      </c>
      <c r="BX665" s="2" t="s">
        <v>244</v>
      </c>
      <c r="BY665" s="2" t="s">
        <v>245</v>
      </c>
      <c r="BZ665" s="2" t="s">
        <v>232</v>
      </c>
      <c r="CA665" s="2" t="s">
        <v>2948</v>
      </c>
      <c r="CB665" s="2" t="s">
        <v>3020</v>
      </c>
      <c r="CC665" s="2" t="s">
        <v>248</v>
      </c>
      <c r="CD665" s="2" t="s">
        <v>248</v>
      </c>
      <c r="CE665" s="2" t="s">
        <v>235</v>
      </c>
      <c r="CF665" s="4">
        <v>270</v>
      </c>
      <c r="CG665" s="4">
        <v>1</v>
      </c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>
        <v>377</v>
      </c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>
        <v>291</v>
      </c>
      <c r="GE665" s="4">
        <v>258</v>
      </c>
      <c r="GF665" s="4">
        <v>246</v>
      </c>
      <c r="GG665" s="4">
        <v>232</v>
      </c>
      <c r="GH665" s="4">
        <v>216</v>
      </c>
      <c r="GI665" s="4">
        <v>188</v>
      </c>
      <c r="GJ665" s="4">
        <v>147</v>
      </c>
      <c r="GK665" s="4">
        <v>119</v>
      </c>
      <c r="GL665" s="4">
        <v>92</v>
      </c>
      <c r="GM665" s="4">
        <v>446</v>
      </c>
      <c r="GN665" s="4">
        <v>415</v>
      </c>
      <c r="GO665" s="4">
        <v>377</v>
      </c>
      <c r="GP665" s="4">
        <v>323</v>
      </c>
      <c r="GQ665" s="4">
        <v>221</v>
      </c>
      <c r="GR665" s="4">
        <v>173</v>
      </c>
      <c r="GS665" s="4">
        <v>125</v>
      </c>
      <c r="GT665" s="4">
        <v>93</v>
      </c>
      <c r="GU665" s="4">
        <v>69</v>
      </c>
      <c r="GV665" s="4">
        <v>42</v>
      </c>
      <c r="GW665" s="4">
        <v>22</v>
      </c>
      <c r="GX665" s="4">
        <v>7</v>
      </c>
      <c r="GY665" s="4">
        <v>330</v>
      </c>
      <c r="GZ665" s="4">
        <v>315</v>
      </c>
      <c r="HA665" s="4">
        <v>302</v>
      </c>
      <c r="HB665" s="4">
        <v>289</v>
      </c>
      <c r="HC665" s="4">
        <v>276</v>
      </c>
      <c r="HD665" s="19">
        <v>15.3</v>
      </c>
      <c r="HE665" s="19">
        <v>14.3</v>
      </c>
      <c r="HF665" s="19">
        <v>9.8</v>
      </c>
      <c r="HG665" s="19">
        <v>8.3</v>
      </c>
      <c r="HH665" s="19">
        <v>7</v>
      </c>
      <c r="HI665" s="19">
        <v>6.3</v>
      </c>
      <c r="HJ665" s="19">
        <v>5.4</v>
      </c>
      <c r="HK665" s="19">
        <v>4</v>
      </c>
      <c r="HL665" s="19">
        <v>2.6</v>
      </c>
      <c r="HM665" s="19">
        <v>8</v>
      </c>
      <c r="HN665" s="19">
        <v>6.9</v>
      </c>
      <c r="HO665" s="19">
        <v>6</v>
      </c>
      <c r="HP665" s="19">
        <v>5.6</v>
      </c>
      <c r="HQ665" s="19">
        <v>5.8</v>
      </c>
      <c r="HR665" s="19">
        <v>5.2</v>
      </c>
      <c r="HS665" s="19">
        <v>4.8</v>
      </c>
      <c r="HT665" s="19">
        <v>4.2</v>
      </c>
      <c r="HU665" s="19">
        <v>3.8</v>
      </c>
      <c r="HV665" s="19">
        <v>2.8</v>
      </c>
      <c r="HW665" s="19">
        <v>1.7</v>
      </c>
      <c r="HX665" s="19">
        <v>0.5</v>
      </c>
      <c r="HY665" s="19">
        <v>23.6</v>
      </c>
      <c r="HZ665" s="19">
        <v>26.3</v>
      </c>
      <c r="IA665" s="19">
        <v>25.2</v>
      </c>
      <c r="IB665" s="19">
        <v>26.3</v>
      </c>
      <c r="IC665" s="19">
        <v>27.6</v>
      </c>
    </row>
    <row r="666">
      <c r="A666" s="2" t="s">
        <v>3021</v>
      </c>
      <c r="B666" s="2" t="s">
        <v>323</v>
      </c>
      <c r="C666" s="2" t="s">
        <v>980</v>
      </c>
      <c r="D666" s="2" t="s">
        <v>257</v>
      </c>
      <c r="E666" s="2" t="s">
        <v>258</v>
      </c>
      <c r="F666" s="2" t="s">
        <v>2905</v>
      </c>
      <c r="G666" s="2" t="s">
        <v>2905</v>
      </c>
      <c r="H666" s="2" t="s">
        <v>2905</v>
      </c>
      <c r="I666" s="2" t="s">
        <v>405</v>
      </c>
      <c r="J666" s="2" t="s">
        <v>270</v>
      </c>
      <c r="K666" s="2" t="s">
        <v>3017</v>
      </c>
      <c r="L666" s="3">
        <v>28.98</v>
      </c>
      <c r="M666" s="3">
        <v>30.43</v>
      </c>
      <c r="N666" s="3">
        <v>64.99</v>
      </c>
      <c r="O666" s="2" t="s">
        <v>232</v>
      </c>
      <c r="P666" s="2" t="s">
        <v>233</v>
      </c>
      <c r="Q666" s="2" t="s">
        <v>234</v>
      </c>
      <c r="R666" s="2" t="s">
        <v>235</v>
      </c>
      <c r="S666" s="2" t="s">
        <v>3018</v>
      </c>
      <c r="T666" s="2" t="s">
        <v>2908</v>
      </c>
      <c r="U666" s="2" t="s">
        <v>264</v>
      </c>
      <c r="V666" s="2" t="s">
        <v>2919</v>
      </c>
      <c r="W666" s="2" t="s">
        <v>1798</v>
      </c>
      <c r="X666" s="2" t="s">
        <v>239</v>
      </c>
      <c r="Y666" s="2" t="s">
        <v>2946</v>
      </c>
      <c r="Z666" s="4">
        <v>229</v>
      </c>
      <c r="AA666" s="4">
        <f>=ROUNDDOWN(17.6153846153846,0)</f>
      </c>
      <c r="AB666" s="5">
        <v>13</v>
      </c>
      <c r="AC666" s="2" t="s">
        <v>3019</v>
      </c>
      <c r="AD666" s="4">
        <v>236</v>
      </c>
      <c r="AE666" s="4">
        <v>236</v>
      </c>
      <c r="AF666" s="6">
        <v>78</v>
      </c>
      <c r="AG666" s="6"/>
      <c r="AH666" s="7">
        <v>0</v>
      </c>
      <c r="AI666" s="4"/>
      <c r="AJ666" s="4">
        <f>=ROUNDDOWN({0},0)</f>
      </c>
      <c r="AK666" s="5"/>
      <c r="AL666" s="2" t="s">
        <v>235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235</v>
      </c>
      <c r="AW666" s="8" t="s">
        <v>235</v>
      </c>
      <c r="AX666" s="4" t="s">
        <v>235</v>
      </c>
      <c r="AY666" s="8" t="s">
        <v>235</v>
      </c>
      <c r="AZ666" s="7" t="s">
        <v>235</v>
      </c>
      <c r="BA666" s="7" t="s">
        <v>235</v>
      </c>
      <c r="BB666" s="7"/>
      <c r="BC666" s="4" t="s">
        <v>235</v>
      </c>
      <c r="BD666" s="8" t="s">
        <v>235</v>
      </c>
      <c r="BE666" s="4" t="s">
        <v>235</v>
      </c>
      <c r="BF666" s="8" t="s">
        <v>235</v>
      </c>
      <c r="BG666" s="7" t="s">
        <v>235</v>
      </c>
      <c r="BH666" s="7" t="s">
        <v>235</v>
      </c>
      <c r="BI666" s="7"/>
      <c r="BJ666" s="4"/>
      <c r="BK666" s="8"/>
      <c r="BL666" s="2" t="s">
        <v>3022</v>
      </c>
      <c r="BM666" s="7"/>
      <c r="BN666" s="7"/>
      <c r="BO666" s="4"/>
      <c r="BP666" s="8"/>
      <c r="BQ666" s="4"/>
      <c r="BR666" s="8"/>
      <c r="BS666" s="7"/>
      <c r="BT666" s="7"/>
      <c r="BU666" s="2" t="s">
        <v>2921</v>
      </c>
      <c r="BV666" s="2" t="s">
        <v>243</v>
      </c>
      <c r="BW666" s="2" t="s">
        <v>235</v>
      </c>
      <c r="BX666" s="2" t="s">
        <v>244</v>
      </c>
      <c r="BY666" s="2" t="s">
        <v>245</v>
      </c>
      <c r="BZ666" s="2" t="s">
        <v>232</v>
      </c>
      <c r="CA666" s="2" t="s">
        <v>2948</v>
      </c>
      <c r="CB666" s="2" t="s">
        <v>3023</v>
      </c>
      <c r="CC666" s="2" t="s">
        <v>248</v>
      </c>
      <c r="CD666" s="2" t="s">
        <v>248</v>
      </c>
      <c r="CE666" s="2" t="s">
        <v>235</v>
      </c>
      <c r="CF666" s="4">
        <v>229</v>
      </c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>
        <v>236</v>
      </c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>
        <v>231</v>
      </c>
      <c r="GE666" s="4">
        <v>200</v>
      </c>
      <c r="GF666" s="4">
        <v>191</v>
      </c>
      <c r="GG666" s="4">
        <v>180</v>
      </c>
      <c r="GH666" s="4">
        <v>167</v>
      </c>
      <c r="GI666" s="4">
        <v>146</v>
      </c>
      <c r="GJ666" s="4">
        <v>112</v>
      </c>
      <c r="GK666" s="4">
        <v>91</v>
      </c>
      <c r="GL666" s="4">
        <v>71</v>
      </c>
      <c r="GM666" s="4">
        <v>291</v>
      </c>
      <c r="GN666" s="4">
        <v>272</v>
      </c>
      <c r="GO666" s="4">
        <v>248</v>
      </c>
      <c r="GP666" s="4">
        <v>216</v>
      </c>
      <c r="GQ666" s="4">
        <v>157</v>
      </c>
      <c r="GR666" s="4">
        <v>129</v>
      </c>
      <c r="GS666" s="4">
        <v>101</v>
      </c>
      <c r="GT666" s="4">
        <v>82</v>
      </c>
      <c r="GU666" s="4">
        <v>67</v>
      </c>
      <c r="GV666" s="4">
        <v>50</v>
      </c>
      <c r="GW666" s="4">
        <v>38</v>
      </c>
      <c r="GX666" s="4">
        <v>29</v>
      </c>
      <c r="GY666" s="4">
        <v>233</v>
      </c>
      <c r="GZ666" s="4">
        <v>225</v>
      </c>
      <c r="HA666" s="4">
        <v>217</v>
      </c>
      <c r="HB666" s="4">
        <v>209</v>
      </c>
      <c r="HC666" s="4">
        <v>201</v>
      </c>
      <c r="HD666" s="19">
        <v>14.4</v>
      </c>
      <c r="HE666" s="19">
        <v>14.3</v>
      </c>
      <c r="HF666" s="19">
        <v>9.6</v>
      </c>
      <c r="HG666" s="19">
        <v>8.2</v>
      </c>
      <c r="HH666" s="19">
        <v>7</v>
      </c>
      <c r="HI666" s="19">
        <v>6.3</v>
      </c>
      <c r="HJ666" s="19">
        <v>5.9</v>
      </c>
      <c r="HK666" s="19">
        <v>4.6</v>
      </c>
      <c r="HL666" s="19">
        <v>3.1</v>
      </c>
      <c r="HM666" s="19">
        <v>8.6</v>
      </c>
      <c r="HN666" s="19">
        <v>7.6</v>
      </c>
      <c r="HO666" s="19">
        <v>6.7</v>
      </c>
      <c r="HP666" s="19">
        <v>6.4</v>
      </c>
      <c r="HQ666" s="19">
        <v>7.1</v>
      </c>
      <c r="HR666" s="19">
        <v>6.5</v>
      </c>
      <c r="HS666" s="19">
        <v>6.3</v>
      </c>
      <c r="HT666" s="19">
        <v>6.3</v>
      </c>
      <c r="HU666" s="19">
        <v>6.1</v>
      </c>
      <c r="HV666" s="19">
        <v>5.6</v>
      </c>
      <c r="HW666" s="19">
        <v>4.8</v>
      </c>
      <c r="HX666" s="19">
        <v>3.6</v>
      </c>
      <c r="HY666" s="19">
        <v>29.1</v>
      </c>
      <c r="HZ666" s="19">
        <v>28.1</v>
      </c>
      <c r="IA666" s="19">
        <v>27.1</v>
      </c>
      <c r="IB666" s="19">
        <v>29.9</v>
      </c>
      <c r="IC666" s="19">
        <v>28.7</v>
      </c>
    </row>
    <row r="667">
      <c r="A667" s="2" t="s">
        <v>3024</v>
      </c>
      <c r="B667" s="2" t="s">
        <v>323</v>
      </c>
      <c r="C667" s="2" t="s">
        <v>980</v>
      </c>
      <c r="D667" s="2" t="s">
        <v>257</v>
      </c>
      <c r="E667" s="2" t="s">
        <v>258</v>
      </c>
      <c r="F667" s="2" t="s">
        <v>2905</v>
      </c>
      <c r="G667" s="2" t="s">
        <v>2905</v>
      </c>
      <c r="H667" s="2" t="s">
        <v>2905</v>
      </c>
      <c r="I667" s="2" t="s">
        <v>405</v>
      </c>
      <c r="J667" s="2" t="s">
        <v>272</v>
      </c>
      <c r="K667" s="2" t="s">
        <v>3017</v>
      </c>
      <c r="L667" s="3">
        <v>28.98</v>
      </c>
      <c r="M667" s="3">
        <v>30.43</v>
      </c>
      <c r="N667" s="3">
        <v>64.99</v>
      </c>
      <c r="O667" s="2" t="s">
        <v>232</v>
      </c>
      <c r="P667" s="2" t="s">
        <v>233</v>
      </c>
      <c r="Q667" s="2" t="s">
        <v>234</v>
      </c>
      <c r="R667" s="2" t="s">
        <v>235</v>
      </c>
      <c r="S667" s="2" t="s">
        <v>3018</v>
      </c>
      <c r="T667" s="2" t="s">
        <v>2908</v>
      </c>
      <c r="U667" s="2" t="s">
        <v>264</v>
      </c>
      <c r="V667" s="2" t="s">
        <v>2919</v>
      </c>
      <c r="W667" s="2" t="s">
        <v>1798</v>
      </c>
      <c r="X667" s="2" t="s">
        <v>239</v>
      </c>
      <c r="Y667" s="2" t="s">
        <v>2946</v>
      </c>
      <c r="Z667" s="4">
        <v>142</v>
      </c>
      <c r="AA667" s="4">
        <f>=ROUNDDOWN(23.6666666666667,0)</f>
      </c>
      <c r="AB667" s="5">
        <v>6</v>
      </c>
      <c r="AC667" s="2" t="s">
        <v>3019</v>
      </c>
      <c r="AD667" s="4">
        <v>87</v>
      </c>
      <c r="AE667" s="4">
        <v>87</v>
      </c>
      <c r="AF667" s="6">
        <v>78</v>
      </c>
      <c r="AG667" s="6"/>
      <c r="AH667" s="7">
        <v>1</v>
      </c>
      <c r="AI667" s="4"/>
      <c r="AJ667" s="4">
        <f>=ROUNDDOWN({0},0)</f>
      </c>
      <c r="AK667" s="5"/>
      <c r="AL667" s="2" t="s">
        <v>235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235</v>
      </c>
      <c r="AW667" s="8" t="s">
        <v>235</v>
      </c>
      <c r="AX667" s="4" t="s">
        <v>235</v>
      </c>
      <c r="AY667" s="8" t="s">
        <v>235</v>
      </c>
      <c r="AZ667" s="7" t="s">
        <v>235</v>
      </c>
      <c r="BA667" s="7" t="s">
        <v>235</v>
      </c>
      <c r="BB667" s="7"/>
      <c r="BC667" s="4" t="s">
        <v>235</v>
      </c>
      <c r="BD667" s="8" t="s">
        <v>235</v>
      </c>
      <c r="BE667" s="4" t="s">
        <v>235</v>
      </c>
      <c r="BF667" s="8" t="s">
        <v>235</v>
      </c>
      <c r="BG667" s="7" t="s">
        <v>235</v>
      </c>
      <c r="BH667" s="7" t="s">
        <v>235</v>
      </c>
      <c r="BI667" s="7"/>
      <c r="BJ667" s="4">
        <v>2</v>
      </c>
      <c r="BK667" s="8">
        <v>68.34</v>
      </c>
      <c r="BL667" s="2" t="s">
        <v>2089</v>
      </c>
      <c r="BM667" s="7"/>
      <c r="BN667" s="7"/>
      <c r="BO667" s="4"/>
      <c r="BP667" s="8"/>
      <c r="BQ667" s="4"/>
      <c r="BR667" s="8"/>
      <c r="BS667" s="7"/>
      <c r="BT667" s="7"/>
      <c r="BU667" s="2" t="s">
        <v>2921</v>
      </c>
      <c r="BV667" s="2" t="s">
        <v>243</v>
      </c>
      <c r="BW667" s="2" t="s">
        <v>235</v>
      </c>
      <c r="BX667" s="2" t="s">
        <v>244</v>
      </c>
      <c r="BY667" s="2" t="s">
        <v>245</v>
      </c>
      <c r="BZ667" s="2" t="s">
        <v>232</v>
      </c>
      <c r="CA667" s="2" t="s">
        <v>2948</v>
      </c>
      <c r="CB667" s="2" t="s">
        <v>3025</v>
      </c>
      <c r="CC667" s="2" t="s">
        <v>248</v>
      </c>
      <c r="CD667" s="2" t="s">
        <v>248</v>
      </c>
      <c r="CE667" s="2" t="s">
        <v>235</v>
      </c>
      <c r="CF667" s="4">
        <v>142</v>
      </c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>
        <v>87</v>
      </c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>
        <v>142</v>
      </c>
      <c r="GE667" s="4">
        <v>134</v>
      </c>
      <c r="GF667" s="4">
        <v>130</v>
      </c>
      <c r="GG667" s="4">
        <v>125</v>
      </c>
      <c r="GH667" s="4">
        <v>119</v>
      </c>
      <c r="GI667" s="4">
        <v>109</v>
      </c>
      <c r="GJ667" s="4">
        <v>93</v>
      </c>
      <c r="GK667" s="4">
        <v>83</v>
      </c>
      <c r="GL667" s="4">
        <v>73</v>
      </c>
      <c r="GM667" s="4">
        <v>152</v>
      </c>
      <c r="GN667" s="4">
        <v>143</v>
      </c>
      <c r="GO667" s="4">
        <v>132</v>
      </c>
      <c r="GP667" s="4">
        <v>118</v>
      </c>
      <c r="GQ667" s="4">
        <v>91</v>
      </c>
      <c r="GR667" s="4">
        <v>78</v>
      </c>
      <c r="GS667" s="4">
        <v>66</v>
      </c>
      <c r="GT667" s="4">
        <v>58</v>
      </c>
      <c r="GU667" s="4">
        <v>52</v>
      </c>
      <c r="GV667" s="4">
        <v>45</v>
      </c>
      <c r="GW667" s="4">
        <v>40</v>
      </c>
      <c r="GX667" s="4">
        <v>36</v>
      </c>
      <c r="GY667" s="4">
        <v>112</v>
      </c>
      <c r="GZ667" s="4">
        <v>108</v>
      </c>
      <c r="HA667" s="4">
        <v>104</v>
      </c>
      <c r="HB667" s="4">
        <v>100</v>
      </c>
      <c r="HC667" s="4">
        <v>96</v>
      </c>
      <c r="HD667" s="19">
        <v>23.7</v>
      </c>
      <c r="HE667" s="19">
        <v>22.3</v>
      </c>
      <c r="HF667" s="19">
        <v>14.4</v>
      </c>
      <c r="HG667" s="19">
        <v>12.5</v>
      </c>
      <c r="HH667" s="19">
        <v>9.9</v>
      </c>
      <c r="HI667" s="19">
        <v>9.9</v>
      </c>
      <c r="HJ667" s="19">
        <v>10.3</v>
      </c>
      <c r="HK667" s="19">
        <v>8.3</v>
      </c>
      <c r="HL667" s="19">
        <v>7.3</v>
      </c>
      <c r="HM667" s="19">
        <v>10.1</v>
      </c>
      <c r="HN667" s="19">
        <v>8.9</v>
      </c>
      <c r="HO667" s="19">
        <v>8.3</v>
      </c>
      <c r="HP667" s="19">
        <v>7.9</v>
      </c>
      <c r="HQ667" s="19">
        <v>9.1</v>
      </c>
      <c r="HR667" s="19">
        <v>9.8</v>
      </c>
      <c r="HS667" s="19">
        <v>11</v>
      </c>
      <c r="HT667" s="19">
        <v>9.7</v>
      </c>
      <c r="HU667" s="19">
        <v>10.4</v>
      </c>
      <c r="HV667" s="19">
        <v>11.3</v>
      </c>
      <c r="HW667" s="19">
        <v>10</v>
      </c>
      <c r="HX667" s="19">
        <v>9</v>
      </c>
      <c r="HY667" s="19">
        <v>28</v>
      </c>
      <c r="HZ667" s="19">
        <v>27</v>
      </c>
      <c r="IA667" s="19">
        <v>26</v>
      </c>
      <c r="IB667" s="19">
        <v>33.3</v>
      </c>
      <c r="IC667" s="19">
        <v>32</v>
      </c>
    </row>
    <row r="668">
      <c r="A668" s="2" t="s">
        <v>3026</v>
      </c>
      <c r="B668" s="2" t="s">
        <v>323</v>
      </c>
      <c r="C668" s="2" t="s">
        <v>980</v>
      </c>
      <c r="D668" s="2" t="s">
        <v>257</v>
      </c>
      <c r="E668" s="2" t="s">
        <v>258</v>
      </c>
      <c r="F668" s="2" t="s">
        <v>2905</v>
      </c>
      <c r="G668" s="2" t="s">
        <v>2905</v>
      </c>
      <c r="H668" s="2" t="s">
        <v>2905</v>
      </c>
      <c r="I668" s="2" t="s">
        <v>405</v>
      </c>
      <c r="J668" s="2" t="s">
        <v>270</v>
      </c>
      <c r="K668" s="2" t="s">
        <v>3027</v>
      </c>
      <c r="L668" s="3">
        <v>28.98</v>
      </c>
      <c r="M668" s="3">
        <v>30.43</v>
      </c>
      <c r="N668" s="3">
        <v>64.99</v>
      </c>
      <c r="O668" s="2" t="s">
        <v>232</v>
      </c>
      <c r="P668" s="2" t="s">
        <v>233</v>
      </c>
      <c r="Q668" s="2" t="s">
        <v>234</v>
      </c>
      <c r="R668" s="2" t="s">
        <v>235</v>
      </c>
      <c r="S668" s="2" t="s">
        <v>3028</v>
      </c>
      <c r="T668" s="2" t="s">
        <v>2908</v>
      </c>
      <c r="U668" s="2" t="s">
        <v>235</v>
      </c>
      <c r="V668" s="2" t="s">
        <v>1222</v>
      </c>
      <c r="W668" s="2" t="s">
        <v>1798</v>
      </c>
      <c r="X668" s="2" t="s">
        <v>239</v>
      </c>
      <c r="Y668" s="2" t="s">
        <v>3029</v>
      </c>
      <c r="Z668" s="4">
        <v>99</v>
      </c>
      <c r="AA668" s="4">
        <f>=ROUNDDOWN(7.07142857142857,0)</f>
      </c>
      <c r="AB668" s="5">
        <v>14</v>
      </c>
      <c r="AC668" s="2" t="s">
        <v>2122</v>
      </c>
      <c r="AD668" s="4">
        <v>156</v>
      </c>
      <c r="AE668" s="4">
        <v>430</v>
      </c>
      <c r="AF668" s="6">
        <v>78</v>
      </c>
      <c r="AG668" s="6"/>
      <c r="AH668" s="7">
        <v>0</v>
      </c>
      <c r="AI668" s="4"/>
      <c r="AJ668" s="4">
        <f>=ROUNDDOWN({0},0)</f>
      </c>
      <c r="AK668" s="5"/>
      <c r="AL668" s="2" t="s">
        <v>235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235</v>
      </c>
      <c r="BD668" s="8" t="s">
        <v>235</v>
      </c>
      <c r="BE668" s="4" t="s">
        <v>235</v>
      </c>
      <c r="BF668" s="8" t="s">
        <v>235</v>
      </c>
      <c r="BG668" s="7" t="s">
        <v>235</v>
      </c>
      <c r="BH668" s="7" t="s">
        <v>235</v>
      </c>
      <c r="BI668" s="7"/>
      <c r="BJ668" s="4"/>
      <c r="BK668" s="8"/>
      <c r="BL668" s="2" t="s">
        <v>559</v>
      </c>
      <c r="BM668" s="7"/>
      <c r="BN668" s="7"/>
      <c r="BO668" s="4"/>
      <c r="BP668" s="8"/>
      <c r="BQ668" s="4"/>
      <c r="BR668" s="8"/>
      <c r="BS668" s="7"/>
      <c r="BT668" s="7"/>
      <c r="BU668" s="2" t="s">
        <v>2921</v>
      </c>
      <c r="BV668" s="2" t="s">
        <v>243</v>
      </c>
      <c r="BW668" s="2" t="s">
        <v>235</v>
      </c>
      <c r="BX668" s="2" t="s">
        <v>244</v>
      </c>
      <c r="BY668" s="2" t="s">
        <v>245</v>
      </c>
      <c r="BZ668" s="2" t="s">
        <v>232</v>
      </c>
      <c r="CA668" s="2" t="s">
        <v>1924</v>
      </c>
      <c r="CB668" s="2" t="s">
        <v>767</v>
      </c>
      <c r="CC668" s="2" t="s">
        <v>248</v>
      </c>
      <c r="CD668" s="2" t="s">
        <v>248</v>
      </c>
      <c r="CE668" s="2" t="s">
        <v>235</v>
      </c>
      <c r="CF668" s="4">
        <v>99</v>
      </c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>
        <v>156</v>
      </c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>
        <v>198</v>
      </c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>
        <v>76</v>
      </c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>
        <v>100</v>
      </c>
      <c r="GE668" s="4">
        <v>70</v>
      </c>
      <c r="GF668" s="4">
        <v>61</v>
      </c>
      <c r="GG668" s="4">
        <v>206</v>
      </c>
      <c r="GH668" s="4">
        <v>193</v>
      </c>
      <c r="GI668" s="4">
        <v>171</v>
      </c>
      <c r="GJ668" s="4">
        <v>136</v>
      </c>
      <c r="GK668" s="4">
        <v>114</v>
      </c>
      <c r="GL668" s="4">
        <v>291</v>
      </c>
      <c r="GM668" s="4">
        <v>274</v>
      </c>
      <c r="GN668" s="4">
        <v>253</v>
      </c>
      <c r="GO668" s="4">
        <v>303</v>
      </c>
      <c r="GP668" s="4">
        <v>268</v>
      </c>
      <c r="GQ668" s="4">
        <v>203</v>
      </c>
      <c r="GR668" s="4">
        <v>172</v>
      </c>
      <c r="GS668" s="4">
        <v>141</v>
      </c>
      <c r="GT668" s="4">
        <v>120</v>
      </c>
      <c r="GU668" s="4">
        <v>104</v>
      </c>
      <c r="GV668" s="4">
        <v>86</v>
      </c>
      <c r="GW668" s="4">
        <v>73</v>
      </c>
      <c r="GX668" s="4">
        <v>63</v>
      </c>
      <c r="GY668" s="4">
        <v>55</v>
      </c>
      <c r="GZ668" s="4">
        <v>46</v>
      </c>
      <c r="HA668" s="4">
        <v>37</v>
      </c>
      <c r="HB668" s="4">
        <v>28</v>
      </c>
      <c r="HC668" s="4">
        <v>63</v>
      </c>
      <c r="HD668" s="19">
        <v>6.3</v>
      </c>
      <c r="HE668" s="19">
        <v>5</v>
      </c>
      <c r="HF668" s="19">
        <v>3.1</v>
      </c>
      <c r="HG668" s="19">
        <v>9</v>
      </c>
      <c r="HH668" s="19">
        <v>7.7</v>
      </c>
      <c r="HI668" s="19">
        <v>7.1</v>
      </c>
      <c r="HJ668" s="19">
        <v>6.8</v>
      </c>
      <c r="HK668" s="19">
        <v>5.4</v>
      </c>
      <c r="HL668" s="19">
        <v>11.6</v>
      </c>
      <c r="HM668" s="19">
        <v>7.4</v>
      </c>
      <c r="HN668" s="19">
        <v>6.5</v>
      </c>
      <c r="HO668" s="19">
        <v>7.6</v>
      </c>
      <c r="HP668" s="19">
        <v>7.2</v>
      </c>
      <c r="HQ668" s="19">
        <v>8.1</v>
      </c>
      <c r="HR668" s="19">
        <v>7.8</v>
      </c>
      <c r="HS668" s="19">
        <v>8.3</v>
      </c>
      <c r="HT668" s="19">
        <v>8.6</v>
      </c>
      <c r="HU668" s="19">
        <v>8.7</v>
      </c>
      <c r="HV668" s="19">
        <v>8.6</v>
      </c>
      <c r="HW668" s="19">
        <v>8.1</v>
      </c>
      <c r="HX668" s="19">
        <v>7</v>
      </c>
      <c r="HY668" s="19">
        <v>6.1</v>
      </c>
      <c r="HZ668" s="19">
        <v>5.8</v>
      </c>
      <c r="IA668" s="19">
        <v>4.6</v>
      </c>
      <c r="IB668" s="19">
        <v>3.5</v>
      </c>
      <c r="IC668" s="19">
        <v>9</v>
      </c>
    </row>
    <row r="669">
      <c r="A669" s="2" t="s">
        <v>3030</v>
      </c>
      <c r="B669" s="2" t="s">
        <v>323</v>
      </c>
      <c r="C669" s="2" t="s">
        <v>980</v>
      </c>
      <c r="D669" s="2" t="s">
        <v>257</v>
      </c>
      <c r="E669" s="2" t="s">
        <v>258</v>
      </c>
      <c r="F669" s="2" t="s">
        <v>2905</v>
      </c>
      <c r="G669" s="2" t="s">
        <v>2905</v>
      </c>
      <c r="H669" s="2" t="s">
        <v>2905</v>
      </c>
      <c r="I669" s="2" t="s">
        <v>405</v>
      </c>
      <c r="J669" s="2" t="s">
        <v>394</v>
      </c>
      <c r="K669" s="2" t="s">
        <v>3031</v>
      </c>
      <c r="L669" s="3">
        <v>19.8</v>
      </c>
      <c r="M669" s="3">
        <v>20.79</v>
      </c>
      <c r="N669" s="3">
        <v>44.99</v>
      </c>
      <c r="O669" s="2" t="s">
        <v>232</v>
      </c>
      <c r="P669" s="2" t="s">
        <v>233</v>
      </c>
      <c r="Q669" s="2" t="s">
        <v>234</v>
      </c>
      <c r="R669" s="2" t="s">
        <v>235</v>
      </c>
      <c r="S669" s="2" t="s">
        <v>3032</v>
      </c>
      <c r="T669" s="2" t="s">
        <v>2908</v>
      </c>
      <c r="U669" s="2" t="s">
        <v>552</v>
      </c>
      <c r="V669" s="2" t="s">
        <v>2919</v>
      </c>
      <c r="W669" s="2" t="s">
        <v>1798</v>
      </c>
      <c r="X669" s="2" t="s">
        <v>239</v>
      </c>
      <c r="Y669" s="2" t="s">
        <v>2953</v>
      </c>
      <c r="Z669" s="4">
        <v>808</v>
      </c>
      <c r="AA669" s="4">
        <f>=ROUNDDOWN(67.3333333333333,0)</f>
      </c>
      <c r="AB669" s="5">
        <v>12</v>
      </c>
      <c r="AC669" s="2" t="s">
        <v>235</v>
      </c>
      <c r="AD669" s="4"/>
      <c r="AE669" s="4"/>
      <c r="AF669" s="6">
        <v>77</v>
      </c>
      <c r="AG669" s="6"/>
      <c r="AH669" s="7">
        <v>1</v>
      </c>
      <c r="AI669" s="4"/>
      <c r="AJ669" s="4">
        <f>=ROUNDDOWN({0},0)</f>
      </c>
      <c r="AK669" s="5"/>
      <c r="AL669" s="2" t="s">
        <v>235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235</v>
      </c>
      <c r="AW669" s="8" t="s">
        <v>235</v>
      </c>
      <c r="AX669" s="4" t="s">
        <v>235</v>
      </c>
      <c r="AY669" s="8" t="s">
        <v>235</v>
      </c>
      <c r="AZ669" s="7" t="s">
        <v>235</v>
      </c>
      <c r="BA669" s="7" t="s">
        <v>235</v>
      </c>
      <c r="BB669" s="7"/>
      <c r="BC669" s="4" t="s">
        <v>235</v>
      </c>
      <c r="BD669" s="8" t="s">
        <v>235</v>
      </c>
      <c r="BE669" s="4" t="s">
        <v>235</v>
      </c>
      <c r="BF669" s="8" t="s">
        <v>235</v>
      </c>
      <c r="BG669" s="7" t="s">
        <v>235</v>
      </c>
      <c r="BH669" s="7" t="s">
        <v>235</v>
      </c>
      <c r="BI669" s="7"/>
      <c r="BJ669" s="4">
        <v>1</v>
      </c>
      <c r="BK669" s="8">
        <v>20.13</v>
      </c>
      <c r="BL669" s="2" t="s">
        <v>1122</v>
      </c>
      <c r="BM669" s="7"/>
      <c r="BN669" s="7"/>
      <c r="BO669" s="4"/>
      <c r="BP669" s="8"/>
      <c r="BQ669" s="4"/>
      <c r="BR669" s="8"/>
      <c r="BS669" s="7"/>
      <c r="BT669" s="7"/>
      <c r="BU669" s="2" t="s">
        <v>2921</v>
      </c>
      <c r="BV669" s="2" t="s">
        <v>243</v>
      </c>
      <c r="BW669" s="2" t="s">
        <v>235</v>
      </c>
      <c r="BX669" s="2" t="s">
        <v>244</v>
      </c>
      <c r="BY669" s="2" t="s">
        <v>245</v>
      </c>
      <c r="BZ669" s="2" t="s">
        <v>232</v>
      </c>
      <c r="CA669" s="2" t="s">
        <v>2953</v>
      </c>
      <c r="CB669" s="2" t="s">
        <v>1600</v>
      </c>
      <c r="CC669" s="2" t="s">
        <v>248</v>
      </c>
      <c r="CD669" s="2" t="s">
        <v>248</v>
      </c>
      <c r="CE669" s="2" t="s">
        <v>235</v>
      </c>
      <c r="CF669" s="4">
        <v>808</v>
      </c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>
        <v>808</v>
      </c>
      <c r="GE669" s="4">
        <v>798</v>
      </c>
      <c r="GF669" s="4">
        <v>790</v>
      </c>
      <c r="GG669" s="4">
        <v>780</v>
      </c>
      <c r="GH669" s="4">
        <v>769</v>
      </c>
      <c r="GI669" s="4">
        <v>751</v>
      </c>
      <c r="GJ669" s="4">
        <v>723</v>
      </c>
      <c r="GK669" s="4">
        <v>705</v>
      </c>
      <c r="GL669" s="4">
        <v>688</v>
      </c>
      <c r="GM669" s="4">
        <v>674</v>
      </c>
      <c r="GN669" s="4">
        <v>656</v>
      </c>
      <c r="GO669" s="4">
        <v>633</v>
      </c>
      <c r="GP669" s="4">
        <v>602</v>
      </c>
      <c r="GQ669" s="4">
        <v>544</v>
      </c>
      <c r="GR669" s="4">
        <v>516</v>
      </c>
      <c r="GS669" s="4">
        <v>489</v>
      </c>
      <c r="GT669" s="4">
        <v>471</v>
      </c>
      <c r="GU669" s="4">
        <v>457</v>
      </c>
      <c r="GV669" s="4">
        <v>441</v>
      </c>
      <c r="GW669" s="4">
        <v>429</v>
      </c>
      <c r="GX669" s="4">
        <v>420</v>
      </c>
      <c r="GY669" s="4">
        <v>413</v>
      </c>
      <c r="GZ669" s="4">
        <v>405</v>
      </c>
      <c r="HA669" s="4">
        <v>397</v>
      </c>
      <c r="HB669" s="4">
        <v>389</v>
      </c>
      <c r="HC669" s="4">
        <v>381</v>
      </c>
      <c r="HD669" s="19">
        <v>80.8</v>
      </c>
      <c r="HE669" s="19">
        <v>66.5</v>
      </c>
      <c r="HF669" s="19">
        <v>46.5</v>
      </c>
      <c r="HG669" s="19">
        <v>41.1</v>
      </c>
      <c r="HH669" s="19">
        <v>38.5</v>
      </c>
      <c r="HI669" s="19">
        <v>39.5</v>
      </c>
      <c r="HJ669" s="19">
        <v>42.5</v>
      </c>
      <c r="HK669" s="19">
        <v>39.2</v>
      </c>
      <c r="HL669" s="19">
        <v>31.3</v>
      </c>
      <c r="HM669" s="19">
        <v>21.1</v>
      </c>
      <c r="HN669" s="19">
        <v>18.7</v>
      </c>
      <c r="HO669" s="19">
        <v>17.6</v>
      </c>
      <c r="HP669" s="19">
        <v>18.2</v>
      </c>
      <c r="HQ669" s="19">
        <v>24.7</v>
      </c>
      <c r="HR669" s="19">
        <v>27.2</v>
      </c>
      <c r="HS669" s="19">
        <v>32.6</v>
      </c>
      <c r="HT669" s="19">
        <v>36.2</v>
      </c>
      <c r="HU669" s="19">
        <v>41.5</v>
      </c>
      <c r="HV669" s="19">
        <v>49</v>
      </c>
      <c r="HW669" s="19">
        <v>53.6</v>
      </c>
      <c r="HX669" s="19">
        <v>52.5</v>
      </c>
      <c r="HY669" s="19">
        <v>51.6</v>
      </c>
      <c r="HZ669" s="19">
        <v>50.6</v>
      </c>
      <c r="IA669" s="19">
        <v>49.6</v>
      </c>
      <c r="IB669" s="19">
        <v>55.6</v>
      </c>
      <c r="IC669" s="19">
        <v>63.5</v>
      </c>
    </row>
    <row r="670">
      <c r="A670" s="2" t="s">
        <v>3033</v>
      </c>
      <c r="B670" s="2" t="s">
        <v>323</v>
      </c>
      <c r="C670" s="2" t="s">
        <v>980</v>
      </c>
      <c r="D670" s="2" t="s">
        <v>257</v>
      </c>
      <c r="E670" s="2" t="s">
        <v>258</v>
      </c>
      <c r="F670" s="2" t="s">
        <v>2905</v>
      </c>
      <c r="G670" s="2" t="s">
        <v>2905</v>
      </c>
      <c r="H670" s="2" t="s">
        <v>2905</v>
      </c>
      <c r="I670" s="2" t="s">
        <v>405</v>
      </c>
      <c r="J670" s="2" t="s">
        <v>250</v>
      </c>
      <c r="K670" s="2" t="s">
        <v>3031</v>
      </c>
      <c r="L670" s="3">
        <v>21.78</v>
      </c>
      <c r="M670" s="3">
        <v>22.87</v>
      </c>
      <c r="N670" s="3">
        <v>49.99</v>
      </c>
      <c r="O670" s="2" t="s">
        <v>232</v>
      </c>
      <c r="P670" s="2" t="s">
        <v>233</v>
      </c>
      <c r="Q670" s="2" t="s">
        <v>234</v>
      </c>
      <c r="R670" s="2" t="s">
        <v>235</v>
      </c>
      <c r="S670" s="2" t="s">
        <v>3032</v>
      </c>
      <c r="T670" s="2" t="s">
        <v>2908</v>
      </c>
      <c r="U670" s="2" t="s">
        <v>264</v>
      </c>
      <c r="V670" s="2" t="s">
        <v>2919</v>
      </c>
      <c r="W670" s="2" t="s">
        <v>1798</v>
      </c>
      <c r="X670" s="2" t="s">
        <v>239</v>
      </c>
      <c r="Y670" s="2" t="s">
        <v>2953</v>
      </c>
      <c r="Z670" s="4">
        <v>1483</v>
      </c>
      <c r="AA670" s="4">
        <f>=ROUNDDOWN(148.3,0)</f>
      </c>
      <c r="AB670" s="5">
        <v>10</v>
      </c>
      <c r="AC670" s="2" t="s">
        <v>235</v>
      </c>
      <c r="AD670" s="4"/>
      <c r="AE670" s="4"/>
      <c r="AF670" s="6">
        <v>77</v>
      </c>
      <c r="AG670" s="6"/>
      <c r="AH670" s="7">
        <v>1</v>
      </c>
      <c r="AI670" s="4"/>
      <c r="AJ670" s="4">
        <f>=ROUNDDOWN({0},0)</f>
      </c>
      <c r="AK670" s="5"/>
      <c r="AL670" s="2" t="s">
        <v>235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235</v>
      </c>
      <c r="AW670" s="8" t="s">
        <v>235</v>
      </c>
      <c r="AX670" s="4" t="s">
        <v>235</v>
      </c>
      <c r="AY670" s="8" t="s">
        <v>235</v>
      </c>
      <c r="AZ670" s="7" t="s">
        <v>235</v>
      </c>
      <c r="BA670" s="7" t="s">
        <v>235</v>
      </c>
      <c r="BB670" s="7"/>
      <c r="BC670" s="4" t="s">
        <v>235</v>
      </c>
      <c r="BD670" s="8" t="s">
        <v>235</v>
      </c>
      <c r="BE670" s="4" t="s">
        <v>235</v>
      </c>
      <c r="BF670" s="8" t="s">
        <v>235</v>
      </c>
      <c r="BG670" s="7" t="s">
        <v>235</v>
      </c>
      <c r="BH670" s="7" t="s">
        <v>235</v>
      </c>
      <c r="BI670" s="7"/>
      <c r="BJ670" s="4">
        <v>3</v>
      </c>
      <c r="BK670" s="8">
        <v>73.65</v>
      </c>
      <c r="BL670" s="2" t="s">
        <v>517</v>
      </c>
      <c r="BM670" s="7"/>
      <c r="BN670" s="7"/>
      <c r="BO670" s="4"/>
      <c r="BP670" s="8"/>
      <c r="BQ670" s="4"/>
      <c r="BR670" s="8"/>
      <c r="BS670" s="7"/>
      <c r="BT670" s="7"/>
      <c r="BU670" s="2" t="s">
        <v>2921</v>
      </c>
      <c r="BV670" s="2" t="s">
        <v>243</v>
      </c>
      <c r="BW670" s="2" t="s">
        <v>235</v>
      </c>
      <c r="BX670" s="2" t="s">
        <v>244</v>
      </c>
      <c r="BY670" s="2" t="s">
        <v>245</v>
      </c>
      <c r="BZ670" s="2" t="s">
        <v>232</v>
      </c>
      <c r="CA670" s="2" t="s">
        <v>3007</v>
      </c>
      <c r="CB670" s="2" t="s">
        <v>883</v>
      </c>
      <c r="CC670" s="2" t="s">
        <v>248</v>
      </c>
      <c r="CD670" s="2" t="s">
        <v>248</v>
      </c>
      <c r="CE670" s="2" t="s">
        <v>235</v>
      </c>
      <c r="CF670" s="4">
        <v>1483</v>
      </c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>
        <v>1483</v>
      </c>
      <c r="GE670" s="4">
        <v>1478</v>
      </c>
      <c r="GF670" s="4">
        <v>1473</v>
      </c>
      <c r="GG670" s="4">
        <v>1464</v>
      </c>
      <c r="GH670" s="4">
        <v>1451</v>
      </c>
      <c r="GI670" s="4">
        <v>1429</v>
      </c>
      <c r="GJ670" s="4">
        <v>1394</v>
      </c>
      <c r="GK670" s="4">
        <v>1372</v>
      </c>
      <c r="GL670" s="4">
        <v>1351</v>
      </c>
      <c r="GM670" s="4">
        <v>1334</v>
      </c>
      <c r="GN670" s="4">
        <v>1313</v>
      </c>
      <c r="GO670" s="4">
        <v>1287</v>
      </c>
      <c r="GP670" s="4">
        <v>1252</v>
      </c>
      <c r="GQ670" s="4">
        <v>1187</v>
      </c>
      <c r="GR670" s="4">
        <v>1156</v>
      </c>
      <c r="GS670" s="4">
        <v>1128</v>
      </c>
      <c r="GT670" s="4">
        <v>1110</v>
      </c>
      <c r="GU670" s="4">
        <v>1097</v>
      </c>
      <c r="GV670" s="4">
        <v>1082</v>
      </c>
      <c r="GW670" s="4">
        <v>1071</v>
      </c>
      <c r="GX670" s="4">
        <v>1063</v>
      </c>
      <c r="GY670" s="4">
        <v>1057</v>
      </c>
      <c r="GZ670" s="4">
        <v>1050</v>
      </c>
      <c r="HA670" s="4">
        <v>1043</v>
      </c>
      <c r="HB670" s="4">
        <v>1036</v>
      </c>
      <c r="HC670" s="4">
        <v>1029</v>
      </c>
      <c r="HD670" s="19">
        <v>185.4</v>
      </c>
      <c r="HE670" s="19">
        <v>123.2</v>
      </c>
      <c r="HF670" s="19">
        <v>73.7</v>
      </c>
      <c r="HG670" s="19">
        <v>63.7</v>
      </c>
      <c r="HH670" s="19">
        <v>58</v>
      </c>
      <c r="HI670" s="19">
        <v>59.5</v>
      </c>
      <c r="HJ670" s="19">
        <v>69.7</v>
      </c>
      <c r="HK670" s="19">
        <v>65.3</v>
      </c>
      <c r="HL670" s="19">
        <v>54</v>
      </c>
      <c r="HM670" s="19">
        <v>36.1</v>
      </c>
      <c r="HN670" s="19">
        <v>33.7</v>
      </c>
      <c r="HO670" s="19">
        <v>32.2</v>
      </c>
      <c r="HP670" s="19">
        <v>34.8</v>
      </c>
      <c r="HQ670" s="19">
        <v>54</v>
      </c>
      <c r="HR670" s="19">
        <v>64.2</v>
      </c>
      <c r="HS670" s="19">
        <v>80.6</v>
      </c>
      <c r="HT670" s="19">
        <v>92.5</v>
      </c>
      <c r="HU670" s="19">
        <v>109.7</v>
      </c>
      <c r="HV670" s="19">
        <v>135.3</v>
      </c>
      <c r="HW670" s="19">
        <v>153</v>
      </c>
      <c r="HX670" s="19">
        <v>151.9</v>
      </c>
      <c r="HY670" s="19">
        <v>151</v>
      </c>
      <c r="HZ670" s="19">
        <v>175</v>
      </c>
      <c r="IA670" s="19">
        <v>173.8</v>
      </c>
      <c r="IB670" s="19">
        <v>172.7</v>
      </c>
      <c r="IC670" s="19">
        <v>205.8</v>
      </c>
    </row>
    <row r="671">
      <c r="A671" s="2" t="s">
        <v>3034</v>
      </c>
      <c r="B671" s="2" t="s">
        <v>323</v>
      </c>
      <c r="C671" s="2" t="s">
        <v>980</v>
      </c>
      <c r="D671" s="2" t="s">
        <v>257</v>
      </c>
      <c r="E671" s="2" t="s">
        <v>258</v>
      </c>
      <c r="F671" s="2" t="s">
        <v>2905</v>
      </c>
      <c r="G671" s="2" t="s">
        <v>2905</v>
      </c>
      <c r="H671" s="2" t="s">
        <v>2905</v>
      </c>
      <c r="I671" s="2" t="s">
        <v>405</v>
      </c>
      <c r="J671" s="2" t="s">
        <v>261</v>
      </c>
      <c r="K671" s="2" t="s">
        <v>3031</v>
      </c>
      <c r="L671" s="3">
        <v>24.3</v>
      </c>
      <c r="M671" s="3">
        <v>25.52</v>
      </c>
      <c r="N671" s="3">
        <v>54.99</v>
      </c>
      <c r="O671" s="2" t="s">
        <v>232</v>
      </c>
      <c r="P671" s="2" t="s">
        <v>698</v>
      </c>
      <c r="Q671" s="2" t="s">
        <v>234</v>
      </c>
      <c r="R671" s="2" t="s">
        <v>235</v>
      </c>
      <c r="S671" s="2" t="s">
        <v>3032</v>
      </c>
      <c r="T671" s="2" t="s">
        <v>2908</v>
      </c>
      <c r="U671" s="2" t="s">
        <v>264</v>
      </c>
      <c r="V671" s="2" t="s">
        <v>2919</v>
      </c>
      <c r="W671" s="2" t="s">
        <v>1798</v>
      </c>
      <c r="X671" s="2" t="s">
        <v>239</v>
      </c>
      <c r="Y671" s="2" t="s">
        <v>2953</v>
      </c>
      <c r="Z671" s="4">
        <v>1753</v>
      </c>
      <c r="AA671" s="4">
        <f>=ROUNDDOWN(48.6944444444444,0)</f>
      </c>
      <c r="AB671" s="5">
        <v>36</v>
      </c>
      <c r="AC671" s="2" t="s">
        <v>235</v>
      </c>
      <c r="AD671" s="4"/>
      <c r="AE671" s="4"/>
      <c r="AF671" s="6">
        <v>77</v>
      </c>
      <c r="AG671" s="6"/>
      <c r="AH671" s="7">
        <v>1</v>
      </c>
      <c r="AI671" s="4"/>
      <c r="AJ671" s="4">
        <f>=ROUNDDOWN({0},0)</f>
      </c>
      <c r="AK671" s="5"/>
      <c r="AL671" s="2" t="s">
        <v>235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235</v>
      </c>
      <c r="AW671" s="8" t="s">
        <v>235</v>
      </c>
      <c r="AX671" s="4" t="s">
        <v>235</v>
      </c>
      <c r="AY671" s="8" t="s">
        <v>235</v>
      </c>
      <c r="AZ671" s="7" t="s">
        <v>235</v>
      </c>
      <c r="BA671" s="7" t="s">
        <v>235</v>
      </c>
      <c r="BB671" s="7"/>
      <c r="BC671" s="4" t="s">
        <v>235</v>
      </c>
      <c r="BD671" s="8" t="s">
        <v>235</v>
      </c>
      <c r="BE671" s="4" t="s">
        <v>235</v>
      </c>
      <c r="BF671" s="8" t="s">
        <v>235</v>
      </c>
      <c r="BG671" s="7" t="s">
        <v>235</v>
      </c>
      <c r="BH671" s="7" t="s">
        <v>235</v>
      </c>
      <c r="BI671" s="7"/>
      <c r="BJ671" s="4">
        <v>4</v>
      </c>
      <c r="BK671" s="8">
        <v>106.65</v>
      </c>
      <c r="BL671" s="2" t="s">
        <v>554</v>
      </c>
      <c r="BM671" s="7"/>
      <c r="BN671" s="7"/>
      <c r="BO671" s="4"/>
      <c r="BP671" s="8"/>
      <c r="BQ671" s="4"/>
      <c r="BR671" s="8"/>
      <c r="BS671" s="7"/>
      <c r="BT671" s="7"/>
      <c r="BU671" s="2" t="s">
        <v>2921</v>
      </c>
      <c r="BV671" s="2" t="s">
        <v>243</v>
      </c>
      <c r="BW671" s="2" t="s">
        <v>235</v>
      </c>
      <c r="BX671" s="2" t="s">
        <v>244</v>
      </c>
      <c r="BY671" s="2" t="s">
        <v>245</v>
      </c>
      <c r="BZ671" s="2" t="s">
        <v>232</v>
      </c>
      <c r="CA671" s="2" t="s">
        <v>3007</v>
      </c>
      <c r="CB671" s="2" t="s">
        <v>3035</v>
      </c>
      <c r="CC671" s="2" t="s">
        <v>248</v>
      </c>
      <c r="CD671" s="2" t="s">
        <v>248</v>
      </c>
      <c r="CE671" s="2" t="s">
        <v>235</v>
      </c>
      <c r="CF671" s="4">
        <v>1753</v>
      </c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>
        <v>1753</v>
      </c>
      <c r="GE671" s="4">
        <v>1720</v>
      </c>
      <c r="GF671" s="4">
        <v>1699</v>
      </c>
      <c r="GG671" s="4">
        <v>1674</v>
      </c>
      <c r="GH671" s="4">
        <v>1647</v>
      </c>
      <c r="GI671" s="4">
        <v>1598</v>
      </c>
      <c r="GJ671" s="4">
        <v>1531</v>
      </c>
      <c r="GK671" s="4">
        <v>1484</v>
      </c>
      <c r="GL671" s="4">
        <v>1437</v>
      </c>
      <c r="GM671" s="4">
        <v>1396</v>
      </c>
      <c r="GN671" s="4">
        <v>1340</v>
      </c>
      <c r="GO671" s="4">
        <v>1271</v>
      </c>
      <c r="GP671" s="4">
        <v>1171</v>
      </c>
      <c r="GQ671" s="4">
        <v>980</v>
      </c>
      <c r="GR671" s="4">
        <v>889</v>
      </c>
      <c r="GS671" s="4">
        <v>801</v>
      </c>
      <c r="GT671" s="4">
        <v>743</v>
      </c>
      <c r="GU671" s="4">
        <v>700</v>
      </c>
      <c r="GV671" s="4">
        <v>651</v>
      </c>
      <c r="GW671" s="4">
        <v>615</v>
      </c>
      <c r="GX671" s="4">
        <v>588</v>
      </c>
      <c r="GY671" s="4">
        <v>567</v>
      </c>
      <c r="GZ671" s="4">
        <v>543</v>
      </c>
      <c r="HA671" s="4">
        <v>519</v>
      </c>
      <c r="HB671" s="4">
        <v>495</v>
      </c>
      <c r="HC671" s="4">
        <v>471</v>
      </c>
      <c r="HD671" s="19">
        <v>67.4</v>
      </c>
      <c r="HE671" s="19">
        <v>57.3</v>
      </c>
      <c r="HF671" s="19">
        <v>40.5</v>
      </c>
      <c r="HG671" s="19">
        <v>34.9</v>
      </c>
      <c r="HH671" s="19">
        <v>31.7</v>
      </c>
      <c r="HI671" s="19">
        <v>32</v>
      </c>
      <c r="HJ671" s="19">
        <v>31.9</v>
      </c>
      <c r="HK671" s="19">
        <v>28</v>
      </c>
      <c r="HL671" s="19">
        <v>21.8</v>
      </c>
      <c r="HM671" s="19">
        <v>13.4</v>
      </c>
      <c r="HN671" s="19">
        <v>11.9</v>
      </c>
      <c r="HO671" s="19">
        <v>10.8</v>
      </c>
      <c r="HP671" s="19">
        <v>10.9</v>
      </c>
      <c r="HQ671" s="19">
        <v>14</v>
      </c>
      <c r="HR671" s="19">
        <v>14.8</v>
      </c>
      <c r="HS671" s="19">
        <v>17.4</v>
      </c>
      <c r="HT671" s="19">
        <v>19.1</v>
      </c>
      <c r="HU671" s="19">
        <v>21.2</v>
      </c>
      <c r="HV671" s="19">
        <v>24.1</v>
      </c>
      <c r="HW671" s="19">
        <v>25.6</v>
      </c>
      <c r="HX671" s="19">
        <v>25.6</v>
      </c>
      <c r="HY671" s="19">
        <v>23.6</v>
      </c>
      <c r="HZ671" s="19">
        <v>24.7</v>
      </c>
      <c r="IA671" s="19">
        <v>24.7</v>
      </c>
      <c r="IB671" s="19">
        <v>26.1</v>
      </c>
      <c r="IC671" s="19">
        <v>26.2</v>
      </c>
    </row>
    <row r="672">
      <c r="A672" s="2" t="s">
        <v>3036</v>
      </c>
      <c r="B672" s="2" t="s">
        <v>323</v>
      </c>
      <c r="C672" s="2" t="s">
        <v>980</v>
      </c>
      <c r="D672" s="2" t="s">
        <v>257</v>
      </c>
      <c r="E672" s="2" t="s">
        <v>258</v>
      </c>
      <c r="F672" s="2" t="s">
        <v>2905</v>
      </c>
      <c r="G672" s="2" t="s">
        <v>2905</v>
      </c>
      <c r="H672" s="2" t="s">
        <v>2905</v>
      </c>
      <c r="I672" s="2" t="s">
        <v>405</v>
      </c>
      <c r="J672" s="2" t="s">
        <v>270</v>
      </c>
      <c r="K672" s="2" t="s">
        <v>3031</v>
      </c>
      <c r="L672" s="3">
        <v>28.98</v>
      </c>
      <c r="M672" s="3">
        <v>30.43</v>
      </c>
      <c r="N672" s="3">
        <v>64.99</v>
      </c>
      <c r="O672" s="2" t="s">
        <v>232</v>
      </c>
      <c r="P672" s="2" t="s">
        <v>233</v>
      </c>
      <c r="Q672" s="2" t="s">
        <v>234</v>
      </c>
      <c r="R672" s="2" t="s">
        <v>235</v>
      </c>
      <c r="S672" s="2" t="s">
        <v>3032</v>
      </c>
      <c r="T672" s="2" t="s">
        <v>2908</v>
      </c>
      <c r="U672" s="2" t="s">
        <v>264</v>
      </c>
      <c r="V672" s="2" t="s">
        <v>2919</v>
      </c>
      <c r="W672" s="2" t="s">
        <v>1798</v>
      </c>
      <c r="X672" s="2" t="s">
        <v>239</v>
      </c>
      <c r="Y672" s="2" t="s">
        <v>2953</v>
      </c>
      <c r="Z672" s="4">
        <v>771</v>
      </c>
      <c r="AA672" s="4">
        <f>=ROUNDDOWN(59.3076923076923,0)</f>
      </c>
      <c r="AB672" s="5">
        <v>13</v>
      </c>
      <c r="AC672" s="2" t="s">
        <v>235</v>
      </c>
      <c r="AD672" s="4"/>
      <c r="AE672" s="4"/>
      <c r="AF672" s="6">
        <v>77</v>
      </c>
      <c r="AG672" s="6"/>
      <c r="AH672" s="7">
        <v>1</v>
      </c>
      <c r="AI672" s="4"/>
      <c r="AJ672" s="4">
        <f>=ROUNDDOWN({0},0)</f>
      </c>
      <c r="AK672" s="5"/>
      <c r="AL672" s="2" t="s">
        <v>235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235</v>
      </c>
      <c r="AW672" s="8" t="s">
        <v>235</v>
      </c>
      <c r="AX672" s="4" t="s">
        <v>235</v>
      </c>
      <c r="AY672" s="8" t="s">
        <v>235</v>
      </c>
      <c r="AZ672" s="7" t="s">
        <v>235</v>
      </c>
      <c r="BA672" s="7" t="s">
        <v>235</v>
      </c>
      <c r="BB672" s="7"/>
      <c r="BC672" s="4" t="s">
        <v>235</v>
      </c>
      <c r="BD672" s="8" t="s">
        <v>235</v>
      </c>
      <c r="BE672" s="4" t="s">
        <v>235</v>
      </c>
      <c r="BF672" s="8" t="s">
        <v>235</v>
      </c>
      <c r="BG672" s="7" t="s">
        <v>235</v>
      </c>
      <c r="BH672" s="7" t="s">
        <v>235</v>
      </c>
      <c r="BI672" s="7"/>
      <c r="BJ672" s="4">
        <v>3</v>
      </c>
      <c r="BK672" s="8">
        <v>94.1</v>
      </c>
      <c r="BL672" s="2" t="s">
        <v>2767</v>
      </c>
      <c r="BM672" s="7"/>
      <c r="BN672" s="7"/>
      <c r="BO672" s="4"/>
      <c r="BP672" s="8"/>
      <c r="BQ672" s="4"/>
      <c r="BR672" s="8"/>
      <c r="BS672" s="7"/>
      <c r="BT672" s="7"/>
      <c r="BU672" s="2" t="s">
        <v>2921</v>
      </c>
      <c r="BV672" s="2" t="s">
        <v>243</v>
      </c>
      <c r="BW672" s="2" t="s">
        <v>235</v>
      </c>
      <c r="BX672" s="2" t="s">
        <v>244</v>
      </c>
      <c r="BY672" s="2" t="s">
        <v>245</v>
      </c>
      <c r="BZ672" s="2" t="s">
        <v>232</v>
      </c>
      <c r="CA672" s="2" t="s">
        <v>3007</v>
      </c>
      <c r="CB672" s="2" t="s">
        <v>2986</v>
      </c>
      <c r="CC672" s="2" t="s">
        <v>248</v>
      </c>
      <c r="CD672" s="2" t="s">
        <v>248</v>
      </c>
      <c r="CE672" s="2" t="s">
        <v>235</v>
      </c>
      <c r="CF672" s="4">
        <v>771</v>
      </c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>
        <v>772</v>
      </c>
      <c r="GE672" s="4">
        <v>764</v>
      </c>
      <c r="GF672" s="4">
        <v>756</v>
      </c>
      <c r="GG672" s="4">
        <v>746</v>
      </c>
      <c r="GH672" s="4">
        <v>735</v>
      </c>
      <c r="GI672" s="4">
        <v>716</v>
      </c>
      <c r="GJ672" s="4">
        <v>687</v>
      </c>
      <c r="GK672" s="4">
        <v>668</v>
      </c>
      <c r="GL672" s="4">
        <v>650</v>
      </c>
      <c r="GM672" s="4">
        <v>635</v>
      </c>
      <c r="GN672" s="4">
        <v>615</v>
      </c>
      <c r="GO672" s="4">
        <v>590</v>
      </c>
      <c r="GP672" s="4">
        <v>556</v>
      </c>
      <c r="GQ672" s="4">
        <v>492</v>
      </c>
      <c r="GR672" s="4">
        <v>461</v>
      </c>
      <c r="GS672" s="4">
        <v>431</v>
      </c>
      <c r="GT672" s="4">
        <v>411</v>
      </c>
      <c r="GU672" s="4">
        <v>396</v>
      </c>
      <c r="GV672" s="4">
        <v>379</v>
      </c>
      <c r="GW672" s="4">
        <v>366</v>
      </c>
      <c r="GX672" s="4">
        <v>356</v>
      </c>
      <c r="GY672" s="4">
        <v>348</v>
      </c>
      <c r="GZ672" s="4">
        <v>339</v>
      </c>
      <c r="HA672" s="4">
        <v>330</v>
      </c>
      <c r="HB672" s="4">
        <v>321</v>
      </c>
      <c r="HC672" s="4">
        <v>312</v>
      </c>
      <c r="HD672" s="19">
        <v>85.8</v>
      </c>
      <c r="HE672" s="19">
        <v>63.7</v>
      </c>
      <c r="HF672" s="19">
        <v>44.5</v>
      </c>
      <c r="HG672" s="19">
        <v>37.3</v>
      </c>
      <c r="HH672" s="19">
        <v>35</v>
      </c>
      <c r="HI672" s="19">
        <v>35.8</v>
      </c>
      <c r="HJ672" s="19">
        <v>38.2</v>
      </c>
      <c r="HK672" s="19">
        <v>33.4</v>
      </c>
      <c r="HL672" s="19">
        <v>27.1</v>
      </c>
      <c r="HM672" s="19">
        <v>17.6</v>
      </c>
      <c r="HN672" s="19">
        <v>16.2</v>
      </c>
      <c r="HO672" s="19">
        <v>14.8</v>
      </c>
      <c r="HP672" s="19">
        <v>15.4</v>
      </c>
      <c r="HQ672" s="19">
        <v>20.5</v>
      </c>
      <c r="HR672" s="19">
        <v>23.1</v>
      </c>
      <c r="HS672" s="19">
        <v>26.9</v>
      </c>
      <c r="HT672" s="19">
        <v>29.4</v>
      </c>
      <c r="HU672" s="19">
        <v>33</v>
      </c>
      <c r="HV672" s="19">
        <v>37.9</v>
      </c>
      <c r="HW672" s="19">
        <v>40.7</v>
      </c>
      <c r="HX672" s="19">
        <v>39.6</v>
      </c>
      <c r="HY672" s="19">
        <v>38.7</v>
      </c>
      <c r="HZ672" s="19">
        <v>42.4</v>
      </c>
      <c r="IA672" s="19">
        <v>41.3</v>
      </c>
      <c r="IB672" s="19">
        <v>45.9</v>
      </c>
      <c r="IC672" s="19">
        <v>52</v>
      </c>
    </row>
    <row r="673">
      <c r="A673" s="2" t="s">
        <v>3037</v>
      </c>
      <c r="B673" s="2" t="s">
        <v>323</v>
      </c>
      <c r="C673" s="2" t="s">
        <v>980</v>
      </c>
      <c r="D673" s="2" t="s">
        <v>257</v>
      </c>
      <c r="E673" s="2" t="s">
        <v>258</v>
      </c>
      <c r="F673" s="2" t="s">
        <v>2905</v>
      </c>
      <c r="G673" s="2" t="s">
        <v>2905</v>
      </c>
      <c r="H673" s="2" t="s">
        <v>2905</v>
      </c>
      <c r="I673" s="2" t="s">
        <v>405</v>
      </c>
      <c r="J673" s="2" t="s">
        <v>272</v>
      </c>
      <c r="K673" s="2" t="s">
        <v>3031</v>
      </c>
      <c r="L673" s="3">
        <v>28.98</v>
      </c>
      <c r="M673" s="3">
        <v>30.43</v>
      </c>
      <c r="N673" s="3">
        <v>64.99</v>
      </c>
      <c r="O673" s="2" t="s">
        <v>232</v>
      </c>
      <c r="P673" s="2" t="s">
        <v>233</v>
      </c>
      <c r="Q673" s="2" t="s">
        <v>234</v>
      </c>
      <c r="R673" s="2" t="s">
        <v>235</v>
      </c>
      <c r="S673" s="2" t="s">
        <v>3032</v>
      </c>
      <c r="T673" s="2" t="s">
        <v>2908</v>
      </c>
      <c r="U673" s="2" t="s">
        <v>264</v>
      </c>
      <c r="V673" s="2" t="s">
        <v>2919</v>
      </c>
      <c r="W673" s="2" t="s">
        <v>1798</v>
      </c>
      <c r="X673" s="2" t="s">
        <v>239</v>
      </c>
      <c r="Y673" s="2" t="s">
        <v>2953</v>
      </c>
      <c r="Z673" s="4">
        <v>419</v>
      </c>
      <c r="AA673" s="4">
        <f>=ROUNDDOWN(104.75,0)</f>
      </c>
      <c r="AB673" s="5">
        <v>4</v>
      </c>
      <c r="AC673" s="2" t="s">
        <v>235</v>
      </c>
      <c r="AD673" s="4"/>
      <c r="AE673" s="4"/>
      <c r="AF673" s="6">
        <v>77</v>
      </c>
      <c r="AG673" s="6"/>
      <c r="AH673" s="7">
        <v>1</v>
      </c>
      <c r="AI673" s="4"/>
      <c r="AJ673" s="4">
        <f>=ROUNDDOWN({0},0)</f>
      </c>
      <c r="AK673" s="5"/>
      <c r="AL673" s="2" t="s">
        <v>235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235</v>
      </c>
      <c r="AW673" s="8" t="s">
        <v>235</v>
      </c>
      <c r="AX673" s="4" t="s">
        <v>235</v>
      </c>
      <c r="AY673" s="8" t="s">
        <v>235</v>
      </c>
      <c r="AZ673" s="7" t="s">
        <v>235</v>
      </c>
      <c r="BA673" s="7" t="s">
        <v>235</v>
      </c>
      <c r="BB673" s="7"/>
      <c r="BC673" s="4" t="s">
        <v>235</v>
      </c>
      <c r="BD673" s="8" t="s">
        <v>235</v>
      </c>
      <c r="BE673" s="4" t="s">
        <v>235</v>
      </c>
      <c r="BF673" s="8" t="s">
        <v>235</v>
      </c>
      <c r="BG673" s="7" t="s">
        <v>235</v>
      </c>
      <c r="BH673" s="7" t="s">
        <v>235</v>
      </c>
      <c r="BI673" s="7"/>
      <c r="BJ673" s="4">
        <v>1</v>
      </c>
      <c r="BK673" s="8">
        <v>36.39</v>
      </c>
      <c r="BL673" s="2" t="s">
        <v>597</v>
      </c>
      <c r="BM673" s="7"/>
      <c r="BN673" s="7"/>
      <c r="BO673" s="4"/>
      <c r="BP673" s="8"/>
      <c r="BQ673" s="4"/>
      <c r="BR673" s="8"/>
      <c r="BS673" s="7"/>
      <c r="BT673" s="7"/>
      <c r="BU673" s="2" t="s">
        <v>2921</v>
      </c>
      <c r="BV673" s="2" t="s">
        <v>243</v>
      </c>
      <c r="BW673" s="2" t="s">
        <v>235</v>
      </c>
      <c r="BX673" s="2" t="s">
        <v>244</v>
      </c>
      <c r="BY673" s="2" t="s">
        <v>245</v>
      </c>
      <c r="BZ673" s="2" t="s">
        <v>232</v>
      </c>
      <c r="CA673" s="2" t="s">
        <v>3007</v>
      </c>
      <c r="CB673" s="2" t="s">
        <v>235</v>
      </c>
      <c r="CC673" s="2" t="s">
        <v>248</v>
      </c>
      <c r="CD673" s="2" t="s">
        <v>248</v>
      </c>
      <c r="CE673" s="2" t="s">
        <v>235</v>
      </c>
      <c r="CF673" s="4">
        <v>419</v>
      </c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>
        <v>419</v>
      </c>
      <c r="GE673" s="4">
        <v>417</v>
      </c>
      <c r="GF673" s="4">
        <v>414</v>
      </c>
      <c r="GG673" s="4">
        <v>409</v>
      </c>
      <c r="GH673" s="4">
        <v>403</v>
      </c>
      <c r="GI673" s="4">
        <v>393</v>
      </c>
      <c r="GJ673" s="4">
        <v>377</v>
      </c>
      <c r="GK673" s="4">
        <v>367</v>
      </c>
      <c r="GL673" s="4">
        <v>357</v>
      </c>
      <c r="GM673" s="4">
        <v>349</v>
      </c>
      <c r="GN673" s="4">
        <v>340</v>
      </c>
      <c r="GO673" s="4">
        <v>329</v>
      </c>
      <c r="GP673" s="4">
        <v>315</v>
      </c>
      <c r="GQ673" s="4">
        <v>288</v>
      </c>
      <c r="GR673" s="4">
        <v>275</v>
      </c>
      <c r="GS673" s="4">
        <v>264</v>
      </c>
      <c r="GT673" s="4">
        <v>257</v>
      </c>
      <c r="GU673" s="4">
        <v>252</v>
      </c>
      <c r="GV673" s="4">
        <v>246</v>
      </c>
      <c r="GW673" s="4">
        <v>242</v>
      </c>
      <c r="GX673" s="4">
        <v>239</v>
      </c>
      <c r="GY673" s="4">
        <v>237</v>
      </c>
      <c r="GZ673" s="4">
        <v>234</v>
      </c>
      <c r="HA673" s="4">
        <v>231</v>
      </c>
      <c r="HB673" s="4">
        <v>228</v>
      </c>
      <c r="HC673" s="4">
        <v>225</v>
      </c>
      <c r="HD673" s="19">
        <v>104.8</v>
      </c>
      <c r="HE673" s="19">
        <v>69.5</v>
      </c>
      <c r="HF673" s="19">
        <v>46</v>
      </c>
      <c r="HG673" s="19">
        <v>40.9</v>
      </c>
      <c r="HH673" s="19">
        <v>33.6</v>
      </c>
      <c r="HI673" s="19">
        <v>35.7</v>
      </c>
      <c r="HJ673" s="19">
        <v>41.9</v>
      </c>
      <c r="HK673" s="19">
        <v>36.7</v>
      </c>
      <c r="HL673" s="19">
        <v>35.7</v>
      </c>
      <c r="HM673" s="19">
        <v>23.3</v>
      </c>
      <c r="HN673" s="19">
        <v>21.3</v>
      </c>
      <c r="HO673" s="19">
        <v>20.6</v>
      </c>
      <c r="HP673" s="19">
        <v>22.5</v>
      </c>
      <c r="HQ673" s="19">
        <v>32</v>
      </c>
      <c r="HR673" s="19">
        <v>39.3</v>
      </c>
      <c r="HS673" s="19">
        <v>44</v>
      </c>
      <c r="HT673" s="19">
        <v>64.3</v>
      </c>
      <c r="HU673" s="19">
        <v>63</v>
      </c>
      <c r="HV673" s="19">
        <v>82</v>
      </c>
      <c r="HW673" s="19">
        <v>80.7</v>
      </c>
      <c r="HX673" s="19">
        <v>79.7</v>
      </c>
      <c r="HY673" s="19">
        <v>79</v>
      </c>
      <c r="HZ673" s="19">
        <v>78</v>
      </c>
      <c r="IA673" s="19">
        <v>115.5</v>
      </c>
      <c r="IB673" s="19">
        <v>114</v>
      </c>
      <c r="IC673" s="19">
        <v>112.5</v>
      </c>
    </row>
    <row r="674">
      <c r="A674" s="2" t="s">
        <v>3038</v>
      </c>
      <c r="B674" s="2" t="s">
        <v>323</v>
      </c>
      <c r="C674" s="2" t="s">
        <v>980</v>
      </c>
      <c r="D674" s="2" t="s">
        <v>257</v>
      </c>
      <c r="E674" s="2" t="s">
        <v>258</v>
      </c>
      <c r="F674" s="2" t="s">
        <v>2905</v>
      </c>
      <c r="G674" s="2" t="s">
        <v>2905</v>
      </c>
      <c r="H674" s="2" t="s">
        <v>2905</v>
      </c>
      <c r="I674" s="2" t="s">
        <v>2906</v>
      </c>
      <c r="J674" s="2" t="s">
        <v>394</v>
      </c>
      <c r="K674" s="2" t="s">
        <v>3039</v>
      </c>
      <c r="L674" s="3">
        <v>19.8</v>
      </c>
      <c r="M674" s="3">
        <v>20.79</v>
      </c>
      <c r="N674" s="3">
        <v>44.99</v>
      </c>
      <c r="O674" s="2" t="s">
        <v>232</v>
      </c>
      <c r="P674" s="2" t="s">
        <v>878</v>
      </c>
      <c r="Q674" s="2" t="s">
        <v>234</v>
      </c>
      <c r="R674" s="2" t="s">
        <v>235</v>
      </c>
      <c r="S674" s="2" t="s">
        <v>235</v>
      </c>
      <c r="T674" s="2" t="s">
        <v>2908</v>
      </c>
      <c r="U674" s="2" t="s">
        <v>552</v>
      </c>
      <c r="V674" s="2" t="s">
        <v>2182</v>
      </c>
      <c r="W674" s="2" t="s">
        <v>329</v>
      </c>
      <c r="X674" s="2" t="s">
        <v>235</v>
      </c>
      <c r="Y674" s="2" t="s">
        <v>2909</v>
      </c>
      <c r="Z674" s="4">
        <v>127</v>
      </c>
      <c r="AA674" s="4">
        <f>=ROUNDDOWN({0},0)</f>
      </c>
      <c r="AB674" s="5"/>
      <c r="AC674" s="2" t="s">
        <v>2122</v>
      </c>
      <c r="AD674" s="4">
        <v>42</v>
      </c>
      <c r="AE674" s="4">
        <v>83</v>
      </c>
      <c r="AF674" s="6">
        <v>82</v>
      </c>
      <c r="AG674" s="6"/>
      <c r="AH674" s="7">
        <v>1</v>
      </c>
      <c r="AI674" s="4"/>
      <c r="AJ674" s="4">
        <f>=ROUNDDOWN({0},0)</f>
      </c>
      <c r="AK674" s="5"/>
      <c r="AL674" s="2" t="s">
        <v>235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235</v>
      </c>
      <c r="AW674" s="8" t="s">
        <v>235</v>
      </c>
      <c r="AX674" s="4" t="s">
        <v>235</v>
      </c>
      <c r="AY674" s="8" t="s">
        <v>235</v>
      </c>
      <c r="AZ674" s="7" t="s">
        <v>235</v>
      </c>
      <c r="BA674" s="7" t="s">
        <v>235</v>
      </c>
      <c r="BB674" s="7"/>
      <c r="BC674" s="4" t="s">
        <v>235</v>
      </c>
      <c r="BD674" s="8" t="s">
        <v>235</v>
      </c>
      <c r="BE674" s="4" t="s">
        <v>235</v>
      </c>
      <c r="BF674" s="8" t="s">
        <v>235</v>
      </c>
      <c r="BG674" s="7" t="s">
        <v>235</v>
      </c>
      <c r="BH674" s="7" t="s">
        <v>235</v>
      </c>
      <c r="BI674" s="7"/>
      <c r="BJ674" s="4"/>
      <c r="BK674" s="8"/>
      <c r="BL674" s="2" t="s">
        <v>235</v>
      </c>
      <c r="BM674" s="7"/>
      <c r="BN674" s="7"/>
      <c r="BO674" s="4"/>
      <c r="BP674" s="8"/>
      <c r="BQ674" s="4"/>
      <c r="BR674" s="8"/>
      <c r="BS674" s="7"/>
      <c r="BT674" s="7"/>
      <c r="BU674" s="2" t="s">
        <v>2910</v>
      </c>
      <c r="BV674" s="2" t="s">
        <v>235</v>
      </c>
      <c r="BW674" s="2" t="s">
        <v>235</v>
      </c>
      <c r="BX674" s="2" t="s">
        <v>244</v>
      </c>
      <c r="BY674" s="2" t="s">
        <v>245</v>
      </c>
      <c r="BZ674" s="2" t="s">
        <v>232</v>
      </c>
      <c r="CA674" s="2" t="s">
        <v>235</v>
      </c>
      <c r="CB674" s="2" t="s">
        <v>235</v>
      </c>
      <c r="CC674" s="2" t="s">
        <v>248</v>
      </c>
      <c r="CD674" s="2" t="s">
        <v>248</v>
      </c>
      <c r="CE674" s="2" t="s">
        <v>235</v>
      </c>
      <c r="CF674" s="4">
        <v>127</v>
      </c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>
        <v>42</v>
      </c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>
        <v>41</v>
      </c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>
        <v>127</v>
      </c>
      <c r="GE674" s="4">
        <v>115</v>
      </c>
      <c r="GF674" s="4">
        <v>113</v>
      </c>
      <c r="GG674" s="4">
        <v>152</v>
      </c>
      <c r="GH674" s="4">
        <v>148</v>
      </c>
      <c r="GI674" s="4">
        <v>141</v>
      </c>
      <c r="GJ674" s="4">
        <v>127</v>
      </c>
      <c r="GK674" s="4">
        <v>119</v>
      </c>
      <c r="GL674" s="4">
        <v>111</v>
      </c>
      <c r="GM674" s="4">
        <v>105</v>
      </c>
      <c r="GN674" s="4">
        <v>97</v>
      </c>
      <c r="GO674" s="4">
        <v>129</v>
      </c>
      <c r="GP674" s="4">
        <v>118</v>
      </c>
      <c r="GQ674" s="4">
        <v>97</v>
      </c>
      <c r="GR674" s="4">
        <v>87</v>
      </c>
      <c r="GS674" s="4">
        <v>78</v>
      </c>
      <c r="GT674" s="4">
        <v>72</v>
      </c>
      <c r="GU674" s="4">
        <v>67</v>
      </c>
      <c r="GV674" s="4">
        <v>61</v>
      </c>
      <c r="GW674" s="4">
        <v>57</v>
      </c>
      <c r="GX674" s="4">
        <v>54</v>
      </c>
      <c r="GY674" s="4">
        <v>51</v>
      </c>
      <c r="GZ674" s="4">
        <v>48</v>
      </c>
      <c r="HA674" s="4">
        <v>45</v>
      </c>
      <c r="HB674" s="4">
        <v>42</v>
      </c>
      <c r="HC674" s="4">
        <v>87</v>
      </c>
      <c r="HD674" s="19">
        <v>25.4</v>
      </c>
      <c r="HE674" s="19">
        <v>28.8</v>
      </c>
      <c r="HF674" s="19">
        <v>16.1</v>
      </c>
      <c r="HG674" s="19">
        <v>19</v>
      </c>
      <c r="HH674" s="19">
        <v>16.4</v>
      </c>
      <c r="HI674" s="19">
        <v>15.7</v>
      </c>
      <c r="HJ674" s="19">
        <v>15.9</v>
      </c>
      <c r="HK674" s="19">
        <v>14.9</v>
      </c>
      <c r="HL674" s="19">
        <v>13.9</v>
      </c>
      <c r="HM674" s="19">
        <v>8.8</v>
      </c>
      <c r="HN674" s="19">
        <v>7.5</v>
      </c>
      <c r="HO674" s="19">
        <v>9.9</v>
      </c>
      <c r="HP674" s="19">
        <v>9.8</v>
      </c>
      <c r="HQ674" s="19">
        <v>12.1</v>
      </c>
      <c r="HR674" s="19">
        <v>14.5</v>
      </c>
      <c r="HS674" s="19">
        <v>15.6</v>
      </c>
      <c r="HT674" s="19">
        <v>18</v>
      </c>
      <c r="HU674" s="19">
        <v>16.8</v>
      </c>
      <c r="HV674" s="19">
        <v>20.3</v>
      </c>
      <c r="HW674" s="19">
        <v>19</v>
      </c>
      <c r="HX674" s="19">
        <v>18</v>
      </c>
      <c r="HY674" s="19">
        <v>17</v>
      </c>
      <c r="HZ674" s="19">
        <v>16</v>
      </c>
      <c r="IA674" s="19">
        <v>15</v>
      </c>
      <c r="IB674" s="19">
        <v>14</v>
      </c>
      <c r="IC674" s="19">
        <v>29</v>
      </c>
    </row>
    <row r="675">
      <c r="A675" s="2" t="s">
        <v>3040</v>
      </c>
      <c r="B675" s="2" t="s">
        <v>323</v>
      </c>
      <c r="C675" s="2" t="s">
        <v>980</v>
      </c>
      <c r="D675" s="2" t="s">
        <v>257</v>
      </c>
      <c r="E675" s="2" t="s">
        <v>258</v>
      </c>
      <c r="F675" s="2" t="s">
        <v>2905</v>
      </c>
      <c r="G675" s="2" t="s">
        <v>2905</v>
      </c>
      <c r="H675" s="2" t="s">
        <v>2905</v>
      </c>
      <c r="I675" s="2" t="s">
        <v>2906</v>
      </c>
      <c r="J675" s="2" t="s">
        <v>250</v>
      </c>
      <c r="K675" s="2" t="s">
        <v>3039</v>
      </c>
      <c r="L675" s="3">
        <v>21.78</v>
      </c>
      <c r="M675" s="3">
        <v>22.87</v>
      </c>
      <c r="N675" s="3">
        <v>49.99</v>
      </c>
      <c r="O675" s="2" t="s">
        <v>232</v>
      </c>
      <c r="P675" s="2" t="s">
        <v>878</v>
      </c>
      <c r="Q675" s="2" t="s">
        <v>234</v>
      </c>
      <c r="R675" s="2" t="s">
        <v>235</v>
      </c>
      <c r="S675" s="2" t="s">
        <v>235</v>
      </c>
      <c r="T675" s="2" t="s">
        <v>2908</v>
      </c>
      <c r="U675" s="2" t="s">
        <v>264</v>
      </c>
      <c r="V675" s="2" t="s">
        <v>2182</v>
      </c>
      <c r="W675" s="2" t="s">
        <v>329</v>
      </c>
      <c r="X675" s="2" t="s">
        <v>235</v>
      </c>
      <c r="Y675" s="2" t="s">
        <v>2909</v>
      </c>
      <c r="Z675" s="4">
        <v>185</v>
      </c>
      <c r="AA675" s="4">
        <f>=ROUNDDOWN({0},0)</f>
      </c>
      <c r="AB675" s="5"/>
      <c r="AC675" s="2" t="s">
        <v>2122</v>
      </c>
      <c r="AD675" s="4">
        <v>62</v>
      </c>
      <c r="AE675" s="4">
        <v>120</v>
      </c>
      <c r="AF675" s="6">
        <v>82</v>
      </c>
      <c r="AG675" s="6"/>
      <c r="AH675" s="7">
        <v>1</v>
      </c>
      <c r="AI675" s="4"/>
      <c r="AJ675" s="4">
        <f>=ROUNDDOWN({0},0)</f>
      </c>
      <c r="AK675" s="5"/>
      <c r="AL675" s="2" t="s">
        <v>235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235</v>
      </c>
      <c r="AW675" s="8" t="s">
        <v>235</v>
      </c>
      <c r="AX675" s="4" t="s">
        <v>235</v>
      </c>
      <c r="AY675" s="8" t="s">
        <v>235</v>
      </c>
      <c r="AZ675" s="7" t="s">
        <v>235</v>
      </c>
      <c r="BA675" s="7" t="s">
        <v>235</v>
      </c>
      <c r="BB675" s="7"/>
      <c r="BC675" s="4" t="s">
        <v>235</v>
      </c>
      <c r="BD675" s="8" t="s">
        <v>235</v>
      </c>
      <c r="BE675" s="4" t="s">
        <v>235</v>
      </c>
      <c r="BF675" s="8" t="s">
        <v>235</v>
      </c>
      <c r="BG675" s="7" t="s">
        <v>235</v>
      </c>
      <c r="BH675" s="7" t="s">
        <v>235</v>
      </c>
      <c r="BI675" s="7"/>
      <c r="BJ675" s="4"/>
      <c r="BK675" s="8"/>
      <c r="BL675" s="2" t="s">
        <v>235</v>
      </c>
      <c r="BM675" s="7"/>
      <c r="BN675" s="7"/>
      <c r="BO675" s="4"/>
      <c r="BP675" s="8"/>
      <c r="BQ675" s="4"/>
      <c r="BR675" s="8"/>
      <c r="BS675" s="7"/>
      <c r="BT675" s="7"/>
      <c r="BU675" s="2" t="s">
        <v>2910</v>
      </c>
      <c r="BV675" s="2" t="s">
        <v>235</v>
      </c>
      <c r="BW675" s="2" t="s">
        <v>235</v>
      </c>
      <c r="BX675" s="2" t="s">
        <v>244</v>
      </c>
      <c r="BY675" s="2" t="s">
        <v>245</v>
      </c>
      <c r="BZ675" s="2" t="s">
        <v>232</v>
      </c>
      <c r="CA675" s="2" t="s">
        <v>235</v>
      </c>
      <c r="CB675" s="2" t="s">
        <v>235</v>
      </c>
      <c r="CC675" s="2" t="s">
        <v>248</v>
      </c>
      <c r="CD675" s="2" t="s">
        <v>248</v>
      </c>
      <c r="CE675" s="2" t="s">
        <v>235</v>
      </c>
      <c r="CF675" s="4">
        <v>185</v>
      </c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>
        <v>62</v>
      </c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>
        <v>58</v>
      </c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>
        <v>185</v>
      </c>
      <c r="GE675" s="4">
        <v>171</v>
      </c>
      <c r="GF675" s="4">
        <v>168</v>
      </c>
      <c r="GG675" s="4">
        <v>225</v>
      </c>
      <c r="GH675" s="4">
        <v>218</v>
      </c>
      <c r="GI675" s="4">
        <v>208</v>
      </c>
      <c r="GJ675" s="4">
        <v>186</v>
      </c>
      <c r="GK675" s="4">
        <v>174</v>
      </c>
      <c r="GL675" s="4">
        <v>221</v>
      </c>
      <c r="GM675" s="4">
        <v>213</v>
      </c>
      <c r="GN675" s="4">
        <v>201</v>
      </c>
      <c r="GO675" s="4">
        <v>186</v>
      </c>
      <c r="GP675" s="4">
        <v>167</v>
      </c>
      <c r="GQ675" s="4">
        <v>134</v>
      </c>
      <c r="GR675" s="4">
        <v>117</v>
      </c>
      <c r="GS675" s="4">
        <v>101</v>
      </c>
      <c r="GT675" s="4">
        <v>90</v>
      </c>
      <c r="GU675" s="4">
        <v>81</v>
      </c>
      <c r="GV675" s="4">
        <v>71</v>
      </c>
      <c r="GW675" s="4">
        <v>63</v>
      </c>
      <c r="GX675" s="4">
        <v>57</v>
      </c>
      <c r="GY675" s="4">
        <v>52</v>
      </c>
      <c r="GZ675" s="4">
        <v>46</v>
      </c>
      <c r="HA675" s="4">
        <v>40</v>
      </c>
      <c r="HB675" s="4">
        <v>34</v>
      </c>
      <c r="HC675" s="4">
        <v>134</v>
      </c>
      <c r="HD675" s="19">
        <v>26.4</v>
      </c>
      <c r="HE675" s="19">
        <v>28.5</v>
      </c>
      <c r="HF675" s="19">
        <v>15.3</v>
      </c>
      <c r="HG675" s="19">
        <v>17.3</v>
      </c>
      <c r="HH675" s="19">
        <v>15.6</v>
      </c>
      <c r="HI675" s="19">
        <v>16</v>
      </c>
      <c r="HJ675" s="19">
        <v>16.9</v>
      </c>
      <c r="HK675" s="19">
        <v>14.5</v>
      </c>
      <c r="HL675" s="19">
        <v>15.8</v>
      </c>
      <c r="HM675" s="19">
        <v>10.7</v>
      </c>
      <c r="HN675" s="19">
        <v>9.6</v>
      </c>
      <c r="HO675" s="19">
        <v>8.9</v>
      </c>
      <c r="HP675" s="19">
        <v>8.8</v>
      </c>
      <c r="HQ675" s="19">
        <v>10.3</v>
      </c>
      <c r="HR675" s="19">
        <v>9.8</v>
      </c>
      <c r="HS675" s="19">
        <v>10.1</v>
      </c>
      <c r="HT675" s="19">
        <v>11.3</v>
      </c>
      <c r="HU675" s="19">
        <v>11.6</v>
      </c>
      <c r="HV675" s="19">
        <v>11.8</v>
      </c>
      <c r="HW675" s="19">
        <v>10.5</v>
      </c>
      <c r="HX675" s="19">
        <v>9.5</v>
      </c>
      <c r="HY675" s="19">
        <v>8.7</v>
      </c>
      <c r="HZ675" s="19">
        <v>7.7</v>
      </c>
      <c r="IA675" s="19">
        <v>6.7</v>
      </c>
      <c r="IB675" s="19">
        <v>6.8</v>
      </c>
      <c r="IC675" s="19">
        <v>33.5</v>
      </c>
    </row>
    <row r="676">
      <c r="A676" s="2" t="s">
        <v>3041</v>
      </c>
      <c r="B676" s="2" t="s">
        <v>323</v>
      </c>
      <c r="C676" s="2" t="s">
        <v>980</v>
      </c>
      <c r="D676" s="2" t="s">
        <v>257</v>
      </c>
      <c r="E676" s="2" t="s">
        <v>258</v>
      </c>
      <c r="F676" s="2" t="s">
        <v>2905</v>
      </c>
      <c r="G676" s="2" t="s">
        <v>2905</v>
      </c>
      <c r="H676" s="2" t="s">
        <v>2905</v>
      </c>
      <c r="I676" s="2" t="s">
        <v>2906</v>
      </c>
      <c r="J676" s="2" t="s">
        <v>261</v>
      </c>
      <c r="K676" s="2" t="s">
        <v>3039</v>
      </c>
      <c r="L676" s="3">
        <v>24.3</v>
      </c>
      <c r="M676" s="3">
        <v>25.52</v>
      </c>
      <c r="N676" s="3">
        <v>54.99</v>
      </c>
      <c r="O676" s="2" t="s">
        <v>232</v>
      </c>
      <c r="P676" s="2" t="s">
        <v>878</v>
      </c>
      <c r="Q676" s="2" t="s">
        <v>234</v>
      </c>
      <c r="R676" s="2" t="s">
        <v>235</v>
      </c>
      <c r="S676" s="2" t="s">
        <v>235</v>
      </c>
      <c r="T676" s="2" t="s">
        <v>2908</v>
      </c>
      <c r="U676" s="2" t="s">
        <v>264</v>
      </c>
      <c r="V676" s="2" t="s">
        <v>2182</v>
      </c>
      <c r="W676" s="2" t="s">
        <v>329</v>
      </c>
      <c r="X676" s="2" t="s">
        <v>235</v>
      </c>
      <c r="Y676" s="2" t="s">
        <v>2909</v>
      </c>
      <c r="Z676" s="4">
        <v>441</v>
      </c>
      <c r="AA676" s="4">
        <f>=ROUNDDOWN({0},0)</f>
      </c>
      <c r="AB676" s="5"/>
      <c r="AC676" s="2" t="s">
        <v>2122</v>
      </c>
      <c r="AD676" s="4">
        <v>157</v>
      </c>
      <c r="AE676" s="4">
        <v>304</v>
      </c>
      <c r="AF676" s="6">
        <v>82</v>
      </c>
      <c r="AG676" s="6"/>
      <c r="AH676" s="7">
        <v>1</v>
      </c>
      <c r="AI676" s="4"/>
      <c r="AJ676" s="4">
        <f>=ROUNDDOWN({0},0)</f>
      </c>
      <c r="AK676" s="5"/>
      <c r="AL676" s="2" t="s">
        <v>235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235</v>
      </c>
      <c r="AW676" s="8" t="s">
        <v>235</v>
      </c>
      <c r="AX676" s="4" t="s">
        <v>235</v>
      </c>
      <c r="AY676" s="8" t="s">
        <v>235</v>
      </c>
      <c r="AZ676" s="7" t="s">
        <v>235</v>
      </c>
      <c r="BA676" s="7" t="s">
        <v>235</v>
      </c>
      <c r="BB676" s="7"/>
      <c r="BC676" s="4" t="s">
        <v>235</v>
      </c>
      <c r="BD676" s="8" t="s">
        <v>235</v>
      </c>
      <c r="BE676" s="4" t="s">
        <v>235</v>
      </c>
      <c r="BF676" s="8" t="s">
        <v>235</v>
      </c>
      <c r="BG676" s="7" t="s">
        <v>235</v>
      </c>
      <c r="BH676" s="7" t="s">
        <v>235</v>
      </c>
      <c r="BI676" s="7"/>
      <c r="BJ676" s="4"/>
      <c r="BK676" s="8"/>
      <c r="BL676" s="2" t="s">
        <v>235</v>
      </c>
      <c r="BM676" s="7"/>
      <c r="BN676" s="7"/>
      <c r="BO676" s="4"/>
      <c r="BP676" s="8"/>
      <c r="BQ676" s="4"/>
      <c r="BR676" s="8"/>
      <c r="BS676" s="7"/>
      <c r="BT676" s="7"/>
      <c r="BU676" s="2" t="s">
        <v>2910</v>
      </c>
      <c r="BV676" s="2" t="s">
        <v>235</v>
      </c>
      <c r="BW676" s="2" t="s">
        <v>235</v>
      </c>
      <c r="BX676" s="2" t="s">
        <v>244</v>
      </c>
      <c r="BY676" s="2" t="s">
        <v>245</v>
      </c>
      <c r="BZ676" s="2" t="s">
        <v>232</v>
      </c>
      <c r="CA676" s="2" t="s">
        <v>235</v>
      </c>
      <c r="CB676" s="2" t="s">
        <v>235</v>
      </c>
      <c r="CC676" s="2" t="s">
        <v>248</v>
      </c>
      <c r="CD676" s="2" t="s">
        <v>248</v>
      </c>
      <c r="CE676" s="2" t="s">
        <v>235</v>
      </c>
      <c r="CF676" s="4">
        <v>441</v>
      </c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>
        <v>157</v>
      </c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>
        <v>147</v>
      </c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>
        <v>441</v>
      </c>
      <c r="GE676" s="4">
        <v>404</v>
      </c>
      <c r="GF676" s="4">
        <v>396</v>
      </c>
      <c r="GG676" s="4">
        <v>541</v>
      </c>
      <c r="GH676" s="4">
        <v>525</v>
      </c>
      <c r="GI676" s="4">
        <v>499</v>
      </c>
      <c r="GJ676" s="4">
        <v>446</v>
      </c>
      <c r="GK676" s="4">
        <v>416</v>
      </c>
      <c r="GL676" s="4">
        <v>533</v>
      </c>
      <c r="GM676" s="4">
        <v>510</v>
      </c>
      <c r="GN676" s="4">
        <v>479</v>
      </c>
      <c r="GO676" s="4">
        <v>440</v>
      </c>
      <c r="GP676" s="4">
        <v>389</v>
      </c>
      <c r="GQ676" s="4">
        <v>296</v>
      </c>
      <c r="GR676" s="4">
        <v>251</v>
      </c>
      <c r="GS676" s="4">
        <v>207</v>
      </c>
      <c r="GT676" s="4">
        <v>177</v>
      </c>
      <c r="GU676" s="4">
        <v>154</v>
      </c>
      <c r="GV676" s="4">
        <v>128</v>
      </c>
      <c r="GW676" s="4">
        <v>109</v>
      </c>
      <c r="GX676" s="4">
        <v>94</v>
      </c>
      <c r="GY676" s="4">
        <v>82</v>
      </c>
      <c r="GZ676" s="4">
        <v>68</v>
      </c>
      <c r="HA676" s="4">
        <v>54</v>
      </c>
      <c r="HB676" s="4">
        <v>40</v>
      </c>
      <c r="HC676" s="4">
        <v>349</v>
      </c>
      <c r="HD676" s="19">
        <v>24.5</v>
      </c>
      <c r="HE676" s="19">
        <v>25.3</v>
      </c>
      <c r="HF676" s="19">
        <v>14.7</v>
      </c>
      <c r="HG676" s="19">
        <v>17.5</v>
      </c>
      <c r="HH676" s="19">
        <v>15</v>
      </c>
      <c r="HI676" s="19">
        <v>14.7</v>
      </c>
      <c r="HJ676" s="19">
        <v>15.9</v>
      </c>
      <c r="HK676" s="19">
        <v>13.4</v>
      </c>
      <c r="HL676" s="19">
        <v>14.8</v>
      </c>
      <c r="HM676" s="19">
        <v>9.4</v>
      </c>
      <c r="HN676" s="19">
        <v>8.4</v>
      </c>
      <c r="HO676" s="19">
        <v>7.6</v>
      </c>
      <c r="HP676" s="19">
        <v>7.3</v>
      </c>
      <c r="HQ676" s="19">
        <v>8.2</v>
      </c>
      <c r="HR676" s="19">
        <v>8.1</v>
      </c>
      <c r="HS676" s="19">
        <v>8.6</v>
      </c>
      <c r="HT676" s="19">
        <v>8.4</v>
      </c>
      <c r="HU676" s="19">
        <v>8.6</v>
      </c>
      <c r="HV676" s="19">
        <v>8.5</v>
      </c>
      <c r="HW676" s="19">
        <v>7.8</v>
      </c>
      <c r="HX676" s="19">
        <v>6.7</v>
      </c>
      <c r="HY676" s="19">
        <v>5.9</v>
      </c>
      <c r="HZ676" s="19">
        <v>5.2</v>
      </c>
      <c r="IA676" s="19">
        <v>4.5</v>
      </c>
      <c r="IB676" s="19">
        <v>3.3</v>
      </c>
      <c r="IC676" s="19">
        <v>34.9</v>
      </c>
    </row>
    <row r="677">
      <c r="A677" s="2" t="s">
        <v>3042</v>
      </c>
      <c r="B677" s="2" t="s">
        <v>323</v>
      </c>
      <c r="C677" s="2" t="s">
        <v>980</v>
      </c>
      <c r="D677" s="2" t="s">
        <v>257</v>
      </c>
      <c r="E677" s="2" t="s">
        <v>258</v>
      </c>
      <c r="F677" s="2" t="s">
        <v>2905</v>
      </c>
      <c r="G677" s="2" t="s">
        <v>2905</v>
      </c>
      <c r="H677" s="2" t="s">
        <v>2905</v>
      </c>
      <c r="I677" s="2" t="s">
        <v>2906</v>
      </c>
      <c r="J677" s="2" t="s">
        <v>270</v>
      </c>
      <c r="K677" s="2" t="s">
        <v>3039</v>
      </c>
      <c r="L677" s="3">
        <v>28.98</v>
      </c>
      <c r="M677" s="3">
        <v>30.43</v>
      </c>
      <c r="N677" s="3">
        <v>64.99</v>
      </c>
      <c r="O677" s="2" t="s">
        <v>232</v>
      </c>
      <c r="P677" s="2" t="s">
        <v>878</v>
      </c>
      <c r="Q677" s="2" t="s">
        <v>234</v>
      </c>
      <c r="R677" s="2" t="s">
        <v>235</v>
      </c>
      <c r="S677" s="2" t="s">
        <v>235</v>
      </c>
      <c r="T677" s="2" t="s">
        <v>2908</v>
      </c>
      <c r="U677" s="2" t="s">
        <v>264</v>
      </c>
      <c r="V677" s="2" t="s">
        <v>2182</v>
      </c>
      <c r="W677" s="2" t="s">
        <v>329</v>
      </c>
      <c r="X677" s="2" t="s">
        <v>235</v>
      </c>
      <c r="Y677" s="2" t="s">
        <v>2915</v>
      </c>
      <c r="Z677" s="4">
        <v>230</v>
      </c>
      <c r="AA677" s="4">
        <f>=ROUNDDOWN({0},0)</f>
      </c>
      <c r="AB677" s="5"/>
      <c r="AC677" s="2" t="s">
        <v>2122</v>
      </c>
      <c r="AD677" s="4">
        <v>79</v>
      </c>
      <c r="AE677" s="4">
        <v>156</v>
      </c>
      <c r="AF677" s="6">
        <v>82</v>
      </c>
      <c r="AG677" s="6"/>
      <c r="AH677" s="7">
        <v>1</v>
      </c>
      <c r="AI677" s="4"/>
      <c r="AJ677" s="4">
        <f>=ROUNDDOWN({0},0)</f>
      </c>
      <c r="AK677" s="5"/>
      <c r="AL677" s="2" t="s">
        <v>235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235</v>
      </c>
      <c r="AW677" s="8" t="s">
        <v>235</v>
      </c>
      <c r="AX677" s="4" t="s">
        <v>235</v>
      </c>
      <c r="AY677" s="8" t="s">
        <v>235</v>
      </c>
      <c r="AZ677" s="7" t="s">
        <v>235</v>
      </c>
      <c r="BA677" s="7" t="s">
        <v>235</v>
      </c>
      <c r="BB677" s="7"/>
      <c r="BC677" s="4" t="s">
        <v>235</v>
      </c>
      <c r="BD677" s="8" t="s">
        <v>235</v>
      </c>
      <c r="BE677" s="4" t="s">
        <v>235</v>
      </c>
      <c r="BF677" s="8" t="s">
        <v>235</v>
      </c>
      <c r="BG677" s="7" t="s">
        <v>235</v>
      </c>
      <c r="BH677" s="7" t="s">
        <v>235</v>
      </c>
      <c r="BI677" s="7"/>
      <c r="BJ677" s="4"/>
      <c r="BK677" s="8"/>
      <c r="BL677" s="2" t="s">
        <v>235</v>
      </c>
      <c r="BM677" s="7"/>
      <c r="BN677" s="7"/>
      <c r="BO677" s="4"/>
      <c r="BP677" s="8"/>
      <c r="BQ677" s="4"/>
      <c r="BR677" s="8"/>
      <c r="BS677" s="7"/>
      <c r="BT677" s="7"/>
      <c r="BU677" s="2" t="s">
        <v>2910</v>
      </c>
      <c r="BV677" s="2" t="s">
        <v>235</v>
      </c>
      <c r="BW677" s="2" t="s">
        <v>235</v>
      </c>
      <c r="BX677" s="2" t="s">
        <v>244</v>
      </c>
      <c r="BY677" s="2" t="s">
        <v>245</v>
      </c>
      <c r="BZ677" s="2" t="s">
        <v>232</v>
      </c>
      <c r="CA677" s="2" t="s">
        <v>235</v>
      </c>
      <c r="CB677" s="2" t="s">
        <v>235</v>
      </c>
      <c r="CC677" s="2" t="s">
        <v>248</v>
      </c>
      <c r="CD677" s="2" t="s">
        <v>248</v>
      </c>
      <c r="CE677" s="2" t="s">
        <v>235</v>
      </c>
      <c r="CF677" s="4">
        <v>230</v>
      </c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>
        <v>79</v>
      </c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>
        <v>77</v>
      </c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>
        <v>230</v>
      </c>
      <c r="GE677" s="4">
        <v>216</v>
      </c>
      <c r="GF677" s="4">
        <v>212</v>
      </c>
      <c r="GG677" s="4">
        <v>285</v>
      </c>
      <c r="GH677" s="4">
        <v>278</v>
      </c>
      <c r="GI677" s="4">
        <v>267</v>
      </c>
      <c r="GJ677" s="4">
        <v>243</v>
      </c>
      <c r="GK677" s="4">
        <v>229</v>
      </c>
      <c r="GL677" s="4">
        <v>293</v>
      </c>
      <c r="GM677" s="4">
        <v>283</v>
      </c>
      <c r="GN677" s="4">
        <v>268</v>
      </c>
      <c r="GO677" s="4">
        <v>249</v>
      </c>
      <c r="GP677" s="4">
        <v>224</v>
      </c>
      <c r="GQ677" s="4">
        <v>179</v>
      </c>
      <c r="GR677" s="4">
        <v>157</v>
      </c>
      <c r="GS677" s="4">
        <v>135</v>
      </c>
      <c r="GT677" s="4">
        <v>120</v>
      </c>
      <c r="GU677" s="4">
        <v>109</v>
      </c>
      <c r="GV677" s="4">
        <v>96</v>
      </c>
      <c r="GW677" s="4">
        <v>86</v>
      </c>
      <c r="GX677" s="4">
        <v>78</v>
      </c>
      <c r="GY677" s="4">
        <v>72</v>
      </c>
      <c r="GZ677" s="4">
        <v>65</v>
      </c>
      <c r="HA677" s="4">
        <v>58</v>
      </c>
      <c r="HB677" s="4">
        <v>51</v>
      </c>
      <c r="HC677" s="4">
        <v>172</v>
      </c>
      <c r="HD677" s="19">
        <v>28.8</v>
      </c>
      <c r="HE677" s="19">
        <v>30.9</v>
      </c>
      <c r="HF677" s="19">
        <v>17.7</v>
      </c>
      <c r="HG677" s="19">
        <v>20.4</v>
      </c>
      <c r="HH677" s="19">
        <v>17.4</v>
      </c>
      <c r="HI677" s="19">
        <v>17.8</v>
      </c>
      <c r="HJ677" s="19">
        <v>18.7</v>
      </c>
      <c r="HK677" s="19">
        <v>16.4</v>
      </c>
      <c r="HL677" s="19">
        <v>17.2</v>
      </c>
      <c r="HM677" s="19">
        <v>10.9</v>
      </c>
      <c r="HN677" s="19">
        <v>9.6</v>
      </c>
      <c r="HO677" s="19">
        <v>8.9</v>
      </c>
      <c r="HP677" s="19">
        <v>8.6</v>
      </c>
      <c r="HQ677" s="19">
        <v>9.9</v>
      </c>
      <c r="HR677" s="19">
        <v>10.5</v>
      </c>
      <c r="HS677" s="19">
        <v>11.3</v>
      </c>
      <c r="HT677" s="19">
        <v>12</v>
      </c>
      <c r="HU677" s="19">
        <v>12.1</v>
      </c>
      <c r="HV677" s="19">
        <v>12</v>
      </c>
      <c r="HW677" s="19">
        <v>12.3</v>
      </c>
      <c r="HX677" s="19">
        <v>11.1</v>
      </c>
      <c r="HY677" s="19">
        <v>10.3</v>
      </c>
      <c r="HZ677" s="19">
        <v>9.3</v>
      </c>
      <c r="IA677" s="19">
        <v>9.7</v>
      </c>
      <c r="IB677" s="19">
        <v>8.5</v>
      </c>
      <c r="IC677" s="19">
        <v>28.7</v>
      </c>
    </row>
    <row r="678">
      <c r="A678" s="2" t="s">
        <v>3043</v>
      </c>
      <c r="B678" s="2" t="s">
        <v>323</v>
      </c>
      <c r="C678" s="2" t="s">
        <v>980</v>
      </c>
      <c r="D678" s="2" t="s">
        <v>257</v>
      </c>
      <c r="E678" s="2" t="s">
        <v>258</v>
      </c>
      <c r="F678" s="2" t="s">
        <v>2905</v>
      </c>
      <c r="G678" s="2" t="s">
        <v>2905</v>
      </c>
      <c r="H678" s="2" t="s">
        <v>2905</v>
      </c>
      <c r="I678" s="2" t="s">
        <v>2906</v>
      </c>
      <c r="J678" s="2" t="s">
        <v>272</v>
      </c>
      <c r="K678" s="2" t="s">
        <v>3039</v>
      </c>
      <c r="L678" s="3">
        <v>28.98</v>
      </c>
      <c r="M678" s="3">
        <v>30.43</v>
      </c>
      <c r="N678" s="3">
        <v>64.99</v>
      </c>
      <c r="O678" s="2" t="s">
        <v>232</v>
      </c>
      <c r="P678" s="2" t="s">
        <v>878</v>
      </c>
      <c r="Q678" s="2" t="s">
        <v>234</v>
      </c>
      <c r="R678" s="2" t="s">
        <v>235</v>
      </c>
      <c r="S678" s="2" t="s">
        <v>235</v>
      </c>
      <c r="T678" s="2" t="s">
        <v>2908</v>
      </c>
      <c r="U678" s="2" t="s">
        <v>264</v>
      </c>
      <c r="V678" s="2" t="s">
        <v>2182</v>
      </c>
      <c r="W678" s="2" t="s">
        <v>329</v>
      </c>
      <c r="X678" s="2" t="s">
        <v>235</v>
      </c>
      <c r="Y678" s="2" t="s">
        <v>2915</v>
      </c>
      <c r="Z678" s="4">
        <v>105</v>
      </c>
      <c r="AA678" s="4">
        <f>=ROUNDDOWN({0},0)</f>
      </c>
      <c r="AB678" s="5"/>
      <c r="AC678" s="2" t="s">
        <v>2122</v>
      </c>
      <c r="AD678" s="4">
        <v>40</v>
      </c>
      <c r="AE678" s="4">
        <v>77</v>
      </c>
      <c r="AF678" s="6">
        <v>82</v>
      </c>
      <c r="AG678" s="6"/>
      <c r="AH678" s="7">
        <v>1</v>
      </c>
      <c r="AI678" s="4"/>
      <c r="AJ678" s="4">
        <f>=ROUNDDOWN({0},0)</f>
      </c>
      <c r="AK678" s="5"/>
      <c r="AL678" s="2" t="s">
        <v>235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235</v>
      </c>
      <c r="AW678" s="8" t="s">
        <v>235</v>
      </c>
      <c r="AX678" s="4" t="s">
        <v>235</v>
      </c>
      <c r="AY678" s="8" t="s">
        <v>235</v>
      </c>
      <c r="AZ678" s="7" t="s">
        <v>235</v>
      </c>
      <c r="BA678" s="7" t="s">
        <v>235</v>
      </c>
      <c r="BB678" s="7"/>
      <c r="BC678" s="4" t="s">
        <v>235</v>
      </c>
      <c r="BD678" s="8" t="s">
        <v>235</v>
      </c>
      <c r="BE678" s="4" t="s">
        <v>235</v>
      </c>
      <c r="BF678" s="8" t="s">
        <v>235</v>
      </c>
      <c r="BG678" s="7" t="s">
        <v>235</v>
      </c>
      <c r="BH678" s="7" t="s">
        <v>235</v>
      </c>
      <c r="BI678" s="7"/>
      <c r="BJ678" s="4"/>
      <c r="BK678" s="8"/>
      <c r="BL678" s="2" t="s">
        <v>235</v>
      </c>
      <c r="BM678" s="7"/>
      <c r="BN678" s="7"/>
      <c r="BO678" s="4"/>
      <c r="BP678" s="8"/>
      <c r="BQ678" s="4"/>
      <c r="BR678" s="8"/>
      <c r="BS678" s="7"/>
      <c r="BT678" s="7"/>
      <c r="BU678" s="2" t="s">
        <v>2910</v>
      </c>
      <c r="BV678" s="2" t="s">
        <v>235</v>
      </c>
      <c r="BW678" s="2" t="s">
        <v>235</v>
      </c>
      <c r="BX678" s="2" t="s">
        <v>244</v>
      </c>
      <c r="BY678" s="2" t="s">
        <v>245</v>
      </c>
      <c r="BZ678" s="2" t="s">
        <v>232</v>
      </c>
      <c r="CA678" s="2" t="s">
        <v>235</v>
      </c>
      <c r="CB678" s="2" t="s">
        <v>235</v>
      </c>
      <c r="CC678" s="2" t="s">
        <v>248</v>
      </c>
      <c r="CD678" s="2" t="s">
        <v>248</v>
      </c>
      <c r="CE678" s="2" t="s">
        <v>235</v>
      </c>
      <c r="CF678" s="4">
        <v>105</v>
      </c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>
        <v>40</v>
      </c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>
        <v>37</v>
      </c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>
        <v>105</v>
      </c>
      <c r="GE678" s="4">
        <v>101</v>
      </c>
      <c r="GF678" s="4">
        <v>100</v>
      </c>
      <c r="GG678" s="4">
        <v>138</v>
      </c>
      <c r="GH678" s="4">
        <v>136</v>
      </c>
      <c r="GI678" s="4">
        <v>132</v>
      </c>
      <c r="GJ678" s="4">
        <v>124</v>
      </c>
      <c r="GK678" s="4">
        <v>119</v>
      </c>
      <c r="GL678" s="4">
        <v>151</v>
      </c>
      <c r="GM678" s="4">
        <v>147</v>
      </c>
      <c r="GN678" s="4">
        <v>141</v>
      </c>
      <c r="GO678" s="4">
        <v>133</v>
      </c>
      <c r="GP678" s="4">
        <v>123</v>
      </c>
      <c r="GQ678" s="4">
        <v>103</v>
      </c>
      <c r="GR678" s="4">
        <v>93</v>
      </c>
      <c r="GS678" s="4">
        <v>84</v>
      </c>
      <c r="GT678" s="4">
        <v>78</v>
      </c>
      <c r="GU678" s="4">
        <v>73</v>
      </c>
      <c r="GV678" s="4">
        <v>67</v>
      </c>
      <c r="GW678" s="4">
        <v>63</v>
      </c>
      <c r="GX678" s="4">
        <v>60</v>
      </c>
      <c r="GY678" s="4">
        <v>57</v>
      </c>
      <c r="GZ678" s="4">
        <v>54</v>
      </c>
      <c r="HA678" s="4">
        <v>51</v>
      </c>
      <c r="HB678" s="4">
        <v>48</v>
      </c>
      <c r="HC678" s="4">
        <v>62</v>
      </c>
      <c r="HD678" s="19">
        <v>52.5</v>
      </c>
      <c r="HE678" s="19">
        <v>50.5</v>
      </c>
      <c r="HF678" s="19">
        <v>25</v>
      </c>
      <c r="HG678" s="19">
        <v>27.6</v>
      </c>
      <c r="HH678" s="19">
        <v>22.7</v>
      </c>
      <c r="HI678" s="19">
        <v>22</v>
      </c>
      <c r="HJ678" s="19">
        <v>24.8</v>
      </c>
      <c r="HK678" s="19">
        <v>19.8</v>
      </c>
      <c r="HL678" s="19">
        <v>21.6</v>
      </c>
      <c r="HM678" s="19">
        <v>13.4</v>
      </c>
      <c r="HN678" s="19">
        <v>11.8</v>
      </c>
      <c r="HO678" s="19">
        <v>11.1</v>
      </c>
      <c r="HP678" s="19">
        <v>11.2</v>
      </c>
      <c r="HQ678" s="19">
        <v>12.9</v>
      </c>
      <c r="HR678" s="19">
        <v>15.5</v>
      </c>
      <c r="HS678" s="19">
        <v>16.8</v>
      </c>
      <c r="HT678" s="19">
        <v>19.5</v>
      </c>
      <c r="HU678" s="19">
        <v>18.3</v>
      </c>
      <c r="HV678" s="19">
        <v>22.3</v>
      </c>
      <c r="HW678" s="19">
        <v>21</v>
      </c>
      <c r="HX678" s="19">
        <v>20</v>
      </c>
      <c r="HY678" s="19">
        <v>19</v>
      </c>
      <c r="HZ678" s="19">
        <v>18</v>
      </c>
      <c r="IA678" s="19">
        <v>17</v>
      </c>
      <c r="IB678" s="19">
        <v>16</v>
      </c>
      <c r="IC678" s="19">
        <v>31</v>
      </c>
    </row>
    <row r="679">
      <c r="A679" s="2" t="s">
        <v>3044</v>
      </c>
      <c r="B679" s="2" t="s">
        <v>323</v>
      </c>
      <c r="C679" s="2" t="s">
        <v>980</v>
      </c>
      <c r="D679" s="2" t="s">
        <v>257</v>
      </c>
      <c r="E679" s="2" t="s">
        <v>258</v>
      </c>
      <c r="F679" s="2" t="s">
        <v>2905</v>
      </c>
      <c r="G679" s="2" t="s">
        <v>2905</v>
      </c>
      <c r="H679" s="2" t="s">
        <v>2905</v>
      </c>
      <c r="I679" s="2" t="s">
        <v>405</v>
      </c>
      <c r="J679" s="2" t="s">
        <v>394</v>
      </c>
      <c r="K679" s="2" t="s">
        <v>3045</v>
      </c>
      <c r="L679" s="3">
        <v>19.8</v>
      </c>
      <c r="M679" s="3">
        <v>20.79</v>
      </c>
      <c r="N679" s="3">
        <v>44.99</v>
      </c>
      <c r="O679" s="2" t="s">
        <v>232</v>
      </c>
      <c r="P679" s="2" t="s">
        <v>233</v>
      </c>
      <c r="Q679" s="2" t="s">
        <v>234</v>
      </c>
      <c r="R679" s="2" t="s">
        <v>235</v>
      </c>
      <c r="S679" s="2" t="s">
        <v>3046</v>
      </c>
      <c r="T679" s="2" t="s">
        <v>2908</v>
      </c>
      <c r="U679" s="2" t="s">
        <v>552</v>
      </c>
      <c r="V679" s="2" t="s">
        <v>1222</v>
      </c>
      <c r="W679" s="2" t="s">
        <v>1798</v>
      </c>
      <c r="X679" s="2" t="s">
        <v>239</v>
      </c>
      <c r="Y679" s="2" t="s">
        <v>2953</v>
      </c>
      <c r="Z679" s="4">
        <v>1058</v>
      </c>
      <c r="AA679" s="4">
        <f>=ROUNDDOWN(75.5714285714286,0)</f>
      </c>
      <c r="AB679" s="5">
        <v>14</v>
      </c>
      <c r="AC679" s="2" t="s">
        <v>235</v>
      </c>
      <c r="AD679" s="4"/>
      <c r="AE679" s="4"/>
      <c r="AF679" s="6">
        <v>82</v>
      </c>
      <c r="AG679" s="6"/>
      <c r="AH679" s="7">
        <v>1</v>
      </c>
      <c r="AI679" s="4"/>
      <c r="AJ679" s="4">
        <f>=ROUNDDOWN({0},0)</f>
      </c>
      <c r="AK679" s="5"/>
      <c r="AL679" s="2" t="s">
        <v>235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235</v>
      </c>
      <c r="AW679" s="8" t="s">
        <v>235</v>
      </c>
      <c r="AX679" s="4" t="s">
        <v>235</v>
      </c>
      <c r="AY679" s="8" t="s">
        <v>235</v>
      </c>
      <c r="AZ679" s="7" t="s">
        <v>235</v>
      </c>
      <c r="BA679" s="7" t="s">
        <v>235</v>
      </c>
      <c r="BB679" s="7"/>
      <c r="BC679" s="4" t="s">
        <v>235</v>
      </c>
      <c r="BD679" s="8" t="s">
        <v>235</v>
      </c>
      <c r="BE679" s="4" t="s">
        <v>235</v>
      </c>
      <c r="BF679" s="8" t="s">
        <v>235</v>
      </c>
      <c r="BG679" s="7" t="s">
        <v>235</v>
      </c>
      <c r="BH679" s="7" t="s">
        <v>235</v>
      </c>
      <c r="BI679" s="7"/>
      <c r="BJ679" s="4">
        <v>12</v>
      </c>
      <c r="BK679" s="8">
        <v>271.49</v>
      </c>
      <c r="BL679" s="2" t="s">
        <v>2504</v>
      </c>
      <c r="BM679" s="7"/>
      <c r="BN679" s="7"/>
      <c r="BO679" s="4"/>
      <c r="BP679" s="8"/>
      <c r="BQ679" s="4"/>
      <c r="BR679" s="8"/>
      <c r="BS679" s="7"/>
      <c r="BT679" s="7"/>
      <c r="BU679" s="2" t="s">
        <v>2921</v>
      </c>
      <c r="BV679" s="2" t="s">
        <v>243</v>
      </c>
      <c r="BW679" s="2" t="s">
        <v>235</v>
      </c>
      <c r="BX679" s="2" t="s">
        <v>244</v>
      </c>
      <c r="BY679" s="2" t="s">
        <v>245</v>
      </c>
      <c r="BZ679" s="2" t="s">
        <v>232</v>
      </c>
      <c r="CA679" s="2" t="s">
        <v>2954</v>
      </c>
      <c r="CB679" s="2" t="s">
        <v>235</v>
      </c>
      <c r="CC679" s="2" t="s">
        <v>248</v>
      </c>
      <c r="CD679" s="2" t="s">
        <v>248</v>
      </c>
      <c r="CE679" s="2" t="s">
        <v>235</v>
      </c>
      <c r="CF679" s="4">
        <v>1058</v>
      </c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>
        <v>1082</v>
      </c>
      <c r="GE679" s="4">
        <v>1053</v>
      </c>
      <c r="GF679" s="4">
        <v>1048</v>
      </c>
      <c r="GG679" s="4">
        <v>1043</v>
      </c>
      <c r="GH679" s="4">
        <v>1038</v>
      </c>
      <c r="GI679" s="4">
        <v>1028</v>
      </c>
      <c r="GJ679" s="4">
        <v>1017</v>
      </c>
      <c r="GK679" s="4">
        <v>1001</v>
      </c>
      <c r="GL679" s="4">
        <v>985</v>
      </c>
      <c r="GM679" s="4">
        <v>971</v>
      </c>
      <c r="GN679" s="4">
        <v>952</v>
      </c>
      <c r="GO679" s="4">
        <v>929</v>
      </c>
      <c r="GP679" s="4">
        <v>896</v>
      </c>
      <c r="GQ679" s="4">
        <v>832</v>
      </c>
      <c r="GR679" s="4">
        <v>802</v>
      </c>
      <c r="GS679" s="4">
        <v>771</v>
      </c>
      <c r="GT679" s="4">
        <v>750</v>
      </c>
      <c r="GU679" s="4">
        <v>734</v>
      </c>
      <c r="GV679" s="4">
        <v>716</v>
      </c>
      <c r="GW679" s="4">
        <v>703</v>
      </c>
      <c r="GX679" s="4">
        <v>693</v>
      </c>
      <c r="GY679" s="4">
        <v>685</v>
      </c>
      <c r="GZ679" s="4">
        <v>676</v>
      </c>
      <c r="HA679" s="4">
        <v>667</v>
      </c>
      <c r="HB679" s="4">
        <v>658</v>
      </c>
      <c r="HC679" s="4">
        <v>649</v>
      </c>
      <c r="HD679" s="19">
        <v>98.4</v>
      </c>
      <c r="HE679" s="19">
        <v>175.5</v>
      </c>
      <c r="HF679" s="19">
        <v>131</v>
      </c>
      <c r="HG679" s="19">
        <v>104.3</v>
      </c>
      <c r="HH679" s="19">
        <v>79.8</v>
      </c>
      <c r="HI679" s="19">
        <v>73.4</v>
      </c>
      <c r="HJ679" s="19">
        <v>63.6</v>
      </c>
      <c r="HK679" s="19">
        <v>55.6</v>
      </c>
      <c r="HL679" s="19">
        <v>44.8</v>
      </c>
      <c r="HM679" s="19">
        <v>27.7</v>
      </c>
      <c r="HN679" s="19">
        <v>25.1</v>
      </c>
      <c r="HO679" s="19">
        <v>23.2</v>
      </c>
      <c r="HP679" s="19">
        <v>24.9</v>
      </c>
      <c r="HQ679" s="19">
        <v>34.7</v>
      </c>
      <c r="HR679" s="19">
        <v>36.5</v>
      </c>
      <c r="HS679" s="19">
        <v>45.4</v>
      </c>
      <c r="HT679" s="19">
        <v>53.6</v>
      </c>
      <c r="HU679" s="19">
        <v>61.2</v>
      </c>
      <c r="HV679" s="19">
        <v>71.6</v>
      </c>
      <c r="HW679" s="19">
        <v>78.1</v>
      </c>
      <c r="HX679" s="19">
        <v>77</v>
      </c>
      <c r="HY679" s="19">
        <v>76.1</v>
      </c>
      <c r="HZ679" s="19">
        <v>84.5</v>
      </c>
      <c r="IA679" s="19">
        <v>83.4</v>
      </c>
      <c r="IB679" s="19">
        <v>82.3</v>
      </c>
      <c r="IC679" s="19">
        <v>92.7</v>
      </c>
    </row>
    <row r="680">
      <c r="A680" s="2" t="s">
        <v>3047</v>
      </c>
      <c r="B680" s="2" t="s">
        <v>323</v>
      </c>
      <c r="C680" s="2" t="s">
        <v>980</v>
      </c>
      <c r="D680" s="2" t="s">
        <v>257</v>
      </c>
      <c r="E680" s="2" t="s">
        <v>258</v>
      </c>
      <c r="F680" s="2" t="s">
        <v>2905</v>
      </c>
      <c r="G680" s="2" t="s">
        <v>2905</v>
      </c>
      <c r="H680" s="2" t="s">
        <v>2905</v>
      </c>
      <c r="I680" s="2" t="s">
        <v>405</v>
      </c>
      <c r="J680" s="2" t="s">
        <v>250</v>
      </c>
      <c r="K680" s="2" t="s">
        <v>3045</v>
      </c>
      <c r="L680" s="3">
        <v>21.78</v>
      </c>
      <c r="M680" s="3">
        <v>22.87</v>
      </c>
      <c r="N680" s="3">
        <v>49.99</v>
      </c>
      <c r="O680" s="2" t="s">
        <v>232</v>
      </c>
      <c r="P680" s="2" t="s">
        <v>233</v>
      </c>
      <c r="Q680" s="2" t="s">
        <v>234</v>
      </c>
      <c r="R680" s="2" t="s">
        <v>235</v>
      </c>
      <c r="S680" s="2" t="s">
        <v>3046</v>
      </c>
      <c r="T680" s="2" t="s">
        <v>2908</v>
      </c>
      <c r="U680" s="2" t="s">
        <v>264</v>
      </c>
      <c r="V680" s="2" t="s">
        <v>1222</v>
      </c>
      <c r="W680" s="2" t="s">
        <v>1798</v>
      </c>
      <c r="X680" s="2" t="s">
        <v>239</v>
      </c>
      <c r="Y680" s="2" t="s">
        <v>2953</v>
      </c>
      <c r="Z680" s="4">
        <v>610</v>
      </c>
      <c r="AA680" s="4">
        <f>=ROUNDDOWN(35.8823529411765,0)</f>
      </c>
      <c r="AB680" s="5">
        <v>17</v>
      </c>
      <c r="AC680" s="2" t="s">
        <v>235</v>
      </c>
      <c r="AD680" s="4"/>
      <c r="AE680" s="4"/>
      <c r="AF680" s="6">
        <v>82</v>
      </c>
      <c r="AG680" s="6"/>
      <c r="AH680" s="7">
        <v>1</v>
      </c>
      <c r="AI680" s="4"/>
      <c r="AJ680" s="4">
        <f>=ROUNDDOWN({0},0)</f>
      </c>
      <c r="AK680" s="5"/>
      <c r="AL680" s="2" t="s">
        <v>235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235</v>
      </c>
      <c r="AW680" s="8" t="s">
        <v>235</v>
      </c>
      <c r="AX680" s="4" t="s">
        <v>235</v>
      </c>
      <c r="AY680" s="8" t="s">
        <v>235</v>
      </c>
      <c r="AZ680" s="7" t="s">
        <v>235</v>
      </c>
      <c r="BA680" s="7" t="s">
        <v>235</v>
      </c>
      <c r="BB680" s="7"/>
      <c r="BC680" s="4" t="s">
        <v>235</v>
      </c>
      <c r="BD680" s="8" t="s">
        <v>235</v>
      </c>
      <c r="BE680" s="4" t="s">
        <v>235</v>
      </c>
      <c r="BF680" s="8" t="s">
        <v>235</v>
      </c>
      <c r="BG680" s="7" t="s">
        <v>235</v>
      </c>
      <c r="BH680" s="7" t="s">
        <v>235</v>
      </c>
      <c r="BI680" s="7"/>
      <c r="BJ680" s="4">
        <v>20</v>
      </c>
      <c r="BK680" s="8">
        <v>492.34</v>
      </c>
      <c r="BL680" s="2" t="s">
        <v>3048</v>
      </c>
      <c r="BM680" s="7"/>
      <c r="BN680" s="7"/>
      <c r="BO680" s="4"/>
      <c r="BP680" s="8"/>
      <c r="BQ680" s="4"/>
      <c r="BR680" s="8"/>
      <c r="BS680" s="7"/>
      <c r="BT680" s="7"/>
      <c r="BU680" s="2" t="s">
        <v>2921</v>
      </c>
      <c r="BV680" s="2" t="s">
        <v>243</v>
      </c>
      <c r="BW680" s="2" t="s">
        <v>235</v>
      </c>
      <c r="BX680" s="2" t="s">
        <v>244</v>
      </c>
      <c r="BY680" s="2" t="s">
        <v>245</v>
      </c>
      <c r="BZ680" s="2" t="s">
        <v>232</v>
      </c>
      <c r="CA680" s="2" t="s">
        <v>2954</v>
      </c>
      <c r="CB680" s="2" t="s">
        <v>2125</v>
      </c>
      <c r="CC680" s="2" t="s">
        <v>248</v>
      </c>
      <c r="CD680" s="2" t="s">
        <v>248</v>
      </c>
      <c r="CE680" s="2" t="s">
        <v>235</v>
      </c>
      <c r="CF680" s="4">
        <v>610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>
        <v>614</v>
      </c>
      <c r="GE680" s="4">
        <v>584</v>
      </c>
      <c r="GF680" s="4">
        <v>575</v>
      </c>
      <c r="GG680" s="4">
        <v>564</v>
      </c>
      <c r="GH680" s="4">
        <v>552</v>
      </c>
      <c r="GI680" s="4">
        <v>531</v>
      </c>
      <c r="GJ680" s="4">
        <v>500</v>
      </c>
      <c r="GK680" s="4">
        <v>479</v>
      </c>
      <c r="GL680" s="4">
        <v>459</v>
      </c>
      <c r="GM680" s="4">
        <v>442</v>
      </c>
      <c r="GN680" s="4">
        <v>419</v>
      </c>
      <c r="GO680" s="4">
        <v>390</v>
      </c>
      <c r="GP680" s="4">
        <v>350</v>
      </c>
      <c r="GQ680" s="4">
        <v>274</v>
      </c>
      <c r="GR680" s="4">
        <v>237</v>
      </c>
      <c r="GS680" s="4">
        <v>199</v>
      </c>
      <c r="GT680" s="4">
        <v>173</v>
      </c>
      <c r="GU680" s="4">
        <v>153</v>
      </c>
      <c r="GV680" s="4">
        <v>131</v>
      </c>
      <c r="GW680" s="4">
        <v>115</v>
      </c>
      <c r="GX680" s="4">
        <v>102</v>
      </c>
      <c r="GY680" s="4">
        <v>92</v>
      </c>
      <c r="GZ680" s="4">
        <v>81</v>
      </c>
      <c r="HA680" s="4">
        <v>70</v>
      </c>
      <c r="HB680" s="4">
        <v>59</v>
      </c>
      <c r="HC680" s="4">
        <v>144</v>
      </c>
      <c r="HD680" s="19">
        <v>38.4</v>
      </c>
      <c r="HE680" s="19">
        <v>44.9</v>
      </c>
      <c r="HF680" s="19">
        <v>30.3</v>
      </c>
      <c r="HG680" s="19">
        <v>26.9</v>
      </c>
      <c r="HH680" s="19">
        <v>24</v>
      </c>
      <c r="HI680" s="19">
        <v>24.1</v>
      </c>
      <c r="HJ680" s="19">
        <v>25</v>
      </c>
      <c r="HK680" s="19">
        <v>21.8</v>
      </c>
      <c r="HL680" s="19">
        <v>17</v>
      </c>
      <c r="HM680" s="19">
        <v>10.5</v>
      </c>
      <c r="HN680" s="19">
        <v>9.1</v>
      </c>
      <c r="HO680" s="19">
        <v>8.1</v>
      </c>
      <c r="HP680" s="19">
        <v>8</v>
      </c>
      <c r="HQ680" s="19">
        <v>9.1</v>
      </c>
      <c r="HR680" s="19">
        <v>9.1</v>
      </c>
      <c r="HS680" s="19">
        <v>9.5</v>
      </c>
      <c r="HT680" s="19">
        <v>9.6</v>
      </c>
      <c r="HU680" s="19">
        <v>10.2</v>
      </c>
      <c r="HV680" s="19">
        <v>10.9</v>
      </c>
      <c r="HW680" s="19">
        <v>10.5</v>
      </c>
      <c r="HX680" s="19">
        <v>9.3</v>
      </c>
      <c r="HY680" s="19">
        <v>8.4</v>
      </c>
      <c r="HZ680" s="19">
        <v>8.1</v>
      </c>
      <c r="IA680" s="19">
        <v>7</v>
      </c>
      <c r="IB680" s="19">
        <v>6.6</v>
      </c>
      <c r="IC680" s="19">
        <v>18</v>
      </c>
    </row>
    <row r="681">
      <c r="A681" s="2" t="s">
        <v>3049</v>
      </c>
      <c r="B681" s="2" t="s">
        <v>323</v>
      </c>
      <c r="C681" s="2" t="s">
        <v>980</v>
      </c>
      <c r="D681" s="2" t="s">
        <v>257</v>
      </c>
      <c r="E681" s="2" t="s">
        <v>258</v>
      </c>
      <c r="F681" s="2" t="s">
        <v>2905</v>
      </c>
      <c r="G681" s="2" t="s">
        <v>2905</v>
      </c>
      <c r="H681" s="2" t="s">
        <v>2905</v>
      </c>
      <c r="I681" s="2" t="s">
        <v>405</v>
      </c>
      <c r="J681" s="2" t="s">
        <v>270</v>
      </c>
      <c r="K681" s="2" t="s">
        <v>3045</v>
      </c>
      <c r="L681" s="3">
        <v>28.98</v>
      </c>
      <c r="M681" s="3">
        <v>30.43</v>
      </c>
      <c r="N681" s="3">
        <v>64.99</v>
      </c>
      <c r="O681" s="2" t="s">
        <v>232</v>
      </c>
      <c r="P681" s="2" t="s">
        <v>698</v>
      </c>
      <c r="Q681" s="2" t="s">
        <v>234</v>
      </c>
      <c r="R681" s="2" t="s">
        <v>235</v>
      </c>
      <c r="S681" s="2" t="s">
        <v>3050</v>
      </c>
      <c r="T681" s="2" t="s">
        <v>2908</v>
      </c>
      <c r="U681" s="2" t="s">
        <v>235</v>
      </c>
      <c r="V681" s="2" t="s">
        <v>1222</v>
      </c>
      <c r="W681" s="2" t="s">
        <v>1798</v>
      </c>
      <c r="X681" s="2" t="s">
        <v>239</v>
      </c>
      <c r="Y681" s="2" t="s">
        <v>240</v>
      </c>
      <c r="Z681" s="4">
        <v>398</v>
      </c>
      <c r="AA681" s="4">
        <f>=ROUNDDOWN(9.47619047619048,0)</f>
      </c>
      <c r="AB681" s="5">
        <v>42</v>
      </c>
      <c r="AC681" s="2" t="s">
        <v>2122</v>
      </c>
      <c r="AD681" s="4">
        <v>167</v>
      </c>
      <c r="AE681" s="4">
        <v>1333</v>
      </c>
      <c r="AF681" s="6">
        <v>82</v>
      </c>
      <c r="AG681" s="6"/>
      <c r="AH681" s="7">
        <v>1</v>
      </c>
      <c r="AI681" s="4"/>
      <c r="AJ681" s="4">
        <f>=ROUNDDOWN({0},0)</f>
      </c>
      <c r="AK681" s="5"/>
      <c r="AL681" s="2" t="s">
        <v>235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235</v>
      </c>
      <c r="AW681" s="8" t="s">
        <v>235</v>
      </c>
      <c r="AX681" s="4" t="s">
        <v>235</v>
      </c>
      <c r="AY681" s="8" t="s">
        <v>235</v>
      </c>
      <c r="AZ681" s="7" t="s">
        <v>235</v>
      </c>
      <c r="BA681" s="7" t="s">
        <v>235</v>
      </c>
      <c r="BB681" s="7"/>
      <c r="BC681" s="4" t="s">
        <v>235</v>
      </c>
      <c r="BD681" s="8" t="s">
        <v>235</v>
      </c>
      <c r="BE681" s="4" t="s">
        <v>235</v>
      </c>
      <c r="BF681" s="8" t="s">
        <v>235</v>
      </c>
      <c r="BG681" s="7" t="s">
        <v>235</v>
      </c>
      <c r="BH681" s="7" t="s">
        <v>235</v>
      </c>
      <c r="BI681" s="7"/>
      <c r="BJ681" s="4">
        <v>9</v>
      </c>
      <c r="BK681" s="8">
        <v>300.06</v>
      </c>
      <c r="BL681" s="2" t="s">
        <v>3051</v>
      </c>
      <c r="BM681" s="7"/>
      <c r="BN681" s="7"/>
      <c r="BO681" s="4"/>
      <c r="BP681" s="8"/>
      <c r="BQ681" s="4"/>
      <c r="BR681" s="8"/>
      <c r="BS681" s="7"/>
      <c r="BT681" s="7"/>
      <c r="BU681" s="2" t="s">
        <v>2921</v>
      </c>
      <c r="BV681" s="2" t="s">
        <v>243</v>
      </c>
      <c r="BW681" s="2" t="s">
        <v>235</v>
      </c>
      <c r="BX681" s="2" t="s">
        <v>244</v>
      </c>
      <c r="BY681" s="2" t="s">
        <v>245</v>
      </c>
      <c r="BZ681" s="2" t="s">
        <v>232</v>
      </c>
      <c r="CA681" s="2" t="s">
        <v>1014</v>
      </c>
      <c r="CB681" s="2" t="s">
        <v>2974</v>
      </c>
      <c r="CC681" s="2" t="s">
        <v>248</v>
      </c>
      <c r="CD681" s="2" t="s">
        <v>248</v>
      </c>
      <c r="CE681" s="2" t="s">
        <v>235</v>
      </c>
      <c r="CF681" s="4">
        <v>398</v>
      </c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>
        <v>167</v>
      </c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>
        <v>448</v>
      </c>
      <c r="DY681" s="4"/>
      <c r="DZ681" s="4"/>
      <c r="EA681" s="4"/>
      <c r="EB681" s="4"/>
      <c r="EC681" s="4"/>
      <c r="ED681" s="4">
        <v>481</v>
      </c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>
        <v>237</v>
      </c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>
        <v>399</v>
      </c>
      <c r="GE681" s="4">
        <v>269</v>
      </c>
      <c r="GF681" s="4">
        <v>237</v>
      </c>
      <c r="GG681" s="4">
        <v>359</v>
      </c>
      <c r="GH681" s="4">
        <v>306</v>
      </c>
      <c r="GI681" s="4">
        <v>220</v>
      </c>
      <c r="GJ681" s="4">
        <v>517</v>
      </c>
      <c r="GK681" s="4">
        <v>435</v>
      </c>
      <c r="GL681" s="4">
        <v>836</v>
      </c>
      <c r="GM681" s="4">
        <v>777</v>
      </c>
      <c r="GN681" s="4">
        <v>716</v>
      </c>
      <c r="GO681" s="4">
        <v>879</v>
      </c>
      <c r="GP681" s="4">
        <v>791</v>
      </c>
      <c r="GQ681" s="4">
        <v>644</v>
      </c>
      <c r="GR681" s="4">
        <v>570</v>
      </c>
      <c r="GS681" s="4">
        <v>496</v>
      </c>
      <c r="GT681" s="4">
        <v>443</v>
      </c>
      <c r="GU681" s="4">
        <v>401</v>
      </c>
      <c r="GV681" s="4">
        <v>354</v>
      </c>
      <c r="GW681" s="4">
        <v>320</v>
      </c>
      <c r="GX681" s="4">
        <v>292</v>
      </c>
      <c r="GY681" s="4">
        <v>268</v>
      </c>
      <c r="GZ681" s="4">
        <v>242</v>
      </c>
      <c r="HA681" s="4">
        <v>216</v>
      </c>
      <c r="HB681" s="4">
        <v>190</v>
      </c>
      <c r="HC681" s="4">
        <v>402</v>
      </c>
      <c r="HD681" s="19">
        <v>6.1</v>
      </c>
      <c r="HE681" s="19">
        <v>5</v>
      </c>
      <c r="HF681" s="19">
        <v>2.8</v>
      </c>
      <c r="HG681" s="19">
        <v>3.9</v>
      </c>
      <c r="HH681" s="19">
        <v>3.1</v>
      </c>
      <c r="HI681" s="19">
        <v>2.4</v>
      </c>
      <c r="HJ681" s="19">
        <v>7.4</v>
      </c>
      <c r="HK681" s="19">
        <v>6.4</v>
      </c>
      <c r="HL681" s="19">
        <v>11.9</v>
      </c>
      <c r="HM681" s="19">
        <v>8.4</v>
      </c>
      <c r="HN681" s="19">
        <v>7.5</v>
      </c>
      <c r="HO681" s="19">
        <v>9.2</v>
      </c>
      <c r="HP681" s="19">
        <v>9.1</v>
      </c>
      <c r="HQ681" s="19">
        <v>10.6</v>
      </c>
      <c r="HR681" s="19">
        <v>10.6</v>
      </c>
      <c r="HS681" s="19">
        <v>11.3</v>
      </c>
      <c r="HT681" s="19">
        <v>11.7</v>
      </c>
      <c r="HU681" s="19">
        <v>12.2</v>
      </c>
      <c r="HV681" s="19">
        <v>12.6</v>
      </c>
      <c r="HW681" s="19">
        <v>12.3</v>
      </c>
      <c r="HX681" s="19">
        <v>11.2</v>
      </c>
      <c r="HY681" s="19">
        <v>10.3</v>
      </c>
      <c r="HZ681" s="19">
        <v>9.7</v>
      </c>
      <c r="IA681" s="19">
        <v>9</v>
      </c>
      <c r="IB681" s="19">
        <v>8.6</v>
      </c>
      <c r="IC681" s="19">
        <v>20.1</v>
      </c>
    </row>
    <row r="682">
      <c r="A682" s="2" t="s">
        <v>3052</v>
      </c>
      <c r="B682" s="2" t="s">
        <v>323</v>
      </c>
      <c r="C682" s="2" t="s">
        <v>980</v>
      </c>
      <c r="D682" s="2" t="s">
        <v>257</v>
      </c>
      <c r="E682" s="2" t="s">
        <v>258</v>
      </c>
      <c r="F682" s="2" t="s">
        <v>2905</v>
      </c>
      <c r="G682" s="2" t="s">
        <v>2905</v>
      </c>
      <c r="H682" s="2" t="s">
        <v>2905</v>
      </c>
      <c r="I682" s="2" t="s">
        <v>405</v>
      </c>
      <c r="J682" s="2" t="s">
        <v>272</v>
      </c>
      <c r="K682" s="2" t="s">
        <v>3045</v>
      </c>
      <c r="L682" s="3">
        <v>28.98</v>
      </c>
      <c r="M682" s="3">
        <v>30.43</v>
      </c>
      <c r="N682" s="3">
        <v>64.99</v>
      </c>
      <c r="O682" s="2" t="s">
        <v>232</v>
      </c>
      <c r="P682" s="2" t="s">
        <v>233</v>
      </c>
      <c r="Q682" s="2" t="s">
        <v>234</v>
      </c>
      <c r="R682" s="2" t="s">
        <v>235</v>
      </c>
      <c r="S682" s="2" t="s">
        <v>3050</v>
      </c>
      <c r="T682" s="2" t="s">
        <v>2908</v>
      </c>
      <c r="U682" s="2" t="s">
        <v>235</v>
      </c>
      <c r="V682" s="2" t="s">
        <v>1222</v>
      </c>
      <c r="W682" s="2" t="s">
        <v>1798</v>
      </c>
      <c r="X682" s="2" t="s">
        <v>239</v>
      </c>
      <c r="Y682" s="2" t="s">
        <v>3053</v>
      </c>
      <c r="Z682" s="4">
        <v>202</v>
      </c>
      <c r="AA682" s="4">
        <f>=ROUNDDOWN(15.5384615384615,0)</f>
      </c>
      <c r="AB682" s="5">
        <v>13</v>
      </c>
      <c r="AC682" s="2" t="s">
        <v>2122</v>
      </c>
      <c r="AD682" s="4">
        <v>116</v>
      </c>
      <c r="AE682" s="4">
        <v>366</v>
      </c>
      <c r="AF682" s="6">
        <v>82</v>
      </c>
      <c r="AG682" s="6"/>
      <c r="AH682" s="7">
        <v>1</v>
      </c>
      <c r="AI682" s="4"/>
      <c r="AJ682" s="4">
        <f>=ROUNDDOWN({0},0)</f>
      </c>
      <c r="AK682" s="5"/>
      <c r="AL682" s="2" t="s">
        <v>235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235</v>
      </c>
      <c r="AW682" s="8" t="s">
        <v>235</v>
      </c>
      <c r="AX682" s="4" t="s">
        <v>235</v>
      </c>
      <c r="AY682" s="8" t="s">
        <v>235</v>
      </c>
      <c r="AZ682" s="7" t="s">
        <v>235</v>
      </c>
      <c r="BA682" s="7" t="s">
        <v>235</v>
      </c>
      <c r="BB682" s="7"/>
      <c r="BC682" s="4" t="s">
        <v>235</v>
      </c>
      <c r="BD682" s="8" t="s">
        <v>235</v>
      </c>
      <c r="BE682" s="4" t="s">
        <v>235</v>
      </c>
      <c r="BF682" s="8" t="s">
        <v>235</v>
      </c>
      <c r="BG682" s="7" t="s">
        <v>235</v>
      </c>
      <c r="BH682" s="7" t="s">
        <v>235</v>
      </c>
      <c r="BI682" s="7"/>
      <c r="BJ682" s="4">
        <v>8</v>
      </c>
      <c r="BK682" s="8">
        <v>264.56</v>
      </c>
      <c r="BL682" s="2" t="s">
        <v>3054</v>
      </c>
      <c r="BM682" s="7"/>
      <c r="BN682" s="7"/>
      <c r="BO682" s="4"/>
      <c r="BP682" s="8"/>
      <c r="BQ682" s="4"/>
      <c r="BR682" s="8"/>
      <c r="BS682" s="7"/>
      <c r="BT682" s="7"/>
      <c r="BU682" s="2" t="s">
        <v>2921</v>
      </c>
      <c r="BV682" s="2" t="s">
        <v>243</v>
      </c>
      <c r="BW682" s="2" t="s">
        <v>235</v>
      </c>
      <c r="BX682" s="2" t="s">
        <v>244</v>
      </c>
      <c r="BY682" s="2" t="s">
        <v>245</v>
      </c>
      <c r="BZ682" s="2" t="s">
        <v>232</v>
      </c>
      <c r="CA682" s="2" t="s">
        <v>1014</v>
      </c>
      <c r="CB682" s="2" t="s">
        <v>3055</v>
      </c>
      <c r="CC682" s="2" t="s">
        <v>248</v>
      </c>
      <c r="CD682" s="2" t="s">
        <v>248</v>
      </c>
      <c r="CE682" s="2" t="s">
        <v>235</v>
      </c>
      <c r="CF682" s="4">
        <v>202</v>
      </c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>
        <v>116</v>
      </c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>
        <v>169</v>
      </c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>
        <v>81</v>
      </c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>
        <v>202</v>
      </c>
      <c r="GE682" s="4">
        <v>173</v>
      </c>
      <c r="GF682" s="4">
        <v>164</v>
      </c>
      <c r="GG682" s="4">
        <v>269</v>
      </c>
      <c r="GH682" s="4">
        <v>256</v>
      </c>
      <c r="GI682" s="4">
        <v>235</v>
      </c>
      <c r="GJ682" s="4">
        <v>201</v>
      </c>
      <c r="GK682" s="4">
        <v>180</v>
      </c>
      <c r="GL682" s="4">
        <v>329</v>
      </c>
      <c r="GM682" s="4">
        <v>313</v>
      </c>
      <c r="GN682" s="4">
        <v>294</v>
      </c>
      <c r="GO682" s="4">
        <v>351</v>
      </c>
      <c r="GP682" s="4">
        <v>319</v>
      </c>
      <c r="GQ682" s="4">
        <v>260</v>
      </c>
      <c r="GR682" s="4">
        <v>232</v>
      </c>
      <c r="GS682" s="4">
        <v>204</v>
      </c>
      <c r="GT682" s="4">
        <v>185</v>
      </c>
      <c r="GU682" s="4">
        <v>170</v>
      </c>
      <c r="GV682" s="4">
        <v>153</v>
      </c>
      <c r="GW682" s="4">
        <v>141</v>
      </c>
      <c r="GX682" s="4">
        <v>132</v>
      </c>
      <c r="GY682" s="4">
        <v>125</v>
      </c>
      <c r="GZ682" s="4">
        <v>117</v>
      </c>
      <c r="HA682" s="4">
        <v>109</v>
      </c>
      <c r="HB682" s="4">
        <v>101</v>
      </c>
      <c r="HC682" s="4">
        <v>123</v>
      </c>
      <c r="HD682" s="19">
        <v>12.6</v>
      </c>
      <c r="HE682" s="19">
        <v>12.4</v>
      </c>
      <c r="HF682" s="19">
        <v>8.2</v>
      </c>
      <c r="HG682" s="19">
        <v>12.2</v>
      </c>
      <c r="HH682" s="19">
        <v>10.7</v>
      </c>
      <c r="HI682" s="19">
        <v>10.2</v>
      </c>
      <c r="HJ682" s="19">
        <v>10.6</v>
      </c>
      <c r="HK682" s="19">
        <v>9</v>
      </c>
      <c r="HL682" s="19">
        <v>14.3</v>
      </c>
      <c r="HM682" s="19">
        <v>9.2</v>
      </c>
      <c r="HN682" s="19">
        <v>8.2</v>
      </c>
      <c r="HO682" s="19">
        <v>9.5</v>
      </c>
      <c r="HP682" s="19">
        <v>9.4</v>
      </c>
      <c r="HQ682" s="19">
        <v>11.8</v>
      </c>
      <c r="HR682" s="19">
        <v>11.6</v>
      </c>
      <c r="HS682" s="19">
        <v>12.8</v>
      </c>
      <c r="HT682" s="19">
        <v>14.2</v>
      </c>
      <c r="HU682" s="19">
        <v>15.5</v>
      </c>
      <c r="HV682" s="19">
        <v>17</v>
      </c>
      <c r="HW682" s="19">
        <v>17.6</v>
      </c>
      <c r="HX682" s="19">
        <v>16.5</v>
      </c>
      <c r="HY682" s="19">
        <v>15.6</v>
      </c>
      <c r="HZ682" s="19">
        <v>14.6</v>
      </c>
      <c r="IA682" s="19">
        <v>13.6</v>
      </c>
      <c r="IB682" s="19">
        <v>14.4</v>
      </c>
      <c r="IC682" s="19">
        <v>17.6</v>
      </c>
    </row>
    <row r="683">
      <c r="A683" s="2" t="s">
        <v>3056</v>
      </c>
      <c r="B683" s="2" t="s">
        <v>323</v>
      </c>
      <c r="C683" s="2" t="s">
        <v>980</v>
      </c>
      <c r="D683" s="2" t="s">
        <v>257</v>
      </c>
      <c r="E683" s="2" t="s">
        <v>258</v>
      </c>
      <c r="F683" s="2" t="s">
        <v>2905</v>
      </c>
      <c r="G683" s="2" t="s">
        <v>2905</v>
      </c>
      <c r="H683" s="2" t="s">
        <v>2905</v>
      </c>
      <c r="I683" s="2" t="s">
        <v>405</v>
      </c>
      <c r="J683" s="2" t="s">
        <v>272</v>
      </c>
      <c r="K683" s="2" t="s">
        <v>3057</v>
      </c>
      <c r="L683" s="3">
        <v>28.98</v>
      </c>
      <c r="M683" s="3">
        <v>30.43</v>
      </c>
      <c r="N683" s="3">
        <v>64.99</v>
      </c>
      <c r="O683" s="2" t="s">
        <v>232</v>
      </c>
      <c r="P683" s="2" t="s">
        <v>233</v>
      </c>
      <c r="Q683" s="2" t="s">
        <v>234</v>
      </c>
      <c r="R683" s="2" t="s">
        <v>235</v>
      </c>
      <c r="S683" s="2" t="s">
        <v>2945</v>
      </c>
      <c r="T683" s="2" t="s">
        <v>2908</v>
      </c>
      <c r="U683" s="2" t="s">
        <v>264</v>
      </c>
      <c r="V683" s="2" t="s">
        <v>2182</v>
      </c>
      <c r="W683" s="2" t="s">
        <v>1798</v>
      </c>
      <c r="X683" s="2" t="s">
        <v>239</v>
      </c>
      <c r="Y683" s="2" t="s">
        <v>2946</v>
      </c>
      <c r="Z683" s="4">
        <v>217</v>
      </c>
      <c r="AA683" s="4">
        <f>=ROUNDDOWN(43.4,0)</f>
      </c>
      <c r="AB683" s="5">
        <v>5</v>
      </c>
      <c r="AC683" s="2" t="s">
        <v>235</v>
      </c>
      <c r="AD683" s="4"/>
      <c r="AE683" s="4"/>
      <c r="AF683" s="6">
        <v>78</v>
      </c>
      <c r="AG683" s="6"/>
      <c r="AH683" s="7">
        <v>1</v>
      </c>
      <c r="AI683" s="4"/>
      <c r="AJ683" s="4">
        <f>=ROUNDDOWN({0},0)</f>
      </c>
      <c r="AK683" s="5"/>
      <c r="AL683" s="2" t="s">
        <v>235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235</v>
      </c>
      <c r="BD683" s="8" t="s">
        <v>235</v>
      </c>
      <c r="BE683" s="4" t="s">
        <v>235</v>
      </c>
      <c r="BF683" s="8" t="s">
        <v>235</v>
      </c>
      <c r="BG683" s="7" t="s">
        <v>235</v>
      </c>
      <c r="BH683" s="7" t="s">
        <v>235</v>
      </c>
      <c r="BI683" s="7"/>
      <c r="BJ683" s="4"/>
      <c r="BK683" s="8"/>
      <c r="BL683" s="2" t="s">
        <v>3058</v>
      </c>
      <c r="BM683" s="7"/>
      <c r="BN683" s="7"/>
      <c r="BO683" s="4"/>
      <c r="BP683" s="8"/>
      <c r="BQ683" s="4"/>
      <c r="BR683" s="8"/>
      <c r="BS683" s="7"/>
      <c r="BT683" s="7"/>
      <c r="BU683" s="2" t="s">
        <v>2921</v>
      </c>
      <c r="BV683" s="2" t="s">
        <v>243</v>
      </c>
      <c r="BW683" s="2" t="s">
        <v>235</v>
      </c>
      <c r="BX683" s="2" t="s">
        <v>244</v>
      </c>
      <c r="BY683" s="2" t="s">
        <v>245</v>
      </c>
      <c r="BZ683" s="2" t="s">
        <v>232</v>
      </c>
      <c r="CA683" s="2" t="s">
        <v>2948</v>
      </c>
      <c r="CB683" s="2" t="s">
        <v>3023</v>
      </c>
      <c r="CC683" s="2" t="s">
        <v>248</v>
      </c>
      <c r="CD683" s="2" t="s">
        <v>248</v>
      </c>
      <c r="CE683" s="2" t="s">
        <v>235</v>
      </c>
      <c r="CF683" s="4">
        <v>182</v>
      </c>
      <c r="CG683" s="4">
        <v>35</v>
      </c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>
        <v>217</v>
      </c>
      <c r="GE683" s="4">
        <v>207</v>
      </c>
      <c r="GF683" s="4">
        <v>204</v>
      </c>
      <c r="GG683" s="4">
        <v>200</v>
      </c>
      <c r="GH683" s="4">
        <v>196</v>
      </c>
      <c r="GI683" s="4">
        <v>190</v>
      </c>
      <c r="GJ683" s="4">
        <v>181</v>
      </c>
      <c r="GK683" s="4">
        <v>175</v>
      </c>
      <c r="GL683" s="4">
        <v>169</v>
      </c>
      <c r="GM683" s="4">
        <v>164</v>
      </c>
      <c r="GN683" s="4">
        <v>158</v>
      </c>
      <c r="GO683" s="4">
        <v>150</v>
      </c>
      <c r="GP683" s="4">
        <v>140</v>
      </c>
      <c r="GQ683" s="4">
        <v>120</v>
      </c>
      <c r="GR683" s="4">
        <v>110</v>
      </c>
      <c r="GS683" s="4">
        <v>101</v>
      </c>
      <c r="GT683" s="4">
        <v>95</v>
      </c>
      <c r="GU683" s="4">
        <v>90</v>
      </c>
      <c r="GV683" s="4">
        <v>84</v>
      </c>
      <c r="GW683" s="4">
        <v>80</v>
      </c>
      <c r="GX683" s="4">
        <v>77</v>
      </c>
      <c r="GY683" s="4">
        <v>100</v>
      </c>
      <c r="GZ683" s="4">
        <v>97</v>
      </c>
      <c r="HA683" s="4">
        <v>94</v>
      </c>
      <c r="HB683" s="4">
        <v>91</v>
      </c>
      <c r="HC683" s="4">
        <v>88</v>
      </c>
      <c r="HD683" s="19">
        <v>43.4</v>
      </c>
      <c r="HE683" s="19">
        <v>51.8</v>
      </c>
      <c r="HF683" s="19">
        <v>34</v>
      </c>
      <c r="HG683" s="19">
        <v>33.3</v>
      </c>
      <c r="HH683" s="19">
        <v>28</v>
      </c>
      <c r="HI683" s="19">
        <v>31.7</v>
      </c>
      <c r="HJ683" s="19">
        <v>30.2</v>
      </c>
      <c r="HK683" s="19">
        <v>29.2</v>
      </c>
      <c r="HL683" s="19">
        <v>24.1</v>
      </c>
      <c r="HM683" s="19">
        <v>14.9</v>
      </c>
      <c r="HN683" s="19">
        <v>13.2</v>
      </c>
      <c r="HO683" s="19">
        <v>12.5</v>
      </c>
      <c r="HP683" s="19">
        <v>12.7</v>
      </c>
      <c r="HQ683" s="19">
        <v>15</v>
      </c>
      <c r="HR683" s="19">
        <v>18.3</v>
      </c>
      <c r="HS683" s="19">
        <v>20.2</v>
      </c>
      <c r="HT683" s="19">
        <v>23.8</v>
      </c>
      <c r="HU683" s="19">
        <v>22.5</v>
      </c>
      <c r="HV683" s="19">
        <v>28</v>
      </c>
      <c r="HW683" s="19">
        <v>26.7</v>
      </c>
      <c r="HX683" s="19">
        <v>25.7</v>
      </c>
      <c r="HY683" s="19">
        <v>33.3</v>
      </c>
      <c r="HZ683" s="19">
        <v>32.3</v>
      </c>
      <c r="IA683" s="19">
        <v>31.3</v>
      </c>
      <c r="IB683" s="19">
        <v>30.3</v>
      </c>
      <c r="IC683" s="19">
        <v>29.3</v>
      </c>
    </row>
    <row r="684">
      <c r="A684" s="2" t="s">
        <v>3059</v>
      </c>
      <c r="B684" s="2" t="s">
        <v>323</v>
      </c>
      <c r="C684" s="2" t="s">
        <v>980</v>
      </c>
      <c r="D684" s="2" t="s">
        <v>257</v>
      </c>
      <c r="E684" s="2" t="s">
        <v>258</v>
      </c>
      <c r="F684" s="2" t="s">
        <v>2905</v>
      </c>
      <c r="G684" s="2" t="s">
        <v>2905</v>
      </c>
      <c r="H684" s="2" t="s">
        <v>2905</v>
      </c>
      <c r="I684" s="2" t="s">
        <v>2906</v>
      </c>
      <c r="J684" s="2" t="s">
        <v>394</v>
      </c>
      <c r="K684" s="2" t="s">
        <v>3060</v>
      </c>
      <c r="L684" s="3">
        <v>19.8</v>
      </c>
      <c r="M684" s="3">
        <v>20.79</v>
      </c>
      <c r="N684" s="3">
        <v>44.99</v>
      </c>
      <c r="O684" s="2" t="s">
        <v>232</v>
      </c>
      <c r="P684" s="2" t="s">
        <v>878</v>
      </c>
      <c r="Q684" s="2" t="s">
        <v>234</v>
      </c>
      <c r="R684" s="2" t="s">
        <v>235</v>
      </c>
      <c r="S684" s="2" t="s">
        <v>235</v>
      </c>
      <c r="T684" s="2" t="s">
        <v>2908</v>
      </c>
      <c r="U684" s="2" t="s">
        <v>552</v>
      </c>
      <c r="V684" s="2" t="s">
        <v>2182</v>
      </c>
      <c r="W684" s="2" t="s">
        <v>329</v>
      </c>
      <c r="X684" s="2" t="s">
        <v>235</v>
      </c>
      <c r="Y684" s="2" t="s">
        <v>2909</v>
      </c>
      <c r="Z684" s="4">
        <v>119</v>
      </c>
      <c r="AA684" s="4">
        <f>=ROUNDDOWN(23.8,0)</f>
      </c>
      <c r="AB684" s="5">
        <v>5</v>
      </c>
      <c r="AC684" s="2" t="s">
        <v>163</v>
      </c>
      <c r="AD684" s="4">
        <v>44</v>
      </c>
      <c r="AE684" s="4">
        <v>79</v>
      </c>
      <c r="AF684" s="6">
        <v>82</v>
      </c>
      <c r="AG684" s="6"/>
      <c r="AH684" s="7">
        <v>1</v>
      </c>
      <c r="AI684" s="4"/>
      <c r="AJ684" s="4">
        <f>=ROUNDDOWN({0},0)</f>
      </c>
      <c r="AK684" s="5"/>
      <c r="AL684" s="2" t="s">
        <v>235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235</v>
      </c>
      <c r="AW684" s="8" t="s">
        <v>235</v>
      </c>
      <c r="AX684" s="4" t="s">
        <v>235</v>
      </c>
      <c r="AY684" s="8" t="s">
        <v>235</v>
      </c>
      <c r="AZ684" s="7" t="s">
        <v>235</v>
      </c>
      <c r="BA684" s="7" t="s">
        <v>235</v>
      </c>
      <c r="BB684" s="7"/>
      <c r="BC684" s="4" t="s">
        <v>235</v>
      </c>
      <c r="BD684" s="8" t="s">
        <v>235</v>
      </c>
      <c r="BE684" s="4" t="s">
        <v>235</v>
      </c>
      <c r="BF684" s="8" t="s">
        <v>235</v>
      </c>
      <c r="BG684" s="7" t="s">
        <v>235</v>
      </c>
      <c r="BH684" s="7" t="s">
        <v>235</v>
      </c>
      <c r="BI684" s="7"/>
      <c r="BJ684" s="4"/>
      <c r="BK684" s="8"/>
      <c r="BL684" s="2" t="s">
        <v>235</v>
      </c>
      <c r="BM684" s="7"/>
      <c r="BN684" s="7"/>
      <c r="BO684" s="4"/>
      <c r="BP684" s="8"/>
      <c r="BQ684" s="4"/>
      <c r="BR684" s="8"/>
      <c r="BS684" s="7"/>
      <c r="BT684" s="7"/>
      <c r="BU684" s="2" t="s">
        <v>2910</v>
      </c>
      <c r="BV684" s="2" t="s">
        <v>235</v>
      </c>
      <c r="BW684" s="2" t="s">
        <v>235</v>
      </c>
      <c r="BX684" s="2" t="s">
        <v>244</v>
      </c>
      <c r="BY684" s="2" t="s">
        <v>245</v>
      </c>
      <c r="BZ684" s="2" t="s">
        <v>232</v>
      </c>
      <c r="CA684" s="2" t="s">
        <v>235</v>
      </c>
      <c r="CB684" s="2" t="s">
        <v>235</v>
      </c>
      <c r="CC684" s="2" t="s">
        <v>248</v>
      </c>
      <c r="CD684" s="2" t="s">
        <v>248</v>
      </c>
      <c r="CE684" s="2" t="s">
        <v>235</v>
      </c>
      <c r="CF684" s="4">
        <v>119</v>
      </c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>
        <v>44</v>
      </c>
      <c r="DY684" s="4"/>
      <c r="DZ684" s="4"/>
      <c r="EA684" s="4"/>
      <c r="EB684" s="4"/>
      <c r="EC684" s="4"/>
      <c r="ED684" s="4">
        <v>35</v>
      </c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>
        <v>119</v>
      </c>
      <c r="GE684" s="4">
        <v>107</v>
      </c>
      <c r="GF684" s="4">
        <v>105</v>
      </c>
      <c r="GG684" s="4">
        <v>102</v>
      </c>
      <c r="GH684" s="4">
        <v>98</v>
      </c>
      <c r="GI684" s="4">
        <v>91</v>
      </c>
      <c r="GJ684" s="4">
        <v>121</v>
      </c>
      <c r="GK684" s="4">
        <v>113</v>
      </c>
      <c r="GL684" s="4">
        <v>140</v>
      </c>
      <c r="GM684" s="4">
        <v>134</v>
      </c>
      <c r="GN684" s="4">
        <v>126</v>
      </c>
      <c r="GO684" s="4">
        <v>117</v>
      </c>
      <c r="GP684" s="4">
        <v>106</v>
      </c>
      <c r="GQ684" s="4">
        <v>85</v>
      </c>
      <c r="GR684" s="4">
        <v>75</v>
      </c>
      <c r="GS684" s="4">
        <v>66</v>
      </c>
      <c r="GT684" s="4">
        <v>60</v>
      </c>
      <c r="GU684" s="4">
        <v>55</v>
      </c>
      <c r="GV684" s="4">
        <v>49</v>
      </c>
      <c r="GW684" s="4">
        <v>45</v>
      </c>
      <c r="GX684" s="4">
        <v>42</v>
      </c>
      <c r="GY684" s="4">
        <v>39</v>
      </c>
      <c r="GZ684" s="4">
        <v>36</v>
      </c>
      <c r="HA684" s="4">
        <v>33</v>
      </c>
      <c r="HB684" s="4">
        <v>30</v>
      </c>
      <c r="HC684" s="4">
        <v>84</v>
      </c>
      <c r="HD684" s="19">
        <v>23.8</v>
      </c>
      <c r="HE684" s="19">
        <v>26.8</v>
      </c>
      <c r="HF684" s="19">
        <v>15</v>
      </c>
      <c r="HG684" s="19">
        <v>12.8</v>
      </c>
      <c r="HH684" s="19">
        <v>10.9</v>
      </c>
      <c r="HI684" s="19">
        <v>10.1</v>
      </c>
      <c r="HJ684" s="19">
        <v>15.1</v>
      </c>
      <c r="HK684" s="19">
        <v>14.1</v>
      </c>
      <c r="HL684" s="19">
        <v>17.5</v>
      </c>
      <c r="HM684" s="19">
        <v>11.2</v>
      </c>
      <c r="HN684" s="19">
        <v>9.7</v>
      </c>
      <c r="HO684" s="19">
        <v>9</v>
      </c>
      <c r="HP684" s="19">
        <v>8.8</v>
      </c>
      <c r="HQ684" s="19">
        <v>10.6</v>
      </c>
      <c r="HR684" s="19">
        <v>12.5</v>
      </c>
      <c r="HS684" s="19">
        <v>13.2</v>
      </c>
      <c r="HT684" s="19">
        <v>15</v>
      </c>
      <c r="HU684" s="19">
        <v>13.8</v>
      </c>
      <c r="HV684" s="19">
        <v>16.3</v>
      </c>
      <c r="HW684" s="19">
        <v>15</v>
      </c>
      <c r="HX684" s="19">
        <v>14</v>
      </c>
      <c r="HY684" s="19">
        <v>13</v>
      </c>
      <c r="HZ684" s="19">
        <v>12</v>
      </c>
      <c r="IA684" s="19">
        <v>11</v>
      </c>
      <c r="IB684" s="19">
        <v>10</v>
      </c>
      <c r="IC684" s="19">
        <v>28</v>
      </c>
    </row>
    <row r="685">
      <c r="A685" s="2" t="s">
        <v>3061</v>
      </c>
      <c r="B685" s="2" t="s">
        <v>323</v>
      </c>
      <c r="C685" s="2" t="s">
        <v>980</v>
      </c>
      <c r="D685" s="2" t="s">
        <v>257</v>
      </c>
      <c r="E685" s="2" t="s">
        <v>258</v>
      </c>
      <c r="F685" s="2" t="s">
        <v>2905</v>
      </c>
      <c r="G685" s="2" t="s">
        <v>2905</v>
      </c>
      <c r="H685" s="2" t="s">
        <v>2905</v>
      </c>
      <c r="I685" s="2" t="s">
        <v>2906</v>
      </c>
      <c r="J685" s="2" t="s">
        <v>250</v>
      </c>
      <c r="K685" s="2" t="s">
        <v>3060</v>
      </c>
      <c r="L685" s="3">
        <v>21.78</v>
      </c>
      <c r="M685" s="3">
        <v>22.87</v>
      </c>
      <c r="N685" s="3">
        <v>49.99</v>
      </c>
      <c r="O685" s="2" t="s">
        <v>232</v>
      </c>
      <c r="P685" s="2" t="s">
        <v>878</v>
      </c>
      <c r="Q685" s="2" t="s">
        <v>234</v>
      </c>
      <c r="R685" s="2" t="s">
        <v>235</v>
      </c>
      <c r="S685" s="2" t="s">
        <v>235</v>
      </c>
      <c r="T685" s="2" t="s">
        <v>2908</v>
      </c>
      <c r="U685" s="2" t="s">
        <v>264</v>
      </c>
      <c r="V685" s="2" t="s">
        <v>2182</v>
      </c>
      <c r="W685" s="2" t="s">
        <v>329</v>
      </c>
      <c r="X685" s="2" t="s">
        <v>235</v>
      </c>
      <c r="Y685" s="2" t="s">
        <v>2909</v>
      </c>
      <c r="Z685" s="4">
        <v>169</v>
      </c>
      <c r="AA685" s="4">
        <f>=ROUNDDOWN({0},0)</f>
      </c>
      <c r="AB685" s="5"/>
      <c r="AC685" s="2" t="s">
        <v>163</v>
      </c>
      <c r="AD685" s="4">
        <v>58</v>
      </c>
      <c r="AE685" s="4">
        <v>115</v>
      </c>
      <c r="AF685" s="6">
        <v>82</v>
      </c>
      <c r="AG685" s="6"/>
      <c r="AH685" s="7">
        <v>1</v>
      </c>
      <c r="AI685" s="4"/>
      <c r="AJ685" s="4">
        <f>=ROUNDDOWN({0},0)</f>
      </c>
      <c r="AK685" s="5"/>
      <c r="AL685" s="2" t="s">
        <v>235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235</v>
      </c>
      <c r="AW685" s="8" t="s">
        <v>235</v>
      </c>
      <c r="AX685" s="4" t="s">
        <v>235</v>
      </c>
      <c r="AY685" s="8" t="s">
        <v>235</v>
      </c>
      <c r="AZ685" s="7" t="s">
        <v>235</v>
      </c>
      <c r="BA685" s="7" t="s">
        <v>235</v>
      </c>
      <c r="BB685" s="7"/>
      <c r="BC685" s="4" t="s">
        <v>235</v>
      </c>
      <c r="BD685" s="8" t="s">
        <v>235</v>
      </c>
      <c r="BE685" s="4" t="s">
        <v>235</v>
      </c>
      <c r="BF685" s="8" t="s">
        <v>235</v>
      </c>
      <c r="BG685" s="7" t="s">
        <v>235</v>
      </c>
      <c r="BH685" s="7" t="s">
        <v>235</v>
      </c>
      <c r="BI685" s="7"/>
      <c r="BJ685" s="4"/>
      <c r="BK685" s="8"/>
      <c r="BL685" s="2" t="s">
        <v>235</v>
      </c>
      <c r="BM685" s="7"/>
      <c r="BN685" s="7"/>
      <c r="BO685" s="4"/>
      <c r="BP685" s="8"/>
      <c r="BQ685" s="4"/>
      <c r="BR685" s="8"/>
      <c r="BS685" s="7"/>
      <c r="BT685" s="7"/>
      <c r="BU685" s="2" t="s">
        <v>2910</v>
      </c>
      <c r="BV685" s="2" t="s">
        <v>235</v>
      </c>
      <c r="BW685" s="2" t="s">
        <v>235</v>
      </c>
      <c r="BX685" s="2" t="s">
        <v>244</v>
      </c>
      <c r="BY685" s="2" t="s">
        <v>245</v>
      </c>
      <c r="BZ685" s="2" t="s">
        <v>232</v>
      </c>
      <c r="CA685" s="2" t="s">
        <v>235</v>
      </c>
      <c r="CB685" s="2" t="s">
        <v>235</v>
      </c>
      <c r="CC685" s="2" t="s">
        <v>248</v>
      </c>
      <c r="CD685" s="2" t="s">
        <v>248</v>
      </c>
      <c r="CE685" s="2" t="s">
        <v>235</v>
      </c>
      <c r="CF685" s="4">
        <v>169</v>
      </c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>
        <v>58</v>
      </c>
      <c r="DY685" s="4"/>
      <c r="DZ685" s="4"/>
      <c r="EA685" s="4"/>
      <c r="EB685" s="4"/>
      <c r="EC685" s="4"/>
      <c r="ED685" s="4">
        <v>57</v>
      </c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>
        <v>169</v>
      </c>
      <c r="GE685" s="4">
        <v>157</v>
      </c>
      <c r="GF685" s="4">
        <v>155</v>
      </c>
      <c r="GG685" s="4">
        <v>152</v>
      </c>
      <c r="GH685" s="4">
        <v>147</v>
      </c>
      <c r="GI685" s="4">
        <v>140</v>
      </c>
      <c r="GJ685" s="4">
        <v>183</v>
      </c>
      <c r="GK685" s="4">
        <v>174</v>
      </c>
      <c r="GL685" s="4">
        <v>222</v>
      </c>
      <c r="GM685" s="4">
        <v>215</v>
      </c>
      <c r="GN685" s="4">
        <v>204</v>
      </c>
      <c r="GO685" s="4">
        <v>191</v>
      </c>
      <c r="GP685" s="4">
        <v>173</v>
      </c>
      <c r="GQ685" s="4">
        <v>140</v>
      </c>
      <c r="GR685" s="4">
        <v>124</v>
      </c>
      <c r="GS685" s="4">
        <v>109</v>
      </c>
      <c r="GT685" s="4">
        <v>99</v>
      </c>
      <c r="GU685" s="4">
        <v>91</v>
      </c>
      <c r="GV685" s="4">
        <v>82</v>
      </c>
      <c r="GW685" s="4">
        <v>75</v>
      </c>
      <c r="GX685" s="4">
        <v>70</v>
      </c>
      <c r="GY685" s="4">
        <v>66</v>
      </c>
      <c r="GZ685" s="4">
        <v>61</v>
      </c>
      <c r="HA685" s="4">
        <v>56</v>
      </c>
      <c r="HB685" s="4">
        <v>51</v>
      </c>
      <c r="HC685" s="4">
        <v>115</v>
      </c>
      <c r="HD685" s="19">
        <v>28.2</v>
      </c>
      <c r="HE685" s="19">
        <v>39.3</v>
      </c>
      <c r="HF685" s="19">
        <v>19.4</v>
      </c>
      <c r="HG685" s="19">
        <v>16.9</v>
      </c>
      <c r="HH685" s="19">
        <v>14.7</v>
      </c>
      <c r="HI685" s="19">
        <v>14</v>
      </c>
      <c r="HJ685" s="19">
        <v>20.3</v>
      </c>
      <c r="HK685" s="19">
        <v>17.4</v>
      </c>
      <c r="HL685" s="19">
        <v>18.5</v>
      </c>
      <c r="HM685" s="19">
        <v>11.3</v>
      </c>
      <c r="HN685" s="19">
        <v>10.2</v>
      </c>
      <c r="HO685" s="19">
        <v>9.6</v>
      </c>
      <c r="HP685" s="19">
        <v>9.6</v>
      </c>
      <c r="HQ685" s="19">
        <v>11.7</v>
      </c>
      <c r="HR685" s="19">
        <v>12.4</v>
      </c>
      <c r="HS685" s="19">
        <v>13.6</v>
      </c>
      <c r="HT685" s="19">
        <v>14.1</v>
      </c>
      <c r="HU685" s="19">
        <v>15.2</v>
      </c>
      <c r="HV685" s="19">
        <v>16.4</v>
      </c>
      <c r="HW685" s="19">
        <v>15</v>
      </c>
      <c r="HX685" s="19">
        <v>14</v>
      </c>
      <c r="HY685" s="19">
        <v>13.2</v>
      </c>
      <c r="HZ685" s="19">
        <v>12.2</v>
      </c>
      <c r="IA685" s="19">
        <v>14</v>
      </c>
      <c r="IB685" s="19">
        <v>12.8</v>
      </c>
      <c r="IC685" s="19">
        <v>28.8</v>
      </c>
    </row>
    <row r="686">
      <c r="A686" s="2" t="s">
        <v>3062</v>
      </c>
      <c r="B686" s="2" t="s">
        <v>323</v>
      </c>
      <c r="C686" s="2" t="s">
        <v>980</v>
      </c>
      <c r="D686" s="2" t="s">
        <v>257</v>
      </c>
      <c r="E686" s="2" t="s">
        <v>258</v>
      </c>
      <c r="F686" s="2" t="s">
        <v>2905</v>
      </c>
      <c r="G686" s="2" t="s">
        <v>2905</v>
      </c>
      <c r="H686" s="2" t="s">
        <v>2905</v>
      </c>
      <c r="I686" s="2" t="s">
        <v>2906</v>
      </c>
      <c r="J686" s="2" t="s">
        <v>261</v>
      </c>
      <c r="K686" s="2" t="s">
        <v>3060</v>
      </c>
      <c r="L686" s="3">
        <v>24.3</v>
      </c>
      <c r="M686" s="3">
        <v>25.52</v>
      </c>
      <c r="N686" s="3">
        <v>54.99</v>
      </c>
      <c r="O686" s="2" t="s">
        <v>232</v>
      </c>
      <c r="P686" s="2" t="s">
        <v>878</v>
      </c>
      <c r="Q686" s="2" t="s">
        <v>234</v>
      </c>
      <c r="R686" s="2" t="s">
        <v>235</v>
      </c>
      <c r="S686" s="2" t="s">
        <v>235</v>
      </c>
      <c r="T686" s="2" t="s">
        <v>2908</v>
      </c>
      <c r="U686" s="2" t="s">
        <v>264</v>
      </c>
      <c r="V686" s="2" t="s">
        <v>2182</v>
      </c>
      <c r="W686" s="2" t="s">
        <v>329</v>
      </c>
      <c r="X686" s="2" t="s">
        <v>235</v>
      </c>
      <c r="Y686" s="2" t="s">
        <v>2909</v>
      </c>
      <c r="Z686" s="4">
        <v>354</v>
      </c>
      <c r="AA686" s="4">
        <f>=ROUNDDOWN({0},0)</f>
      </c>
      <c r="AB686" s="5"/>
      <c r="AC686" s="2" t="s">
        <v>163</v>
      </c>
      <c r="AD686" s="4">
        <v>127</v>
      </c>
      <c r="AE686" s="4">
        <v>255</v>
      </c>
      <c r="AF686" s="6">
        <v>82</v>
      </c>
      <c r="AG686" s="6"/>
      <c r="AH686" s="7">
        <v>1</v>
      </c>
      <c r="AI686" s="4"/>
      <c r="AJ686" s="4">
        <f>=ROUNDDOWN({0},0)</f>
      </c>
      <c r="AK686" s="5"/>
      <c r="AL686" s="2" t="s">
        <v>235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235</v>
      </c>
      <c r="AW686" s="8" t="s">
        <v>235</v>
      </c>
      <c r="AX686" s="4" t="s">
        <v>235</v>
      </c>
      <c r="AY686" s="8" t="s">
        <v>235</v>
      </c>
      <c r="AZ686" s="7" t="s">
        <v>235</v>
      </c>
      <c r="BA686" s="7" t="s">
        <v>235</v>
      </c>
      <c r="BB686" s="7"/>
      <c r="BC686" s="4" t="s">
        <v>235</v>
      </c>
      <c r="BD686" s="8" t="s">
        <v>235</v>
      </c>
      <c r="BE686" s="4" t="s">
        <v>235</v>
      </c>
      <c r="BF686" s="8" t="s">
        <v>235</v>
      </c>
      <c r="BG686" s="7" t="s">
        <v>235</v>
      </c>
      <c r="BH686" s="7" t="s">
        <v>235</v>
      </c>
      <c r="BI686" s="7"/>
      <c r="BJ686" s="4"/>
      <c r="BK686" s="8"/>
      <c r="BL686" s="2" t="s">
        <v>235</v>
      </c>
      <c r="BM686" s="7"/>
      <c r="BN686" s="7"/>
      <c r="BO686" s="4"/>
      <c r="BP686" s="8"/>
      <c r="BQ686" s="4"/>
      <c r="BR686" s="8"/>
      <c r="BS686" s="7"/>
      <c r="BT686" s="7"/>
      <c r="BU686" s="2" t="s">
        <v>2910</v>
      </c>
      <c r="BV686" s="2" t="s">
        <v>235</v>
      </c>
      <c r="BW686" s="2" t="s">
        <v>235</v>
      </c>
      <c r="BX686" s="2" t="s">
        <v>244</v>
      </c>
      <c r="BY686" s="2" t="s">
        <v>245</v>
      </c>
      <c r="BZ686" s="2" t="s">
        <v>232</v>
      </c>
      <c r="CA686" s="2" t="s">
        <v>235</v>
      </c>
      <c r="CB686" s="2" t="s">
        <v>235</v>
      </c>
      <c r="CC686" s="2" t="s">
        <v>248</v>
      </c>
      <c r="CD686" s="2" t="s">
        <v>248</v>
      </c>
      <c r="CE686" s="2" t="s">
        <v>235</v>
      </c>
      <c r="CF686" s="4">
        <v>354</v>
      </c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>
        <v>127</v>
      </c>
      <c r="DY686" s="4"/>
      <c r="DZ686" s="4"/>
      <c r="EA686" s="4"/>
      <c r="EB686" s="4"/>
      <c r="EC686" s="4"/>
      <c r="ED686" s="4">
        <v>128</v>
      </c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>
        <v>354</v>
      </c>
      <c r="GE686" s="4">
        <v>323</v>
      </c>
      <c r="GF686" s="4">
        <v>316</v>
      </c>
      <c r="GG686" s="4">
        <v>305</v>
      </c>
      <c r="GH686" s="4">
        <v>291</v>
      </c>
      <c r="GI686" s="4">
        <v>269</v>
      </c>
      <c r="GJ686" s="4">
        <v>351</v>
      </c>
      <c r="GK686" s="4">
        <v>326</v>
      </c>
      <c r="GL686" s="4">
        <v>429</v>
      </c>
      <c r="GM686" s="4">
        <v>410</v>
      </c>
      <c r="GN686" s="4">
        <v>383</v>
      </c>
      <c r="GO686" s="4">
        <v>350</v>
      </c>
      <c r="GP686" s="4">
        <v>306</v>
      </c>
      <c r="GQ686" s="4">
        <v>227</v>
      </c>
      <c r="GR686" s="4">
        <v>188</v>
      </c>
      <c r="GS686" s="4">
        <v>150</v>
      </c>
      <c r="GT686" s="4">
        <v>124</v>
      </c>
      <c r="GU686" s="4">
        <v>104</v>
      </c>
      <c r="GV686" s="4">
        <v>82</v>
      </c>
      <c r="GW686" s="4">
        <v>66</v>
      </c>
      <c r="GX686" s="4">
        <v>53</v>
      </c>
      <c r="GY686" s="4">
        <v>43</v>
      </c>
      <c r="GZ686" s="4">
        <v>32</v>
      </c>
      <c r="HA686" s="4">
        <v>21</v>
      </c>
      <c r="HB686" s="4">
        <v>10</v>
      </c>
      <c r="HC686" s="4">
        <v>268</v>
      </c>
      <c r="HD686" s="19">
        <v>22.1</v>
      </c>
      <c r="HE686" s="19">
        <v>23.1</v>
      </c>
      <c r="HF686" s="19">
        <v>13.7</v>
      </c>
      <c r="HG686" s="19">
        <v>11.7</v>
      </c>
      <c r="HH686" s="19">
        <v>10</v>
      </c>
      <c r="HI686" s="19">
        <v>9.6</v>
      </c>
      <c r="HJ686" s="19">
        <v>14.6</v>
      </c>
      <c r="HK686" s="19">
        <v>12.5</v>
      </c>
      <c r="HL686" s="19">
        <v>13.8</v>
      </c>
      <c r="HM686" s="19">
        <v>8.9</v>
      </c>
      <c r="HN686" s="19">
        <v>7.8</v>
      </c>
      <c r="HO686" s="19">
        <v>7</v>
      </c>
      <c r="HP686" s="19">
        <v>6.7</v>
      </c>
      <c r="HQ686" s="19">
        <v>7.3</v>
      </c>
      <c r="HR686" s="19">
        <v>7.2</v>
      </c>
      <c r="HS686" s="19">
        <v>7.1</v>
      </c>
      <c r="HT686" s="19">
        <v>6.9</v>
      </c>
      <c r="HU686" s="19">
        <v>6.9</v>
      </c>
      <c r="HV686" s="19">
        <v>6.8</v>
      </c>
      <c r="HW686" s="19">
        <v>6</v>
      </c>
      <c r="HX686" s="19">
        <v>4.8</v>
      </c>
      <c r="HY686" s="19">
        <v>3.9</v>
      </c>
      <c r="HZ686" s="19">
        <v>3.2</v>
      </c>
      <c r="IA686" s="19">
        <v>2.1</v>
      </c>
      <c r="IB686" s="19">
        <v>1.1</v>
      </c>
      <c r="IC686" s="19">
        <v>29.8</v>
      </c>
    </row>
    <row r="687">
      <c r="A687" s="2" t="s">
        <v>3063</v>
      </c>
      <c r="B687" s="2" t="s">
        <v>323</v>
      </c>
      <c r="C687" s="2" t="s">
        <v>980</v>
      </c>
      <c r="D687" s="2" t="s">
        <v>257</v>
      </c>
      <c r="E687" s="2" t="s">
        <v>258</v>
      </c>
      <c r="F687" s="2" t="s">
        <v>2905</v>
      </c>
      <c r="G687" s="2" t="s">
        <v>2905</v>
      </c>
      <c r="H687" s="2" t="s">
        <v>2905</v>
      </c>
      <c r="I687" s="2" t="s">
        <v>2906</v>
      </c>
      <c r="J687" s="2" t="s">
        <v>270</v>
      </c>
      <c r="K687" s="2" t="s">
        <v>3060</v>
      </c>
      <c r="L687" s="3">
        <v>28.98</v>
      </c>
      <c r="M687" s="3">
        <v>30.43</v>
      </c>
      <c r="N687" s="3">
        <v>64.99</v>
      </c>
      <c r="O687" s="2" t="s">
        <v>232</v>
      </c>
      <c r="P687" s="2" t="s">
        <v>878</v>
      </c>
      <c r="Q687" s="2" t="s">
        <v>234</v>
      </c>
      <c r="R687" s="2" t="s">
        <v>235</v>
      </c>
      <c r="S687" s="2" t="s">
        <v>235</v>
      </c>
      <c r="T687" s="2" t="s">
        <v>2908</v>
      </c>
      <c r="U687" s="2" t="s">
        <v>264</v>
      </c>
      <c r="V687" s="2" t="s">
        <v>2182</v>
      </c>
      <c r="W687" s="2" t="s">
        <v>329</v>
      </c>
      <c r="X687" s="2" t="s">
        <v>235</v>
      </c>
      <c r="Y687" s="2" t="s">
        <v>2909</v>
      </c>
      <c r="Z687" s="4">
        <v>213</v>
      </c>
      <c r="AA687" s="4">
        <f>=ROUNDDOWN(19.3636363636364,0)</f>
      </c>
      <c r="AB687" s="5">
        <v>11</v>
      </c>
      <c r="AC687" s="2" t="s">
        <v>163</v>
      </c>
      <c r="AD687" s="4">
        <v>84</v>
      </c>
      <c r="AE687" s="4">
        <v>167</v>
      </c>
      <c r="AF687" s="6">
        <v>82</v>
      </c>
      <c r="AG687" s="6"/>
      <c r="AH687" s="7">
        <v>1</v>
      </c>
      <c r="AI687" s="4"/>
      <c r="AJ687" s="4">
        <f>=ROUNDDOWN({0},0)</f>
      </c>
      <c r="AK687" s="5"/>
      <c r="AL687" s="2" t="s">
        <v>235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235</v>
      </c>
      <c r="AW687" s="8" t="s">
        <v>235</v>
      </c>
      <c r="AX687" s="4" t="s">
        <v>235</v>
      </c>
      <c r="AY687" s="8" t="s">
        <v>235</v>
      </c>
      <c r="AZ687" s="7" t="s">
        <v>235</v>
      </c>
      <c r="BA687" s="7" t="s">
        <v>235</v>
      </c>
      <c r="BB687" s="7"/>
      <c r="BC687" s="4" t="s">
        <v>235</v>
      </c>
      <c r="BD687" s="8" t="s">
        <v>235</v>
      </c>
      <c r="BE687" s="4" t="s">
        <v>235</v>
      </c>
      <c r="BF687" s="8" t="s">
        <v>235</v>
      </c>
      <c r="BG687" s="7" t="s">
        <v>235</v>
      </c>
      <c r="BH687" s="7" t="s">
        <v>235</v>
      </c>
      <c r="BI687" s="7"/>
      <c r="BJ687" s="4"/>
      <c r="BK687" s="8"/>
      <c r="BL687" s="2" t="s">
        <v>235</v>
      </c>
      <c r="BM687" s="7"/>
      <c r="BN687" s="7"/>
      <c r="BO687" s="4"/>
      <c r="BP687" s="8"/>
      <c r="BQ687" s="4"/>
      <c r="BR687" s="8"/>
      <c r="BS687" s="7"/>
      <c r="BT687" s="7"/>
      <c r="BU687" s="2" t="s">
        <v>2910</v>
      </c>
      <c r="BV687" s="2" t="s">
        <v>235</v>
      </c>
      <c r="BW687" s="2" t="s">
        <v>235</v>
      </c>
      <c r="BX687" s="2" t="s">
        <v>244</v>
      </c>
      <c r="BY687" s="2" t="s">
        <v>245</v>
      </c>
      <c r="BZ687" s="2" t="s">
        <v>232</v>
      </c>
      <c r="CA687" s="2" t="s">
        <v>235</v>
      </c>
      <c r="CB687" s="2" t="s">
        <v>235</v>
      </c>
      <c r="CC687" s="2" t="s">
        <v>248</v>
      </c>
      <c r="CD687" s="2" t="s">
        <v>248</v>
      </c>
      <c r="CE687" s="2" t="s">
        <v>235</v>
      </c>
      <c r="CF687" s="4">
        <v>213</v>
      </c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>
        <v>84</v>
      </c>
      <c r="DY687" s="4"/>
      <c r="DZ687" s="4"/>
      <c r="EA687" s="4"/>
      <c r="EB687" s="4"/>
      <c r="EC687" s="4"/>
      <c r="ED687" s="4">
        <v>83</v>
      </c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>
        <v>213</v>
      </c>
      <c r="GE687" s="4">
        <v>198</v>
      </c>
      <c r="GF687" s="4">
        <v>194</v>
      </c>
      <c r="GG687" s="4">
        <v>188</v>
      </c>
      <c r="GH687" s="4">
        <v>181</v>
      </c>
      <c r="GI687" s="4">
        <v>170</v>
      </c>
      <c r="GJ687" s="4">
        <v>229</v>
      </c>
      <c r="GK687" s="4">
        <v>214</v>
      </c>
      <c r="GL687" s="4">
        <v>283</v>
      </c>
      <c r="GM687" s="4">
        <v>272</v>
      </c>
      <c r="GN687" s="4">
        <v>255</v>
      </c>
      <c r="GO687" s="4">
        <v>234</v>
      </c>
      <c r="GP687" s="4">
        <v>206</v>
      </c>
      <c r="GQ687" s="4">
        <v>154</v>
      </c>
      <c r="GR687" s="4">
        <v>129</v>
      </c>
      <c r="GS687" s="4">
        <v>105</v>
      </c>
      <c r="GT687" s="4">
        <v>89</v>
      </c>
      <c r="GU687" s="4">
        <v>77</v>
      </c>
      <c r="GV687" s="4">
        <v>63</v>
      </c>
      <c r="GW687" s="4">
        <v>52</v>
      </c>
      <c r="GX687" s="4">
        <v>44</v>
      </c>
      <c r="GY687" s="4">
        <v>37</v>
      </c>
      <c r="GZ687" s="4">
        <v>29</v>
      </c>
      <c r="HA687" s="4">
        <v>21</v>
      </c>
      <c r="HB687" s="4">
        <v>13</v>
      </c>
      <c r="HC687" s="4">
        <v>160</v>
      </c>
      <c r="HD687" s="19">
        <v>26.6</v>
      </c>
      <c r="HE687" s="19">
        <v>28.3</v>
      </c>
      <c r="HF687" s="19">
        <v>16.2</v>
      </c>
      <c r="HG687" s="19">
        <v>13.4</v>
      </c>
      <c r="HH687" s="19">
        <v>11.3</v>
      </c>
      <c r="HI687" s="19">
        <v>10.6</v>
      </c>
      <c r="HJ687" s="19">
        <v>16.4</v>
      </c>
      <c r="HK687" s="19">
        <v>13.4</v>
      </c>
      <c r="HL687" s="19">
        <v>14.9</v>
      </c>
      <c r="HM687" s="19">
        <v>9.1</v>
      </c>
      <c r="HN687" s="19">
        <v>8</v>
      </c>
      <c r="HO687" s="19">
        <v>7.3</v>
      </c>
      <c r="HP687" s="19">
        <v>7.1</v>
      </c>
      <c r="HQ687" s="19">
        <v>8.1</v>
      </c>
      <c r="HR687" s="19">
        <v>8.1</v>
      </c>
      <c r="HS687" s="19">
        <v>8.1</v>
      </c>
      <c r="HT687" s="19">
        <v>8.1</v>
      </c>
      <c r="HU687" s="19">
        <v>7.7</v>
      </c>
      <c r="HV687" s="19">
        <v>7.9</v>
      </c>
      <c r="HW687" s="19">
        <v>6.5</v>
      </c>
      <c r="HX687" s="19">
        <v>5.5</v>
      </c>
      <c r="HY687" s="19">
        <v>4.6</v>
      </c>
      <c r="HZ687" s="19">
        <v>3.6</v>
      </c>
      <c r="IA687" s="19">
        <v>3</v>
      </c>
      <c r="IB687" s="19">
        <v>2.2</v>
      </c>
      <c r="IC687" s="19">
        <v>26.7</v>
      </c>
    </row>
    <row r="688">
      <c r="A688" s="2" t="s">
        <v>3064</v>
      </c>
      <c r="B688" s="2" t="s">
        <v>323</v>
      </c>
      <c r="C688" s="2" t="s">
        <v>980</v>
      </c>
      <c r="D688" s="2" t="s">
        <v>257</v>
      </c>
      <c r="E688" s="2" t="s">
        <v>258</v>
      </c>
      <c r="F688" s="2" t="s">
        <v>2905</v>
      </c>
      <c r="G688" s="2" t="s">
        <v>2905</v>
      </c>
      <c r="H688" s="2" t="s">
        <v>2905</v>
      </c>
      <c r="I688" s="2" t="s">
        <v>2906</v>
      </c>
      <c r="J688" s="2" t="s">
        <v>272</v>
      </c>
      <c r="K688" s="2" t="s">
        <v>3060</v>
      </c>
      <c r="L688" s="3">
        <v>28.98</v>
      </c>
      <c r="M688" s="3">
        <v>30.43</v>
      </c>
      <c r="N688" s="3">
        <v>64.99</v>
      </c>
      <c r="O688" s="2" t="s">
        <v>232</v>
      </c>
      <c r="P688" s="2" t="s">
        <v>878</v>
      </c>
      <c r="Q688" s="2" t="s">
        <v>234</v>
      </c>
      <c r="R688" s="2" t="s">
        <v>235</v>
      </c>
      <c r="S688" s="2" t="s">
        <v>235</v>
      </c>
      <c r="T688" s="2" t="s">
        <v>2908</v>
      </c>
      <c r="U688" s="2" t="s">
        <v>264</v>
      </c>
      <c r="V688" s="2" t="s">
        <v>2182</v>
      </c>
      <c r="W688" s="2" t="s">
        <v>329</v>
      </c>
      <c r="X688" s="2" t="s">
        <v>235</v>
      </c>
      <c r="Y688" s="2" t="s">
        <v>2915</v>
      </c>
      <c r="Z688" s="4">
        <v>113</v>
      </c>
      <c r="AA688" s="4">
        <f>=ROUNDDOWN(22.6,0)</f>
      </c>
      <c r="AB688" s="5">
        <v>5</v>
      </c>
      <c r="AC688" s="2" t="s">
        <v>163</v>
      </c>
      <c r="AD688" s="4">
        <v>34</v>
      </c>
      <c r="AE688" s="4">
        <v>67</v>
      </c>
      <c r="AF688" s="6">
        <v>82</v>
      </c>
      <c r="AG688" s="6"/>
      <c r="AH688" s="7">
        <v>1</v>
      </c>
      <c r="AI688" s="4"/>
      <c r="AJ688" s="4">
        <f>=ROUNDDOWN({0},0)</f>
      </c>
      <c r="AK688" s="5"/>
      <c r="AL688" s="2" t="s">
        <v>235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235</v>
      </c>
      <c r="AW688" s="8" t="s">
        <v>235</v>
      </c>
      <c r="AX688" s="4" t="s">
        <v>235</v>
      </c>
      <c r="AY688" s="8" t="s">
        <v>235</v>
      </c>
      <c r="AZ688" s="7" t="s">
        <v>235</v>
      </c>
      <c r="BA688" s="7" t="s">
        <v>235</v>
      </c>
      <c r="BB688" s="7"/>
      <c r="BC688" s="4" t="s">
        <v>235</v>
      </c>
      <c r="BD688" s="8" t="s">
        <v>235</v>
      </c>
      <c r="BE688" s="4" t="s">
        <v>235</v>
      </c>
      <c r="BF688" s="8" t="s">
        <v>235</v>
      </c>
      <c r="BG688" s="7" t="s">
        <v>235</v>
      </c>
      <c r="BH688" s="7" t="s">
        <v>235</v>
      </c>
      <c r="BI688" s="7"/>
      <c r="BJ688" s="4"/>
      <c r="BK688" s="8"/>
      <c r="BL688" s="2" t="s">
        <v>235</v>
      </c>
      <c r="BM688" s="7"/>
      <c r="BN688" s="7"/>
      <c r="BO688" s="4"/>
      <c r="BP688" s="8"/>
      <c r="BQ688" s="4"/>
      <c r="BR688" s="8"/>
      <c r="BS688" s="7"/>
      <c r="BT688" s="7"/>
      <c r="BU688" s="2" t="s">
        <v>2910</v>
      </c>
      <c r="BV688" s="2" t="s">
        <v>235</v>
      </c>
      <c r="BW688" s="2" t="s">
        <v>235</v>
      </c>
      <c r="BX688" s="2" t="s">
        <v>244</v>
      </c>
      <c r="BY688" s="2" t="s">
        <v>245</v>
      </c>
      <c r="BZ688" s="2" t="s">
        <v>232</v>
      </c>
      <c r="CA688" s="2" t="s">
        <v>235</v>
      </c>
      <c r="CB688" s="2" t="s">
        <v>235</v>
      </c>
      <c r="CC688" s="2" t="s">
        <v>248</v>
      </c>
      <c r="CD688" s="2" t="s">
        <v>248</v>
      </c>
      <c r="CE688" s="2" t="s">
        <v>235</v>
      </c>
      <c r="CF688" s="4">
        <v>113</v>
      </c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>
        <v>34</v>
      </c>
      <c r="DY688" s="4"/>
      <c r="DZ688" s="4"/>
      <c r="EA688" s="4"/>
      <c r="EB688" s="4"/>
      <c r="EC688" s="4"/>
      <c r="ED688" s="4">
        <v>33</v>
      </c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>
        <v>113</v>
      </c>
      <c r="GE688" s="4">
        <v>109</v>
      </c>
      <c r="GF688" s="4">
        <v>108</v>
      </c>
      <c r="GG688" s="4">
        <v>106</v>
      </c>
      <c r="GH688" s="4">
        <v>103</v>
      </c>
      <c r="GI688" s="4">
        <v>99</v>
      </c>
      <c r="GJ688" s="4">
        <v>124</v>
      </c>
      <c r="GK688" s="4">
        <v>118</v>
      </c>
      <c r="GL688" s="4">
        <v>145</v>
      </c>
      <c r="GM688" s="4">
        <v>140</v>
      </c>
      <c r="GN688" s="4">
        <v>133</v>
      </c>
      <c r="GO688" s="4">
        <v>123</v>
      </c>
      <c r="GP688" s="4">
        <v>110</v>
      </c>
      <c r="GQ688" s="4">
        <v>84</v>
      </c>
      <c r="GR688" s="4">
        <v>71</v>
      </c>
      <c r="GS688" s="4">
        <v>59</v>
      </c>
      <c r="GT688" s="4">
        <v>51</v>
      </c>
      <c r="GU688" s="4">
        <v>45</v>
      </c>
      <c r="GV688" s="4">
        <v>38</v>
      </c>
      <c r="GW688" s="4">
        <v>33</v>
      </c>
      <c r="GX688" s="4">
        <v>29</v>
      </c>
      <c r="GY688" s="4">
        <v>26</v>
      </c>
      <c r="GZ688" s="4">
        <v>22</v>
      </c>
      <c r="HA688" s="4">
        <v>18</v>
      </c>
      <c r="HB688" s="4">
        <v>14</v>
      </c>
      <c r="HC688" s="4">
        <v>76</v>
      </c>
      <c r="HD688" s="19">
        <v>56.5</v>
      </c>
      <c r="HE688" s="19">
        <v>54.5</v>
      </c>
      <c r="HF688" s="19">
        <v>27</v>
      </c>
      <c r="HG688" s="19">
        <v>17.7</v>
      </c>
      <c r="HH688" s="19">
        <v>17.2</v>
      </c>
      <c r="HI688" s="19">
        <v>16.5</v>
      </c>
      <c r="HJ688" s="19">
        <v>20.7</v>
      </c>
      <c r="HK688" s="19">
        <v>16.9</v>
      </c>
      <c r="HL688" s="19">
        <v>16.1</v>
      </c>
      <c r="HM688" s="19">
        <v>10</v>
      </c>
      <c r="HN688" s="19">
        <v>8.3</v>
      </c>
      <c r="HO688" s="19">
        <v>7.7</v>
      </c>
      <c r="HP688" s="19">
        <v>7.3</v>
      </c>
      <c r="HQ688" s="19">
        <v>8.4</v>
      </c>
      <c r="HR688" s="19">
        <v>8.9</v>
      </c>
      <c r="HS688" s="19">
        <v>9.8</v>
      </c>
      <c r="HT688" s="19">
        <v>8.5</v>
      </c>
      <c r="HU688" s="19">
        <v>9</v>
      </c>
      <c r="HV688" s="19">
        <v>9.5</v>
      </c>
      <c r="HW688" s="19">
        <v>8.3</v>
      </c>
      <c r="HX688" s="19">
        <v>7.3</v>
      </c>
      <c r="HY688" s="19">
        <v>6.5</v>
      </c>
      <c r="HZ688" s="19">
        <v>5.5</v>
      </c>
      <c r="IA688" s="19">
        <v>4.5</v>
      </c>
      <c r="IB688" s="19">
        <v>4.7</v>
      </c>
      <c r="IC688" s="19">
        <v>38</v>
      </c>
    </row>
    <row r="689">
      <c r="A689" s="2" t="s">
        <v>3065</v>
      </c>
      <c r="B689" s="2" t="s">
        <v>323</v>
      </c>
      <c r="C689" s="2" t="s">
        <v>980</v>
      </c>
      <c r="D689" s="2" t="s">
        <v>257</v>
      </c>
      <c r="E689" s="2" t="s">
        <v>258</v>
      </c>
      <c r="F689" s="2" t="s">
        <v>2905</v>
      </c>
      <c r="G689" s="2" t="s">
        <v>2905</v>
      </c>
      <c r="H689" s="2" t="s">
        <v>2905</v>
      </c>
      <c r="I689" s="2" t="s">
        <v>405</v>
      </c>
      <c r="J689" s="2" t="s">
        <v>394</v>
      </c>
      <c r="K689" s="2" t="s">
        <v>3066</v>
      </c>
      <c r="L689" s="3">
        <v>19.8</v>
      </c>
      <c r="M689" s="3">
        <v>20.79</v>
      </c>
      <c r="N689" s="3">
        <v>44.99</v>
      </c>
      <c r="O689" s="2" t="s">
        <v>232</v>
      </c>
      <c r="P689" s="2" t="s">
        <v>233</v>
      </c>
      <c r="Q689" s="2" t="s">
        <v>234</v>
      </c>
      <c r="R689" s="2" t="s">
        <v>235</v>
      </c>
      <c r="S689" s="2" t="s">
        <v>3067</v>
      </c>
      <c r="T689" s="2" t="s">
        <v>2908</v>
      </c>
      <c r="U689" s="2" t="s">
        <v>235</v>
      </c>
      <c r="V689" s="2" t="s">
        <v>2919</v>
      </c>
      <c r="W689" s="2" t="s">
        <v>1798</v>
      </c>
      <c r="X689" s="2" t="s">
        <v>239</v>
      </c>
      <c r="Y689" s="2" t="s">
        <v>2938</v>
      </c>
      <c r="Z689" s="4">
        <v>342</v>
      </c>
      <c r="AA689" s="4">
        <f>=ROUNDDOWN(22.8,0)</f>
      </c>
      <c r="AB689" s="5">
        <v>15</v>
      </c>
      <c r="AC689" s="2" t="s">
        <v>3019</v>
      </c>
      <c r="AD689" s="4">
        <v>254</v>
      </c>
      <c r="AE689" s="4">
        <v>254</v>
      </c>
      <c r="AF689" s="6">
        <v>78</v>
      </c>
      <c r="AG689" s="6"/>
      <c r="AH689" s="7">
        <v>1</v>
      </c>
      <c r="AI689" s="4"/>
      <c r="AJ689" s="4">
        <f>=ROUNDDOWN({0},0)</f>
      </c>
      <c r="AK689" s="5"/>
      <c r="AL689" s="2" t="s">
        <v>235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235</v>
      </c>
      <c r="AW689" s="8" t="s">
        <v>235</v>
      </c>
      <c r="AX689" s="4" t="s">
        <v>235</v>
      </c>
      <c r="AY689" s="8" t="s">
        <v>235</v>
      </c>
      <c r="AZ689" s="7" t="s">
        <v>235</v>
      </c>
      <c r="BA689" s="7" t="s">
        <v>235</v>
      </c>
      <c r="BB689" s="7"/>
      <c r="BC689" s="4" t="s">
        <v>235</v>
      </c>
      <c r="BD689" s="8" t="s">
        <v>235</v>
      </c>
      <c r="BE689" s="4" t="s">
        <v>235</v>
      </c>
      <c r="BF689" s="8" t="s">
        <v>235</v>
      </c>
      <c r="BG689" s="7" t="s">
        <v>235</v>
      </c>
      <c r="BH689" s="7" t="s">
        <v>235</v>
      </c>
      <c r="BI689" s="7"/>
      <c r="BJ689" s="4">
        <v>2</v>
      </c>
      <c r="BK689" s="8">
        <v>44.87</v>
      </c>
      <c r="BL689" s="2" t="s">
        <v>3068</v>
      </c>
      <c r="BM689" s="7"/>
      <c r="BN689" s="7"/>
      <c r="BO689" s="4"/>
      <c r="BP689" s="8"/>
      <c r="BQ689" s="4"/>
      <c r="BR689" s="8"/>
      <c r="BS689" s="7"/>
      <c r="BT689" s="7"/>
      <c r="BU689" s="2" t="s">
        <v>2921</v>
      </c>
      <c r="BV689" s="2" t="s">
        <v>243</v>
      </c>
      <c r="BW689" s="2" t="s">
        <v>235</v>
      </c>
      <c r="BX689" s="2" t="s">
        <v>244</v>
      </c>
      <c r="BY689" s="2" t="s">
        <v>245</v>
      </c>
      <c r="BZ689" s="2" t="s">
        <v>232</v>
      </c>
      <c r="CA689" s="2" t="s">
        <v>1924</v>
      </c>
      <c r="CB689" s="2" t="s">
        <v>3069</v>
      </c>
      <c r="CC689" s="2" t="s">
        <v>248</v>
      </c>
      <c r="CD689" s="2" t="s">
        <v>248</v>
      </c>
      <c r="CE689" s="2" t="s">
        <v>235</v>
      </c>
      <c r="CF689" s="4">
        <v>342</v>
      </c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>
        <v>254</v>
      </c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>
        <v>343</v>
      </c>
      <c r="GE689" s="4">
        <v>329</v>
      </c>
      <c r="GF689" s="4">
        <v>318</v>
      </c>
      <c r="GG689" s="4">
        <v>303</v>
      </c>
      <c r="GH689" s="4">
        <v>285</v>
      </c>
      <c r="GI689" s="4">
        <v>255</v>
      </c>
      <c r="GJ689" s="4">
        <v>204</v>
      </c>
      <c r="GK689" s="4">
        <v>176</v>
      </c>
      <c r="GL689" s="4">
        <v>148</v>
      </c>
      <c r="GM689" s="4">
        <v>381</v>
      </c>
      <c r="GN689" s="4">
        <v>359</v>
      </c>
      <c r="GO689" s="4">
        <v>332</v>
      </c>
      <c r="GP689" s="4">
        <v>299</v>
      </c>
      <c r="GQ689" s="4">
        <v>243</v>
      </c>
      <c r="GR689" s="4">
        <v>216</v>
      </c>
      <c r="GS689" s="4">
        <v>189</v>
      </c>
      <c r="GT689" s="4">
        <v>170</v>
      </c>
      <c r="GU689" s="4">
        <v>155</v>
      </c>
      <c r="GV689" s="4">
        <v>138</v>
      </c>
      <c r="GW689" s="4">
        <v>125</v>
      </c>
      <c r="GX689" s="4">
        <v>115</v>
      </c>
      <c r="GY689" s="4">
        <v>106</v>
      </c>
      <c r="GZ689" s="4">
        <v>96</v>
      </c>
      <c r="HA689" s="4">
        <v>86</v>
      </c>
      <c r="HB689" s="4">
        <v>76</v>
      </c>
      <c r="HC689" s="4">
        <v>66</v>
      </c>
      <c r="HD689" s="19">
        <v>24.5</v>
      </c>
      <c r="HE689" s="19">
        <v>18.3</v>
      </c>
      <c r="HF689" s="19">
        <v>11.4</v>
      </c>
      <c r="HG689" s="19">
        <v>9.5</v>
      </c>
      <c r="HH689" s="19">
        <v>8.4</v>
      </c>
      <c r="HI689" s="19">
        <v>8</v>
      </c>
      <c r="HJ689" s="19">
        <v>8.2</v>
      </c>
      <c r="HK689" s="19">
        <v>7.3</v>
      </c>
      <c r="HL689" s="19">
        <v>5.7</v>
      </c>
      <c r="HM689" s="19">
        <v>11.2</v>
      </c>
      <c r="HN689" s="19">
        <v>10</v>
      </c>
      <c r="HO689" s="19">
        <v>9.2</v>
      </c>
      <c r="HP689" s="19">
        <v>9.3</v>
      </c>
      <c r="HQ689" s="19">
        <v>11</v>
      </c>
      <c r="HR689" s="19">
        <v>10.8</v>
      </c>
      <c r="HS689" s="19">
        <v>11.8</v>
      </c>
      <c r="HT689" s="19">
        <v>12.1</v>
      </c>
      <c r="HU689" s="19">
        <v>12.9</v>
      </c>
      <c r="HV689" s="19">
        <v>13.8</v>
      </c>
      <c r="HW689" s="19">
        <v>12.5</v>
      </c>
      <c r="HX689" s="19">
        <v>11.5</v>
      </c>
      <c r="HY689" s="19">
        <v>10.6</v>
      </c>
      <c r="HZ689" s="19">
        <v>9.6</v>
      </c>
      <c r="IA689" s="19">
        <v>9.6</v>
      </c>
      <c r="IB689" s="19">
        <v>9.5</v>
      </c>
      <c r="IC689" s="19">
        <v>8.3</v>
      </c>
    </row>
    <row r="690">
      <c r="A690" s="2" t="s">
        <v>3070</v>
      </c>
      <c r="B690" s="2" t="s">
        <v>323</v>
      </c>
      <c r="C690" s="2" t="s">
        <v>980</v>
      </c>
      <c r="D690" s="2" t="s">
        <v>257</v>
      </c>
      <c r="E690" s="2" t="s">
        <v>258</v>
      </c>
      <c r="F690" s="2" t="s">
        <v>2905</v>
      </c>
      <c r="G690" s="2" t="s">
        <v>2905</v>
      </c>
      <c r="H690" s="2" t="s">
        <v>2905</v>
      </c>
      <c r="I690" s="2" t="s">
        <v>405</v>
      </c>
      <c r="J690" s="2" t="s">
        <v>270</v>
      </c>
      <c r="K690" s="2" t="s">
        <v>3066</v>
      </c>
      <c r="L690" s="3">
        <v>28.98</v>
      </c>
      <c r="M690" s="3">
        <v>30.43</v>
      </c>
      <c r="N690" s="3">
        <v>64.99</v>
      </c>
      <c r="O690" s="2" t="s">
        <v>232</v>
      </c>
      <c r="P690" s="2" t="s">
        <v>233</v>
      </c>
      <c r="Q690" s="2" t="s">
        <v>234</v>
      </c>
      <c r="R690" s="2" t="s">
        <v>235</v>
      </c>
      <c r="S690" s="2" t="s">
        <v>3071</v>
      </c>
      <c r="T690" s="2" t="s">
        <v>2908</v>
      </c>
      <c r="U690" s="2" t="s">
        <v>235</v>
      </c>
      <c r="V690" s="2" t="s">
        <v>2919</v>
      </c>
      <c r="W690" s="2" t="s">
        <v>1798</v>
      </c>
      <c r="X690" s="2" t="s">
        <v>239</v>
      </c>
      <c r="Y690" s="2" t="s">
        <v>2938</v>
      </c>
      <c r="Z690" s="4">
        <v>200</v>
      </c>
      <c r="AA690" s="4">
        <f>=ROUNDDOWN(18.1818181818182,0)</f>
      </c>
      <c r="AB690" s="5">
        <v>11</v>
      </c>
      <c r="AC690" s="2" t="s">
        <v>3019</v>
      </c>
      <c r="AD690" s="4">
        <v>212</v>
      </c>
      <c r="AE690" s="4">
        <v>212</v>
      </c>
      <c r="AF690" s="6">
        <v>78</v>
      </c>
      <c r="AG690" s="6"/>
      <c r="AH690" s="7">
        <v>0</v>
      </c>
      <c r="AI690" s="4"/>
      <c r="AJ690" s="4">
        <f>=ROUNDDOWN({0},0)</f>
      </c>
      <c r="AK690" s="5"/>
      <c r="AL690" s="2" t="s">
        <v>235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235</v>
      </c>
      <c r="AW690" s="8" t="s">
        <v>235</v>
      </c>
      <c r="AX690" s="4" t="s">
        <v>235</v>
      </c>
      <c r="AY690" s="8" t="s">
        <v>235</v>
      </c>
      <c r="AZ690" s="7" t="s">
        <v>235</v>
      </c>
      <c r="BA690" s="7" t="s">
        <v>235</v>
      </c>
      <c r="BB690" s="7"/>
      <c r="BC690" s="4" t="s">
        <v>235</v>
      </c>
      <c r="BD690" s="8" t="s">
        <v>235</v>
      </c>
      <c r="BE690" s="4" t="s">
        <v>235</v>
      </c>
      <c r="BF690" s="8" t="s">
        <v>235</v>
      </c>
      <c r="BG690" s="7" t="s">
        <v>235</v>
      </c>
      <c r="BH690" s="7" t="s">
        <v>235</v>
      </c>
      <c r="BI690" s="7"/>
      <c r="BJ690" s="4"/>
      <c r="BK690" s="8"/>
      <c r="BL690" s="2" t="s">
        <v>2072</v>
      </c>
      <c r="BM690" s="7"/>
      <c r="BN690" s="7"/>
      <c r="BO690" s="4"/>
      <c r="BP690" s="8"/>
      <c r="BQ690" s="4"/>
      <c r="BR690" s="8"/>
      <c r="BS690" s="7"/>
      <c r="BT690" s="7"/>
      <c r="BU690" s="2" t="s">
        <v>2921</v>
      </c>
      <c r="BV690" s="2" t="s">
        <v>243</v>
      </c>
      <c r="BW690" s="2" t="s">
        <v>235</v>
      </c>
      <c r="BX690" s="2" t="s">
        <v>244</v>
      </c>
      <c r="BY690" s="2" t="s">
        <v>245</v>
      </c>
      <c r="BZ690" s="2" t="s">
        <v>232</v>
      </c>
      <c r="CA690" s="2" t="s">
        <v>1924</v>
      </c>
      <c r="CB690" s="2" t="s">
        <v>2967</v>
      </c>
      <c r="CC690" s="2" t="s">
        <v>248</v>
      </c>
      <c r="CD690" s="2" t="s">
        <v>248</v>
      </c>
      <c r="CE690" s="2" t="s">
        <v>235</v>
      </c>
      <c r="CF690" s="4">
        <v>200</v>
      </c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>
        <v>212</v>
      </c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>
        <v>200</v>
      </c>
      <c r="GE690" s="4">
        <v>177</v>
      </c>
      <c r="GF690" s="4">
        <v>168</v>
      </c>
      <c r="GG690" s="4">
        <v>155</v>
      </c>
      <c r="GH690" s="4">
        <v>140</v>
      </c>
      <c r="GI690" s="4">
        <v>116</v>
      </c>
      <c r="GJ690" s="4">
        <v>74</v>
      </c>
      <c r="GK690" s="4">
        <v>52</v>
      </c>
      <c r="GL690" s="4">
        <v>30</v>
      </c>
      <c r="GM690" s="4">
        <v>226</v>
      </c>
      <c r="GN690" s="4">
        <v>210</v>
      </c>
      <c r="GO690" s="4">
        <v>191</v>
      </c>
      <c r="GP690" s="4">
        <v>168</v>
      </c>
      <c r="GQ690" s="4">
        <v>132</v>
      </c>
      <c r="GR690" s="4">
        <v>113</v>
      </c>
      <c r="GS690" s="4">
        <v>95</v>
      </c>
      <c r="GT690" s="4">
        <v>82</v>
      </c>
      <c r="GU690" s="4">
        <v>71</v>
      </c>
      <c r="GV690" s="4">
        <v>59</v>
      </c>
      <c r="GW690" s="4">
        <v>50</v>
      </c>
      <c r="GX690" s="4">
        <v>43</v>
      </c>
      <c r="GY690" s="4">
        <v>37</v>
      </c>
      <c r="GZ690" s="4">
        <v>30</v>
      </c>
      <c r="HA690" s="4">
        <v>23</v>
      </c>
      <c r="HB690" s="4">
        <v>16</v>
      </c>
      <c r="HC690" s="4">
        <v>9</v>
      </c>
      <c r="HD690" s="19">
        <v>13.3</v>
      </c>
      <c r="HE690" s="19">
        <v>11.8</v>
      </c>
      <c r="HF690" s="19">
        <v>7</v>
      </c>
      <c r="HG690" s="19">
        <v>6</v>
      </c>
      <c r="HH690" s="19">
        <v>5</v>
      </c>
      <c r="HI690" s="19">
        <v>4.5</v>
      </c>
      <c r="HJ690" s="19">
        <v>3.9</v>
      </c>
      <c r="HK690" s="19">
        <v>2.9</v>
      </c>
      <c r="HL690" s="19">
        <v>1.7</v>
      </c>
      <c r="HM690" s="19">
        <v>9.4</v>
      </c>
      <c r="HN690" s="19">
        <v>8.8</v>
      </c>
      <c r="HO690" s="19">
        <v>8</v>
      </c>
      <c r="HP690" s="19">
        <v>7.6</v>
      </c>
      <c r="HQ690" s="19">
        <v>8.8</v>
      </c>
      <c r="HR690" s="19">
        <v>8.1</v>
      </c>
      <c r="HS690" s="19">
        <v>8.6</v>
      </c>
      <c r="HT690" s="19">
        <v>8.2</v>
      </c>
      <c r="HU690" s="19">
        <v>8.9</v>
      </c>
      <c r="HV690" s="19">
        <v>8.4</v>
      </c>
      <c r="HW690" s="19">
        <v>7.1</v>
      </c>
      <c r="HX690" s="19">
        <v>6.1</v>
      </c>
      <c r="HY690" s="19">
        <v>5.3</v>
      </c>
      <c r="HZ690" s="19">
        <v>4.3</v>
      </c>
      <c r="IA690" s="19">
        <v>3.8</v>
      </c>
      <c r="IB690" s="19">
        <v>2.7</v>
      </c>
      <c r="IC690" s="19">
        <v>1.5</v>
      </c>
    </row>
    <row r="691">
      <c r="A691" s="2" t="s">
        <v>3072</v>
      </c>
      <c r="B691" s="2" t="s">
        <v>323</v>
      </c>
      <c r="C691" s="2" t="s">
        <v>980</v>
      </c>
      <c r="D691" s="2" t="s">
        <v>257</v>
      </c>
      <c r="E691" s="2" t="s">
        <v>258</v>
      </c>
      <c r="F691" s="2" t="s">
        <v>2905</v>
      </c>
      <c r="G691" s="2" t="s">
        <v>2905</v>
      </c>
      <c r="H691" s="2" t="s">
        <v>2905</v>
      </c>
      <c r="I691" s="2" t="s">
        <v>405</v>
      </c>
      <c r="J691" s="2" t="s">
        <v>272</v>
      </c>
      <c r="K691" s="2" t="s">
        <v>3066</v>
      </c>
      <c r="L691" s="3">
        <v>28.98</v>
      </c>
      <c r="M691" s="3">
        <v>30.43</v>
      </c>
      <c r="N691" s="3">
        <v>64.99</v>
      </c>
      <c r="O691" s="2" t="s">
        <v>232</v>
      </c>
      <c r="P691" s="2" t="s">
        <v>233</v>
      </c>
      <c r="Q691" s="2" t="s">
        <v>234</v>
      </c>
      <c r="R691" s="2" t="s">
        <v>235</v>
      </c>
      <c r="S691" s="2" t="s">
        <v>3071</v>
      </c>
      <c r="T691" s="2" t="s">
        <v>2908</v>
      </c>
      <c r="U691" s="2" t="s">
        <v>235</v>
      </c>
      <c r="V691" s="2" t="s">
        <v>2919</v>
      </c>
      <c r="W691" s="2" t="s">
        <v>239</v>
      </c>
      <c r="X691" s="2" t="s">
        <v>235</v>
      </c>
      <c r="Y691" s="2" t="s">
        <v>2938</v>
      </c>
      <c r="Z691" s="4">
        <v>185</v>
      </c>
      <c r="AA691" s="4">
        <f>=ROUNDDOWN(18.5,0)</f>
      </c>
      <c r="AB691" s="5">
        <v>10</v>
      </c>
      <c r="AC691" s="2" t="s">
        <v>3019</v>
      </c>
      <c r="AD691" s="4">
        <v>175</v>
      </c>
      <c r="AE691" s="4">
        <v>175</v>
      </c>
      <c r="AF691" s="6">
        <v>78</v>
      </c>
      <c r="AG691" s="6"/>
      <c r="AH691" s="7">
        <v>0</v>
      </c>
      <c r="AI691" s="4"/>
      <c r="AJ691" s="4">
        <f>=ROUNDDOWN({0},0)</f>
      </c>
      <c r="AK691" s="5"/>
      <c r="AL691" s="2" t="s">
        <v>235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235</v>
      </c>
      <c r="AW691" s="8" t="s">
        <v>235</v>
      </c>
      <c r="AX691" s="4" t="s">
        <v>235</v>
      </c>
      <c r="AY691" s="8" t="s">
        <v>235</v>
      </c>
      <c r="AZ691" s="7" t="s">
        <v>235</v>
      </c>
      <c r="BA691" s="7" t="s">
        <v>235</v>
      </c>
      <c r="BB691" s="7"/>
      <c r="BC691" s="4" t="s">
        <v>235</v>
      </c>
      <c r="BD691" s="8" t="s">
        <v>235</v>
      </c>
      <c r="BE691" s="4" t="s">
        <v>235</v>
      </c>
      <c r="BF691" s="8" t="s">
        <v>235</v>
      </c>
      <c r="BG691" s="7" t="s">
        <v>235</v>
      </c>
      <c r="BH691" s="7" t="s">
        <v>235</v>
      </c>
      <c r="BI691" s="7"/>
      <c r="BJ691" s="4"/>
      <c r="BK691" s="8"/>
      <c r="BL691" s="2" t="s">
        <v>3073</v>
      </c>
      <c r="BM691" s="7"/>
      <c r="BN691" s="7"/>
      <c r="BO691" s="4"/>
      <c r="BP691" s="8"/>
      <c r="BQ691" s="4"/>
      <c r="BR691" s="8"/>
      <c r="BS691" s="7"/>
      <c r="BT691" s="7"/>
      <c r="BU691" s="2" t="s">
        <v>2921</v>
      </c>
      <c r="BV691" s="2" t="s">
        <v>243</v>
      </c>
      <c r="BW691" s="2" t="s">
        <v>235</v>
      </c>
      <c r="BX691" s="2" t="s">
        <v>244</v>
      </c>
      <c r="BY691" s="2" t="s">
        <v>245</v>
      </c>
      <c r="BZ691" s="2" t="s">
        <v>232</v>
      </c>
      <c r="CA691" s="2" t="s">
        <v>1924</v>
      </c>
      <c r="CB691" s="2" t="s">
        <v>3074</v>
      </c>
      <c r="CC691" s="2" t="s">
        <v>248</v>
      </c>
      <c r="CD691" s="2" t="s">
        <v>248</v>
      </c>
      <c r="CE691" s="2" t="s">
        <v>235</v>
      </c>
      <c r="CF691" s="4">
        <v>185</v>
      </c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>
        <v>175</v>
      </c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>
        <v>203</v>
      </c>
      <c r="GE691" s="4">
        <v>178</v>
      </c>
      <c r="GF691" s="4">
        <v>171</v>
      </c>
      <c r="GG691" s="4">
        <v>162</v>
      </c>
      <c r="GH691" s="4">
        <v>151</v>
      </c>
      <c r="GI691" s="4">
        <v>133</v>
      </c>
      <c r="GJ691" s="4">
        <v>102</v>
      </c>
      <c r="GK691" s="4">
        <v>84</v>
      </c>
      <c r="GL691" s="4">
        <v>67</v>
      </c>
      <c r="GM691" s="4">
        <v>229</v>
      </c>
      <c r="GN691" s="4">
        <v>214</v>
      </c>
      <c r="GO691" s="4">
        <v>196</v>
      </c>
      <c r="GP691" s="4">
        <v>173</v>
      </c>
      <c r="GQ691" s="4">
        <v>133</v>
      </c>
      <c r="GR691" s="4">
        <v>114</v>
      </c>
      <c r="GS691" s="4">
        <v>94</v>
      </c>
      <c r="GT691" s="4">
        <v>80</v>
      </c>
      <c r="GU691" s="4">
        <v>69</v>
      </c>
      <c r="GV691" s="4">
        <v>57</v>
      </c>
      <c r="GW691" s="4">
        <v>48</v>
      </c>
      <c r="GX691" s="4">
        <v>41</v>
      </c>
      <c r="GY691" s="4">
        <v>35</v>
      </c>
      <c r="GZ691" s="4">
        <v>29</v>
      </c>
      <c r="HA691" s="4">
        <v>23</v>
      </c>
      <c r="HB691" s="4">
        <v>17</v>
      </c>
      <c r="HC691" s="4">
        <v>11</v>
      </c>
      <c r="HD691" s="19">
        <v>15.6</v>
      </c>
      <c r="HE691" s="19">
        <v>16.2</v>
      </c>
      <c r="HF691" s="19">
        <v>10.1</v>
      </c>
      <c r="HG691" s="19">
        <v>8.1</v>
      </c>
      <c r="HH691" s="19">
        <v>7.2</v>
      </c>
      <c r="HI691" s="19">
        <v>6.7</v>
      </c>
      <c r="HJ691" s="19">
        <v>6.4</v>
      </c>
      <c r="HK691" s="19">
        <v>5.3</v>
      </c>
      <c r="HL691" s="19">
        <v>3.9</v>
      </c>
      <c r="HM691" s="19">
        <v>9.5</v>
      </c>
      <c r="HN691" s="19">
        <v>8.6</v>
      </c>
      <c r="HO691" s="19">
        <v>7.5</v>
      </c>
      <c r="HP691" s="19">
        <v>7.5</v>
      </c>
      <c r="HQ691" s="19">
        <v>8.3</v>
      </c>
      <c r="HR691" s="19">
        <v>8.1</v>
      </c>
      <c r="HS691" s="19">
        <v>7.8</v>
      </c>
      <c r="HT691" s="19">
        <v>8</v>
      </c>
      <c r="HU691" s="19">
        <v>8.6</v>
      </c>
      <c r="HV691" s="19">
        <v>8.1</v>
      </c>
      <c r="HW691" s="19">
        <v>8</v>
      </c>
      <c r="HX691" s="19">
        <v>6.8</v>
      </c>
      <c r="HY691" s="19">
        <v>5.8</v>
      </c>
      <c r="HZ691" s="19">
        <v>4.8</v>
      </c>
      <c r="IA691" s="19">
        <v>3.8</v>
      </c>
      <c r="IB691" s="19">
        <v>3.4</v>
      </c>
      <c r="IC691" s="19">
        <v>2.2</v>
      </c>
    </row>
    <row r="692">
      <c r="A692" s="2" t="s">
        <v>3075</v>
      </c>
      <c r="B692" s="2" t="s">
        <v>323</v>
      </c>
      <c r="C692" s="2" t="s">
        <v>980</v>
      </c>
      <c r="D692" s="2" t="s">
        <v>257</v>
      </c>
      <c r="E692" s="2" t="s">
        <v>258</v>
      </c>
      <c r="F692" s="2" t="s">
        <v>2905</v>
      </c>
      <c r="G692" s="2" t="s">
        <v>2905</v>
      </c>
      <c r="H692" s="2" t="s">
        <v>2905</v>
      </c>
      <c r="I692" s="2" t="s">
        <v>405</v>
      </c>
      <c r="J692" s="2" t="s">
        <v>394</v>
      </c>
      <c r="K692" s="2" t="s">
        <v>3076</v>
      </c>
      <c r="L692" s="3">
        <v>19.8</v>
      </c>
      <c r="M692" s="3">
        <v>20.79</v>
      </c>
      <c r="N692" s="3">
        <v>44.99</v>
      </c>
      <c r="O692" s="2" t="s">
        <v>232</v>
      </c>
      <c r="P692" s="2" t="s">
        <v>233</v>
      </c>
      <c r="Q692" s="2" t="s">
        <v>234</v>
      </c>
      <c r="R692" s="2" t="s">
        <v>235</v>
      </c>
      <c r="S692" s="2" t="s">
        <v>3077</v>
      </c>
      <c r="T692" s="2" t="s">
        <v>2908</v>
      </c>
      <c r="U692" s="2" t="s">
        <v>235</v>
      </c>
      <c r="V692" s="2" t="s">
        <v>2919</v>
      </c>
      <c r="W692" s="2" t="s">
        <v>1798</v>
      </c>
      <c r="X692" s="2" t="s">
        <v>239</v>
      </c>
      <c r="Y692" s="2" t="s">
        <v>3029</v>
      </c>
      <c r="Z692" s="4">
        <v>185</v>
      </c>
      <c r="AA692" s="4">
        <f>=ROUNDDOWN(20.5555555555556,0)</f>
      </c>
      <c r="AB692" s="5">
        <v>9</v>
      </c>
      <c r="AC692" s="2" t="s">
        <v>3019</v>
      </c>
      <c r="AD692" s="4">
        <v>158</v>
      </c>
      <c r="AE692" s="4">
        <v>158</v>
      </c>
      <c r="AF692" s="6">
        <v>78</v>
      </c>
      <c r="AG692" s="6"/>
      <c r="AH692" s="7">
        <v>0</v>
      </c>
      <c r="AI692" s="4"/>
      <c r="AJ692" s="4">
        <f>=ROUNDDOWN({0},0)</f>
      </c>
      <c r="AK692" s="5"/>
      <c r="AL692" s="2" t="s">
        <v>235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235</v>
      </c>
      <c r="AW692" s="8" t="s">
        <v>235</v>
      </c>
      <c r="AX692" s="4" t="s">
        <v>235</v>
      </c>
      <c r="AY692" s="8" t="s">
        <v>235</v>
      </c>
      <c r="AZ692" s="7" t="s">
        <v>235</v>
      </c>
      <c r="BA692" s="7" t="s">
        <v>235</v>
      </c>
      <c r="BB692" s="7"/>
      <c r="BC692" s="4" t="s">
        <v>235</v>
      </c>
      <c r="BD692" s="8" t="s">
        <v>235</v>
      </c>
      <c r="BE692" s="4" t="s">
        <v>235</v>
      </c>
      <c r="BF692" s="8" t="s">
        <v>235</v>
      </c>
      <c r="BG692" s="7" t="s">
        <v>235</v>
      </c>
      <c r="BH692" s="7" t="s">
        <v>235</v>
      </c>
      <c r="BI692" s="7"/>
      <c r="BJ692" s="4"/>
      <c r="BK692" s="8"/>
      <c r="BL692" s="2" t="s">
        <v>3078</v>
      </c>
      <c r="BM692" s="7"/>
      <c r="BN692" s="7"/>
      <c r="BO692" s="4"/>
      <c r="BP692" s="8"/>
      <c r="BQ692" s="4"/>
      <c r="BR692" s="8"/>
      <c r="BS692" s="7"/>
      <c r="BT692" s="7"/>
      <c r="BU692" s="2" t="s">
        <v>2921</v>
      </c>
      <c r="BV692" s="2" t="s">
        <v>243</v>
      </c>
      <c r="BW692" s="2" t="s">
        <v>235</v>
      </c>
      <c r="BX692" s="2" t="s">
        <v>244</v>
      </c>
      <c r="BY692" s="2" t="s">
        <v>245</v>
      </c>
      <c r="BZ692" s="2" t="s">
        <v>232</v>
      </c>
      <c r="CA692" s="2" t="s">
        <v>1924</v>
      </c>
      <c r="CB692" s="2" t="s">
        <v>3079</v>
      </c>
      <c r="CC692" s="2" t="s">
        <v>248</v>
      </c>
      <c r="CD692" s="2" t="s">
        <v>248</v>
      </c>
      <c r="CE692" s="2" t="s">
        <v>235</v>
      </c>
      <c r="CF692" s="4">
        <v>185</v>
      </c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>
        <v>158</v>
      </c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>
        <v>186</v>
      </c>
      <c r="GE692" s="4">
        <v>166</v>
      </c>
      <c r="GF692" s="4">
        <v>159</v>
      </c>
      <c r="GG692" s="4">
        <v>150</v>
      </c>
      <c r="GH692" s="4">
        <v>139</v>
      </c>
      <c r="GI692" s="4">
        <v>122</v>
      </c>
      <c r="GJ692" s="4">
        <v>92</v>
      </c>
      <c r="GK692" s="4">
        <v>75</v>
      </c>
      <c r="GL692" s="4">
        <v>59</v>
      </c>
      <c r="GM692" s="4">
        <v>205</v>
      </c>
      <c r="GN692" s="4">
        <v>192</v>
      </c>
      <c r="GO692" s="4">
        <v>176</v>
      </c>
      <c r="GP692" s="4">
        <v>156</v>
      </c>
      <c r="GQ692" s="4">
        <v>122</v>
      </c>
      <c r="GR692" s="4">
        <v>105</v>
      </c>
      <c r="GS692" s="4">
        <v>88</v>
      </c>
      <c r="GT692" s="4">
        <v>76</v>
      </c>
      <c r="GU692" s="4">
        <v>66</v>
      </c>
      <c r="GV692" s="4">
        <v>55</v>
      </c>
      <c r="GW692" s="4">
        <v>47</v>
      </c>
      <c r="GX692" s="4">
        <v>41</v>
      </c>
      <c r="GY692" s="4">
        <v>141</v>
      </c>
      <c r="GZ692" s="4">
        <v>135</v>
      </c>
      <c r="HA692" s="4">
        <v>129</v>
      </c>
      <c r="HB692" s="4">
        <v>123</v>
      </c>
      <c r="HC692" s="4">
        <v>117</v>
      </c>
      <c r="HD692" s="19">
        <v>15.5</v>
      </c>
      <c r="HE692" s="19">
        <v>15.1</v>
      </c>
      <c r="HF692" s="19">
        <v>9.4</v>
      </c>
      <c r="HG692" s="19">
        <v>7.9</v>
      </c>
      <c r="HH692" s="19">
        <v>7</v>
      </c>
      <c r="HI692" s="19">
        <v>6.4</v>
      </c>
      <c r="HJ692" s="19">
        <v>6.6</v>
      </c>
      <c r="HK692" s="19">
        <v>5.4</v>
      </c>
      <c r="HL692" s="19">
        <v>3.9</v>
      </c>
      <c r="HM692" s="19">
        <v>9.8</v>
      </c>
      <c r="HN692" s="19">
        <v>8.7</v>
      </c>
      <c r="HO692" s="19">
        <v>8</v>
      </c>
      <c r="HP692" s="19">
        <v>7.8</v>
      </c>
      <c r="HQ692" s="19">
        <v>8.7</v>
      </c>
      <c r="HR692" s="19">
        <v>8.8</v>
      </c>
      <c r="HS692" s="19">
        <v>8.8</v>
      </c>
      <c r="HT692" s="19">
        <v>8.4</v>
      </c>
      <c r="HU692" s="19">
        <v>8.3</v>
      </c>
      <c r="HV692" s="19">
        <v>9.2</v>
      </c>
      <c r="HW692" s="19">
        <v>7.8</v>
      </c>
      <c r="HX692" s="19">
        <v>6.8</v>
      </c>
      <c r="HY692" s="19">
        <v>23.5</v>
      </c>
      <c r="HZ692" s="19">
        <v>22.5</v>
      </c>
      <c r="IA692" s="19">
        <v>21.5</v>
      </c>
      <c r="IB692" s="19">
        <v>24.6</v>
      </c>
      <c r="IC692" s="19">
        <v>23.4</v>
      </c>
    </row>
    <row r="693">
      <c r="A693" s="2" t="s">
        <v>3080</v>
      </c>
      <c r="B693" s="2" t="s">
        <v>323</v>
      </c>
      <c r="C693" s="2" t="s">
        <v>980</v>
      </c>
      <c r="D693" s="2" t="s">
        <v>257</v>
      </c>
      <c r="E693" s="2" t="s">
        <v>258</v>
      </c>
      <c r="F693" s="2" t="s">
        <v>2905</v>
      </c>
      <c r="G693" s="2" t="s">
        <v>2905</v>
      </c>
      <c r="H693" s="2" t="s">
        <v>2905</v>
      </c>
      <c r="I693" s="2" t="s">
        <v>405</v>
      </c>
      <c r="J693" s="2" t="s">
        <v>261</v>
      </c>
      <c r="K693" s="2" t="s">
        <v>3076</v>
      </c>
      <c r="L693" s="3">
        <v>24.3</v>
      </c>
      <c r="M693" s="3">
        <v>25.52</v>
      </c>
      <c r="N693" s="3">
        <v>54.99</v>
      </c>
      <c r="O693" s="2" t="s">
        <v>232</v>
      </c>
      <c r="P693" s="2" t="s">
        <v>233</v>
      </c>
      <c r="Q693" s="2" t="s">
        <v>234</v>
      </c>
      <c r="R693" s="2" t="s">
        <v>235</v>
      </c>
      <c r="S693" s="2" t="s">
        <v>3081</v>
      </c>
      <c r="T693" s="2" t="s">
        <v>2908</v>
      </c>
      <c r="U693" s="2" t="s">
        <v>235</v>
      </c>
      <c r="V693" s="2" t="s">
        <v>2919</v>
      </c>
      <c r="W693" s="2" t="s">
        <v>1798</v>
      </c>
      <c r="X693" s="2" t="s">
        <v>239</v>
      </c>
      <c r="Y693" s="2" t="s">
        <v>3082</v>
      </c>
      <c r="Z693" s="4">
        <v>274</v>
      </c>
      <c r="AA693" s="4">
        <f>=ROUNDDOWN(17.125,0)</f>
      </c>
      <c r="AB693" s="5">
        <v>16</v>
      </c>
      <c r="AC693" s="2" t="s">
        <v>3019</v>
      </c>
      <c r="AD693" s="4">
        <v>267</v>
      </c>
      <c r="AE693" s="4">
        <v>267</v>
      </c>
      <c r="AF693" s="6">
        <v>78</v>
      </c>
      <c r="AG693" s="6"/>
      <c r="AH693" s="7">
        <v>0</v>
      </c>
      <c r="AI693" s="4"/>
      <c r="AJ693" s="4">
        <f>=ROUNDDOWN({0},0)</f>
      </c>
      <c r="AK693" s="5"/>
      <c r="AL693" s="2" t="s">
        <v>235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235</v>
      </c>
      <c r="AW693" s="8" t="s">
        <v>235</v>
      </c>
      <c r="AX693" s="4" t="s">
        <v>235</v>
      </c>
      <c r="AY693" s="8" t="s">
        <v>235</v>
      </c>
      <c r="AZ693" s="7" t="s">
        <v>235</v>
      </c>
      <c r="BA693" s="7" t="s">
        <v>235</v>
      </c>
      <c r="BB693" s="7"/>
      <c r="BC693" s="4" t="s">
        <v>235</v>
      </c>
      <c r="BD693" s="8" t="s">
        <v>235</v>
      </c>
      <c r="BE693" s="4" t="s">
        <v>235</v>
      </c>
      <c r="BF693" s="8" t="s">
        <v>235</v>
      </c>
      <c r="BG693" s="7" t="s">
        <v>235</v>
      </c>
      <c r="BH693" s="7" t="s">
        <v>235</v>
      </c>
      <c r="BI693" s="7"/>
      <c r="BJ693" s="4"/>
      <c r="BK693" s="8"/>
      <c r="BL693" s="2" t="s">
        <v>529</v>
      </c>
      <c r="BM693" s="7"/>
      <c r="BN693" s="7"/>
      <c r="BO693" s="4"/>
      <c r="BP693" s="8"/>
      <c r="BQ693" s="4"/>
      <c r="BR693" s="8"/>
      <c r="BS693" s="7"/>
      <c r="BT693" s="7"/>
      <c r="BU693" s="2" t="s">
        <v>2921</v>
      </c>
      <c r="BV693" s="2" t="s">
        <v>243</v>
      </c>
      <c r="BW693" s="2" t="s">
        <v>235</v>
      </c>
      <c r="BX693" s="2" t="s">
        <v>244</v>
      </c>
      <c r="BY693" s="2" t="s">
        <v>245</v>
      </c>
      <c r="BZ693" s="2" t="s">
        <v>232</v>
      </c>
      <c r="CA693" s="2" t="s">
        <v>1924</v>
      </c>
      <c r="CB693" s="2" t="s">
        <v>3083</v>
      </c>
      <c r="CC693" s="2" t="s">
        <v>248</v>
      </c>
      <c r="CD693" s="2" t="s">
        <v>248</v>
      </c>
      <c r="CE693" s="2" t="s">
        <v>235</v>
      </c>
      <c r="CF693" s="4">
        <v>274</v>
      </c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>
        <v>267</v>
      </c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>
        <v>274</v>
      </c>
      <c r="GE693" s="4">
        <v>236</v>
      </c>
      <c r="GF693" s="4">
        <v>225</v>
      </c>
      <c r="GG693" s="4">
        <v>211</v>
      </c>
      <c r="GH693" s="4">
        <v>195</v>
      </c>
      <c r="GI693" s="4">
        <v>168</v>
      </c>
      <c r="GJ693" s="4">
        <v>126</v>
      </c>
      <c r="GK693" s="4">
        <v>100</v>
      </c>
      <c r="GL693" s="4">
        <v>75</v>
      </c>
      <c r="GM693" s="4">
        <v>322</v>
      </c>
      <c r="GN693" s="4">
        <v>297</v>
      </c>
      <c r="GO693" s="4">
        <v>267</v>
      </c>
      <c r="GP693" s="4">
        <v>227</v>
      </c>
      <c r="GQ693" s="4">
        <v>155</v>
      </c>
      <c r="GR693" s="4">
        <v>120</v>
      </c>
      <c r="GS693" s="4">
        <v>85</v>
      </c>
      <c r="GT693" s="4">
        <v>61</v>
      </c>
      <c r="GU693" s="4">
        <v>43</v>
      </c>
      <c r="GV693" s="4">
        <v>22</v>
      </c>
      <c r="GW693" s="4">
        <v>7</v>
      </c>
      <c r="GX693" s="4"/>
      <c r="GY693" s="4">
        <v>246</v>
      </c>
      <c r="GZ693" s="4">
        <v>229</v>
      </c>
      <c r="HA693" s="4">
        <v>218</v>
      </c>
      <c r="HB693" s="4">
        <v>207</v>
      </c>
      <c r="HC693" s="4">
        <v>196</v>
      </c>
      <c r="HD693" s="19">
        <v>13.7</v>
      </c>
      <c r="HE693" s="19">
        <v>13.9</v>
      </c>
      <c r="HF693" s="19">
        <v>9</v>
      </c>
      <c r="HG693" s="19">
        <v>7.5</v>
      </c>
      <c r="HH693" s="19">
        <v>6.5</v>
      </c>
      <c r="HI693" s="19">
        <v>6</v>
      </c>
      <c r="HJ693" s="19">
        <v>5.3</v>
      </c>
      <c r="HK693" s="19">
        <v>4</v>
      </c>
      <c r="HL693" s="19">
        <v>2.6</v>
      </c>
      <c r="HM693" s="19">
        <v>7.7</v>
      </c>
      <c r="HN693" s="19">
        <v>6.8</v>
      </c>
      <c r="HO693" s="19">
        <v>5.8</v>
      </c>
      <c r="HP693" s="19">
        <v>5.4</v>
      </c>
      <c r="HQ693" s="19">
        <v>5.5</v>
      </c>
      <c r="HR693" s="19">
        <v>5</v>
      </c>
      <c r="HS693" s="19">
        <v>4.3</v>
      </c>
      <c r="HT693" s="19">
        <v>3.8</v>
      </c>
      <c r="HU693" s="19">
        <v>3.3</v>
      </c>
      <c r="HV693" s="19">
        <v>1.8</v>
      </c>
      <c r="HW693" s="19">
        <v>0.6</v>
      </c>
      <c r="HX693" s="20">
        <v>0</v>
      </c>
      <c r="HY693" s="19">
        <v>20.5</v>
      </c>
      <c r="HZ693" s="19">
        <v>22.9</v>
      </c>
      <c r="IA693" s="19">
        <v>21.8</v>
      </c>
      <c r="IB693" s="19">
        <v>23</v>
      </c>
      <c r="IC693" s="19">
        <v>24.5</v>
      </c>
    </row>
    <row r="694">
      <c r="A694" s="2" t="s">
        <v>3084</v>
      </c>
      <c r="B694" s="2" t="s">
        <v>323</v>
      </c>
      <c r="C694" s="2" t="s">
        <v>980</v>
      </c>
      <c r="D694" s="2" t="s">
        <v>257</v>
      </c>
      <c r="E694" s="2" t="s">
        <v>258</v>
      </c>
      <c r="F694" s="2" t="s">
        <v>2905</v>
      </c>
      <c r="G694" s="2" t="s">
        <v>2905</v>
      </c>
      <c r="H694" s="2" t="s">
        <v>2905</v>
      </c>
      <c r="I694" s="2" t="s">
        <v>405</v>
      </c>
      <c r="J694" s="2" t="s">
        <v>270</v>
      </c>
      <c r="K694" s="2" t="s">
        <v>3076</v>
      </c>
      <c r="L694" s="3">
        <v>28.98</v>
      </c>
      <c r="M694" s="3">
        <v>30.43</v>
      </c>
      <c r="N694" s="3">
        <v>64.99</v>
      </c>
      <c r="O694" s="2" t="s">
        <v>232</v>
      </c>
      <c r="P694" s="2" t="s">
        <v>233</v>
      </c>
      <c r="Q694" s="2" t="s">
        <v>234</v>
      </c>
      <c r="R694" s="2" t="s">
        <v>235</v>
      </c>
      <c r="S694" s="2" t="s">
        <v>3081</v>
      </c>
      <c r="T694" s="2" t="s">
        <v>2908</v>
      </c>
      <c r="U694" s="2" t="s">
        <v>235</v>
      </c>
      <c r="V694" s="2" t="s">
        <v>2919</v>
      </c>
      <c r="W694" s="2" t="s">
        <v>1798</v>
      </c>
      <c r="X694" s="2" t="s">
        <v>239</v>
      </c>
      <c r="Y694" s="2" t="s">
        <v>3029</v>
      </c>
      <c r="Z694" s="4">
        <v>123</v>
      </c>
      <c r="AA694" s="4">
        <f>=ROUNDDOWN(15.375,0)</f>
      </c>
      <c r="AB694" s="5">
        <v>8</v>
      </c>
      <c r="AC694" s="2" t="s">
        <v>3019</v>
      </c>
      <c r="AD694" s="4">
        <v>164</v>
      </c>
      <c r="AE694" s="4">
        <v>164</v>
      </c>
      <c r="AF694" s="6">
        <v>78</v>
      </c>
      <c r="AG694" s="6"/>
      <c r="AH694" s="7">
        <v>0</v>
      </c>
      <c r="AI694" s="4"/>
      <c r="AJ694" s="4">
        <f>=ROUNDDOWN({0},0)</f>
      </c>
      <c r="AK694" s="5"/>
      <c r="AL694" s="2" t="s">
        <v>235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235</v>
      </c>
      <c r="AW694" s="8" t="s">
        <v>235</v>
      </c>
      <c r="AX694" s="4" t="s">
        <v>235</v>
      </c>
      <c r="AY694" s="8" t="s">
        <v>235</v>
      </c>
      <c r="AZ694" s="7" t="s">
        <v>235</v>
      </c>
      <c r="BA694" s="7" t="s">
        <v>235</v>
      </c>
      <c r="BB694" s="7"/>
      <c r="BC694" s="4" t="s">
        <v>235</v>
      </c>
      <c r="BD694" s="8" t="s">
        <v>235</v>
      </c>
      <c r="BE694" s="4" t="s">
        <v>235</v>
      </c>
      <c r="BF694" s="8" t="s">
        <v>235</v>
      </c>
      <c r="BG694" s="7" t="s">
        <v>235</v>
      </c>
      <c r="BH694" s="7" t="s">
        <v>235</v>
      </c>
      <c r="BI694" s="7"/>
      <c r="BJ694" s="4"/>
      <c r="BK694" s="8"/>
      <c r="BL694" s="2" t="s">
        <v>2894</v>
      </c>
      <c r="BM694" s="7"/>
      <c r="BN694" s="7"/>
      <c r="BO694" s="4"/>
      <c r="BP694" s="8"/>
      <c r="BQ694" s="4"/>
      <c r="BR694" s="8"/>
      <c r="BS694" s="7"/>
      <c r="BT694" s="7"/>
      <c r="BU694" s="2" t="s">
        <v>2921</v>
      </c>
      <c r="BV694" s="2" t="s">
        <v>243</v>
      </c>
      <c r="BW694" s="2" t="s">
        <v>235</v>
      </c>
      <c r="BX694" s="2" t="s">
        <v>244</v>
      </c>
      <c r="BY694" s="2" t="s">
        <v>245</v>
      </c>
      <c r="BZ694" s="2" t="s">
        <v>232</v>
      </c>
      <c r="CA694" s="2" t="s">
        <v>1924</v>
      </c>
      <c r="CB694" s="2" t="s">
        <v>2450</v>
      </c>
      <c r="CC694" s="2" t="s">
        <v>248</v>
      </c>
      <c r="CD694" s="2" t="s">
        <v>248</v>
      </c>
      <c r="CE694" s="2" t="s">
        <v>235</v>
      </c>
      <c r="CF694" s="4">
        <v>122</v>
      </c>
      <c r="CG694" s="4">
        <v>1</v>
      </c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>
        <v>164</v>
      </c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>
        <v>125</v>
      </c>
      <c r="GE694" s="4">
        <v>101</v>
      </c>
      <c r="GF694" s="4">
        <v>95</v>
      </c>
      <c r="GG694" s="4">
        <v>87</v>
      </c>
      <c r="GH694" s="4">
        <v>78</v>
      </c>
      <c r="GI694" s="4">
        <v>64</v>
      </c>
      <c r="GJ694" s="4">
        <v>40</v>
      </c>
      <c r="GK694" s="4">
        <v>26</v>
      </c>
      <c r="GL694" s="4">
        <v>13</v>
      </c>
      <c r="GM694" s="4">
        <v>167</v>
      </c>
      <c r="GN694" s="4">
        <v>155</v>
      </c>
      <c r="GO694" s="4">
        <v>140</v>
      </c>
      <c r="GP694" s="4">
        <v>121</v>
      </c>
      <c r="GQ694" s="4">
        <v>88</v>
      </c>
      <c r="GR694" s="4">
        <v>71</v>
      </c>
      <c r="GS694" s="4">
        <v>55</v>
      </c>
      <c r="GT694" s="4">
        <v>44</v>
      </c>
      <c r="GU694" s="4">
        <v>35</v>
      </c>
      <c r="GV694" s="4">
        <v>25</v>
      </c>
      <c r="GW694" s="4">
        <v>17</v>
      </c>
      <c r="GX694" s="4">
        <v>11</v>
      </c>
      <c r="GY694" s="4">
        <v>124</v>
      </c>
      <c r="GZ694" s="4">
        <v>118</v>
      </c>
      <c r="HA694" s="4">
        <v>112</v>
      </c>
      <c r="HB694" s="4">
        <v>106</v>
      </c>
      <c r="HC694" s="4">
        <v>100</v>
      </c>
      <c r="HD694" s="19">
        <v>10.4</v>
      </c>
      <c r="HE694" s="19">
        <v>11.2</v>
      </c>
      <c r="HF694" s="19">
        <v>6.8</v>
      </c>
      <c r="HG694" s="19">
        <v>5.8</v>
      </c>
      <c r="HH694" s="19">
        <v>4.9</v>
      </c>
      <c r="HI694" s="19">
        <v>4.3</v>
      </c>
      <c r="HJ694" s="19">
        <v>3.3</v>
      </c>
      <c r="HK694" s="19">
        <v>2.2</v>
      </c>
      <c r="HL694" s="19">
        <v>0.9</v>
      </c>
      <c r="HM694" s="19">
        <v>8.4</v>
      </c>
      <c r="HN694" s="19">
        <v>7.4</v>
      </c>
      <c r="HO694" s="19">
        <v>6.7</v>
      </c>
      <c r="HP694" s="19">
        <v>6.4</v>
      </c>
      <c r="HQ694" s="19">
        <v>6.8</v>
      </c>
      <c r="HR694" s="19">
        <v>5.9</v>
      </c>
      <c r="HS694" s="19">
        <v>5.5</v>
      </c>
      <c r="HT694" s="19">
        <v>5.5</v>
      </c>
      <c r="HU694" s="19">
        <v>5</v>
      </c>
      <c r="HV694" s="19">
        <v>4.2</v>
      </c>
      <c r="HW694" s="19">
        <v>2.8</v>
      </c>
      <c r="HX694" s="19">
        <v>1.8</v>
      </c>
      <c r="HY694" s="19">
        <v>20.7</v>
      </c>
      <c r="HZ694" s="19">
        <v>19.7</v>
      </c>
      <c r="IA694" s="19">
        <v>18.7</v>
      </c>
      <c r="IB694" s="19">
        <v>21.2</v>
      </c>
      <c r="IC694" s="19">
        <v>25</v>
      </c>
    </row>
    <row r="695">
      <c r="A695" s="2" t="s">
        <v>3085</v>
      </c>
      <c r="B695" s="2" t="s">
        <v>323</v>
      </c>
      <c r="C695" s="2" t="s">
        <v>980</v>
      </c>
      <c r="D695" s="2" t="s">
        <v>257</v>
      </c>
      <c r="E695" s="2" t="s">
        <v>258</v>
      </c>
      <c r="F695" s="2" t="s">
        <v>2905</v>
      </c>
      <c r="G695" s="2" t="s">
        <v>2905</v>
      </c>
      <c r="H695" s="2" t="s">
        <v>2905</v>
      </c>
      <c r="I695" s="2" t="s">
        <v>405</v>
      </c>
      <c r="J695" s="2" t="s">
        <v>272</v>
      </c>
      <c r="K695" s="2" t="s">
        <v>3076</v>
      </c>
      <c r="L695" s="3">
        <v>28.98</v>
      </c>
      <c r="M695" s="3">
        <v>30.43</v>
      </c>
      <c r="N695" s="3">
        <v>64.99</v>
      </c>
      <c r="O695" s="2" t="s">
        <v>232</v>
      </c>
      <c r="P695" s="2" t="s">
        <v>233</v>
      </c>
      <c r="Q695" s="2" t="s">
        <v>234</v>
      </c>
      <c r="R695" s="2" t="s">
        <v>235</v>
      </c>
      <c r="S695" s="2" t="s">
        <v>3081</v>
      </c>
      <c r="T695" s="2" t="s">
        <v>2908</v>
      </c>
      <c r="U695" s="2" t="s">
        <v>235</v>
      </c>
      <c r="V695" s="2" t="s">
        <v>2919</v>
      </c>
      <c r="W695" s="2" t="s">
        <v>1798</v>
      </c>
      <c r="X695" s="2" t="s">
        <v>239</v>
      </c>
      <c r="Y695" s="2" t="s">
        <v>3082</v>
      </c>
      <c r="Z695" s="4">
        <v>299</v>
      </c>
      <c r="AA695" s="4">
        <f>=ROUNDDOWN(74.75,0)</f>
      </c>
      <c r="AB695" s="5">
        <v>4</v>
      </c>
      <c r="AC695" s="2" t="s">
        <v>235</v>
      </c>
      <c r="AD695" s="4"/>
      <c r="AE695" s="4"/>
      <c r="AF695" s="6">
        <v>78</v>
      </c>
      <c r="AG695" s="6"/>
      <c r="AH695" s="7">
        <v>1</v>
      </c>
      <c r="AI695" s="4"/>
      <c r="AJ695" s="4">
        <f>=ROUNDDOWN({0},0)</f>
      </c>
      <c r="AK695" s="5"/>
      <c r="AL695" s="2" t="s">
        <v>235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235</v>
      </c>
      <c r="AW695" s="8" t="s">
        <v>235</v>
      </c>
      <c r="AX695" s="4" t="s">
        <v>235</v>
      </c>
      <c r="AY695" s="8" t="s">
        <v>235</v>
      </c>
      <c r="AZ695" s="7" t="s">
        <v>235</v>
      </c>
      <c r="BA695" s="7" t="s">
        <v>235</v>
      </c>
      <c r="BB695" s="7"/>
      <c r="BC695" s="4" t="s">
        <v>235</v>
      </c>
      <c r="BD695" s="8" t="s">
        <v>235</v>
      </c>
      <c r="BE695" s="4" t="s">
        <v>235</v>
      </c>
      <c r="BF695" s="8" t="s">
        <v>235</v>
      </c>
      <c r="BG695" s="7" t="s">
        <v>235</v>
      </c>
      <c r="BH695" s="7" t="s">
        <v>235</v>
      </c>
      <c r="BI695" s="7"/>
      <c r="BJ695" s="4">
        <v>2</v>
      </c>
      <c r="BK695" s="8">
        <v>66.59</v>
      </c>
      <c r="BL695" s="2" t="s">
        <v>3086</v>
      </c>
      <c r="BM695" s="7"/>
      <c r="BN695" s="7"/>
      <c r="BO695" s="4"/>
      <c r="BP695" s="8"/>
      <c r="BQ695" s="4"/>
      <c r="BR695" s="8"/>
      <c r="BS695" s="7"/>
      <c r="BT695" s="7"/>
      <c r="BU695" s="2" t="s">
        <v>2921</v>
      </c>
      <c r="BV695" s="2" t="s">
        <v>243</v>
      </c>
      <c r="BW695" s="2" t="s">
        <v>235</v>
      </c>
      <c r="BX695" s="2" t="s">
        <v>244</v>
      </c>
      <c r="BY695" s="2" t="s">
        <v>245</v>
      </c>
      <c r="BZ695" s="2" t="s">
        <v>232</v>
      </c>
      <c r="CA695" s="2" t="s">
        <v>1924</v>
      </c>
      <c r="CB695" s="2" t="s">
        <v>3023</v>
      </c>
      <c r="CC695" s="2" t="s">
        <v>248</v>
      </c>
      <c r="CD695" s="2" t="s">
        <v>248</v>
      </c>
      <c r="CE695" s="2" t="s">
        <v>235</v>
      </c>
      <c r="CF695" s="4">
        <v>299</v>
      </c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>
        <v>300</v>
      </c>
      <c r="GE695" s="4">
        <v>296</v>
      </c>
      <c r="GF695" s="4">
        <v>293</v>
      </c>
      <c r="GG695" s="4">
        <v>289</v>
      </c>
      <c r="GH695" s="4">
        <v>285</v>
      </c>
      <c r="GI695" s="4">
        <v>279</v>
      </c>
      <c r="GJ695" s="4">
        <v>270</v>
      </c>
      <c r="GK695" s="4">
        <v>264</v>
      </c>
      <c r="GL695" s="4">
        <v>258</v>
      </c>
      <c r="GM695" s="4">
        <v>253</v>
      </c>
      <c r="GN695" s="4">
        <v>247</v>
      </c>
      <c r="GO695" s="4">
        <v>239</v>
      </c>
      <c r="GP695" s="4">
        <v>229</v>
      </c>
      <c r="GQ695" s="4">
        <v>209</v>
      </c>
      <c r="GR695" s="4">
        <v>199</v>
      </c>
      <c r="GS695" s="4">
        <v>190</v>
      </c>
      <c r="GT695" s="4">
        <v>184</v>
      </c>
      <c r="GU695" s="4">
        <v>179</v>
      </c>
      <c r="GV695" s="4">
        <v>173</v>
      </c>
      <c r="GW695" s="4">
        <v>169</v>
      </c>
      <c r="GX695" s="4">
        <v>166</v>
      </c>
      <c r="GY695" s="4">
        <v>163</v>
      </c>
      <c r="GZ695" s="4">
        <v>160</v>
      </c>
      <c r="HA695" s="4">
        <v>157</v>
      </c>
      <c r="HB695" s="4">
        <v>154</v>
      </c>
      <c r="HC695" s="4">
        <v>151</v>
      </c>
      <c r="HD695" s="19">
        <v>75</v>
      </c>
      <c r="HE695" s="19">
        <v>74</v>
      </c>
      <c r="HF695" s="19">
        <v>48.8</v>
      </c>
      <c r="HG695" s="19">
        <v>48.2</v>
      </c>
      <c r="HH695" s="19">
        <v>40.7</v>
      </c>
      <c r="HI695" s="19">
        <v>46.5</v>
      </c>
      <c r="HJ695" s="19">
        <v>45</v>
      </c>
      <c r="HK695" s="19">
        <v>44</v>
      </c>
      <c r="HL695" s="19">
        <v>36.9</v>
      </c>
      <c r="HM695" s="19">
        <v>23</v>
      </c>
      <c r="HN695" s="19">
        <v>20.6</v>
      </c>
      <c r="HO695" s="19">
        <v>19.9</v>
      </c>
      <c r="HP695" s="19">
        <v>20.8</v>
      </c>
      <c r="HQ695" s="19">
        <v>26.1</v>
      </c>
      <c r="HR695" s="19">
        <v>33.2</v>
      </c>
      <c r="HS695" s="19">
        <v>38</v>
      </c>
      <c r="HT695" s="19">
        <v>46</v>
      </c>
      <c r="HU695" s="19">
        <v>44.8</v>
      </c>
      <c r="HV695" s="19">
        <v>57.7</v>
      </c>
      <c r="HW695" s="19">
        <v>56.3</v>
      </c>
      <c r="HX695" s="19">
        <v>55.3</v>
      </c>
      <c r="HY695" s="19">
        <v>54.3</v>
      </c>
      <c r="HZ695" s="19">
        <v>53.3</v>
      </c>
      <c r="IA695" s="19">
        <v>52.3</v>
      </c>
      <c r="IB695" s="19">
        <v>51.3</v>
      </c>
      <c r="IC695" s="19">
        <v>75.5</v>
      </c>
    </row>
    <row r="696">
      <c r="A696" s="2" t="s">
        <v>3087</v>
      </c>
      <c r="B696" s="2" t="s">
        <v>323</v>
      </c>
      <c r="C696" s="2" t="s">
        <v>980</v>
      </c>
      <c r="D696" s="2" t="s">
        <v>257</v>
      </c>
      <c r="E696" s="2" t="s">
        <v>258</v>
      </c>
      <c r="F696" s="2" t="s">
        <v>2905</v>
      </c>
      <c r="G696" s="2" t="s">
        <v>2905</v>
      </c>
      <c r="H696" s="2" t="s">
        <v>2905</v>
      </c>
      <c r="I696" s="2" t="s">
        <v>405</v>
      </c>
      <c r="J696" s="2" t="s">
        <v>394</v>
      </c>
      <c r="K696" s="2" t="s">
        <v>3088</v>
      </c>
      <c r="L696" s="3">
        <v>19.8</v>
      </c>
      <c r="M696" s="3">
        <v>20.79</v>
      </c>
      <c r="N696" s="3">
        <v>44.99</v>
      </c>
      <c r="O696" s="2" t="s">
        <v>232</v>
      </c>
      <c r="P696" s="2" t="s">
        <v>233</v>
      </c>
      <c r="Q696" s="2" t="s">
        <v>234</v>
      </c>
      <c r="R696" s="2" t="s">
        <v>235</v>
      </c>
      <c r="S696" s="2" t="s">
        <v>3089</v>
      </c>
      <c r="T696" s="2" t="s">
        <v>2908</v>
      </c>
      <c r="U696" s="2" t="s">
        <v>552</v>
      </c>
      <c r="V696" s="2" t="s">
        <v>1222</v>
      </c>
      <c r="W696" s="2" t="s">
        <v>1798</v>
      </c>
      <c r="X696" s="2" t="s">
        <v>239</v>
      </c>
      <c r="Y696" s="2" t="s">
        <v>2953</v>
      </c>
      <c r="Z696" s="4">
        <v>594</v>
      </c>
      <c r="AA696" s="4">
        <f>=ROUNDDOWN(74.25,0)</f>
      </c>
      <c r="AB696" s="5">
        <v>8</v>
      </c>
      <c r="AC696" s="2" t="s">
        <v>235</v>
      </c>
      <c r="AD696" s="4"/>
      <c r="AE696" s="4"/>
      <c r="AF696" s="6">
        <v>77</v>
      </c>
      <c r="AG696" s="6"/>
      <c r="AH696" s="7">
        <v>1</v>
      </c>
      <c r="AI696" s="4"/>
      <c r="AJ696" s="4">
        <f>=ROUNDDOWN({0},0)</f>
      </c>
      <c r="AK696" s="5"/>
      <c r="AL696" s="2" t="s">
        <v>235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235</v>
      </c>
      <c r="AW696" s="8" t="s">
        <v>235</v>
      </c>
      <c r="AX696" s="4" t="s">
        <v>235</v>
      </c>
      <c r="AY696" s="8" t="s">
        <v>235</v>
      </c>
      <c r="AZ696" s="7" t="s">
        <v>235</v>
      </c>
      <c r="BA696" s="7" t="s">
        <v>235</v>
      </c>
      <c r="BB696" s="7"/>
      <c r="BC696" s="4" t="s">
        <v>235</v>
      </c>
      <c r="BD696" s="8" t="s">
        <v>235</v>
      </c>
      <c r="BE696" s="4" t="s">
        <v>235</v>
      </c>
      <c r="BF696" s="8" t="s">
        <v>235</v>
      </c>
      <c r="BG696" s="7" t="s">
        <v>235</v>
      </c>
      <c r="BH696" s="7" t="s">
        <v>235</v>
      </c>
      <c r="BI696" s="7"/>
      <c r="BJ696" s="4">
        <v>4</v>
      </c>
      <c r="BK696" s="8">
        <v>96.83</v>
      </c>
      <c r="BL696" s="2" t="s">
        <v>602</v>
      </c>
      <c r="BM696" s="7"/>
      <c r="BN696" s="7"/>
      <c r="BO696" s="4"/>
      <c r="BP696" s="8"/>
      <c r="BQ696" s="4"/>
      <c r="BR696" s="8"/>
      <c r="BS696" s="7"/>
      <c r="BT696" s="7"/>
      <c r="BU696" s="2" t="s">
        <v>2921</v>
      </c>
      <c r="BV696" s="2" t="s">
        <v>243</v>
      </c>
      <c r="BW696" s="2" t="s">
        <v>235</v>
      </c>
      <c r="BX696" s="2" t="s">
        <v>244</v>
      </c>
      <c r="BY696" s="2" t="s">
        <v>245</v>
      </c>
      <c r="BZ696" s="2" t="s">
        <v>232</v>
      </c>
      <c r="CA696" s="2" t="s">
        <v>3090</v>
      </c>
      <c r="CB696" s="2" t="s">
        <v>1198</v>
      </c>
      <c r="CC696" s="2" t="s">
        <v>248</v>
      </c>
      <c r="CD696" s="2" t="s">
        <v>248</v>
      </c>
      <c r="CE696" s="2" t="s">
        <v>235</v>
      </c>
      <c r="CF696" s="4">
        <v>594</v>
      </c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>
        <v>596</v>
      </c>
      <c r="GE696" s="4">
        <v>571</v>
      </c>
      <c r="GF696" s="4">
        <v>565</v>
      </c>
      <c r="GG696" s="4">
        <v>557</v>
      </c>
      <c r="GH696" s="4">
        <v>548</v>
      </c>
      <c r="GI696" s="4">
        <v>534</v>
      </c>
      <c r="GJ696" s="4">
        <v>510</v>
      </c>
      <c r="GK696" s="4">
        <v>496</v>
      </c>
      <c r="GL696" s="4">
        <v>483</v>
      </c>
      <c r="GM696" s="4">
        <v>473</v>
      </c>
      <c r="GN696" s="4">
        <v>461</v>
      </c>
      <c r="GO696" s="4">
        <v>446</v>
      </c>
      <c r="GP696" s="4">
        <v>427</v>
      </c>
      <c r="GQ696" s="4">
        <v>394</v>
      </c>
      <c r="GR696" s="4">
        <v>377</v>
      </c>
      <c r="GS696" s="4">
        <v>361</v>
      </c>
      <c r="GT696" s="4">
        <v>350</v>
      </c>
      <c r="GU696" s="4">
        <v>341</v>
      </c>
      <c r="GV696" s="4">
        <v>331</v>
      </c>
      <c r="GW696" s="4">
        <v>323</v>
      </c>
      <c r="GX696" s="4">
        <v>317</v>
      </c>
      <c r="GY696" s="4">
        <v>312</v>
      </c>
      <c r="GZ696" s="4">
        <v>306</v>
      </c>
      <c r="HA696" s="4">
        <v>300</v>
      </c>
      <c r="HB696" s="4">
        <v>294</v>
      </c>
      <c r="HC696" s="4">
        <v>288</v>
      </c>
      <c r="HD696" s="19">
        <v>49.7</v>
      </c>
      <c r="HE696" s="19">
        <v>63.4</v>
      </c>
      <c r="HF696" s="19">
        <v>40.4</v>
      </c>
      <c r="HG696" s="19">
        <v>37.1</v>
      </c>
      <c r="HH696" s="19">
        <v>34.3</v>
      </c>
      <c r="HI696" s="19">
        <v>35.6</v>
      </c>
      <c r="HJ696" s="19">
        <v>42.5</v>
      </c>
      <c r="HK696" s="19">
        <v>41.3</v>
      </c>
      <c r="HL696" s="19">
        <v>34.5</v>
      </c>
      <c r="HM696" s="19">
        <v>23.7</v>
      </c>
      <c r="HN696" s="19">
        <v>22</v>
      </c>
      <c r="HO696" s="19">
        <v>21.2</v>
      </c>
      <c r="HP696" s="19">
        <v>22.5</v>
      </c>
      <c r="HQ696" s="19">
        <v>30.3</v>
      </c>
      <c r="HR696" s="19">
        <v>31.4</v>
      </c>
      <c r="HS696" s="19">
        <v>36.1</v>
      </c>
      <c r="HT696" s="19">
        <v>43.8</v>
      </c>
      <c r="HU696" s="19">
        <v>48.7</v>
      </c>
      <c r="HV696" s="19">
        <v>55.2</v>
      </c>
      <c r="HW696" s="19">
        <v>53.8</v>
      </c>
      <c r="HX696" s="19">
        <v>52.8</v>
      </c>
      <c r="HY696" s="19">
        <v>52</v>
      </c>
      <c r="HZ696" s="19">
        <v>51</v>
      </c>
      <c r="IA696" s="19">
        <v>50</v>
      </c>
      <c r="IB696" s="19">
        <v>58.8</v>
      </c>
      <c r="IC696" s="19">
        <v>72</v>
      </c>
    </row>
    <row r="697">
      <c r="A697" s="2" t="s">
        <v>3091</v>
      </c>
      <c r="B697" s="2" t="s">
        <v>323</v>
      </c>
      <c r="C697" s="2" t="s">
        <v>980</v>
      </c>
      <c r="D697" s="2" t="s">
        <v>257</v>
      </c>
      <c r="E697" s="2" t="s">
        <v>258</v>
      </c>
      <c r="F697" s="2" t="s">
        <v>2905</v>
      </c>
      <c r="G697" s="2" t="s">
        <v>2905</v>
      </c>
      <c r="H697" s="2" t="s">
        <v>2905</v>
      </c>
      <c r="I697" s="2" t="s">
        <v>405</v>
      </c>
      <c r="J697" s="2" t="s">
        <v>250</v>
      </c>
      <c r="K697" s="2" t="s">
        <v>3088</v>
      </c>
      <c r="L697" s="3">
        <v>21.78</v>
      </c>
      <c r="M697" s="3">
        <v>22.87</v>
      </c>
      <c r="N697" s="3">
        <v>49.99</v>
      </c>
      <c r="O697" s="2" t="s">
        <v>232</v>
      </c>
      <c r="P697" s="2" t="s">
        <v>233</v>
      </c>
      <c r="Q697" s="2" t="s">
        <v>234</v>
      </c>
      <c r="R697" s="2" t="s">
        <v>235</v>
      </c>
      <c r="S697" s="2" t="s">
        <v>3089</v>
      </c>
      <c r="T697" s="2" t="s">
        <v>2908</v>
      </c>
      <c r="U697" s="2" t="s">
        <v>264</v>
      </c>
      <c r="V697" s="2" t="s">
        <v>1222</v>
      </c>
      <c r="W697" s="2" t="s">
        <v>1798</v>
      </c>
      <c r="X697" s="2" t="s">
        <v>239</v>
      </c>
      <c r="Y697" s="2" t="s">
        <v>2953</v>
      </c>
      <c r="Z697" s="4">
        <v>244</v>
      </c>
      <c r="AA697" s="4">
        <f>=ROUNDDOWN(24.4,0)</f>
      </c>
      <c r="AB697" s="5">
        <v>10</v>
      </c>
      <c r="AC697" s="2" t="s">
        <v>2985</v>
      </c>
      <c r="AD697" s="4">
        <v>108</v>
      </c>
      <c r="AE697" s="4">
        <v>177</v>
      </c>
      <c r="AF697" s="6">
        <v>77</v>
      </c>
      <c r="AG697" s="6"/>
      <c r="AH697" s="7">
        <v>1</v>
      </c>
      <c r="AI697" s="4"/>
      <c r="AJ697" s="4">
        <f>=ROUNDDOWN({0},0)</f>
      </c>
      <c r="AK697" s="5"/>
      <c r="AL697" s="2" t="s">
        <v>235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235</v>
      </c>
      <c r="AW697" s="8" t="s">
        <v>235</v>
      </c>
      <c r="AX697" s="4" t="s">
        <v>235</v>
      </c>
      <c r="AY697" s="8" t="s">
        <v>235</v>
      </c>
      <c r="AZ697" s="7" t="s">
        <v>235</v>
      </c>
      <c r="BA697" s="7" t="s">
        <v>235</v>
      </c>
      <c r="BB697" s="7"/>
      <c r="BC697" s="4" t="s">
        <v>235</v>
      </c>
      <c r="BD697" s="8" t="s">
        <v>235</v>
      </c>
      <c r="BE697" s="4" t="s">
        <v>235</v>
      </c>
      <c r="BF697" s="8" t="s">
        <v>235</v>
      </c>
      <c r="BG697" s="7" t="s">
        <v>235</v>
      </c>
      <c r="BH697" s="7" t="s">
        <v>235</v>
      </c>
      <c r="BI697" s="7"/>
      <c r="BJ697" s="4">
        <v>9</v>
      </c>
      <c r="BK697" s="8">
        <v>224.9</v>
      </c>
      <c r="BL697" s="2" t="s">
        <v>3092</v>
      </c>
      <c r="BM697" s="7"/>
      <c r="BN697" s="7"/>
      <c r="BO697" s="4"/>
      <c r="BP697" s="8"/>
      <c r="BQ697" s="4"/>
      <c r="BR697" s="8"/>
      <c r="BS697" s="7"/>
      <c r="BT697" s="7"/>
      <c r="BU697" s="2" t="s">
        <v>2921</v>
      </c>
      <c r="BV697" s="2" t="s">
        <v>243</v>
      </c>
      <c r="BW697" s="2" t="s">
        <v>235</v>
      </c>
      <c r="BX697" s="2" t="s">
        <v>244</v>
      </c>
      <c r="BY697" s="2" t="s">
        <v>245</v>
      </c>
      <c r="BZ697" s="2" t="s">
        <v>232</v>
      </c>
      <c r="CA697" s="2" t="s">
        <v>2953</v>
      </c>
      <c r="CB697" s="2" t="s">
        <v>3093</v>
      </c>
      <c r="CC697" s="2" t="s">
        <v>248</v>
      </c>
      <c r="CD697" s="2" t="s">
        <v>248</v>
      </c>
      <c r="CE697" s="2" t="s">
        <v>235</v>
      </c>
      <c r="CF697" s="4">
        <v>244</v>
      </c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>
        <v>108</v>
      </c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>
        <v>69</v>
      </c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>
        <v>248</v>
      </c>
      <c r="GE697" s="4">
        <v>239</v>
      </c>
      <c r="GF697" s="4">
        <v>233</v>
      </c>
      <c r="GG697" s="4">
        <v>225</v>
      </c>
      <c r="GH697" s="4">
        <v>324</v>
      </c>
      <c r="GI697" s="4">
        <v>309</v>
      </c>
      <c r="GJ697" s="4">
        <v>288</v>
      </c>
      <c r="GK697" s="4">
        <v>273</v>
      </c>
      <c r="GL697" s="4">
        <v>258</v>
      </c>
      <c r="GM697" s="4">
        <v>314</v>
      </c>
      <c r="GN697" s="4">
        <v>297</v>
      </c>
      <c r="GO697" s="4">
        <v>276</v>
      </c>
      <c r="GP697" s="4">
        <v>246</v>
      </c>
      <c r="GQ697" s="4">
        <v>188</v>
      </c>
      <c r="GR697" s="4">
        <v>161</v>
      </c>
      <c r="GS697" s="4">
        <v>135</v>
      </c>
      <c r="GT697" s="4">
        <v>118</v>
      </c>
      <c r="GU697" s="4">
        <v>105</v>
      </c>
      <c r="GV697" s="4">
        <v>90</v>
      </c>
      <c r="GW697" s="4">
        <v>79</v>
      </c>
      <c r="GX697" s="4">
        <v>71</v>
      </c>
      <c r="GY697" s="4">
        <v>65</v>
      </c>
      <c r="GZ697" s="4">
        <v>58</v>
      </c>
      <c r="HA697" s="4">
        <v>51</v>
      </c>
      <c r="HB697" s="4">
        <v>102</v>
      </c>
      <c r="HC697" s="4">
        <v>95</v>
      </c>
      <c r="HD697" s="19">
        <v>31</v>
      </c>
      <c r="HE697" s="19">
        <v>23.9</v>
      </c>
      <c r="HF697" s="19">
        <v>17.9</v>
      </c>
      <c r="HG697" s="19">
        <v>15</v>
      </c>
      <c r="HH697" s="19">
        <v>20.3</v>
      </c>
      <c r="HI697" s="19">
        <v>19.3</v>
      </c>
      <c r="HJ697" s="19">
        <v>19.2</v>
      </c>
      <c r="HK697" s="19">
        <v>17.1</v>
      </c>
      <c r="HL697" s="19">
        <v>12.9</v>
      </c>
      <c r="HM697" s="19">
        <v>9.8</v>
      </c>
      <c r="HN697" s="19">
        <v>8.7</v>
      </c>
      <c r="HO697" s="19">
        <v>7.9</v>
      </c>
      <c r="HP697" s="19">
        <v>7.7</v>
      </c>
      <c r="HQ697" s="19">
        <v>9</v>
      </c>
      <c r="HR697" s="19">
        <v>8.9</v>
      </c>
      <c r="HS697" s="19">
        <v>9.6</v>
      </c>
      <c r="HT697" s="19">
        <v>9.8</v>
      </c>
      <c r="HU697" s="19">
        <v>10.5</v>
      </c>
      <c r="HV697" s="19">
        <v>11.3</v>
      </c>
      <c r="HW697" s="19">
        <v>11.3</v>
      </c>
      <c r="HX697" s="19">
        <v>10.1</v>
      </c>
      <c r="HY697" s="19">
        <v>9.3</v>
      </c>
      <c r="HZ697" s="19">
        <v>8.3</v>
      </c>
      <c r="IA697" s="19">
        <v>8.5</v>
      </c>
      <c r="IB697" s="19">
        <v>17</v>
      </c>
      <c r="IC697" s="19">
        <v>15.8</v>
      </c>
    </row>
    <row r="698">
      <c r="A698" s="2" t="s">
        <v>3094</v>
      </c>
      <c r="B698" s="2" t="s">
        <v>323</v>
      </c>
      <c r="C698" s="2" t="s">
        <v>980</v>
      </c>
      <c r="D698" s="2" t="s">
        <v>257</v>
      </c>
      <c r="E698" s="2" t="s">
        <v>258</v>
      </c>
      <c r="F698" s="2" t="s">
        <v>2905</v>
      </c>
      <c r="G698" s="2" t="s">
        <v>2905</v>
      </c>
      <c r="H698" s="2" t="s">
        <v>2905</v>
      </c>
      <c r="I698" s="2" t="s">
        <v>405</v>
      </c>
      <c r="J698" s="2" t="s">
        <v>270</v>
      </c>
      <c r="K698" s="2" t="s">
        <v>3088</v>
      </c>
      <c r="L698" s="3">
        <v>28.98</v>
      </c>
      <c r="M698" s="3">
        <v>30.43</v>
      </c>
      <c r="N698" s="3">
        <v>64.99</v>
      </c>
      <c r="O698" s="2" t="s">
        <v>232</v>
      </c>
      <c r="P698" s="2" t="s">
        <v>233</v>
      </c>
      <c r="Q698" s="2" t="s">
        <v>234</v>
      </c>
      <c r="R698" s="2" t="s">
        <v>235</v>
      </c>
      <c r="S698" s="2" t="s">
        <v>3089</v>
      </c>
      <c r="T698" s="2" t="s">
        <v>2908</v>
      </c>
      <c r="U698" s="2" t="s">
        <v>264</v>
      </c>
      <c r="V698" s="2" t="s">
        <v>1222</v>
      </c>
      <c r="W698" s="2" t="s">
        <v>1798</v>
      </c>
      <c r="X698" s="2" t="s">
        <v>239</v>
      </c>
      <c r="Y698" s="2" t="s">
        <v>2953</v>
      </c>
      <c r="Z698" s="4">
        <v>268</v>
      </c>
      <c r="AA698" s="4">
        <f>=ROUNDDOWN(19.1428571428571,0)</f>
      </c>
      <c r="AB698" s="5">
        <v>14</v>
      </c>
      <c r="AC698" s="2" t="s">
        <v>2985</v>
      </c>
      <c r="AD698" s="4">
        <v>175</v>
      </c>
      <c r="AE698" s="4">
        <v>256</v>
      </c>
      <c r="AF698" s="6">
        <v>77</v>
      </c>
      <c r="AG698" s="6"/>
      <c r="AH698" s="7">
        <v>0.6129</v>
      </c>
      <c r="AI698" s="4"/>
      <c r="AJ698" s="4">
        <f>=ROUNDDOWN({0},0)</f>
      </c>
      <c r="AK698" s="5"/>
      <c r="AL698" s="2" t="s">
        <v>235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235</v>
      </c>
      <c r="AW698" s="8" t="s">
        <v>235</v>
      </c>
      <c r="AX698" s="4" t="s">
        <v>235</v>
      </c>
      <c r="AY698" s="8" t="s">
        <v>235</v>
      </c>
      <c r="AZ698" s="7" t="s">
        <v>235</v>
      </c>
      <c r="BA698" s="7" t="s">
        <v>235</v>
      </c>
      <c r="BB698" s="7"/>
      <c r="BC698" s="4" t="s">
        <v>235</v>
      </c>
      <c r="BD698" s="8" t="s">
        <v>235</v>
      </c>
      <c r="BE698" s="4" t="s">
        <v>235</v>
      </c>
      <c r="BF698" s="8" t="s">
        <v>235</v>
      </c>
      <c r="BG698" s="7" t="s">
        <v>235</v>
      </c>
      <c r="BH698" s="7" t="s">
        <v>235</v>
      </c>
      <c r="BI698" s="7"/>
      <c r="BJ698" s="4">
        <v>2</v>
      </c>
      <c r="BK698" s="8">
        <v>62.15</v>
      </c>
      <c r="BL698" s="2" t="s">
        <v>1580</v>
      </c>
      <c r="BM698" s="7"/>
      <c r="BN698" s="7"/>
      <c r="BO698" s="4"/>
      <c r="BP698" s="8"/>
      <c r="BQ698" s="4"/>
      <c r="BR698" s="8"/>
      <c r="BS698" s="7"/>
      <c r="BT698" s="7"/>
      <c r="BU698" s="2" t="s">
        <v>2921</v>
      </c>
      <c r="BV698" s="2" t="s">
        <v>243</v>
      </c>
      <c r="BW698" s="2" t="s">
        <v>235</v>
      </c>
      <c r="BX698" s="2" t="s">
        <v>244</v>
      </c>
      <c r="BY698" s="2" t="s">
        <v>245</v>
      </c>
      <c r="BZ698" s="2" t="s">
        <v>232</v>
      </c>
      <c r="CA698" s="2" t="s">
        <v>2992</v>
      </c>
      <c r="CB698" s="2" t="s">
        <v>235</v>
      </c>
      <c r="CC698" s="2" t="s">
        <v>248</v>
      </c>
      <c r="CD698" s="2" t="s">
        <v>248</v>
      </c>
      <c r="CE698" s="2" t="s">
        <v>235</v>
      </c>
      <c r="CF698" s="4">
        <v>268</v>
      </c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>
        <v>175</v>
      </c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>
        <v>81</v>
      </c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>
        <v>269</v>
      </c>
      <c r="GE698" s="4">
        <v>239</v>
      </c>
      <c r="GF698" s="4">
        <v>230</v>
      </c>
      <c r="GG698" s="4">
        <v>219</v>
      </c>
      <c r="GH698" s="4">
        <v>381</v>
      </c>
      <c r="GI698" s="4">
        <v>359</v>
      </c>
      <c r="GJ698" s="4">
        <v>324</v>
      </c>
      <c r="GK698" s="4">
        <v>302</v>
      </c>
      <c r="GL698" s="4">
        <v>281</v>
      </c>
      <c r="GM698" s="4">
        <v>345</v>
      </c>
      <c r="GN698" s="4">
        <v>324</v>
      </c>
      <c r="GO698" s="4">
        <v>298</v>
      </c>
      <c r="GP698" s="4">
        <v>263</v>
      </c>
      <c r="GQ698" s="4">
        <v>198</v>
      </c>
      <c r="GR698" s="4">
        <v>167</v>
      </c>
      <c r="GS698" s="4">
        <v>136</v>
      </c>
      <c r="GT698" s="4">
        <v>115</v>
      </c>
      <c r="GU698" s="4">
        <v>99</v>
      </c>
      <c r="GV698" s="4">
        <v>81</v>
      </c>
      <c r="GW698" s="4">
        <v>68</v>
      </c>
      <c r="GX698" s="4">
        <v>58</v>
      </c>
      <c r="GY698" s="4">
        <v>50</v>
      </c>
      <c r="GZ698" s="4">
        <v>41</v>
      </c>
      <c r="HA698" s="4">
        <v>32</v>
      </c>
      <c r="HB698" s="4">
        <v>144</v>
      </c>
      <c r="HC698" s="4">
        <v>135</v>
      </c>
      <c r="HD698" s="19">
        <v>16.8</v>
      </c>
      <c r="HE698" s="19">
        <v>17.1</v>
      </c>
      <c r="HF698" s="19">
        <v>11.5</v>
      </c>
      <c r="HG698" s="19">
        <v>9.5</v>
      </c>
      <c r="HH698" s="19">
        <v>15.2</v>
      </c>
      <c r="HI698" s="19">
        <v>15</v>
      </c>
      <c r="HJ698" s="19">
        <v>16.2</v>
      </c>
      <c r="HK698" s="19">
        <v>14.4</v>
      </c>
      <c r="HL698" s="19">
        <v>11.2</v>
      </c>
      <c r="HM698" s="19">
        <v>9.3</v>
      </c>
      <c r="HN698" s="19">
        <v>8.3</v>
      </c>
      <c r="HO698" s="19">
        <v>7.5</v>
      </c>
      <c r="HP698" s="19">
        <v>7.1</v>
      </c>
      <c r="HQ698" s="19">
        <v>7.9</v>
      </c>
      <c r="HR698" s="19">
        <v>7.6</v>
      </c>
      <c r="HS698" s="19">
        <v>8</v>
      </c>
      <c r="HT698" s="19">
        <v>8.2</v>
      </c>
      <c r="HU698" s="19">
        <v>8.3</v>
      </c>
      <c r="HV698" s="19">
        <v>8.1</v>
      </c>
      <c r="HW698" s="19">
        <v>7.6</v>
      </c>
      <c r="HX698" s="19">
        <v>6.4</v>
      </c>
      <c r="HY698" s="19">
        <v>5.6</v>
      </c>
      <c r="HZ698" s="19">
        <v>5.1</v>
      </c>
      <c r="IA698" s="19">
        <v>4</v>
      </c>
      <c r="IB698" s="19">
        <v>18</v>
      </c>
      <c r="IC698" s="19">
        <v>19.3</v>
      </c>
    </row>
    <row r="699">
      <c r="A699" s="2" t="s">
        <v>3095</v>
      </c>
      <c r="B699" s="2" t="s">
        <v>323</v>
      </c>
      <c r="C699" s="2" t="s">
        <v>980</v>
      </c>
      <c r="D699" s="2" t="s">
        <v>257</v>
      </c>
      <c r="E699" s="2" t="s">
        <v>258</v>
      </c>
      <c r="F699" s="2" t="s">
        <v>2905</v>
      </c>
      <c r="G699" s="2" t="s">
        <v>2905</v>
      </c>
      <c r="H699" s="2" t="s">
        <v>2905</v>
      </c>
      <c r="I699" s="2" t="s">
        <v>405</v>
      </c>
      <c r="J699" s="2" t="s">
        <v>272</v>
      </c>
      <c r="K699" s="2" t="s">
        <v>3088</v>
      </c>
      <c r="L699" s="3">
        <v>28.98</v>
      </c>
      <c r="M699" s="3">
        <v>30.43</v>
      </c>
      <c r="N699" s="3">
        <v>64.99</v>
      </c>
      <c r="O699" s="2" t="s">
        <v>232</v>
      </c>
      <c r="P699" s="2" t="s">
        <v>233</v>
      </c>
      <c r="Q699" s="2" t="s">
        <v>234</v>
      </c>
      <c r="R699" s="2" t="s">
        <v>235</v>
      </c>
      <c r="S699" s="2" t="s">
        <v>3089</v>
      </c>
      <c r="T699" s="2" t="s">
        <v>2908</v>
      </c>
      <c r="U699" s="2" t="s">
        <v>264</v>
      </c>
      <c r="V699" s="2" t="s">
        <v>1222</v>
      </c>
      <c r="W699" s="2" t="s">
        <v>1798</v>
      </c>
      <c r="X699" s="2" t="s">
        <v>239</v>
      </c>
      <c r="Y699" s="2" t="s">
        <v>2953</v>
      </c>
      <c r="Z699" s="4">
        <v>123</v>
      </c>
      <c r="AA699" s="4">
        <f>=ROUNDDOWN(15.375,0)</f>
      </c>
      <c r="AB699" s="5">
        <v>8</v>
      </c>
      <c r="AC699" s="2" t="s">
        <v>2985</v>
      </c>
      <c r="AD699" s="4">
        <v>108</v>
      </c>
      <c r="AE699" s="4">
        <v>155</v>
      </c>
      <c r="AF699" s="6">
        <v>77</v>
      </c>
      <c r="AG699" s="6"/>
      <c r="AH699" s="7">
        <v>0.5806</v>
      </c>
      <c r="AI699" s="4"/>
      <c r="AJ699" s="4">
        <f>=ROUNDDOWN({0},0)</f>
      </c>
      <c r="AK699" s="5"/>
      <c r="AL699" s="2" t="s">
        <v>235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235</v>
      </c>
      <c r="AW699" s="8" t="s">
        <v>235</v>
      </c>
      <c r="AX699" s="4" t="s">
        <v>235</v>
      </c>
      <c r="AY699" s="8" t="s">
        <v>235</v>
      </c>
      <c r="AZ699" s="7" t="s">
        <v>235</v>
      </c>
      <c r="BA699" s="7" t="s">
        <v>235</v>
      </c>
      <c r="BB699" s="7"/>
      <c r="BC699" s="4" t="s">
        <v>235</v>
      </c>
      <c r="BD699" s="8" t="s">
        <v>235</v>
      </c>
      <c r="BE699" s="4" t="s">
        <v>235</v>
      </c>
      <c r="BF699" s="8" t="s">
        <v>235</v>
      </c>
      <c r="BG699" s="7" t="s">
        <v>235</v>
      </c>
      <c r="BH699" s="7" t="s">
        <v>235</v>
      </c>
      <c r="BI699" s="7"/>
      <c r="BJ699" s="4"/>
      <c r="BK699" s="8"/>
      <c r="BL699" s="2" t="s">
        <v>235</v>
      </c>
      <c r="BM699" s="7"/>
      <c r="BN699" s="7"/>
      <c r="BO699" s="4"/>
      <c r="BP699" s="8"/>
      <c r="BQ699" s="4"/>
      <c r="BR699" s="8"/>
      <c r="BS699" s="7"/>
      <c r="BT699" s="7"/>
      <c r="BU699" s="2" t="s">
        <v>2921</v>
      </c>
      <c r="BV699" s="2" t="s">
        <v>243</v>
      </c>
      <c r="BW699" s="2" t="s">
        <v>235</v>
      </c>
      <c r="BX699" s="2" t="s">
        <v>244</v>
      </c>
      <c r="BY699" s="2" t="s">
        <v>245</v>
      </c>
      <c r="BZ699" s="2" t="s">
        <v>232</v>
      </c>
      <c r="CA699" s="2" t="s">
        <v>2953</v>
      </c>
      <c r="CB699" s="2" t="s">
        <v>3096</v>
      </c>
      <c r="CC699" s="2" t="s">
        <v>248</v>
      </c>
      <c r="CD699" s="2" t="s">
        <v>248</v>
      </c>
      <c r="CE699" s="2" t="s">
        <v>235</v>
      </c>
      <c r="CF699" s="4">
        <v>123</v>
      </c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>
        <v>108</v>
      </c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>
        <v>47</v>
      </c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>
        <v>124</v>
      </c>
      <c r="GE699" s="4">
        <v>108</v>
      </c>
      <c r="GF699" s="4">
        <v>103</v>
      </c>
      <c r="GG699" s="4">
        <v>97</v>
      </c>
      <c r="GH699" s="4">
        <v>198</v>
      </c>
      <c r="GI699" s="4">
        <v>186</v>
      </c>
      <c r="GJ699" s="4">
        <v>168</v>
      </c>
      <c r="GK699" s="4">
        <v>156</v>
      </c>
      <c r="GL699" s="4">
        <v>144</v>
      </c>
      <c r="GM699" s="4">
        <v>181</v>
      </c>
      <c r="GN699" s="4">
        <v>168</v>
      </c>
      <c r="GO699" s="4">
        <v>153</v>
      </c>
      <c r="GP699" s="4">
        <v>132</v>
      </c>
      <c r="GQ699" s="4">
        <v>93</v>
      </c>
      <c r="GR699" s="4">
        <v>75</v>
      </c>
      <c r="GS699" s="4">
        <v>57</v>
      </c>
      <c r="GT699" s="4">
        <v>45</v>
      </c>
      <c r="GU699" s="4">
        <v>36</v>
      </c>
      <c r="GV699" s="4">
        <v>26</v>
      </c>
      <c r="GW699" s="4">
        <v>18</v>
      </c>
      <c r="GX699" s="4">
        <v>12</v>
      </c>
      <c r="GY699" s="4">
        <v>7</v>
      </c>
      <c r="GZ699" s="4">
        <v>2</v>
      </c>
      <c r="HA699" s="4"/>
      <c r="HB699" s="4">
        <v>79</v>
      </c>
      <c r="HC699" s="4">
        <v>72</v>
      </c>
      <c r="HD699" s="19">
        <v>15.5</v>
      </c>
      <c r="HE699" s="19">
        <v>13.5</v>
      </c>
      <c r="HF699" s="19">
        <v>9.4</v>
      </c>
      <c r="HG699" s="19">
        <v>8.1</v>
      </c>
      <c r="HH699" s="19">
        <v>14.1</v>
      </c>
      <c r="HI699" s="19">
        <v>14.3</v>
      </c>
      <c r="HJ699" s="19">
        <v>14</v>
      </c>
      <c r="HK699" s="19">
        <v>13</v>
      </c>
      <c r="HL699" s="19">
        <v>9.6</v>
      </c>
      <c r="HM699" s="19">
        <v>8.2</v>
      </c>
      <c r="HN699" s="19">
        <v>7.3</v>
      </c>
      <c r="HO699" s="19">
        <v>6.4</v>
      </c>
      <c r="HP699" s="19">
        <v>6</v>
      </c>
      <c r="HQ699" s="19">
        <v>6.6</v>
      </c>
      <c r="HR699" s="19">
        <v>6.3</v>
      </c>
      <c r="HS699" s="19">
        <v>5.7</v>
      </c>
      <c r="HT699" s="19">
        <v>5.6</v>
      </c>
      <c r="HU699" s="19">
        <v>5.1</v>
      </c>
      <c r="HV699" s="19">
        <v>4.3</v>
      </c>
      <c r="HW699" s="19">
        <v>3.6</v>
      </c>
      <c r="HX699" s="19">
        <v>3</v>
      </c>
      <c r="HY699" s="19">
        <v>1.4</v>
      </c>
      <c r="HZ699" s="19">
        <v>0.4</v>
      </c>
      <c r="IA699" s="20">
        <v>0</v>
      </c>
      <c r="IB699" s="19">
        <v>15.8</v>
      </c>
      <c r="IC699" s="19">
        <v>18</v>
      </c>
    </row>
    <row r="700">
      <c r="A700" s="2" t="s">
        <v>3097</v>
      </c>
      <c r="B700" s="2" t="s">
        <v>323</v>
      </c>
      <c r="C700" s="2" t="s">
        <v>1036</v>
      </c>
      <c r="D700" s="2" t="s">
        <v>257</v>
      </c>
      <c r="E700" s="2" t="s">
        <v>258</v>
      </c>
      <c r="F700" s="2" t="s">
        <v>3098</v>
      </c>
      <c r="G700" s="2" t="s">
        <v>3098</v>
      </c>
      <c r="H700" s="2" t="s">
        <v>3098</v>
      </c>
      <c r="I700" s="2" t="s">
        <v>3099</v>
      </c>
      <c r="J700" s="2" t="s">
        <v>394</v>
      </c>
      <c r="K700" s="2" t="s">
        <v>3100</v>
      </c>
      <c r="L700" s="3">
        <v>14.89</v>
      </c>
      <c r="M700" s="3">
        <v>15.63</v>
      </c>
      <c r="N700" s="3">
        <v>31.99</v>
      </c>
      <c r="O700" s="2" t="s">
        <v>232</v>
      </c>
      <c r="P700" s="2" t="s">
        <v>336</v>
      </c>
      <c r="Q700" s="2" t="s">
        <v>234</v>
      </c>
      <c r="R700" s="2" t="s">
        <v>235</v>
      </c>
      <c r="S700" s="2" t="s">
        <v>3101</v>
      </c>
      <c r="T700" s="2" t="s">
        <v>2908</v>
      </c>
      <c r="U700" s="2" t="s">
        <v>552</v>
      </c>
      <c r="V700" s="2" t="s">
        <v>2159</v>
      </c>
      <c r="W700" s="2" t="s">
        <v>239</v>
      </c>
      <c r="X700" s="2" t="s">
        <v>1798</v>
      </c>
      <c r="Y700" s="2" t="s">
        <v>3102</v>
      </c>
      <c r="Z700" s="4">
        <v>912</v>
      </c>
      <c r="AA700" s="4">
        <f>=ROUNDDOWN(27.6363636363636,0)</f>
      </c>
      <c r="AB700" s="5">
        <v>33</v>
      </c>
      <c r="AC700" s="2" t="s">
        <v>3103</v>
      </c>
      <c r="AD700" s="4">
        <v>346</v>
      </c>
      <c r="AE700" s="4">
        <v>534</v>
      </c>
      <c r="AF700" s="6">
        <v>73</v>
      </c>
      <c r="AG700" s="6"/>
      <c r="AH700" s="7">
        <v>1</v>
      </c>
      <c r="AI700" s="4"/>
      <c r="AJ700" s="4">
        <f>=ROUNDDOWN({0},0)</f>
      </c>
      <c r="AK700" s="5"/>
      <c r="AL700" s="2" t="s">
        <v>235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235</v>
      </c>
      <c r="AW700" s="8" t="s">
        <v>235</v>
      </c>
      <c r="AX700" s="4" t="s">
        <v>235</v>
      </c>
      <c r="AY700" s="8" t="s">
        <v>235</v>
      </c>
      <c r="AZ700" s="7" t="s">
        <v>235</v>
      </c>
      <c r="BA700" s="7" t="s">
        <v>235</v>
      </c>
      <c r="BB700" s="7"/>
      <c r="BC700" s="4" t="s">
        <v>235</v>
      </c>
      <c r="BD700" s="8" t="s">
        <v>235</v>
      </c>
      <c r="BE700" s="4" t="s">
        <v>235</v>
      </c>
      <c r="BF700" s="8" t="s">
        <v>235</v>
      </c>
      <c r="BG700" s="7" t="s">
        <v>235</v>
      </c>
      <c r="BH700" s="7" t="s">
        <v>235</v>
      </c>
      <c r="BI700" s="7"/>
      <c r="BJ700" s="4">
        <v>26</v>
      </c>
      <c r="BK700" s="8">
        <v>444.77</v>
      </c>
      <c r="BL700" s="2" t="s">
        <v>3104</v>
      </c>
      <c r="BM700" s="7"/>
      <c r="BN700" s="7"/>
      <c r="BO700" s="4"/>
      <c r="BP700" s="8"/>
      <c r="BQ700" s="4"/>
      <c r="BR700" s="8"/>
      <c r="BS700" s="7"/>
      <c r="BT700" s="7"/>
      <c r="BU700" s="2" t="s">
        <v>3105</v>
      </c>
      <c r="BV700" s="2" t="s">
        <v>243</v>
      </c>
      <c r="BW700" s="2" t="s">
        <v>235</v>
      </c>
      <c r="BX700" s="2" t="s">
        <v>383</v>
      </c>
      <c r="BY700" s="2" t="s">
        <v>245</v>
      </c>
      <c r="BZ700" s="2" t="s">
        <v>232</v>
      </c>
      <c r="CA700" s="2" t="s">
        <v>3106</v>
      </c>
      <c r="CB700" s="2" t="s">
        <v>3107</v>
      </c>
      <c r="CC700" s="2" t="s">
        <v>248</v>
      </c>
      <c r="CD700" s="2" t="s">
        <v>248</v>
      </c>
      <c r="CE700" s="2" t="s">
        <v>235</v>
      </c>
      <c r="CF700" s="4">
        <v>635</v>
      </c>
      <c r="CG700" s="4">
        <v>277</v>
      </c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>
        <v>346</v>
      </c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>
        <v>188</v>
      </c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>
        <v>1003</v>
      </c>
      <c r="GE700" s="4">
        <v>942</v>
      </c>
      <c r="GF700" s="4">
        <v>937</v>
      </c>
      <c r="GG700" s="4">
        <v>932</v>
      </c>
      <c r="GH700" s="4">
        <v>1241</v>
      </c>
      <c r="GI700" s="4">
        <v>1142</v>
      </c>
      <c r="GJ700" s="4">
        <v>953</v>
      </c>
      <c r="GK700" s="4">
        <v>860</v>
      </c>
      <c r="GL700" s="4">
        <v>770</v>
      </c>
      <c r="GM700" s="4">
        <v>897</v>
      </c>
      <c r="GN700" s="4">
        <v>845</v>
      </c>
      <c r="GO700" s="4">
        <v>783</v>
      </c>
      <c r="GP700" s="4">
        <v>723</v>
      </c>
      <c r="GQ700" s="4">
        <v>644</v>
      </c>
      <c r="GR700" s="4">
        <v>601</v>
      </c>
      <c r="GS700" s="4">
        <v>559</v>
      </c>
      <c r="GT700" s="4">
        <v>526</v>
      </c>
      <c r="GU700" s="4">
        <v>497</v>
      </c>
      <c r="GV700" s="4">
        <v>466</v>
      </c>
      <c r="GW700" s="4">
        <v>444</v>
      </c>
      <c r="GX700" s="4">
        <v>425</v>
      </c>
      <c r="GY700" s="4">
        <v>408</v>
      </c>
      <c r="GZ700" s="4">
        <v>390</v>
      </c>
      <c r="HA700" s="4">
        <v>372</v>
      </c>
      <c r="HB700" s="4">
        <v>354</v>
      </c>
      <c r="HC700" s="4">
        <v>336</v>
      </c>
      <c r="HD700" s="19">
        <v>37.1</v>
      </c>
      <c r="HE700" s="19">
        <v>26.2</v>
      </c>
      <c r="HF700" s="19">
        <v>11.4</v>
      </c>
      <c r="HG700" s="19">
        <v>9</v>
      </c>
      <c r="HH700" s="19">
        <v>10.5</v>
      </c>
      <c r="HI700" s="19">
        <v>10.6</v>
      </c>
      <c r="HJ700" s="19">
        <v>12.9</v>
      </c>
      <c r="HK700" s="19">
        <v>13</v>
      </c>
      <c r="HL700" s="19">
        <v>13.1</v>
      </c>
      <c r="HM700" s="19">
        <v>14.2</v>
      </c>
      <c r="HN700" s="19">
        <v>13.9</v>
      </c>
      <c r="HO700" s="19">
        <v>14</v>
      </c>
      <c r="HP700" s="19">
        <v>14.8</v>
      </c>
      <c r="HQ700" s="19">
        <v>17.4</v>
      </c>
      <c r="HR700" s="19">
        <v>17.7</v>
      </c>
      <c r="HS700" s="19">
        <v>19.3</v>
      </c>
      <c r="HT700" s="19">
        <v>21</v>
      </c>
      <c r="HU700" s="19">
        <v>22.6</v>
      </c>
      <c r="HV700" s="19">
        <v>24.5</v>
      </c>
      <c r="HW700" s="19">
        <v>24.7</v>
      </c>
      <c r="HX700" s="19">
        <v>23.6</v>
      </c>
      <c r="HY700" s="19">
        <v>22.7</v>
      </c>
      <c r="HZ700" s="19">
        <v>21.7</v>
      </c>
      <c r="IA700" s="19">
        <v>20.7</v>
      </c>
      <c r="IB700" s="19">
        <v>20.8</v>
      </c>
      <c r="IC700" s="19">
        <v>21</v>
      </c>
    </row>
    <row r="701">
      <c r="A701" s="2" t="s">
        <v>3108</v>
      </c>
      <c r="B701" s="2" t="s">
        <v>323</v>
      </c>
      <c r="C701" s="2" t="s">
        <v>1036</v>
      </c>
      <c r="D701" s="2" t="s">
        <v>257</v>
      </c>
      <c r="E701" s="2" t="s">
        <v>258</v>
      </c>
      <c r="F701" s="2" t="s">
        <v>3098</v>
      </c>
      <c r="G701" s="2" t="s">
        <v>3098</v>
      </c>
      <c r="H701" s="2" t="s">
        <v>3098</v>
      </c>
      <c r="I701" s="2" t="s">
        <v>3099</v>
      </c>
      <c r="J701" s="2" t="s">
        <v>250</v>
      </c>
      <c r="K701" s="2" t="s">
        <v>3100</v>
      </c>
      <c r="L701" s="3">
        <v>19.57</v>
      </c>
      <c r="M701" s="3">
        <v>20.55</v>
      </c>
      <c r="N701" s="3">
        <v>42.99</v>
      </c>
      <c r="O701" s="2" t="s">
        <v>232</v>
      </c>
      <c r="P701" s="2" t="s">
        <v>336</v>
      </c>
      <c r="Q701" s="2" t="s">
        <v>234</v>
      </c>
      <c r="R701" s="2" t="s">
        <v>235</v>
      </c>
      <c r="S701" s="2" t="s">
        <v>3101</v>
      </c>
      <c r="T701" s="2" t="s">
        <v>2908</v>
      </c>
      <c r="U701" s="2" t="s">
        <v>264</v>
      </c>
      <c r="V701" s="2" t="s">
        <v>2159</v>
      </c>
      <c r="W701" s="2" t="s">
        <v>239</v>
      </c>
      <c r="X701" s="2" t="s">
        <v>1798</v>
      </c>
      <c r="Y701" s="2" t="s">
        <v>3102</v>
      </c>
      <c r="Z701" s="4">
        <v>1126</v>
      </c>
      <c r="AA701" s="4">
        <f>=ROUNDDOWN(35.1875,0)</f>
      </c>
      <c r="AB701" s="5">
        <v>32</v>
      </c>
      <c r="AC701" s="2" t="s">
        <v>3103</v>
      </c>
      <c r="AD701" s="4">
        <v>298</v>
      </c>
      <c r="AE701" s="4">
        <v>462</v>
      </c>
      <c r="AF701" s="6">
        <v>73</v>
      </c>
      <c r="AG701" s="6"/>
      <c r="AH701" s="7">
        <v>1</v>
      </c>
      <c r="AI701" s="4"/>
      <c r="AJ701" s="4">
        <f>=ROUNDDOWN({0},0)</f>
      </c>
      <c r="AK701" s="5"/>
      <c r="AL701" s="2" t="s">
        <v>235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235</v>
      </c>
      <c r="AW701" s="8" t="s">
        <v>235</v>
      </c>
      <c r="AX701" s="4" t="s">
        <v>235</v>
      </c>
      <c r="AY701" s="8" t="s">
        <v>235</v>
      </c>
      <c r="AZ701" s="7" t="s">
        <v>235</v>
      </c>
      <c r="BA701" s="7" t="s">
        <v>235</v>
      </c>
      <c r="BB701" s="7"/>
      <c r="BC701" s="4" t="s">
        <v>235</v>
      </c>
      <c r="BD701" s="8" t="s">
        <v>235</v>
      </c>
      <c r="BE701" s="4" t="s">
        <v>235</v>
      </c>
      <c r="BF701" s="8" t="s">
        <v>235</v>
      </c>
      <c r="BG701" s="7" t="s">
        <v>235</v>
      </c>
      <c r="BH701" s="7" t="s">
        <v>235</v>
      </c>
      <c r="BI701" s="7"/>
      <c r="BJ701" s="4">
        <v>26</v>
      </c>
      <c r="BK701" s="8">
        <v>631.05</v>
      </c>
      <c r="BL701" s="2" t="s">
        <v>3109</v>
      </c>
      <c r="BM701" s="7"/>
      <c r="BN701" s="7"/>
      <c r="BO701" s="4"/>
      <c r="BP701" s="8"/>
      <c r="BQ701" s="4"/>
      <c r="BR701" s="8"/>
      <c r="BS701" s="7"/>
      <c r="BT701" s="7"/>
      <c r="BU701" s="2" t="s">
        <v>3105</v>
      </c>
      <c r="BV701" s="2" t="s">
        <v>243</v>
      </c>
      <c r="BW701" s="2" t="s">
        <v>235</v>
      </c>
      <c r="BX701" s="2" t="s">
        <v>383</v>
      </c>
      <c r="BY701" s="2" t="s">
        <v>245</v>
      </c>
      <c r="BZ701" s="2" t="s">
        <v>232</v>
      </c>
      <c r="CA701" s="2" t="s">
        <v>3110</v>
      </c>
      <c r="CB701" s="2" t="s">
        <v>3111</v>
      </c>
      <c r="CC701" s="2" t="s">
        <v>248</v>
      </c>
      <c r="CD701" s="2" t="s">
        <v>248</v>
      </c>
      <c r="CE701" s="2" t="s">
        <v>235</v>
      </c>
      <c r="CF701" s="4">
        <v>765</v>
      </c>
      <c r="CG701" s="4">
        <v>361</v>
      </c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>
        <v>298</v>
      </c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>
        <v>164</v>
      </c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>
        <v>1138</v>
      </c>
      <c r="GE701" s="4">
        <v>1062</v>
      </c>
      <c r="GF701" s="4">
        <v>1033</v>
      </c>
      <c r="GG701" s="4">
        <v>989</v>
      </c>
      <c r="GH701" s="4">
        <v>1233</v>
      </c>
      <c r="GI701" s="4">
        <v>1148</v>
      </c>
      <c r="GJ701" s="4">
        <v>986</v>
      </c>
      <c r="GK701" s="4">
        <v>906</v>
      </c>
      <c r="GL701" s="4">
        <v>829</v>
      </c>
      <c r="GM701" s="4">
        <v>941</v>
      </c>
      <c r="GN701" s="4">
        <v>897</v>
      </c>
      <c r="GO701" s="4">
        <v>845</v>
      </c>
      <c r="GP701" s="4">
        <v>795</v>
      </c>
      <c r="GQ701" s="4">
        <v>732</v>
      </c>
      <c r="GR701" s="4">
        <v>697</v>
      </c>
      <c r="GS701" s="4">
        <v>659</v>
      </c>
      <c r="GT701" s="4">
        <v>628</v>
      </c>
      <c r="GU701" s="4">
        <v>601</v>
      </c>
      <c r="GV701" s="4">
        <v>572</v>
      </c>
      <c r="GW701" s="4">
        <v>551</v>
      </c>
      <c r="GX701" s="4">
        <v>532</v>
      </c>
      <c r="GY701" s="4">
        <v>515</v>
      </c>
      <c r="GZ701" s="4">
        <v>497</v>
      </c>
      <c r="HA701" s="4">
        <v>479</v>
      </c>
      <c r="HB701" s="4">
        <v>461</v>
      </c>
      <c r="HC701" s="4">
        <v>443</v>
      </c>
      <c r="HD701" s="19">
        <v>22.3</v>
      </c>
      <c r="HE701" s="19">
        <v>20</v>
      </c>
      <c r="HF701" s="19">
        <v>12</v>
      </c>
      <c r="HG701" s="19">
        <v>10.4</v>
      </c>
      <c r="HH701" s="19">
        <v>12.2</v>
      </c>
      <c r="HI701" s="19">
        <v>12.3</v>
      </c>
      <c r="HJ701" s="19">
        <v>15.7</v>
      </c>
      <c r="HK701" s="19">
        <v>16.2</v>
      </c>
      <c r="HL701" s="19">
        <v>16.6</v>
      </c>
      <c r="HM701" s="19">
        <v>18.1</v>
      </c>
      <c r="HN701" s="19">
        <v>17.9</v>
      </c>
      <c r="HO701" s="19">
        <v>18.4</v>
      </c>
      <c r="HP701" s="19">
        <v>18.9</v>
      </c>
      <c r="HQ701" s="19">
        <v>22.2</v>
      </c>
      <c r="HR701" s="19">
        <v>22.5</v>
      </c>
      <c r="HS701" s="19">
        <v>24.4</v>
      </c>
      <c r="HT701" s="19">
        <v>26.2</v>
      </c>
      <c r="HU701" s="19">
        <v>27.3</v>
      </c>
      <c r="HV701" s="19">
        <v>30.1</v>
      </c>
      <c r="HW701" s="19">
        <v>30.6</v>
      </c>
      <c r="HX701" s="19">
        <v>29.6</v>
      </c>
      <c r="HY701" s="19">
        <v>28.6</v>
      </c>
      <c r="HZ701" s="19">
        <v>27.6</v>
      </c>
      <c r="IA701" s="19">
        <v>26.6</v>
      </c>
      <c r="IB701" s="19">
        <v>28.8</v>
      </c>
      <c r="IC701" s="19">
        <v>27.7</v>
      </c>
    </row>
    <row r="702">
      <c r="A702" s="2" t="s">
        <v>3112</v>
      </c>
      <c r="B702" s="2" t="s">
        <v>323</v>
      </c>
      <c r="C702" s="2" t="s">
        <v>1036</v>
      </c>
      <c r="D702" s="2" t="s">
        <v>257</v>
      </c>
      <c r="E702" s="2" t="s">
        <v>258</v>
      </c>
      <c r="F702" s="2" t="s">
        <v>3098</v>
      </c>
      <c r="G702" s="2" t="s">
        <v>3098</v>
      </c>
      <c r="H702" s="2" t="s">
        <v>3098</v>
      </c>
      <c r="I702" s="2" t="s">
        <v>3099</v>
      </c>
      <c r="J702" s="2" t="s">
        <v>261</v>
      </c>
      <c r="K702" s="2" t="s">
        <v>3100</v>
      </c>
      <c r="L702" s="3">
        <v>22.21</v>
      </c>
      <c r="M702" s="3">
        <v>23.32</v>
      </c>
      <c r="N702" s="3">
        <v>47.99</v>
      </c>
      <c r="O702" s="2" t="s">
        <v>232</v>
      </c>
      <c r="P702" s="2" t="s">
        <v>333</v>
      </c>
      <c r="Q702" s="2" t="s">
        <v>234</v>
      </c>
      <c r="R702" s="2" t="s">
        <v>235</v>
      </c>
      <c r="S702" s="2" t="s">
        <v>3101</v>
      </c>
      <c r="T702" s="2" t="s">
        <v>2908</v>
      </c>
      <c r="U702" s="2" t="s">
        <v>264</v>
      </c>
      <c r="V702" s="2" t="s">
        <v>2159</v>
      </c>
      <c r="W702" s="2" t="s">
        <v>239</v>
      </c>
      <c r="X702" s="2" t="s">
        <v>1798</v>
      </c>
      <c r="Y702" s="2" t="s">
        <v>3102</v>
      </c>
      <c r="Z702" s="4">
        <v>682</v>
      </c>
      <c r="AA702" s="4">
        <f>=ROUNDDOWN(13.0401529636711,0)</f>
      </c>
      <c r="AB702" s="5">
        <v>52.3</v>
      </c>
      <c r="AC702" s="2" t="s">
        <v>2503</v>
      </c>
      <c r="AD702" s="4">
        <v>1</v>
      </c>
      <c r="AE702" s="4">
        <v>636</v>
      </c>
      <c r="AF702" s="6">
        <v>73</v>
      </c>
      <c r="AG702" s="6"/>
      <c r="AH702" s="7">
        <v>1</v>
      </c>
      <c r="AI702" s="4"/>
      <c r="AJ702" s="4">
        <f>=ROUNDDOWN({0},0)</f>
      </c>
      <c r="AK702" s="5"/>
      <c r="AL702" s="2" t="s">
        <v>235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235</v>
      </c>
      <c r="AW702" s="8" t="s">
        <v>235</v>
      </c>
      <c r="AX702" s="4" t="s">
        <v>235</v>
      </c>
      <c r="AY702" s="8" t="s">
        <v>235</v>
      </c>
      <c r="AZ702" s="7" t="s">
        <v>235</v>
      </c>
      <c r="BA702" s="7" t="s">
        <v>235</v>
      </c>
      <c r="BB702" s="7"/>
      <c r="BC702" s="4" t="s">
        <v>235</v>
      </c>
      <c r="BD702" s="8" t="s">
        <v>235</v>
      </c>
      <c r="BE702" s="4" t="s">
        <v>235</v>
      </c>
      <c r="BF702" s="8" t="s">
        <v>235</v>
      </c>
      <c r="BG702" s="7" t="s">
        <v>235</v>
      </c>
      <c r="BH702" s="7" t="s">
        <v>235</v>
      </c>
      <c r="BI702" s="7"/>
      <c r="BJ702" s="4">
        <v>111</v>
      </c>
      <c r="BK702" s="8">
        <v>2817.41</v>
      </c>
      <c r="BL702" s="2" t="s">
        <v>3113</v>
      </c>
      <c r="BM702" s="7"/>
      <c r="BN702" s="7"/>
      <c r="BO702" s="4"/>
      <c r="BP702" s="8"/>
      <c r="BQ702" s="4"/>
      <c r="BR702" s="8"/>
      <c r="BS702" s="7"/>
      <c r="BT702" s="7"/>
      <c r="BU702" s="2" t="s">
        <v>3105</v>
      </c>
      <c r="BV702" s="2" t="s">
        <v>243</v>
      </c>
      <c r="BW702" s="2" t="s">
        <v>235</v>
      </c>
      <c r="BX702" s="2" t="s">
        <v>383</v>
      </c>
      <c r="BY702" s="2" t="s">
        <v>245</v>
      </c>
      <c r="BZ702" s="2" t="s">
        <v>232</v>
      </c>
      <c r="CA702" s="2" t="s">
        <v>3114</v>
      </c>
      <c r="CB702" s="2" t="s">
        <v>3115</v>
      </c>
      <c r="CC702" s="2" t="s">
        <v>248</v>
      </c>
      <c r="CD702" s="2" t="s">
        <v>248</v>
      </c>
      <c r="CE702" s="2" t="s">
        <v>235</v>
      </c>
      <c r="CF702" s="4">
        <v>287</v>
      </c>
      <c r="CG702" s="4">
        <v>395</v>
      </c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>
        <v>1</v>
      </c>
      <c r="DH702" s="4"/>
      <c r="DI702" s="4"/>
      <c r="DJ702" s="4"/>
      <c r="DK702" s="4"/>
      <c r="DL702" s="4"/>
      <c r="DM702" s="4">
        <v>421</v>
      </c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>
        <v>214</v>
      </c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>
        <v>794</v>
      </c>
      <c r="GE702" s="4">
        <v>692</v>
      </c>
      <c r="GF702" s="4">
        <v>688</v>
      </c>
      <c r="GG702" s="4">
        <v>653</v>
      </c>
      <c r="GH702" s="4">
        <v>1009</v>
      </c>
      <c r="GI702" s="4">
        <v>901</v>
      </c>
      <c r="GJ702" s="4">
        <v>700</v>
      </c>
      <c r="GK702" s="4">
        <v>598</v>
      </c>
      <c r="GL702" s="4">
        <v>499</v>
      </c>
      <c r="GM702" s="4">
        <v>644</v>
      </c>
      <c r="GN702" s="4">
        <v>581</v>
      </c>
      <c r="GO702" s="4">
        <v>506</v>
      </c>
      <c r="GP702" s="4">
        <v>426</v>
      </c>
      <c r="GQ702" s="4">
        <v>309</v>
      </c>
      <c r="GR702" s="4">
        <v>247</v>
      </c>
      <c r="GS702" s="4">
        <v>176</v>
      </c>
      <c r="GT702" s="4">
        <v>120</v>
      </c>
      <c r="GU702" s="4">
        <v>71</v>
      </c>
      <c r="GV702" s="4">
        <v>19</v>
      </c>
      <c r="GW702" s="4"/>
      <c r="GX702" s="4">
        <v>499</v>
      </c>
      <c r="GY702" s="4">
        <v>429</v>
      </c>
      <c r="GZ702" s="4">
        <v>401</v>
      </c>
      <c r="HA702" s="4">
        <v>373</v>
      </c>
      <c r="HB702" s="4">
        <v>345</v>
      </c>
      <c r="HC702" s="4">
        <v>317</v>
      </c>
      <c r="HD702" s="19">
        <v>15.3</v>
      </c>
      <c r="HE702" s="19">
        <v>13.1</v>
      </c>
      <c r="HF702" s="19">
        <v>6.7</v>
      </c>
      <c r="HG702" s="19">
        <v>5.5</v>
      </c>
      <c r="HH702" s="19">
        <v>7.9</v>
      </c>
      <c r="HI702" s="19">
        <v>7.6</v>
      </c>
      <c r="HJ702" s="19">
        <v>8.4</v>
      </c>
      <c r="HK702" s="19">
        <v>7.9</v>
      </c>
      <c r="HL702" s="19">
        <v>6.9</v>
      </c>
      <c r="HM702" s="19">
        <v>7.7</v>
      </c>
      <c r="HN702" s="19">
        <v>6.9</v>
      </c>
      <c r="HO702" s="19">
        <v>6.2</v>
      </c>
      <c r="HP702" s="19">
        <v>5.6</v>
      </c>
      <c r="HQ702" s="19">
        <v>5.2</v>
      </c>
      <c r="HR702" s="19">
        <v>4.3</v>
      </c>
      <c r="HS702" s="19">
        <v>4</v>
      </c>
      <c r="HT702" s="19">
        <v>3.6</v>
      </c>
      <c r="HU702" s="19">
        <v>1.9</v>
      </c>
      <c r="HV702" s="19">
        <v>0.6</v>
      </c>
      <c r="HW702" s="20">
        <v>0</v>
      </c>
      <c r="HX702" s="19">
        <v>13.1</v>
      </c>
      <c r="HY702" s="19">
        <v>15.3</v>
      </c>
      <c r="HZ702" s="19">
        <v>14.3</v>
      </c>
      <c r="IA702" s="19">
        <v>13.8</v>
      </c>
      <c r="IB702" s="19">
        <v>13.3</v>
      </c>
      <c r="IC702" s="19">
        <v>13.2</v>
      </c>
    </row>
    <row r="703">
      <c r="A703" s="2" t="s">
        <v>3116</v>
      </c>
      <c r="B703" s="2" t="s">
        <v>323</v>
      </c>
      <c r="C703" s="2" t="s">
        <v>1036</v>
      </c>
      <c r="D703" s="2" t="s">
        <v>257</v>
      </c>
      <c r="E703" s="2" t="s">
        <v>258</v>
      </c>
      <c r="F703" s="2" t="s">
        <v>3098</v>
      </c>
      <c r="G703" s="2" t="s">
        <v>3098</v>
      </c>
      <c r="H703" s="2" t="s">
        <v>3098</v>
      </c>
      <c r="I703" s="2" t="s">
        <v>3099</v>
      </c>
      <c r="J703" s="2" t="s">
        <v>270</v>
      </c>
      <c r="K703" s="2" t="s">
        <v>3100</v>
      </c>
      <c r="L703" s="3">
        <v>27.39</v>
      </c>
      <c r="M703" s="3">
        <v>28.76</v>
      </c>
      <c r="N703" s="3">
        <v>62.99</v>
      </c>
      <c r="O703" s="2" t="s">
        <v>232</v>
      </c>
      <c r="P703" s="2" t="s">
        <v>233</v>
      </c>
      <c r="Q703" s="2" t="s">
        <v>234</v>
      </c>
      <c r="R703" s="2" t="s">
        <v>235</v>
      </c>
      <c r="S703" s="2" t="s">
        <v>3101</v>
      </c>
      <c r="T703" s="2" t="s">
        <v>2908</v>
      </c>
      <c r="U703" s="2" t="s">
        <v>264</v>
      </c>
      <c r="V703" s="2" t="s">
        <v>2159</v>
      </c>
      <c r="W703" s="2" t="s">
        <v>239</v>
      </c>
      <c r="X703" s="2" t="s">
        <v>1798</v>
      </c>
      <c r="Y703" s="2" t="s">
        <v>3102</v>
      </c>
      <c r="Z703" s="4">
        <v>310</v>
      </c>
      <c r="AA703" s="4">
        <f>=ROUNDDOWN(18.2352941176471,0)</f>
      </c>
      <c r="AB703" s="5">
        <v>17</v>
      </c>
      <c r="AC703" s="2" t="s">
        <v>3103</v>
      </c>
      <c r="AD703" s="4">
        <v>146</v>
      </c>
      <c r="AE703" s="4">
        <v>221</v>
      </c>
      <c r="AF703" s="6">
        <v>73</v>
      </c>
      <c r="AG703" s="6"/>
      <c r="AH703" s="7">
        <v>1</v>
      </c>
      <c r="AI703" s="4"/>
      <c r="AJ703" s="4">
        <f>=ROUNDDOWN({0},0)</f>
      </c>
      <c r="AK703" s="5"/>
      <c r="AL703" s="2" t="s">
        <v>235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235</v>
      </c>
      <c r="AW703" s="8" t="s">
        <v>235</v>
      </c>
      <c r="AX703" s="4" t="s">
        <v>235</v>
      </c>
      <c r="AY703" s="8" t="s">
        <v>235</v>
      </c>
      <c r="AZ703" s="7" t="s">
        <v>235</v>
      </c>
      <c r="BA703" s="7" t="s">
        <v>235</v>
      </c>
      <c r="BB703" s="7"/>
      <c r="BC703" s="4" t="s">
        <v>235</v>
      </c>
      <c r="BD703" s="8" t="s">
        <v>235</v>
      </c>
      <c r="BE703" s="4" t="s">
        <v>235</v>
      </c>
      <c r="BF703" s="8" t="s">
        <v>235</v>
      </c>
      <c r="BG703" s="7" t="s">
        <v>235</v>
      </c>
      <c r="BH703" s="7" t="s">
        <v>235</v>
      </c>
      <c r="BI703" s="7"/>
      <c r="BJ703" s="4">
        <v>36</v>
      </c>
      <c r="BK703" s="8">
        <v>1087.2</v>
      </c>
      <c r="BL703" s="2" t="s">
        <v>3117</v>
      </c>
      <c r="BM703" s="7"/>
      <c r="BN703" s="7"/>
      <c r="BO703" s="4"/>
      <c r="BP703" s="8"/>
      <c r="BQ703" s="4"/>
      <c r="BR703" s="8"/>
      <c r="BS703" s="7"/>
      <c r="BT703" s="7"/>
      <c r="BU703" s="2" t="s">
        <v>3105</v>
      </c>
      <c r="BV703" s="2" t="s">
        <v>243</v>
      </c>
      <c r="BW703" s="2" t="s">
        <v>235</v>
      </c>
      <c r="BX703" s="2" t="s">
        <v>383</v>
      </c>
      <c r="BY703" s="2" t="s">
        <v>245</v>
      </c>
      <c r="BZ703" s="2" t="s">
        <v>232</v>
      </c>
      <c r="CA703" s="2" t="s">
        <v>3110</v>
      </c>
      <c r="CB703" s="2" t="s">
        <v>3118</v>
      </c>
      <c r="CC703" s="2" t="s">
        <v>248</v>
      </c>
      <c r="CD703" s="2" t="s">
        <v>248</v>
      </c>
      <c r="CE703" s="2" t="s">
        <v>235</v>
      </c>
      <c r="CF703" s="4">
        <v>188</v>
      </c>
      <c r="CG703" s="4">
        <v>122</v>
      </c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>
        <v>146</v>
      </c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>
        <v>75</v>
      </c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>
        <v>312</v>
      </c>
      <c r="GE703" s="4">
        <v>248</v>
      </c>
      <c r="GF703" s="4">
        <v>236</v>
      </c>
      <c r="GG703" s="4">
        <v>219</v>
      </c>
      <c r="GH703" s="4">
        <v>344</v>
      </c>
      <c r="GI703" s="4">
        <v>311</v>
      </c>
      <c r="GJ703" s="4">
        <v>250</v>
      </c>
      <c r="GK703" s="4">
        <v>219</v>
      </c>
      <c r="GL703" s="4">
        <v>189</v>
      </c>
      <c r="GM703" s="4">
        <v>243</v>
      </c>
      <c r="GN703" s="4">
        <v>223</v>
      </c>
      <c r="GO703" s="4">
        <v>199</v>
      </c>
      <c r="GP703" s="4">
        <v>173</v>
      </c>
      <c r="GQ703" s="4">
        <v>135</v>
      </c>
      <c r="GR703" s="4">
        <v>115</v>
      </c>
      <c r="GS703" s="4">
        <v>93</v>
      </c>
      <c r="GT703" s="4">
        <v>76</v>
      </c>
      <c r="GU703" s="4">
        <v>61</v>
      </c>
      <c r="GV703" s="4">
        <v>45</v>
      </c>
      <c r="GW703" s="4">
        <v>33</v>
      </c>
      <c r="GX703" s="4">
        <v>131</v>
      </c>
      <c r="GY703" s="4">
        <v>122</v>
      </c>
      <c r="GZ703" s="4">
        <v>112</v>
      </c>
      <c r="HA703" s="4">
        <v>102</v>
      </c>
      <c r="HB703" s="4">
        <v>92</v>
      </c>
      <c r="HC703" s="4">
        <v>82</v>
      </c>
      <c r="HD703" s="19">
        <v>11.1</v>
      </c>
      <c r="HE703" s="19">
        <v>11.8</v>
      </c>
      <c r="HF703" s="19">
        <v>7.2</v>
      </c>
      <c r="HG703" s="19">
        <v>6.1</v>
      </c>
      <c r="HH703" s="19">
        <v>8.8</v>
      </c>
      <c r="HI703" s="19">
        <v>8.6</v>
      </c>
      <c r="HJ703" s="19">
        <v>9.6</v>
      </c>
      <c r="HK703" s="19">
        <v>9.1</v>
      </c>
      <c r="HL703" s="19">
        <v>8.2</v>
      </c>
      <c r="HM703" s="19">
        <v>9</v>
      </c>
      <c r="HN703" s="19">
        <v>8.3</v>
      </c>
      <c r="HO703" s="19">
        <v>7.7</v>
      </c>
      <c r="HP703" s="19">
        <v>7.2</v>
      </c>
      <c r="HQ703" s="19">
        <v>7.5</v>
      </c>
      <c r="HR703" s="19">
        <v>6.4</v>
      </c>
      <c r="HS703" s="19">
        <v>6.2</v>
      </c>
      <c r="HT703" s="19">
        <v>5.8</v>
      </c>
      <c r="HU703" s="19">
        <v>5.1</v>
      </c>
      <c r="HV703" s="19">
        <v>4.5</v>
      </c>
      <c r="HW703" s="19">
        <v>3.3</v>
      </c>
      <c r="HX703" s="19">
        <v>13.1</v>
      </c>
      <c r="HY703" s="19">
        <v>12.2</v>
      </c>
      <c r="HZ703" s="19">
        <v>11.2</v>
      </c>
      <c r="IA703" s="19">
        <v>10.2</v>
      </c>
      <c r="IB703" s="19">
        <v>10.2</v>
      </c>
      <c r="IC703" s="19">
        <v>10.3</v>
      </c>
    </row>
    <row r="704">
      <c r="A704" s="2" t="s">
        <v>3119</v>
      </c>
      <c r="B704" s="2" t="s">
        <v>323</v>
      </c>
      <c r="C704" s="2" t="s">
        <v>1036</v>
      </c>
      <c r="D704" s="2" t="s">
        <v>257</v>
      </c>
      <c r="E704" s="2" t="s">
        <v>258</v>
      </c>
      <c r="F704" s="2" t="s">
        <v>3098</v>
      </c>
      <c r="G704" s="2" t="s">
        <v>3098</v>
      </c>
      <c r="H704" s="2" t="s">
        <v>3098</v>
      </c>
      <c r="I704" s="2" t="s">
        <v>3099</v>
      </c>
      <c r="J704" s="2" t="s">
        <v>230</v>
      </c>
      <c r="K704" s="2" t="s">
        <v>3120</v>
      </c>
      <c r="L704" s="3">
        <v>16.16</v>
      </c>
      <c r="M704" s="3">
        <v>16.97</v>
      </c>
      <c r="N704" s="3">
        <v>34.99</v>
      </c>
      <c r="O704" s="2" t="s">
        <v>232</v>
      </c>
      <c r="P704" s="2" t="s">
        <v>233</v>
      </c>
      <c r="Q704" s="2" t="s">
        <v>234</v>
      </c>
      <c r="R704" s="2" t="s">
        <v>235</v>
      </c>
      <c r="S704" s="2" t="s">
        <v>3121</v>
      </c>
      <c r="T704" s="2" t="s">
        <v>2908</v>
      </c>
      <c r="U704" s="2" t="s">
        <v>235</v>
      </c>
      <c r="V704" s="2" t="s">
        <v>2919</v>
      </c>
      <c r="W704" s="2" t="s">
        <v>239</v>
      </c>
      <c r="X704" s="2" t="s">
        <v>235</v>
      </c>
      <c r="Y704" s="2" t="s">
        <v>3029</v>
      </c>
      <c r="Z704" s="4">
        <v>335</v>
      </c>
      <c r="AA704" s="4">
        <f>=ROUNDDOWN(25.7692307692308,0)</f>
      </c>
      <c r="AB704" s="5">
        <v>13</v>
      </c>
      <c r="AC704" s="2" t="s">
        <v>168</v>
      </c>
      <c r="AD704" s="4">
        <v>151</v>
      </c>
      <c r="AE704" s="4">
        <v>226</v>
      </c>
      <c r="AF704" s="6">
        <v>73</v>
      </c>
      <c r="AG704" s="6"/>
      <c r="AH704" s="7">
        <v>1</v>
      </c>
      <c r="AI704" s="4"/>
      <c r="AJ704" s="4">
        <f>=ROUNDDOWN({0},0)</f>
      </c>
      <c r="AK704" s="5"/>
      <c r="AL704" s="2" t="s">
        <v>235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235</v>
      </c>
      <c r="AW704" s="8" t="s">
        <v>235</v>
      </c>
      <c r="AX704" s="4" t="s">
        <v>235</v>
      </c>
      <c r="AY704" s="8" t="s">
        <v>235</v>
      </c>
      <c r="AZ704" s="7" t="s">
        <v>235</v>
      </c>
      <c r="BA704" s="7" t="s">
        <v>235</v>
      </c>
      <c r="BB704" s="7"/>
      <c r="BC704" s="4" t="s">
        <v>235</v>
      </c>
      <c r="BD704" s="8" t="s">
        <v>235</v>
      </c>
      <c r="BE704" s="4" t="s">
        <v>235</v>
      </c>
      <c r="BF704" s="8" t="s">
        <v>235</v>
      </c>
      <c r="BG704" s="7" t="s">
        <v>235</v>
      </c>
      <c r="BH704" s="7" t="s">
        <v>235</v>
      </c>
      <c r="BI704" s="7"/>
      <c r="BJ704" s="4">
        <v>23</v>
      </c>
      <c r="BK704" s="8">
        <v>439.8</v>
      </c>
      <c r="BL704" s="2" t="s">
        <v>3122</v>
      </c>
      <c r="BM704" s="7"/>
      <c r="BN704" s="7"/>
      <c r="BO704" s="4"/>
      <c r="BP704" s="8"/>
      <c r="BQ704" s="4"/>
      <c r="BR704" s="8"/>
      <c r="BS704" s="7"/>
      <c r="BT704" s="7"/>
      <c r="BU704" s="2" t="s">
        <v>3105</v>
      </c>
      <c r="BV704" s="2" t="s">
        <v>243</v>
      </c>
      <c r="BW704" s="2" t="s">
        <v>235</v>
      </c>
      <c r="BX704" s="2" t="s">
        <v>383</v>
      </c>
      <c r="BY704" s="2" t="s">
        <v>245</v>
      </c>
      <c r="BZ704" s="2" t="s">
        <v>232</v>
      </c>
      <c r="CA704" s="2" t="s">
        <v>1924</v>
      </c>
      <c r="CB704" s="2" t="s">
        <v>3123</v>
      </c>
      <c r="CC704" s="2" t="s">
        <v>248</v>
      </c>
      <c r="CD704" s="2" t="s">
        <v>248</v>
      </c>
      <c r="CE704" s="2" t="s">
        <v>235</v>
      </c>
      <c r="CF704" s="4">
        <v>335</v>
      </c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>
        <v>151</v>
      </c>
      <c r="ED704" s="4"/>
      <c r="EE704" s="4"/>
      <c r="EF704" s="4"/>
      <c r="EG704" s="4"/>
      <c r="EH704" s="4"/>
      <c r="EI704" s="4"/>
      <c r="EJ704" s="4">
        <v>75</v>
      </c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>
        <v>342</v>
      </c>
      <c r="GE704" s="4">
        <v>330</v>
      </c>
      <c r="GF704" s="4">
        <v>328</v>
      </c>
      <c r="GG704" s="4">
        <v>312</v>
      </c>
      <c r="GH704" s="4">
        <v>292</v>
      </c>
      <c r="GI704" s="4">
        <v>260</v>
      </c>
      <c r="GJ704" s="4">
        <v>200</v>
      </c>
      <c r="GK704" s="4">
        <v>321</v>
      </c>
      <c r="GL704" s="4">
        <v>292</v>
      </c>
      <c r="GM704" s="4">
        <v>347</v>
      </c>
      <c r="GN704" s="4">
        <v>329</v>
      </c>
      <c r="GO704" s="4">
        <v>307</v>
      </c>
      <c r="GP704" s="4">
        <v>285</v>
      </c>
      <c r="GQ704" s="4">
        <v>253</v>
      </c>
      <c r="GR704" s="4">
        <v>236</v>
      </c>
      <c r="GS704" s="4">
        <v>219</v>
      </c>
      <c r="GT704" s="4">
        <v>206</v>
      </c>
      <c r="GU704" s="4">
        <v>195</v>
      </c>
      <c r="GV704" s="4">
        <v>183</v>
      </c>
      <c r="GW704" s="4">
        <v>174</v>
      </c>
      <c r="GX704" s="4">
        <v>166</v>
      </c>
      <c r="GY704" s="4">
        <v>159</v>
      </c>
      <c r="GZ704" s="4">
        <v>151</v>
      </c>
      <c r="HA704" s="4">
        <v>143</v>
      </c>
      <c r="HB704" s="4">
        <v>135</v>
      </c>
      <c r="HC704" s="4">
        <v>127</v>
      </c>
      <c r="HD704" s="19">
        <v>28.5</v>
      </c>
      <c r="HE704" s="19">
        <v>18.3</v>
      </c>
      <c r="HF704" s="19">
        <v>10.3</v>
      </c>
      <c r="HG704" s="19">
        <v>8.7</v>
      </c>
      <c r="HH704" s="19">
        <v>7.7</v>
      </c>
      <c r="HI704" s="19">
        <v>7.4</v>
      </c>
      <c r="HJ704" s="19">
        <v>8.3</v>
      </c>
      <c r="HK704" s="19">
        <v>14.6</v>
      </c>
      <c r="HL704" s="19">
        <v>14.6</v>
      </c>
      <c r="HM704" s="19">
        <v>14.5</v>
      </c>
      <c r="HN704" s="19">
        <v>14.3</v>
      </c>
      <c r="HO704" s="19">
        <v>14</v>
      </c>
      <c r="HP704" s="19">
        <v>14.3</v>
      </c>
      <c r="HQ704" s="19">
        <v>18.1</v>
      </c>
      <c r="HR704" s="19">
        <v>18.2</v>
      </c>
      <c r="HS704" s="19">
        <v>19.9</v>
      </c>
      <c r="HT704" s="19">
        <v>20.6</v>
      </c>
      <c r="HU704" s="19">
        <v>21.7</v>
      </c>
      <c r="HV704" s="19">
        <v>22.9</v>
      </c>
      <c r="HW704" s="19">
        <v>21.8</v>
      </c>
      <c r="HX704" s="19">
        <v>20.8</v>
      </c>
      <c r="HY704" s="19">
        <v>19.9</v>
      </c>
      <c r="HZ704" s="19">
        <v>18.9</v>
      </c>
      <c r="IA704" s="19">
        <v>17.9</v>
      </c>
      <c r="IB704" s="19">
        <v>19.3</v>
      </c>
      <c r="IC704" s="19">
        <v>21.2</v>
      </c>
    </row>
    <row r="705">
      <c r="A705" s="2" t="s">
        <v>3124</v>
      </c>
      <c r="B705" s="2" t="s">
        <v>323</v>
      </c>
      <c r="C705" s="2" t="s">
        <v>1036</v>
      </c>
      <c r="D705" s="2" t="s">
        <v>257</v>
      </c>
      <c r="E705" s="2" t="s">
        <v>258</v>
      </c>
      <c r="F705" s="2" t="s">
        <v>3098</v>
      </c>
      <c r="G705" s="2" t="s">
        <v>3098</v>
      </c>
      <c r="H705" s="2" t="s">
        <v>3098</v>
      </c>
      <c r="I705" s="2" t="s">
        <v>3099</v>
      </c>
      <c r="J705" s="2" t="s">
        <v>250</v>
      </c>
      <c r="K705" s="2" t="s">
        <v>3120</v>
      </c>
      <c r="L705" s="3">
        <v>22.4</v>
      </c>
      <c r="M705" s="3">
        <v>23.52</v>
      </c>
      <c r="N705" s="3">
        <v>44.99</v>
      </c>
      <c r="O705" s="2" t="s">
        <v>232</v>
      </c>
      <c r="P705" s="2" t="s">
        <v>233</v>
      </c>
      <c r="Q705" s="2" t="s">
        <v>234</v>
      </c>
      <c r="R705" s="2" t="s">
        <v>235</v>
      </c>
      <c r="S705" s="2" t="s">
        <v>3121</v>
      </c>
      <c r="T705" s="2" t="s">
        <v>2908</v>
      </c>
      <c r="U705" s="2" t="s">
        <v>264</v>
      </c>
      <c r="V705" s="2" t="s">
        <v>2919</v>
      </c>
      <c r="W705" s="2" t="s">
        <v>239</v>
      </c>
      <c r="X705" s="2" t="s">
        <v>235</v>
      </c>
      <c r="Y705" s="2" t="s">
        <v>3029</v>
      </c>
      <c r="Z705" s="4">
        <v>455</v>
      </c>
      <c r="AA705" s="4">
        <f>=ROUNDDOWN(25.2777777777778,0)</f>
      </c>
      <c r="AB705" s="5">
        <v>18</v>
      </c>
      <c r="AC705" s="2" t="s">
        <v>2503</v>
      </c>
      <c r="AD705" s="4">
        <v>1</v>
      </c>
      <c r="AE705" s="4">
        <v>317</v>
      </c>
      <c r="AF705" s="6">
        <v>73</v>
      </c>
      <c r="AG705" s="6"/>
      <c r="AH705" s="7">
        <v>1</v>
      </c>
      <c r="AI705" s="4"/>
      <c r="AJ705" s="4">
        <f>=ROUNDDOWN({0},0)</f>
      </c>
      <c r="AK705" s="5"/>
      <c r="AL705" s="2" t="s">
        <v>235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235</v>
      </c>
      <c r="AW705" s="8" t="s">
        <v>235</v>
      </c>
      <c r="AX705" s="4" t="s">
        <v>235</v>
      </c>
      <c r="AY705" s="8" t="s">
        <v>235</v>
      </c>
      <c r="AZ705" s="7" t="s">
        <v>235</v>
      </c>
      <c r="BA705" s="7" t="s">
        <v>235</v>
      </c>
      <c r="BB705" s="7"/>
      <c r="BC705" s="4" t="s">
        <v>235</v>
      </c>
      <c r="BD705" s="8" t="s">
        <v>235</v>
      </c>
      <c r="BE705" s="4" t="s">
        <v>235</v>
      </c>
      <c r="BF705" s="8" t="s">
        <v>235</v>
      </c>
      <c r="BG705" s="7" t="s">
        <v>235</v>
      </c>
      <c r="BH705" s="7" t="s">
        <v>235</v>
      </c>
      <c r="BI705" s="7"/>
      <c r="BJ705" s="4">
        <v>70</v>
      </c>
      <c r="BK705" s="8">
        <v>1515.93</v>
      </c>
      <c r="BL705" s="2" t="s">
        <v>3125</v>
      </c>
      <c r="BM705" s="7"/>
      <c r="BN705" s="7"/>
      <c r="BO705" s="4"/>
      <c r="BP705" s="8"/>
      <c r="BQ705" s="4"/>
      <c r="BR705" s="8"/>
      <c r="BS705" s="7"/>
      <c r="BT705" s="7"/>
      <c r="BU705" s="2" t="s">
        <v>3105</v>
      </c>
      <c r="BV705" s="2" t="s">
        <v>243</v>
      </c>
      <c r="BW705" s="2" t="s">
        <v>235</v>
      </c>
      <c r="BX705" s="2" t="s">
        <v>383</v>
      </c>
      <c r="BY705" s="2" t="s">
        <v>245</v>
      </c>
      <c r="BZ705" s="2" t="s">
        <v>232</v>
      </c>
      <c r="CA705" s="2" t="s">
        <v>1924</v>
      </c>
      <c r="CB705" s="2" t="s">
        <v>3126</v>
      </c>
      <c r="CC705" s="2" t="s">
        <v>248</v>
      </c>
      <c r="CD705" s="2" t="s">
        <v>248</v>
      </c>
      <c r="CE705" s="2" t="s">
        <v>235</v>
      </c>
      <c r="CF705" s="4">
        <v>455</v>
      </c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>
        <v>1</v>
      </c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>
        <v>212</v>
      </c>
      <c r="ED705" s="4"/>
      <c r="EE705" s="4"/>
      <c r="EF705" s="4"/>
      <c r="EG705" s="4"/>
      <c r="EH705" s="4"/>
      <c r="EI705" s="4"/>
      <c r="EJ705" s="4">
        <v>104</v>
      </c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>
        <v>466</v>
      </c>
      <c r="GE705" s="4">
        <v>446</v>
      </c>
      <c r="GF705" s="4">
        <v>443</v>
      </c>
      <c r="GG705" s="4">
        <v>439</v>
      </c>
      <c r="GH705" s="4">
        <v>418</v>
      </c>
      <c r="GI705" s="4">
        <v>377</v>
      </c>
      <c r="GJ705" s="4">
        <v>302</v>
      </c>
      <c r="GK705" s="4">
        <v>475</v>
      </c>
      <c r="GL705" s="4">
        <v>437</v>
      </c>
      <c r="GM705" s="4">
        <v>514</v>
      </c>
      <c r="GN705" s="4">
        <v>489</v>
      </c>
      <c r="GO705" s="4">
        <v>458</v>
      </c>
      <c r="GP705" s="4">
        <v>424</v>
      </c>
      <c r="GQ705" s="4">
        <v>372</v>
      </c>
      <c r="GR705" s="4">
        <v>345</v>
      </c>
      <c r="GS705" s="4">
        <v>317</v>
      </c>
      <c r="GT705" s="4">
        <v>296</v>
      </c>
      <c r="GU705" s="4">
        <v>279</v>
      </c>
      <c r="GV705" s="4">
        <v>260</v>
      </c>
      <c r="GW705" s="4">
        <v>246</v>
      </c>
      <c r="GX705" s="4">
        <v>234</v>
      </c>
      <c r="GY705" s="4">
        <v>224</v>
      </c>
      <c r="GZ705" s="4">
        <v>213</v>
      </c>
      <c r="HA705" s="4">
        <v>202</v>
      </c>
      <c r="HB705" s="4">
        <v>191</v>
      </c>
      <c r="HC705" s="4">
        <v>180</v>
      </c>
      <c r="HD705" s="19">
        <v>38.8</v>
      </c>
      <c r="HE705" s="19">
        <v>24.8</v>
      </c>
      <c r="HF705" s="19">
        <v>12.7</v>
      </c>
      <c r="HG705" s="19">
        <v>10</v>
      </c>
      <c r="HH705" s="19">
        <v>8.7</v>
      </c>
      <c r="HI705" s="19">
        <v>8.4</v>
      </c>
      <c r="HJ705" s="19">
        <v>9.4</v>
      </c>
      <c r="HK705" s="19">
        <v>15.8</v>
      </c>
      <c r="HL705" s="19">
        <v>15.1</v>
      </c>
      <c r="HM705" s="19">
        <v>14.3</v>
      </c>
      <c r="HN705" s="19">
        <v>13.6</v>
      </c>
      <c r="HO705" s="19">
        <v>13.1</v>
      </c>
      <c r="HP705" s="19">
        <v>13.3</v>
      </c>
      <c r="HQ705" s="19">
        <v>16.2</v>
      </c>
      <c r="HR705" s="19">
        <v>16.4</v>
      </c>
      <c r="HS705" s="19">
        <v>17.6</v>
      </c>
      <c r="HT705" s="19">
        <v>18.5</v>
      </c>
      <c r="HU705" s="19">
        <v>19.9</v>
      </c>
      <c r="HV705" s="19">
        <v>21.7</v>
      </c>
      <c r="HW705" s="19">
        <v>22.4</v>
      </c>
      <c r="HX705" s="19">
        <v>21.3</v>
      </c>
      <c r="HY705" s="19">
        <v>20.4</v>
      </c>
      <c r="HZ705" s="19">
        <v>19.4</v>
      </c>
      <c r="IA705" s="19">
        <v>20.2</v>
      </c>
      <c r="IB705" s="19">
        <v>19.1</v>
      </c>
      <c r="IC705" s="19">
        <v>20</v>
      </c>
    </row>
    <row r="706">
      <c r="A706" s="2" t="s">
        <v>3127</v>
      </c>
      <c r="B706" s="2" t="s">
        <v>323</v>
      </c>
      <c r="C706" s="2" t="s">
        <v>1036</v>
      </c>
      <c r="D706" s="2" t="s">
        <v>257</v>
      </c>
      <c r="E706" s="2" t="s">
        <v>258</v>
      </c>
      <c r="F706" s="2" t="s">
        <v>3098</v>
      </c>
      <c r="G706" s="2" t="s">
        <v>3098</v>
      </c>
      <c r="H706" s="2" t="s">
        <v>3098</v>
      </c>
      <c r="I706" s="2" t="s">
        <v>3099</v>
      </c>
      <c r="J706" s="2" t="s">
        <v>270</v>
      </c>
      <c r="K706" s="2" t="s">
        <v>3120</v>
      </c>
      <c r="L706" s="3">
        <v>31.28</v>
      </c>
      <c r="M706" s="3">
        <v>32.84</v>
      </c>
      <c r="N706" s="3">
        <v>64.99</v>
      </c>
      <c r="O706" s="2" t="s">
        <v>232</v>
      </c>
      <c r="P706" s="2" t="s">
        <v>233</v>
      </c>
      <c r="Q706" s="2" t="s">
        <v>234</v>
      </c>
      <c r="R706" s="2" t="s">
        <v>235</v>
      </c>
      <c r="S706" s="2" t="s">
        <v>3121</v>
      </c>
      <c r="T706" s="2" t="s">
        <v>2908</v>
      </c>
      <c r="U706" s="2" t="s">
        <v>264</v>
      </c>
      <c r="V706" s="2" t="s">
        <v>2919</v>
      </c>
      <c r="W706" s="2" t="s">
        <v>239</v>
      </c>
      <c r="X706" s="2" t="s">
        <v>235</v>
      </c>
      <c r="Y706" s="2" t="s">
        <v>3029</v>
      </c>
      <c r="Z706" s="4">
        <v>343</v>
      </c>
      <c r="AA706" s="4">
        <f>=ROUNDDOWN(26.3846153846154,0)</f>
      </c>
      <c r="AB706" s="5">
        <v>13</v>
      </c>
      <c r="AC706" s="2" t="s">
        <v>168</v>
      </c>
      <c r="AD706" s="4">
        <v>146</v>
      </c>
      <c r="AE706" s="4">
        <v>221</v>
      </c>
      <c r="AF706" s="6">
        <v>73</v>
      </c>
      <c r="AG706" s="6"/>
      <c r="AH706" s="7">
        <v>1</v>
      </c>
      <c r="AI706" s="4"/>
      <c r="AJ706" s="4">
        <f>=ROUNDDOWN({0},0)</f>
      </c>
      <c r="AK706" s="5"/>
      <c r="AL706" s="2" t="s">
        <v>235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235</v>
      </c>
      <c r="AW706" s="8" t="s">
        <v>235</v>
      </c>
      <c r="AX706" s="4" t="s">
        <v>235</v>
      </c>
      <c r="AY706" s="8" t="s">
        <v>235</v>
      </c>
      <c r="AZ706" s="7" t="s">
        <v>235</v>
      </c>
      <c r="BA706" s="7" t="s">
        <v>235</v>
      </c>
      <c r="BB706" s="7"/>
      <c r="BC706" s="4" t="s">
        <v>235</v>
      </c>
      <c r="BD706" s="8" t="s">
        <v>235</v>
      </c>
      <c r="BE706" s="4" t="s">
        <v>235</v>
      </c>
      <c r="BF706" s="8" t="s">
        <v>235</v>
      </c>
      <c r="BG706" s="7" t="s">
        <v>235</v>
      </c>
      <c r="BH706" s="7" t="s">
        <v>235</v>
      </c>
      <c r="BI706" s="7"/>
      <c r="BJ706" s="4">
        <v>21</v>
      </c>
      <c r="BK706" s="8">
        <v>661.22</v>
      </c>
      <c r="BL706" s="2" t="s">
        <v>3128</v>
      </c>
      <c r="BM706" s="7"/>
      <c r="BN706" s="7"/>
      <c r="BO706" s="4"/>
      <c r="BP706" s="8"/>
      <c r="BQ706" s="4"/>
      <c r="BR706" s="8"/>
      <c r="BS706" s="7"/>
      <c r="BT706" s="7"/>
      <c r="BU706" s="2" t="s">
        <v>3105</v>
      </c>
      <c r="BV706" s="2" t="s">
        <v>243</v>
      </c>
      <c r="BW706" s="2" t="s">
        <v>235</v>
      </c>
      <c r="BX706" s="2" t="s">
        <v>383</v>
      </c>
      <c r="BY706" s="2" t="s">
        <v>245</v>
      </c>
      <c r="BZ706" s="2" t="s">
        <v>232</v>
      </c>
      <c r="CA706" s="2" t="s">
        <v>1924</v>
      </c>
      <c r="CB706" s="2" t="s">
        <v>3129</v>
      </c>
      <c r="CC706" s="2" t="s">
        <v>248</v>
      </c>
      <c r="CD706" s="2" t="s">
        <v>248</v>
      </c>
      <c r="CE706" s="2" t="s">
        <v>235</v>
      </c>
      <c r="CF706" s="4">
        <v>343</v>
      </c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>
        <v>146</v>
      </c>
      <c r="ED706" s="4"/>
      <c r="EE706" s="4"/>
      <c r="EF706" s="4"/>
      <c r="EG706" s="4"/>
      <c r="EH706" s="4"/>
      <c r="EI706" s="4"/>
      <c r="EJ706" s="4">
        <v>75</v>
      </c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>
        <v>346</v>
      </c>
      <c r="GE706" s="4">
        <v>324</v>
      </c>
      <c r="GF706" s="4">
        <v>313</v>
      </c>
      <c r="GG706" s="4">
        <v>297</v>
      </c>
      <c r="GH706" s="4">
        <v>277</v>
      </c>
      <c r="GI706" s="4">
        <v>245</v>
      </c>
      <c r="GJ706" s="4">
        <v>185</v>
      </c>
      <c r="GK706" s="4">
        <v>301</v>
      </c>
      <c r="GL706" s="4">
        <v>272</v>
      </c>
      <c r="GM706" s="4">
        <v>327</v>
      </c>
      <c r="GN706" s="4">
        <v>309</v>
      </c>
      <c r="GO706" s="4">
        <v>287</v>
      </c>
      <c r="GP706" s="4">
        <v>265</v>
      </c>
      <c r="GQ706" s="4">
        <v>233</v>
      </c>
      <c r="GR706" s="4">
        <v>216</v>
      </c>
      <c r="GS706" s="4">
        <v>199</v>
      </c>
      <c r="GT706" s="4">
        <v>186</v>
      </c>
      <c r="GU706" s="4">
        <v>175</v>
      </c>
      <c r="GV706" s="4">
        <v>163</v>
      </c>
      <c r="GW706" s="4">
        <v>154</v>
      </c>
      <c r="GX706" s="4">
        <v>146</v>
      </c>
      <c r="GY706" s="4">
        <v>139</v>
      </c>
      <c r="GZ706" s="4">
        <v>131</v>
      </c>
      <c r="HA706" s="4">
        <v>123</v>
      </c>
      <c r="HB706" s="4">
        <v>115</v>
      </c>
      <c r="HC706" s="4">
        <v>107</v>
      </c>
      <c r="HD706" s="19">
        <v>20.4</v>
      </c>
      <c r="HE706" s="19">
        <v>16.2</v>
      </c>
      <c r="HF706" s="19">
        <v>9.8</v>
      </c>
      <c r="HG706" s="19">
        <v>8.3</v>
      </c>
      <c r="HH706" s="19">
        <v>7.3</v>
      </c>
      <c r="HI706" s="19">
        <v>7</v>
      </c>
      <c r="HJ706" s="19">
        <v>7.7</v>
      </c>
      <c r="HK706" s="19">
        <v>13.7</v>
      </c>
      <c r="HL706" s="19">
        <v>13.6</v>
      </c>
      <c r="HM706" s="19">
        <v>13.6</v>
      </c>
      <c r="HN706" s="19">
        <v>13.4</v>
      </c>
      <c r="HO706" s="19">
        <v>13</v>
      </c>
      <c r="HP706" s="19">
        <v>13.3</v>
      </c>
      <c r="HQ706" s="19">
        <v>16.6</v>
      </c>
      <c r="HR706" s="19">
        <v>16.6</v>
      </c>
      <c r="HS706" s="19">
        <v>18.1</v>
      </c>
      <c r="HT706" s="19">
        <v>18.6</v>
      </c>
      <c r="HU706" s="19">
        <v>19.4</v>
      </c>
      <c r="HV706" s="19">
        <v>20.4</v>
      </c>
      <c r="HW706" s="19">
        <v>19.3</v>
      </c>
      <c r="HX706" s="19">
        <v>18.3</v>
      </c>
      <c r="HY706" s="19">
        <v>17.4</v>
      </c>
      <c r="HZ706" s="19">
        <v>16.4</v>
      </c>
      <c r="IA706" s="19">
        <v>15.4</v>
      </c>
      <c r="IB706" s="19">
        <v>16.4</v>
      </c>
      <c r="IC706" s="19">
        <v>17.8</v>
      </c>
    </row>
    <row r="707">
      <c r="A707" s="2" t="s">
        <v>3130</v>
      </c>
      <c r="B707" s="2" t="s">
        <v>323</v>
      </c>
      <c r="C707" s="2" t="s">
        <v>1036</v>
      </c>
      <c r="D707" s="2" t="s">
        <v>257</v>
      </c>
      <c r="E707" s="2" t="s">
        <v>258</v>
      </c>
      <c r="F707" s="2" t="s">
        <v>3098</v>
      </c>
      <c r="G707" s="2" t="s">
        <v>3098</v>
      </c>
      <c r="H707" s="2" t="s">
        <v>3098</v>
      </c>
      <c r="I707" s="2" t="s">
        <v>3099</v>
      </c>
      <c r="J707" s="2" t="s">
        <v>272</v>
      </c>
      <c r="K707" s="2" t="s">
        <v>3120</v>
      </c>
      <c r="L707" s="3">
        <v>27.39</v>
      </c>
      <c r="M707" s="3">
        <v>28.76</v>
      </c>
      <c r="N707" s="3">
        <v>62.99</v>
      </c>
      <c r="O707" s="2" t="s">
        <v>232</v>
      </c>
      <c r="P707" s="2" t="s">
        <v>233</v>
      </c>
      <c r="Q707" s="2" t="s">
        <v>234</v>
      </c>
      <c r="R707" s="2" t="s">
        <v>235</v>
      </c>
      <c r="S707" s="2" t="s">
        <v>3121</v>
      </c>
      <c r="T707" s="2" t="s">
        <v>2908</v>
      </c>
      <c r="U707" s="2" t="s">
        <v>235</v>
      </c>
      <c r="V707" s="2" t="s">
        <v>2919</v>
      </c>
      <c r="W707" s="2" t="s">
        <v>239</v>
      </c>
      <c r="X707" s="2" t="s">
        <v>235</v>
      </c>
      <c r="Y707" s="2" t="s">
        <v>3029</v>
      </c>
      <c r="Z707" s="4">
        <v>182</v>
      </c>
      <c r="AA707" s="4">
        <f>=ROUNDDOWN(26,0)</f>
      </c>
      <c r="AB707" s="5">
        <v>7</v>
      </c>
      <c r="AC707" s="2" t="s">
        <v>2503</v>
      </c>
      <c r="AD707" s="4">
        <v>1</v>
      </c>
      <c r="AE707" s="4">
        <v>99</v>
      </c>
      <c r="AF707" s="6">
        <v>73</v>
      </c>
      <c r="AG707" s="6"/>
      <c r="AH707" s="7">
        <v>1</v>
      </c>
      <c r="AI707" s="4"/>
      <c r="AJ707" s="4">
        <f>=ROUNDDOWN({0},0)</f>
      </c>
      <c r="AK707" s="5"/>
      <c r="AL707" s="2" t="s">
        <v>235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235</v>
      </c>
      <c r="AW707" s="8" t="s">
        <v>235</v>
      </c>
      <c r="AX707" s="4" t="s">
        <v>235</v>
      </c>
      <c r="AY707" s="8" t="s">
        <v>235</v>
      </c>
      <c r="AZ707" s="7" t="s">
        <v>235</v>
      </c>
      <c r="BA707" s="7" t="s">
        <v>235</v>
      </c>
      <c r="BB707" s="7"/>
      <c r="BC707" s="4" t="s">
        <v>235</v>
      </c>
      <c r="BD707" s="8" t="s">
        <v>235</v>
      </c>
      <c r="BE707" s="4" t="s">
        <v>235</v>
      </c>
      <c r="BF707" s="8" t="s">
        <v>235</v>
      </c>
      <c r="BG707" s="7" t="s">
        <v>235</v>
      </c>
      <c r="BH707" s="7" t="s">
        <v>235</v>
      </c>
      <c r="BI707" s="7"/>
      <c r="BJ707" s="4">
        <v>13</v>
      </c>
      <c r="BK707" s="8">
        <v>390.35</v>
      </c>
      <c r="BL707" s="2" t="s">
        <v>422</v>
      </c>
      <c r="BM707" s="7"/>
      <c r="BN707" s="7"/>
      <c r="BO707" s="4"/>
      <c r="BP707" s="8"/>
      <c r="BQ707" s="4"/>
      <c r="BR707" s="8"/>
      <c r="BS707" s="7"/>
      <c r="BT707" s="7"/>
      <c r="BU707" s="2" t="s">
        <v>3105</v>
      </c>
      <c r="BV707" s="2" t="s">
        <v>243</v>
      </c>
      <c r="BW707" s="2" t="s">
        <v>235</v>
      </c>
      <c r="BX707" s="2" t="s">
        <v>383</v>
      </c>
      <c r="BY707" s="2" t="s">
        <v>245</v>
      </c>
      <c r="BZ707" s="2" t="s">
        <v>232</v>
      </c>
      <c r="CA707" s="2" t="s">
        <v>1924</v>
      </c>
      <c r="CB707" s="2" t="s">
        <v>3131</v>
      </c>
      <c r="CC707" s="2" t="s">
        <v>248</v>
      </c>
      <c r="CD707" s="2" t="s">
        <v>248</v>
      </c>
      <c r="CE707" s="2" t="s">
        <v>235</v>
      </c>
      <c r="CF707" s="4">
        <v>182</v>
      </c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>
        <v>1</v>
      </c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>
        <v>64</v>
      </c>
      <c r="ED707" s="4"/>
      <c r="EE707" s="4"/>
      <c r="EF707" s="4"/>
      <c r="EG707" s="4"/>
      <c r="EH707" s="4"/>
      <c r="EI707" s="4"/>
      <c r="EJ707" s="4">
        <v>34</v>
      </c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>
        <v>184</v>
      </c>
      <c r="GE707" s="4">
        <v>177</v>
      </c>
      <c r="GF707" s="4">
        <v>172</v>
      </c>
      <c r="GG707" s="4">
        <v>164</v>
      </c>
      <c r="GH707" s="4">
        <v>154</v>
      </c>
      <c r="GI707" s="4">
        <v>139</v>
      </c>
      <c r="GJ707" s="4">
        <v>111</v>
      </c>
      <c r="GK707" s="4">
        <v>160</v>
      </c>
      <c r="GL707" s="4">
        <v>146</v>
      </c>
      <c r="GM707" s="4">
        <v>170</v>
      </c>
      <c r="GN707" s="4">
        <v>160</v>
      </c>
      <c r="GO707" s="4">
        <v>148</v>
      </c>
      <c r="GP707" s="4">
        <v>135</v>
      </c>
      <c r="GQ707" s="4">
        <v>113</v>
      </c>
      <c r="GR707" s="4">
        <v>102</v>
      </c>
      <c r="GS707" s="4">
        <v>91</v>
      </c>
      <c r="GT707" s="4">
        <v>83</v>
      </c>
      <c r="GU707" s="4">
        <v>76</v>
      </c>
      <c r="GV707" s="4">
        <v>68</v>
      </c>
      <c r="GW707" s="4">
        <v>63</v>
      </c>
      <c r="GX707" s="4">
        <v>59</v>
      </c>
      <c r="GY707" s="4">
        <v>55</v>
      </c>
      <c r="GZ707" s="4">
        <v>51</v>
      </c>
      <c r="HA707" s="4">
        <v>47</v>
      </c>
      <c r="HB707" s="4">
        <v>43</v>
      </c>
      <c r="HC707" s="4">
        <v>39</v>
      </c>
      <c r="HD707" s="19">
        <v>23</v>
      </c>
      <c r="HE707" s="19">
        <v>17.7</v>
      </c>
      <c r="HF707" s="19">
        <v>11.5</v>
      </c>
      <c r="HG707" s="19">
        <v>9.6</v>
      </c>
      <c r="HH707" s="19">
        <v>8.6</v>
      </c>
      <c r="HI707" s="19">
        <v>8.2</v>
      </c>
      <c r="HJ707" s="19">
        <v>9.3</v>
      </c>
      <c r="HK707" s="19">
        <v>13.3</v>
      </c>
      <c r="HL707" s="19">
        <v>13.3</v>
      </c>
      <c r="HM707" s="19">
        <v>12.1</v>
      </c>
      <c r="HN707" s="19">
        <v>11.4</v>
      </c>
      <c r="HO707" s="19">
        <v>10.6</v>
      </c>
      <c r="HP707" s="19">
        <v>10.4</v>
      </c>
      <c r="HQ707" s="19">
        <v>12.6</v>
      </c>
      <c r="HR707" s="19">
        <v>12.8</v>
      </c>
      <c r="HS707" s="19">
        <v>13</v>
      </c>
      <c r="HT707" s="19">
        <v>13.8</v>
      </c>
      <c r="HU707" s="19">
        <v>15.2</v>
      </c>
      <c r="HV707" s="19">
        <v>17</v>
      </c>
      <c r="HW707" s="19">
        <v>15.8</v>
      </c>
      <c r="HX707" s="19">
        <v>14.8</v>
      </c>
      <c r="HY707" s="19">
        <v>13.8</v>
      </c>
      <c r="HZ707" s="19">
        <v>12.8</v>
      </c>
      <c r="IA707" s="19">
        <v>11.8</v>
      </c>
      <c r="IB707" s="19">
        <v>10.8</v>
      </c>
      <c r="IC707" s="19">
        <v>9.8</v>
      </c>
    </row>
    <row r="708">
      <c r="A708" s="2" t="s">
        <v>3132</v>
      </c>
      <c r="B708" s="2" t="s">
        <v>323</v>
      </c>
      <c r="C708" s="2" t="s">
        <v>1036</v>
      </c>
      <c r="D708" s="2" t="s">
        <v>257</v>
      </c>
      <c r="E708" s="2" t="s">
        <v>258</v>
      </c>
      <c r="F708" s="2" t="s">
        <v>3098</v>
      </c>
      <c r="G708" s="2" t="s">
        <v>3098</v>
      </c>
      <c r="H708" s="2" t="s">
        <v>3098</v>
      </c>
      <c r="I708" s="2" t="s">
        <v>3099</v>
      </c>
      <c r="J708" s="2" t="s">
        <v>394</v>
      </c>
      <c r="K708" s="2" t="s">
        <v>3133</v>
      </c>
      <c r="L708" s="3">
        <v>14.89</v>
      </c>
      <c r="M708" s="3">
        <v>15.63</v>
      </c>
      <c r="N708" s="3">
        <v>31.99</v>
      </c>
      <c r="O708" s="2" t="s">
        <v>232</v>
      </c>
      <c r="P708" s="2" t="s">
        <v>336</v>
      </c>
      <c r="Q708" s="2" t="s">
        <v>234</v>
      </c>
      <c r="R708" s="2" t="s">
        <v>235</v>
      </c>
      <c r="S708" s="2" t="s">
        <v>3134</v>
      </c>
      <c r="T708" s="2" t="s">
        <v>2908</v>
      </c>
      <c r="U708" s="2" t="s">
        <v>552</v>
      </c>
      <c r="V708" s="2" t="s">
        <v>2182</v>
      </c>
      <c r="W708" s="2" t="s">
        <v>239</v>
      </c>
      <c r="X708" s="2" t="s">
        <v>1157</v>
      </c>
      <c r="Y708" s="2" t="s">
        <v>3135</v>
      </c>
      <c r="Z708" s="4">
        <v>304</v>
      </c>
      <c r="AA708" s="4">
        <f>=ROUNDDOWN(9.80645161290323,0)</f>
      </c>
      <c r="AB708" s="5">
        <v>31</v>
      </c>
      <c r="AC708" s="2" t="s">
        <v>2915</v>
      </c>
      <c r="AD708" s="4">
        <v>16</v>
      </c>
      <c r="AE708" s="4">
        <v>387</v>
      </c>
      <c r="AF708" s="6">
        <v>73</v>
      </c>
      <c r="AG708" s="6"/>
      <c r="AH708" s="7">
        <v>1</v>
      </c>
      <c r="AI708" s="4"/>
      <c r="AJ708" s="4">
        <f>=ROUNDDOWN({0},0)</f>
      </c>
      <c r="AK708" s="5"/>
      <c r="AL708" s="2" t="s">
        <v>235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235</v>
      </c>
      <c r="AW708" s="8" t="s">
        <v>235</v>
      </c>
      <c r="AX708" s="4" t="s">
        <v>235</v>
      </c>
      <c r="AY708" s="8" t="s">
        <v>235</v>
      </c>
      <c r="AZ708" s="7" t="s">
        <v>235</v>
      </c>
      <c r="BA708" s="7" t="s">
        <v>235</v>
      </c>
      <c r="BB708" s="7"/>
      <c r="BC708" s="4" t="s">
        <v>235</v>
      </c>
      <c r="BD708" s="8" t="s">
        <v>235</v>
      </c>
      <c r="BE708" s="4" t="s">
        <v>235</v>
      </c>
      <c r="BF708" s="8" t="s">
        <v>235</v>
      </c>
      <c r="BG708" s="7" t="s">
        <v>235</v>
      </c>
      <c r="BH708" s="7" t="s">
        <v>235</v>
      </c>
      <c r="BI708" s="7"/>
      <c r="BJ708" s="4">
        <v>119</v>
      </c>
      <c r="BK708" s="8">
        <v>1998.88</v>
      </c>
      <c r="BL708" s="2" t="s">
        <v>3136</v>
      </c>
      <c r="BM708" s="7"/>
      <c r="BN708" s="7"/>
      <c r="BO708" s="4"/>
      <c r="BP708" s="8"/>
      <c r="BQ708" s="4"/>
      <c r="BR708" s="8"/>
      <c r="BS708" s="7"/>
      <c r="BT708" s="7"/>
      <c r="BU708" s="2" t="s">
        <v>3105</v>
      </c>
      <c r="BV708" s="2" t="s">
        <v>243</v>
      </c>
      <c r="BW708" s="2" t="s">
        <v>235</v>
      </c>
      <c r="BX708" s="2" t="s">
        <v>383</v>
      </c>
      <c r="BY708" s="2" t="s">
        <v>245</v>
      </c>
      <c r="BZ708" s="2" t="s">
        <v>232</v>
      </c>
      <c r="CA708" s="2" t="s">
        <v>675</v>
      </c>
      <c r="CB708" s="2" t="s">
        <v>3137</v>
      </c>
      <c r="CC708" s="2" t="s">
        <v>248</v>
      </c>
      <c r="CD708" s="2" t="s">
        <v>248</v>
      </c>
      <c r="CE708" s="2" t="s">
        <v>235</v>
      </c>
      <c r="CF708" s="4">
        <v>276</v>
      </c>
      <c r="CG708" s="4"/>
      <c r="CH708" s="4"/>
      <c r="CI708" s="4"/>
      <c r="CJ708" s="4"/>
      <c r="CK708" s="4"/>
      <c r="CL708" s="4"/>
      <c r="CM708" s="4">
        <v>28</v>
      </c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>
        <v>16</v>
      </c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>
        <v>242</v>
      </c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>
        <v>129</v>
      </c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>
        <v>480</v>
      </c>
      <c r="GE708" s="4">
        <v>320</v>
      </c>
      <c r="GF708" s="4">
        <v>317</v>
      </c>
      <c r="GG708" s="4">
        <v>314</v>
      </c>
      <c r="GH708" s="4">
        <v>553</v>
      </c>
      <c r="GI708" s="4">
        <v>527</v>
      </c>
      <c r="GJ708" s="4">
        <v>366</v>
      </c>
      <c r="GK708" s="4">
        <v>287</v>
      </c>
      <c r="GL708" s="4">
        <v>211</v>
      </c>
      <c r="GM708" s="4">
        <v>289</v>
      </c>
      <c r="GN708" s="4">
        <v>246</v>
      </c>
      <c r="GO708" s="4">
        <v>196</v>
      </c>
      <c r="GP708" s="4">
        <v>149</v>
      </c>
      <c r="GQ708" s="4">
        <v>92</v>
      </c>
      <c r="GR708" s="4">
        <v>60</v>
      </c>
      <c r="GS708" s="4">
        <v>25</v>
      </c>
      <c r="GT708" s="4"/>
      <c r="GU708" s="4"/>
      <c r="GV708" s="4"/>
      <c r="GW708" s="4"/>
      <c r="GX708" s="4"/>
      <c r="GY708" s="4"/>
      <c r="GZ708" s="4"/>
      <c r="HA708" s="4">
        <v>300</v>
      </c>
      <c r="HB708" s="4">
        <v>283</v>
      </c>
      <c r="HC708" s="4">
        <v>266</v>
      </c>
      <c r="HD708" s="19">
        <v>10.4</v>
      </c>
      <c r="HE708" s="19">
        <v>35.6</v>
      </c>
      <c r="HF708" s="19">
        <v>6.6</v>
      </c>
      <c r="HG708" s="19">
        <v>4.7</v>
      </c>
      <c r="HH708" s="19">
        <v>6.4</v>
      </c>
      <c r="HI708" s="19">
        <v>5.7</v>
      </c>
      <c r="HJ708" s="19">
        <v>5.9</v>
      </c>
      <c r="HK708" s="19">
        <v>5.2</v>
      </c>
      <c r="HL708" s="19">
        <v>4.4</v>
      </c>
      <c r="HM708" s="19">
        <v>5.9</v>
      </c>
      <c r="HN708" s="19">
        <v>5.3</v>
      </c>
      <c r="HO708" s="19">
        <v>4.6</v>
      </c>
      <c r="HP708" s="19">
        <v>4</v>
      </c>
      <c r="HQ708" s="19">
        <v>3.7</v>
      </c>
      <c r="HR708" s="19">
        <v>3.2</v>
      </c>
      <c r="HS708" s="19">
        <v>2.1</v>
      </c>
      <c r="HT708" s="20">
        <v>0</v>
      </c>
      <c r="HU708" s="20">
        <v>0</v>
      </c>
      <c r="HV708" s="20">
        <v>0</v>
      </c>
      <c r="HW708" s="20">
        <v>0</v>
      </c>
      <c r="HX708" s="20">
        <v>0</v>
      </c>
      <c r="HY708" s="20">
        <v>0</v>
      </c>
      <c r="HZ708" s="20">
        <v>0</v>
      </c>
      <c r="IA708" s="19">
        <v>18.8</v>
      </c>
      <c r="IB708" s="19">
        <v>17.7</v>
      </c>
      <c r="IC708" s="19">
        <v>19</v>
      </c>
    </row>
    <row r="709">
      <c r="A709" s="2" t="s">
        <v>3138</v>
      </c>
      <c r="B709" s="2" t="s">
        <v>323</v>
      </c>
      <c r="C709" s="2" t="s">
        <v>1036</v>
      </c>
      <c r="D709" s="2" t="s">
        <v>257</v>
      </c>
      <c r="E709" s="2" t="s">
        <v>258</v>
      </c>
      <c r="F709" s="2" t="s">
        <v>3098</v>
      </c>
      <c r="G709" s="2" t="s">
        <v>3098</v>
      </c>
      <c r="H709" s="2" t="s">
        <v>3098</v>
      </c>
      <c r="I709" s="2" t="s">
        <v>3099</v>
      </c>
      <c r="J709" s="2" t="s">
        <v>250</v>
      </c>
      <c r="K709" s="2" t="s">
        <v>3133</v>
      </c>
      <c r="L709" s="3">
        <v>19.57</v>
      </c>
      <c r="M709" s="3">
        <v>20.55</v>
      </c>
      <c r="N709" s="3">
        <v>42.99</v>
      </c>
      <c r="O709" s="2" t="s">
        <v>232</v>
      </c>
      <c r="P709" s="2" t="s">
        <v>233</v>
      </c>
      <c r="Q709" s="2" t="s">
        <v>234</v>
      </c>
      <c r="R709" s="2" t="s">
        <v>235</v>
      </c>
      <c r="S709" s="2" t="s">
        <v>3134</v>
      </c>
      <c r="T709" s="2" t="s">
        <v>2908</v>
      </c>
      <c r="U709" s="2" t="s">
        <v>264</v>
      </c>
      <c r="V709" s="2" t="s">
        <v>2182</v>
      </c>
      <c r="W709" s="2" t="s">
        <v>239</v>
      </c>
      <c r="X709" s="2" t="s">
        <v>1157</v>
      </c>
      <c r="Y709" s="2" t="s">
        <v>3135</v>
      </c>
      <c r="Z709" s="4">
        <v>987</v>
      </c>
      <c r="AA709" s="4">
        <f>=ROUNDDOWN(58.0588235294118,0)</f>
      </c>
      <c r="AB709" s="5">
        <v>17</v>
      </c>
      <c r="AC709" s="2" t="s">
        <v>235</v>
      </c>
      <c r="AD709" s="4"/>
      <c r="AE709" s="4"/>
      <c r="AF709" s="6">
        <v>73</v>
      </c>
      <c r="AG709" s="6"/>
      <c r="AH709" s="7">
        <v>1</v>
      </c>
      <c r="AI709" s="4"/>
      <c r="AJ709" s="4">
        <f>=ROUNDDOWN({0},0)</f>
      </c>
      <c r="AK709" s="5"/>
      <c r="AL709" s="2" t="s">
        <v>235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235</v>
      </c>
      <c r="AW709" s="8" t="s">
        <v>235</v>
      </c>
      <c r="AX709" s="4" t="s">
        <v>235</v>
      </c>
      <c r="AY709" s="8" t="s">
        <v>235</v>
      </c>
      <c r="AZ709" s="7" t="s">
        <v>235</v>
      </c>
      <c r="BA709" s="7" t="s">
        <v>235</v>
      </c>
      <c r="BB709" s="7"/>
      <c r="BC709" s="4" t="s">
        <v>235</v>
      </c>
      <c r="BD709" s="8" t="s">
        <v>235</v>
      </c>
      <c r="BE709" s="4" t="s">
        <v>235</v>
      </c>
      <c r="BF709" s="8" t="s">
        <v>235</v>
      </c>
      <c r="BG709" s="7" t="s">
        <v>235</v>
      </c>
      <c r="BH709" s="7" t="s">
        <v>235</v>
      </c>
      <c r="BI709" s="7"/>
      <c r="BJ709" s="4">
        <v>3</v>
      </c>
      <c r="BK709" s="8">
        <v>66.31</v>
      </c>
      <c r="BL709" s="2" t="s">
        <v>3139</v>
      </c>
      <c r="BM709" s="7"/>
      <c r="BN709" s="7"/>
      <c r="BO709" s="4"/>
      <c r="BP709" s="8"/>
      <c r="BQ709" s="4"/>
      <c r="BR709" s="8"/>
      <c r="BS709" s="7"/>
      <c r="BT709" s="7"/>
      <c r="BU709" s="2" t="s">
        <v>3105</v>
      </c>
      <c r="BV709" s="2" t="s">
        <v>243</v>
      </c>
      <c r="BW709" s="2" t="s">
        <v>235</v>
      </c>
      <c r="BX709" s="2" t="s">
        <v>383</v>
      </c>
      <c r="BY709" s="2" t="s">
        <v>245</v>
      </c>
      <c r="BZ709" s="2" t="s">
        <v>232</v>
      </c>
      <c r="CA709" s="2" t="s">
        <v>675</v>
      </c>
      <c r="CB709" s="2" t="s">
        <v>3140</v>
      </c>
      <c r="CC709" s="2" t="s">
        <v>248</v>
      </c>
      <c r="CD709" s="2" t="s">
        <v>248</v>
      </c>
      <c r="CE709" s="2" t="s">
        <v>235</v>
      </c>
      <c r="CF709" s="4">
        <v>987</v>
      </c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>
        <v>988</v>
      </c>
      <c r="GE709" s="4">
        <v>985</v>
      </c>
      <c r="GF709" s="4">
        <v>983</v>
      </c>
      <c r="GG709" s="4">
        <v>981</v>
      </c>
      <c r="GH709" s="4">
        <v>975</v>
      </c>
      <c r="GI709" s="4">
        <v>931</v>
      </c>
      <c r="GJ709" s="4">
        <v>846</v>
      </c>
      <c r="GK709" s="4">
        <v>804</v>
      </c>
      <c r="GL709" s="4">
        <v>764</v>
      </c>
      <c r="GM709" s="4">
        <v>737</v>
      </c>
      <c r="GN709" s="4">
        <v>714</v>
      </c>
      <c r="GO709" s="4">
        <v>686</v>
      </c>
      <c r="GP709" s="4">
        <v>660</v>
      </c>
      <c r="GQ709" s="4">
        <v>625</v>
      </c>
      <c r="GR709" s="4">
        <v>605</v>
      </c>
      <c r="GS709" s="4">
        <v>585</v>
      </c>
      <c r="GT709" s="4">
        <v>569</v>
      </c>
      <c r="GU709" s="4">
        <v>555</v>
      </c>
      <c r="GV709" s="4">
        <v>540</v>
      </c>
      <c r="GW709" s="4">
        <v>529</v>
      </c>
      <c r="GX709" s="4">
        <v>519</v>
      </c>
      <c r="GY709" s="4">
        <v>510</v>
      </c>
      <c r="GZ709" s="4">
        <v>500</v>
      </c>
      <c r="HA709" s="4">
        <v>490</v>
      </c>
      <c r="HB709" s="4">
        <v>480</v>
      </c>
      <c r="HC709" s="4">
        <v>470</v>
      </c>
      <c r="HD709" s="19">
        <v>329.3</v>
      </c>
      <c r="HE709" s="19">
        <v>70.4</v>
      </c>
      <c r="HF709" s="19">
        <v>28.9</v>
      </c>
      <c r="HG709" s="19">
        <v>22.3</v>
      </c>
      <c r="HH709" s="19">
        <v>18.4</v>
      </c>
      <c r="HI709" s="19">
        <v>19.4</v>
      </c>
      <c r="HJ709" s="19">
        <v>25.6</v>
      </c>
      <c r="HK709" s="19">
        <v>26.8</v>
      </c>
      <c r="HL709" s="19">
        <v>29.4</v>
      </c>
      <c r="HM709" s="19">
        <v>26.3</v>
      </c>
      <c r="HN709" s="19">
        <v>26.4</v>
      </c>
      <c r="HO709" s="19">
        <v>27.4</v>
      </c>
      <c r="HP709" s="19">
        <v>28.7</v>
      </c>
      <c r="HQ709" s="19">
        <v>34.7</v>
      </c>
      <c r="HR709" s="19">
        <v>37.8</v>
      </c>
      <c r="HS709" s="19">
        <v>41.8</v>
      </c>
      <c r="HT709" s="19">
        <v>47.4</v>
      </c>
      <c r="HU709" s="19">
        <v>50.5</v>
      </c>
      <c r="HV709" s="19">
        <v>54</v>
      </c>
      <c r="HW709" s="19">
        <v>52.9</v>
      </c>
      <c r="HX709" s="19">
        <v>51.9</v>
      </c>
      <c r="HY709" s="19">
        <v>51</v>
      </c>
      <c r="HZ709" s="19">
        <v>50</v>
      </c>
      <c r="IA709" s="19">
        <v>49</v>
      </c>
      <c r="IB709" s="19">
        <v>53.3</v>
      </c>
      <c r="IC709" s="19">
        <v>58.8</v>
      </c>
    </row>
    <row r="710">
      <c r="A710" s="2" t="s">
        <v>3141</v>
      </c>
      <c r="B710" s="2" t="s">
        <v>323</v>
      </c>
      <c r="C710" s="2" t="s">
        <v>1036</v>
      </c>
      <c r="D710" s="2" t="s">
        <v>257</v>
      </c>
      <c r="E710" s="2" t="s">
        <v>258</v>
      </c>
      <c r="F710" s="2" t="s">
        <v>3098</v>
      </c>
      <c r="G710" s="2" t="s">
        <v>3098</v>
      </c>
      <c r="H710" s="2" t="s">
        <v>3098</v>
      </c>
      <c r="I710" s="2" t="s">
        <v>3099</v>
      </c>
      <c r="J710" s="2" t="s">
        <v>261</v>
      </c>
      <c r="K710" s="2" t="s">
        <v>3133</v>
      </c>
      <c r="L710" s="3">
        <v>22.21</v>
      </c>
      <c r="M710" s="3">
        <v>23.32</v>
      </c>
      <c r="N710" s="3">
        <v>47.99</v>
      </c>
      <c r="O710" s="2" t="s">
        <v>232</v>
      </c>
      <c r="P710" s="2" t="s">
        <v>698</v>
      </c>
      <c r="Q710" s="2" t="s">
        <v>234</v>
      </c>
      <c r="R710" s="2" t="s">
        <v>235</v>
      </c>
      <c r="S710" s="2" t="s">
        <v>3134</v>
      </c>
      <c r="T710" s="2" t="s">
        <v>2908</v>
      </c>
      <c r="U710" s="2" t="s">
        <v>264</v>
      </c>
      <c r="V710" s="2" t="s">
        <v>2182</v>
      </c>
      <c r="W710" s="2" t="s">
        <v>239</v>
      </c>
      <c r="X710" s="2" t="s">
        <v>1157</v>
      </c>
      <c r="Y710" s="2" t="s">
        <v>3135</v>
      </c>
      <c r="Z710" s="4">
        <v>608</v>
      </c>
      <c r="AA710" s="4">
        <f>=ROUNDDOWN(30.4,0)</f>
      </c>
      <c r="AB710" s="5">
        <v>20</v>
      </c>
      <c r="AC710" s="2" t="s">
        <v>2503</v>
      </c>
      <c r="AD710" s="4">
        <v>4</v>
      </c>
      <c r="AE710" s="4">
        <v>520</v>
      </c>
      <c r="AF710" s="6">
        <v>73</v>
      </c>
      <c r="AG710" s="6"/>
      <c r="AH710" s="7">
        <v>1</v>
      </c>
      <c r="AI710" s="4"/>
      <c r="AJ710" s="4">
        <f>=ROUNDDOWN({0},0)</f>
      </c>
      <c r="AK710" s="5"/>
      <c r="AL710" s="2" t="s">
        <v>235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235</v>
      </c>
      <c r="AW710" s="8" t="s">
        <v>235</v>
      </c>
      <c r="AX710" s="4" t="s">
        <v>235</v>
      </c>
      <c r="AY710" s="8" t="s">
        <v>235</v>
      </c>
      <c r="AZ710" s="7" t="s">
        <v>235</v>
      </c>
      <c r="BA710" s="7" t="s">
        <v>235</v>
      </c>
      <c r="BB710" s="7"/>
      <c r="BC710" s="4" t="s">
        <v>235</v>
      </c>
      <c r="BD710" s="8" t="s">
        <v>235</v>
      </c>
      <c r="BE710" s="4" t="s">
        <v>235</v>
      </c>
      <c r="BF710" s="8" t="s">
        <v>235</v>
      </c>
      <c r="BG710" s="7" t="s">
        <v>235</v>
      </c>
      <c r="BH710" s="7" t="s">
        <v>235</v>
      </c>
      <c r="BI710" s="7"/>
      <c r="BJ710" s="4">
        <v>42</v>
      </c>
      <c r="BK710" s="8">
        <v>1015.27</v>
      </c>
      <c r="BL710" s="2" t="s">
        <v>3142</v>
      </c>
      <c r="BM710" s="7"/>
      <c r="BN710" s="7"/>
      <c r="BO710" s="4"/>
      <c r="BP710" s="8"/>
      <c r="BQ710" s="4"/>
      <c r="BR710" s="8"/>
      <c r="BS710" s="7"/>
      <c r="BT710" s="7"/>
      <c r="BU710" s="2" t="s">
        <v>3105</v>
      </c>
      <c r="BV710" s="2" t="s">
        <v>243</v>
      </c>
      <c r="BW710" s="2" t="s">
        <v>235</v>
      </c>
      <c r="BX710" s="2" t="s">
        <v>383</v>
      </c>
      <c r="BY710" s="2" t="s">
        <v>245</v>
      </c>
      <c r="BZ710" s="2" t="s">
        <v>232</v>
      </c>
      <c r="CA710" s="2" t="s">
        <v>675</v>
      </c>
      <c r="CB710" s="2" t="s">
        <v>3143</v>
      </c>
      <c r="CC710" s="2" t="s">
        <v>248</v>
      </c>
      <c r="CD710" s="2" t="s">
        <v>248</v>
      </c>
      <c r="CE710" s="2" t="s">
        <v>235</v>
      </c>
      <c r="CF710" s="4">
        <v>608</v>
      </c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>
        <v>4</v>
      </c>
      <c r="DH710" s="4"/>
      <c r="DI710" s="4"/>
      <c r="DJ710" s="4"/>
      <c r="DK710" s="4"/>
      <c r="DL710" s="4"/>
      <c r="DM710" s="4">
        <v>336</v>
      </c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>
        <v>180</v>
      </c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>
        <v>887</v>
      </c>
      <c r="GE710" s="4">
        <v>617</v>
      </c>
      <c r="GF710" s="4">
        <v>619</v>
      </c>
      <c r="GG710" s="4">
        <v>617</v>
      </c>
      <c r="GH710" s="4">
        <v>928</v>
      </c>
      <c r="GI710" s="4">
        <v>795</v>
      </c>
      <c r="GJ710" s="4">
        <v>538</v>
      </c>
      <c r="GK710" s="4">
        <v>413</v>
      </c>
      <c r="GL710" s="4">
        <v>292</v>
      </c>
      <c r="GM710" s="4">
        <v>391</v>
      </c>
      <c r="GN710" s="4">
        <v>325</v>
      </c>
      <c r="GO710" s="4">
        <v>247</v>
      </c>
      <c r="GP710" s="4">
        <v>175</v>
      </c>
      <c r="GQ710" s="4">
        <v>87</v>
      </c>
      <c r="GR710" s="4">
        <v>37</v>
      </c>
      <c r="GS710" s="4"/>
      <c r="GT710" s="4"/>
      <c r="GU710" s="4"/>
      <c r="GV710" s="4"/>
      <c r="GW710" s="4"/>
      <c r="GX710" s="4"/>
      <c r="GY710" s="4"/>
      <c r="GZ710" s="4"/>
      <c r="HA710" s="4">
        <v>220</v>
      </c>
      <c r="HB710" s="4">
        <v>209</v>
      </c>
      <c r="HC710" s="4">
        <v>198</v>
      </c>
      <c r="HD710" s="19">
        <v>11.8</v>
      </c>
      <c r="HE710" s="19">
        <v>15.4</v>
      </c>
      <c r="HF710" s="19">
        <v>6</v>
      </c>
      <c r="HG710" s="19">
        <v>4.6</v>
      </c>
      <c r="HH710" s="19">
        <v>5.8</v>
      </c>
      <c r="HI710" s="19">
        <v>5.4</v>
      </c>
      <c r="HJ710" s="19">
        <v>5.5</v>
      </c>
      <c r="HK710" s="19">
        <v>4.8</v>
      </c>
      <c r="HL710" s="19">
        <v>3.9</v>
      </c>
      <c r="HM710" s="19">
        <v>5.1</v>
      </c>
      <c r="HN710" s="19">
        <v>4.5</v>
      </c>
      <c r="HO710" s="19">
        <v>4</v>
      </c>
      <c r="HP710" s="19">
        <v>3.6</v>
      </c>
      <c r="HQ710" s="19">
        <v>3</v>
      </c>
      <c r="HR710" s="19">
        <v>1.9</v>
      </c>
      <c r="HS710" s="20">
        <v>0</v>
      </c>
      <c r="HT710" s="20">
        <v>0</v>
      </c>
      <c r="HU710" s="20">
        <v>0</v>
      </c>
      <c r="HV710" s="20">
        <v>0</v>
      </c>
      <c r="HW710" s="20">
        <v>0</v>
      </c>
      <c r="HX710" s="20">
        <v>0</v>
      </c>
      <c r="HY710" s="20">
        <v>0</v>
      </c>
      <c r="HZ710" s="20">
        <v>0</v>
      </c>
      <c r="IA710" s="19">
        <v>20</v>
      </c>
      <c r="IB710" s="19">
        <v>20.9</v>
      </c>
      <c r="IC710" s="19">
        <v>19.8</v>
      </c>
    </row>
    <row r="711">
      <c r="A711" s="2" t="s">
        <v>3144</v>
      </c>
      <c r="B711" s="2" t="s">
        <v>323</v>
      </c>
      <c r="C711" s="2" t="s">
        <v>1036</v>
      </c>
      <c r="D711" s="2" t="s">
        <v>257</v>
      </c>
      <c r="E711" s="2" t="s">
        <v>258</v>
      </c>
      <c r="F711" s="2" t="s">
        <v>3098</v>
      </c>
      <c r="G711" s="2" t="s">
        <v>3098</v>
      </c>
      <c r="H711" s="2" t="s">
        <v>3098</v>
      </c>
      <c r="I711" s="2" t="s">
        <v>3099</v>
      </c>
      <c r="J711" s="2" t="s">
        <v>270</v>
      </c>
      <c r="K711" s="2" t="s">
        <v>3133</v>
      </c>
      <c r="L711" s="3">
        <v>27.39</v>
      </c>
      <c r="M711" s="3">
        <v>28.76</v>
      </c>
      <c r="N711" s="3">
        <v>62.99</v>
      </c>
      <c r="O711" s="2" t="s">
        <v>232</v>
      </c>
      <c r="P711" s="2" t="s">
        <v>233</v>
      </c>
      <c r="Q711" s="2" t="s">
        <v>234</v>
      </c>
      <c r="R711" s="2" t="s">
        <v>235</v>
      </c>
      <c r="S711" s="2" t="s">
        <v>3134</v>
      </c>
      <c r="T711" s="2" t="s">
        <v>2908</v>
      </c>
      <c r="U711" s="2" t="s">
        <v>264</v>
      </c>
      <c r="V711" s="2" t="s">
        <v>2182</v>
      </c>
      <c r="W711" s="2" t="s">
        <v>239</v>
      </c>
      <c r="X711" s="2" t="s">
        <v>1157</v>
      </c>
      <c r="Y711" s="2" t="s">
        <v>3135</v>
      </c>
      <c r="Z711" s="4">
        <v>344</v>
      </c>
      <c r="AA711" s="4">
        <f>=ROUNDDOWN(24.5714285714286,0)</f>
      </c>
      <c r="AB711" s="5">
        <v>14</v>
      </c>
      <c r="AC711" s="2" t="s">
        <v>3103</v>
      </c>
      <c r="AD711" s="4">
        <v>131</v>
      </c>
      <c r="AE711" s="4">
        <v>199</v>
      </c>
      <c r="AF711" s="6">
        <v>73</v>
      </c>
      <c r="AG711" s="6"/>
      <c r="AH711" s="7">
        <v>1</v>
      </c>
      <c r="AI711" s="4"/>
      <c r="AJ711" s="4">
        <f>=ROUNDDOWN({0},0)</f>
      </c>
      <c r="AK711" s="5"/>
      <c r="AL711" s="2" t="s">
        <v>235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235</v>
      </c>
      <c r="AW711" s="8" t="s">
        <v>235</v>
      </c>
      <c r="AX711" s="4" t="s">
        <v>235</v>
      </c>
      <c r="AY711" s="8" t="s">
        <v>235</v>
      </c>
      <c r="AZ711" s="7" t="s">
        <v>235</v>
      </c>
      <c r="BA711" s="7" t="s">
        <v>235</v>
      </c>
      <c r="BB711" s="7"/>
      <c r="BC711" s="4" t="s">
        <v>235</v>
      </c>
      <c r="BD711" s="8" t="s">
        <v>235</v>
      </c>
      <c r="BE711" s="4" t="s">
        <v>235</v>
      </c>
      <c r="BF711" s="8" t="s">
        <v>235</v>
      </c>
      <c r="BG711" s="7" t="s">
        <v>235</v>
      </c>
      <c r="BH711" s="7" t="s">
        <v>235</v>
      </c>
      <c r="BI711" s="7"/>
      <c r="BJ711" s="4">
        <v>20</v>
      </c>
      <c r="BK711" s="8">
        <v>580.63</v>
      </c>
      <c r="BL711" s="2" t="s">
        <v>3145</v>
      </c>
      <c r="BM711" s="7"/>
      <c r="BN711" s="7"/>
      <c r="BO711" s="4"/>
      <c r="BP711" s="8"/>
      <c r="BQ711" s="4"/>
      <c r="BR711" s="8"/>
      <c r="BS711" s="7"/>
      <c r="BT711" s="7"/>
      <c r="BU711" s="2" t="s">
        <v>3105</v>
      </c>
      <c r="BV711" s="2" t="s">
        <v>243</v>
      </c>
      <c r="BW711" s="2" t="s">
        <v>235</v>
      </c>
      <c r="BX711" s="2" t="s">
        <v>383</v>
      </c>
      <c r="BY711" s="2" t="s">
        <v>245</v>
      </c>
      <c r="BZ711" s="2" t="s">
        <v>232</v>
      </c>
      <c r="CA711" s="2" t="s">
        <v>675</v>
      </c>
      <c r="CB711" s="2" t="s">
        <v>3146</v>
      </c>
      <c r="CC711" s="2" t="s">
        <v>248</v>
      </c>
      <c r="CD711" s="2" t="s">
        <v>248</v>
      </c>
      <c r="CE711" s="2" t="s">
        <v>235</v>
      </c>
      <c r="CF711" s="4">
        <v>344</v>
      </c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>
        <v>131</v>
      </c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>
        <v>68</v>
      </c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>
        <v>347</v>
      </c>
      <c r="GE711" s="4">
        <v>342</v>
      </c>
      <c r="GF711" s="4">
        <v>340</v>
      </c>
      <c r="GG711" s="4">
        <v>328</v>
      </c>
      <c r="GH711" s="4">
        <v>435</v>
      </c>
      <c r="GI711" s="4">
        <v>398</v>
      </c>
      <c r="GJ711" s="4">
        <v>327</v>
      </c>
      <c r="GK711" s="4">
        <v>292</v>
      </c>
      <c r="GL711" s="4">
        <v>258</v>
      </c>
      <c r="GM711" s="4">
        <v>303</v>
      </c>
      <c r="GN711" s="4">
        <v>284</v>
      </c>
      <c r="GO711" s="4">
        <v>261</v>
      </c>
      <c r="GP711" s="4">
        <v>240</v>
      </c>
      <c r="GQ711" s="4">
        <v>212</v>
      </c>
      <c r="GR711" s="4">
        <v>196</v>
      </c>
      <c r="GS711" s="4">
        <v>180</v>
      </c>
      <c r="GT711" s="4">
        <v>167</v>
      </c>
      <c r="GU711" s="4">
        <v>155</v>
      </c>
      <c r="GV711" s="4">
        <v>142</v>
      </c>
      <c r="GW711" s="4">
        <v>133</v>
      </c>
      <c r="GX711" s="4">
        <v>125</v>
      </c>
      <c r="GY711" s="4">
        <v>117</v>
      </c>
      <c r="GZ711" s="4">
        <v>109</v>
      </c>
      <c r="HA711" s="4">
        <v>101</v>
      </c>
      <c r="HB711" s="4">
        <v>93</v>
      </c>
      <c r="HC711" s="4">
        <v>85</v>
      </c>
      <c r="HD711" s="19">
        <v>31.5</v>
      </c>
      <c r="HE711" s="19">
        <v>18</v>
      </c>
      <c r="HF711" s="19">
        <v>9.4</v>
      </c>
      <c r="HG711" s="19">
        <v>7.8</v>
      </c>
      <c r="HH711" s="19">
        <v>9.9</v>
      </c>
      <c r="HI711" s="19">
        <v>9.7</v>
      </c>
      <c r="HJ711" s="19">
        <v>11.7</v>
      </c>
      <c r="HK711" s="19">
        <v>11.7</v>
      </c>
      <c r="HL711" s="19">
        <v>11.7</v>
      </c>
      <c r="HM711" s="19">
        <v>13.2</v>
      </c>
      <c r="HN711" s="19">
        <v>12.9</v>
      </c>
      <c r="HO711" s="19">
        <v>13.1</v>
      </c>
      <c r="HP711" s="19">
        <v>13.3</v>
      </c>
      <c r="HQ711" s="19">
        <v>15.1</v>
      </c>
      <c r="HR711" s="19">
        <v>14</v>
      </c>
      <c r="HS711" s="19">
        <v>15</v>
      </c>
      <c r="HT711" s="19">
        <v>16.7</v>
      </c>
      <c r="HU711" s="19">
        <v>15.5</v>
      </c>
      <c r="HV711" s="19">
        <v>17.8</v>
      </c>
      <c r="HW711" s="19">
        <v>16.6</v>
      </c>
      <c r="HX711" s="19">
        <v>15.6</v>
      </c>
      <c r="HY711" s="19">
        <v>14.6</v>
      </c>
      <c r="HZ711" s="19">
        <v>13.6</v>
      </c>
      <c r="IA711" s="19">
        <v>12.6</v>
      </c>
      <c r="IB711" s="19">
        <v>11.6</v>
      </c>
      <c r="IC711" s="19">
        <v>12.1</v>
      </c>
    </row>
    <row r="712">
      <c r="A712" s="2" t="s">
        <v>3147</v>
      </c>
      <c r="B712" s="2" t="s">
        <v>323</v>
      </c>
      <c r="C712" s="2" t="s">
        <v>1036</v>
      </c>
      <c r="D712" s="2" t="s">
        <v>257</v>
      </c>
      <c r="E712" s="2" t="s">
        <v>258</v>
      </c>
      <c r="F712" s="2" t="s">
        <v>3098</v>
      </c>
      <c r="G712" s="2" t="s">
        <v>3098</v>
      </c>
      <c r="H712" s="2" t="s">
        <v>3098</v>
      </c>
      <c r="I712" s="2" t="s">
        <v>2906</v>
      </c>
      <c r="J712" s="2" t="s">
        <v>394</v>
      </c>
      <c r="K712" s="2" t="s">
        <v>3148</v>
      </c>
      <c r="L712" s="3">
        <v>14.89</v>
      </c>
      <c r="M712" s="3">
        <v>15.63</v>
      </c>
      <c r="N712" s="3">
        <v>31.99</v>
      </c>
      <c r="O712" s="2" t="s">
        <v>232</v>
      </c>
      <c r="P712" s="2" t="s">
        <v>878</v>
      </c>
      <c r="Q712" s="2" t="s">
        <v>234</v>
      </c>
      <c r="R712" s="2" t="s">
        <v>235</v>
      </c>
      <c r="S712" s="2" t="s">
        <v>235</v>
      </c>
      <c r="T712" s="2" t="s">
        <v>2908</v>
      </c>
      <c r="U712" s="2" t="s">
        <v>552</v>
      </c>
      <c r="V712" s="2" t="s">
        <v>2182</v>
      </c>
      <c r="W712" s="2" t="s">
        <v>329</v>
      </c>
      <c r="X712" s="2" t="s">
        <v>235</v>
      </c>
      <c r="Y712" s="2" t="s">
        <v>235</v>
      </c>
      <c r="Z712" s="4"/>
      <c r="AA712" s="4">
        <f>=ROUNDDOWN({0},0)</f>
      </c>
      <c r="AB712" s="5"/>
      <c r="AC712" s="2" t="s">
        <v>235</v>
      </c>
      <c r="AD712" s="4"/>
      <c r="AE712" s="4"/>
      <c r="AF712" s="6">
        <v>77</v>
      </c>
      <c r="AG712" s="6"/>
      <c r="AH712" s="7"/>
      <c r="AI712" s="4"/>
      <c r="AJ712" s="4">
        <f>=ROUNDDOWN({0},0)</f>
      </c>
      <c r="AK712" s="5"/>
      <c r="AL712" s="2" t="s">
        <v>235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235</v>
      </c>
      <c r="AW712" s="8" t="s">
        <v>235</v>
      </c>
      <c r="AX712" s="4" t="s">
        <v>235</v>
      </c>
      <c r="AY712" s="8" t="s">
        <v>235</v>
      </c>
      <c r="AZ712" s="7" t="s">
        <v>235</v>
      </c>
      <c r="BA712" s="7" t="s">
        <v>235</v>
      </c>
      <c r="BB712" s="7"/>
      <c r="BC712" s="4" t="s">
        <v>235</v>
      </c>
      <c r="BD712" s="8" t="s">
        <v>235</v>
      </c>
      <c r="BE712" s="4" t="s">
        <v>235</v>
      </c>
      <c r="BF712" s="8" t="s">
        <v>235</v>
      </c>
      <c r="BG712" s="7" t="s">
        <v>235</v>
      </c>
      <c r="BH712" s="7" t="s">
        <v>235</v>
      </c>
      <c r="BI712" s="7"/>
      <c r="BJ712" s="4"/>
      <c r="BK712" s="8"/>
      <c r="BL712" s="2" t="s">
        <v>235</v>
      </c>
      <c r="BM712" s="7"/>
      <c r="BN712" s="7"/>
      <c r="BO712" s="4"/>
      <c r="BP712" s="8"/>
      <c r="BQ712" s="4"/>
      <c r="BR712" s="8"/>
      <c r="BS712" s="7"/>
      <c r="BT712" s="7"/>
      <c r="BU712" s="2" t="s">
        <v>330</v>
      </c>
      <c r="BV712" s="2" t="s">
        <v>235</v>
      </c>
      <c r="BW712" s="2" t="s">
        <v>235</v>
      </c>
      <c r="BX712" s="2" t="s">
        <v>330</v>
      </c>
      <c r="BY712" s="2" t="s">
        <v>331</v>
      </c>
      <c r="BZ712" s="2" t="s">
        <v>232</v>
      </c>
      <c r="CA712" s="2" t="s">
        <v>235</v>
      </c>
      <c r="CB712" s="2" t="s">
        <v>235</v>
      </c>
      <c r="CC712" s="2" t="s">
        <v>248</v>
      </c>
      <c r="CD712" s="2" t="s">
        <v>248</v>
      </c>
      <c r="CE712" s="2" t="s">
        <v>235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</row>
    <row r="713">
      <c r="A713" s="2" t="s">
        <v>3149</v>
      </c>
      <c r="B713" s="2" t="s">
        <v>323</v>
      </c>
      <c r="C713" s="2" t="s">
        <v>1036</v>
      </c>
      <c r="D713" s="2" t="s">
        <v>257</v>
      </c>
      <c r="E713" s="2" t="s">
        <v>258</v>
      </c>
      <c r="F713" s="2" t="s">
        <v>3098</v>
      </c>
      <c r="G713" s="2" t="s">
        <v>3098</v>
      </c>
      <c r="H713" s="2" t="s">
        <v>3098</v>
      </c>
      <c r="I713" s="2" t="s">
        <v>2906</v>
      </c>
      <c r="J713" s="2" t="s">
        <v>230</v>
      </c>
      <c r="K713" s="2" t="s">
        <v>3148</v>
      </c>
      <c r="L713" s="3">
        <v>16.16</v>
      </c>
      <c r="M713" s="3">
        <v>16.97</v>
      </c>
      <c r="N713" s="3">
        <v>34.99</v>
      </c>
      <c r="O713" s="2" t="s">
        <v>232</v>
      </c>
      <c r="P713" s="2" t="s">
        <v>878</v>
      </c>
      <c r="Q713" s="2" t="s">
        <v>234</v>
      </c>
      <c r="R713" s="2" t="s">
        <v>235</v>
      </c>
      <c r="S713" s="2" t="s">
        <v>235</v>
      </c>
      <c r="T713" s="2" t="s">
        <v>2908</v>
      </c>
      <c r="U713" s="2" t="s">
        <v>552</v>
      </c>
      <c r="V713" s="2" t="s">
        <v>2182</v>
      </c>
      <c r="W713" s="2" t="s">
        <v>329</v>
      </c>
      <c r="X713" s="2" t="s">
        <v>235</v>
      </c>
      <c r="Y713" s="2" t="s">
        <v>235</v>
      </c>
      <c r="Z713" s="4"/>
      <c r="AA713" s="4">
        <f>=ROUNDDOWN({0},0)</f>
      </c>
      <c r="AB713" s="5"/>
      <c r="AC713" s="2" t="s">
        <v>235</v>
      </c>
      <c r="AD713" s="4"/>
      <c r="AE713" s="4"/>
      <c r="AF713" s="6">
        <v>77</v>
      </c>
      <c r="AG713" s="6"/>
      <c r="AH713" s="7"/>
      <c r="AI713" s="4"/>
      <c r="AJ713" s="4">
        <f>=ROUNDDOWN({0},0)</f>
      </c>
      <c r="AK713" s="5"/>
      <c r="AL713" s="2" t="s">
        <v>235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235</v>
      </c>
      <c r="AW713" s="8" t="s">
        <v>235</v>
      </c>
      <c r="AX713" s="4" t="s">
        <v>235</v>
      </c>
      <c r="AY713" s="8" t="s">
        <v>235</v>
      </c>
      <c r="AZ713" s="7" t="s">
        <v>235</v>
      </c>
      <c r="BA713" s="7" t="s">
        <v>235</v>
      </c>
      <c r="BB713" s="7"/>
      <c r="BC713" s="4" t="s">
        <v>235</v>
      </c>
      <c r="BD713" s="8" t="s">
        <v>235</v>
      </c>
      <c r="BE713" s="4" t="s">
        <v>235</v>
      </c>
      <c r="BF713" s="8" t="s">
        <v>235</v>
      </c>
      <c r="BG713" s="7" t="s">
        <v>235</v>
      </c>
      <c r="BH713" s="7" t="s">
        <v>235</v>
      </c>
      <c r="BI713" s="7"/>
      <c r="BJ713" s="4"/>
      <c r="BK713" s="8"/>
      <c r="BL713" s="2" t="s">
        <v>235</v>
      </c>
      <c r="BM713" s="7"/>
      <c r="BN713" s="7"/>
      <c r="BO713" s="4"/>
      <c r="BP713" s="8"/>
      <c r="BQ713" s="4"/>
      <c r="BR713" s="8"/>
      <c r="BS713" s="7"/>
      <c r="BT713" s="7"/>
      <c r="BU713" s="2" t="s">
        <v>330</v>
      </c>
      <c r="BV713" s="2" t="s">
        <v>235</v>
      </c>
      <c r="BW713" s="2" t="s">
        <v>235</v>
      </c>
      <c r="BX713" s="2" t="s">
        <v>330</v>
      </c>
      <c r="BY713" s="2" t="s">
        <v>331</v>
      </c>
      <c r="BZ713" s="2" t="s">
        <v>232</v>
      </c>
      <c r="CA713" s="2" t="s">
        <v>235</v>
      </c>
      <c r="CB713" s="2" t="s">
        <v>235</v>
      </c>
      <c r="CC713" s="2" t="s">
        <v>248</v>
      </c>
      <c r="CD713" s="2" t="s">
        <v>248</v>
      </c>
      <c r="CE713" s="2" t="s">
        <v>235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</row>
    <row r="714">
      <c r="A714" s="2" t="s">
        <v>3150</v>
      </c>
      <c r="B714" s="2" t="s">
        <v>323</v>
      </c>
      <c r="C714" s="2" t="s">
        <v>1036</v>
      </c>
      <c r="D714" s="2" t="s">
        <v>257</v>
      </c>
      <c r="E714" s="2" t="s">
        <v>258</v>
      </c>
      <c r="F714" s="2" t="s">
        <v>3098</v>
      </c>
      <c r="G714" s="2" t="s">
        <v>3098</v>
      </c>
      <c r="H714" s="2" t="s">
        <v>3098</v>
      </c>
      <c r="I714" s="2" t="s">
        <v>2906</v>
      </c>
      <c r="J714" s="2" t="s">
        <v>261</v>
      </c>
      <c r="K714" s="2" t="s">
        <v>3148</v>
      </c>
      <c r="L714" s="3">
        <v>23.32</v>
      </c>
      <c r="M714" s="3">
        <v>24.49</v>
      </c>
      <c r="N714" s="3">
        <v>47.99</v>
      </c>
      <c r="O714" s="2" t="s">
        <v>232</v>
      </c>
      <c r="P714" s="2" t="s">
        <v>233</v>
      </c>
      <c r="Q714" s="2" t="s">
        <v>234</v>
      </c>
      <c r="R714" s="2" t="s">
        <v>235</v>
      </c>
      <c r="S714" s="2" t="s">
        <v>235</v>
      </c>
      <c r="T714" s="2" t="s">
        <v>2908</v>
      </c>
      <c r="U714" s="2" t="s">
        <v>264</v>
      </c>
      <c r="V714" s="2" t="s">
        <v>2182</v>
      </c>
      <c r="W714" s="2" t="s">
        <v>329</v>
      </c>
      <c r="X714" s="2" t="s">
        <v>235</v>
      </c>
      <c r="Y714" s="2" t="s">
        <v>235</v>
      </c>
      <c r="Z714" s="4"/>
      <c r="AA714" s="4">
        <f>=ROUNDDOWN({0},0)</f>
      </c>
      <c r="AB714" s="5">
        <v>21</v>
      </c>
      <c r="AC714" s="2" t="s">
        <v>235</v>
      </c>
      <c r="AD714" s="4"/>
      <c r="AE714" s="4"/>
      <c r="AF714" s="6">
        <v>77</v>
      </c>
      <c r="AG714" s="6"/>
      <c r="AH714" s="7"/>
      <c r="AI714" s="4"/>
      <c r="AJ714" s="4">
        <f>=ROUNDDOWN({0},0)</f>
      </c>
      <c r="AK714" s="5"/>
      <c r="AL714" s="2" t="s">
        <v>235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235</v>
      </c>
      <c r="AW714" s="8" t="s">
        <v>235</v>
      </c>
      <c r="AX714" s="4" t="s">
        <v>235</v>
      </c>
      <c r="AY714" s="8" t="s">
        <v>235</v>
      </c>
      <c r="AZ714" s="7" t="s">
        <v>235</v>
      </c>
      <c r="BA714" s="7" t="s">
        <v>235</v>
      </c>
      <c r="BB714" s="7"/>
      <c r="BC714" s="4" t="s">
        <v>235</v>
      </c>
      <c r="BD714" s="8" t="s">
        <v>235</v>
      </c>
      <c r="BE714" s="4" t="s">
        <v>235</v>
      </c>
      <c r="BF714" s="8" t="s">
        <v>235</v>
      </c>
      <c r="BG714" s="7" t="s">
        <v>235</v>
      </c>
      <c r="BH714" s="7" t="s">
        <v>235</v>
      </c>
      <c r="BI714" s="7"/>
      <c r="BJ714" s="4"/>
      <c r="BK714" s="8"/>
      <c r="BL714" s="2" t="s">
        <v>235</v>
      </c>
      <c r="BM714" s="7"/>
      <c r="BN714" s="7"/>
      <c r="BO714" s="4"/>
      <c r="BP714" s="8"/>
      <c r="BQ714" s="4"/>
      <c r="BR714" s="8"/>
      <c r="BS714" s="7"/>
      <c r="BT714" s="7"/>
      <c r="BU714" s="2" t="s">
        <v>330</v>
      </c>
      <c r="BV714" s="2" t="s">
        <v>235</v>
      </c>
      <c r="BW714" s="2" t="s">
        <v>235</v>
      </c>
      <c r="BX714" s="2" t="s">
        <v>330</v>
      </c>
      <c r="BY714" s="2" t="s">
        <v>331</v>
      </c>
      <c r="BZ714" s="2" t="s">
        <v>232</v>
      </c>
      <c r="CA714" s="2" t="s">
        <v>235</v>
      </c>
      <c r="CB714" s="2" t="s">
        <v>235</v>
      </c>
      <c r="CC714" s="2" t="s">
        <v>248</v>
      </c>
      <c r="CD714" s="2" t="s">
        <v>248</v>
      </c>
      <c r="CE714" s="2" t="s">
        <v>235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>
        <v>376</v>
      </c>
      <c r="HC714" s="4">
        <v>376</v>
      </c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</row>
    <row r="715">
      <c r="A715" s="2" t="s">
        <v>3151</v>
      </c>
      <c r="B715" s="2" t="s">
        <v>323</v>
      </c>
      <c r="C715" s="2" t="s">
        <v>1036</v>
      </c>
      <c r="D715" s="2" t="s">
        <v>257</v>
      </c>
      <c r="E715" s="2" t="s">
        <v>258</v>
      </c>
      <c r="F715" s="2" t="s">
        <v>3098</v>
      </c>
      <c r="G715" s="2" t="s">
        <v>3098</v>
      </c>
      <c r="H715" s="2" t="s">
        <v>3098</v>
      </c>
      <c r="I715" s="2" t="s">
        <v>2906</v>
      </c>
      <c r="J715" s="2" t="s">
        <v>270</v>
      </c>
      <c r="K715" s="2" t="s">
        <v>3148</v>
      </c>
      <c r="L715" s="3">
        <v>28.76</v>
      </c>
      <c r="M715" s="3">
        <v>30.2</v>
      </c>
      <c r="N715" s="3">
        <v>62.99</v>
      </c>
      <c r="O715" s="2" t="s">
        <v>232</v>
      </c>
      <c r="P715" s="2" t="s">
        <v>233</v>
      </c>
      <c r="Q715" s="2" t="s">
        <v>234</v>
      </c>
      <c r="R715" s="2" t="s">
        <v>235</v>
      </c>
      <c r="S715" s="2" t="s">
        <v>235</v>
      </c>
      <c r="T715" s="2" t="s">
        <v>2908</v>
      </c>
      <c r="U715" s="2" t="s">
        <v>264</v>
      </c>
      <c r="V715" s="2" t="s">
        <v>2182</v>
      </c>
      <c r="W715" s="2" t="s">
        <v>329</v>
      </c>
      <c r="X715" s="2" t="s">
        <v>235</v>
      </c>
      <c r="Y715" s="2" t="s">
        <v>235</v>
      </c>
      <c r="Z715" s="4"/>
      <c r="AA715" s="4">
        <f>=ROUNDDOWN({0},0)</f>
      </c>
      <c r="AB715" s="5">
        <v>7</v>
      </c>
      <c r="AC715" s="2" t="s">
        <v>235</v>
      </c>
      <c r="AD715" s="4"/>
      <c r="AE715" s="4"/>
      <c r="AF715" s="6">
        <v>77</v>
      </c>
      <c r="AG715" s="6"/>
      <c r="AH715" s="7"/>
      <c r="AI715" s="4"/>
      <c r="AJ715" s="4">
        <f>=ROUNDDOWN({0},0)</f>
      </c>
      <c r="AK715" s="5"/>
      <c r="AL715" s="2" t="s">
        <v>235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235</v>
      </c>
      <c r="AW715" s="8" t="s">
        <v>235</v>
      </c>
      <c r="AX715" s="4" t="s">
        <v>235</v>
      </c>
      <c r="AY715" s="8" t="s">
        <v>235</v>
      </c>
      <c r="AZ715" s="7" t="s">
        <v>235</v>
      </c>
      <c r="BA715" s="7" t="s">
        <v>235</v>
      </c>
      <c r="BB715" s="7"/>
      <c r="BC715" s="4" t="s">
        <v>235</v>
      </c>
      <c r="BD715" s="8" t="s">
        <v>235</v>
      </c>
      <c r="BE715" s="4" t="s">
        <v>235</v>
      </c>
      <c r="BF715" s="8" t="s">
        <v>235</v>
      </c>
      <c r="BG715" s="7" t="s">
        <v>235</v>
      </c>
      <c r="BH715" s="7" t="s">
        <v>235</v>
      </c>
      <c r="BI715" s="7"/>
      <c r="BJ715" s="4"/>
      <c r="BK715" s="8"/>
      <c r="BL715" s="2" t="s">
        <v>235</v>
      </c>
      <c r="BM715" s="7"/>
      <c r="BN715" s="7"/>
      <c r="BO715" s="4"/>
      <c r="BP715" s="8"/>
      <c r="BQ715" s="4"/>
      <c r="BR715" s="8"/>
      <c r="BS715" s="7"/>
      <c r="BT715" s="7"/>
      <c r="BU715" s="2" t="s">
        <v>330</v>
      </c>
      <c r="BV715" s="2" t="s">
        <v>235</v>
      </c>
      <c r="BW715" s="2" t="s">
        <v>235</v>
      </c>
      <c r="BX715" s="2" t="s">
        <v>330</v>
      </c>
      <c r="BY715" s="2" t="s">
        <v>331</v>
      </c>
      <c r="BZ715" s="2" t="s">
        <v>232</v>
      </c>
      <c r="CA715" s="2" t="s">
        <v>235</v>
      </c>
      <c r="CB715" s="2" t="s">
        <v>235</v>
      </c>
      <c r="CC715" s="2" t="s">
        <v>248</v>
      </c>
      <c r="CD715" s="2" t="s">
        <v>248</v>
      </c>
      <c r="CE715" s="2" t="s">
        <v>235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>
        <v>71</v>
      </c>
      <c r="HC715" s="4">
        <v>60</v>
      </c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20">
        <v>0</v>
      </c>
      <c r="HV715" s="20">
        <v>0</v>
      </c>
      <c r="HW715" s="20">
        <v>0</v>
      </c>
      <c r="HX715" s="20">
        <v>0</v>
      </c>
      <c r="HY715" s="20">
        <v>0</v>
      </c>
      <c r="HZ715" s="20">
        <v>0</v>
      </c>
      <c r="IA715" s="20">
        <v>0</v>
      </c>
      <c r="IB715" s="19">
        <v>14.2</v>
      </c>
      <c r="IC715" s="19">
        <v>30</v>
      </c>
    </row>
    <row r="716">
      <c r="A716" s="2" t="s">
        <v>3152</v>
      </c>
      <c r="B716" s="2" t="s">
        <v>323</v>
      </c>
      <c r="C716" s="2" t="s">
        <v>1036</v>
      </c>
      <c r="D716" s="2" t="s">
        <v>257</v>
      </c>
      <c r="E716" s="2" t="s">
        <v>258</v>
      </c>
      <c r="F716" s="2" t="s">
        <v>3098</v>
      </c>
      <c r="G716" s="2" t="s">
        <v>3098</v>
      </c>
      <c r="H716" s="2" t="s">
        <v>3098</v>
      </c>
      <c r="I716" s="2" t="s">
        <v>2906</v>
      </c>
      <c r="J716" s="2" t="s">
        <v>272</v>
      </c>
      <c r="K716" s="2" t="s">
        <v>3148</v>
      </c>
      <c r="L716" s="3">
        <v>28.76</v>
      </c>
      <c r="M716" s="3">
        <v>30.2</v>
      </c>
      <c r="N716" s="3">
        <v>62.99</v>
      </c>
      <c r="O716" s="2" t="s">
        <v>232</v>
      </c>
      <c r="P716" s="2" t="s">
        <v>233</v>
      </c>
      <c r="Q716" s="2" t="s">
        <v>234</v>
      </c>
      <c r="R716" s="2" t="s">
        <v>235</v>
      </c>
      <c r="S716" s="2" t="s">
        <v>235</v>
      </c>
      <c r="T716" s="2" t="s">
        <v>2908</v>
      </c>
      <c r="U716" s="2" t="s">
        <v>264</v>
      </c>
      <c r="V716" s="2" t="s">
        <v>2182</v>
      </c>
      <c r="W716" s="2" t="s">
        <v>329</v>
      </c>
      <c r="X716" s="2" t="s">
        <v>235</v>
      </c>
      <c r="Y716" s="2" t="s">
        <v>235</v>
      </c>
      <c r="Z716" s="4"/>
      <c r="AA716" s="4">
        <f>=ROUNDDOWN({0},0)</f>
      </c>
      <c r="AB716" s="5">
        <v>6</v>
      </c>
      <c r="AC716" s="2" t="s">
        <v>235</v>
      </c>
      <c r="AD716" s="4"/>
      <c r="AE716" s="4"/>
      <c r="AF716" s="6">
        <v>77</v>
      </c>
      <c r="AG716" s="6"/>
      <c r="AH716" s="7"/>
      <c r="AI716" s="4"/>
      <c r="AJ716" s="4">
        <f>=ROUNDDOWN({0},0)</f>
      </c>
      <c r="AK716" s="5"/>
      <c r="AL716" s="2" t="s">
        <v>235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235</v>
      </c>
      <c r="AW716" s="8" t="s">
        <v>235</v>
      </c>
      <c r="AX716" s="4" t="s">
        <v>235</v>
      </c>
      <c r="AY716" s="8" t="s">
        <v>235</v>
      </c>
      <c r="AZ716" s="7" t="s">
        <v>235</v>
      </c>
      <c r="BA716" s="7" t="s">
        <v>235</v>
      </c>
      <c r="BB716" s="7"/>
      <c r="BC716" s="4" t="s">
        <v>235</v>
      </c>
      <c r="BD716" s="8" t="s">
        <v>235</v>
      </c>
      <c r="BE716" s="4" t="s">
        <v>235</v>
      </c>
      <c r="BF716" s="8" t="s">
        <v>235</v>
      </c>
      <c r="BG716" s="7" t="s">
        <v>235</v>
      </c>
      <c r="BH716" s="7" t="s">
        <v>235</v>
      </c>
      <c r="BI716" s="7"/>
      <c r="BJ716" s="4"/>
      <c r="BK716" s="8"/>
      <c r="BL716" s="2" t="s">
        <v>235</v>
      </c>
      <c r="BM716" s="7"/>
      <c r="BN716" s="7"/>
      <c r="BO716" s="4"/>
      <c r="BP716" s="8"/>
      <c r="BQ716" s="4"/>
      <c r="BR716" s="8"/>
      <c r="BS716" s="7"/>
      <c r="BT716" s="7"/>
      <c r="BU716" s="2" t="s">
        <v>330</v>
      </c>
      <c r="BV716" s="2" t="s">
        <v>235</v>
      </c>
      <c r="BW716" s="2" t="s">
        <v>235</v>
      </c>
      <c r="BX716" s="2" t="s">
        <v>330</v>
      </c>
      <c r="BY716" s="2" t="s">
        <v>331</v>
      </c>
      <c r="BZ716" s="2" t="s">
        <v>232</v>
      </c>
      <c r="CA716" s="2" t="s">
        <v>235</v>
      </c>
      <c r="CB716" s="2" t="s">
        <v>235</v>
      </c>
      <c r="CC716" s="2" t="s">
        <v>248</v>
      </c>
      <c r="CD716" s="2" t="s">
        <v>248</v>
      </c>
      <c r="CE716" s="2" t="s">
        <v>235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>
        <v>156</v>
      </c>
      <c r="HC716" s="4">
        <v>152</v>
      </c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19">
        <v>78</v>
      </c>
      <c r="IC716" s="19">
        <v>76</v>
      </c>
    </row>
    <row r="717">
      <c r="A717" s="2" t="s">
        <v>3153</v>
      </c>
      <c r="B717" s="2" t="s">
        <v>323</v>
      </c>
      <c r="C717" s="2" t="s">
        <v>1036</v>
      </c>
      <c r="D717" s="2" t="s">
        <v>257</v>
      </c>
      <c r="E717" s="2" t="s">
        <v>258</v>
      </c>
      <c r="F717" s="2" t="s">
        <v>3098</v>
      </c>
      <c r="G717" s="2" t="s">
        <v>3098</v>
      </c>
      <c r="H717" s="2" t="s">
        <v>3098</v>
      </c>
      <c r="I717" s="2" t="s">
        <v>2906</v>
      </c>
      <c r="J717" s="2" t="s">
        <v>394</v>
      </c>
      <c r="K717" s="2" t="s">
        <v>3154</v>
      </c>
      <c r="L717" s="3">
        <v>14.89</v>
      </c>
      <c r="M717" s="3">
        <v>15.63</v>
      </c>
      <c r="N717" s="3">
        <v>31.99</v>
      </c>
      <c r="O717" s="2" t="s">
        <v>232</v>
      </c>
      <c r="P717" s="2" t="s">
        <v>878</v>
      </c>
      <c r="Q717" s="2" t="s">
        <v>234</v>
      </c>
      <c r="R717" s="2" t="s">
        <v>235</v>
      </c>
      <c r="S717" s="2" t="s">
        <v>235</v>
      </c>
      <c r="T717" s="2" t="s">
        <v>2908</v>
      </c>
      <c r="U717" s="2" t="s">
        <v>552</v>
      </c>
      <c r="V717" s="2" t="s">
        <v>2182</v>
      </c>
      <c r="W717" s="2" t="s">
        <v>329</v>
      </c>
      <c r="X717" s="2" t="s">
        <v>235</v>
      </c>
      <c r="Y717" s="2" t="s">
        <v>235</v>
      </c>
      <c r="Z717" s="4"/>
      <c r="AA717" s="4">
        <f>=ROUNDDOWN({0},0)</f>
      </c>
      <c r="AB717" s="5"/>
      <c r="AC717" s="2" t="s">
        <v>235</v>
      </c>
      <c r="AD717" s="4"/>
      <c r="AE717" s="4"/>
      <c r="AF717" s="6">
        <v>77</v>
      </c>
      <c r="AG717" s="6"/>
      <c r="AH717" s="7"/>
      <c r="AI717" s="4"/>
      <c r="AJ717" s="4">
        <f>=ROUNDDOWN({0},0)</f>
      </c>
      <c r="AK717" s="5"/>
      <c r="AL717" s="2" t="s">
        <v>235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235</v>
      </c>
      <c r="AW717" s="8" t="s">
        <v>235</v>
      </c>
      <c r="AX717" s="4" t="s">
        <v>235</v>
      </c>
      <c r="AY717" s="8" t="s">
        <v>235</v>
      </c>
      <c r="AZ717" s="7" t="s">
        <v>235</v>
      </c>
      <c r="BA717" s="7" t="s">
        <v>235</v>
      </c>
      <c r="BB717" s="7"/>
      <c r="BC717" s="4" t="s">
        <v>235</v>
      </c>
      <c r="BD717" s="8" t="s">
        <v>235</v>
      </c>
      <c r="BE717" s="4" t="s">
        <v>235</v>
      </c>
      <c r="BF717" s="8" t="s">
        <v>235</v>
      </c>
      <c r="BG717" s="7" t="s">
        <v>235</v>
      </c>
      <c r="BH717" s="7" t="s">
        <v>235</v>
      </c>
      <c r="BI717" s="7"/>
      <c r="BJ717" s="4"/>
      <c r="BK717" s="8"/>
      <c r="BL717" s="2" t="s">
        <v>235</v>
      </c>
      <c r="BM717" s="7"/>
      <c r="BN717" s="7"/>
      <c r="BO717" s="4"/>
      <c r="BP717" s="8"/>
      <c r="BQ717" s="4"/>
      <c r="BR717" s="8"/>
      <c r="BS717" s="7"/>
      <c r="BT717" s="7"/>
      <c r="BU717" s="2" t="s">
        <v>330</v>
      </c>
      <c r="BV717" s="2" t="s">
        <v>235</v>
      </c>
      <c r="BW717" s="2" t="s">
        <v>235</v>
      </c>
      <c r="BX717" s="2" t="s">
        <v>330</v>
      </c>
      <c r="BY717" s="2" t="s">
        <v>331</v>
      </c>
      <c r="BZ717" s="2" t="s">
        <v>232</v>
      </c>
      <c r="CA717" s="2" t="s">
        <v>235</v>
      </c>
      <c r="CB717" s="2" t="s">
        <v>235</v>
      </c>
      <c r="CC717" s="2" t="s">
        <v>248</v>
      </c>
      <c r="CD717" s="2" t="s">
        <v>248</v>
      </c>
      <c r="CE717" s="2" t="s">
        <v>235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</row>
    <row r="718">
      <c r="A718" s="2" t="s">
        <v>3155</v>
      </c>
      <c r="B718" s="2" t="s">
        <v>323</v>
      </c>
      <c r="C718" s="2" t="s">
        <v>1036</v>
      </c>
      <c r="D718" s="2" t="s">
        <v>257</v>
      </c>
      <c r="E718" s="2" t="s">
        <v>258</v>
      </c>
      <c r="F718" s="2" t="s">
        <v>3098</v>
      </c>
      <c r="G718" s="2" t="s">
        <v>3098</v>
      </c>
      <c r="H718" s="2" t="s">
        <v>3098</v>
      </c>
      <c r="I718" s="2" t="s">
        <v>2906</v>
      </c>
      <c r="J718" s="2" t="s">
        <v>230</v>
      </c>
      <c r="K718" s="2" t="s">
        <v>3154</v>
      </c>
      <c r="L718" s="3">
        <v>16.16</v>
      </c>
      <c r="M718" s="3">
        <v>16.97</v>
      </c>
      <c r="N718" s="3">
        <v>34.99</v>
      </c>
      <c r="O718" s="2" t="s">
        <v>232</v>
      </c>
      <c r="P718" s="2" t="s">
        <v>878</v>
      </c>
      <c r="Q718" s="2" t="s">
        <v>234</v>
      </c>
      <c r="R718" s="2" t="s">
        <v>235</v>
      </c>
      <c r="S718" s="2" t="s">
        <v>235</v>
      </c>
      <c r="T718" s="2" t="s">
        <v>2908</v>
      </c>
      <c r="U718" s="2" t="s">
        <v>552</v>
      </c>
      <c r="V718" s="2" t="s">
        <v>2182</v>
      </c>
      <c r="W718" s="2" t="s">
        <v>329</v>
      </c>
      <c r="X718" s="2" t="s">
        <v>235</v>
      </c>
      <c r="Y718" s="2" t="s">
        <v>235</v>
      </c>
      <c r="Z718" s="4"/>
      <c r="AA718" s="4">
        <f>=ROUNDDOWN({0},0)</f>
      </c>
      <c r="AB718" s="5"/>
      <c r="AC718" s="2" t="s">
        <v>235</v>
      </c>
      <c r="AD718" s="4"/>
      <c r="AE718" s="4"/>
      <c r="AF718" s="6">
        <v>77</v>
      </c>
      <c r="AG718" s="6"/>
      <c r="AH718" s="7"/>
      <c r="AI718" s="4"/>
      <c r="AJ718" s="4">
        <f>=ROUNDDOWN({0},0)</f>
      </c>
      <c r="AK718" s="5"/>
      <c r="AL718" s="2" t="s">
        <v>235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235</v>
      </c>
      <c r="AW718" s="8" t="s">
        <v>235</v>
      </c>
      <c r="AX718" s="4" t="s">
        <v>235</v>
      </c>
      <c r="AY718" s="8" t="s">
        <v>235</v>
      </c>
      <c r="AZ718" s="7" t="s">
        <v>235</v>
      </c>
      <c r="BA718" s="7" t="s">
        <v>235</v>
      </c>
      <c r="BB718" s="7"/>
      <c r="BC718" s="4" t="s">
        <v>235</v>
      </c>
      <c r="BD718" s="8" t="s">
        <v>235</v>
      </c>
      <c r="BE718" s="4" t="s">
        <v>235</v>
      </c>
      <c r="BF718" s="8" t="s">
        <v>235</v>
      </c>
      <c r="BG718" s="7" t="s">
        <v>235</v>
      </c>
      <c r="BH718" s="7" t="s">
        <v>235</v>
      </c>
      <c r="BI718" s="7"/>
      <c r="BJ718" s="4"/>
      <c r="BK718" s="8"/>
      <c r="BL718" s="2" t="s">
        <v>235</v>
      </c>
      <c r="BM718" s="7"/>
      <c r="BN718" s="7"/>
      <c r="BO718" s="4"/>
      <c r="BP718" s="8"/>
      <c r="BQ718" s="4"/>
      <c r="BR718" s="8"/>
      <c r="BS718" s="7"/>
      <c r="BT718" s="7"/>
      <c r="BU718" s="2" t="s">
        <v>330</v>
      </c>
      <c r="BV718" s="2" t="s">
        <v>235</v>
      </c>
      <c r="BW718" s="2" t="s">
        <v>235</v>
      </c>
      <c r="BX718" s="2" t="s">
        <v>330</v>
      </c>
      <c r="BY718" s="2" t="s">
        <v>331</v>
      </c>
      <c r="BZ718" s="2" t="s">
        <v>232</v>
      </c>
      <c r="CA718" s="2" t="s">
        <v>235</v>
      </c>
      <c r="CB718" s="2" t="s">
        <v>235</v>
      </c>
      <c r="CC718" s="2" t="s">
        <v>248</v>
      </c>
      <c r="CD718" s="2" t="s">
        <v>248</v>
      </c>
      <c r="CE718" s="2" t="s">
        <v>235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</row>
    <row r="719">
      <c r="A719" s="2" t="s">
        <v>3156</v>
      </c>
      <c r="B719" s="2" t="s">
        <v>323</v>
      </c>
      <c r="C719" s="2" t="s">
        <v>1036</v>
      </c>
      <c r="D719" s="2" t="s">
        <v>257</v>
      </c>
      <c r="E719" s="2" t="s">
        <v>258</v>
      </c>
      <c r="F719" s="2" t="s">
        <v>3098</v>
      </c>
      <c r="G719" s="2" t="s">
        <v>3098</v>
      </c>
      <c r="H719" s="2" t="s">
        <v>3098</v>
      </c>
      <c r="I719" s="2" t="s">
        <v>2906</v>
      </c>
      <c r="J719" s="2" t="s">
        <v>250</v>
      </c>
      <c r="K719" s="2" t="s">
        <v>3154</v>
      </c>
      <c r="L719" s="3">
        <v>20.54</v>
      </c>
      <c r="M719" s="3">
        <v>21.57</v>
      </c>
      <c r="N719" s="3">
        <v>42.99</v>
      </c>
      <c r="O719" s="2" t="s">
        <v>232</v>
      </c>
      <c r="P719" s="2" t="s">
        <v>233</v>
      </c>
      <c r="Q719" s="2" t="s">
        <v>234</v>
      </c>
      <c r="R719" s="2" t="s">
        <v>235</v>
      </c>
      <c r="S719" s="2" t="s">
        <v>235</v>
      </c>
      <c r="T719" s="2" t="s">
        <v>2908</v>
      </c>
      <c r="U719" s="2" t="s">
        <v>264</v>
      </c>
      <c r="V719" s="2" t="s">
        <v>2182</v>
      </c>
      <c r="W719" s="2" t="s">
        <v>329</v>
      </c>
      <c r="X719" s="2" t="s">
        <v>235</v>
      </c>
      <c r="Y719" s="2" t="s">
        <v>235</v>
      </c>
      <c r="Z719" s="4"/>
      <c r="AA719" s="4">
        <f>=ROUNDDOWN({0},0)</f>
      </c>
      <c r="AB719" s="5">
        <v>12</v>
      </c>
      <c r="AC719" s="2" t="s">
        <v>235</v>
      </c>
      <c r="AD719" s="4"/>
      <c r="AE719" s="4"/>
      <c r="AF719" s="6">
        <v>77</v>
      </c>
      <c r="AG719" s="6"/>
      <c r="AH719" s="7"/>
      <c r="AI719" s="4"/>
      <c r="AJ719" s="4">
        <f>=ROUNDDOWN({0},0)</f>
      </c>
      <c r="AK719" s="5"/>
      <c r="AL719" s="2" t="s">
        <v>235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235</v>
      </c>
      <c r="AW719" s="8" t="s">
        <v>235</v>
      </c>
      <c r="AX719" s="4" t="s">
        <v>235</v>
      </c>
      <c r="AY719" s="8" t="s">
        <v>235</v>
      </c>
      <c r="AZ719" s="7" t="s">
        <v>235</v>
      </c>
      <c r="BA719" s="7" t="s">
        <v>235</v>
      </c>
      <c r="BB719" s="7"/>
      <c r="BC719" s="4" t="s">
        <v>235</v>
      </c>
      <c r="BD719" s="8" t="s">
        <v>235</v>
      </c>
      <c r="BE719" s="4" t="s">
        <v>235</v>
      </c>
      <c r="BF719" s="8" t="s">
        <v>235</v>
      </c>
      <c r="BG719" s="7" t="s">
        <v>235</v>
      </c>
      <c r="BH719" s="7" t="s">
        <v>235</v>
      </c>
      <c r="BI719" s="7"/>
      <c r="BJ719" s="4"/>
      <c r="BK719" s="8"/>
      <c r="BL719" s="2" t="s">
        <v>235</v>
      </c>
      <c r="BM719" s="7"/>
      <c r="BN719" s="7"/>
      <c r="BO719" s="4"/>
      <c r="BP719" s="8"/>
      <c r="BQ719" s="4"/>
      <c r="BR719" s="8"/>
      <c r="BS719" s="7"/>
      <c r="BT719" s="7"/>
      <c r="BU719" s="2" t="s">
        <v>330</v>
      </c>
      <c r="BV719" s="2" t="s">
        <v>235</v>
      </c>
      <c r="BW719" s="2" t="s">
        <v>235</v>
      </c>
      <c r="BX719" s="2" t="s">
        <v>330</v>
      </c>
      <c r="BY719" s="2" t="s">
        <v>331</v>
      </c>
      <c r="BZ719" s="2" t="s">
        <v>232</v>
      </c>
      <c r="CA719" s="2" t="s">
        <v>235</v>
      </c>
      <c r="CB719" s="2" t="s">
        <v>235</v>
      </c>
      <c r="CC719" s="2" t="s">
        <v>248</v>
      </c>
      <c r="CD719" s="2" t="s">
        <v>248</v>
      </c>
      <c r="CE719" s="2" t="s">
        <v>235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>
        <v>391</v>
      </c>
      <c r="HC719" s="4">
        <v>391</v>
      </c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</row>
    <row r="720">
      <c r="A720" s="2" t="s">
        <v>3157</v>
      </c>
      <c r="B720" s="2" t="s">
        <v>323</v>
      </c>
      <c r="C720" s="2" t="s">
        <v>1036</v>
      </c>
      <c r="D720" s="2" t="s">
        <v>257</v>
      </c>
      <c r="E720" s="2" t="s">
        <v>258</v>
      </c>
      <c r="F720" s="2" t="s">
        <v>3098</v>
      </c>
      <c r="G720" s="2" t="s">
        <v>3098</v>
      </c>
      <c r="H720" s="2" t="s">
        <v>3098</v>
      </c>
      <c r="I720" s="2" t="s">
        <v>2906</v>
      </c>
      <c r="J720" s="2" t="s">
        <v>261</v>
      </c>
      <c r="K720" s="2" t="s">
        <v>3154</v>
      </c>
      <c r="L720" s="3">
        <v>23.32</v>
      </c>
      <c r="M720" s="3">
        <v>24.49</v>
      </c>
      <c r="N720" s="3">
        <v>47.99</v>
      </c>
      <c r="O720" s="2" t="s">
        <v>232</v>
      </c>
      <c r="P720" s="2" t="s">
        <v>233</v>
      </c>
      <c r="Q720" s="2" t="s">
        <v>234</v>
      </c>
      <c r="R720" s="2" t="s">
        <v>235</v>
      </c>
      <c r="S720" s="2" t="s">
        <v>235</v>
      </c>
      <c r="T720" s="2" t="s">
        <v>2908</v>
      </c>
      <c r="U720" s="2" t="s">
        <v>264</v>
      </c>
      <c r="V720" s="2" t="s">
        <v>2182</v>
      </c>
      <c r="W720" s="2" t="s">
        <v>329</v>
      </c>
      <c r="X720" s="2" t="s">
        <v>235</v>
      </c>
      <c r="Y720" s="2" t="s">
        <v>235</v>
      </c>
      <c r="Z720" s="4"/>
      <c r="AA720" s="4">
        <f>=ROUNDDOWN({0},0)</f>
      </c>
      <c r="AB720" s="5">
        <v>8</v>
      </c>
      <c r="AC720" s="2" t="s">
        <v>235</v>
      </c>
      <c r="AD720" s="4"/>
      <c r="AE720" s="4"/>
      <c r="AF720" s="6">
        <v>77</v>
      </c>
      <c r="AG720" s="6"/>
      <c r="AH720" s="7"/>
      <c r="AI720" s="4"/>
      <c r="AJ720" s="4">
        <f>=ROUNDDOWN({0},0)</f>
      </c>
      <c r="AK720" s="5"/>
      <c r="AL720" s="2" t="s">
        <v>235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235</v>
      </c>
      <c r="AW720" s="8" t="s">
        <v>235</v>
      </c>
      <c r="AX720" s="4" t="s">
        <v>235</v>
      </c>
      <c r="AY720" s="8" t="s">
        <v>235</v>
      </c>
      <c r="AZ720" s="7" t="s">
        <v>235</v>
      </c>
      <c r="BA720" s="7" t="s">
        <v>235</v>
      </c>
      <c r="BB720" s="7"/>
      <c r="BC720" s="4" t="s">
        <v>235</v>
      </c>
      <c r="BD720" s="8" t="s">
        <v>235</v>
      </c>
      <c r="BE720" s="4" t="s">
        <v>235</v>
      </c>
      <c r="BF720" s="8" t="s">
        <v>235</v>
      </c>
      <c r="BG720" s="7" t="s">
        <v>235</v>
      </c>
      <c r="BH720" s="7" t="s">
        <v>235</v>
      </c>
      <c r="BI720" s="7"/>
      <c r="BJ720" s="4"/>
      <c r="BK720" s="8"/>
      <c r="BL720" s="2" t="s">
        <v>235</v>
      </c>
      <c r="BM720" s="7"/>
      <c r="BN720" s="7"/>
      <c r="BO720" s="4"/>
      <c r="BP720" s="8"/>
      <c r="BQ720" s="4"/>
      <c r="BR720" s="8"/>
      <c r="BS720" s="7"/>
      <c r="BT720" s="7"/>
      <c r="BU720" s="2" t="s">
        <v>330</v>
      </c>
      <c r="BV720" s="2" t="s">
        <v>235</v>
      </c>
      <c r="BW720" s="2" t="s">
        <v>235</v>
      </c>
      <c r="BX720" s="2" t="s">
        <v>330</v>
      </c>
      <c r="BY720" s="2" t="s">
        <v>331</v>
      </c>
      <c r="BZ720" s="2" t="s">
        <v>232</v>
      </c>
      <c r="CA720" s="2" t="s">
        <v>235</v>
      </c>
      <c r="CB720" s="2" t="s">
        <v>235</v>
      </c>
      <c r="CC720" s="2" t="s">
        <v>248</v>
      </c>
      <c r="CD720" s="2" t="s">
        <v>248</v>
      </c>
      <c r="CE720" s="2" t="s">
        <v>235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</row>
    <row r="721">
      <c r="A721" s="2" t="s">
        <v>3158</v>
      </c>
      <c r="B721" s="2" t="s">
        <v>323</v>
      </c>
      <c r="C721" s="2" t="s">
        <v>1036</v>
      </c>
      <c r="D721" s="2" t="s">
        <v>257</v>
      </c>
      <c r="E721" s="2" t="s">
        <v>258</v>
      </c>
      <c r="F721" s="2" t="s">
        <v>3098</v>
      </c>
      <c r="G721" s="2" t="s">
        <v>3098</v>
      </c>
      <c r="H721" s="2" t="s">
        <v>3098</v>
      </c>
      <c r="I721" s="2" t="s">
        <v>2906</v>
      </c>
      <c r="J721" s="2" t="s">
        <v>270</v>
      </c>
      <c r="K721" s="2" t="s">
        <v>3154</v>
      </c>
      <c r="L721" s="3">
        <v>28.76</v>
      </c>
      <c r="M721" s="3">
        <v>30.2</v>
      </c>
      <c r="N721" s="3">
        <v>62.99</v>
      </c>
      <c r="O721" s="2" t="s">
        <v>232</v>
      </c>
      <c r="P721" s="2" t="s">
        <v>233</v>
      </c>
      <c r="Q721" s="2" t="s">
        <v>234</v>
      </c>
      <c r="R721" s="2" t="s">
        <v>235</v>
      </c>
      <c r="S721" s="2" t="s">
        <v>235</v>
      </c>
      <c r="T721" s="2" t="s">
        <v>2908</v>
      </c>
      <c r="U721" s="2" t="s">
        <v>264</v>
      </c>
      <c r="V721" s="2" t="s">
        <v>2182</v>
      </c>
      <c r="W721" s="2" t="s">
        <v>329</v>
      </c>
      <c r="X721" s="2" t="s">
        <v>235</v>
      </c>
      <c r="Y721" s="2" t="s">
        <v>235</v>
      </c>
      <c r="Z721" s="4"/>
      <c r="AA721" s="4">
        <f>=ROUNDDOWN({0},0)</f>
      </c>
      <c r="AB721" s="5">
        <v>12</v>
      </c>
      <c r="AC721" s="2" t="s">
        <v>2985</v>
      </c>
      <c r="AD721" s="4">
        <v>385</v>
      </c>
      <c r="AE721" s="4">
        <v>385</v>
      </c>
      <c r="AF721" s="6">
        <v>77</v>
      </c>
      <c r="AG721" s="6"/>
      <c r="AH721" s="7"/>
      <c r="AI721" s="4"/>
      <c r="AJ721" s="4">
        <f>=ROUNDDOWN({0},0)</f>
      </c>
      <c r="AK721" s="5"/>
      <c r="AL721" s="2" t="s">
        <v>235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235</v>
      </c>
      <c r="AW721" s="8" t="s">
        <v>235</v>
      </c>
      <c r="AX721" s="4" t="s">
        <v>235</v>
      </c>
      <c r="AY721" s="8" t="s">
        <v>235</v>
      </c>
      <c r="AZ721" s="7" t="s">
        <v>235</v>
      </c>
      <c r="BA721" s="7" t="s">
        <v>235</v>
      </c>
      <c r="BB721" s="7"/>
      <c r="BC721" s="4" t="s">
        <v>235</v>
      </c>
      <c r="BD721" s="8" t="s">
        <v>235</v>
      </c>
      <c r="BE721" s="4" t="s">
        <v>235</v>
      </c>
      <c r="BF721" s="8" t="s">
        <v>235</v>
      </c>
      <c r="BG721" s="7" t="s">
        <v>235</v>
      </c>
      <c r="BH721" s="7" t="s">
        <v>235</v>
      </c>
      <c r="BI721" s="7"/>
      <c r="BJ721" s="4"/>
      <c r="BK721" s="8"/>
      <c r="BL721" s="2" t="s">
        <v>235</v>
      </c>
      <c r="BM721" s="7"/>
      <c r="BN721" s="7"/>
      <c r="BO721" s="4"/>
      <c r="BP721" s="8"/>
      <c r="BQ721" s="4"/>
      <c r="BR721" s="8"/>
      <c r="BS721" s="7"/>
      <c r="BT721" s="7"/>
      <c r="BU721" s="2" t="s">
        <v>330</v>
      </c>
      <c r="BV721" s="2" t="s">
        <v>235</v>
      </c>
      <c r="BW721" s="2" t="s">
        <v>235</v>
      </c>
      <c r="BX721" s="2" t="s">
        <v>330</v>
      </c>
      <c r="BY721" s="2" t="s">
        <v>331</v>
      </c>
      <c r="BZ721" s="2" t="s">
        <v>232</v>
      </c>
      <c r="CA721" s="2" t="s">
        <v>235</v>
      </c>
      <c r="CB721" s="2" t="s">
        <v>235</v>
      </c>
      <c r="CC721" s="2" t="s">
        <v>248</v>
      </c>
      <c r="CD721" s="2" t="s">
        <v>248</v>
      </c>
      <c r="CE721" s="2" t="s">
        <v>235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>
        <v>385</v>
      </c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>
        <v>385</v>
      </c>
      <c r="GI721" s="4">
        <v>385</v>
      </c>
      <c r="GJ721" s="4">
        <v>385</v>
      </c>
      <c r="GK721" s="4">
        <v>382</v>
      </c>
      <c r="GL721" s="4">
        <v>379</v>
      </c>
      <c r="GM721" s="4">
        <v>377</v>
      </c>
      <c r="GN721" s="4">
        <v>376</v>
      </c>
      <c r="GO721" s="4">
        <v>375</v>
      </c>
      <c r="GP721" s="4">
        <v>374</v>
      </c>
      <c r="GQ721" s="4">
        <v>373</v>
      </c>
      <c r="GR721" s="4">
        <v>341</v>
      </c>
      <c r="GS721" s="4">
        <v>310</v>
      </c>
      <c r="GT721" s="4">
        <v>290</v>
      </c>
      <c r="GU721" s="4">
        <v>276</v>
      </c>
      <c r="GV721" s="4">
        <v>262</v>
      </c>
      <c r="GW721" s="4">
        <v>251</v>
      </c>
      <c r="GX721" s="4">
        <v>242</v>
      </c>
      <c r="GY721" s="4">
        <v>235</v>
      </c>
      <c r="GZ721" s="4">
        <v>228</v>
      </c>
      <c r="HA721" s="4">
        <v>221</v>
      </c>
      <c r="HB721" s="4">
        <v>419</v>
      </c>
      <c r="HC721" s="4">
        <v>412</v>
      </c>
      <c r="HD721" s="9"/>
      <c r="HE721" s="9"/>
      <c r="HF721" s="9"/>
      <c r="HG721" s="9"/>
      <c r="HH721" s="19">
        <v>128.3</v>
      </c>
      <c r="HI721" s="19">
        <v>192.5</v>
      </c>
      <c r="HJ721" s="19">
        <v>192.5</v>
      </c>
      <c r="HK721" s="19">
        <v>191</v>
      </c>
      <c r="HL721" s="19">
        <v>379</v>
      </c>
      <c r="HM721" s="19">
        <v>377</v>
      </c>
      <c r="HN721" s="19">
        <v>41.8</v>
      </c>
      <c r="HO721" s="19">
        <v>22.1</v>
      </c>
      <c r="HP721" s="19">
        <v>17</v>
      </c>
      <c r="HQ721" s="19">
        <v>14.9</v>
      </c>
      <c r="HR721" s="19">
        <v>17.1</v>
      </c>
      <c r="HS721" s="19">
        <v>20.7</v>
      </c>
      <c r="HT721" s="19">
        <v>24.2</v>
      </c>
      <c r="HU721" s="19">
        <v>27.6</v>
      </c>
      <c r="HV721" s="19">
        <v>32.8</v>
      </c>
      <c r="HW721" s="19">
        <v>31.4</v>
      </c>
      <c r="HX721" s="19">
        <v>34.6</v>
      </c>
      <c r="HY721" s="19">
        <v>33.6</v>
      </c>
      <c r="HZ721" s="19">
        <v>38</v>
      </c>
      <c r="IA721" s="19">
        <v>36.8</v>
      </c>
      <c r="IB721" s="19">
        <v>83.8</v>
      </c>
      <c r="IC721" s="19">
        <v>103</v>
      </c>
    </row>
    <row r="722">
      <c r="A722" s="2" t="s">
        <v>3159</v>
      </c>
      <c r="B722" s="2" t="s">
        <v>323</v>
      </c>
      <c r="C722" s="2" t="s">
        <v>1036</v>
      </c>
      <c r="D722" s="2" t="s">
        <v>257</v>
      </c>
      <c r="E722" s="2" t="s">
        <v>258</v>
      </c>
      <c r="F722" s="2" t="s">
        <v>3098</v>
      </c>
      <c r="G722" s="2" t="s">
        <v>3098</v>
      </c>
      <c r="H722" s="2" t="s">
        <v>3098</v>
      </c>
      <c r="I722" s="2" t="s">
        <v>2906</v>
      </c>
      <c r="J722" s="2" t="s">
        <v>272</v>
      </c>
      <c r="K722" s="2" t="s">
        <v>3154</v>
      </c>
      <c r="L722" s="3">
        <v>28.76</v>
      </c>
      <c r="M722" s="3">
        <v>30.2</v>
      </c>
      <c r="N722" s="3">
        <v>62.99</v>
      </c>
      <c r="O722" s="2" t="s">
        <v>232</v>
      </c>
      <c r="P722" s="2" t="s">
        <v>233</v>
      </c>
      <c r="Q722" s="2" t="s">
        <v>234</v>
      </c>
      <c r="R722" s="2" t="s">
        <v>235</v>
      </c>
      <c r="S722" s="2" t="s">
        <v>235</v>
      </c>
      <c r="T722" s="2" t="s">
        <v>2908</v>
      </c>
      <c r="U722" s="2" t="s">
        <v>264</v>
      </c>
      <c r="V722" s="2" t="s">
        <v>2182</v>
      </c>
      <c r="W722" s="2" t="s">
        <v>329</v>
      </c>
      <c r="X722" s="2" t="s">
        <v>235</v>
      </c>
      <c r="Y722" s="2" t="s">
        <v>235</v>
      </c>
      <c r="Z722" s="4"/>
      <c r="AA722" s="4">
        <f>=ROUNDDOWN({0},0)</f>
      </c>
      <c r="AB722" s="5">
        <v>9</v>
      </c>
      <c r="AC722" s="2" t="s">
        <v>2985</v>
      </c>
      <c r="AD722" s="4">
        <v>220</v>
      </c>
      <c r="AE722" s="4">
        <v>220</v>
      </c>
      <c r="AF722" s="6">
        <v>77</v>
      </c>
      <c r="AG722" s="6"/>
      <c r="AH722" s="7"/>
      <c r="AI722" s="4"/>
      <c r="AJ722" s="4">
        <f>=ROUNDDOWN({0},0)</f>
      </c>
      <c r="AK722" s="5"/>
      <c r="AL722" s="2" t="s">
        <v>235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235</v>
      </c>
      <c r="AW722" s="8" t="s">
        <v>235</v>
      </c>
      <c r="AX722" s="4" t="s">
        <v>235</v>
      </c>
      <c r="AY722" s="8" t="s">
        <v>235</v>
      </c>
      <c r="AZ722" s="7" t="s">
        <v>235</v>
      </c>
      <c r="BA722" s="7" t="s">
        <v>235</v>
      </c>
      <c r="BB722" s="7"/>
      <c r="BC722" s="4" t="s">
        <v>235</v>
      </c>
      <c r="BD722" s="8" t="s">
        <v>235</v>
      </c>
      <c r="BE722" s="4" t="s">
        <v>235</v>
      </c>
      <c r="BF722" s="8" t="s">
        <v>235</v>
      </c>
      <c r="BG722" s="7" t="s">
        <v>235</v>
      </c>
      <c r="BH722" s="7" t="s">
        <v>235</v>
      </c>
      <c r="BI722" s="7"/>
      <c r="BJ722" s="4"/>
      <c r="BK722" s="8"/>
      <c r="BL722" s="2" t="s">
        <v>235</v>
      </c>
      <c r="BM722" s="7"/>
      <c r="BN722" s="7"/>
      <c r="BO722" s="4"/>
      <c r="BP722" s="8"/>
      <c r="BQ722" s="4"/>
      <c r="BR722" s="8"/>
      <c r="BS722" s="7"/>
      <c r="BT722" s="7"/>
      <c r="BU722" s="2" t="s">
        <v>330</v>
      </c>
      <c r="BV722" s="2" t="s">
        <v>235</v>
      </c>
      <c r="BW722" s="2" t="s">
        <v>235</v>
      </c>
      <c r="BX722" s="2" t="s">
        <v>330</v>
      </c>
      <c r="BY722" s="2" t="s">
        <v>331</v>
      </c>
      <c r="BZ722" s="2" t="s">
        <v>232</v>
      </c>
      <c r="CA722" s="2" t="s">
        <v>235</v>
      </c>
      <c r="CB722" s="2" t="s">
        <v>235</v>
      </c>
      <c r="CC722" s="2" t="s">
        <v>248</v>
      </c>
      <c r="CD722" s="2" t="s">
        <v>248</v>
      </c>
      <c r="CE722" s="2" t="s">
        <v>235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>
        <v>220</v>
      </c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>
        <v>220</v>
      </c>
      <c r="GI722" s="4">
        <v>220</v>
      </c>
      <c r="GJ722" s="4">
        <v>208</v>
      </c>
      <c r="GK722" s="4">
        <v>202</v>
      </c>
      <c r="GL722" s="4">
        <v>196</v>
      </c>
      <c r="GM722" s="4">
        <v>192</v>
      </c>
      <c r="GN722" s="4">
        <v>189</v>
      </c>
      <c r="GO722" s="4">
        <v>186</v>
      </c>
      <c r="GP722" s="4">
        <v>184</v>
      </c>
      <c r="GQ722" s="4">
        <v>147</v>
      </c>
      <c r="GR722" s="4">
        <v>130</v>
      </c>
      <c r="GS722" s="4">
        <v>113</v>
      </c>
      <c r="GT722" s="4">
        <v>102</v>
      </c>
      <c r="GU722" s="4">
        <v>94</v>
      </c>
      <c r="GV722" s="4">
        <v>86</v>
      </c>
      <c r="GW722" s="4">
        <v>80</v>
      </c>
      <c r="GX722" s="4">
        <v>75</v>
      </c>
      <c r="GY722" s="4">
        <v>71</v>
      </c>
      <c r="GZ722" s="4">
        <v>67</v>
      </c>
      <c r="HA722" s="4">
        <v>63</v>
      </c>
      <c r="HB722" s="4">
        <v>258</v>
      </c>
      <c r="HC722" s="4">
        <v>254</v>
      </c>
      <c r="HD722" s="9"/>
      <c r="HE722" s="9"/>
      <c r="HF722" s="9"/>
      <c r="HG722" s="9"/>
      <c r="HH722" s="19">
        <v>36.7</v>
      </c>
      <c r="HI722" s="19">
        <v>31.4</v>
      </c>
      <c r="HJ722" s="19">
        <v>41.6</v>
      </c>
      <c r="HK722" s="19">
        <v>50.5</v>
      </c>
      <c r="HL722" s="19">
        <v>65.3</v>
      </c>
      <c r="HM722" s="19">
        <v>16</v>
      </c>
      <c r="HN722" s="19">
        <v>11.8</v>
      </c>
      <c r="HO722" s="19">
        <v>9.3</v>
      </c>
      <c r="HP722" s="19">
        <v>8.4</v>
      </c>
      <c r="HQ722" s="19">
        <v>9.8</v>
      </c>
      <c r="HR722" s="19">
        <v>10.8</v>
      </c>
      <c r="HS722" s="19">
        <v>11.3</v>
      </c>
      <c r="HT722" s="19">
        <v>12.8</v>
      </c>
      <c r="HU722" s="19">
        <v>15.7</v>
      </c>
      <c r="HV722" s="19">
        <v>14.3</v>
      </c>
      <c r="HW722" s="19">
        <v>16</v>
      </c>
      <c r="HX722" s="19">
        <v>15</v>
      </c>
      <c r="HY722" s="19">
        <v>14.2</v>
      </c>
      <c r="HZ722" s="19">
        <v>16.8</v>
      </c>
      <c r="IA722" s="19">
        <v>15.8</v>
      </c>
      <c r="IB722" s="19">
        <v>86</v>
      </c>
      <c r="IC722" s="19">
        <v>84.7</v>
      </c>
    </row>
    <row r="723">
      <c r="A723" s="2" t="s">
        <v>3160</v>
      </c>
      <c r="B723" s="2" t="s">
        <v>323</v>
      </c>
      <c r="C723" s="2" t="s">
        <v>1036</v>
      </c>
      <c r="D723" s="2" t="s">
        <v>257</v>
      </c>
      <c r="E723" s="2" t="s">
        <v>258</v>
      </c>
      <c r="F723" s="2" t="s">
        <v>3098</v>
      </c>
      <c r="G723" s="2" t="s">
        <v>3098</v>
      </c>
      <c r="H723" s="2" t="s">
        <v>3098</v>
      </c>
      <c r="I723" s="2" t="s">
        <v>2906</v>
      </c>
      <c r="J723" s="2" t="s">
        <v>394</v>
      </c>
      <c r="K723" s="2" t="s">
        <v>3161</v>
      </c>
      <c r="L723" s="3">
        <v>14.89</v>
      </c>
      <c r="M723" s="3">
        <v>15.63</v>
      </c>
      <c r="N723" s="3">
        <v>31.99</v>
      </c>
      <c r="O723" s="2" t="s">
        <v>232</v>
      </c>
      <c r="P723" s="2" t="s">
        <v>878</v>
      </c>
      <c r="Q723" s="2" t="s">
        <v>234</v>
      </c>
      <c r="R723" s="2" t="s">
        <v>235</v>
      </c>
      <c r="S723" s="2" t="s">
        <v>235</v>
      </c>
      <c r="T723" s="2" t="s">
        <v>2908</v>
      </c>
      <c r="U723" s="2" t="s">
        <v>552</v>
      </c>
      <c r="V723" s="2" t="s">
        <v>2182</v>
      </c>
      <c r="W723" s="2" t="s">
        <v>329</v>
      </c>
      <c r="X723" s="2" t="s">
        <v>235</v>
      </c>
      <c r="Y723" s="2" t="s">
        <v>235</v>
      </c>
      <c r="Z723" s="4"/>
      <c r="AA723" s="4">
        <f>=ROUNDDOWN({0},0)</f>
      </c>
      <c r="AB723" s="5"/>
      <c r="AC723" s="2" t="s">
        <v>235</v>
      </c>
      <c r="AD723" s="4"/>
      <c r="AE723" s="4"/>
      <c r="AF723" s="6">
        <v>77</v>
      </c>
      <c r="AG723" s="6"/>
      <c r="AH723" s="7"/>
      <c r="AI723" s="4"/>
      <c r="AJ723" s="4">
        <f>=ROUNDDOWN({0},0)</f>
      </c>
      <c r="AK723" s="5"/>
      <c r="AL723" s="2" t="s">
        <v>235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235</v>
      </c>
      <c r="AW723" s="8" t="s">
        <v>235</v>
      </c>
      <c r="AX723" s="4" t="s">
        <v>235</v>
      </c>
      <c r="AY723" s="8" t="s">
        <v>235</v>
      </c>
      <c r="AZ723" s="7" t="s">
        <v>235</v>
      </c>
      <c r="BA723" s="7" t="s">
        <v>235</v>
      </c>
      <c r="BB723" s="7"/>
      <c r="BC723" s="4" t="s">
        <v>235</v>
      </c>
      <c r="BD723" s="8" t="s">
        <v>235</v>
      </c>
      <c r="BE723" s="4" t="s">
        <v>235</v>
      </c>
      <c r="BF723" s="8" t="s">
        <v>235</v>
      </c>
      <c r="BG723" s="7" t="s">
        <v>235</v>
      </c>
      <c r="BH723" s="7" t="s">
        <v>235</v>
      </c>
      <c r="BI723" s="7"/>
      <c r="BJ723" s="4"/>
      <c r="BK723" s="8"/>
      <c r="BL723" s="2" t="s">
        <v>235</v>
      </c>
      <c r="BM723" s="7"/>
      <c r="BN723" s="7"/>
      <c r="BO723" s="4"/>
      <c r="BP723" s="8"/>
      <c r="BQ723" s="4"/>
      <c r="BR723" s="8"/>
      <c r="BS723" s="7"/>
      <c r="BT723" s="7"/>
      <c r="BU723" s="2" t="s">
        <v>330</v>
      </c>
      <c r="BV723" s="2" t="s">
        <v>235</v>
      </c>
      <c r="BW723" s="2" t="s">
        <v>235</v>
      </c>
      <c r="BX723" s="2" t="s">
        <v>330</v>
      </c>
      <c r="BY723" s="2" t="s">
        <v>331</v>
      </c>
      <c r="BZ723" s="2" t="s">
        <v>232</v>
      </c>
      <c r="CA723" s="2" t="s">
        <v>235</v>
      </c>
      <c r="CB723" s="2" t="s">
        <v>235</v>
      </c>
      <c r="CC723" s="2" t="s">
        <v>248</v>
      </c>
      <c r="CD723" s="2" t="s">
        <v>248</v>
      </c>
      <c r="CE723" s="2" t="s">
        <v>235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</row>
    <row r="724">
      <c r="A724" s="2" t="s">
        <v>3162</v>
      </c>
      <c r="B724" s="2" t="s">
        <v>323</v>
      </c>
      <c r="C724" s="2" t="s">
        <v>1036</v>
      </c>
      <c r="D724" s="2" t="s">
        <v>257</v>
      </c>
      <c r="E724" s="2" t="s">
        <v>258</v>
      </c>
      <c r="F724" s="2" t="s">
        <v>3098</v>
      </c>
      <c r="G724" s="2" t="s">
        <v>3098</v>
      </c>
      <c r="H724" s="2" t="s">
        <v>3098</v>
      </c>
      <c r="I724" s="2" t="s">
        <v>2906</v>
      </c>
      <c r="J724" s="2" t="s">
        <v>230</v>
      </c>
      <c r="K724" s="2" t="s">
        <v>3161</v>
      </c>
      <c r="L724" s="3">
        <v>16.16</v>
      </c>
      <c r="M724" s="3">
        <v>16.97</v>
      </c>
      <c r="N724" s="3">
        <v>34.99</v>
      </c>
      <c r="O724" s="2" t="s">
        <v>232</v>
      </c>
      <c r="P724" s="2" t="s">
        <v>878</v>
      </c>
      <c r="Q724" s="2" t="s">
        <v>234</v>
      </c>
      <c r="R724" s="2" t="s">
        <v>235</v>
      </c>
      <c r="S724" s="2" t="s">
        <v>235</v>
      </c>
      <c r="T724" s="2" t="s">
        <v>2908</v>
      </c>
      <c r="U724" s="2" t="s">
        <v>552</v>
      </c>
      <c r="V724" s="2" t="s">
        <v>2182</v>
      </c>
      <c r="W724" s="2" t="s">
        <v>329</v>
      </c>
      <c r="X724" s="2" t="s">
        <v>235</v>
      </c>
      <c r="Y724" s="2" t="s">
        <v>235</v>
      </c>
      <c r="Z724" s="4"/>
      <c r="AA724" s="4">
        <f>=ROUNDDOWN({0},0)</f>
      </c>
      <c r="AB724" s="5"/>
      <c r="AC724" s="2" t="s">
        <v>235</v>
      </c>
      <c r="AD724" s="4"/>
      <c r="AE724" s="4"/>
      <c r="AF724" s="6">
        <v>77</v>
      </c>
      <c r="AG724" s="6"/>
      <c r="AH724" s="7"/>
      <c r="AI724" s="4"/>
      <c r="AJ724" s="4">
        <f>=ROUNDDOWN({0},0)</f>
      </c>
      <c r="AK724" s="5"/>
      <c r="AL724" s="2" t="s">
        <v>235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235</v>
      </c>
      <c r="AW724" s="8" t="s">
        <v>235</v>
      </c>
      <c r="AX724" s="4" t="s">
        <v>235</v>
      </c>
      <c r="AY724" s="8" t="s">
        <v>235</v>
      </c>
      <c r="AZ724" s="7" t="s">
        <v>235</v>
      </c>
      <c r="BA724" s="7" t="s">
        <v>235</v>
      </c>
      <c r="BB724" s="7"/>
      <c r="BC724" s="4" t="s">
        <v>235</v>
      </c>
      <c r="BD724" s="8" t="s">
        <v>235</v>
      </c>
      <c r="BE724" s="4" t="s">
        <v>235</v>
      </c>
      <c r="BF724" s="8" t="s">
        <v>235</v>
      </c>
      <c r="BG724" s="7" t="s">
        <v>235</v>
      </c>
      <c r="BH724" s="7" t="s">
        <v>235</v>
      </c>
      <c r="BI724" s="7"/>
      <c r="BJ724" s="4"/>
      <c r="BK724" s="8"/>
      <c r="BL724" s="2" t="s">
        <v>235</v>
      </c>
      <c r="BM724" s="7"/>
      <c r="BN724" s="7"/>
      <c r="BO724" s="4"/>
      <c r="BP724" s="8"/>
      <c r="BQ724" s="4"/>
      <c r="BR724" s="8"/>
      <c r="BS724" s="7"/>
      <c r="BT724" s="7"/>
      <c r="BU724" s="2" t="s">
        <v>330</v>
      </c>
      <c r="BV724" s="2" t="s">
        <v>235</v>
      </c>
      <c r="BW724" s="2" t="s">
        <v>235</v>
      </c>
      <c r="BX724" s="2" t="s">
        <v>330</v>
      </c>
      <c r="BY724" s="2" t="s">
        <v>331</v>
      </c>
      <c r="BZ724" s="2" t="s">
        <v>232</v>
      </c>
      <c r="CA724" s="2" t="s">
        <v>235</v>
      </c>
      <c r="CB724" s="2" t="s">
        <v>235</v>
      </c>
      <c r="CC724" s="2" t="s">
        <v>248</v>
      </c>
      <c r="CD724" s="2" t="s">
        <v>248</v>
      </c>
      <c r="CE724" s="2" t="s">
        <v>235</v>
      </c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</row>
    <row r="725">
      <c r="A725" s="2" t="s">
        <v>3163</v>
      </c>
      <c r="B725" s="2" t="s">
        <v>323</v>
      </c>
      <c r="C725" s="2" t="s">
        <v>1036</v>
      </c>
      <c r="D725" s="2" t="s">
        <v>257</v>
      </c>
      <c r="E725" s="2" t="s">
        <v>258</v>
      </c>
      <c r="F725" s="2" t="s">
        <v>3098</v>
      </c>
      <c r="G725" s="2" t="s">
        <v>3098</v>
      </c>
      <c r="H725" s="2" t="s">
        <v>3098</v>
      </c>
      <c r="I725" s="2" t="s">
        <v>2906</v>
      </c>
      <c r="J725" s="2" t="s">
        <v>250</v>
      </c>
      <c r="K725" s="2" t="s">
        <v>3161</v>
      </c>
      <c r="L725" s="3">
        <v>20.54</v>
      </c>
      <c r="M725" s="3">
        <v>21.57</v>
      </c>
      <c r="N725" s="3">
        <v>42.99</v>
      </c>
      <c r="O725" s="2" t="s">
        <v>232</v>
      </c>
      <c r="P725" s="2" t="s">
        <v>233</v>
      </c>
      <c r="Q725" s="2" t="s">
        <v>234</v>
      </c>
      <c r="R725" s="2" t="s">
        <v>235</v>
      </c>
      <c r="S725" s="2" t="s">
        <v>235</v>
      </c>
      <c r="T725" s="2" t="s">
        <v>2908</v>
      </c>
      <c r="U725" s="2" t="s">
        <v>264</v>
      </c>
      <c r="V725" s="2" t="s">
        <v>2182</v>
      </c>
      <c r="W725" s="2" t="s">
        <v>329</v>
      </c>
      <c r="X725" s="2" t="s">
        <v>235</v>
      </c>
      <c r="Y725" s="2" t="s">
        <v>235</v>
      </c>
      <c r="Z725" s="4"/>
      <c r="AA725" s="4">
        <f>=ROUNDDOWN({0},0)</f>
      </c>
      <c r="AB725" s="5">
        <v>8</v>
      </c>
      <c r="AC725" s="2" t="s">
        <v>235</v>
      </c>
      <c r="AD725" s="4"/>
      <c r="AE725" s="4"/>
      <c r="AF725" s="6">
        <v>77</v>
      </c>
      <c r="AG725" s="6"/>
      <c r="AH725" s="7"/>
      <c r="AI725" s="4"/>
      <c r="AJ725" s="4">
        <f>=ROUNDDOWN({0},0)</f>
      </c>
      <c r="AK725" s="5"/>
      <c r="AL725" s="2" t="s">
        <v>235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235</v>
      </c>
      <c r="AW725" s="8" t="s">
        <v>235</v>
      </c>
      <c r="AX725" s="4" t="s">
        <v>235</v>
      </c>
      <c r="AY725" s="8" t="s">
        <v>235</v>
      </c>
      <c r="AZ725" s="7" t="s">
        <v>235</v>
      </c>
      <c r="BA725" s="7" t="s">
        <v>235</v>
      </c>
      <c r="BB725" s="7"/>
      <c r="BC725" s="4" t="s">
        <v>235</v>
      </c>
      <c r="BD725" s="8" t="s">
        <v>235</v>
      </c>
      <c r="BE725" s="4" t="s">
        <v>235</v>
      </c>
      <c r="BF725" s="8" t="s">
        <v>235</v>
      </c>
      <c r="BG725" s="7" t="s">
        <v>235</v>
      </c>
      <c r="BH725" s="7" t="s">
        <v>235</v>
      </c>
      <c r="BI725" s="7"/>
      <c r="BJ725" s="4"/>
      <c r="BK725" s="8"/>
      <c r="BL725" s="2" t="s">
        <v>235</v>
      </c>
      <c r="BM725" s="7"/>
      <c r="BN725" s="7"/>
      <c r="BO725" s="4"/>
      <c r="BP725" s="8"/>
      <c r="BQ725" s="4"/>
      <c r="BR725" s="8"/>
      <c r="BS725" s="7"/>
      <c r="BT725" s="7"/>
      <c r="BU725" s="2" t="s">
        <v>330</v>
      </c>
      <c r="BV725" s="2" t="s">
        <v>235</v>
      </c>
      <c r="BW725" s="2" t="s">
        <v>235</v>
      </c>
      <c r="BX725" s="2" t="s">
        <v>330</v>
      </c>
      <c r="BY725" s="2" t="s">
        <v>331</v>
      </c>
      <c r="BZ725" s="2" t="s">
        <v>232</v>
      </c>
      <c r="CA725" s="2" t="s">
        <v>235</v>
      </c>
      <c r="CB725" s="2" t="s">
        <v>235</v>
      </c>
      <c r="CC725" s="2" t="s">
        <v>248</v>
      </c>
      <c r="CD725" s="2" t="s">
        <v>248</v>
      </c>
      <c r="CE725" s="2" t="s">
        <v>235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</row>
    <row r="726">
      <c r="A726" s="2" t="s">
        <v>3164</v>
      </c>
      <c r="B726" s="2" t="s">
        <v>323</v>
      </c>
      <c r="C726" s="2" t="s">
        <v>1036</v>
      </c>
      <c r="D726" s="2" t="s">
        <v>257</v>
      </c>
      <c r="E726" s="2" t="s">
        <v>258</v>
      </c>
      <c r="F726" s="2" t="s">
        <v>3098</v>
      </c>
      <c r="G726" s="2" t="s">
        <v>3098</v>
      </c>
      <c r="H726" s="2" t="s">
        <v>3098</v>
      </c>
      <c r="I726" s="2" t="s">
        <v>2906</v>
      </c>
      <c r="J726" s="2" t="s">
        <v>261</v>
      </c>
      <c r="K726" s="2" t="s">
        <v>3161</v>
      </c>
      <c r="L726" s="3">
        <v>23.32</v>
      </c>
      <c r="M726" s="3">
        <v>24.49</v>
      </c>
      <c r="N726" s="3">
        <v>47.99</v>
      </c>
      <c r="O726" s="2" t="s">
        <v>232</v>
      </c>
      <c r="P726" s="2" t="s">
        <v>233</v>
      </c>
      <c r="Q726" s="2" t="s">
        <v>234</v>
      </c>
      <c r="R726" s="2" t="s">
        <v>235</v>
      </c>
      <c r="S726" s="2" t="s">
        <v>235</v>
      </c>
      <c r="T726" s="2" t="s">
        <v>2908</v>
      </c>
      <c r="U726" s="2" t="s">
        <v>264</v>
      </c>
      <c r="V726" s="2" t="s">
        <v>2182</v>
      </c>
      <c r="W726" s="2" t="s">
        <v>329</v>
      </c>
      <c r="X726" s="2" t="s">
        <v>235</v>
      </c>
      <c r="Y726" s="2" t="s">
        <v>235</v>
      </c>
      <c r="Z726" s="4"/>
      <c r="AA726" s="4">
        <f>=ROUNDDOWN({0},0)</f>
      </c>
      <c r="AB726" s="5">
        <v>15</v>
      </c>
      <c r="AC726" s="2" t="s">
        <v>2985</v>
      </c>
      <c r="AD726" s="4">
        <v>310</v>
      </c>
      <c r="AE726" s="4">
        <v>310</v>
      </c>
      <c r="AF726" s="6">
        <v>77</v>
      </c>
      <c r="AG726" s="6"/>
      <c r="AH726" s="7"/>
      <c r="AI726" s="4"/>
      <c r="AJ726" s="4">
        <f>=ROUNDDOWN({0},0)</f>
      </c>
      <c r="AK726" s="5"/>
      <c r="AL726" s="2" t="s">
        <v>235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235</v>
      </c>
      <c r="AW726" s="8" t="s">
        <v>235</v>
      </c>
      <c r="AX726" s="4" t="s">
        <v>235</v>
      </c>
      <c r="AY726" s="8" t="s">
        <v>235</v>
      </c>
      <c r="AZ726" s="7" t="s">
        <v>235</v>
      </c>
      <c r="BA726" s="7" t="s">
        <v>235</v>
      </c>
      <c r="BB726" s="7"/>
      <c r="BC726" s="4" t="s">
        <v>235</v>
      </c>
      <c r="BD726" s="8" t="s">
        <v>235</v>
      </c>
      <c r="BE726" s="4" t="s">
        <v>235</v>
      </c>
      <c r="BF726" s="8" t="s">
        <v>235</v>
      </c>
      <c r="BG726" s="7" t="s">
        <v>235</v>
      </c>
      <c r="BH726" s="7" t="s">
        <v>235</v>
      </c>
      <c r="BI726" s="7"/>
      <c r="BJ726" s="4"/>
      <c r="BK726" s="8"/>
      <c r="BL726" s="2" t="s">
        <v>235</v>
      </c>
      <c r="BM726" s="7"/>
      <c r="BN726" s="7"/>
      <c r="BO726" s="4"/>
      <c r="BP726" s="8"/>
      <c r="BQ726" s="4"/>
      <c r="BR726" s="8"/>
      <c r="BS726" s="7"/>
      <c r="BT726" s="7"/>
      <c r="BU726" s="2" t="s">
        <v>330</v>
      </c>
      <c r="BV726" s="2" t="s">
        <v>235</v>
      </c>
      <c r="BW726" s="2" t="s">
        <v>235</v>
      </c>
      <c r="BX726" s="2" t="s">
        <v>330</v>
      </c>
      <c r="BY726" s="2" t="s">
        <v>331</v>
      </c>
      <c r="BZ726" s="2" t="s">
        <v>232</v>
      </c>
      <c r="CA726" s="2" t="s">
        <v>235</v>
      </c>
      <c r="CB726" s="2" t="s">
        <v>235</v>
      </c>
      <c r="CC726" s="2" t="s">
        <v>248</v>
      </c>
      <c r="CD726" s="2" t="s">
        <v>248</v>
      </c>
      <c r="CE726" s="2" t="s">
        <v>235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>
        <v>310</v>
      </c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>
        <v>310</v>
      </c>
      <c r="GI726" s="4">
        <v>310</v>
      </c>
      <c r="GJ726" s="4">
        <v>310</v>
      </c>
      <c r="GK726" s="4">
        <v>307</v>
      </c>
      <c r="GL726" s="4">
        <v>304</v>
      </c>
      <c r="GM726" s="4">
        <v>302</v>
      </c>
      <c r="GN726" s="4">
        <v>301</v>
      </c>
      <c r="GO726" s="4">
        <v>300</v>
      </c>
      <c r="GP726" s="4">
        <v>299</v>
      </c>
      <c r="GQ726" s="4">
        <v>298</v>
      </c>
      <c r="GR726" s="4">
        <v>260</v>
      </c>
      <c r="GS726" s="4">
        <v>224</v>
      </c>
      <c r="GT726" s="4">
        <v>201</v>
      </c>
      <c r="GU726" s="4">
        <v>184</v>
      </c>
      <c r="GV726" s="4">
        <v>167</v>
      </c>
      <c r="GW726" s="4">
        <v>154</v>
      </c>
      <c r="GX726" s="4">
        <v>144</v>
      </c>
      <c r="GY726" s="4">
        <v>136</v>
      </c>
      <c r="GZ726" s="4">
        <v>127</v>
      </c>
      <c r="HA726" s="4">
        <v>118</v>
      </c>
      <c r="HB726" s="4">
        <v>109</v>
      </c>
      <c r="HC726" s="4">
        <v>100</v>
      </c>
      <c r="HD726" s="9"/>
      <c r="HE726" s="9"/>
      <c r="HF726" s="9"/>
      <c r="HG726" s="9"/>
      <c r="HH726" s="9"/>
      <c r="HI726" s="19">
        <v>310</v>
      </c>
      <c r="HJ726" s="19">
        <v>155</v>
      </c>
      <c r="HK726" s="19">
        <v>153.5</v>
      </c>
      <c r="HL726" s="19">
        <v>304</v>
      </c>
      <c r="HM726" s="19">
        <v>302</v>
      </c>
      <c r="HN726" s="19">
        <v>30.1</v>
      </c>
      <c r="HO726" s="19">
        <v>15</v>
      </c>
      <c r="HP726" s="19">
        <v>12</v>
      </c>
      <c r="HQ726" s="19">
        <v>10.3</v>
      </c>
      <c r="HR726" s="19">
        <v>10.8</v>
      </c>
      <c r="HS726" s="19">
        <v>12.4</v>
      </c>
      <c r="HT726" s="19">
        <v>13.4</v>
      </c>
      <c r="HU726" s="19">
        <v>14.2</v>
      </c>
      <c r="HV726" s="19">
        <v>16.7</v>
      </c>
      <c r="HW726" s="19">
        <v>17.1</v>
      </c>
      <c r="HX726" s="19">
        <v>16</v>
      </c>
      <c r="HY726" s="19">
        <v>15.1</v>
      </c>
      <c r="HZ726" s="19">
        <v>15.9</v>
      </c>
      <c r="IA726" s="19">
        <v>14.8</v>
      </c>
      <c r="IB726" s="19">
        <v>18.2</v>
      </c>
      <c r="IC726" s="19">
        <v>16.7</v>
      </c>
    </row>
    <row r="727">
      <c r="A727" s="2" t="s">
        <v>3165</v>
      </c>
      <c r="B727" s="2" t="s">
        <v>323</v>
      </c>
      <c r="C727" s="2" t="s">
        <v>1036</v>
      </c>
      <c r="D727" s="2" t="s">
        <v>257</v>
      </c>
      <c r="E727" s="2" t="s">
        <v>258</v>
      </c>
      <c r="F727" s="2" t="s">
        <v>3098</v>
      </c>
      <c r="G727" s="2" t="s">
        <v>3098</v>
      </c>
      <c r="H727" s="2" t="s">
        <v>3098</v>
      </c>
      <c r="I727" s="2" t="s">
        <v>2906</v>
      </c>
      <c r="J727" s="2" t="s">
        <v>270</v>
      </c>
      <c r="K727" s="2" t="s">
        <v>3161</v>
      </c>
      <c r="L727" s="3">
        <v>28.76</v>
      </c>
      <c r="M727" s="3">
        <v>30.2</v>
      </c>
      <c r="N727" s="3">
        <v>62.99</v>
      </c>
      <c r="O727" s="2" t="s">
        <v>232</v>
      </c>
      <c r="P727" s="2" t="s">
        <v>233</v>
      </c>
      <c r="Q727" s="2" t="s">
        <v>234</v>
      </c>
      <c r="R727" s="2" t="s">
        <v>235</v>
      </c>
      <c r="S727" s="2" t="s">
        <v>235</v>
      </c>
      <c r="T727" s="2" t="s">
        <v>2908</v>
      </c>
      <c r="U727" s="2" t="s">
        <v>264</v>
      </c>
      <c r="V727" s="2" t="s">
        <v>2182</v>
      </c>
      <c r="W727" s="2" t="s">
        <v>329</v>
      </c>
      <c r="X727" s="2" t="s">
        <v>235</v>
      </c>
      <c r="Y727" s="2" t="s">
        <v>235</v>
      </c>
      <c r="Z727" s="4"/>
      <c r="AA727" s="4">
        <f>=ROUNDDOWN({0},0)</f>
      </c>
      <c r="AB727" s="5">
        <v>4</v>
      </c>
      <c r="AC727" s="2" t="s">
        <v>2985</v>
      </c>
      <c r="AD727" s="4">
        <v>185</v>
      </c>
      <c r="AE727" s="4">
        <v>185</v>
      </c>
      <c r="AF727" s="6">
        <v>77</v>
      </c>
      <c r="AG727" s="6"/>
      <c r="AH727" s="7"/>
      <c r="AI727" s="4"/>
      <c r="AJ727" s="4">
        <f>=ROUNDDOWN({0},0)</f>
      </c>
      <c r="AK727" s="5"/>
      <c r="AL727" s="2" t="s">
        <v>235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235</v>
      </c>
      <c r="AW727" s="8" t="s">
        <v>235</v>
      </c>
      <c r="AX727" s="4" t="s">
        <v>235</v>
      </c>
      <c r="AY727" s="8" t="s">
        <v>235</v>
      </c>
      <c r="AZ727" s="7" t="s">
        <v>235</v>
      </c>
      <c r="BA727" s="7" t="s">
        <v>235</v>
      </c>
      <c r="BB727" s="7"/>
      <c r="BC727" s="4" t="s">
        <v>235</v>
      </c>
      <c r="BD727" s="8" t="s">
        <v>235</v>
      </c>
      <c r="BE727" s="4" t="s">
        <v>235</v>
      </c>
      <c r="BF727" s="8" t="s">
        <v>235</v>
      </c>
      <c r="BG727" s="7" t="s">
        <v>235</v>
      </c>
      <c r="BH727" s="7" t="s">
        <v>235</v>
      </c>
      <c r="BI727" s="7"/>
      <c r="BJ727" s="4"/>
      <c r="BK727" s="8"/>
      <c r="BL727" s="2" t="s">
        <v>235</v>
      </c>
      <c r="BM727" s="7"/>
      <c r="BN727" s="7"/>
      <c r="BO727" s="4"/>
      <c r="BP727" s="8"/>
      <c r="BQ727" s="4"/>
      <c r="BR727" s="8"/>
      <c r="BS727" s="7"/>
      <c r="BT727" s="7"/>
      <c r="BU727" s="2" t="s">
        <v>330</v>
      </c>
      <c r="BV727" s="2" t="s">
        <v>235</v>
      </c>
      <c r="BW727" s="2" t="s">
        <v>235</v>
      </c>
      <c r="BX727" s="2" t="s">
        <v>330</v>
      </c>
      <c r="BY727" s="2" t="s">
        <v>331</v>
      </c>
      <c r="BZ727" s="2" t="s">
        <v>232</v>
      </c>
      <c r="CA727" s="2" t="s">
        <v>235</v>
      </c>
      <c r="CB727" s="2" t="s">
        <v>235</v>
      </c>
      <c r="CC727" s="2" t="s">
        <v>248</v>
      </c>
      <c r="CD727" s="2" t="s">
        <v>248</v>
      </c>
      <c r="CE727" s="2" t="s">
        <v>235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>
        <v>185</v>
      </c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>
        <v>185</v>
      </c>
      <c r="GI727" s="4">
        <v>185</v>
      </c>
      <c r="GJ727" s="4">
        <v>179</v>
      </c>
      <c r="GK727" s="4">
        <v>176</v>
      </c>
      <c r="GL727" s="4">
        <v>173</v>
      </c>
      <c r="GM727" s="4">
        <v>171</v>
      </c>
      <c r="GN727" s="4">
        <v>170</v>
      </c>
      <c r="GO727" s="4">
        <v>169</v>
      </c>
      <c r="GP727" s="4">
        <v>168</v>
      </c>
      <c r="GQ727" s="4">
        <v>125</v>
      </c>
      <c r="GR727" s="4">
        <v>105</v>
      </c>
      <c r="GS727" s="4">
        <v>85</v>
      </c>
      <c r="GT727" s="4">
        <v>72</v>
      </c>
      <c r="GU727" s="4">
        <v>63</v>
      </c>
      <c r="GV727" s="4">
        <v>54</v>
      </c>
      <c r="GW727" s="4">
        <v>47</v>
      </c>
      <c r="GX727" s="4">
        <v>41</v>
      </c>
      <c r="GY727" s="4">
        <v>37</v>
      </c>
      <c r="GZ727" s="4">
        <v>35</v>
      </c>
      <c r="HA727" s="4">
        <v>33</v>
      </c>
      <c r="HB727" s="4">
        <v>31</v>
      </c>
      <c r="HC727" s="4">
        <v>29</v>
      </c>
      <c r="HD727" s="9"/>
      <c r="HE727" s="9"/>
      <c r="HF727" s="9"/>
      <c r="HG727" s="9"/>
      <c r="HH727" s="19">
        <v>61.7</v>
      </c>
      <c r="HI727" s="19">
        <v>46.3</v>
      </c>
      <c r="HJ727" s="19">
        <v>89.5</v>
      </c>
      <c r="HK727" s="19">
        <v>88</v>
      </c>
      <c r="HL727" s="19">
        <v>173</v>
      </c>
      <c r="HM727" s="19">
        <v>14.3</v>
      </c>
      <c r="HN727" s="19">
        <v>10</v>
      </c>
      <c r="HO727" s="19">
        <v>7.7</v>
      </c>
      <c r="HP727" s="19">
        <v>7</v>
      </c>
      <c r="HQ727" s="19">
        <v>7.8</v>
      </c>
      <c r="HR727" s="19">
        <v>8.1</v>
      </c>
      <c r="HS727" s="19">
        <v>8.5</v>
      </c>
      <c r="HT727" s="19">
        <v>9</v>
      </c>
      <c r="HU727" s="19">
        <v>10.5</v>
      </c>
      <c r="HV727" s="19">
        <v>10.8</v>
      </c>
      <c r="HW727" s="19">
        <v>11.8</v>
      </c>
      <c r="HX727" s="19">
        <v>20.5</v>
      </c>
      <c r="HY727" s="19">
        <v>18.5</v>
      </c>
      <c r="HZ727" s="19">
        <v>17.5</v>
      </c>
      <c r="IA727" s="19">
        <v>16.5</v>
      </c>
      <c r="IB727" s="19">
        <v>15.5</v>
      </c>
      <c r="IC727" s="19">
        <v>14.5</v>
      </c>
    </row>
    <row r="728">
      <c r="A728" s="2" t="s">
        <v>3166</v>
      </c>
      <c r="B728" s="2" t="s">
        <v>323</v>
      </c>
      <c r="C728" s="2" t="s">
        <v>1036</v>
      </c>
      <c r="D728" s="2" t="s">
        <v>257</v>
      </c>
      <c r="E728" s="2" t="s">
        <v>258</v>
      </c>
      <c r="F728" s="2" t="s">
        <v>3098</v>
      </c>
      <c r="G728" s="2" t="s">
        <v>3098</v>
      </c>
      <c r="H728" s="2" t="s">
        <v>3098</v>
      </c>
      <c r="I728" s="2" t="s">
        <v>2906</v>
      </c>
      <c r="J728" s="2" t="s">
        <v>272</v>
      </c>
      <c r="K728" s="2" t="s">
        <v>3161</v>
      </c>
      <c r="L728" s="3">
        <v>28.76</v>
      </c>
      <c r="M728" s="3">
        <v>30.2</v>
      </c>
      <c r="N728" s="3">
        <v>62.99</v>
      </c>
      <c r="O728" s="2" t="s">
        <v>232</v>
      </c>
      <c r="P728" s="2" t="s">
        <v>233</v>
      </c>
      <c r="Q728" s="2" t="s">
        <v>234</v>
      </c>
      <c r="R728" s="2" t="s">
        <v>235</v>
      </c>
      <c r="S728" s="2" t="s">
        <v>235</v>
      </c>
      <c r="T728" s="2" t="s">
        <v>2908</v>
      </c>
      <c r="U728" s="2" t="s">
        <v>264</v>
      </c>
      <c r="V728" s="2" t="s">
        <v>2182</v>
      </c>
      <c r="W728" s="2" t="s">
        <v>329</v>
      </c>
      <c r="X728" s="2" t="s">
        <v>235</v>
      </c>
      <c r="Y728" s="2" t="s">
        <v>235</v>
      </c>
      <c r="Z728" s="4"/>
      <c r="AA728" s="4">
        <f>=ROUNDDOWN({0},0)</f>
      </c>
      <c r="AB728" s="5">
        <v>3</v>
      </c>
      <c r="AC728" s="2" t="s">
        <v>2985</v>
      </c>
      <c r="AD728" s="4">
        <v>120</v>
      </c>
      <c r="AE728" s="4">
        <v>120</v>
      </c>
      <c r="AF728" s="6">
        <v>77</v>
      </c>
      <c r="AG728" s="6"/>
      <c r="AH728" s="7"/>
      <c r="AI728" s="4"/>
      <c r="AJ728" s="4">
        <f>=ROUNDDOWN({0},0)</f>
      </c>
      <c r="AK728" s="5"/>
      <c r="AL728" s="2" t="s">
        <v>235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235</v>
      </c>
      <c r="AW728" s="8" t="s">
        <v>235</v>
      </c>
      <c r="AX728" s="4" t="s">
        <v>235</v>
      </c>
      <c r="AY728" s="8" t="s">
        <v>235</v>
      </c>
      <c r="AZ728" s="7" t="s">
        <v>235</v>
      </c>
      <c r="BA728" s="7" t="s">
        <v>235</v>
      </c>
      <c r="BB728" s="7"/>
      <c r="BC728" s="4" t="s">
        <v>235</v>
      </c>
      <c r="BD728" s="8" t="s">
        <v>235</v>
      </c>
      <c r="BE728" s="4" t="s">
        <v>235</v>
      </c>
      <c r="BF728" s="8" t="s">
        <v>235</v>
      </c>
      <c r="BG728" s="7" t="s">
        <v>235</v>
      </c>
      <c r="BH728" s="7" t="s">
        <v>235</v>
      </c>
      <c r="BI728" s="7"/>
      <c r="BJ728" s="4"/>
      <c r="BK728" s="8"/>
      <c r="BL728" s="2" t="s">
        <v>235</v>
      </c>
      <c r="BM728" s="7"/>
      <c r="BN728" s="7"/>
      <c r="BO728" s="4"/>
      <c r="BP728" s="8"/>
      <c r="BQ728" s="4"/>
      <c r="BR728" s="8"/>
      <c r="BS728" s="7"/>
      <c r="BT728" s="7"/>
      <c r="BU728" s="2" t="s">
        <v>330</v>
      </c>
      <c r="BV728" s="2" t="s">
        <v>235</v>
      </c>
      <c r="BW728" s="2" t="s">
        <v>235</v>
      </c>
      <c r="BX728" s="2" t="s">
        <v>330</v>
      </c>
      <c r="BY728" s="2" t="s">
        <v>331</v>
      </c>
      <c r="BZ728" s="2" t="s">
        <v>232</v>
      </c>
      <c r="CA728" s="2" t="s">
        <v>235</v>
      </c>
      <c r="CB728" s="2" t="s">
        <v>235</v>
      </c>
      <c r="CC728" s="2" t="s">
        <v>248</v>
      </c>
      <c r="CD728" s="2" t="s">
        <v>248</v>
      </c>
      <c r="CE728" s="2" t="s">
        <v>235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>
        <v>120</v>
      </c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>
        <v>120</v>
      </c>
      <c r="GI728" s="4">
        <v>110</v>
      </c>
      <c r="GJ728" s="4">
        <v>98</v>
      </c>
      <c r="GK728" s="4">
        <v>92</v>
      </c>
      <c r="GL728" s="4">
        <v>86</v>
      </c>
      <c r="GM728" s="4">
        <v>82</v>
      </c>
      <c r="GN728" s="4">
        <v>79</v>
      </c>
      <c r="GO728" s="4">
        <v>73</v>
      </c>
      <c r="GP728" s="4">
        <v>64</v>
      </c>
      <c r="GQ728" s="4">
        <v>45</v>
      </c>
      <c r="GR728" s="4">
        <v>36</v>
      </c>
      <c r="GS728" s="4">
        <v>28</v>
      </c>
      <c r="GT728" s="4">
        <v>23</v>
      </c>
      <c r="GU728" s="4">
        <v>19</v>
      </c>
      <c r="GV728" s="4">
        <v>15</v>
      </c>
      <c r="GW728" s="4">
        <v>12</v>
      </c>
      <c r="GX728" s="4">
        <v>10</v>
      </c>
      <c r="GY728" s="4">
        <v>8</v>
      </c>
      <c r="GZ728" s="4">
        <v>6</v>
      </c>
      <c r="HA728" s="4">
        <v>4</v>
      </c>
      <c r="HB728" s="4">
        <v>2</v>
      </c>
      <c r="HC728" s="4"/>
      <c r="HD728" s="9"/>
      <c r="HE728" s="9"/>
      <c r="HF728" s="9"/>
      <c r="HG728" s="9"/>
      <c r="HH728" s="19">
        <v>15</v>
      </c>
      <c r="HI728" s="19">
        <v>15.7</v>
      </c>
      <c r="HJ728" s="19">
        <v>19.6</v>
      </c>
      <c r="HK728" s="19">
        <v>15.3</v>
      </c>
      <c r="HL728" s="19">
        <v>12.3</v>
      </c>
      <c r="HM728" s="19">
        <v>7.5</v>
      </c>
      <c r="HN728" s="19">
        <v>6.6</v>
      </c>
      <c r="HO728" s="19">
        <v>6.1</v>
      </c>
      <c r="HP728" s="19">
        <v>6.4</v>
      </c>
      <c r="HQ728" s="19">
        <v>7.5</v>
      </c>
      <c r="HR728" s="19">
        <v>7.2</v>
      </c>
      <c r="HS728" s="19">
        <v>7</v>
      </c>
      <c r="HT728" s="19">
        <v>7.7</v>
      </c>
      <c r="HU728" s="19">
        <v>6.3</v>
      </c>
      <c r="HV728" s="19">
        <v>7.5</v>
      </c>
      <c r="HW728" s="19">
        <v>6</v>
      </c>
      <c r="HX728" s="19">
        <v>5</v>
      </c>
      <c r="HY728" s="19">
        <v>4</v>
      </c>
      <c r="HZ728" s="19">
        <v>3</v>
      </c>
      <c r="IA728" s="19">
        <v>2</v>
      </c>
      <c r="IB728" s="19">
        <v>2</v>
      </c>
      <c r="IC728" s="20">
        <v>0</v>
      </c>
    </row>
    <row r="729">
      <c r="A729" s="2" t="s">
        <v>3167</v>
      </c>
      <c r="B729" s="2" t="s">
        <v>323</v>
      </c>
      <c r="C729" s="2" t="s">
        <v>1036</v>
      </c>
      <c r="D729" s="2" t="s">
        <v>257</v>
      </c>
      <c r="E729" s="2" t="s">
        <v>258</v>
      </c>
      <c r="F729" s="2" t="s">
        <v>3098</v>
      </c>
      <c r="G729" s="2" t="s">
        <v>3098</v>
      </c>
      <c r="H729" s="2" t="s">
        <v>3098</v>
      </c>
      <c r="I729" s="2" t="s">
        <v>3099</v>
      </c>
      <c r="J729" s="2" t="s">
        <v>261</v>
      </c>
      <c r="K729" s="2" t="s">
        <v>3168</v>
      </c>
      <c r="L729" s="3">
        <v>22.21</v>
      </c>
      <c r="M729" s="3">
        <v>23.32</v>
      </c>
      <c r="N729" s="3">
        <v>47.99</v>
      </c>
      <c r="O729" s="2" t="s">
        <v>232</v>
      </c>
      <c r="P729" s="2" t="s">
        <v>333</v>
      </c>
      <c r="Q729" s="2" t="s">
        <v>234</v>
      </c>
      <c r="R729" s="2" t="s">
        <v>235</v>
      </c>
      <c r="S729" s="2" t="s">
        <v>3169</v>
      </c>
      <c r="T729" s="2" t="s">
        <v>2908</v>
      </c>
      <c r="U729" s="2" t="s">
        <v>264</v>
      </c>
      <c r="V729" s="2" t="s">
        <v>2919</v>
      </c>
      <c r="W729" s="2" t="s">
        <v>239</v>
      </c>
      <c r="X729" s="2" t="s">
        <v>1798</v>
      </c>
      <c r="Y729" s="2" t="s">
        <v>3102</v>
      </c>
      <c r="Z729" s="4">
        <v>1421</v>
      </c>
      <c r="AA729" s="4">
        <f>=ROUNDDOWN(30.8913043478261,0)</f>
      </c>
      <c r="AB729" s="5">
        <v>46</v>
      </c>
      <c r="AC729" s="2" t="s">
        <v>3103</v>
      </c>
      <c r="AD729" s="4">
        <v>499</v>
      </c>
      <c r="AE729" s="4">
        <v>813</v>
      </c>
      <c r="AF729" s="6">
        <v>73</v>
      </c>
      <c r="AG729" s="6"/>
      <c r="AH729" s="7">
        <v>1</v>
      </c>
      <c r="AI729" s="4"/>
      <c r="AJ729" s="4">
        <f>=ROUNDDOWN({0},0)</f>
      </c>
      <c r="AK729" s="5"/>
      <c r="AL729" s="2" t="s">
        <v>235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235</v>
      </c>
      <c r="AW729" s="8" t="s">
        <v>235</v>
      </c>
      <c r="AX729" s="4" t="s">
        <v>235</v>
      </c>
      <c r="AY729" s="8" t="s">
        <v>235</v>
      </c>
      <c r="AZ729" s="7" t="s">
        <v>235</v>
      </c>
      <c r="BA729" s="7" t="s">
        <v>235</v>
      </c>
      <c r="BB729" s="7"/>
      <c r="BC729" s="4" t="s">
        <v>235</v>
      </c>
      <c r="BD729" s="8" t="s">
        <v>235</v>
      </c>
      <c r="BE729" s="4" t="s">
        <v>235</v>
      </c>
      <c r="BF729" s="8" t="s">
        <v>235</v>
      </c>
      <c r="BG729" s="7" t="s">
        <v>235</v>
      </c>
      <c r="BH729" s="7" t="s">
        <v>235</v>
      </c>
      <c r="BI729" s="7"/>
      <c r="BJ729" s="4">
        <v>412</v>
      </c>
      <c r="BK729" s="8">
        <v>9856.68</v>
      </c>
      <c r="BL729" s="2" t="s">
        <v>3170</v>
      </c>
      <c r="BM729" s="7"/>
      <c r="BN729" s="7"/>
      <c r="BO729" s="4"/>
      <c r="BP729" s="8"/>
      <c r="BQ729" s="4"/>
      <c r="BR729" s="8"/>
      <c r="BS729" s="7"/>
      <c r="BT729" s="7"/>
      <c r="BU729" s="2" t="s">
        <v>3105</v>
      </c>
      <c r="BV729" s="2" t="s">
        <v>243</v>
      </c>
      <c r="BW729" s="2" t="s">
        <v>235</v>
      </c>
      <c r="BX729" s="2" t="s">
        <v>383</v>
      </c>
      <c r="BY729" s="2" t="s">
        <v>245</v>
      </c>
      <c r="BZ729" s="2" t="s">
        <v>232</v>
      </c>
      <c r="CA729" s="2" t="s">
        <v>3110</v>
      </c>
      <c r="CB729" s="2" t="s">
        <v>3171</v>
      </c>
      <c r="CC729" s="2" t="s">
        <v>248</v>
      </c>
      <c r="CD729" s="2" t="s">
        <v>248</v>
      </c>
      <c r="CE729" s="2" t="s">
        <v>235</v>
      </c>
      <c r="CF729" s="4">
        <v>1421</v>
      </c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>
        <v>499</v>
      </c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>
        <v>314</v>
      </c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>
        <v>1525</v>
      </c>
      <c r="GE729" s="4">
        <v>1443</v>
      </c>
      <c r="GF729" s="4">
        <v>1436</v>
      </c>
      <c r="GG729" s="4">
        <v>1429</v>
      </c>
      <c r="GH729" s="4">
        <v>1921</v>
      </c>
      <c r="GI729" s="4">
        <v>1717</v>
      </c>
      <c r="GJ729" s="4">
        <v>1301</v>
      </c>
      <c r="GK729" s="4">
        <v>1099</v>
      </c>
      <c r="GL729" s="4">
        <v>904</v>
      </c>
      <c r="GM729" s="4">
        <v>1088</v>
      </c>
      <c r="GN729" s="4">
        <v>982</v>
      </c>
      <c r="GO729" s="4">
        <v>858</v>
      </c>
      <c r="GP729" s="4">
        <v>746</v>
      </c>
      <c r="GQ729" s="4">
        <v>613</v>
      </c>
      <c r="GR729" s="4">
        <v>536</v>
      </c>
      <c r="GS729" s="4">
        <v>477</v>
      </c>
      <c r="GT729" s="4">
        <v>431</v>
      </c>
      <c r="GU729" s="4">
        <v>391</v>
      </c>
      <c r="GV729" s="4">
        <v>348</v>
      </c>
      <c r="GW729" s="4">
        <v>317</v>
      </c>
      <c r="GX729" s="4">
        <v>290</v>
      </c>
      <c r="GY729" s="4">
        <v>265</v>
      </c>
      <c r="GZ729" s="4">
        <v>239</v>
      </c>
      <c r="HA729" s="4">
        <v>213</v>
      </c>
      <c r="HB729" s="4">
        <v>274</v>
      </c>
      <c r="HC729" s="4">
        <v>248</v>
      </c>
      <c r="HD729" s="19">
        <v>58.7</v>
      </c>
      <c r="HE729" s="19">
        <v>25.8</v>
      </c>
      <c r="HF729" s="19">
        <v>9.1</v>
      </c>
      <c r="HG729" s="19">
        <v>6.9</v>
      </c>
      <c r="HH729" s="19">
        <v>7.6</v>
      </c>
      <c r="HI729" s="19">
        <v>7.3</v>
      </c>
      <c r="HJ729" s="19">
        <v>8.2</v>
      </c>
      <c r="HK729" s="19">
        <v>7.9</v>
      </c>
      <c r="HL729" s="19">
        <v>7.7</v>
      </c>
      <c r="HM729" s="19">
        <v>9.1</v>
      </c>
      <c r="HN729" s="19">
        <v>8.8</v>
      </c>
      <c r="HO729" s="19">
        <v>9</v>
      </c>
      <c r="HP729" s="19">
        <v>9.4</v>
      </c>
      <c r="HQ729" s="19">
        <v>10.9</v>
      </c>
      <c r="HR729" s="19">
        <v>11.4</v>
      </c>
      <c r="HS729" s="19">
        <v>11.9</v>
      </c>
      <c r="HT729" s="19">
        <v>12.3</v>
      </c>
      <c r="HU729" s="19">
        <v>12.2</v>
      </c>
      <c r="HV729" s="19">
        <v>12.9</v>
      </c>
      <c r="HW729" s="19">
        <v>12.2</v>
      </c>
      <c r="HX729" s="19">
        <v>11.2</v>
      </c>
      <c r="HY729" s="19">
        <v>10.2</v>
      </c>
      <c r="HZ729" s="19">
        <v>9.2</v>
      </c>
      <c r="IA729" s="19">
        <v>8.5</v>
      </c>
      <c r="IB729" s="19">
        <v>11.4</v>
      </c>
      <c r="IC729" s="19">
        <v>11.3</v>
      </c>
    </row>
    <row r="730">
      <c r="A730" s="2" t="s">
        <v>3172</v>
      </c>
      <c r="B730" s="2" t="s">
        <v>323</v>
      </c>
      <c r="C730" s="2" t="s">
        <v>1036</v>
      </c>
      <c r="D730" s="2" t="s">
        <v>257</v>
      </c>
      <c r="E730" s="2" t="s">
        <v>258</v>
      </c>
      <c r="F730" s="2" t="s">
        <v>3098</v>
      </c>
      <c r="G730" s="2" t="s">
        <v>3098</v>
      </c>
      <c r="H730" s="2" t="s">
        <v>3098</v>
      </c>
      <c r="I730" s="2" t="s">
        <v>3099</v>
      </c>
      <c r="J730" s="2" t="s">
        <v>270</v>
      </c>
      <c r="K730" s="2" t="s">
        <v>3168</v>
      </c>
      <c r="L730" s="3">
        <v>27.39</v>
      </c>
      <c r="M730" s="3">
        <v>28.76</v>
      </c>
      <c r="N730" s="3">
        <v>62.99</v>
      </c>
      <c r="O730" s="2" t="s">
        <v>232</v>
      </c>
      <c r="P730" s="2" t="s">
        <v>233</v>
      </c>
      <c r="Q730" s="2" t="s">
        <v>234</v>
      </c>
      <c r="R730" s="2" t="s">
        <v>235</v>
      </c>
      <c r="S730" s="2" t="s">
        <v>3169</v>
      </c>
      <c r="T730" s="2" t="s">
        <v>2908</v>
      </c>
      <c r="U730" s="2" t="s">
        <v>264</v>
      </c>
      <c r="V730" s="2" t="s">
        <v>2919</v>
      </c>
      <c r="W730" s="2" t="s">
        <v>239</v>
      </c>
      <c r="X730" s="2" t="s">
        <v>1798</v>
      </c>
      <c r="Y730" s="2" t="s">
        <v>3102</v>
      </c>
      <c r="Z730" s="4">
        <v>510</v>
      </c>
      <c r="AA730" s="4">
        <f>=ROUNDDOWN(34,0)</f>
      </c>
      <c r="AB730" s="5">
        <v>15</v>
      </c>
      <c r="AC730" s="2" t="s">
        <v>2503</v>
      </c>
      <c r="AD730" s="4">
        <v>1</v>
      </c>
      <c r="AE730" s="4">
        <v>257</v>
      </c>
      <c r="AF730" s="6">
        <v>73</v>
      </c>
      <c r="AG730" s="6"/>
      <c r="AH730" s="7">
        <v>1</v>
      </c>
      <c r="AI730" s="4"/>
      <c r="AJ730" s="4">
        <f>=ROUNDDOWN({0},0)</f>
      </c>
      <c r="AK730" s="5"/>
      <c r="AL730" s="2" t="s">
        <v>235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235</v>
      </c>
      <c r="AW730" s="8" t="s">
        <v>235</v>
      </c>
      <c r="AX730" s="4" t="s">
        <v>235</v>
      </c>
      <c r="AY730" s="8" t="s">
        <v>235</v>
      </c>
      <c r="AZ730" s="7" t="s">
        <v>235</v>
      </c>
      <c r="BA730" s="7" t="s">
        <v>235</v>
      </c>
      <c r="BB730" s="7"/>
      <c r="BC730" s="4" t="s">
        <v>235</v>
      </c>
      <c r="BD730" s="8" t="s">
        <v>235</v>
      </c>
      <c r="BE730" s="4" t="s">
        <v>235</v>
      </c>
      <c r="BF730" s="8" t="s">
        <v>235</v>
      </c>
      <c r="BG730" s="7" t="s">
        <v>235</v>
      </c>
      <c r="BH730" s="7" t="s">
        <v>235</v>
      </c>
      <c r="BI730" s="7"/>
      <c r="BJ730" s="4">
        <v>15</v>
      </c>
      <c r="BK730" s="8">
        <v>454.53</v>
      </c>
      <c r="BL730" s="2" t="s">
        <v>3173</v>
      </c>
      <c r="BM730" s="7"/>
      <c r="BN730" s="7"/>
      <c r="BO730" s="4"/>
      <c r="BP730" s="8"/>
      <c r="BQ730" s="4"/>
      <c r="BR730" s="8"/>
      <c r="BS730" s="7"/>
      <c r="BT730" s="7"/>
      <c r="BU730" s="2" t="s">
        <v>3105</v>
      </c>
      <c r="BV730" s="2" t="s">
        <v>243</v>
      </c>
      <c r="BW730" s="2" t="s">
        <v>235</v>
      </c>
      <c r="BX730" s="2" t="s">
        <v>383</v>
      </c>
      <c r="BY730" s="2" t="s">
        <v>245</v>
      </c>
      <c r="BZ730" s="2" t="s">
        <v>232</v>
      </c>
      <c r="CA730" s="2" t="s">
        <v>3110</v>
      </c>
      <c r="CB730" s="2" t="s">
        <v>3025</v>
      </c>
      <c r="CC730" s="2" t="s">
        <v>248</v>
      </c>
      <c r="CD730" s="2" t="s">
        <v>248</v>
      </c>
      <c r="CE730" s="2" t="s">
        <v>235</v>
      </c>
      <c r="CF730" s="4">
        <v>510</v>
      </c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>
        <v>1</v>
      </c>
      <c r="DH730" s="4"/>
      <c r="DI730" s="4"/>
      <c r="DJ730" s="4"/>
      <c r="DK730" s="4"/>
      <c r="DL730" s="4"/>
      <c r="DM730" s="4">
        <v>169</v>
      </c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>
        <v>87</v>
      </c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>
        <v>524</v>
      </c>
      <c r="GE730" s="4">
        <v>495</v>
      </c>
      <c r="GF730" s="4">
        <v>480</v>
      </c>
      <c r="GG730" s="4">
        <v>456</v>
      </c>
      <c r="GH730" s="4">
        <v>596</v>
      </c>
      <c r="GI730" s="4">
        <v>548</v>
      </c>
      <c r="GJ730" s="4">
        <v>459</v>
      </c>
      <c r="GK730" s="4">
        <v>413</v>
      </c>
      <c r="GL730" s="4">
        <v>369</v>
      </c>
      <c r="GM730" s="4">
        <v>425</v>
      </c>
      <c r="GN730" s="4">
        <v>395</v>
      </c>
      <c r="GO730" s="4">
        <v>359</v>
      </c>
      <c r="GP730" s="4">
        <v>320</v>
      </c>
      <c r="GQ730" s="4">
        <v>260</v>
      </c>
      <c r="GR730" s="4">
        <v>229</v>
      </c>
      <c r="GS730" s="4">
        <v>200</v>
      </c>
      <c r="GT730" s="4">
        <v>179</v>
      </c>
      <c r="GU730" s="4">
        <v>162</v>
      </c>
      <c r="GV730" s="4">
        <v>143</v>
      </c>
      <c r="GW730" s="4">
        <v>129</v>
      </c>
      <c r="GX730" s="4">
        <v>118</v>
      </c>
      <c r="GY730" s="4">
        <v>108</v>
      </c>
      <c r="GZ730" s="4">
        <v>99</v>
      </c>
      <c r="HA730" s="4">
        <v>90</v>
      </c>
      <c r="HB730" s="4">
        <v>81</v>
      </c>
      <c r="HC730" s="4">
        <v>72</v>
      </c>
      <c r="HD730" s="19">
        <v>21.8</v>
      </c>
      <c r="HE730" s="19">
        <v>17.1</v>
      </c>
      <c r="HF730" s="19">
        <v>10</v>
      </c>
      <c r="HG730" s="19">
        <v>8.6</v>
      </c>
      <c r="HH730" s="19">
        <v>10.5</v>
      </c>
      <c r="HI730" s="19">
        <v>10.5</v>
      </c>
      <c r="HJ730" s="19">
        <v>12.1</v>
      </c>
      <c r="HK730" s="19">
        <v>11.8</v>
      </c>
      <c r="HL730" s="19">
        <v>10.9</v>
      </c>
      <c r="HM730" s="19">
        <v>10.4</v>
      </c>
      <c r="HN730" s="19">
        <v>9.4</v>
      </c>
      <c r="HO730" s="19">
        <v>9</v>
      </c>
      <c r="HP730" s="19">
        <v>9.1</v>
      </c>
      <c r="HQ730" s="19">
        <v>10.8</v>
      </c>
      <c r="HR730" s="19">
        <v>10.4</v>
      </c>
      <c r="HS730" s="19">
        <v>11.1</v>
      </c>
      <c r="HT730" s="19">
        <v>11.9</v>
      </c>
      <c r="HU730" s="19">
        <v>11.6</v>
      </c>
      <c r="HV730" s="19">
        <v>13</v>
      </c>
      <c r="HW730" s="19">
        <v>12.9</v>
      </c>
      <c r="HX730" s="19">
        <v>13.1</v>
      </c>
      <c r="HY730" s="19">
        <v>12</v>
      </c>
      <c r="HZ730" s="19">
        <v>11</v>
      </c>
      <c r="IA730" s="19">
        <v>11.3</v>
      </c>
      <c r="IB730" s="19">
        <v>10.1</v>
      </c>
      <c r="IC730" s="19">
        <v>9</v>
      </c>
    </row>
    <row r="731">
      <c r="A731" s="2" t="s">
        <v>3174</v>
      </c>
      <c r="B731" s="2" t="s">
        <v>323</v>
      </c>
      <c r="C731" s="2" t="s">
        <v>1036</v>
      </c>
      <c r="D731" s="2" t="s">
        <v>257</v>
      </c>
      <c r="E731" s="2" t="s">
        <v>258</v>
      </c>
      <c r="F731" s="2" t="s">
        <v>3098</v>
      </c>
      <c r="G731" s="2" t="s">
        <v>3098</v>
      </c>
      <c r="H731" s="2" t="s">
        <v>3098</v>
      </c>
      <c r="I731" s="2" t="s">
        <v>3099</v>
      </c>
      <c r="J731" s="2" t="s">
        <v>394</v>
      </c>
      <c r="K731" s="2" t="s">
        <v>1189</v>
      </c>
      <c r="L731" s="3">
        <v>14.89</v>
      </c>
      <c r="M731" s="3">
        <v>15.63</v>
      </c>
      <c r="N731" s="3">
        <v>31.99</v>
      </c>
      <c r="O731" s="2" t="s">
        <v>232</v>
      </c>
      <c r="P731" s="2" t="s">
        <v>233</v>
      </c>
      <c r="Q731" s="2" t="s">
        <v>234</v>
      </c>
      <c r="R731" s="2" t="s">
        <v>235</v>
      </c>
      <c r="S731" s="2" t="s">
        <v>3175</v>
      </c>
      <c r="T731" s="2" t="s">
        <v>2908</v>
      </c>
      <c r="U731" s="2" t="s">
        <v>235</v>
      </c>
      <c r="V731" s="2" t="s">
        <v>863</v>
      </c>
      <c r="W731" s="2" t="s">
        <v>239</v>
      </c>
      <c r="X731" s="2" t="s">
        <v>235</v>
      </c>
      <c r="Y731" s="2" t="s">
        <v>2938</v>
      </c>
      <c r="Z731" s="4">
        <v>677</v>
      </c>
      <c r="AA731" s="4">
        <f>=ROUNDDOWN(39.8235294117647,0)</f>
      </c>
      <c r="AB731" s="5">
        <v>17</v>
      </c>
      <c r="AC731" s="2" t="s">
        <v>235</v>
      </c>
      <c r="AD731" s="4"/>
      <c r="AE731" s="4"/>
      <c r="AF731" s="6">
        <v>73</v>
      </c>
      <c r="AG731" s="6"/>
      <c r="AH731" s="7">
        <v>1</v>
      </c>
      <c r="AI731" s="4"/>
      <c r="AJ731" s="4">
        <f>=ROUNDDOWN({0},0)</f>
      </c>
      <c r="AK731" s="5"/>
      <c r="AL731" s="2" t="s">
        <v>235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 t="s">
        <v>235</v>
      </c>
      <c r="BD731" s="8" t="s">
        <v>235</v>
      </c>
      <c r="BE731" s="4" t="s">
        <v>235</v>
      </c>
      <c r="BF731" s="8" t="s">
        <v>235</v>
      </c>
      <c r="BG731" s="7" t="s">
        <v>235</v>
      </c>
      <c r="BH731" s="7" t="s">
        <v>235</v>
      </c>
      <c r="BI731" s="7"/>
      <c r="BJ731" s="4">
        <v>39</v>
      </c>
      <c r="BK731" s="8">
        <v>673.03</v>
      </c>
      <c r="BL731" s="2" t="s">
        <v>3176</v>
      </c>
      <c r="BM731" s="7"/>
      <c r="BN731" s="7"/>
      <c r="BO731" s="4"/>
      <c r="BP731" s="8"/>
      <c r="BQ731" s="4"/>
      <c r="BR731" s="8"/>
      <c r="BS731" s="7"/>
      <c r="BT731" s="7"/>
      <c r="BU731" s="2" t="s">
        <v>3105</v>
      </c>
      <c r="BV731" s="2" t="s">
        <v>243</v>
      </c>
      <c r="BW731" s="2" t="s">
        <v>235</v>
      </c>
      <c r="BX731" s="2" t="s">
        <v>383</v>
      </c>
      <c r="BY731" s="2" t="s">
        <v>245</v>
      </c>
      <c r="BZ731" s="2" t="s">
        <v>232</v>
      </c>
      <c r="CA731" s="2" t="s">
        <v>1924</v>
      </c>
      <c r="CB731" s="2" t="s">
        <v>3177</v>
      </c>
      <c r="CC731" s="2" t="s">
        <v>248</v>
      </c>
      <c r="CD731" s="2" t="s">
        <v>248</v>
      </c>
      <c r="CE731" s="2" t="s">
        <v>235</v>
      </c>
      <c r="CF731" s="4">
        <v>677</v>
      </c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>
        <v>700</v>
      </c>
      <c r="GE731" s="4">
        <v>667</v>
      </c>
      <c r="GF731" s="4">
        <v>661</v>
      </c>
      <c r="GG731" s="4">
        <v>655</v>
      </c>
      <c r="GH731" s="4">
        <v>646</v>
      </c>
      <c r="GI731" s="4">
        <v>616</v>
      </c>
      <c r="GJ731" s="4">
        <v>568</v>
      </c>
      <c r="GK731" s="4">
        <v>540</v>
      </c>
      <c r="GL731" s="4">
        <v>512</v>
      </c>
      <c r="GM731" s="4">
        <v>490</v>
      </c>
      <c r="GN731" s="4">
        <v>464</v>
      </c>
      <c r="GO731" s="4">
        <v>433</v>
      </c>
      <c r="GP731" s="4">
        <v>392</v>
      </c>
      <c r="GQ731" s="4">
        <v>319</v>
      </c>
      <c r="GR731" s="4">
        <v>283</v>
      </c>
      <c r="GS731" s="4">
        <v>248</v>
      </c>
      <c r="GT731" s="4">
        <v>224</v>
      </c>
      <c r="GU731" s="4">
        <v>206</v>
      </c>
      <c r="GV731" s="4">
        <v>185</v>
      </c>
      <c r="GW731" s="4">
        <v>170</v>
      </c>
      <c r="GX731" s="4">
        <v>188</v>
      </c>
      <c r="GY731" s="4">
        <v>178</v>
      </c>
      <c r="GZ731" s="4">
        <v>167</v>
      </c>
      <c r="HA731" s="4">
        <v>156</v>
      </c>
      <c r="HB731" s="4">
        <v>145</v>
      </c>
      <c r="HC731" s="4">
        <v>134</v>
      </c>
      <c r="HD731" s="19">
        <v>50</v>
      </c>
      <c r="HE731" s="19">
        <v>51.3</v>
      </c>
      <c r="HF731" s="19">
        <v>28.7</v>
      </c>
      <c r="HG731" s="19">
        <v>22.6</v>
      </c>
      <c r="HH731" s="19">
        <v>19</v>
      </c>
      <c r="HI731" s="19">
        <v>19.3</v>
      </c>
      <c r="HJ731" s="19">
        <v>21.8</v>
      </c>
      <c r="HK731" s="19">
        <v>20</v>
      </c>
      <c r="HL731" s="19">
        <v>17.1</v>
      </c>
      <c r="HM731" s="19">
        <v>11.4</v>
      </c>
      <c r="HN731" s="19">
        <v>10.3</v>
      </c>
      <c r="HO731" s="19">
        <v>9.4</v>
      </c>
      <c r="HP731" s="19">
        <v>9.3</v>
      </c>
      <c r="HQ731" s="19">
        <v>11.4</v>
      </c>
      <c r="HR731" s="19">
        <v>11.8</v>
      </c>
      <c r="HS731" s="19">
        <v>12.4</v>
      </c>
      <c r="HT731" s="19">
        <v>14</v>
      </c>
      <c r="HU731" s="19">
        <v>14.7</v>
      </c>
      <c r="HV731" s="19">
        <v>15.4</v>
      </c>
      <c r="HW731" s="19">
        <v>15.5</v>
      </c>
      <c r="HX731" s="19">
        <v>17.1</v>
      </c>
      <c r="HY731" s="19">
        <v>16.2</v>
      </c>
      <c r="HZ731" s="19">
        <v>16.7</v>
      </c>
      <c r="IA731" s="19">
        <v>15.6</v>
      </c>
      <c r="IB731" s="19">
        <v>16.1</v>
      </c>
      <c r="IC731" s="19">
        <v>16.8</v>
      </c>
    </row>
    <row r="732">
      <c r="A732" s="2" t="s">
        <v>3178</v>
      </c>
      <c r="B732" s="2" t="s">
        <v>323</v>
      </c>
      <c r="C732" s="2" t="s">
        <v>1036</v>
      </c>
      <c r="D732" s="2" t="s">
        <v>257</v>
      </c>
      <c r="E732" s="2" t="s">
        <v>258</v>
      </c>
      <c r="F732" s="2" t="s">
        <v>3098</v>
      </c>
      <c r="G732" s="2" t="s">
        <v>3098</v>
      </c>
      <c r="H732" s="2" t="s">
        <v>3098</v>
      </c>
      <c r="I732" s="2" t="s">
        <v>3099</v>
      </c>
      <c r="J732" s="2" t="s">
        <v>394</v>
      </c>
      <c r="K732" s="2" t="s">
        <v>2936</v>
      </c>
      <c r="L732" s="3">
        <v>14.89</v>
      </c>
      <c r="M732" s="3">
        <v>15.63</v>
      </c>
      <c r="N732" s="3">
        <v>31.99</v>
      </c>
      <c r="O732" s="2" t="s">
        <v>232</v>
      </c>
      <c r="P732" s="2" t="s">
        <v>336</v>
      </c>
      <c r="Q732" s="2" t="s">
        <v>234</v>
      </c>
      <c r="R732" s="2" t="s">
        <v>235</v>
      </c>
      <c r="S732" s="2" t="s">
        <v>3179</v>
      </c>
      <c r="T732" s="2" t="s">
        <v>2908</v>
      </c>
      <c r="U732" s="2" t="s">
        <v>235</v>
      </c>
      <c r="V732" s="2" t="s">
        <v>1222</v>
      </c>
      <c r="W732" s="2" t="s">
        <v>239</v>
      </c>
      <c r="X732" s="2" t="s">
        <v>235</v>
      </c>
      <c r="Y732" s="2" t="s">
        <v>3180</v>
      </c>
      <c r="Z732" s="4">
        <v>1112</v>
      </c>
      <c r="AA732" s="4">
        <f>=ROUNDDOWN(29.2631578947368,0)</f>
      </c>
      <c r="AB732" s="5">
        <v>38</v>
      </c>
      <c r="AC732" s="2" t="s">
        <v>2503</v>
      </c>
      <c r="AD732" s="4">
        <v>2</v>
      </c>
      <c r="AE732" s="4">
        <v>692</v>
      </c>
      <c r="AF732" s="6">
        <v>73</v>
      </c>
      <c r="AG732" s="6"/>
      <c r="AH732" s="7">
        <v>1</v>
      </c>
      <c r="AI732" s="4"/>
      <c r="AJ732" s="4">
        <f>=ROUNDDOWN({0},0)</f>
      </c>
      <c r="AK732" s="5"/>
      <c r="AL732" s="2" t="s">
        <v>235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 t="s">
        <v>235</v>
      </c>
      <c r="BD732" s="8" t="s">
        <v>235</v>
      </c>
      <c r="BE732" s="4" t="s">
        <v>235</v>
      </c>
      <c r="BF732" s="8" t="s">
        <v>235</v>
      </c>
      <c r="BG732" s="7" t="s">
        <v>235</v>
      </c>
      <c r="BH732" s="7" t="s">
        <v>235</v>
      </c>
      <c r="BI732" s="7"/>
      <c r="BJ732" s="4">
        <v>159</v>
      </c>
      <c r="BK732" s="8">
        <v>2561.86</v>
      </c>
      <c r="BL732" s="2" t="s">
        <v>3181</v>
      </c>
      <c r="BM732" s="7"/>
      <c r="BN732" s="7"/>
      <c r="BO732" s="4"/>
      <c r="BP732" s="8"/>
      <c r="BQ732" s="4"/>
      <c r="BR732" s="8"/>
      <c r="BS732" s="7"/>
      <c r="BT732" s="7"/>
      <c r="BU732" s="2" t="s">
        <v>3105</v>
      </c>
      <c r="BV732" s="2" t="s">
        <v>243</v>
      </c>
      <c r="BW732" s="2" t="s">
        <v>235</v>
      </c>
      <c r="BX732" s="2" t="s">
        <v>383</v>
      </c>
      <c r="BY732" s="2" t="s">
        <v>245</v>
      </c>
      <c r="BZ732" s="2" t="s">
        <v>232</v>
      </c>
      <c r="CA732" s="2" t="s">
        <v>530</v>
      </c>
      <c r="CB732" s="2" t="s">
        <v>3182</v>
      </c>
      <c r="CC732" s="2" t="s">
        <v>248</v>
      </c>
      <c r="CD732" s="2" t="s">
        <v>248</v>
      </c>
      <c r="CE732" s="2" t="s">
        <v>235</v>
      </c>
      <c r="CF732" s="4">
        <v>692</v>
      </c>
      <c r="CG732" s="4">
        <v>420</v>
      </c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>
        <v>2</v>
      </c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>
        <v>238</v>
      </c>
      <c r="EK732" s="4"/>
      <c r="EL732" s="4"/>
      <c r="EM732" s="4"/>
      <c r="EN732" s="4"/>
      <c r="EO732" s="4"/>
      <c r="EP732" s="4"/>
      <c r="EQ732" s="4">
        <v>452</v>
      </c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>
        <v>1205</v>
      </c>
      <c r="GE732" s="4">
        <v>1005</v>
      </c>
      <c r="GF732" s="4">
        <v>999</v>
      </c>
      <c r="GG732" s="4">
        <v>991</v>
      </c>
      <c r="GH732" s="4">
        <v>983</v>
      </c>
      <c r="GI732" s="4">
        <v>848</v>
      </c>
      <c r="GJ732" s="4">
        <v>585</v>
      </c>
      <c r="GK732" s="4">
        <v>454</v>
      </c>
      <c r="GL732" s="4">
        <v>327</v>
      </c>
      <c r="GM732" s="4">
        <v>478</v>
      </c>
      <c r="GN732" s="4">
        <v>854</v>
      </c>
      <c r="GO732" s="4">
        <v>764</v>
      </c>
      <c r="GP732" s="4">
        <v>673</v>
      </c>
      <c r="GQ732" s="4">
        <v>548</v>
      </c>
      <c r="GR732" s="4">
        <v>480</v>
      </c>
      <c r="GS732" s="4">
        <v>422</v>
      </c>
      <c r="GT732" s="4">
        <v>379</v>
      </c>
      <c r="GU732" s="4">
        <v>343</v>
      </c>
      <c r="GV732" s="4">
        <v>304</v>
      </c>
      <c r="GW732" s="4">
        <v>275</v>
      </c>
      <c r="GX732" s="4">
        <v>307</v>
      </c>
      <c r="GY732" s="4">
        <v>286</v>
      </c>
      <c r="GZ732" s="4">
        <v>263</v>
      </c>
      <c r="HA732" s="4">
        <v>240</v>
      </c>
      <c r="HB732" s="4">
        <v>217</v>
      </c>
      <c r="HC732" s="4">
        <v>194</v>
      </c>
      <c r="HD732" s="19">
        <v>21.5</v>
      </c>
      <c r="HE732" s="19">
        <v>25.1</v>
      </c>
      <c r="HF732" s="19">
        <v>9.6</v>
      </c>
      <c r="HG732" s="19">
        <v>7.4</v>
      </c>
      <c r="HH732" s="19">
        <v>6</v>
      </c>
      <c r="HI732" s="19">
        <v>5.6</v>
      </c>
      <c r="HJ732" s="19">
        <v>5.6</v>
      </c>
      <c r="HK732" s="19">
        <v>4.8</v>
      </c>
      <c r="HL732" s="19">
        <v>3.8</v>
      </c>
      <c r="HM732" s="19">
        <v>5</v>
      </c>
      <c r="HN732" s="19">
        <v>9.1</v>
      </c>
      <c r="HO732" s="19">
        <v>8.9</v>
      </c>
      <c r="HP732" s="19">
        <v>9.1</v>
      </c>
      <c r="HQ732" s="19">
        <v>10.7</v>
      </c>
      <c r="HR732" s="19">
        <v>10.9</v>
      </c>
      <c r="HS732" s="19">
        <v>11.4</v>
      </c>
      <c r="HT732" s="19">
        <v>11.8</v>
      </c>
      <c r="HU732" s="19">
        <v>12.3</v>
      </c>
      <c r="HV732" s="19">
        <v>12.7</v>
      </c>
      <c r="HW732" s="19">
        <v>12</v>
      </c>
      <c r="HX732" s="19">
        <v>14</v>
      </c>
      <c r="HY732" s="19">
        <v>12.4</v>
      </c>
      <c r="HZ732" s="19">
        <v>12</v>
      </c>
      <c r="IA732" s="19">
        <v>10.9</v>
      </c>
      <c r="IB732" s="19">
        <v>10.9</v>
      </c>
      <c r="IC732" s="19">
        <v>10.8</v>
      </c>
    </row>
    <row r="733">
      <c r="A733" s="2" t="s">
        <v>3183</v>
      </c>
      <c r="B733" s="2" t="s">
        <v>323</v>
      </c>
      <c r="C733" s="2" t="s">
        <v>1036</v>
      </c>
      <c r="D733" s="2" t="s">
        <v>257</v>
      </c>
      <c r="E733" s="2" t="s">
        <v>258</v>
      </c>
      <c r="F733" s="2" t="s">
        <v>3098</v>
      </c>
      <c r="G733" s="2" t="s">
        <v>3098</v>
      </c>
      <c r="H733" s="2" t="s">
        <v>3098</v>
      </c>
      <c r="I733" s="2" t="s">
        <v>3099</v>
      </c>
      <c r="J733" s="2" t="s">
        <v>394</v>
      </c>
      <c r="K733" s="2" t="s">
        <v>3184</v>
      </c>
      <c r="L733" s="3">
        <v>14.89</v>
      </c>
      <c r="M733" s="3">
        <v>15.63</v>
      </c>
      <c r="N733" s="3">
        <v>31.99</v>
      </c>
      <c r="O733" s="2" t="s">
        <v>232</v>
      </c>
      <c r="P733" s="2" t="s">
        <v>698</v>
      </c>
      <c r="Q733" s="2" t="s">
        <v>234</v>
      </c>
      <c r="R733" s="2" t="s">
        <v>235</v>
      </c>
      <c r="S733" s="2" t="s">
        <v>3185</v>
      </c>
      <c r="T733" s="2" t="s">
        <v>2908</v>
      </c>
      <c r="U733" s="2" t="s">
        <v>235</v>
      </c>
      <c r="V733" s="2" t="s">
        <v>2919</v>
      </c>
      <c r="W733" s="2" t="s">
        <v>239</v>
      </c>
      <c r="X733" s="2" t="s">
        <v>235</v>
      </c>
      <c r="Y733" s="2" t="s">
        <v>3029</v>
      </c>
      <c r="Z733" s="4">
        <v>1431</v>
      </c>
      <c r="AA733" s="4">
        <f>=ROUNDDOWN(29.2040816326531,0)</f>
      </c>
      <c r="AB733" s="5">
        <v>49</v>
      </c>
      <c r="AC733" s="2" t="s">
        <v>2503</v>
      </c>
      <c r="AD733" s="4">
        <v>17</v>
      </c>
      <c r="AE733" s="4">
        <v>761</v>
      </c>
      <c r="AF733" s="6">
        <v>73</v>
      </c>
      <c r="AG733" s="6"/>
      <c r="AH733" s="7">
        <v>1</v>
      </c>
      <c r="AI733" s="4"/>
      <c r="AJ733" s="4">
        <f>=ROUNDDOWN({0},0)</f>
      </c>
      <c r="AK733" s="5"/>
      <c r="AL733" s="2" t="s">
        <v>235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235</v>
      </c>
      <c r="AW733" s="8" t="s">
        <v>235</v>
      </c>
      <c r="AX733" s="4" t="s">
        <v>235</v>
      </c>
      <c r="AY733" s="8" t="s">
        <v>235</v>
      </c>
      <c r="AZ733" s="7" t="s">
        <v>235</v>
      </c>
      <c r="BA733" s="7" t="s">
        <v>235</v>
      </c>
      <c r="BB733" s="7"/>
      <c r="BC733" s="4" t="s">
        <v>235</v>
      </c>
      <c r="BD733" s="8" t="s">
        <v>235</v>
      </c>
      <c r="BE733" s="4" t="s">
        <v>235</v>
      </c>
      <c r="BF733" s="8" t="s">
        <v>235</v>
      </c>
      <c r="BG733" s="7" t="s">
        <v>235</v>
      </c>
      <c r="BH733" s="7" t="s">
        <v>235</v>
      </c>
      <c r="BI733" s="7"/>
      <c r="BJ733" s="4">
        <v>8</v>
      </c>
      <c r="BK733" s="8">
        <v>135.26</v>
      </c>
      <c r="BL733" s="2" t="s">
        <v>3186</v>
      </c>
      <c r="BM733" s="7"/>
      <c r="BN733" s="7"/>
      <c r="BO733" s="4"/>
      <c r="BP733" s="8"/>
      <c r="BQ733" s="4"/>
      <c r="BR733" s="8"/>
      <c r="BS733" s="7"/>
      <c r="BT733" s="7"/>
      <c r="BU733" s="2" t="s">
        <v>3105</v>
      </c>
      <c r="BV733" s="2" t="s">
        <v>243</v>
      </c>
      <c r="BW733" s="2" t="s">
        <v>235</v>
      </c>
      <c r="BX733" s="2" t="s">
        <v>383</v>
      </c>
      <c r="BY733" s="2" t="s">
        <v>245</v>
      </c>
      <c r="BZ733" s="2" t="s">
        <v>232</v>
      </c>
      <c r="CA733" s="2" t="s">
        <v>1924</v>
      </c>
      <c r="CB733" s="2" t="s">
        <v>3074</v>
      </c>
      <c r="CC733" s="2" t="s">
        <v>248</v>
      </c>
      <c r="CD733" s="2" t="s">
        <v>248</v>
      </c>
      <c r="CE733" s="2" t="s">
        <v>235</v>
      </c>
      <c r="CF733" s="4">
        <v>1407</v>
      </c>
      <c r="CG733" s="4"/>
      <c r="CH733" s="4"/>
      <c r="CI733" s="4"/>
      <c r="CJ733" s="4"/>
      <c r="CK733" s="4"/>
      <c r="CL733" s="4"/>
      <c r="CM733" s="4">
        <v>24</v>
      </c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>
        <v>17</v>
      </c>
      <c r="DH733" s="4"/>
      <c r="DI733" s="4"/>
      <c r="DJ733" s="4"/>
      <c r="DK733" s="4"/>
      <c r="DL733" s="4"/>
      <c r="DM733" s="4">
        <v>483</v>
      </c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>
        <v>261</v>
      </c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>
        <v>1446</v>
      </c>
      <c r="GE733" s="4">
        <v>1380</v>
      </c>
      <c r="GF733" s="4">
        <v>1354</v>
      </c>
      <c r="GG733" s="4">
        <v>1289</v>
      </c>
      <c r="GH733" s="4">
        <v>1692</v>
      </c>
      <c r="GI733" s="4">
        <v>1565</v>
      </c>
      <c r="GJ733" s="4">
        <v>1324</v>
      </c>
      <c r="GK733" s="4">
        <v>1205</v>
      </c>
      <c r="GL733" s="4">
        <v>1089</v>
      </c>
      <c r="GM733" s="4">
        <v>1271</v>
      </c>
      <c r="GN733" s="4">
        <v>1204</v>
      </c>
      <c r="GO733" s="4">
        <v>1124</v>
      </c>
      <c r="GP733" s="4">
        <v>1046</v>
      </c>
      <c r="GQ733" s="4">
        <v>942</v>
      </c>
      <c r="GR733" s="4">
        <v>885</v>
      </c>
      <c r="GS733" s="4">
        <v>825</v>
      </c>
      <c r="GT733" s="4">
        <v>777</v>
      </c>
      <c r="GU733" s="4">
        <v>735</v>
      </c>
      <c r="GV733" s="4">
        <v>691</v>
      </c>
      <c r="GW733" s="4">
        <v>659</v>
      </c>
      <c r="GX733" s="4">
        <v>630</v>
      </c>
      <c r="GY733" s="4">
        <v>604</v>
      </c>
      <c r="GZ733" s="4">
        <v>577</v>
      </c>
      <c r="HA733" s="4">
        <v>550</v>
      </c>
      <c r="HB733" s="4">
        <v>523</v>
      </c>
      <c r="HC733" s="4">
        <v>496</v>
      </c>
      <c r="HD733" s="19">
        <v>22.6</v>
      </c>
      <c r="HE733" s="19">
        <v>17.5</v>
      </c>
      <c r="HF733" s="19">
        <v>10.6</v>
      </c>
      <c r="HG733" s="19">
        <v>9.1</v>
      </c>
      <c r="HH733" s="19">
        <v>11.2</v>
      </c>
      <c r="HI733" s="19">
        <v>11.3</v>
      </c>
      <c r="HJ733" s="19">
        <v>13.9</v>
      </c>
      <c r="HK733" s="19">
        <v>14</v>
      </c>
      <c r="HL733" s="19">
        <v>14.3</v>
      </c>
      <c r="HM733" s="19">
        <v>15.5</v>
      </c>
      <c r="HN733" s="19">
        <v>15.1</v>
      </c>
      <c r="HO733" s="19">
        <v>15</v>
      </c>
      <c r="HP733" s="19">
        <v>15.6</v>
      </c>
      <c r="HQ733" s="19">
        <v>18.1</v>
      </c>
      <c r="HR733" s="19">
        <v>18.4</v>
      </c>
      <c r="HS733" s="19">
        <v>19.6</v>
      </c>
      <c r="HT733" s="19">
        <v>21</v>
      </c>
      <c r="HU733" s="19">
        <v>22.3</v>
      </c>
      <c r="HV733" s="19">
        <v>24.7</v>
      </c>
      <c r="HW733" s="19">
        <v>24.4</v>
      </c>
      <c r="HX733" s="19">
        <v>23.3</v>
      </c>
      <c r="HY733" s="19">
        <v>22.4</v>
      </c>
      <c r="HZ733" s="19">
        <v>22.2</v>
      </c>
      <c r="IA733" s="19">
        <v>21.2</v>
      </c>
      <c r="IB733" s="19">
        <v>21.8</v>
      </c>
      <c r="IC733" s="19">
        <v>21.6</v>
      </c>
    </row>
    <row r="734">
      <c r="A734" s="2" t="s">
        <v>3187</v>
      </c>
      <c r="B734" s="2" t="s">
        <v>323</v>
      </c>
      <c r="C734" s="2" t="s">
        <v>1036</v>
      </c>
      <c r="D734" s="2" t="s">
        <v>257</v>
      </c>
      <c r="E734" s="2" t="s">
        <v>258</v>
      </c>
      <c r="F734" s="2" t="s">
        <v>3098</v>
      </c>
      <c r="G734" s="2" t="s">
        <v>3098</v>
      </c>
      <c r="H734" s="2" t="s">
        <v>3098</v>
      </c>
      <c r="I734" s="2" t="s">
        <v>3099</v>
      </c>
      <c r="J734" s="2" t="s">
        <v>230</v>
      </c>
      <c r="K734" s="2" t="s">
        <v>3184</v>
      </c>
      <c r="L734" s="3">
        <v>16.16</v>
      </c>
      <c r="M734" s="3">
        <v>16.97</v>
      </c>
      <c r="N734" s="3">
        <v>34.99</v>
      </c>
      <c r="O734" s="2" t="s">
        <v>232</v>
      </c>
      <c r="P734" s="2" t="s">
        <v>233</v>
      </c>
      <c r="Q734" s="2" t="s">
        <v>234</v>
      </c>
      <c r="R734" s="2" t="s">
        <v>235</v>
      </c>
      <c r="S734" s="2" t="s">
        <v>3185</v>
      </c>
      <c r="T734" s="2" t="s">
        <v>2908</v>
      </c>
      <c r="U734" s="2" t="s">
        <v>235</v>
      </c>
      <c r="V734" s="2" t="s">
        <v>2919</v>
      </c>
      <c r="W734" s="2" t="s">
        <v>239</v>
      </c>
      <c r="X734" s="2" t="s">
        <v>235</v>
      </c>
      <c r="Y734" s="2" t="s">
        <v>3029</v>
      </c>
      <c r="Z734" s="4">
        <v>397</v>
      </c>
      <c r="AA734" s="4">
        <f>=ROUNDDOWN(24.8125,0)</f>
      </c>
      <c r="AB734" s="5">
        <v>16</v>
      </c>
      <c r="AC734" s="2" t="s">
        <v>3103</v>
      </c>
      <c r="AD734" s="4">
        <v>210</v>
      </c>
      <c r="AE734" s="4">
        <v>305</v>
      </c>
      <c r="AF734" s="6">
        <v>73</v>
      </c>
      <c r="AG734" s="6"/>
      <c r="AH734" s="7">
        <v>1</v>
      </c>
      <c r="AI734" s="4"/>
      <c r="AJ734" s="4">
        <f>=ROUNDDOWN({0},0)</f>
      </c>
      <c r="AK734" s="5"/>
      <c r="AL734" s="2" t="s">
        <v>235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235</v>
      </c>
      <c r="AW734" s="8" t="s">
        <v>235</v>
      </c>
      <c r="AX734" s="4" t="s">
        <v>235</v>
      </c>
      <c r="AY734" s="8" t="s">
        <v>235</v>
      </c>
      <c r="AZ734" s="7" t="s">
        <v>235</v>
      </c>
      <c r="BA734" s="7" t="s">
        <v>235</v>
      </c>
      <c r="BB734" s="7"/>
      <c r="BC734" s="4" t="s">
        <v>235</v>
      </c>
      <c r="BD734" s="8" t="s">
        <v>235</v>
      </c>
      <c r="BE734" s="4" t="s">
        <v>235</v>
      </c>
      <c r="BF734" s="8" t="s">
        <v>235</v>
      </c>
      <c r="BG734" s="7" t="s">
        <v>235</v>
      </c>
      <c r="BH734" s="7" t="s">
        <v>235</v>
      </c>
      <c r="BI734" s="7"/>
      <c r="BJ734" s="4">
        <v>37</v>
      </c>
      <c r="BK734" s="8">
        <v>655.04</v>
      </c>
      <c r="BL734" s="2" t="s">
        <v>3188</v>
      </c>
      <c r="BM734" s="7"/>
      <c r="BN734" s="7"/>
      <c r="BO734" s="4"/>
      <c r="BP734" s="8"/>
      <c r="BQ734" s="4"/>
      <c r="BR734" s="8"/>
      <c r="BS734" s="7"/>
      <c r="BT734" s="7"/>
      <c r="BU734" s="2" t="s">
        <v>3105</v>
      </c>
      <c r="BV734" s="2" t="s">
        <v>243</v>
      </c>
      <c r="BW734" s="2" t="s">
        <v>235</v>
      </c>
      <c r="BX734" s="2" t="s">
        <v>383</v>
      </c>
      <c r="BY734" s="2" t="s">
        <v>245</v>
      </c>
      <c r="BZ734" s="2" t="s">
        <v>232</v>
      </c>
      <c r="CA734" s="2" t="s">
        <v>1924</v>
      </c>
      <c r="CB734" s="2" t="s">
        <v>3189</v>
      </c>
      <c r="CC734" s="2" t="s">
        <v>248</v>
      </c>
      <c r="CD734" s="2" t="s">
        <v>248</v>
      </c>
      <c r="CE734" s="2" t="s">
        <v>235</v>
      </c>
      <c r="CF734" s="4">
        <v>32</v>
      </c>
      <c r="CG734" s="4">
        <v>365</v>
      </c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>
        <v>210</v>
      </c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>
        <v>95</v>
      </c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>
        <v>404</v>
      </c>
      <c r="GE734" s="4">
        <v>391</v>
      </c>
      <c r="GF734" s="4">
        <v>382</v>
      </c>
      <c r="GG734" s="4">
        <v>365</v>
      </c>
      <c r="GH734" s="4">
        <v>555</v>
      </c>
      <c r="GI734" s="4">
        <v>522</v>
      </c>
      <c r="GJ734" s="4">
        <v>464</v>
      </c>
      <c r="GK734" s="4">
        <v>433</v>
      </c>
      <c r="GL734" s="4">
        <v>403</v>
      </c>
      <c r="GM734" s="4">
        <v>476</v>
      </c>
      <c r="GN734" s="4">
        <v>453</v>
      </c>
      <c r="GO734" s="4">
        <v>425</v>
      </c>
      <c r="GP734" s="4">
        <v>391</v>
      </c>
      <c r="GQ734" s="4">
        <v>335</v>
      </c>
      <c r="GR734" s="4">
        <v>307</v>
      </c>
      <c r="GS734" s="4">
        <v>279</v>
      </c>
      <c r="GT734" s="4">
        <v>259</v>
      </c>
      <c r="GU734" s="4">
        <v>243</v>
      </c>
      <c r="GV734" s="4">
        <v>225</v>
      </c>
      <c r="GW734" s="4">
        <v>212</v>
      </c>
      <c r="GX734" s="4">
        <v>202</v>
      </c>
      <c r="GY734" s="4">
        <v>193</v>
      </c>
      <c r="GZ734" s="4">
        <v>183</v>
      </c>
      <c r="HA734" s="4">
        <v>173</v>
      </c>
      <c r="HB734" s="4">
        <v>163</v>
      </c>
      <c r="HC734" s="4">
        <v>153</v>
      </c>
      <c r="HD734" s="19">
        <v>26.9</v>
      </c>
      <c r="HE734" s="19">
        <v>19.6</v>
      </c>
      <c r="HF734" s="19">
        <v>11.9</v>
      </c>
      <c r="HG734" s="19">
        <v>10.1</v>
      </c>
      <c r="HH734" s="19">
        <v>14.6</v>
      </c>
      <c r="HI734" s="19">
        <v>14.9</v>
      </c>
      <c r="HJ734" s="19">
        <v>17.8</v>
      </c>
      <c r="HK734" s="19">
        <v>16.7</v>
      </c>
      <c r="HL734" s="19">
        <v>14.9</v>
      </c>
      <c r="HM734" s="19">
        <v>13.6</v>
      </c>
      <c r="HN734" s="19">
        <v>12.6</v>
      </c>
      <c r="HO734" s="19">
        <v>11.8</v>
      </c>
      <c r="HP734" s="19">
        <v>11.8</v>
      </c>
      <c r="HQ734" s="19">
        <v>14.6</v>
      </c>
      <c r="HR734" s="19">
        <v>15.4</v>
      </c>
      <c r="HS734" s="19">
        <v>16.4</v>
      </c>
      <c r="HT734" s="19">
        <v>18.5</v>
      </c>
      <c r="HU734" s="19">
        <v>20.3</v>
      </c>
      <c r="HV734" s="19">
        <v>22.5</v>
      </c>
      <c r="HW734" s="19">
        <v>21.2</v>
      </c>
      <c r="HX734" s="19">
        <v>20.2</v>
      </c>
      <c r="HY734" s="19">
        <v>19.3</v>
      </c>
      <c r="HZ734" s="19">
        <v>18.3</v>
      </c>
      <c r="IA734" s="19">
        <v>19.2</v>
      </c>
      <c r="IB734" s="19">
        <v>20.4</v>
      </c>
      <c r="IC734" s="19">
        <v>19.1</v>
      </c>
    </row>
    <row r="735">
      <c r="A735" s="2" t="s">
        <v>3190</v>
      </c>
      <c r="B735" s="2" t="s">
        <v>323</v>
      </c>
      <c r="C735" s="2" t="s">
        <v>1036</v>
      </c>
      <c r="D735" s="2" t="s">
        <v>257</v>
      </c>
      <c r="E735" s="2" t="s">
        <v>258</v>
      </c>
      <c r="F735" s="2" t="s">
        <v>3098</v>
      </c>
      <c r="G735" s="2" t="s">
        <v>3098</v>
      </c>
      <c r="H735" s="2" t="s">
        <v>3098</v>
      </c>
      <c r="I735" s="2" t="s">
        <v>3099</v>
      </c>
      <c r="J735" s="2" t="s">
        <v>250</v>
      </c>
      <c r="K735" s="2" t="s">
        <v>3184</v>
      </c>
      <c r="L735" s="3">
        <v>19.57</v>
      </c>
      <c r="M735" s="3">
        <v>20.55</v>
      </c>
      <c r="N735" s="3">
        <v>42.99</v>
      </c>
      <c r="O735" s="2" t="s">
        <v>232</v>
      </c>
      <c r="P735" s="2" t="s">
        <v>336</v>
      </c>
      <c r="Q735" s="2" t="s">
        <v>234</v>
      </c>
      <c r="R735" s="2" t="s">
        <v>235</v>
      </c>
      <c r="S735" s="2" t="s">
        <v>3185</v>
      </c>
      <c r="T735" s="2" t="s">
        <v>2908</v>
      </c>
      <c r="U735" s="2" t="s">
        <v>235</v>
      </c>
      <c r="V735" s="2" t="s">
        <v>2919</v>
      </c>
      <c r="W735" s="2" t="s">
        <v>239</v>
      </c>
      <c r="X735" s="2" t="s">
        <v>235</v>
      </c>
      <c r="Y735" s="2" t="s">
        <v>3029</v>
      </c>
      <c r="Z735" s="4">
        <v>1001</v>
      </c>
      <c r="AA735" s="4">
        <f>=ROUNDDOWN(38.5,0)</f>
      </c>
      <c r="AB735" s="5">
        <v>26</v>
      </c>
      <c r="AC735" s="2" t="s">
        <v>2503</v>
      </c>
      <c r="AD735" s="4">
        <v>1</v>
      </c>
      <c r="AE735" s="4">
        <v>398</v>
      </c>
      <c r="AF735" s="6">
        <v>73</v>
      </c>
      <c r="AG735" s="6"/>
      <c r="AH735" s="7">
        <v>1</v>
      </c>
      <c r="AI735" s="4"/>
      <c r="AJ735" s="4">
        <f>=ROUNDDOWN({0},0)</f>
      </c>
      <c r="AK735" s="5"/>
      <c r="AL735" s="2" t="s">
        <v>235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235</v>
      </c>
      <c r="AW735" s="8" t="s">
        <v>235</v>
      </c>
      <c r="AX735" s="4" t="s">
        <v>235</v>
      </c>
      <c r="AY735" s="8" t="s">
        <v>235</v>
      </c>
      <c r="AZ735" s="7" t="s">
        <v>235</v>
      </c>
      <c r="BA735" s="7" t="s">
        <v>235</v>
      </c>
      <c r="BB735" s="7"/>
      <c r="BC735" s="4" t="s">
        <v>235</v>
      </c>
      <c r="BD735" s="8" t="s">
        <v>235</v>
      </c>
      <c r="BE735" s="4" t="s">
        <v>235</v>
      </c>
      <c r="BF735" s="8" t="s">
        <v>235</v>
      </c>
      <c r="BG735" s="7" t="s">
        <v>235</v>
      </c>
      <c r="BH735" s="7" t="s">
        <v>235</v>
      </c>
      <c r="BI735" s="7"/>
      <c r="BJ735" s="4">
        <v>21</v>
      </c>
      <c r="BK735" s="8">
        <v>464.53</v>
      </c>
      <c r="BL735" s="2" t="s">
        <v>3191</v>
      </c>
      <c r="BM735" s="7"/>
      <c r="BN735" s="7"/>
      <c r="BO735" s="4"/>
      <c r="BP735" s="8"/>
      <c r="BQ735" s="4"/>
      <c r="BR735" s="8"/>
      <c r="BS735" s="7"/>
      <c r="BT735" s="7"/>
      <c r="BU735" s="2" t="s">
        <v>3105</v>
      </c>
      <c r="BV735" s="2" t="s">
        <v>243</v>
      </c>
      <c r="BW735" s="2" t="s">
        <v>235</v>
      </c>
      <c r="BX735" s="2" t="s">
        <v>383</v>
      </c>
      <c r="BY735" s="2" t="s">
        <v>245</v>
      </c>
      <c r="BZ735" s="2" t="s">
        <v>232</v>
      </c>
      <c r="CA735" s="2" t="s">
        <v>1924</v>
      </c>
      <c r="CB735" s="2" t="s">
        <v>3192</v>
      </c>
      <c r="CC735" s="2" t="s">
        <v>248</v>
      </c>
      <c r="CD735" s="2" t="s">
        <v>248</v>
      </c>
      <c r="CE735" s="2" t="s">
        <v>235</v>
      </c>
      <c r="CF735" s="4">
        <v>1001</v>
      </c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>
        <v>1</v>
      </c>
      <c r="DH735" s="4"/>
      <c r="DI735" s="4"/>
      <c r="DJ735" s="4"/>
      <c r="DK735" s="4"/>
      <c r="DL735" s="4"/>
      <c r="DM735" s="4">
        <v>258</v>
      </c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>
        <v>139</v>
      </c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>
        <v>1002</v>
      </c>
      <c r="GE735" s="4">
        <v>955</v>
      </c>
      <c r="GF735" s="4">
        <v>933</v>
      </c>
      <c r="GG735" s="4">
        <v>898</v>
      </c>
      <c r="GH735" s="4">
        <v>1113</v>
      </c>
      <c r="GI735" s="4">
        <v>1045</v>
      </c>
      <c r="GJ735" s="4">
        <v>915</v>
      </c>
      <c r="GK735" s="4">
        <v>851</v>
      </c>
      <c r="GL735" s="4">
        <v>789</v>
      </c>
      <c r="GM735" s="4">
        <v>886</v>
      </c>
      <c r="GN735" s="4">
        <v>850</v>
      </c>
      <c r="GO735" s="4">
        <v>808</v>
      </c>
      <c r="GP735" s="4">
        <v>767</v>
      </c>
      <c r="GQ735" s="4">
        <v>714</v>
      </c>
      <c r="GR735" s="4">
        <v>685</v>
      </c>
      <c r="GS735" s="4">
        <v>654</v>
      </c>
      <c r="GT735" s="4">
        <v>629</v>
      </c>
      <c r="GU735" s="4">
        <v>607</v>
      </c>
      <c r="GV735" s="4">
        <v>584</v>
      </c>
      <c r="GW735" s="4">
        <v>567</v>
      </c>
      <c r="GX735" s="4">
        <v>552</v>
      </c>
      <c r="GY735" s="4">
        <v>538</v>
      </c>
      <c r="GZ735" s="4">
        <v>524</v>
      </c>
      <c r="HA735" s="4">
        <v>510</v>
      </c>
      <c r="HB735" s="4">
        <v>496</v>
      </c>
      <c r="HC735" s="4">
        <v>482</v>
      </c>
      <c r="HD735" s="19">
        <v>27.1</v>
      </c>
      <c r="HE735" s="19">
        <v>22.7</v>
      </c>
      <c r="HF735" s="19">
        <v>13.5</v>
      </c>
      <c r="HG735" s="19">
        <v>11.8</v>
      </c>
      <c r="HH735" s="19">
        <v>13.7</v>
      </c>
      <c r="HI735" s="19">
        <v>14.1</v>
      </c>
      <c r="HJ735" s="19">
        <v>17.9</v>
      </c>
      <c r="HK735" s="19">
        <v>18.5</v>
      </c>
      <c r="HL735" s="19">
        <v>19.7</v>
      </c>
      <c r="HM735" s="19">
        <v>20.6</v>
      </c>
      <c r="HN735" s="19">
        <v>20.7</v>
      </c>
      <c r="HO735" s="19">
        <v>21.3</v>
      </c>
      <c r="HP735" s="19">
        <v>22.6</v>
      </c>
      <c r="HQ735" s="19">
        <v>26.4</v>
      </c>
      <c r="HR735" s="19">
        <v>27.4</v>
      </c>
      <c r="HS735" s="19">
        <v>29.7</v>
      </c>
      <c r="HT735" s="19">
        <v>33.1</v>
      </c>
      <c r="HU735" s="19">
        <v>35.7</v>
      </c>
      <c r="HV735" s="19">
        <v>38.9</v>
      </c>
      <c r="HW735" s="19">
        <v>40.5</v>
      </c>
      <c r="HX735" s="19">
        <v>39.4</v>
      </c>
      <c r="HY735" s="19">
        <v>38.4</v>
      </c>
      <c r="HZ735" s="19">
        <v>37.4</v>
      </c>
      <c r="IA735" s="19">
        <v>36.4</v>
      </c>
      <c r="IB735" s="19">
        <v>38.2</v>
      </c>
      <c r="IC735" s="19">
        <v>40.2</v>
      </c>
    </row>
    <row r="736">
      <c r="A736" s="2" t="s">
        <v>3193</v>
      </c>
      <c r="B736" s="2" t="s">
        <v>323</v>
      </c>
      <c r="C736" s="2" t="s">
        <v>1036</v>
      </c>
      <c r="D736" s="2" t="s">
        <v>257</v>
      </c>
      <c r="E736" s="2" t="s">
        <v>258</v>
      </c>
      <c r="F736" s="2" t="s">
        <v>3098</v>
      </c>
      <c r="G736" s="2" t="s">
        <v>3098</v>
      </c>
      <c r="H736" s="2" t="s">
        <v>3098</v>
      </c>
      <c r="I736" s="2" t="s">
        <v>3099</v>
      </c>
      <c r="J736" s="2" t="s">
        <v>261</v>
      </c>
      <c r="K736" s="2" t="s">
        <v>3184</v>
      </c>
      <c r="L736" s="3">
        <v>22.21</v>
      </c>
      <c r="M736" s="3">
        <v>23.32</v>
      </c>
      <c r="N736" s="3">
        <v>47.99</v>
      </c>
      <c r="O736" s="2" t="s">
        <v>232</v>
      </c>
      <c r="P736" s="2" t="s">
        <v>336</v>
      </c>
      <c r="Q736" s="2" t="s">
        <v>234</v>
      </c>
      <c r="R736" s="2" t="s">
        <v>235</v>
      </c>
      <c r="S736" s="2" t="s">
        <v>3185</v>
      </c>
      <c r="T736" s="2" t="s">
        <v>2908</v>
      </c>
      <c r="U736" s="2" t="s">
        <v>235</v>
      </c>
      <c r="V736" s="2" t="s">
        <v>2919</v>
      </c>
      <c r="W736" s="2" t="s">
        <v>239</v>
      </c>
      <c r="X736" s="2" t="s">
        <v>235</v>
      </c>
      <c r="Y736" s="2" t="s">
        <v>3029</v>
      </c>
      <c r="Z736" s="4">
        <v>455</v>
      </c>
      <c r="AA736" s="4">
        <f>=ROUNDDOWN(20.6818181818182,0)</f>
      </c>
      <c r="AB736" s="5">
        <v>22</v>
      </c>
      <c r="AC736" s="2" t="s">
        <v>2503</v>
      </c>
      <c r="AD736" s="4">
        <v>3</v>
      </c>
      <c r="AE736" s="4">
        <v>448</v>
      </c>
      <c r="AF736" s="6">
        <v>73</v>
      </c>
      <c r="AG736" s="6"/>
      <c r="AH736" s="7">
        <v>1</v>
      </c>
      <c r="AI736" s="4"/>
      <c r="AJ736" s="4">
        <f>=ROUNDDOWN({0},0)</f>
      </c>
      <c r="AK736" s="5"/>
      <c r="AL736" s="2" t="s">
        <v>235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235</v>
      </c>
      <c r="AW736" s="8" t="s">
        <v>235</v>
      </c>
      <c r="AX736" s="4" t="s">
        <v>235</v>
      </c>
      <c r="AY736" s="8" t="s">
        <v>235</v>
      </c>
      <c r="AZ736" s="7" t="s">
        <v>235</v>
      </c>
      <c r="BA736" s="7" t="s">
        <v>235</v>
      </c>
      <c r="BB736" s="7"/>
      <c r="BC736" s="4" t="s">
        <v>235</v>
      </c>
      <c r="BD736" s="8" t="s">
        <v>235</v>
      </c>
      <c r="BE736" s="4" t="s">
        <v>235</v>
      </c>
      <c r="BF736" s="8" t="s">
        <v>235</v>
      </c>
      <c r="BG736" s="7" t="s">
        <v>235</v>
      </c>
      <c r="BH736" s="7" t="s">
        <v>235</v>
      </c>
      <c r="BI736" s="7"/>
      <c r="BJ736" s="4">
        <v>92</v>
      </c>
      <c r="BK736" s="8">
        <v>2226.71</v>
      </c>
      <c r="BL736" s="2" t="s">
        <v>3194</v>
      </c>
      <c r="BM736" s="7"/>
      <c r="BN736" s="7"/>
      <c r="BO736" s="4"/>
      <c r="BP736" s="8"/>
      <c r="BQ736" s="4"/>
      <c r="BR736" s="8"/>
      <c r="BS736" s="7"/>
      <c r="BT736" s="7"/>
      <c r="BU736" s="2" t="s">
        <v>3105</v>
      </c>
      <c r="BV736" s="2" t="s">
        <v>243</v>
      </c>
      <c r="BW736" s="2" t="s">
        <v>235</v>
      </c>
      <c r="BX736" s="2" t="s">
        <v>383</v>
      </c>
      <c r="BY736" s="2" t="s">
        <v>245</v>
      </c>
      <c r="BZ736" s="2" t="s">
        <v>232</v>
      </c>
      <c r="CA736" s="2" t="s">
        <v>1924</v>
      </c>
      <c r="CB736" s="2" t="s">
        <v>2967</v>
      </c>
      <c r="CC736" s="2" t="s">
        <v>248</v>
      </c>
      <c r="CD736" s="2" t="s">
        <v>248</v>
      </c>
      <c r="CE736" s="2" t="s">
        <v>235</v>
      </c>
      <c r="CF736" s="4">
        <v>455</v>
      </c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>
        <v>3</v>
      </c>
      <c r="DH736" s="4"/>
      <c r="DI736" s="4"/>
      <c r="DJ736" s="4"/>
      <c r="DK736" s="4"/>
      <c r="DL736" s="4"/>
      <c r="DM736" s="4">
        <v>307</v>
      </c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>
        <v>138</v>
      </c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>
        <v>471</v>
      </c>
      <c r="GE736" s="4">
        <v>416</v>
      </c>
      <c r="GF736" s="4">
        <v>412</v>
      </c>
      <c r="GG736" s="4">
        <v>405</v>
      </c>
      <c r="GH736" s="4">
        <v>705</v>
      </c>
      <c r="GI736" s="4">
        <v>692</v>
      </c>
      <c r="GJ736" s="4">
        <v>644</v>
      </c>
      <c r="GK736" s="4">
        <v>605</v>
      </c>
      <c r="GL736" s="4">
        <v>567</v>
      </c>
      <c r="GM736" s="4">
        <v>676</v>
      </c>
      <c r="GN736" s="4">
        <v>643</v>
      </c>
      <c r="GO736" s="4">
        <v>603</v>
      </c>
      <c r="GP736" s="4">
        <v>553</v>
      </c>
      <c r="GQ736" s="4">
        <v>465</v>
      </c>
      <c r="GR736" s="4">
        <v>422</v>
      </c>
      <c r="GS736" s="4">
        <v>380</v>
      </c>
      <c r="GT736" s="4">
        <v>351</v>
      </c>
      <c r="GU736" s="4">
        <v>328</v>
      </c>
      <c r="GV736" s="4">
        <v>302</v>
      </c>
      <c r="GW736" s="4">
        <v>283</v>
      </c>
      <c r="GX736" s="4">
        <v>268</v>
      </c>
      <c r="GY736" s="4">
        <v>255</v>
      </c>
      <c r="GZ736" s="4">
        <v>241</v>
      </c>
      <c r="HA736" s="4">
        <v>227</v>
      </c>
      <c r="HB736" s="4">
        <v>213</v>
      </c>
      <c r="HC736" s="4">
        <v>199</v>
      </c>
      <c r="HD736" s="19">
        <v>24.8</v>
      </c>
      <c r="HE736" s="19">
        <v>52</v>
      </c>
      <c r="HF736" s="19">
        <v>21.7</v>
      </c>
      <c r="HG736" s="19">
        <v>15</v>
      </c>
      <c r="HH736" s="19">
        <v>20.7</v>
      </c>
      <c r="HI736" s="19">
        <v>18.2</v>
      </c>
      <c r="HJ736" s="19">
        <v>18.4</v>
      </c>
      <c r="HK736" s="19">
        <v>17.3</v>
      </c>
      <c r="HL736" s="19">
        <v>14.9</v>
      </c>
      <c r="HM736" s="19">
        <v>12.8</v>
      </c>
      <c r="HN736" s="19">
        <v>11.7</v>
      </c>
      <c r="HO736" s="19">
        <v>10.8</v>
      </c>
      <c r="HP736" s="19">
        <v>11.1</v>
      </c>
      <c r="HQ736" s="19">
        <v>13.7</v>
      </c>
      <c r="HR736" s="19">
        <v>14.1</v>
      </c>
      <c r="HS736" s="19">
        <v>15.8</v>
      </c>
      <c r="HT736" s="19">
        <v>16.7</v>
      </c>
      <c r="HU736" s="19">
        <v>18.2</v>
      </c>
      <c r="HV736" s="19">
        <v>20.1</v>
      </c>
      <c r="HW736" s="19">
        <v>20.2</v>
      </c>
      <c r="HX736" s="19">
        <v>19.1</v>
      </c>
      <c r="HY736" s="19">
        <v>18.2</v>
      </c>
      <c r="HZ736" s="19">
        <v>17.2</v>
      </c>
      <c r="IA736" s="19">
        <v>17.5</v>
      </c>
      <c r="IB736" s="19">
        <v>17.8</v>
      </c>
      <c r="IC736" s="19">
        <v>16.6</v>
      </c>
    </row>
    <row r="737">
      <c r="A737" s="2" t="s">
        <v>3195</v>
      </c>
      <c r="B737" s="2" t="s">
        <v>323</v>
      </c>
      <c r="C737" s="2" t="s">
        <v>1036</v>
      </c>
      <c r="D737" s="2" t="s">
        <v>257</v>
      </c>
      <c r="E737" s="2" t="s">
        <v>258</v>
      </c>
      <c r="F737" s="2" t="s">
        <v>3098</v>
      </c>
      <c r="G737" s="2" t="s">
        <v>3098</v>
      </c>
      <c r="H737" s="2" t="s">
        <v>3098</v>
      </c>
      <c r="I737" s="2" t="s">
        <v>3099</v>
      </c>
      <c r="J737" s="2" t="s">
        <v>270</v>
      </c>
      <c r="K737" s="2" t="s">
        <v>3184</v>
      </c>
      <c r="L737" s="3">
        <v>27.39</v>
      </c>
      <c r="M737" s="3">
        <v>28.76</v>
      </c>
      <c r="N737" s="3">
        <v>62.99</v>
      </c>
      <c r="O737" s="2" t="s">
        <v>232</v>
      </c>
      <c r="P737" s="2" t="s">
        <v>233</v>
      </c>
      <c r="Q737" s="2" t="s">
        <v>234</v>
      </c>
      <c r="R737" s="2" t="s">
        <v>235</v>
      </c>
      <c r="S737" s="2" t="s">
        <v>3185</v>
      </c>
      <c r="T737" s="2" t="s">
        <v>2908</v>
      </c>
      <c r="U737" s="2" t="s">
        <v>235</v>
      </c>
      <c r="V737" s="2" t="s">
        <v>2919</v>
      </c>
      <c r="W737" s="2" t="s">
        <v>239</v>
      </c>
      <c r="X737" s="2" t="s">
        <v>235</v>
      </c>
      <c r="Y737" s="2" t="s">
        <v>3029</v>
      </c>
      <c r="Z737" s="4">
        <v>355</v>
      </c>
      <c r="AA737" s="4">
        <f>=ROUNDDOWN(29.5833333333333,0)</f>
      </c>
      <c r="AB737" s="5">
        <v>12</v>
      </c>
      <c r="AC737" s="2" t="s">
        <v>2503</v>
      </c>
      <c r="AD737" s="4">
        <v>25</v>
      </c>
      <c r="AE737" s="4">
        <v>223</v>
      </c>
      <c r="AF737" s="6">
        <v>73</v>
      </c>
      <c r="AG737" s="6"/>
      <c r="AH737" s="7">
        <v>1</v>
      </c>
      <c r="AI737" s="4"/>
      <c r="AJ737" s="4">
        <f>=ROUNDDOWN({0},0)</f>
      </c>
      <c r="AK737" s="5"/>
      <c r="AL737" s="2" t="s">
        <v>235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235</v>
      </c>
      <c r="AW737" s="8" t="s">
        <v>235</v>
      </c>
      <c r="AX737" s="4" t="s">
        <v>235</v>
      </c>
      <c r="AY737" s="8" t="s">
        <v>235</v>
      </c>
      <c r="AZ737" s="7" t="s">
        <v>235</v>
      </c>
      <c r="BA737" s="7" t="s">
        <v>235</v>
      </c>
      <c r="BB737" s="7"/>
      <c r="BC737" s="4" t="s">
        <v>235</v>
      </c>
      <c r="BD737" s="8" t="s">
        <v>235</v>
      </c>
      <c r="BE737" s="4" t="s">
        <v>235</v>
      </c>
      <c r="BF737" s="8" t="s">
        <v>235</v>
      </c>
      <c r="BG737" s="7" t="s">
        <v>235</v>
      </c>
      <c r="BH737" s="7" t="s">
        <v>235</v>
      </c>
      <c r="BI737" s="7"/>
      <c r="BJ737" s="4">
        <v>12</v>
      </c>
      <c r="BK737" s="8">
        <v>383.55</v>
      </c>
      <c r="BL737" s="2" t="s">
        <v>3196</v>
      </c>
      <c r="BM737" s="7"/>
      <c r="BN737" s="7"/>
      <c r="BO737" s="4"/>
      <c r="BP737" s="8"/>
      <c r="BQ737" s="4"/>
      <c r="BR737" s="8"/>
      <c r="BS737" s="7"/>
      <c r="BT737" s="7"/>
      <c r="BU737" s="2" t="s">
        <v>3105</v>
      </c>
      <c r="BV737" s="2" t="s">
        <v>243</v>
      </c>
      <c r="BW737" s="2" t="s">
        <v>235</v>
      </c>
      <c r="BX737" s="2" t="s">
        <v>383</v>
      </c>
      <c r="BY737" s="2" t="s">
        <v>245</v>
      </c>
      <c r="BZ737" s="2" t="s">
        <v>232</v>
      </c>
      <c r="CA737" s="2" t="s">
        <v>1924</v>
      </c>
      <c r="CB737" s="2" t="s">
        <v>511</v>
      </c>
      <c r="CC737" s="2" t="s">
        <v>248</v>
      </c>
      <c r="CD737" s="2" t="s">
        <v>248</v>
      </c>
      <c r="CE737" s="2" t="s">
        <v>235</v>
      </c>
      <c r="CF737" s="4">
        <v>317</v>
      </c>
      <c r="CG737" s="4">
        <v>38</v>
      </c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>
        <v>25</v>
      </c>
      <c r="DH737" s="4"/>
      <c r="DI737" s="4"/>
      <c r="DJ737" s="4"/>
      <c r="DK737" s="4"/>
      <c r="DL737" s="4"/>
      <c r="DM737" s="4">
        <v>130</v>
      </c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>
        <v>68</v>
      </c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>
        <v>356</v>
      </c>
      <c r="GE737" s="4">
        <v>353</v>
      </c>
      <c r="GF737" s="4">
        <v>376</v>
      </c>
      <c r="GG737" s="4">
        <v>374</v>
      </c>
      <c r="GH737" s="4">
        <v>502</v>
      </c>
      <c r="GI737" s="4">
        <v>498</v>
      </c>
      <c r="GJ737" s="4">
        <v>460</v>
      </c>
      <c r="GK737" s="4">
        <v>433</v>
      </c>
      <c r="GL737" s="4">
        <v>407</v>
      </c>
      <c r="GM737" s="4">
        <v>457</v>
      </c>
      <c r="GN737" s="4">
        <v>441</v>
      </c>
      <c r="GO737" s="4">
        <v>421</v>
      </c>
      <c r="GP737" s="4">
        <v>400</v>
      </c>
      <c r="GQ737" s="4">
        <v>369</v>
      </c>
      <c r="GR737" s="4">
        <v>352</v>
      </c>
      <c r="GS737" s="4">
        <v>335</v>
      </c>
      <c r="GT737" s="4">
        <v>322</v>
      </c>
      <c r="GU737" s="4">
        <v>311</v>
      </c>
      <c r="GV737" s="4">
        <v>299</v>
      </c>
      <c r="GW737" s="4">
        <v>291</v>
      </c>
      <c r="GX737" s="4">
        <v>284</v>
      </c>
      <c r="GY737" s="4">
        <v>278</v>
      </c>
      <c r="GZ737" s="4">
        <v>271</v>
      </c>
      <c r="HA737" s="4">
        <v>264</v>
      </c>
      <c r="HB737" s="4">
        <v>257</v>
      </c>
      <c r="HC737" s="4">
        <v>250</v>
      </c>
      <c r="HD737" s="19">
        <v>178</v>
      </c>
      <c r="HE737" s="19">
        <v>176.5</v>
      </c>
      <c r="HF737" s="19">
        <v>31.3</v>
      </c>
      <c r="HG737" s="19">
        <v>20.8</v>
      </c>
      <c r="HH737" s="19">
        <v>20.9</v>
      </c>
      <c r="HI737" s="19">
        <v>18.4</v>
      </c>
      <c r="HJ737" s="19">
        <v>20.9</v>
      </c>
      <c r="HK737" s="19">
        <v>21.7</v>
      </c>
      <c r="HL737" s="19">
        <v>21.4</v>
      </c>
      <c r="HM737" s="19">
        <v>20.8</v>
      </c>
      <c r="HN737" s="19">
        <v>20</v>
      </c>
      <c r="HO737" s="19">
        <v>19.1</v>
      </c>
      <c r="HP737" s="19">
        <v>20</v>
      </c>
      <c r="HQ737" s="19">
        <v>26.4</v>
      </c>
      <c r="HR737" s="19">
        <v>27.1</v>
      </c>
      <c r="HS737" s="19">
        <v>30.5</v>
      </c>
      <c r="HT737" s="19">
        <v>32.2</v>
      </c>
      <c r="HU737" s="19">
        <v>38.9</v>
      </c>
      <c r="HV737" s="19">
        <v>42.7</v>
      </c>
      <c r="HW737" s="19">
        <v>41.6</v>
      </c>
      <c r="HX737" s="19">
        <v>40.6</v>
      </c>
      <c r="HY737" s="19">
        <v>39.7</v>
      </c>
      <c r="HZ737" s="19">
        <v>38.7</v>
      </c>
      <c r="IA737" s="19">
        <v>44</v>
      </c>
      <c r="IB737" s="19">
        <v>42.8</v>
      </c>
      <c r="IC737" s="19">
        <v>41.7</v>
      </c>
    </row>
    <row r="738">
      <c r="A738" s="2" t="s">
        <v>3197</v>
      </c>
      <c r="B738" s="2" t="s">
        <v>323</v>
      </c>
      <c r="C738" s="2" t="s">
        <v>1036</v>
      </c>
      <c r="D738" s="2" t="s">
        <v>257</v>
      </c>
      <c r="E738" s="2" t="s">
        <v>258</v>
      </c>
      <c r="F738" s="2" t="s">
        <v>3098</v>
      </c>
      <c r="G738" s="2" t="s">
        <v>3098</v>
      </c>
      <c r="H738" s="2" t="s">
        <v>3098</v>
      </c>
      <c r="I738" s="2" t="s">
        <v>3099</v>
      </c>
      <c r="J738" s="2" t="s">
        <v>394</v>
      </c>
      <c r="K738" s="2" t="s">
        <v>3198</v>
      </c>
      <c r="L738" s="3">
        <v>14.89</v>
      </c>
      <c r="M738" s="3">
        <v>15.63</v>
      </c>
      <c r="N738" s="3">
        <v>31.99</v>
      </c>
      <c r="O738" s="2" t="s">
        <v>232</v>
      </c>
      <c r="P738" s="2" t="s">
        <v>698</v>
      </c>
      <c r="Q738" s="2" t="s">
        <v>234</v>
      </c>
      <c r="R738" s="2" t="s">
        <v>235</v>
      </c>
      <c r="S738" s="2" t="s">
        <v>3199</v>
      </c>
      <c r="T738" s="2" t="s">
        <v>2908</v>
      </c>
      <c r="U738" s="2" t="s">
        <v>235</v>
      </c>
      <c r="V738" s="2" t="s">
        <v>238</v>
      </c>
      <c r="W738" s="2" t="s">
        <v>239</v>
      </c>
      <c r="X738" s="2" t="s">
        <v>235</v>
      </c>
      <c r="Y738" s="2" t="s">
        <v>240</v>
      </c>
      <c r="Z738" s="4">
        <v>2066</v>
      </c>
      <c r="AA738" s="4">
        <f>=ROUNDDOWN(25.1951219512195,0)</f>
      </c>
      <c r="AB738" s="5">
        <v>82</v>
      </c>
      <c r="AC738" s="2" t="s">
        <v>168</v>
      </c>
      <c r="AD738" s="4">
        <v>727</v>
      </c>
      <c r="AE738" s="4">
        <v>1157</v>
      </c>
      <c r="AF738" s="6">
        <v>73</v>
      </c>
      <c r="AG738" s="6"/>
      <c r="AH738" s="7">
        <v>1</v>
      </c>
      <c r="AI738" s="4"/>
      <c r="AJ738" s="4">
        <f>=ROUNDDOWN({0},0)</f>
      </c>
      <c r="AK738" s="5"/>
      <c r="AL738" s="2" t="s">
        <v>235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235</v>
      </c>
      <c r="AW738" s="8" t="s">
        <v>235</v>
      </c>
      <c r="AX738" s="4" t="s">
        <v>235</v>
      </c>
      <c r="AY738" s="8" t="s">
        <v>235</v>
      </c>
      <c r="AZ738" s="7" t="s">
        <v>235</v>
      </c>
      <c r="BA738" s="7" t="s">
        <v>235</v>
      </c>
      <c r="BB738" s="7"/>
      <c r="BC738" s="4" t="s">
        <v>235</v>
      </c>
      <c r="BD738" s="8" t="s">
        <v>235</v>
      </c>
      <c r="BE738" s="4" t="s">
        <v>235</v>
      </c>
      <c r="BF738" s="8" t="s">
        <v>235</v>
      </c>
      <c r="BG738" s="7" t="s">
        <v>235</v>
      </c>
      <c r="BH738" s="7" t="s">
        <v>235</v>
      </c>
      <c r="BI738" s="7"/>
      <c r="BJ738" s="4">
        <v>261</v>
      </c>
      <c r="BK738" s="8">
        <v>4169.76</v>
      </c>
      <c r="BL738" s="2" t="s">
        <v>3200</v>
      </c>
      <c r="BM738" s="7"/>
      <c r="BN738" s="7"/>
      <c r="BO738" s="4"/>
      <c r="BP738" s="8"/>
      <c r="BQ738" s="4"/>
      <c r="BR738" s="8"/>
      <c r="BS738" s="7"/>
      <c r="BT738" s="7"/>
      <c r="BU738" s="2" t="s">
        <v>3105</v>
      </c>
      <c r="BV738" s="2" t="s">
        <v>243</v>
      </c>
      <c r="BW738" s="2" t="s">
        <v>235</v>
      </c>
      <c r="BX738" s="2" t="s">
        <v>383</v>
      </c>
      <c r="BY738" s="2" t="s">
        <v>245</v>
      </c>
      <c r="BZ738" s="2" t="s">
        <v>232</v>
      </c>
      <c r="CA738" s="2" t="s">
        <v>3201</v>
      </c>
      <c r="CB738" s="2" t="s">
        <v>3202</v>
      </c>
      <c r="CC738" s="2" t="s">
        <v>248</v>
      </c>
      <c r="CD738" s="2" t="s">
        <v>248</v>
      </c>
      <c r="CE738" s="2" t="s">
        <v>235</v>
      </c>
      <c r="CF738" s="4">
        <v>2066</v>
      </c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>
        <v>727</v>
      </c>
      <c r="ED738" s="4"/>
      <c r="EE738" s="4"/>
      <c r="EF738" s="4"/>
      <c r="EG738" s="4"/>
      <c r="EH738" s="4"/>
      <c r="EI738" s="4"/>
      <c r="EJ738" s="4">
        <v>430</v>
      </c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>
        <v>2403</v>
      </c>
      <c r="GE738" s="4">
        <v>2052</v>
      </c>
      <c r="GF738" s="4">
        <v>2047</v>
      </c>
      <c r="GG738" s="4">
        <v>1979</v>
      </c>
      <c r="GH738" s="4">
        <v>1830</v>
      </c>
      <c r="GI738" s="4">
        <v>1597</v>
      </c>
      <c r="GJ738" s="4">
        <v>1141</v>
      </c>
      <c r="GK738" s="4">
        <v>1649</v>
      </c>
      <c r="GL738" s="4">
        <v>1437</v>
      </c>
      <c r="GM738" s="4">
        <v>1727</v>
      </c>
      <c r="GN738" s="4">
        <v>1617</v>
      </c>
      <c r="GO738" s="4">
        <v>1489</v>
      </c>
      <c r="GP738" s="4">
        <v>1379</v>
      </c>
      <c r="GQ738" s="4">
        <v>1259</v>
      </c>
      <c r="GR738" s="4">
        <v>1187</v>
      </c>
      <c r="GS738" s="4">
        <v>1109</v>
      </c>
      <c r="GT738" s="4">
        <v>1041</v>
      </c>
      <c r="GU738" s="4">
        <v>978</v>
      </c>
      <c r="GV738" s="4">
        <v>913</v>
      </c>
      <c r="GW738" s="4">
        <v>866</v>
      </c>
      <c r="GX738" s="4">
        <v>822</v>
      </c>
      <c r="GY738" s="4">
        <v>780</v>
      </c>
      <c r="GZ738" s="4">
        <v>737</v>
      </c>
      <c r="HA738" s="4">
        <v>694</v>
      </c>
      <c r="HB738" s="4">
        <v>651</v>
      </c>
      <c r="HC738" s="4">
        <v>608</v>
      </c>
      <c r="HD738" s="19">
        <v>16.8</v>
      </c>
      <c r="HE738" s="19">
        <v>18</v>
      </c>
      <c r="HF738" s="19">
        <v>9.1</v>
      </c>
      <c r="HG738" s="19">
        <v>7.5</v>
      </c>
      <c r="HH738" s="19">
        <v>6.5</v>
      </c>
      <c r="HI738" s="19">
        <v>6.2</v>
      </c>
      <c r="HJ738" s="19">
        <v>6.7</v>
      </c>
      <c r="HK738" s="19">
        <v>11.1</v>
      </c>
      <c r="HL738" s="19">
        <v>11.8</v>
      </c>
      <c r="HM738" s="19">
        <v>14.8</v>
      </c>
      <c r="HN738" s="19">
        <v>15</v>
      </c>
      <c r="HO738" s="19">
        <v>15.7</v>
      </c>
      <c r="HP738" s="19">
        <v>16.4</v>
      </c>
      <c r="HQ738" s="19">
        <v>18</v>
      </c>
      <c r="HR738" s="19">
        <v>17.5</v>
      </c>
      <c r="HS738" s="19">
        <v>18.2</v>
      </c>
      <c r="HT738" s="19">
        <v>18.9</v>
      </c>
      <c r="HU738" s="19">
        <v>19.6</v>
      </c>
      <c r="HV738" s="19">
        <v>20.8</v>
      </c>
      <c r="HW738" s="19">
        <v>20.1</v>
      </c>
      <c r="HX738" s="19">
        <v>19.1</v>
      </c>
      <c r="HY738" s="19">
        <v>18.1</v>
      </c>
      <c r="HZ738" s="19">
        <v>17.5</v>
      </c>
      <c r="IA738" s="19">
        <v>16.5</v>
      </c>
      <c r="IB738" s="19">
        <v>16.3</v>
      </c>
      <c r="IC738" s="19">
        <v>16</v>
      </c>
    </row>
    <row r="739">
      <c r="A739" s="2" t="s">
        <v>3203</v>
      </c>
      <c r="B739" s="2" t="s">
        <v>323</v>
      </c>
      <c r="C739" s="2" t="s">
        <v>1036</v>
      </c>
      <c r="D739" s="2" t="s">
        <v>257</v>
      </c>
      <c r="E739" s="2" t="s">
        <v>258</v>
      </c>
      <c r="F739" s="2" t="s">
        <v>3098</v>
      </c>
      <c r="G739" s="2" t="s">
        <v>3098</v>
      </c>
      <c r="H739" s="2" t="s">
        <v>3098</v>
      </c>
      <c r="I739" s="2" t="s">
        <v>3099</v>
      </c>
      <c r="J739" s="2" t="s">
        <v>250</v>
      </c>
      <c r="K739" s="2" t="s">
        <v>3198</v>
      </c>
      <c r="L739" s="3">
        <v>19.57</v>
      </c>
      <c r="M739" s="3">
        <v>20.55</v>
      </c>
      <c r="N739" s="3">
        <v>42.99</v>
      </c>
      <c r="O739" s="2" t="s">
        <v>232</v>
      </c>
      <c r="P739" s="2" t="s">
        <v>233</v>
      </c>
      <c r="Q739" s="2" t="s">
        <v>234</v>
      </c>
      <c r="R739" s="2" t="s">
        <v>235</v>
      </c>
      <c r="S739" s="2" t="s">
        <v>3199</v>
      </c>
      <c r="T739" s="2" t="s">
        <v>2908</v>
      </c>
      <c r="U739" s="2" t="s">
        <v>235</v>
      </c>
      <c r="V739" s="2" t="s">
        <v>238</v>
      </c>
      <c r="W739" s="2" t="s">
        <v>239</v>
      </c>
      <c r="X739" s="2" t="s">
        <v>235</v>
      </c>
      <c r="Y739" s="2" t="s">
        <v>240</v>
      </c>
      <c r="Z739" s="4">
        <v>518</v>
      </c>
      <c r="AA739" s="4">
        <f>=ROUNDDOWN(25.9,0)</f>
      </c>
      <c r="AB739" s="5">
        <v>20</v>
      </c>
      <c r="AC739" s="2" t="s">
        <v>168</v>
      </c>
      <c r="AD739" s="4">
        <v>209</v>
      </c>
      <c r="AE739" s="4">
        <v>316</v>
      </c>
      <c r="AF739" s="6">
        <v>73</v>
      </c>
      <c r="AG739" s="6"/>
      <c r="AH739" s="7">
        <v>1</v>
      </c>
      <c r="AI739" s="4"/>
      <c r="AJ739" s="4">
        <f>=ROUNDDOWN({0},0)</f>
      </c>
      <c r="AK739" s="5"/>
      <c r="AL739" s="2" t="s">
        <v>235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235</v>
      </c>
      <c r="AW739" s="8" t="s">
        <v>235</v>
      </c>
      <c r="AX739" s="4" t="s">
        <v>235</v>
      </c>
      <c r="AY739" s="8" t="s">
        <v>235</v>
      </c>
      <c r="AZ739" s="7" t="s">
        <v>235</v>
      </c>
      <c r="BA739" s="7" t="s">
        <v>235</v>
      </c>
      <c r="BB739" s="7"/>
      <c r="BC739" s="4" t="s">
        <v>235</v>
      </c>
      <c r="BD739" s="8" t="s">
        <v>235</v>
      </c>
      <c r="BE739" s="4" t="s">
        <v>235</v>
      </c>
      <c r="BF739" s="8" t="s">
        <v>235</v>
      </c>
      <c r="BG739" s="7" t="s">
        <v>235</v>
      </c>
      <c r="BH739" s="7" t="s">
        <v>235</v>
      </c>
      <c r="BI739" s="7"/>
      <c r="BJ739" s="4">
        <v>49</v>
      </c>
      <c r="BK739" s="8">
        <v>1040.7</v>
      </c>
      <c r="BL739" s="2" t="s">
        <v>3204</v>
      </c>
      <c r="BM739" s="7"/>
      <c r="BN739" s="7"/>
      <c r="BO739" s="4"/>
      <c r="BP739" s="8"/>
      <c r="BQ739" s="4"/>
      <c r="BR739" s="8"/>
      <c r="BS739" s="7"/>
      <c r="BT739" s="7"/>
      <c r="BU739" s="2" t="s">
        <v>3105</v>
      </c>
      <c r="BV739" s="2" t="s">
        <v>243</v>
      </c>
      <c r="BW739" s="2" t="s">
        <v>235</v>
      </c>
      <c r="BX739" s="2" t="s">
        <v>383</v>
      </c>
      <c r="BY739" s="2" t="s">
        <v>245</v>
      </c>
      <c r="BZ739" s="2" t="s">
        <v>232</v>
      </c>
      <c r="CA739" s="2" t="s">
        <v>3201</v>
      </c>
      <c r="CB739" s="2" t="s">
        <v>3205</v>
      </c>
      <c r="CC739" s="2" t="s">
        <v>248</v>
      </c>
      <c r="CD739" s="2" t="s">
        <v>248</v>
      </c>
      <c r="CE739" s="2" t="s">
        <v>235</v>
      </c>
      <c r="CF739" s="4">
        <v>518</v>
      </c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>
        <v>209</v>
      </c>
      <c r="ED739" s="4"/>
      <c r="EE739" s="4"/>
      <c r="EF739" s="4"/>
      <c r="EG739" s="4"/>
      <c r="EH739" s="4"/>
      <c r="EI739" s="4"/>
      <c r="EJ739" s="4">
        <v>107</v>
      </c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>
        <v>525</v>
      </c>
      <c r="GE739" s="4">
        <v>494</v>
      </c>
      <c r="GF739" s="4">
        <v>491</v>
      </c>
      <c r="GG739" s="4">
        <v>486</v>
      </c>
      <c r="GH739" s="4">
        <v>455</v>
      </c>
      <c r="GI739" s="4">
        <v>406</v>
      </c>
      <c r="GJ739" s="4">
        <v>313</v>
      </c>
      <c r="GK739" s="4">
        <v>475</v>
      </c>
      <c r="GL739" s="4">
        <v>430</v>
      </c>
      <c r="GM739" s="4">
        <v>506</v>
      </c>
      <c r="GN739" s="4">
        <v>478</v>
      </c>
      <c r="GO739" s="4">
        <v>445</v>
      </c>
      <c r="GP739" s="4">
        <v>411</v>
      </c>
      <c r="GQ739" s="4">
        <v>363</v>
      </c>
      <c r="GR739" s="4">
        <v>338</v>
      </c>
      <c r="GS739" s="4">
        <v>311</v>
      </c>
      <c r="GT739" s="4">
        <v>290</v>
      </c>
      <c r="GU739" s="4">
        <v>272</v>
      </c>
      <c r="GV739" s="4">
        <v>253</v>
      </c>
      <c r="GW739" s="4">
        <v>239</v>
      </c>
      <c r="GX739" s="4">
        <v>227</v>
      </c>
      <c r="GY739" s="4">
        <v>216</v>
      </c>
      <c r="GZ739" s="4">
        <v>205</v>
      </c>
      <c r="HA739" s="4">
        <v>194</v>
      </c>
      <c r="HB739" s="4">
        <v>183</v>
      </c>
      <c r="HC739" s="4">
        <v>172</v>
      </c>
      <c r="HD739" s="19">
        <v>29.2</v>
      </c>
      <c r="HE739" s="19">
        <v>22.5</v>
      </c>
      <c r="HF739" s="19">
        <v>11.2</v>
      </c>
      <c r="HG739" s="19">
        <v>8.8</v>
      </c>
      <c r="HH739" s="19">
        <v>7.8</v>
      </c>
      <c r="HI739" s="19">
        <v>7.5</v>
      </c>
      <c r="HJ739" s="19">
        <v>8.2</v>
      </c>
      <c r="HK739" s="19">
        <v>14</v>
      </c>
      <c r="HL739" s="19">
        <v>13.4</v>
      </c>
      <c r="HM739" s="19">
        <v>14.1</v>
      </c>
      <c r="HN739" s="19">
        <v>13.7</v>
      </c>
      <c r="HO739" s="19">
        <v>13.1</v>
      </c>
      <c r="HP739" s="19">
        <v>13.7</v>
      </c>
      <c r="HQ739" s="19">
        <v>15.8</v>
      </c>
      <c r="HR739" s="19">
        <v>16.1</v>
      </c>
      <c r="HS739" s="19">
        <v>17.3</v>
      </c>
      <c r="HT739" s="19">
        <v>18.1</v>
      </c>
      <c r="HU739" s="19">
        <v>19.4</v>
      </c>
      <c r="HV739" s="19">
        <v>21.1</v>
      </c>
      <c r="HW739" s="19">
        <v>21.7</v>
      </c>
      <c r="HX739" s="19">
        <v>20.6</v>
      </c>
      <c r="HY739" s="19">
        <v>19.6</v>
      </c>
      <c r="HZ739" s="19">
        <v>18.6</v>
      </c>
      <c r="IA739" s="19">
        <v>19.4</v>
      </c>
      <c r="IB739" s="19">
        <v>18.3</v>
      </c>
      <c r="IC739" s="19">
        <v>17.2</v>
      </c>
    </row>
    <row r="740">
      <c r="A740" s="2" t="s">
        <v>3206</v>
      </c>
      <c r="B740" s="2" t="s">
        <v>323</v>
      </c>
      <c r="C740" s="2" t="s">
        <v>1036</v>
      </c>
      <c r="D740" s="2" t="s">
        <v>257</v>
      </c>
      <c r="E740" s="2" t="s">
        <v>258</v>
      </c>
      <c r="F740" s="2" t="s">
        <v>3098</v>
      </c>
      <c r="G740" s="2" t="s">
        <v>3098</v>
      </c>
      <c r="H740" s="2" t="s">
        <v>3098</v>
      </c>
      <c r="I740" s="2" t="s">
        <v>3099</v>
      </c>
      <c r="J740" s="2" t="s">
        <v>250</v>
      </c>
      <c r="K740" s="2" t="s">
        <v>3207</v>
      </c>
      <c r="L740" s="3">
        <v>19.57</v>
      </c>
      <c r="M740" s="3">
        <v>20.55</v>
      </c>
      <c r="N740" s="3">
        <v>42.99</v>
      </c>
      <c r="O740" s="2" t="s">
        <v>232</v>
      </c>
      <c r="P740" s="2" t="s">
        <v>333</v>
      </c>
      <c r="Q740" s="2" t="s">
        <v>234</v>
      </c>
      <c r="R740" s="2" t="s">
        <v>235</v>
      </c>
      <c r="S740" s="2" t="s">
        <v>3208</v>
      </c>
      <c r="T740" s="2" t="s">
        <v>2908</v>
      </c>
      <c r="U740" s="2" t="s">
        <v>264</v>
      </c>
      <c r="V740" s="2" t="s">
        <v>2182</v>
      </c>
      <c r="W740" s="2" t="s">
        <v>239</v>
      </c>
      <c r="X740" s="2" t="s">
        <v>1157</v>
      </c>
      <c r="Y740" s="2" t="s">
        <v>3209</v>
      </c>
      <c r="Z740" s="4">
        <v>1336</v>
      </c>
      <c r="AA740" s="4">
        <f>=ROUNDDOWN(26.1960784313726,0)</f>
      </c>
      <c r="AB740" s="5">
        <v>51</v>
      </c>
      <c r="AC740" s="2" t="s">
        <v>168</v>
      </c>
      <c r="AD740" s="4">
        <v>608</v>
      </c>
      <c r="AE740" s="4">
        <v>943</v>
      </c>
      <c r="AF740" s="6">
        <v>73</v>
      </c>
      <c r="AG740" s="6"/>
      <c r="AH740" s="7">
        <v>1</v>
      </c>
      <c r="AI740" s="4"/>
      <c r="AJ740" s="4">
        <f>=ROUNDDOWN({0},0)</f>
      </c>
      <c r="AK740" s="5"/>
      <c r="AL740" s="2" t="s">
        <v>235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235</v>
      </c>
      <c r="AW740" s="8" t="s">
        <v>235</v>
      </c>
      <c r="AX740" s="4" t="s">
        <v>235</v>
      </c>
      <c r="AY740" s="8" t="s">
        <v>235</v>
      </c>
      <c r="AZ740" s="7" t="s">
        <v>235</v>
      </c>
      <c r="BA740" s="7" t="s">
        <v>235</v>
      </c>
      <c r="BB740" s="7"/>
      <c r="BC740" s="4" t="s">
        <v>235</v>
      </c>
      <c r="BD740" s="8" t="s">
        <v>235</v>
      </c>
      <c r="BE740" s="4" t="s">
        <v>235</v>
      </c>
      <c r="BF740" s="8" t="s">
        <v>235</v>
      </c>
      <c r="BG740" s="7" t="s">
        <v>235</v>
      </c>
      <c r="BH740" s="7" t="s">
        <v>235</v>
      </c>
      <c r="BI740" s="7"/>
      <c r="BJ740" s="4">
        <v>340</v>
      </c>
      <c r="BK740" s="8">
        <v>7719.9</v>
      </c>
      <c r="BL740" s="2" t="s">
        <v>3210</v>
      </c>
      <c r="BM740" s="7"/>
      <c r="BN740" s="7"/>
      <c r="BO740" s="4"/>
      <c r="BP740" s="8"/>
      <c r="BQ740" s="4"/>
      <c r="BR740" s="8"/>
      <c r="BS740" s="7"/>
      <c r="BT740" s="7"/>
      <c r="BU740" s="2" t="s">
        <v>3105</v>
      </c>
      <c r="BV740" s="2" t="s">
        <v>243</v>
      </c>
      <c r="BW740" s="2" t="s">
        <v>235</v>
      </c>
      <c r="BX740" s="2" t="s">
        <v>383</v>
      </c>
      <c r="BY740" s="2" t="s">
        <v>245</v>
      </c>
      <c r="BZ740" s="2" t="s">
        <v>232</v>
      </c>
      <c r="CA740" s="2" t="s">
        <v>675</v>
      </c>
      <c r="CB740" s="2" t="s">
        <v>3211</v>
      </c>
      <c r="CC740" s="2" t="s">
        <v>248</v>
      </c>
      <c r="CD740" s="2" t="s">
        <v>248</v>
      </c>
      <c r="CE740" s="2" t="s">
        <v>235</v>
      </c>
      <c r="CF740" s="4">
        <v>1335</v>
      </c>
      <c r="CG740" s="4"/>
      <c r="CH740" s="4"/>
      <c r="CI740" s="4"/>
      <c r="CJ740" s="4"/>
      <c r="CK740" s="4"/>
      <c r="CL740" s="4"/>
      <c r="CM740" s="4">
        <v>1</v>
      </c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>
        <v>608</v>
      </c>
      <c r="ED740" s="4"/>
      <c r="EE740" s="4"/>
      <c r="EF740" s="4"/>
      <c r="EG740" s="4"/>
      <c r="EH740" s="4"/>
      <c r="EI740" s="4"/>
      <c r="EJ740" s="4">
        <v>335</v>
      </c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>
        <v>1405</v>
      </c>
      <c r="GE740" s="4">
        <v>1307</v>
      </c>
      <c r="GF740" s="4">
        <v>1299</v>
      </c>
      <c r="GG740" s="4">
        <v>1291</v>
      </c>
      <c r="GH740" s="4">
        <v>1242</v>
      </c>
      <c r="GI740" s="4">
        <v>1060</v>
      </c>
      <c r="GJ740" s="4">
        <v>710</v>
      </c>
      <c r="GK740" s="4">
        <v>1146</v>
      </c>
      <c r="GL740" s="4">
        <v>980</v>
      </c>
      <c r="GM740" s="4">
        <v>1203</v>
      </c>
      <c r="GN740" s="4">
        <v>1109</v>
      </c>
      <c r="GO740" s="4">
        <v>998</v>
      </c>
      <c r="GP740" s="4">
        <v>892</v>
      </c>
      <c r="GQ740" s="4">
        <v>756</v>
      </c>
      <c r="GR740" s="4">
        <v>680</v>
      </c>
      <c r="GS740" s="4">
        <v>613</v>
      </c>
      <c r="GT740" s="4">
        <v>561</v>
      </c>
      <c r="GU740" s="4">
        <v>516</v>
      </c>
      <c r="GV740" s="4">
        <v>468</v>
      </c>
      <c r="GW740" s="4">
        <v>433</v>
      </c>
      <c r="GX740" s="4">
        <v>403</v>
      </c>
      <c r="GY740" s="4">
        <v>376</v>
      </c>
      <c r="GZ740" s="4">
        <v>347</v>
      </c>
      <c r="HA740" s="4">
        <v>318</v>
      </c>
      <c r="HB740" s="4">
        <v>301</v>
      </c>
      <c r="HC740" s="4">
        <v>272</v>
      </c>
      <c r="HD740" s="19">
        <v>34.3</v>
      </c>
      <c r="HE740" s="19">
        <v>21.1</v>
      </c>
      <c r="HF740" s="19">
        <v>8.8</v>
      </c>
      <c r="HG740" s="19">
        <v>6.9</v>
      </c>
      <c r="HH740" s="19">
        <v>5.7</v>
      </c>
      <c r="HI740" s="19">
        <v>5.3</v>
      </c>
      <c r="HJ740" s="19">
        <v>5.2</v>
      </c>
      <c r="HK740" s="19">
        <v>9.5</v>
      </c>
      <c r="HL740" s="19">
        <v>9.2</v>
      </c>
      <c r="HM740" s="19">
        <v>10.7</v>
      </c>
      <c r="HN740" s="19">
        <v>10.4</v>
      </c>
      <c r="HO740" s="19">
        <v>10.4</v>
      </c>
      <c r="HP740" s="19">
        <v>10.7</v>
      </c>
      <c r="HQ740" s="19">
        <v>12.6</v>
      </c>
      <c r="HR740" s="19">
        <v>12.8</v>
      </c>
      <c r="HS740" s="19">
        <v>13.6</v>
      </c>
      <c r="HT740" s="19">
        <v>14</v>
      </c>
      <c r="HU740" s="19">
        <v>14.7</v>
      </c>
      <c r="HV740" s="19">
        <v>15.6</v>
      </c>
      <c r="HW740" s="19">
        <v>14.9</v>
      </c>
      <c r="HX740" s="19">
        <v>14.4</v>
      </c>
      <c r="HY740" s="19">
        <v>13</v>
      </c>
      <c r="HZ740" s="19">
        <v>12.4</v>
      </c>
      <c r="IA740" s="19">
        <v>11.4</v>
      </c>
      <c r="IB740" s="19">
        <v>11.6</v>
      </c>
      <c r="IC740" s="19">
        <v>11.3</v>
      </c>
    </row>
    <row r="741">
      <c r="A741" s="2" t="s">
        <v>3212</v>
      </c>
      <c r="B741" s="2" t="s">
        <v>323</v>
      </c>
      <c r="C741" s="2" t="s">
        <v>1036</v>
      </c>
      <c r="D741" s="2" t="s">
        <v>257</v>
      </c>
      <c r="E741" s="2" t="s">
        <v>258</v>
      </c>
      <c r="F741" s="2" t="s">
        <v>3098</v>
      </c>
      <c r="G741" s="2" t="s">
        <v>3098</v>
      </c>
      <c r="H741" s="2" t="s">
        <v>3098</v>
      </c>
      <c r="I741" s="2" t="s">
        <v>3099</v>
      </c>
      <c r="J741" s="2" t="s">
        <v>270</v>
      </c>
      <c r="K741" s="2" t="s">
        <v>3207</v>
      </c>
      <c r="L741" s="3">
        <v>27.39</v>
      </c>
      <c r="M741" s="3">
        <v>28.76</v>
      </c>
      <c r="N741" s="3">
        <v>62.99</v>
      </c>
      <c r="O741" s="2" t="s">
        <v>232</v>
      </c>
      <c r="P741" s="2" t="s">
        <v>233</v>
      </c>
      <c r="Q741" s="2" t="s">
        <v>234</v>
      </c>
      <c r="R741" s="2" t="s">
        <v>235</v>
      </c>
      <c r="S741" s="2" t="s">
        <v>3208</v>
      </c>
      <c r="T741" s="2" t="s">
        <v>2908</v>
      </c>
      <c r="U741" s="2" t="s">
        <v>264</v>
      </c>
      <c r="V741" s="2" t="s">
        <v>2182</v>
      </c>
      <c r="W741" s="2" t="s">
        <v>239</v>
      </c>
      <c r="X741" s="2" t="s">
        <v>1157</v>
      </c>
      <c r="Y741" s="2" t="s">
        <v>3209</v>
      </c>
      <c r="Z741" s="4">
        <v>483</v>
      </c>
      <c r="AA741" s="4">
        <f>=ROUNDDOWN(28.4117647058824,0)</f>
      </c>
      <c r="AB741" s="5">
        <v>17</v>
      </c>
      <c r="AC741" s="2" t="s">
        <v>168</v>
      </c>
      <c r="AD741" s="4">
        <v>159</v>
      </c>
      <c r="AE741" s="4">
        <v>242</v>
      </c>
      <c r="AF741" s="6">
        <v>73</v>
      </c>
      <c r="AG741" s="6"/>
      <c r="AH741" s="7">
        <v>1</v>
      </c>
      <c r="AI741" s="4"/>
      <c r="AJ741" s="4">
        <f>=ROUNDDOWN({0},0)</f>
      </c>
      <c r="AK741" s="5"/>
      <c r="AL741" s="2" t="s">
        <v>235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235</v>
      </c>
      <c r="AW741" s="8" t="s">
        <v>235</v>
      </c>
      <c r="AX741" s="4" t="s">
        <v>235</v>
      </c>
      <c r="AY741" s="8" t="s">
        <v>235</v>
      </c>
      <c r="AZ741" s="7" t="s">
        <v>235</v>
      </c>
      <c r="BA741" s="7" t="s">
        <v>235</v>
      </c>
      <c r="BB741" s="7"/>
      <c r="BC741" s="4" t="s">
        <v>235</v>
      </c>
      <c r="BD741" s="8" t="s">
        <v>235</v>
      </c>
      <c r="BE741" s="4" t="s">
        <v>235</v>
      </c>
      <c r="BF741" s="8" t="s">
        <v>235</v>
      </c>
      <c r="BG741" s="7" t="s">
        <v>235</v>
      </c>
      <c r="BH741" s="7" t="s">
        <v>235</v>
      </c>
      <c r="BI741" s="7"/>
      <c r="BJ741" s="4">
        <v>17</v>
      </c>
      <c r="BK741" s="8">
        <v>547.85</v>
      </c>
      <c r="BL741" s="2" t="s">
        <v>3213</v>
      </c>
      <c r="BM741" s="7"/>
      <c r="BN741" s="7"/>
      <c r="BO741" s="4"/>
      <c r="BP741" s="8"/>
      <c r="BQ741" s="4"/>
      <c r="BR741" s="8"/>
      <c r="BS741" s="7"/>
      <c r="BT741" s="7"/>
      <c r="BU741" s="2" t="s">
        <v>3105</v>
      </c>
      <c r="BV741" s="2" t="s">
        <v>243</v>
      </c>
      <c r="BW741" s="2" t="s">
        <v>235</v>
      </c>
      <c r="BX741" s="2" t="s">
        <v>383</v>
      </c>
      <c r="BY741" s="2" t="s">
        <v>245</v>
      </c>
      <c r="BZ741" s="2" t="s">
        <v>232</v>
      </c>
      <c r="CA741" s="2" t="s">
        <v>675</v>
      </c>
      <c r="CB741" s="2" t="s">
        <v>3115</v>
      </c>
      <c r="CC741" s="2" t="s">
        <v>248</v>
      </c>
      <c r="CD741" s="2" t="s">
        <v>248</v>
      </c>
      <c r="CE741" s="2" t="s">
        <v>235</v>
      </c>
      <c r="CF741" s="4">
        <v>320</v>
      </c>
      <c r="CG741" s="4">
        <v>162</v>
      </c>
      <c r="CH741" s="4"/>
      <c r="CI741" s="4"/>
      <c r="CJ741" s="4"/>
      <c r="CK741" s="4"/>
      <c r="CL741" s="4"/>
      <c r="CM741" s="4">
        <v>1</v>
      </c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>
        <v>159</v>
      </c>
      <c r="ED741" s="4"/>
      <c r="EE741" s="4"/>
      <c r="EF741" s="4"/>
      <c r="EG741" s="4"/>
      <c r="EH741" s="4"/>
      <c r="EI741" s="4"/>
      <c r="EJ741" s="4">
        <v>83</v>
      </c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>
        <v>494</v>
      </c>
      <c r="GE741" s="4">
        <v>474</v>
      </c>
      <c r="GF741" s="4">
        <v>471</v>
      </c>
      <c r="GG741" s="4">
        <v>455</v>
      </c>
      <c r="GH741" s="4">
        <v>428</v>
      </c>
      <c r="GI741" s="4">
        <v>386</v>
      </c>
      <c r="GJ741" s="4">
        <v>307</v>
      </c>
      <c r="GK741" s="4">
        <v>426</v>
      </c>
      <c r="GL741" s="4">
        <v>387</v>
      </c>
      <c r="GM741" s="4">
        <v>443</v>
      </c>
      <c r="GN741" s="4">
        <v>419</v>
      </c>
      <c r="GO741" s="4">
        <v>391</v>
      </c>
      <c r="GP741" s="4">
        <v>362</v>
      </c>
      <c r="GQ741" s="4">
        <v>321</v>
      </c>
      <c r="GR741" s="4">
        <v>299</v>
      </c>
      <c r="GS741" s="4">
        <v>277</v>
      </c>
      <c r="GT741" s="4">
        <v>260</v>
      </c>
      <c r="GU741" s="4">
        <v>245</v>
      </c>
      <c r="GV741" s="4">
        <v>229</v>
      </c>
      <c r="GW741" s="4">
        <v>217</v>
      </c>
      <c r="GX741" s="4">
        <v>207</v>
      </c>
      <c r="GY741" s="4">
        <v>198</v>
      </c>
      <c r="GZ741" s="4">
        <v>188</v>
      </c>
      <c r="HA741" s="4">
        <v>178</v>
      </c>
      <c r="HB741" s="4">
        <v>168</v>
      </c>
      <c r="HC741" s="4">
        <v>158</v>
      </c>
      <c r="HD741" s="19">
        <v>30.9</v>
      </c>
      <c r="HE741" s="19">
        <v>21.5</v>
      </c>
      <c r="HF741" s="19">
        <v>11.5</v>
      </c>
      <c r="HG741" s="19">
        <v>9.7</v>
      </c>
      <c r="HH741" s="19">
        <v>8.6</v>
      </c>
      <c r="HI741" s="19">
        <v>8.4</v>
      </c>
      <c r="HJ741" s="19">
        <v>9.6</v>
      </c>
      <c r="HK741" s="19">
        <v>14.2</v>
      </c>
      <c r="HL741" s="19">
        <v>14.3</v>
      </c>
      <c r="HM741" s="19">
        <v>14.8</v>
      </c>
      <c r="HN741" s="19">
        <v>14</v>
      </c>
      <c r="HO741" s="19">
        <v>14</v>
      </c>
      <c r="HP741" s="19">
        <v>13.9</v>
      </c>
      <c r="HQ741" s="19">
        <v>16.9</v>
      </c>
      <c r="HR741" s="19">
        <v>16.6</v>
      </c>
      <c r="HS741" s="19">
        <v>18.5</v>
      </c>
      <c r="HT741" s="19">
        <v>20</v>
      </c>
      <c r="HU741" s="19">
        <v>20.4</v>
      </c>
      <c r="HV741" s="19">
        <v>22.9</v>
      </c>
      <c r="HW741" s="19">
        <v>21.7</v>
      </c>
      <c r="HX741" s="19">
        <v>20.7</v>
      </c>
      <c r="HY741" s="19">
        <v>19.8</v>
      </c>
      <c r="HZ741" s="19">
        <v>18.8</v>
      </c>
      <c r="IA741" s="19">
        <v>17.8</v>
      </c>
      <c r="IB741" s="19">
        <v>18.7</v>
      </c>
      <c r="IC741" s="19">
        <v>19.8</v>
      </c>
    </row>
    <row r="742">
      <c r="A742" s="2" t="s">
        <v>3214</v>
      </c>
      <c r="B742" s="2" t="s">
        <v>323</v>
      </c>
      <c r="C742" s="2" t="s">
        <v>1036</v>
      </c>
      <c r="D742" s="2" t="s">
        <v>257</v>
      </c>
      <c r="E742" s="2" t="s">
        <v>258</v>
      </c>
      <c r="F742" s="2" t="s">
        <v>3098</v>
      </c>
      <c r="G742" s="2" t="s">
        <v>3098</v>
      </c>
      <c r="H742" s="2" t="s">
        <v>3098</v>
      </c>
      <c r="I742" s="2" t="s">
        <v>3099</v>
      </c>
      <c r="J742" s="2" t="s">
        <v>394</v>
      </c>
      <c r="K742" s="2" t="s">
        <v>3215</v>
      </c>
      <c r="L742" s="3">
        <v>14.89</v>
      </c>
      <c r="M742" s="3">
        <v>15.63</v>
      </c>
      <c r="N742" s="3">
        <v>36.99</v>
      </c>
      <c r="O742" s="2" t="s">
        <v>232</v>
      </c>
      <c r="P742" s="2" t="s">
        <v>233</v>
      </c>
      <c r="Q742" s="2" t="s">
        <v>234</v>
      </c>
      <c r="R742" s="2" t="s">
        <v>235</v>
      </c>
      <c r="S742" s="2" t="s">
        <v>3216</v>
      </c>
      <c r="T742" s="2" t="s">
        <v>2908</v>
      </c>
      <c r="U742" s="2" t="s">
        <v>552</v>
      </c>
      <c r="V742" s="2" t="s">
        <v>3217</v>
      </c>
      <c r="W742" s="2" t="s">
        <v>239</v>
      </c>
      <c r="X742" s="2" t="s">
        <v>1798</v>
      </c>
      <c r="Y742" s="2" t="s">
        <v>2953</v>
      </c>
      <c r="Z742" s="4">
        <v>1596</v>
      </c>
      <c r="AA742" s="4">
        <f>=ROUNDDOWN(43.1351351351351,0)</f>
      </c>
      <c r="AB742" s="5">
        <v>37</v>
      </c>
      <c r="AC742" s="2" t="s">
        <v>235</v>
      </c>
      <c r="AD742" s="4"/>
      <c r="AE742" s="4"/>
      <c r="AF742" s="6">
        <v>77</v>
      </c>
      <c r="AG742" s="6"/>
      <c r="AH742" s="7">
        <v>1</v>
      </c>
      <c r="AI742" s="4"/>
      <c r="AJ742" s="4">
        <f>=ROUNDDOWN({0},0)</f>
      </c>
      <c r="AK742" s="5"/>
      <c r="AL742" s="2" t="s">
        <v>235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235</v>
      </c>
      <c r="AW742" s="8" t="s">
        <v>235</v>
      </c>
      <c r="AX742" s="4" t="s">
        <v>235</v>
      </c>
      <c r="AY742" s="8" t="s">
        <v>235</v>
      </c>
      <c r="AZ742" s="7" t="s">
        <v>235</v>
      </c>
      <c r="BA742" s="7" t="s">
        <v>235</v>
      </c>
      <c r="BB742" s="7"/>
      <c r="BC742" s="4" t="s">
        <v>235</v>
      </c>
      <c r="BD742" s="8" t="s">
        <v>235</v>
      </c>
      <c r="BE742" s="4" t="s">
        <v>235</v>
      </c>
      <c r="BF742" s="8" t="s">
        <v>235</v>
      </c>
      <c r="BG742" s="7" t="s">
        <v>235</v>
      </c>
      <c r="BH742" s="7" t="s">
        <v>235</v>
      </c>
      <c r="BI742" s="7"/>
      <c r="BJ742" s="4">
        <v>66</v>
      </c>
      <c r="BK742" s="8">
        <v>1278.5</v>
      </c>
      <c r="BL742" s="2" t="s">
        <v>3218</v>
      </c>
      <c r="BM742" s="7"/>
      <c r="BN742" s="7"/>
      <c r="BO742" s="4"/>
      <c r="BP742" s="8"/>
      <c r="BQ742" s="4"/>
      <c r="BR742" s="8"/>
      <c r="BS742" s="7"/>
      <c r="BT742" s="7"/>
      <c r="BU742" s="2" t="s">
        <v>3105</v>
      </c>
      <c r="BV742" s="2" t="s">
        <v>243</v>
      </c>
      <c r="BW742" s="2" t="s">
        <v>235</v>
      </c>
      <c r="BX742" s="2" t="s">
        <v>383</v>
      </c>
      <c r="BY742" s="2" t="s">
        <v>245</v>
      </c>
      <c r="BZ742" s="2" t="s">
        <v>232</v>
      </c>
      <c r="CA742" s="2" t="s">
        <v>3219</v>
      </c>
      <c r="CB742" s="2" t="s">
        <v>1194</v>
      </c>
      <c r="CC742" s="2" t="s">
        <v>248</v>
      </c>
      <c r="CD742" s="2" t="s">
        <v>248</v>
      </c>
      <c r="CE742" s="2" t="s">
        <v>235</v>
      </c>
      <c r="CF742" s="4">
        <v>1596</v>
      </c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>
        <v>1599</v>
      </c>
      <c r="GE742" s="4">
        <v>1593</v>
      </c>
      <c r="GF742" s="4">
        <v>1590</v>
      </c>
      <c r="GG742" s="4">
        <v>1587</v>
      </c>
      <c r="GH742" s="4">
        <v>1569</v>
      </c>
      <c r="GI742" s="4">
        <v>1526</v>
      </c>
      <c r="GJ742" s="4">
        <v>1446</v>
      </c>
      <c r="GK742" s="4">
        <v>1405</v>
      </c>
      <c r="GL742" s="4">
        <v>1365</v>
      </c>
      <c r="GM742" s="4">
        <v>1337</v>
      </c>
      <c r="GN742" s="4">
        <v>1311</v>
      </c>
      <c r="GO742" s="4">
        <v>1281</v>
      </c>
      <c r="GP742" s="4">
        <v>1249</v>
      </c>
      <c r="GQ742" s="4">
        <v>1202</v>
      </c>
      <c r="GR742" s="4">
        <v>1178</v>
      </c>
      <c r="GS742" s="4">
        <v>1139</v>
      </c>
      <c r="GT742" s="4">
        <v>1106</v>
      </c>
      <c r="GU742" s="4">
        <v>1076</v>
      </c>
      <c r="GV742" s="4">
        <v>1045</v>
      </c>
      <c r="GW742" s="4">
        <v>1022</v>
      </c>
      <c r="GX742" s="4">
        <v>1001</v>
      </c>
      <c r="GY742" s="4">
        <v>981</v>
      </c>
      <c r="GZ742" s="4">
        <v>961</v>
      </c>
      <c r="HA742" s="4">
        <v>941</v>
      </c>
      <c r="HB742" s="4">
        <v>921</v>
      </c>
      <c r="HC742" s="4">
        <v>901</v>
      </c>
      <c r="HD742" s="19">
        <v>199.9</v>
      </c>
      <c r="HE742" s="19">
        <v>93.7</v>
      </c>
      <c r="HF742" s="19">
        <v>44.2</v>
      </c>
      <c r="HG742" s="19">
        <v>34.5</v>
      </c>
      <c r="HH742" s="19">
        <v>30.8</v>
      </c>
      <c r="HI742" s="19">
        <v>32.5</v>
      </c>
      <c r="HJ742" s="19">
        <v>42.5</v>
      </c>
      <c r="HK742" s="19">
        <v>45.3</v>
      </c>
      <c r="HL742" s="19">
        <v>47.1</v>
      </c>
      <c r="HM742" s="19">
        <v>39.3</v>
      </c>
      <c r="HN742" s="19">
        <v>39.7</v>
      </c>
      <c r="HO742" s="19">
        <v>35.6</v>
      </c>
      <c r="HP742" s="19">
        <v>34.7</v>
      </c>
      <c r="HQ742" s="19">
        <v>37.6</v>
      </c>
      <c r="HR742" s="19">
        <v>35.7</v>
      </c>
      <c r="HS742" s="19">
        <v>39.3</v>
      </c>
      <c r="HT742" s="19">
        <v>42.5</v>
      </c>
      <c r="HU742" s="19">
        <v>44.8</v>
      </c>
      <c r="HV742" s="19">
        <v>49.8</v>
      </c>
      <c r="HW742" s="19">
        <v>51.1</v>
      </c>
      <c r="HX742" s="19">
        <v>50.1</v>
      </c>
      <c r="HY742" s="19">
        <v>49.1</v>
      </c>
      <c r="HZ742" s="19">
        <v>48.1</v>
      </c>
      <c r="IA742" s="19">
        <v>47.1</v>
      </c>
      <c r="IB742" s="19">
        <v>51.2</v>
      </c>
      <c r="IC742" s="19">
        <v>53</v>
      </c>
    </row>
    <row r="743">
      <c r="A743" s="2" t="s">
        <v>3220</v>
      </c>
      <c r="B743" s="2" t="s">
        <v>323</v>
      </c>
      <c r="C743" s="2" t="s">
        <v>1036</v>
      </c>
      <c r="D743" s="2" t="s">
        <v>257</v>
      </c>
      <c r="E743" s="2" t="s">
        <v>258</v>
      </c>
      <c r="F743" s="2" t="s">
        <v>3098</v>
      </c>
      <c r="G743" s="2" t="s">
        <v>3098</v>
      </c>
      <c r="H743" s="2" t="s">
        <v>3098</v>
      </c>
      <c r="I743" s="2" t="s">
        <v>3099</v>
      </c>
      <c r="J743" s="2" t="s">
        <v>230</v>
      </c>
      <c r="K743" s="2" t="s">
        <v>3215</v>
      </c>
      <c r="L743" s="3">
        <v>16.16</v>
      </c>
      <c r="M743" s="3">
        <v>16.97</v>
      </c>
      <c r="N743" s="3">
        <v>39.99</v>
      </c>
      <c r="O743" s="2" t="s">
        <v>232</v>
      </c>
      <c r="P743" s="2" t="s">
        <v>233</v>
      </c>
      <c r="Q743" s="2" t="s">
        <v>234</v>
      </c>
      <c r="R743" s="2" t="s">
        <v>235</v>
      </c>
      <c r="S743" s="2" t="s">
        <v>3216</v>
      </c>
      <c r="T743" s="2" t="s">
        <v>2908</v>
      </c>
      <c r="U743" s="2" t="s">
        <v>552</v>
      </c>
      <c r="V743" s="2" t="s">
        <v>3217</v>
      </c>
      <c r="W743" s="2" t="s">
        <v>239</v>
      </c>
      <c r="X743" s="2" t="s">
        <v>1798</v>
      </c>
      <c r="Y743" s="2" t="s">
        <v>2953</v>
      </c>
      <c r="Z743" s="4">
        <v>1184</v>
      </c>
      <c r="AA743" s="4">
        <f>=ROUNDDOWN(16.4444444444444,0)</f>
      </c>
      <c r="AB743" s="5">
        <v>72</v>
      </c>
      <c r="AC743" s="2" t="s">
        <v>235</v>
      </c>
      <c r="AD743" s="4"/>
      <c r="AE743" s="4"/>
      <c r="AF743" s="6">
        <v>77</v>
      </c>
      <c r="AG743" s="6"/>
      <c r="AH743" s="7">
        <v>1</v>
      </c>
      <c r="AI743" s="4"/>
      <c r="AJ743" s="4">
        <f>=ROUNDDOWN({0},0)</f>
      </c>
      <c r="AK743" s="5"/>
      <c r="AL743" s="2" t="s">
        <v>235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235</v>
      </c>
      <c r="AW743" s="8" t="s">
        <v>235</v>
      </c>
      <c r="AX743" s="4" t="s">
        <v>235</v>
      </c>
      <c r="AY743" s="8" t="s">
        <v>235</v>
      </c>
      <c r="AZ743" s="7" t="s">
        <v>235</v>
      </c>
      <c r="BA743" s="7" t="s">
        <v>235</v>
      </c>
      <c r="BB743" s="7"/>
      <c r="BC743" s="4" t="s">
        <v>235</v>
      </c>
      <c r="BD743" s="8" t="s">
        <v>235</v>
      </c>
      <c r="BE743" s="4" t="s">
        <v>235</v>
      </c>
      <c r="BF743" s="8" t="s">
        <v>235</v>
      </c>
      <c r="BG743" s="7" t="s">
        <v>235</v>
      </c>
      <c r="BH743" s="7" t="s">
        <v>235</v>
      </c>
      <c r="BI743" s="7"/>
      <c r="BJ743" s="4">
        <v>312</v>
      </c>
      <c r="BK743" s="8">
        <v>5830.49</v>
      </c>
      <c r="BL743" s="2" t="s">
        <v>3221</v>
      </c>
      <c r="BM743" s="7"/>
      <c r="BN743" s="7"/>
      <c r="BO743" s="4"/>
      <c r="BP743" s="8"/>
      <c r="BQ743" s="4"/>
      <c r="BR743" s="8"/>
      <c r="BS743" s="7"/>
      <c r="BT743" s="7"/>
      <c r="BU743" s="2" t="s">
        <v>3105</v>
      </c>
      <c r="BV743" s="2" t="s">
        <v>243</v>
      </c>
      <c r="BW743" s="2" t="s">
        <v>235</v>
      </c>
      <c r="BX743" s="2" t="s">
        <v>383</v>
      </c>
      <c r="BY743" s="2" t="s">
        <v>245</v>
      </c>
      <c r="BZ743" s="2" t="s">
        <v>232</v>
      </c>
      <c r="CA743" s="2" t="s">
        <v>3219</v>
      </c>
      <c r="CB743" s="2" t="s">
        <v>235</v>
      </c>
      <c r="CC743" s="2" t="s">
        <v>248</v>
      </c>
      <c r="CD743" s="2" t="s">
        <v>248</v>
      </c>
      <c r="CE743" s="2" t="s">
        <v>235</v>
      </c>
      <c r="CF743" s="4">
        <v>1184</v>
      </c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>
        <v>1184</v>
      </c>
      <c r="GE743" s="4">
        <v>1177</v>
      </c>
      <c r="GF743" s="4">
        <v>1172</v>
      </c>
      <c r="GG743" s="4">
        <v>1167</v>
      </c>
      <c r="GH743" s="4">
        <v>1162</v>
      </c>
      <c r="GI743" s="4">
        <v>1152</v>
      </c>
      <c r="GJ743" s="4">
        <v>1069</v>
      </c>
      <c r="GK743" s="4">
        <v>1025</v>
      </c>
      <c r="GL743" s="4">
        <v>982</v>
      </c>
      <c r="GM743" s="4">
        <v>951</v>
      </c>
      <c r="GN743" s="4">
        <v>921</v>
      </c>
      <c r="GO743" s="4">
        <v>885</v>
      </c>
      <c r="GP743" s="4">
        <v>844</v>
      </c>
      <c r="GQ743" s="4">
        <v>778</v>
      </c>
      <c r="GR743" s="4">
        <v>745</v>
      </c>
      <c r="GS743" s="4">
        <v>676</v>
      </c>
      <c r="GT743" s="4">
        <v>616</v>
      </c>
      <c r="GU743" s="4">
        <v>560</v>
      </c>
      <c r="GV743" s="4">
        <v>502</v>
      </c>
      <c r="GW743" s="4">
        <v>460</v>
      </c>
      <c r="GX743" s="4">
        <v>421</v>
      </c>
      <c r="GY743" s="4">
        <v>384</v>
      </c>
      <c r="GZ743" s="4">
        <v>346</v>
      </c>
      <c r="HA743" s="4">
        <v>308</v>
      </c>
      <c r="HB743" s="4">
        <v>270</v>
      </c>
      <c r="HC743" s="4">
        <v>232</v>
      </c>
      <c r="HD743" s="19">
        <v>197.3</v>
      </c>
      <c r="HE743" s="19">
        <v>196.2</v>
      </c>
      <c r="HF743" s="19">
        <v>45.1</v>
      </c>
      <c r="HG743" s="19">
        <v>32.4</v>
      </c>
      <c r="HH743" s="19">
        <v>25.8</v>
      </c>
      <c r="HI743" s="19">
        <v>23</v>
      </c>
      <c r="HJ743" s="19">
        <v>28.9</v>
      </c>
      <c r="HK743" s="19">
        <v>29.3</v>
      </c>
      <c r="HL743" s="19">
        <v>28.9</v>
      </c>
      <c r="HM743" s="19">
        <v>22.1</v>
      </c>
      <c r="HN743" s="19">
        <v>20.9</v>
      </c>
      <c r="HO743" s="19">
        <v>17</v>
      </c>
      <c r="HP743" s="19">
        <v>14.8</v>
      </c>
      <c r="HQ743" s="19">
        <v>14.4</v>
      </c>
      <c r="HR743" s="19">
        <v>12.2</v>
      </c>
      <c r="HS743" s="19">
        <v>12.5</v>
      </c>
      <c r="HT743" s="19">
        <v>12.6</v>
      </c>
      <c r="HU743" s="19">
        <v>12.7</v>
      </c>
      <c r="HV743" s="19">
        <v>12.9</v>
      </c>
      <c r="HW743" s="19">
        <v>12.1</v>
      </c>
      <c r="HX743" s="19">
        <v>11.1</v>
      </c>
      <c r="HY743" s="19">
        <v>10.1</v>
      </c>
      <c r="HZ743" s="19">
        <v>9.1</v>
      </c>
      <c r="IA743" s="19">
        <v>8.1</v>
      </c>
      <c r="IB743" s="19">
        <v>7.5</v>
      </c>
      <c r="IC743" s="19">
        <v>6.8</v>
      </c>
    </row>
    <row r="744">
      <c r="A744" s="2" t="s">
        <v>3222</v>
      </c>
      <c r="B744" s="2" t="s">
        <v>323</v>
      </c>
      <c r="C744" s="2" t="s">
        <v>1036</v>
      </c>
      <c r="D744" s="2" t="s">
        <v>257</v>
      </c>
      <c r="E744" s="2" t="s">
        <v>258</v>
      </c>
      <c r="F744" s="2" t="s">
        <v>3098</v>
      </c>
      <c r="G744" s="2" t="s">
        <v>3098</v>
      </c>
      <c r="H744" s="2" t="s">
        <v>3098</v>
      </c>
      <c r="I744" s="2" t="s">
        <v>3099</v>
      </c>
      <c r="J744" s="2" t="s">
        <v>250</v>
      </c>
      <c r="K744" s="2" t="s">
        <v>3215</v>
      </c>
      <c r="L744" s="3">
        <v>19.57</v>
      </c>
      <c r="M744" s="3">
        <v>20.55</v>
      </c>
      <c r="N744" s="3">
        <v>47.99</v>
      </c>
      <c r="O744" s="2" t="s">
        <v>232</v>
      </c>
      <c r="P744" s="2" t="s">
        <v>233</v>
      </c>
      <c r="Q744" s="2" t="s">
        <v>234</v>
      </c>
      <c r="R744" s="2" t="s">
        <v>235</v>
      </c>
      <c r="S744" s="2" t="s">
        <v>3216</v>
      </c>
      <c r="T744" s="2" t="s">
        <v>2908</v>
      </c>
      <c r="U744" s="2" t="s">
        <v>264</v>
      </c>
      <c r="V744" s="2" t="s">
        <v>3217</v>
      </c>
      <c r="W744" s="2" t="s">
        <v>239</v>
      </c>
      <c r="X744" s="2" t="s">
        <v>1798</v>
      </c>
      <c r="Y744" s="2" t="s">
        <v>2953</v>
      </c>
      <c r="Z744" s="4">
        <v>1291</v>
      </c>
      <c r="AA744" s="4">
        <f>=ROUNDDOWN(86.0666666666667,0)</f>
      </c>
      <c r="AB744" s="5">
        <v>15</v>
      </c>
      <c r="AC744" s="2" t="s">
        <v>235</v>
      </c>
      <c r="AD744" s="4"/>
      <c r="AE744" s="4"/>
      <c r="AF744" s="6">
        <v>77</v>
      </c>
      <c r="AG744" s="6"/>
      <c r="AH744" s="7">
        <v>1</v>
      </c>
      <c r="AI744" s="4"/>
      <c r="AJ744" s="4">
        <f>=ROUNDDOWN({0},0)</f>
      </c>
      <c r="AK744" s="5"/>
      <c r="AL744" s="2" t="s">
        <v>235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235</v>
      </c>
      <c r="AW744" s="8" t="s">
        <v>235</v>
      </c>
      <c r="AX744" s="4" t="s">
        <v>235</v>
      </c>
      <c r="AY744" s="8" t="s">
        <v>235</v>
      </c>
      <c r="AZ744" s="7" t="s">
        <v>235</v>
      </c>
      <c r="BA744" s="7" t="s">
        <v>235</v>
      </c>
      <c r="BB744" s="7"/>
      <c r="BC744" s="4" t="s">
        <v>235</v>
      </c>
      <c r="BD744" s="8" t="s">
        <v>235</v>
      </c>
      <c r="BE744" s="4" t="s">
        <v>235</v>
      </c>
      <c r="BF744" s="8" t="s">
        <v>235</v>
      </c>
      <c r="BG744" s="7" t="s">
        <v>235</v>
      </c>
      <c r="BH744" s="7" t="s">
        <v>235</v>
      </c>
      <c r="BI744" s="7"/>
      <c r="BJ744" s="4">
        <v>39</v>
      </c>
      <c r="BK744" s="8">
        <v>895.66</v>
      </c>
      <c r="BL744" s="2" t="s">
        <v>3223</v>
      </c>
      <c r="BM744" s="7"/>
      <c r="BN744" s="7"/>
      <c r="BO744" s="4"/>
      <c r="BP744" s="8"/>
      <c r="BQ744" s="4"/>
      <c r="BR744" s="8"/>
      <c r="BS744" s="7"/>
      <c r="BT744" s="7"/>
      <c r="BU744" s="2" t="s">
        <v>3105</v>
      </c>
      <c r="BV744" s="2" t="s">
        <v>243</v>
      </c>
      <c r="BW744" s="2" t="s">
        <v>235</v>
      </c>
      <c r="BX744" s="2" t="s">
        <v>383</v>
      </c>
      <c r="BY744" s="2" t="s">
        <v>245</v>
      </c>
      <c r="BZ744" s="2" t="s">
        <v>232</v>
      </c>
      <c r="CA744" s="2" t="s">
        <v>2187</v>
      </c>
      <c r="CB744" s="2" t="s">
        <v>2821</v>
      </c>
      <c r="CC744" s="2" t="s">
        <v>248</v>
      </c>
      <c r="CD744" s="2" t="s">
        <v>248</v>
      </c>
      <c r="CE744" s="2" t="s">
        <v>235</v>
      </c>
      <c r="CF744" s="4">
        <v>1291</v>
      </c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>
        <v>1293</v>
      </c>
      <c r="GE744" s="4">
        <v>1286</v>
      </c>
      <c r="GF744" s="4">
        <v>1283</v>
      </c>
      <c r="GG744" s="4">
        <v>1276</v>
      </c>
      <c r="GH744" s="4">
        <v>1255</v>
      </c>
      <c r="GI744" s="4">
        <v>1221</v>
      </c>
      <c r="GJ744" s="4">
        <v>1159</v>
      </c>
      <c r="GK744" s="4">
        <v>1127</v>
      </c>
      <c r="GL744" s="4">
        <v>1096</v>
      </c>
      <c r="GM744" s="4">
        <v>1074</v>
      </c>
      <c r="GN744" s="4">
        <v>1052</v>
      </c>
      <c r="GO744" s="4">
        <v>1026</v>
      </c>
      <c r="GP744" s="4">
        <v>997</v>
      </c>
      <c r="GQ744" s="4">
        <v>953</v>
      </c>
      <c r="GR744" s="4">
        <v>931</v>
      </c>
      <c r="GS744" s="4">
        <v>908</v>
      </c>
      <c r="GT744" s="4">
        <v>891</v>
      </c>
      <c r="GU744" s="4">
        <v>877</v>
      </c>
      <c r="GV744" s="4">
        <v>862</v>
      </c>
      <c r="GW744" s="4">
        <v>850</v>
      </c>
      <c r="GX744" s="4">
        <v>840</v>
      </c>
      <c r="GY744" s="4">
        <v>831</v>
      </c>
      <c r="GZ744" s="4">
        <v>822</v>
      </c>
      <c r="HA744" s="4">
        <v>813</v>
      </c>
      <c r="HB744" s="4">
        <v>804</v>
      </c>
      <c r="HC744" s="4">
        <v>795</v>
      </c>
      <c r="HD744" s="19">
        <v>129.3</v>
      </c>
      <c r="HE744" s="19">
        <v>80.4</v>
      </c>
      <c r="HF744" s="19">
        <v>41.4</v>
      </c>
      <c r="HG744" s="19">
        <v>34.5</v>
      </c>
      <c r="HH744" s="19">
        <v>31.4</v>
      </c>
      <c r="HI744" s="19">
        <v>33</v>
      </c>
      <c r="HJ744" s="19">
        <v>42.9</v>
      </c>
      <c r="HK744" s="19">
        <v>45.1</v>
      </c>
      <c r="HL744" s="19">
        <v>43.8</v>
      </c>
      <c r="HM744" s="19">
        <v>35.8</v>
      </c>
      <c r="HN744" s="19">
        <v>35.1</v>
      </c>
      <c r="HO744" s="19">
        <v>34.2</v>
      </c>
      <c r="HP744" s="19">
        <v>38.3</v>
      </c>
      <c r="HQ744" s="19">
        <v>50.2</v>
      </c>
      <c r="HR744" s="19">
        <v>54.8</v>
      </c>
      <c r="HS744" s="19">
        <v>64.9</v>
      </c>
      <c r="HT744" s="19">
        <v>68.5</v>
      </c>
      <c r="HU744" s="19">
        <v>73.1</v>
      </c>
      <c r="HV744" s="19">
        <v>86.2</v>
      </c>
      <c r="HW744" s="19">
        <v>94.4</v>
      </c>
      <c r="HX744" s="19">
        <v>93.3</v>
      </c>
      <c r="HY744" s="19">
        <v>92.3</v>
      </c>
      <c r="HZ744" s="19">
        <v>91.3</v>
      </c>
      <c r="IA744" s="19">
        <v>101.6</v>
      </c>
      <c r="IB744" s="19">
        <v>100.5</v>
      </c>
      <c r="IC744" s="19">
        <v>99.4</v>
      </c>
    </row>
    <row r="745">
      <c r="A745" s="2" t="s">
        <v>3224</v>
      </c>
      <c r="B745" s="2" t="s">
        <v>323</v>
      </c>
      <c r="C745" s="2" t="s">
        <v>1036</v>
      </c>
      <c r="D745" s="2" t="s">
        <v>257</v>
      </c>
      <c r="E745" s="2" t="s">
        <v>258</v>
      </c>
      <c r="F745" s="2" t="s">
        <v>3098</v>
      </c>
      <c r="G745" s="2" t="s">
        <v>3098</v>
      </c>
      <c r="H745" s="2" t="s">
        <v>3098</v>
      </c>
      <c r="I745" s="2" t="s">
        <v>3099</v>
      </c>
      <c r="J745" s="2" t="s">
        <v>270</v>
      </c>
      <c r="K745" s="2" t="s">
        <v>3215</v>
      </c>
      <c r="L745" s="3">
        <v>27.39</v>
      </c>
      <c r="M745" s="3">
        <v>28.76</v>
      </c>
      <c r="N745" s="3">
        <v>67.99</v>
      </c>
      <c r="O745" s="2" t="s">
        <v>232</v>
      </c>
      <c r="P745" s="2" t="s">
        <v>233</v>
      </c>
      <c r="Q745" s="2" t="s">
        <v>234</v>
      </c>
      <c r="R745" s="2" t="s">
        <v>235</v>
      </c>
      <c r="S745" s="2" t="s">
        <v>3216</v>
      </c>
      <c r="T745" s="2" t="s">
        <v>2908</v>
      </c>
      <c r="U745" s="2" t="s">
        <v>264</v>
      </c>
      <c r="V745" s="2" t="s">
        <v>3217</v>
      </c>
      <c r="W745" s="2" t="s">
        <v>239</v>
      </c>
      <c r="X745" s="2" t="s">
        <v>1798</v>
      </c>
      <c r="Y745" s="2" t="s">
        <v>2953</v>
      </c>
      <c r="Z745" s="4">
        <v>922</v>
      </c>
      <c r="AA745" s="4">
        <f>=ROUNDDOWN(65.8571428571429,0)</f>
      </c>
      <c r="AB745" s="5">
        <v>14</v>
      </c>
      <c r="AC745" s="2" t="s">
        <v>235</v>
      </c>
      <c r="AD745" s="4"/>
      <c r="AE745" s="4"/>
      <c r="AF745" s="6">
        <v>77</v>
      </c>
      <c r="AG745" s="6"/>
      <c r="AH745" s="7">
        <v>1</v>
      </c>
      <c r="AI745" s="4"/>
      <c r="AJ745" s="4">
        <f>=ROUNDDOWN({0},0)</f>
      </c>
      <c r="AK745" s="5"/>
      <c r="AL745" s="2" t="s">
        <v>235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235</v>
      </c>
      <c r="AW745" s="8" t="s">
        <v>235</v>
      </c>
      <c r="AX745" s="4" t="s">
        <v>235</v>
      </c>
      <c r="AY745" s="8" t="s">
        <v>235</v>
      </c>
      <c r="AZ745" s="7" t="s">
        <v>235</v>
      </c>
      <c r="BA745" s="7" t="s">
        <v>235</v>
      </c>
      <c r="BB745" s="7"/>
      <c r="BC745" s="4" t="s">
        <v>235</v>
      </c>
      <c r="BD745" s="8" t="s">
        <v>235</v>
      </c>
      <c r="BE745" s="4" t="s">
        <v>235</v>
      </c>
      <c r="BF745" s="8" t="s">
        <v>235</v>
      </c>
      <c r="BG745" s="7" t="s">
        <v>235</v>
      </c>
      <c r="BH745" s="7" t="s">
        <v>235</v>
      </c>
      <c r="BI745" s="7"/>
      <c r="BJ745" s="4">
        <v>8</v>
      </c>
      <c r="BK745" s="8">
        <v>334.57</v>
      </c>
      <c r="BL745" s="2" t="s">
        <v>3225</v>
      </c>
      <c r="BM745" s="7"/>
      <c r="BN745" s="7"/>
      <c r="BO745" s="4"/>
      <c r="BP745" s="8"/>
      <c r="BQ745" s="4"/>
      <c r="BR745" s="8"/>
      <c r="BS745" s="7"/>
      <c r="BT745" s="7"/>
      <c r="BU745" s="2" t="s">
        <v>3105</v>
      </c>
      <c r="BV745" s="2" t="s">
        <v>243</v>
      </c>
      <c r="BW745" s="2" t="s">
        <v>235</v>
      </c>
      <c r="BX745" s="2" t="s">
        <v>383</v>
      </c>
      <c r="BY745" s="2" t="s">
        <v>245</v>
      </c>
      <c r="BZ745" s="2" t="s">
        <v>232</v>
      </c>
      <c r="CA745" s="2" t="s">
        <v>2190</v>
      </c>
      <c r="CB745" s="2" t="s">
        <v>2842</v>
      </c>
      <c r="CC745" s="2" t="s">
        <v>248</v>
      </c>
      <c r="CD745" s="2" t="s">
        <v>248</v>
      </c>
      <c r="CE745" s="2" t="s">
        <v>235</v>
      </c>
      <c r="CF745" s="4">
        <v>922</v>
      </c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>
        <v>922</v>
      </c>
      <c r="GE745" s="4">
        <v>916</v>
      </c>
      <c r="GF745" s="4">
        <v>905</v>
      </c>
      <c r="GG745" s="4">
        <v>889</v>
      </c>
      <c r="GH745" s="4">
        <v>870</v>
      </c>
      <c r="GI745" s="4">
        <v>839</v>
      </c>
      <c r="GJ745" s="4">
        <v>783</v>
      </c>
      <c r="GK745" s="4">
        <v>754</v>
      </c>
      <c r="GL745" s="4">
        <v>726</v>
      </c>
      <c r="GM745" s="4">
        <v>706</v>
      </c>
      <c r="GN745" s="4">
        <v>686</v>
      </c>
      <c r="GO745" s="4">
        <v>662</v>
      </c>
      <c r="GP745" s="4">
        <v>634</v>
      </c>
      <c r="GQ745" s="4">
        <v>591</v>
      </c>
      <c r="GR745" s="4">
        <v>569</v>
      </c>
      <c r="GS745" s="4">
        <v>546</v>
      </c>
      <c r="GT745" s="4">
        <v>529</v>
      </c>
      <c r="GU745" s="4">
        <v>515</v>
      </c>
      <c r="GV745" s="4">
        <v>500</v>
      </c>
      <c r="GW745" s="4">
        <v>489</v>
      </c>
      <c r="GX745" s="4">
        <v>480</v>
      </c>
      <c r="GY745" s="4">
        <v>472</v>
      </c>
      <c r="GZ745" s="4">
        <v>464</v>
      </c>
      <c r="HA745" s="4">
        <v>456</v>
      </c>
      <c r="HB745" s="4">
        <v>448</v>
      </c>
      <c r="HC745" s="4">
        <v>440</v>
      </c>
      <c r="HD745" s="19">
        <v>70.9</v>
      </c>
      <c r="HE745" s="19">
        <v>48.2</v>
      </c>
      <c r="HF745" s="19">
        <v>30.2</v>
      </c>
      <c r="HG745" s="19">
        <v>26.1</v>
      </c>
      <c r="HH745" s="19">
        <v>24.2</v>
      </c>
      <c r="HI745" s="19">
        <v>25.4</v>
      </c>
      <c r="HJ745" s="19">
        <v>32.6</v>
      </c>
      <c r="HK745" s="19">
        <v>32.8</v>
      </c>
      <c r="HL745" s="19">
        <v>31.6</v>
      </c>
      <c r="HM745" s="19">
        <v>24.3</v>
      </c>
      <c r="HN745" s="19">
        <v>23.7</v>
      </c>
      <c r="HO745" s="19">
        <v>22.8</v>
      </c>
      <c r="HP745" s="19">
        <v>24.4</v>
      </c>
      <c r="HQ745" s="19">
        <v>31.1</v>
      </c>
      <c r="HR745" s="19">
        <v>33.5</v>
      </c>
      <c r="HS745" s="19">
        <v>39</v>
      </c>
      <c r="HT745" s="19">
        <v>44.1</v>
      </c>
      <c r="HU745" s="19">
        <v>46.8</v>
      </c>
      <c r="HV745" s="19">
        <v>55.6</v>
      </c>
      <c r="HW745" s="19">
        <v>61.1</v>
      </c>
      <c r="HX745" s="19">
        <v>60</v>
      </c>
      <c r="HY745" s="19">
        <v>59</v>
      </c>
      <c r="HZ745" s="19">
        <v>58</v>
      </c>
      <c r="IA745" s="19">
        <v>57</v>
      </c>
      <c r="IB745" s="19">
        <v>64</v>
      </c>
      <c r="IC745" s="19">
        <v>73.3</v>
      </c>
    </row>
    <row r="746">
      <c r="A746" s="2" t="s">
        <v>3226</v>
      </c>
      <c r="B746" s="2" t="s">
        <v>323</v>
      </c>
      <c r="C746" s="2" t="s">
        <v>1036</v>
      </c>
      <c r="D746" s="2" t="s">
        <v>257</v>
      </c>
      <c r="E746" s="2" t="s">
        <v>258</v>
      </c>
      <c r="F746" s="2" t="s">
        <v>3098</v>
      </c>
      <c r="G746" s="2" t="s">
        <v>3098</v>
      </c>
      <c r="H746" s="2" t="s">
        <v>3098</v>
      </c>
      <c r="I746" s="2" t="s">
        <v>3099</v>
      </c>
      <c r="J746" s="2" t="s">
        <v>272</v>
      </c>
      <c r="K746" s="2" t="s">
        <v>3215</v>
      </c>
      <c r="L746" s="3">
        <v>27.39</v>
      </c>
      <c r="M746" s="3">
        <v>28.76</v>
      </c>
      <c r="N746" s="3">
        <v>67.99</v>
      </c>
      <c r="O746" s="2" t="s">
        <v>232</v>
      </c>
      <c r="P746" s="2" t="s">
        <v>233</v>
      </c>
      <c r="Q746" s="2" t="s">
        <v>234</v>
      </c>
      <c r="R746" s="2" t="s">
        <v>235</v>
      </c>
      <c r="S746" s="2" t="s">
        <v>3216</v>
      </c>
      <c r="T746" s="2" t="s">
        <v>2908</v>
      </c>
      <c r="U746" s="2" t="s">
        <v>264</v>
      </c>
      <c r="V746" s="2" t="s">
        <v>3217</v>
      </c>
      <c r="W746" s="2" t="s">
        <v>239</v>
      </c>
      <c r="X746" s="2" t="s">
        <v>1798</v>
      </c>
      <c r="Y746" s="2" t="s">
        <v>2953</v>
      </c>
      <c r="Z746" s="4">
        <v>685</v>
      </c>
      <c r="AA746" s="4">
        <f>=ROUNDDOWN(137,0)</f>
      </c>
      <c r="AB746" s="5">
        <v>5</v>
      </c>
      <c r="AC746" s="2" t="s">
        <v>235</v>
      </c>
      <c r="AD746" s="4"/>
      <c r="AE746" s="4"/>
      <c r="AF746" s="6">
        <v>77</v>
      </c>
      <c r="AG746" s="6"/>
      <c r="AH746" s="7">
        <v>1</v>
      </c>
      <c r="AI746" s="4"/>
      <c r="AJ746" s="4">
        <f>=ROUNDDOWN({0},0)</f>
      </c>
      <c r="AK746" s="5"/>
      <c r="AL746" s="2" t="s">
        <v>235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235</v>
      </c>
      <c r="AW746" s="8" t="s">
        <v>235</v>
      </c>
      <c r="AX746" s="4" t="s">
        <v>235</v>
      </c>
      <c r="AY746" s="8" t="s">
        <v>235</v>
      </c>
      <c r="AZ746" s="7" t="s">
        <v>235</v>
      </c>
      <c r="BA746" s="7" t="s">
        <v>235</v>
      </c>
      <c r="BB746" s="7"/>
      <c r="BC746" s="4" t="s">
        <v>235</v>
      </c>
      <c r="BD746" s="8" t="s">
        <v>235</v>
      </c>
      <c r="BE746" s="4" t="s">
        <v>235</v>
      </c>
      <c r="BF746" s="8" t="s">
        <v>235</v>
      </c>
      <c r="BG746" s="7" t="s">
        <v>235</v>
      </c>
      <c r="BH746" s="7" t="s">
        <v>235</v>
      </c>
      <c r="BI746" s="7"/>
      <c r="BJ746" s="4">
        <v>5</v>
      </c>
      <c r="BK746" s="8">
        <v>150.45</v>
      </c>
      <c r="BL746" s="2" t="s">
        <v>3227</v>
      </c>
      <c r="BM746" s="7"/>
      <c r="BN746" s="7"/>
      <c r="BO746" s="4"/>
      <c r="BP746" s="8"/>
      <c r="BQ746" s="4"/>
      <c r="BR746" s="8"/>
      <c r="BS746" s="7"/>
      <c r="BT746" s="7"/>
      <c r="BU746" s="2" t="s">
        <v>3105</v>
      </c>
      <c r="BV746" s="2" t="s">
        <v>243</v>
      </c>
      <c r="BW746" s="2" t="s">
        <v>235</v>
      </c>
      <c r="BX746" s="2" t="s">
        <v>383</v>
      </c>
      <c r="BY746" s="2" t="s">
        <v>245</v>
      </c>
      <c r="BZ746" s="2" t="s">
        <v>232</v>
      </c>
      <c r="CA746" s="2" t="s">
        <v>3219</v>
      </c>
      <c r="CB746" s="2" t="s">
        <v>235</v>
      </c>
      <c r="CC746" s="2" t="s">
        <v>248</v>
      </c>
      <c r="CD746" s="2" t="s">
        <v>248</v>
      </c>
      <c r="CE746" s="2" t="s">
        <v>235</v>
      </c>
      <c r="CF746" s="4">
        <v>685</v>
      </c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>
        <v>687</v>
      </c>
      <c r="GE746" s="4">
        <v>681</v>
      </c>
      <c r="GF746" s="4">
        <v>677</v>
      </c>
      <c r="GG746" s="4">
        <v>671</v>
      </c>
      <c r="GH746" s="4">
        <v>664</v>
      </c>
      <c r="GI746" s="4">
        <v>653</v>
      </c>
      <c r="GJ746" s="4">
        <v>632</v>
      </c>
      <c r="GK746" s="4">
        <v>621</v>
      </c>
      <c r="GL746" s="4">
        <v>611</v>
      </c>
      <c r="GM746" s="4">
        <v>604</v>
      </c>
      <c r="GN746" s="4">
        <v>597</v>
      </c>
      <c r="GO746" s="4">
        <v>588</v>
      </c>
      <c r="GP746" s="4">
        <v>579</v>
      </c>
      <c r="GQ746" s="4">
        <v>565</v>
      </c>
      <c r="GR746" s="4">
        <v>557</v>
      </c>
      <c r="GS746" s="4">
        <v>549</v>
      </c>
      <c r="GT746" s="4">
        <v>543</v>
      </c>
      <c r="GU746" s="4">
        <v>538</v>
      </c>
      <c r="GV746" s="4">
        <v>533</v>
      </c>
      <c r="GW746" s="4">
        <v>529</v>
      </c>
      <c r="GX746" s="4">
        <v>525</v>
      </c>
      <c r="GY746" s="4">
        <v>522</v>
      </c>
      <c r="GZ746" s="4">
        <v>519</v>
      </c>
      <c r="HA746" s="4">
        <v>516</v>
      </c>
      <c r="HB746" s="4">
        <v>513</v>
      </c>
      <c r="HC746" s="4">
        <v>510</v>
      </c>
      <c r="HD746" s="19">
        <v>114.5</v>
      </c>
      <c r="HE746" s="19">
        <v>97.3</v>
      </c>
      <c r="HF746" s="19">
        <v>61.5</v>
      </c>
      <c r="HG746" s="19">
        <v>55.9</v>
      </c>
      <c r="HH746" s="19">
        <v>51.1</v>
      </c>
      <c r="HI746" s="19">
        <v>54.4</v>
      </c>
      <c r="HJ746" s="19">
        <v>70.2</v>
      </c>
      <c r="HK746" s="19">
        <v>77.6</v>
      </c>
      <c r="HL746" s="19">
        <v>76.4</v>
      </c>
      <c r="HM746" s="19">
        <v>60.4</v>
      </c>
      <c r="HN746" s="19">
        <v>59.7</v>
      </c>
      <c r="HO746" s="19">
        <v>58.8</v>
      </c>
      <c r="HP746" s="19">
        <v>64.3</v>
      </c>
      <c r="HQ746" s="19">
        <v>80.7</v>
      </c>
      <c r="HR746" s="19">
        <v>92.8</v>
      </c>
      <c r="HS746" s="19">
        <v>109.8</v>
      </c>
      <c r="HT746" s="19">
        <v>135.8</v>
      </c>
      <c r="HU746" s="19">
        <v>134.5</v>
      </c>
      <c r="HV746" s="19">
        <v>133.3</v>
      </c>
      <c r="HW746" s="19">
        <v>176.3</v>
      </c>
      <c r="HX746" s="19">
        <v>175</v>
      </c>
      <c r="HY746" s="19">
        <v>174</v>
      </c>
      <c r="HZ746" s="19">
        <v>173</v>
      </c>
      <c r="IA746" s="19">
        <v>172</v>
      </c>
      <c r="IB746" s="19">
        <v>171</v>
      </c>
      <c r="IC746" s="19">
        <v>255</v>
      </c>
    </row>
    <row r="747">
      <c r="A747" s="2" t="s">
        <v>3228</v>
      </c>
      <c r="B747" s="2" t="s">
        <v>323</v>
      </c>
      <c r="C747" s="2" t="s">
        <v>1036</v>
      </c>
      <c r="D747" s="2" t="s">
        <v>257</v>
      </c>
      <c r="E747" s="2" t="s">
        <v>258</v>
      </c>
      <c r="F747" s="2" t="s">
        <v>3098</v>
      </c>
      <c r="G747" s="2" t="s">
        <v>3098</v>
      </c>
      <c r="H747" s="2" t="s">
        <v>3098</v>
      </c>
      <c r="I747" s="2" t="s">
        <v>3099</v>
      </c>
      <c r="J747" s="2" t="s">
        <v>394</v>
      </c>
      <c r="K747" s="2" t="s">
        <v>3229</v>
      </c>
      <c r="L747" s="3">
        <v>14.89</v>
      </c>
      <c r="M747" s="3">
        <v>15.63</v>
      </c>
      <c r="N747" s="3">
        <v>31.99</v>
      </c>
      <c r="O747" s="2" t="s">
        <v>232</v>
      </c>
      <c r="P747" s="2" t="s">
        <v>233</v>
      </c>
      <c r="Q747" s="2" t="s">
        <v>234</v>
      </c>
      <c r="R747" s="2" t="s">
        <v>235</v>
      </c>
      <c r="S747" s="2" t="s">
        <v>3230</v>
      </c>
      <c r="T747" s="2" t="s">
        <v>2908</v>
      </c>
      <c r="U747" s="2" t="s">
        <v>552</v>
      </c>
      <c r="V747" s="2" t="s">
        <v>2919</v>
      </c>
      <c r="W747" s="2" t="s">
        <v>1798</v>
      </c>
      <c r="X747" s="2" t="s">
        <v>239</v>
      </c>
      <c r="Y747" s="2" t="s">
        <v>3231</v>
      </c>
      <c r="Z747" s="4">
        <v>375</v>
      </c>
      <c r="AA747" s="4">
        <f>=ROUNDDOWN(23.4375,0)</f>
      </c>
      <c r="AB747" s="5">
        <v>16</v>
      </c>
      <c r="AC747" s="2" t="s">
        <v>2503</v>
      </c>
      <c r="AD747" s="4">
        <v>30</v>
      </c>
      <c r="AE747" s="4">
        <v>275</v>
      </c>
      <c r="AF747" s="6">
        <v>82</v>
      </c>
      <c r="AG747" s="6"/>
      <c r="AH747" s="7">
        <v>1</v>
      </c>
      <c r="AI747" s="4"/>
      <c r="AJ747" s="4">
        <f>=ROUNDDOWN({0},0)</f>
      </c>
      <c r="AK747" s="5"/>
      <c r="AL747" s="2" t="s">
        <v>235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235</v>
      </c>
      <c r="AW747" s="8" t="s">
        <v>235</v>
      </c>
      <c r="AX747" s="4" t="s">
        <v>235</v>
      </c>
      <c r="AY747" s="8" t="s">
        <v>235</v>
      </c>
      <c r="AZ747" s="7" t="s">
        <v>235</v>
      </c>
      <c r="BA747" s="7" t="s">
        <v>235</v>
      </c>
      <c r="BB747" s="7"/>
      <c r="BC747" s="4" t="s">
        <v>235</v>
      </c>
      <c r="BD747" s="8" t="s">
        <v>235</v>
      </c>
      <c r="BE747" s="4" t="s">
        <v>235</v>
      </c>
      <c r="BF747" s="8" t="s">
        <v>235</v>
      </c>
      <c r="BG747" s="7" t="s">
        <v>235</v>
      </c>
      <c r="BH747" s="7" t="s">
        <v>235</v>
      </c>
      <c r="BI747" s="7"/>
      <c r="BJ747" s="4"/>
      <c r="BK747" s="8"/>
      <c r="BL747" s="2" t="s">
        <v>3232</v>
      </c>
      <c r="BM747" s="7"/>
      <c r="BN747" s="7"/>
      <c r="BO747" s="4"/>
      <c r="BP747" s="8"/>
      <c r="BQ747" s="4"/>
      <c r="BR747" s="8"/>
      <c r="BS747" s="7"/>
      <c r="BT747" s="7"/>
      <c r="BU747" s="2" t="s">
        <v>3105</v>
      </c>
      <c r="BV747" s="2" t="s">
        <v>243</v>
      </c>
      <c r="BW747" s="2" t="s">
        <v>235</v>
      </c>
      <c r="BX747" s="2" t="s">
        <v>383</v>
      </c>
      <c r="BY747" s="2" t="s">
        <v>245</v>
      </c>
      <c r="BZ747" s="2" t="s">
        <v>232</v>
      </c>
      <c r="CA747" s="2" t="s">
        <v>1701</v>
      </c>
      <c r="CB747" s="2" t="s">
        <v>3233</v>
      </c>
      <c r="CC747" s="2" t="s">
        <v>248</v>
      </c>
      <c r="CD747" s="2" t="s">
        <v>248</v>
      </c>
      <c r="CE747" s="2" t="s">
        <v>235</v>
      </c>
      <c r="CF747" s="4">
        <v>375</v>
      </c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>
        <v>30</v>
      </c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>
        <v>83</v>
      </c>
      <c r="EK747" s="4"/>
      <c r="EL747" s="4"/>
      <c r="EM747" s="4"/>
      <c r="EN747" s="4"/>
      <c r="EO747" s="4"/>
      <c r="EP747" s="4"/>
      <c r="EQ747" s="4">
        <v>162</v>
      </c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>
        <v>375</v>
      </c>
      <c r="GE747" s="4">
        <v>371</v>
      </c>
      <c r="GF747" s="4">
        <v>395</v>
      </c>
      <c r="GG747" s="4">
        <v>377</v>
      </c>
      <c r="GH747" s="4">
        <v>355</v>
      </c>
      <c r="GI747" s="4">
        <v>320</v>
      </c>
      <c r="GJ747" s="4">
        <v>257</v>
      </c>
      <c r="GK747" s="4">
        <v>224</v>
      </c>
      <c r="GL747" s="4">
        <v>192</v>
      </c>
      <c r="GM747" s="4">
        <v>252</v>
      </c>
      <c r="GN747" s="4">
        <v>391</v>
      </c>
      <c r="GO747" s="4">
        <v>363</v>
      </c>
      <c r="GP747" s="4">
        <v>331</v>
      </c>
      <c r="GQ747" s="4">
        <v>281</v>
      </c>
      <c r="GR747" s="4">
        <v>256</v>
      </c>
      <c r="GS747" s="4">
        <v>230</v>
      </c>
      <c r="GT747" s="4">
        <v>211</v>
      </c>
      <c r="GU747" s="4">
        <v>196</v>
      </c>
      <c r="GV747" s="4">
        <v>179</v>
      </c>
      <c r="GW747" s="4">
        <v>166</v>
      </c>
      <c r="GX747" s="4">
        <v>155</v>
      </c>
      <c r="GY747" s="4">
        <v>146</v>
      </c>
      <c r="GZ747" s="4">
        <v>136</v>
      </c>
      <c r="HA747" s="4">
        <v>126</v>
      </c>
      <c r="HB747" s="4">
        <v>116</v>
      </c>
      <c r="HC747" s="4">
        <v>106</v>
      </c>
      <c r="HD747" s="19">
        <v>31.3</v>
      </c>
      <c r="HE747" s="19">
        <v>18.6</v>
      </c>
      <c r="HF747" s="19">
        <v>11.6</v>
      </c>
      <c r="HG747" s="19">
        <v>9.9</v>
      </c>
      <c r="HH747" s="19">
        <v>8.7</v>
      </c>
      <c r="HI747" s="19">
        <v>8.4</v>
      </c>
      <c r="HJ747" s="19">
        <v>9.2</v>
      </c>
      <c r="HK747" s="19">
        <v>8.6</v>
      </c>
      <c r="HL747" s="19">
        <v>7.4</v>
      </c>
      <c r="HM747" s="19">
        <v>7.6</v>
      </c>
      <c r="HN747" s="19">
        <v>11.5</v>
      </c>
      <c r="HO747" s="19">
        <v>11</v>
      </c>
      <c r="HP747" s="19">
        <v>11</v>
      </c>
      <c r="HQ747" s="19">
        <v>13.4</v>
      </c>
      <c r="HR747" s="19">
        <v>13.5</v>
      </c>
      <c r="HS747" s="19">
        <v>14.4</v>
      </c>
      <c r="HT747" s="19">
        <v>15.1</v>
      </c>
      <c r="HU747" s="19">
        <v>16.3</v>
      </c>
      <c r="HV747" s="19">
        <v>16.3</v>
      </c>
      <c r="HW747" s="19">
        <v>16.6</v>
      </c>
      <c r="HX747" s="19">
        <v>15.5</v>
      </c>
      <c r="HY747" s="19">
        <v>14.6</v>
      </c>
      <c r="HZ747" s="19">
        <v>13.6</v>
      </c>
      <c r="IA747" s="19">
        <v>12.6</v>
      </c>
      <c r="IB747" s="19">
        <v>12.9</v>
      </c>
      <c r="IC747" s="19">
        <v>13.3</v>
      </c>
    </row>
    <row r="748">
      <c r="A748" s="2" t="s">
        <v>3234</v>
      </c>
      <c r="B748" s="2" t="s">
        <v>323</v>
      </c>
      <c r="C748" s="2" t="s">
        <v>1036</v>
      </c>
      <c r="D748" s="2" t="s">
        <v>257</v>
      </c>
      <c r="E748" s="2" t="s">
        <v>258</v>
      </c>
      <c r="F748" s="2" t="s">
        <v>3098</v>
      </c>
      <c r="G748" s="2" t="s">
        <v>3098</v>
      </c>
      <c r="H748" s="2" t="s">
        <v>3098</v>
      </c>
      <c r="I748" s="2" t="s">
        <v>3099</v>
      </c>
      <c r="J748" s="2" t="s">
        <v>230</v>
      </c>
      <c r="K748" s="2" t="s">
        <v>3229</v>
      </c>
      <c r="L748" s="3">
        <v>16.16</v>
      </c>
      <c r="M748" s="3">
        <v>16.97</v>
      </c>
      <c r="N748" s="3">
        <v>34.99</v>
      </c>
      <c r="O748" s="2" t="s">
        <v>232</v>
      </c>
      <c r="P748" s="2" t="s">
        <v>233</v>
      </c>
      <c r="Q748" s="2" t="s">
        <v>234</v>
      </c>
      <c r="R748" s="2" t="s">
        <v>235</v>
      </c>
      <c r="S748" s="2" t="s">
        <v>3230</v>
      </c>
      <c r="T748" s="2" t="s">
        <v>2908</v>
      </c>
      <c r="U748" s="2" t="s">
        <v>552</v>
      </c>
      <c r="V748" s="2" t="s">
        <v>2919</v>
      </c>
      <c r="W748" s="2" t="s">
        <v>1798</v>
      </c>
      <c r="X748" s="2" t="s">
        <v>239</v>
      </c>
      <c r="Y748" s="2" t="s">
        <v>3231</v>
      </c>
      <c r="Z748" s="4">
        <v>244</v>
      </c>
      <c r="AA748" s="4">
        <f>=ROUNDDOWN(22.1818181818182,0)</f>
      </c>
      <c r="AB748" s="5">
        <v>11</v>
      </c>
      <c r="AC748" s="2" t="s">
        <v>2503</v>
      </c>
      <c r="AD748" s="4">
        <v>3</v>
      </c>
      <c r="AE748" s="4">
        <v>167</v>
      </c>
      <c r="AF748" s="6">
        <v>82</v>
      </c>
      <c r="AG748" s="6"/>
      <c r="AH748" s="7">
        <v>1</v>
      </c>
      <c r="AI748" s="4"/>
      <c r="AJ748" s="4">
        <f>=ROUNDDOWN({0},0)</f>
      </c>
      <c r="AK748" s="5"/>
      <c r="AL748" s="2" t="s">
        <v>235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235</v>
      </c>
      <c r="AW748" s="8" t="s">
        <v>235</v>
      </c>
      <c r="AX748" s="4" t="s">
        <v>235</v>
      </c>
      <c r="AY748" s="8" t="s">
        <v>235</v>
      </c>
      <c r="AZ748" s="7" t="s">
        <v>235</v>
      </c>
      <c r="BA748" s="7" t="s">
        <v>235</v>
      </c>
      <c r="BB748" s="7"/>
      <c r="BC748" s="4" t="s">
        <v>235</v>
      </c>
      <c r="BD748" s="8" t="s">
        <v>235</v>
      </c>
      <c r="BE748" s="4" t="s">
        <v>235</v>
      </c>
      <c r="BF748" s="8" t="s">
        <v>235</v>
      </c>
      <c r="BG748" s="7" t="s">
        <v>235</v>
      </c>
      <c r="BH748" s="7" t="s">
        <v>235</v>
      </c>
      <c r="BI748" s="7"/>
      <c r="BJ748" s="4">
        <v>24</v>
      </c>
      <c r="BK748" s="8">
        <v>445.85</v>
      </c>
      <c r="BL748" s="2" t="s">
        <v>3235</v>
      </c>
      <c r="BM748" s="7"/>
      <c r="BN748" s="7"/>
      <c r="BO748" s="4"/>
      <c r="BP748" s="8"/>
      <c r="BQ748" s="4"/>
      <c r="BR748" s="8"/>
      <c r="BS748" s="7"/>
      <c r="BT748" s="7"/>
      <c r="BU748" s="2" t="s">
        <v>3105</v>
      </c>
      <c r="BV748" s="2" t="s">
        <v>243</v>
      </c>
      <c r="BW748" s="2" t="s">
        <v>235</v>
      </c>
      <c r="BX748" s="2" t="s">
        <v>383</v>
      </c>
      <c r="BY748" s="2" t="s">
        <v>245</v>
      </c>
      <c r="BZ748" s="2" t="s">
        <v>232</v>
      </c>
      <c r="CA748" s="2" t="s">
        <v>1701</v>
      </c>
      <c r="CB748" s="2" t="s">
        <v>3236</v>
      </c>
      <c r="CC748" s="2" t="s">
        <v>248</v>
      </c>
      <c r="CD748" s="2" t="s">
        <v>248</v>
      </c>
      <c r="CE748" s="2" t="s">
        <v>235</v>
      </c>
      <c r="CF748" s="4">
        <v>244</v>
      </c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>
        <v>3</v>
      </c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>
        <v>56</v>
      </c>
      <c r="EK748" s="4"/>
      <c r="EL748" s="4"/>
      <c r="EM748" s="4"/>
      <c r="EN748" s="4"/>
      <c r="EO748" s="4"/>
      <c r="EP748" s="4"/>
      <c r="EQ748" s="4">
        <v>108</v>
      </c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>
        <v>245</v>
      </c>
      <c r="GE748" s="4">
        <v>242</v>
      </c>
      <c r="GF748" s="4">
        <v>243</v>
      </c>
      <c r="GG748" s="4">
        <v>232</v>
      </c>
      <c r="GH748" s="4">
        <v>216</v>
      </c>
      <c r="GI748" s="4">
        <v>190</v>
      </c>
      <c r="GJ748" s="4">
        <v>143</v>
      </c>
      <c r="GK748" s="4">
        <v>119</v>
      </c>
      <c r="GL748" s="4">
        <v>95</v>
      </c>
      <c r="GM748" s="4">
        <v>134</v>
      </c>
      <c r="GN748" s="4">
        <v>227</v>
      </c>
      <c r="GO748" s="4">
        <v>208</v>
      </c>
      <c r="GP748" s="4">
        <v>188</v>
      </c>
      <c r="GQ748" s="4">
        <v>157</v>
      </c>
      <c r="GR748" s="4">
        <v>141</v>
      </c>
      <c r="GS748" s="4">
        <v>125</v>
      </c>
      <c r="GT748" s="4">
        <v>113</v>
      </c>
      <c r="GU748" s="4">
        <v>103</v>
      </c>
      <c r="GV748" s="4">
        <v>92</v>
      </c>
      <c r="GW748" s="4">
        <v>84</v>
      </c>
      <c r="GX748" s="4">
        <v>77</v>
      </c>
      <c r="GY748" s="4">
        <v>71</v>
      </c>
      <c r="GZ748" s="4">
        <v>64</v>
      </c>
      <c r="HA748" s="4">
        <v>57</v>
      </c>
      <c r="HB748" s="4">
        <v>50</v>
      </c>
      <c r="HC748" s="4">
        <v>43</v>
      </c>
      <c r="HD748" s="19">
        <v>30.6</v>
      </c>
      <c r="HE748" s="19">
        <v>17.3</v>
      </c>
      <c r="HF748" s="19">
        <v>9.7</v>
      </c>
      <c r="HG748" s="19">
        <v>8.3</v>
      </c>
      <c r="HH748" s="19">
        <v>7.2</v>
      </c>
      <c r="HI748" s="19">
        <v>6.8</v>
      </c>
      <c r="HJ748" s="19">
        <v>7.2</v>
      </c>
      <c r="HK748" s="19">
        <v>6.3</v>
      </c>
      <c r="HL748" s="19">
        <v>5.3</v>
      </c>
      <c r="HM748" s="19">
        <v>6.4</v>
      </c>
      <c r="HN748" s="19">
        <v>10.3</v>
      </c>
      <c r="HO748" s="19">
        <v>9.9</v>
      </c>
      <c r="HP748" s="19">
        <v>9.9</v>
      </c>
      <c r="HQ748" s="19">
        <v>11.2</v>
      </c>
      <c r="HR748" s="19">
        <v>11.8</v>
      </c>
      <c r="HS748" s="19">
        <v>12.5</v>
      </c>
      <c r="HT748" s="19">
        <v>12.6</v>
      </c>
      <c r="HU748" s="19">
        <v>12.9</v>
      </c>
      <c r="HV748" s="19">
        <v>13.1</v>
      </c>
      <c r="HW748" s="19">
        <v>12</v>
      </c>
      <c r="HX748" s="19">
        <v>11</v>
      </c>
      <c r="HY748" s="19">
        <v>10.1</v>
      </c>
      <c r="HZ748" s="19">
        <v>9.1</v>
      </c>
      <c r="IA748" s="19">
        <v>9.5</v>
      </c>
      <c r="IB748" s="19">
        <v>8.3</v>
      </c>
      <c r="IC748" s="19">
        <v>7.2</v>
      </c>
    </row>
    <row r="749">
      <c r="A749" s="2" t="s">
        <v>3237</v>
      </c>
      <c r="B749" s="2" t="s">
        <v>323</v>
      </c>
      <c r="C749" s="2" t="s">
        <v>1036</v>
      </c>
      <c r="D749" s="2" t="s">
        <v>257</v>
      </c>
      <c r="E749" s="2" t="s">
        <v>258</v>
      </c>
      <c r="F749" s="2" t="s">
        <v>3098</v>
      </c>
      <c r="G749" s="2" t="s">
        <v>3098</v>
      </c>
      <c r="H749" s="2" t="s">
        <v>3098</v>
      </c>
      <c r="I749" s="2" t="s">
        <v>3099</v>
      </c>
      <c r="J749" s="2" t="s">
        <v>250</v>
      </c>
      <c r="K749" s="2" t="s">
        <v>3229</v>
      </c>
      <c r="L749" s="3">
        <v>19.57</v>
      </c>
      <c r="M749" s="3">
        <v>20.55</v>
      </c>
      <c r="N749" s="3">
        <v>42.99</v>
      </c>
      <c r="O749" s="2" t="s">
        <v>232</v>
      </c>
      <c r="P749" s="2" t="s">
        <v>233</v>
      </c>
      <c r="Q749" s="2" t="s">
        <v>234</v>
      </c>
      <c r="R749" s="2" t="s">
        <v>235</v>
      </c>
      <c r="S749" s="2" t="s">
        <v>3230</v>
      </c>
      <c r="T749" s="2" t="s">
        <v>2908</v>
      </c>
      <c r="U749" s="2" t="s">
        <v>264</v>
      </c>
      <c r="V749" s="2" t="s">
        <v>2919</v>
      </c>
      <c r="W749" s="2" t="s">
        <v>1798</v>
      </c>
      <c r="X749" s="2" t="s">
        <v>239</v>
      </c>
      <c r="Y749" s="2" t="s">
        <v>3231</v>
      </c>
      <c r="Z749" s="4">
        <v>340</v>
      </c>
      <c r="AA749" s="4">
        <f>=ROUNDDOWN(28.3333333333333,0)</f>
      </c>
      <c r="AB749" s="5">
        <v>12</v>
      </c>
      <c r="AC749" s="2" t="s">
        <v>2503</v>
      </c>
      <c r="AD749" s="4">
        <v>2</v>
      </c>
      <c r="AE749" s="4">
        <v>200</v>
      </c>
      <c r="AF749" s="6">
        <v>82</v>
      </c>
      <c r="AG749" s="6"/>
      <c r="AH749" s="7">
        <v>1</v>
      </c>
      <c r="AI749" s="4"/>
      <c r="AJ749" s="4">
        <f>=ROUNDDOWN({0},0)</f>
      </c>
      <c r="AK749" s="5"/>
      <c r="AL749" s="2" t="s">
        <v>235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235</v>
      </c>
      <c r="AW749" s="8" t="s">
        <v>235</v>
      </c>
      <c r="AX749" s="4" t="s">
        <v>235</v>
      </c>
      <c r="AY749" s="8" t="s">
        <v>235</v>
      </c>
      <c r="AZ749" s="7" t="s">
        <v>235</v>
      </c>
      <c r="BA749" s="7" t="s">
        <v>235</v>
      </c>
      <c r="BB749" s="7"/>
      <c r="BC749" s="4" t="s">
        <v>235</v>
      </c>
      <c r="BD749" s="8" t="s">
        <v>235</v>
      </c>
      <c r="BE749" s="4" t="s">
        <v>235</v>
      </c>
      <c r="BF749" s="8" t="s">
        <v>235</v>
      </c>
      <c r="BG749" s="7" t="s">
        <v>235</v>
      </c>
      <c r="BH749" s="7" t="s">
        <v>235</v>
      </c>
      <c r="BI749" s="7"/>
      <c r="BJ749" s="4">
        <v>6</v>
      </c>
      <c r="BK749" s="8">
        <v>133.6</v>
      </c>
      <c r="BL749" s="2" t="s">
        <v>2072</v>
      </c>
      <c r="BM749" s="7"/>
      <c r="BN749" s="7"/>
      <c r="BO749" s="4"/>
      <c r="BP749" s="8"/>
      <c r="BQ749" s="4"/>
      <c r="BR749" s="8"/>
      <c r="BS749" s="7"/>
      <c r="BT749" s="7"/>
      <c r="BU749" s="2" t="s">
        <v>3105</v>
      </c>
      <c r="BV749" s="2" t="s">
        <v>243</v>
      </c>
      <c r="BW749" s="2" t="s">
        <v>235</v>
      </c>
      <c r="BX749" s="2" t="s">
        <v>383</v>
      </c>
      <c r="BY749" s="2" t="s">
        <v>245</v>
      </c>
      <c r="BZ749" s="2" t="s">
        <v>232</v>
      </c>
      <c r="CA749" s="2" t="s">
        <v>1701</v>
      </c>
      <c r="CB749" s="2" t="s">
        <v>3238</v>
      </c>
      <c r="CC749" s="2" t="s">
        <v>248</v>
      </c>
      <c r="CD749" s="2" t="s">
        <v>248</v>
      </c>
      <c r="CE749" s="2" t="s">
        <v>235</v>
      </c>
      <c r="CF749" s="4">
        <v>340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>
        <v>2</v>
      </c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>
        <v>65</v>
      </c>
      <c r="EK749" s="4"/>
      <c r="EL749" s="4"/>
      <c r="EM749" s="4"/>
      <c r="EN749" s="4"/>
      <c r="EO749" s="4"/>
      <c r="EP749" s="4"/>
      <c r="EQ749" s="4">
        <v>133</v>
      </c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>
        <v>340</v>
      </c>
      <c r="GE749" s="4">
        <v>333</v>
      </c>
      <c r="GF749" s="4">
        <v>326</v>
      </c>
      <c r="GG749" s="4">
        <v>313</v>
      </c>
      <c r="GH749" s="4">
        <v>298</v>
      </c>
      <c r="GI749" s="4">
        <v>273</v>
      </c>
      <c r="GJ749" s="4">
        <v>230</v>
      </c>
      <c r="GK749" s="4">
        <v>207</v>
      </c>
      <c r="GL749" s="4">
        <v>184</v>
      </c>
      <c r="GM749" s="4">
        <v>232</v>
      </c>
      <c r="GN749" s="4">
        <v>347</v>
      </c>
      <c r="GO749" s="4">
        <v>326</v>
      </c>
      <c r="GP749" s="4">
        <v>300</v>
      </c>
      <c r="GQ749" s="4">
        <v>258</v>
      </c>
      <c r="GR749" s="4">
        <v>237</v>
      </c>
      <c r="GS749" s="4">
        <v>216</v>
      </c>
      <c r="GT749" s="4">
        <v>201</v>
      </c>
      <c r="GU749" s="4">
        <v>189</v>
      </c>
      <c r="GV749" s="4">
        <v>176</v>
      </c>
      <c r="GW749" s="4">
        <v>166</v>
      </c>
      <c r="GX749" s="4">
        <v>158</v>
      </c>
      <c r="GY749" s="4">
        <v>151</v>
      </c>
      <c r="GZ749" s="4">
        <v>144</v>
      </c>
      <c r="HA749" s="4">
        <v>137</v>
      </c>
      <c r="HB749" s="4">
        <v>130</v>
      </c>
      <c r="HC749" s="4">
        <v>123</v>
      </c>
      <c r="HD749" s="19">
        <v>30.9</v>
      </c>
      <c r="HE749" s="19">
        <v>20.8</v>
      </c>
      <c r="HF749" s="19">
        <v>13.6</v>
      </c>
      <c r="HG749" s="19">
        <v>12</v>
      </c>
      <c r="HH749" s="19">
        <v>10.6</v>
      </c>
      <c r="HI749" s="19">
        <v>10.5</v>
      </c>
      <c r="HJ749" s="19">
        <v>11.5</v>
      </c>
      <c r="HK749" s="19">
        <v>10.4</v>
      </c>
      <c r="HL749" s="19">
        <v>9.2</v>
      </c>
      <c r="HM749" s="19">
        <v>8.6</v>
      </c>
      <c r="HN749" s="19">
        <v>12.4</v>
      </c>
      <c r="HO749" s="19">
        <v>11.6</v>
      </c>
      <c r="HP749" s="19">
        <v>12</v>
      </c>
      <c r="HQ749" s="19">
        <v>15.2</v>
      </c>
      <c r="HR749" s="19">
        <v>15.8</v>
      </c>
      <c r="HS749" s="19">
        <v>18</v>
      </c>
      <c r="HT749" s="19">
        <v>18.3</v>
      </c>
      <c r="HU749" s="19">
        <v>18.9</v>
      </c>
      <c r="HV749" s="19">
        <v>22</v>
      </c>
      <c r="HW749" s="19">
        <v>23.7</v>
      </c>
      <c r="HX749" s="19">
        <v>22.6</v>
      </c>
      <c r="HY749" s="19">
        <v>21.6</v>
      </c>
      <c r="HZ749" s="19">
        <v>20.6</v>
      </c>
      <c r="IA749" s="19">
        <v>22.8</v>
      </c>
      <c r="IB749" s="19">
        <v>21.7</v>
      </c>
      <c r="IC749" s="19">
        <v>20.5</v>
      </c>
    </row>
    <row r="750">
      <c r="A750" s="2" t="s">
        <v>3239</v>
      </c>
      <c r="B750" s="2" t="s">
        <v>323</v>
      </c>
      <c r="C750" s="2" t="s">
        <v>1036</v>
      </c>
      <c r="D750" s="2" t="s">
        <v>257</v>
      </c>
      <c r="E750" s="2" t="s">
        <v>258</v>
      </c>
      <c r="F750" s="2" t="s">
        <v>3098</v>
      </c>
      <c r="G750" s="2" t="s">
        <v>3098</v>
      </c>
      <c r="H750" s="2" t="s">
        <v>3098</v>
      </c>
      <c r="I750" s="2" t="s">
        <v>3099</v>
      </c>
      <c r="J750" s="2" t="s">
        <v>261</v>
      </c>
      <c r="K750" s="2" t="s">
        <v>3229</v>
      </c>
      <c r="L750" s="3">
        <v>22.21</v>
      </c>
      <c r="M750" s="3">
        <v>23.32</v>
      </c>
      <c r="N750" s="3">
        <v>47.99</v>
      </c>
      <c r="O750" s="2" t="s">
        <v>232</v>
      </c>
      <c r="P750" s="2" t="s">
        <v>233</v>
      </c>
      <c r="Q750" s="2" t="s">
        <v>234</v>
      </c>
      <c r="R750" s="2" t="s">
        <v>235</v>
      </c>
      <c r="S750" s="2" t="s">
        <v>3230</v>
      </c>
      <c r="T750" s="2" t="s">
        <v>2908</v>
      </c>
      <c r="U750" s="2" t="s">
        <v>264</v>
      </c>
      <c r="V750" s="2" t="s">
        <v>2919</v>
      </c>
      <c r="W750" s="2" t="s">
        <v>1798</v>
      </c>
      <c r="X750" s="2" t="s">
        <v>239</v>
      </c>
      <c r="Y750" s="2" t="s">
        <v>3231</v>
      </c>
      <c r="Z750" s="4">
        <v>363</v>
      </c>
      <c r="AA750" s="4">
        <f>=ROUNDDOWN(18.15,0)</f>
      </c>
      <c r="AB750" s="5">
        <v>20</v>
      </c>
      <c r="AC750" s="2" t="s">
        <v>2503</v>
      </c>
      <c r="AD750" s="4">
        <v>2</v>
      </c>
      <c r="AE750" s="4">
        <v>366</v>
      </c>
      <c r="AF750" s="6">
        <v>82</v>
      </c>
      <c r="AG750" s="6"/>
      <c r="AH750" s="7">
        <v>1</v>
      </c>
      <c r="AI750" s="4"/>
      <c r="AJ750" s="4">
        <f>=ROUNDDOWN({0},0)</f>
      </c>
      <c r="AK750" s="5"/>
      <c r="AL750" s="2" t="s">
        <v>235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235</v>
      </c>
      <c r="AW750" s="8" t="s">
        <v>235</v>
      </c>
      <c r="AX750" s="4" t="s">
        <v>235</v>
      </c>
      <c r="AY750" s="8" t="s">
        <v>235</v>
      </c>
      <c r="AZ750" s="7" t="s">
        <v>235</v>
      </c>
      <c r="BA750" s="7" t="s">
        <v>235</v>
      </c>
      <c r="BB750" s="7"/>
      <c r="BC750" s="4" t="s">
        <v>235</v>
      </c>
      <c r="BD750" s="8" t="s">
        <v>235</v>
      </c>
      <c r="BE750" s="4" t="s">
        <v>235</v>
      </c>
      <c r="BF750" s="8" t="s">
        <v>235</v>
      </c>
      <c r="BG750" s="7" t="s">
        <v>235</v>
      </c>
      <c r="BH750" s="7" t="s">
        <v>235</v>
      </c>
      <c r="BI750" s="7"/>
      <c r="BJ750" s="4">
        <v>9</v>
      </c>
      <c r="BK750" s="8">
        <v>267.89</v>
      </c>
      <c r="BL750" s="2" t="s">
        <v>3218</v>
      </c>
      <c r="BM750" s="7"/>
      <c r="BN750" s="7"/>
      <c r="BO750" s="4"/>
      <c r="BP750" s="8"/>
      <c r="BQ750" s="4"/>
      <c r="BR750" s="8"/>
      <c r="BS750" s="7"/>
      <c r="BT750" s="7"/>
      <c r="BU750" s="2" t="s">
        <v>3105</v>
      </c>
      <c r="BV750" s="2" t="s">
        <v>243</v>
      </c>
      <c r="BW750" s="2" t="s">
        <v>235</v>
      </c>
      <c r="BX750" s="2" t="s">
        <v>383</v>
      </c>
      <c r="BY750" s="2" t="s">
        <v>245</v>
      </c>
      <c r="BZ750" s="2" t="s">
        <v>232</v>
      </c>
      <c r="CA750" s="2" t="s">
        <v>1701</v>
      </c>
      <c r="CB750" s="2" t="s">
        <v>3240</v>
      </c>
      <c r="CC750" s="2" t="s">
        <v>248</v>
      </c>
      <c r="CD750" s="2" t="s">
        <v>248</v>
      </c>
      <c r="CE750" s="2" t="s">
        <v>235</v>
      </c>
      <c r="CF750" s="4">
        <v>363</v>
      </c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>
        <v>2</v>
      </c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>
        <v>115</v>
      </c>
      <c r="EK750" s="4"/>
      <c r="EL750" s="4"/>
      <c r="EM750" s="4"/>
      <c r="EN750" s="4"/>
      <c r="EO750" s="4"/>
      <c r="EP750" s="4"/>
      <c r="EQ750" s="4">
        <v>249</v>
      </c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>
        <v>373</v>
      </c>
      <c r="GE750" s="4">
        <v>351</v>
      </c>
      <c r="GF750" s="4">
        <v>339</v>
      </c>
      <c r="GG750" s="4">
        <v>321</v>
      </c>
      <c r="GH750" s="4">
        <v>300</v>
      </c>
      <c r="GI750" s="4">
        <v>265</v>
      </c>
      <c r="GJ750" s="4">
        <v>209</v>
      </c>
      <c r="GK750" s="4">
        <v>176</v>
      </c>
      <c r="GL750" s="4">
        <v>143</v>
      </c>
      <c r="GM750" s="4">
        <v>232</v>
      </c>
      <c r="GN750" s="4">
        <v>451</v>
      </c>
      <c r="GO750" s="4">
        <v>414</v>
      </c>
      <c r="GP750" s="4">
        <v>366</v>
      </c>
      <c r="GQ750" s="4">
        <v>279</v>
      </c>
      <c r="GR750" s="4">
        <v>237</v>
      </c>
      <c r="GS750" s="4">
        <v>196</v>
      </c>
      <c r="GT750" s="4">
        <v>168</v>
      </c>
      <c r="GU750" s="4">
        <v>146</v>
      </c>
      <c r="GV750" s="4">
        <v>121</v>
      </c>
      <c r="GW750" s="4">
        <v>103</v>
      </c>
      <c r="GX750" s="4">
        <v>89</v>
      </c>
      <c r="GY750" s="4">
        <v>77</v>
      </c>
      <c r="GZ750" s="4">
        <v>64</v>
      </c>
      <c r="HA750" s="4">
        <v>51</v>
      </c>
      <c r="HB750" s="4">
        <v>38</v>
      </c>
      <c r="HC750" s="4">
        <v>25</v>
      </c>
      <c r="HD750" s="19">
        <v>19.6</v>
      </c>
      <c r="HE750" s="19">
        <v>16</v>
      </c>
      <c r="HF750" s="19">
        <v>10.6</v>
      </c>
      <c r="HG750" s="19">
        <v>8.9</v>
      </c>
      <c r="HH750" s="19">
        <v>7.7</v>
      </c>
      <c r="HI750" s="19">
        <v>7.2</v>
      </c>
      <c r="HJ750" s="19">
        <v>7</v>
      </c>
      <c r="HK750" s="19">
        <v>5.5</v>
      </c>
      <c r="HL750" s="19">
        <v>4.1</v>
      </c>
      <c r="HM750" s="19">
        <v>4.6</v>
      </c>
      <c r="HN750" s="19">
        <v>8.4</v>
      </c>
      <c r="HO750" s="19">
        <v>7.7</v>
      </c>
      <c r="HP750" s="19">
        <v>7.3</v>
      </c>
      <c r="HQ750" s="19">
        <v>8.5</v>
      </c>
      <c r="HR750" s="19">
        <v>8.2</v>
      </c>
      <c r="HS750" s="19">
        <v>8.5</v>
      </c>
      <c r="HT750" s="19">
        <v>8.4</v>
      </c>
      <c r="HU750" s="19">
        <v>8.6</v>
      </c>
      <c r="HV750" s="19">
        <v>8.6</v>
      </c>
      <c r="HW750" s="19">
        <v>7.9</v>
      </c>
      <c r="HX750" s="19">
        <v>6.8</v>
      </c>
      <c r="HY750" s="19">
        <v>5.9</v>
      </c>
      <c r="HZ750" s="19">
        <v>5.3</v>
      </c>
      <c r="IA750" s="19">
        <v>4.3</v>
      </c>
      <c r="IB750" s="19">
        <v>3.8</v>
      </c>
      <c r="IC750" s="19">
        <v>2.8</v>
      </c>
    </row>
    <row r="751">
      <c r="A751" s="2" t="s">
        <v>3241</v>
      </c>
      <c r="B751" s="2" t="s">
        <v>323</v>
      </c>
      <c r="C751" s="2" t="s">
        <v>1036</v>
      </c>
      <c r="D751" s="2" t="s">
        <v>257</v>
      </c>
      <c r="E751" s="2" t="s">
        <v>258</v>
      </c>
      <c r="F751" s="2" t="s">
        <v>3098</v>
      </c>
      <c r="G751" s="2" t="s">
        <v>3098</v>
      </c>
      <c r="H751" s="2" t="s">
        <v>3098</v>
      </c>
      <c r="I751" s="2" t="s">
        <v>3099</v>
      </c>
      <c r="J751" s="2" t="s">
        <v>270</v>
      </c>
      <c r="K751" s="2" t="s">
        <v>3229</v>
      </c>
      <c r="L751" s="3">
        <v>27.39</v>
      </c>
      <c r="M751" s="3">
        <v>28.76</v>
      </c>
      <c r="N751" s="3">
        <v>62.99</v>
      </c>
      <c r="O751" s="2" t="s">
        <v>232</v>
      </c>
      <c r="P751" s="2" t="s">
        <v>233</v>
      </c>
      <c r="Q751" s="2" t="s">
        <v>234</v>
      </c>
      <c r="R751" s="2" t="s">
        <v>235</v>
      </c>
      <c r="S751" s="2" t="s">
        <v>3230</v>
      </c>
      <c r="T751" s="2" t="s">
        <v>2908</v>
      </c>
      <c r="U751" s="2" t="s">
        <v>264</v>
      </c>
      <c r="V751" s="2" t="s">
        <v>2919</v>
      </c>
      <c r="W751" s="2" t="s">
        <v>1798</v>
      </c>
      <c r="X751" s="2" t="s">
        <v>239</v>
      </c>
      <c r="Y751" s="2" t="s">
        <v>3231</v>
      </c>
      <c r="Z751" s="4">
        <v>123</v>
      </c>
      <c r="AA751" s="4">
        <f>=ROUNDDOWN(17.5714285714286,0)</f>
      </c>
      <c r="AB751" s="5">
        <v>7</v>
      </c>
      <c r="AC751" s="2" t="s">
        <v>2503</v>
      </c>
      <c r="AD751" s="4">
        <v>1</v>
      </c>
      <c r="AE751" s="4">
        <v>134</v>
      </c>
      <c r="AF751" s="6">
        <v>82</v>
      </c>
      <c r="AG751" s="6"/>
      <c r="AH751" s="7">
        <v>1</v>
      </c>
      <c r="AI751" s="4"/>
      <c r="AJ751" s="4">
        <f>=ROUNDDOWN({0},0)</f>
      </c>
      <c r="AK751" s="5"/>
      <c r="AL751" s="2" t="s">
        <v>235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235</v>
      </c>
      <c r="AW751" s="8" t="s">
        <v>235</v>
      </c>
      <c r="AX751" s="4" t="s">
        <v>235</v>
      </c>
      <c r="AY751" s="8" t="s">
        <v>235</v>
      </c>
      <c r="AZ751" s="7" t="s">
        <v>235</v>
      </c>
      <c r="BA751" s="7" t="s">
        <v>235</v>
      </c>
      <c r="BB751" s="7"/>
      <c r="BC751" s="4" t="s">
        <v>235</v>
      </c>
      <c r="BD751" s="8" t="s">
        <v>235</v>
      </c>
      <c r="BE751" s="4" t="s">
        <v>235</v>
      </c>
      <c r="BF751" s="8" t="s">
        <v>235</v>
      </c>
      <c r="BG751" s="7" t="s">
        <v>235</v>
      </c>
      <c r="BH751" s="7" t="s">
        <v>235</v>
      </c>
      <c r="BI751" s="7"/>
      <c r="BJ751" s="4"/>
      <c r="BK751" s="8"/>
      <c r="BL751" s="2" t="s">
        <v>2072</v>
      </c>
      <c r="BM751" s="7"/>
      <c r="BN751" s="7"/>
      <c r="BO751" s="4"/>
      <c r="BP751" s="8"/>
      <c r="BQ751" s="4"/>
      <c r="BR751" s="8"/>
      <c r="BS751" s="7"/>
      <c r="BT751" s="7"/>
      <c r="BU751" s="2" t="s">
        <v>3105</v>
      </c>
      <c r="BV751" s="2" t="s">
        <v>243</v>
      </c>
      <c r="BW751" s="2" t="s">
        <v>235</v>
      </c>
      <c r="BX751" s="2" t="s">
        <v>383</v>
      </c>
      <c r="BY751" s="2" t="s">
        <v>245</v>
      </c>
      <c r="BZ751" s="2" t="s">
        <v>232</v>
      </c>
      <c r="CA751" s="2" t="s">
        <v>1701</v>
      </c>
      <c r="CB751" s="2" t="s">
        <v>2002</v>
      </c>
      <c r="CC751" s="2" t="s">
        <v>248</v>
      </c>
      <c r="CD751" s="2" t="s">
        <v>248</v>
      </c>
      <c r="CE751" s="2" t="s">
        <v>235</v>
      </c>
      <c r="CF751" s="4">
        <v>123</v>
      </c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>
        <v>1</v>
      </c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>
        <v>41</v>
      </c>
      <c r="EK751" s="4"/>
      <c r="EL751" s="4"/>
      <c r="EM751" s="4"/>
      <c r="EN751" s="4"/>
      <c r="EO751" s="4"/>
      <c r="EP751" s="4"/>
      <c r="EQ751" s="4">
        <v>92</v>
      </c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>
        <v>125</v>
      </c>
      <c r="GE751" s="4">
        <v>120</v>
      </c>
      <c r="GF751" s="4">
        <v>118</v>
      </c>
      <c r="GG751" s="4">
        <v>115</v>
      </c>
      <c r="GH751" s="4">
        <v>110</v>
      </c>
      <c r="GI751" s="4">
        <v>99</v>
      </c>
      <c r="GJ751" s="4">
        <v>82</v>
      </c>
      <c r="GK751" s="4">
        <v>71</v>
      </c>
      <c r="GL751" s="4">
        <v>60</v>
      </c>
      <c r="GM751" s="4">
        <v>92</v>
      </c>
      <c r="GN751" s="4">
        <v>173</v>
      </c>
      <c r="GO751" s="4">
        <v>160</v>
      </c>
      <c r="GP751" s="4">
        <v>142</v>
      </c>
      <c r="GQ751" s="4">
        <v>109</v>
      </c>
      <c r="GR751" s="4">
        <v>93</v>
      </c>
      <c r="GS751" s="4">
        <v>78</v>
      </c>
      <c r="GT751" s="4">
        <v>68</v>
      </c>
      <c r="GU751" s="4">
        <v>60</v>
      </c>
      <c r="GV751" s="4">
        <v>51</v>
      </c>
      <c r="GW751" s="4">
        <v>44</v>
      </c>
      <c r="GX751" s="4">
        <v>39</v>
      </c>
      <c r="GY751" s="4">
        <v>35</v>
      </c>
      <c r="GZ751" s="4">
        <v>30</v>
      </c>
      <c r="HA751" s="4">
        <v>25</v>
      </c>
      <c r="HB751" s="4">
        <v>20</v>
      </c>
      <c r="HC751" s="4">
        <v>15</v>
      </c>
      <c r="HD751" s="19">
        <v>31.3</v>
      </c>
      <c r="HE751" s="19">
        <v>20</v>
      </c>
      <c r="HF751" s="19">
        <v>13.1</v>
      </c>
      <c r="HG751" s="19">
        <v>10.5</v>
      </c>
      <c r="HH751" s="19">
        <v>9.2</v>
      </c>
      <c r="HI751" s="19">
        <v>8.3</v>
      </c>
      <c r="HJ751" s="19">
        <v>8.2</v>
      </c>
      <c r="HK751" s="19">
        <v>6.5</v>
      </c>
      <c r="HL751" s="19">
        <v>4.6</v>
      </c>
      <c r="HM751" s="19">
        <v>4.8</v>
      </c>
      <c r="HN751" s="19">
        <v>8.7</v>
      </c>
      <c r="HO751" s="19">
        <v>8</v>
      </c>
      <c r="HP751" s="19">
        <v>7.9</v>
      </c>
      <c r="HQ751" s="19">
        <v>9.1</v>
      </c>
      <c r="HR751" s="19">
        <v>9.3</v>
      </c>
      <c r="HS751" s="19">
        <v>9.8</v>
      </c>
      <c r="HT751" s="19">
        <v>9.7</v>
      </c>
      <c r="HU751" s="19">
        <v>10</v>
      </c>
      <c r="HV751" s="19">
        <v>10.2</v>
      </c>
      <c r="HW751" s="19">
        <v>8.8</v>
      </c>
      <c r="HX751" s="19">
        <v>7.8</v>
      </c>
      <c r="HY751" s="19">
        <v>7</v>
      </c>
      <c r="HZ751" s="19">
        <v>6</v>
      </c>
      <c r="IA751" s="19">
        <v>6.3</v>
      </c>
      <c r="IB751" s="19">
        <v>5</v>
      </c>
      <c r="IC751" s="19">
        <v>3.8</v>
      </c>
    </row>
    <row r="752">
      <c r="A752" s="2" t="s">
        <v>3242</v>
      </c>
      <c r="B752" s="2" t="s">
        <v>323</v>
      </c>
      <c r="C752" s="2" t="s">
        <v>1036</v>
      </c>
      <c r="D752" s="2" t="s">
        <v>257</v>
      </c>
      <c r="E752" s="2" t="s">
        <v>258</v>
      </c>
      <c r="F752" s="2" t="s">
        <v>3098</v>
      </c>
      <c r="G752" s="2" t="s">
        <v>3098</v>
      </c>
      <c r="H752" s="2" t="s">
        <v>3098</v>
      </c>
      <c r="I752" s="2" t="s">
        <v>3099</v>
      </c>
      <c r="J752" s="2" t="s">
        <v>272</v>
      </c>
      <c r="K752" s="2" t="s">
        <v>3229</v>
      </c>
      <c r="L752" s="3">
        <v>27.39</v>
      </c>
      <c r="M752" s="3">
        <v>28.76</v>
      </c>
      <c r="N752" s="3">
        <v>62.99</v>
      </c>
      <c r="O752" s="2" t="s">
        <v>232</v>
      </c>
      <c r="P752" s="2" t="s">
        <v>233</v>
      </c>
      <c r="Q752" s="2" t="s">
        <v>234</v>
      </c>
      <c r="R752" s="2" t="s">
        <v>235</v>
      </c>
      <c r="S752" s="2" t="s">
        <v>3230</v>
      </c>
      <c r="T752" s="2" t="s">
        <v>2908</v>
      </c>
      <c r="U752" s="2" t="s">
        <v>264</v>
      </c>
      <c r="V752" s="2" t="s">
        <v>2919</v>
      </c>
      <c r="W752" s="2" t="s">
        <v>1798</v>
      </c>
      <c r="X752" s="2" t="s">
        <v>239</v>
      </c>
      <c r="Y752" s="2" t="s">
        <v>3231</v>
      </c>
      <c r="Z752" s="4">
        <v>159</v>
      </c>
      <c r="AA752" s="4">
        <f>=ROUNDDOWN(39.75,0)</f>
      </c>
      <c r="AB752" s="5">
        <v>4</v>
      </c>
      <c r="AC752" s="2" t="s">
        <v>235</v>
      </c>
      <c r="AD752" s="4"/>
      <c r="AE752" s="4"/>
      <c r="AF752" s="6">
        <v>82</v>
      </c>
      <c r="AG752" s="6"/>
      <c r="AH752" s="7">
        <v>1</v>
      </c>
      <c r="AI752" s="4"/>
      <c r="AJ752" s="4">
        <f>=ROUNDDOWN({0},0)</f>
      </c>
      <c r="AK752" s="5"/>
      <c r="AL752" s="2" t="s">
        <v>235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235</v>
      </c>
      <c r="AW752" s="8" t="s">
        <v>235</v>
      </c>
      <c r="AX752" s="4" t="s">
        <v>235</v>
      </c>
      <c r="AY752" s="8" t="s">
        <v>235</v>
      </c>
      <c r="AZ752" s="7" t="s">
        <v>235</v>
      </c>
      <c r="BA752" s="7" t="s">
        <v>235</v>
      </c>
      <c r="BB752" s="7"/>
      <c r="BC752" s="4" t="s">
        <v>235</v>
      </c>
      <c r="BD752" s="8" t="s">
        <v>235</v>
      </c>
      <c r="BE752" s="4" t="s">
        <v>235</v>
      </c>
      <c r="BF752" s="8" t="s">
        <v>235</v>
      </c>
      <c r="BG752" s="7" t="s">
        <v>235</v>
      </c>
      <c r="BH752" s="7" t="s">
        <v>235</v>
      </c>
      <c r="BI752" s="7"/>
      <c r="BJ752" s="4">
        <v>2</v>
      </c>
      <c r="BK752" s="8">
        <v>62.94</v>
      </c>
      <c r="BL752" s="2" t="s">
        <v>3243</v>
      </c>
      <c r="BM752" s="7"/>
      <c r="BN752" s="7"/>
      <c r="BO752" s="4"/>
      <c r="BP752" s="8"/>
      <c r="BQ752" s="4"/>
      <c r="BR752" s="8"/>
      <c r="BS752" s="7"/>
      <c r="BT752" s="7"/>
      <c r="BU752" s="2" t="s">
        <v>3105</v>
      </c>
      <c r="BV752" s="2" t="s">
        <v>243</v>
      </c>
      <c r="BW752" s="2" t="s">
        <v>235</v>
      </c>
      <c r="BX752" s="2" t="s">
        <v>383</v>
      </c>
      <c r="BY752" s="2" t="s">
        <v>245</v>
      </c>
      <c r="BZ752" s="2" t="s">
        <v>232</v>
      </c>
      <c r="CA752" s="2" t="s">
        <v>1701</v>
      </c>
      <c r="CB752" s="2" t="s">
        <v>3244</v>
      </c>
      <c r="CC752" s="2" t="s">
        <v>248</v>
      </c>
      <c r="CD752" s="2" t="s">
        <v>248</v>
      </c>
      <c r="CE752" s="2" t="s">
        <v>235</v>
      </c>
      <c r="CF752" s="4">
        <v>159</v>
      </c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>
        <v>159</v>
      </c>
      <c r="GE752" s="4">
        <v>158</v>
      </c>
      <c r="GF752" s="4">
        <v>157</v>
      </c>
      <c r="GG752" s="4">
        <v>156</v>
      </c>
      <c r="GH752" s="4">
        <v>151</v>
      </c>
      <c r="GI752" s="4">
        <v>143</v>
      </c>
      <c r="GJ752" s="4">
        <v>129</v>
      </c>
      <c r="GK752" s="4">
        <v>121</v>
      </c>
      <c r="GL752" s="4">
        <v>113</v>
      </c>
      <c r="GM752" s="4">
        <v>107</v>
      </c>
      <c r="GN752" s="4">
        <v>101</v>
      </c>
      <c r="GO752" s="4">
        <v>94</v>
      </c>
      <c r="GP752" s="4">
        <v>86</v>
      </c>
      <c r="GQ752" s="4">
        <v>72</v>
      </c>
      <c r="GR752" s="4">
        <v>65</v>
      </c>
      <c r="GS752" s="4">
        <v>58</v>
      </c>
      <c r="GT752" s="4">
        <v>53</v>
      </c>
      <c r="GU752" s="4">
        <v>49</v>
      </c>
      <c r="GV752" s="4">
        <v>45</v>
      </c>
      <c r="GW752" s="4">
        <v>42</v>
      </c>
      <c r="GX752" s="4">
        <v>39</v>
      </c>
      <c r="GY752" s="4">
        <v>37</v>
      </c>
      <c r="GZ752" s="4">
        <v>35</v>
      </c>
      <c r="HA752" s="4">
        <v>33</v>
      </c>
      <c r="HB752" s="4">
        <v>31</v>
      </c>
      <c r="HC752" s="4">
        <v>29</v>
      </c>
      <c r="HD752" s="19">
        <v>79.5</v>
      </c>
      <c r="HE752" s="19">
        <v>39.5</v>
      </c>
      <c r="HF752" s="19">
        <v>22.4</v>
      </c>
      <c r="HG752" s="19">
        <v>17.3</v>
      </c>
      <c r="HH752" s="19">
        <v>15.1</v>
      </c>
      <c r="HI752" s="19">
        <v>15.9</v>
      </c>
      <c r="HJ752" s="19">
        <v>18.4</v>
      </c>
      <c r="HK752" s="19">
        <v>17.3</v>
      </c>
      <c r="HL752" s="19">
        <v>16.1</v>
      </c>
      <c r="HM752" s="19">
        <v>11.9</v>
      </c>
      <c r="HN752" s="19">
        <v>11.2</v>
      </c>
      <c r="HO752" s="19">
        <v>10.4</v>
      </c>
      <c r="HP752" s="19">
        <v>10.8</v>
      </c>
      <c r="HQ752" s="19">
        <v>12</v>
      </c>
      <c r="HR752" s="19">
        <v>13</v>
      </c>
      <c r="HS752" s="19">
        <v>14.5</v>
      </c>
      <c r="HT752" s="19">
        <v>13.3</v>
      </c>
      <c r="HU752" s="19">
        <v>16.3</v>
      </c>
      <c r="HV752" s="19">
        <v>22.5</v>
      </c>
      <c r="HW752" s="19">
        <v>21</v>
      </c>
      <c r="HX752" s="19">
        <v>19.5</v>
      </c>
      <c r="HY752" s="19">
        <v>18.5</v>
      </c>
      <c r="HZ752" s="19">
        <v>17.5</v>
      </c>
      <c r="IA752" s="19">
        <v>16.5</v>
      </c>
      <c r="IB752" s="19">
        <v>15.5</v>
      </c>
      <c r="IC752" s="19">
        <v>14.5</v>
      </c>
    </row>
    <row r="753">
      <c r="A753" s="2" t="s">
        <v>3245</v>
      </c>
      <c r="B753" s="2" t="s">
        <v>323</v>
      </c>
      <c r="C753" s="2" t="s">
        <v>1036</v>
      </c>
      <c r="D753" s="2" t="s">
        <v>257</v>
      </c>
      <c r="E753" s="2" t="s">
        <v>258</v>
      </c>
      <c r="F753" s="2" t="s">
        <v>3098</v>
      </c>
      <c r="G753" s="2" t="s">
        <v>3098</v>
      </c>
      <c r="H753" s="2" t="s">
        <v>3098</v>
      </c>
      <c r="I753" s="2" t="s">
        <v>3099</v>
      </c>
      <c r="J753" s="2" t="s">
        <v>394</v>
      </c>
      <c r="K753" s="2" t="s">
        <v>3246</v>
      </c>
      <c r="L753" s="3">
        <v>14.89</v>
      </c>
      <c r="M753" s="3">
        <v>15.63</v>
      </c>
      <c r="N753" s="3">
        <v>31.99</v>
      </c>
      <c r="O753" s="2" t="s">
        <v>232</v>
      </c>
      <c r="P753" s="2" t="s">
        <v>233</v>
      </c>
      <c r="Q753" s="2" t="s">
        <v>234</v>
      </c>
      <c r="R753" s="2" t="s">
        <v>235</v>
      </c>
      <c r="S753" s="2" t="s">
        <v>3247</v>
      </c>
      <c r="T753" s="2" t="s">
        <v>2908</v>
      </c>
      <c r="U753" s="2" t="s">
        <v>552</v>
      </c>
      <c r="V753" s="2" t="s">
        <v>2919</v>
      </c>
      <c r="W753" s="2" t="s">
        <v>1798</v>
      </c>
      <c r="X753" s="2" t="s">
        <v>239</v>
      </c>
      <c r="Y753" s="2" t="s">
        <v>3248</v>
      </c>
      <c r="Z753" s="4">
        <v>546</v>
      </c>
      <c r="AA753" s="4">
        <f>=ROUNDDOWN(34.125,0)</f>
      </c>
      <c r="AB753" s="5">
        <v>16</v>
      </c>
      <c r="AC753" s="2" t="s">
        <v>2503</v>
      </c>
      <c r="AD753" s="4">
        <v>1</v>
      </c>
      <c r="AE753" s="4">
        <v>248</v>
      </c>
      <c r="AF753" s="6">
        <v>82</v>
      </c>
      <c r="AG753" s="6"/>
      <c r="AH753" s="7">
        <v>1</v>
      </c>
      <c r="AI753" s="4"/>
      <c r="AJ753" s="4">
        <f>=ROUNDDOWN({0},0)</f>
      </c>
      <c r="AK753" s="5"/>
      <c r="AL753" s="2" t="s">
        <v>235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235</v>
      </c>
      <c r="AW753" s="8" t="s">
        <v>235</v>
      </c>
      <c r="AX753" s="4" t="s">
        <v>235</v>
      </c>
      <c r="AY753" s="8" t="s">
        <v>235</v>
      </c>
      <c r="AZ753" s="7" t="s">
        <v>235</v>
      </c>
      <c r="BA753" s="7" t="s">
        <v>235</v>
      </c>
      <c r="BB753" s="7"/>
      <c r="BC753" s="4" t="s">
        <v>235</v>
      </c>
      <c r="BD753" s="8" t="s">
        <v>235</v>
      </c>
      <c r="BE753" s="4" t="s">
        <v>235</v>
      </c>
      <c r="BF753" s="8" t="s">
        <v>235</v>
      </c>
      <c r="BG753" s="7" t="s">
        <v>235</v>
      </c>
      <c r="BH753" s="7" t="s">
        <v>235</v>
      </c>
      <c r="BI753" s="7"/>
      <c r="BJ753" s="4">
        <v>41</v>
      </c>
      <c r="BK753" s="8">
        <v>717.7</v>
      </c>
      <c r="BL753" s="2" t="s">
        <v>3249</v>
      </c>
      <c r="BM753" s="7"/>
      <c r="BN753" s="7"/>
      <c r="BO753" s="4"/>
      <c r="BP753" s="8"/>
      <c r="BQ753" s="4"/>
      <c r="BR753" s="8"/>
      <c r="BS753" s="7"/>
      <c r="BT753" s="7"/>
      <c r="BU753" s="2" t="s">
        <v>3105</v>
      </c>
      <c r="BV753" s="2" t="s">
        <v>243</v>
      </c>
      <c r="BW753" s="2" t="s">
        <v>235</v>
      </c>
      <c r="BX753" s="2" t="s">
        <v>383</v>
      </c>
      <c r="BY753" s="2" t="s">
        <v>245</v>
      </c>
      <c r="BZ753" s="2" t="s">
        <v>232</v>
      </c>
      <c r="CA753" s="2" t="s">
        <v>1701</v>
      </c>
      <c r="CB753" s="2" t="s">
        <v>1671</v>
      </c>
      <c r="CC753" s="2" t="s">
        <v>248</v>
      </c>
      <c r="CD753" s="2" t="s">
        <v>248</v>
      </c>
      <c r="CE753" s="2" t="s">
        <v>235</v>
      </c>
      <c r="CF753" s="4">
        <v>546</v>
      </c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>
        <v>1</v>
      </c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>
        <v>162</v>
      </c>
      <c r="ED753" s="4"/>
      <c r="EE753" s="4"/>
      <c r="EF753" s="4"/>
      <c r="EG753" s="4"/>
      <c r="EH753" s="4"/>
      <c r="EI753" s="4"/>
      <c r="EJ753" s="4">
        <v>85</v>
      </c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>
        <v>556</v>
      </c>
      <c r="GE753" s="4">
        <v>535</v>
      </c>
      <c r="GF753" s="4">
        <v>527</v>
      </c>
      <c r="GG753" s="4">
        <v>506</v>
      </c>
      <c r="GH753" s="4">
        <v>480</v>
      </c>
      <c r="GI753" s="4">
        <v>439</v>
      </c>
      <c r="GJ753" s="4">
        <v>361</v>
      </c>
      <c r="GK753" s="4">
        <v>484</v>
      </c>
      <c r="GL753" s="4">
        <v>446</v>
      </c>
      <c r="GM753" s="4">
        <v>505</v>
      </c>
      <c r="GN753" s="4">
        <v>483</v>
      </c>
      <c r="GO753" s="4">
        <v>457</v>
      </c>
      <c r="GP753" s="4">
        <v>432</v>
      </c>
      <c r="GQ753" s="4">
        <v>397</v>
      </c>
      <c r="GR753" s="4">
        <v>378</v>
      </c>
      <c r="GS753" s="4">
        <v>359</v>
      </c>
      <c r="GT753" s="4">
        <v>344</v>
      </c>
      <c r="GU753" s="4">
        <v>331</v>
      </c>
      <c r="GV753" s="4">
        <v>317</v>
      </c>
      <c r="GW753" s="4">
        <v>307</v>
      </c>
      <c r="GX753" s="4">
        <v>298</v>
      </c>
      <c r="GY753" s="4">
        <v>290</v>
      </c>
      <c r="GZ753" s="4">
        <v>281</v>
      </c>
      <c r="HA753" s="4">
        <v>272</v>
      </c>
      <c r="HB753" s="4">
        <v>263</v>
      </c>
      <c r="HC753" s="4">
        <v>254</v>
      </c>
      <c r="HD753" s="19">
        <v>29.3</v>
      </c>
      <c r="HE753" s="19">
        <v>22.3</v>
      </c>
      <c r="HF753" s="19">
        <v>12.5</v>
      </c>
      <c r="HG753" s="19">
        <v>11</v>
      </c>
      <c r="HH753" s="19">
        <v>9.8</v>
      </c>
      <c r="HI753" s="19">
        <v>9.8</v>
      </c>
      <c r="HJ753" s="19">
        <v>11.6</v>
      </c>
      <c r="HK753" s="19">
        <v>17.3</v>
      </c>
      <c r="HL753" s="19">
        <v>17.8</v>
      </c>
      <c r="HM753" s="19">
        <v>18.7</v>
      </c>
      <c r="HN753" s="19">
        <v>18.6</v>
      </c>
      <c r="HO753" s="19">
        <v>19</v>
      </c>
      <c r="HP753" s="19">
        <v>19.6</v>
      </c>
      <c r="HQ753" s="19">
        <v>24.8</v>
      </c>
      <c r="HR753" s="19">
        <v>25.2</v>
      </c>
      <c r="HS753" s="19">
        <v>27.6</v>
      </c>
      <c r="HT753" s="19">
        <v>28.7</v>
      </c>
      <c r="HU753" s="19">
        <v>33.1</v>
      </c>
      <c r="HV753" s="19">
        <v>35.2</v>
      </c>
      <c r="HW753" s="19">
        <v>34.1</v>
      </c>
      <c r="HX753" s="19">
        <v>33.1</v>
      </c>
      <c r="HY753" s="19">
        <v>32.2</v>
      </c>
      <c r="HZ753" s="19">
        <v>31.2</v>
      </c>
      <c r="IA753" s="19">
        <v>34</v>
      </c>
      <c r="IB753" s="19">
        <v>32.9</v>
      </c>
      <c r="IC753" s="19">
        <v>31.8</v>
      </c>
    </row>
    <row r="754">
      <c r="A754" s="2" t="s">
        <v>3250</v>
      </c>
      <c r="B754" s="2" t="s">
        <v>323</v>
      </c>
      <c r="C754" s="2" t="s">
        <v>1036</v>
      </c>
      <c r="D754" s="2" t="s">
        <v>257</v>
      </c>
      <c r="E754" s="2" t="s">
        <v>258</v>
      </c>
      <c r="F754" s="2" t="s">
        <v>3098</v>
      </c>
      <c r="G754" s="2" t="s">
        <v>3098</v>
      </c>
      <c r="H754" s="2" t="s">
        <v>3098</v>
      </c>
      <c r="I754" s="2" t="s">
        <v>3099</v>
      </c>
      <c r="J754" s="2" t="s">
        <v>230</v>
      </c>
      <c r="K754" s="2" t="s">
        <v>3246</v>
      </c>
      <c r="L754" s="3">
        <v>16.16</v>
      </c>
      <c r="M754" s="3">
        <v>16.97</v>
      </c>
      <c r="N754" s="3">
        <v>34.99</v>
      </c>
      <c r="O754" s="2" t="s">
        <v>232</v>
      </c>
      <c r="P754" s="2" t="s">
        <v>233</v>
      </c>
      <c r="Q754" s="2" t="s">
        <v>234</v>
      </c>
      <c r="R754" s="2" t="s">
        <v>235</v>
      </c>
      <c r="S754" s="2" t="s">
        <v>3247</v>
      </c>
      <c r="T754" s="2" t="s">
        <v>2908</v>
      </c>
      <c r="U754" s="2" t="s">
        <v>552</v>
      </c>
      <c r="V754" s="2" t="s">
        <v>2919</v>
      </c>
      <c r="W754" s="2" t="s">
        <v>1798</v>
      </c>
      <c r="X754" s="2" t="s">
        <v>239</v>
      </c>
      <c r="Y754" s="2" t="s">
        <v>3248</v>
      </c>
      <c r="Z754" s="4">
        <v>486</v>
      </c>
      <c r="AA754" s="4">
        <f>=ROUNDDOWN(27,0)</f>
      </c>
      <c r="AB754" s="5">
        <v>18</v>
      </c>
      <c r="AC754" s="2" t="s">
        <v>2503</v>
      </c>
      <c r="AD754" s="4">
        <v>11</v>
      </c>
      <c r="AE754" s="4">
        <v>272</v>
      </c>
      <c r="AF754" s="6">
        <v>82</v>
      </c>
      <c r="AG754" s="6"/>
      <c r="AH754" s="7">
        <v>1</v>
      </c>
      <c r="AI754" s="4"/>
      <c r="AJ754" s="4">
        <f>=ROUNDDOWN({0},0)</f>
      </c>
      <c r="AK754" s="5"/>
      <c r="AL754" s="2" t="s">
        <v>235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235</v>
      </c>
      <c r="AW754" s="8" t="s">
        <v>235</v>
      </c>
      <c r="AX754" s="4" t="s">
        <v>235</v>
      </c>
      <c r="AY754" s="8" t="s">
        <v>235</v>
      </c>
      <c r="AZ754" s="7" t="s">
        <v>235</v>
      </c>
      <c r="BA754" s="7" t="s">
        <v>235</v>
      </c>
      <c r="BB754" s="7"/>
      <c r="BC754" s="4" t="s">
        <v>235</v>
      </c>
      <c r="BD754" s="8" t="s">
        <v>235</v>
      </c>
      <c r="BE754" s="4" t="s">
        <v>235</v>
      </c>
      <c r="BF754" s="8" t="s">
        <v>235</v>
      </c>
      <c r="BG754" s="7" t="s">
        <v>235</v>
      </c>
      <c r="BH754" s="7" t="s">
        <v>235</v>
      </c>
      <c r="BI754" s="7"/>
      <c r="BJ754" s="4">
        <v>7</v>
      </c>
      <c r="BK754" s="8">
        <v>136.2</v>
      </c>
      <c r="BL754" s="2" t="s">
        <v>2089</v>
      </c>
      <c r="BM754" s="7"/>
      <c r="BN754" s="7"/>
      <c r="BO754" s="4"/>
      <c r="BP754" s="8"/>
      <c r="BQ754" s="4"/>
      <c r="BR754" s="8"/>
      <c r="BS754" s="7"/>
      <c r="BT754" s="7"/>
      <c r="BU754" s="2" t="s">
        <v>3105</v>
      </c>
      <c r="BV754" s="2" t="s">
        <v>243</v>
      </c>
      <c r="BW754" s="2" t="s">
        <v>235</v>
      </c>
      <c r="BX754" s="2" t="s">
        <v>383</v>
      </c>
      <c r="BY754" s="2" t="s">
        <v>245</v>
      </c>
      <c r="BZ754" s="2" t="s">
        <v>232</v>
      </c>
      <c r="CA754" s="2" t="s">
        <v>1701</v>
      </c>
      <c r="CB754" s="2" t="s">
        <v>235</v>
      </c>
      <c r="CC754" s="2" t="s">
        <v>248</v>
      </c>
      <c r="CD754" s="2" t="s">
        <v>248</v>
      </c>
      <c r="CE754" s="2" t="s">
        <v>235</v>
      </c>
      <c r="CF754" s="4">
        <v>486</v>
      </c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>
        <v>11</v>
      </c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>
        <v>169</v>
      </c>
      <c r="ED754" s="4"/>
      <c r="EE754" s="4"/>
      <c r="EF754" s="4"/>
      <c r="EG754" s="4"/>
      <c r="EH754" s="4"/>
      <c r="EI754" s="4"/>
      <c r="EJ754" s="4">
        <v>92</v>
      </c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>
        <v>486</v>
      </c>
      <c r="GE754" s="4">
        <v>421</v>
      </c>
      <c r="GF754" s="4">
        <v>416</v>
      </c>
      <c r="GG754" s="4">
        <v>392</v>
      </c>
      <c r="GH754" s="4">
        <v>362</v>
      </c>
      <c r="GI754" s="4">
        <v>315</v>
      </c>
      <c r="GJ754" s="4">
        <v>224</v>
      </c>
      <c r="GK754" s="4">
        <v>348</v>
      </c>
      <c r="GL754" s="4">
        <v>305</v>
      </c>
      <c r="GM754" s="4">
        <v>368</v>
      </c>
      <c r="GN754" s="4">
        <v>344</v>
      </c>
      <c r="GO754" s="4">
        <v>315</v>
      </c>
      <c r="GP754" s="4">
        <v>288</v>
      </c>
      <c r="GQ754" s="4">
        <v>252</v>
      </c>
      <c r="GR754" s="4">
        <v>232</v>
      </c>
      <c r="GS754" s="4">
        <v>211</v>
      </c>
      <c r="GT754" s="4">
        <v>194</v>
      </c>
      <c r="GU754" s="4">
        <v>179</v>
      </c>
      <c r="GV754" s="4">
        <v>163</v>
      </c>
      <c r="GW754" s="4">
        <v>152</v>
      </c>
      <c r="GX754" s="4">
        <v>142</v>
      </c>
      <c r="GY754" s="4">
        <v>133</v>
      </c>
      <c r="GZ754" s="4">
        <v>123</v>
      </c>
      <c r="HA754" s="4">
        <v>113</v>
      </c>
      <c r="HB754" s="4">
        <v>103</v>
      </c>
      <c r="HC754" s="4">
        <v>93</v>
      </c>
      <c r="HD754" s="19">
        <v>14.3</v>
      </c>
      <c r="HE754" s="19">
        <v>14.5</v>
      </c>
      <c r="HF754" s="19">
        <v>8.7</v>
      </c>
      <c r="HG754" s="19">
        <v>7.4</v>
      </c>
      <c r="HH754" s="19">
        <v>6.5</v>
      </c>
      <c r="HI754" s="19">
        <v>6.1</v>
      </c>
      <c r="HJ754" s="19">
        <v>6.4</v>
      </c>
      <c r="HK754" s="19">
        <v>11.2</v>
      </c>
      <c r="HL754" s="19">
        <v>11.3</v>
      </c>
      <c r="HM754" s="19">
        <v>12.7</v>
      </c>
      <c r="HN754" s="19">
        <v>12.3</v>
      </c>
      <c r="HO754" s="19">
        <v>12.1</v>
      </c>
      <c r="HP754" s="19">
        <v>12</v>
      </c>
      <c r="HQ754" s="19">
        <v>14</v>
      </c>
      <c r="HR754" s="19">
        <v>13.6</v>
      </c>
      <c r="HS754" s="19">
        <v>14.1</v>
      </c>
      <c r="HT754" s="19">
        <v>14.9</v>
      </c>
      <c r="HU754" s="19">
        <v>14.9</v>
      </c>
      <c r="HV754" s="19">
        <v>16.3</v>
      </c>
      <c r="HW754" s="19">
        <v>15.2</v>
      </c>
      <c r="HX754" s="19">
        <v>14.2</v>
      </c>
      <c r="HY754" s="19">
        <v>13.3</v>
      </c>
      <c r="HZ754" s="19">
        <v>12.3</v>
      </c>
      <c r="IA754" s="19">
        <v>11.3</v>
      </c>
      <c r="IB754" s="19">
        <v>11.4</v>
      </c>
      <c r="IC754" s="19">
        <v>11.6</v>
      </c>
    </row>
    <row r="755">
      <c r="A755" s="2" t="s">
        <v>3251</v>
      </c>
      <c r="B755" s="2" t="s">
        <v>323</v>
      </c>
      <c r="C755" s="2" t="s">
        <v>1036</v>
      </c>
      <c r="D755" s="2" t="s">
        <v>257</v>
      </c>
      <c r="E755" s="2" t="s">
        <v>258</v>
      </c>
      <c r="F755" s="2" t="s">
        <v>3098</v>
      </c>
      <c r="G755" s="2" t="s">
        <v>3098</v>
      </c>
      <c r="H755" s="2" t="s">
        <v>3098</v>
      </c>
      <c r="I755" s="2" t="s">
        <v>3099</v>
      </c>
      <c r="J755" s="2" t="s">
        <v>250</v>
      </c>
      <c r="K755" s="2" t="s">
        <v>3246</v>
      </c>
      <c r="L755" s="3">
        <v>22.4</v>
      </c>
      <c r="M755" s="3">
        <v>23.52</v>
      </c>
      <c r="N755" s="3">
        <v>44.99</v>
      </c>
      <c r="O755" s="2" t="s">
        <v>232</v>
      </c>
      <c r="P755" s="2" t="s">
        <v>233</v>
      </c>
      <c r="Q755" s="2" t="s">
        <v>234</v>
      </c>
      <c r="R755" s="2" t="s">
        <v>235</v>
      </c>
      <c r="S755" s="2" t="s">
        <v>3247</v>
      </c>
      <c r="T755" s="2" t="s">
        <v>2908</v>
      </c>
      <c r="U755" s="2" t="s">
        <v>264</v>
      </c>
      <c r="V755" s="2" t="s">
        <v>2919</v>
      </c>
      <c r="W755" s="2" t="s">
        <v>1798</v>
      </c>
      <c r="X755" s="2" t="s">
        <v>239</v>
      </c>
      <c r="Y755" s="2" t="s">
        <v>3248</v>
      </c>
      <c r="Z755" s="4">
        <v>1335</v>
      </c>
      <c r="AA755" s="4">
        <f>=ROUNDDOWN(36.0810810810811,0)</f>
      </c>
      <c r="AB755" s="5">
        <v>37</v>
      </c>
      <c r="AC755" s="2" t="s">
        <v>2503</v>
      </c>
      <c r="AD755" s="4">
        <v>2</v>
      </c>
      <c r="AE755" s="4">
        <v>528</v>
      </c>
      <c r="AF755" s="6">
        <v>82</v>
      </c>
      <c r="AG755" s="6"/>
      <c r="AH755" s="7">
        <v>1</v>
      </c>
      <c r="AI755" s="4"/>
      <c r="AJ755" s="4">
        <f>=ROUNDDOWN({0},0)</f>
      </c>
      <c r="AK755" s="5"/>
      <c r="AL755" s="2" t="s">
        <v>235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235</v>
      </c>
      <c r="AW755" s="8" t="s">
        <v>235</v>
      </c>
      <c r="AX755" s="4" t="s">
        <v>235</v>
      </c>
      <c r="AY755" s="8" t="s">
        <v>235</v>
      </c>
      <c r="AZ755" s="7" t="s">
        <v>235</v>
      </c>
      <c r="BA755" s="7" t="s">
        <v>235</v>
      </c>
      <c r="BB755" s="7"/>
      <c r="BC755" s="4" t="s">
        <v>235</v>
      </c>
      <c r="BD755" s="8" t="s">
        <v>235</v>
      </c>
      <c r="BE755" s="4" t="s">
        <v>235</v>
      </c>
      <c r="BF755" s="8" t="s">
        <v>235</v>
      </c>
      <c r="BG755" s="7" t="s">
        <v>235</v>
      </c>
      <c r="BH755" s="7" t="s">
        <v>235</v>
      </c>
      <c r="BI755" s="7"/>
      <c r="BJ755" s="4">
        <v>4</v>
      </c>
      <c r="BK755" s="8">
        <v>92.79</v>
      </c>
      <c r="BL755" s="2" t="s">
        <v>3252</v>
      </c>
      <c r="BM755" s="7"/>
      <c r="BN755" s="7"/>
      <c r="BO755" s="4"/>
      <c r="BP755" s="8"/>
      <c r="BQ755" s="4"/>
      <c r="BR755" s="8"/>
      <c r="BS755" s="7"/>
      <c r="BT755" s="7"/>
      <c r="BU755" s="2" t="s">
        <v>3105</v>
      </c>
      <c r="BV755" s="2" t="s">
        <v>243</v>
      </c>
      <c r="BW755" s="2" t="s">
        <v>235</v>
      </c>
      <c r="BX755" s="2" t="s">
        <v>383</v>
      </c>
      <c r="BY755" s="2" t="s">
        <v>245</v>
      </c>
      <c r="BZ755" s="2" t="s">
        <v>232</v>
      </c>
      <c r="CA755" s="2" t="s">
        <v>1701</v>
      </c>
      <c r="CB755" s="2" t="s">
        <v>2893</v>
      </c>
      <c r="CC755" s="2" t="s">
        <v>248</v>
      </c>
      <c r="CD755" s="2" t="s">
        <v>248</v>
      </c>
      <c r="CE755" s="2" t="s">
        <v>235</v>
      </c>
      <c r="CF755" s="4">
        <v>1335</v>
      </c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>
        <v>2</v>
      </c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>
        <v>339</v>
      </c>
      <c r="ED755" s="4"/>
      <c r="EE755" s="4"/>
      <c r="EF755" s="4"/>
      <c r="EG755" s="4"/>
      <c r="EH755" s="4"/>
      <c r="EI755" s="4"/>
      <c r="EJ755" s="4">
        <v>187</v>
      </c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>
        <v>1341</v>
      </c>
      <c r="GE755" s="4">
        <v>1205</v>
      </c>
      <c r="GF755" s="4">
        <v>1174</v>
      </c>
      <c r="GG755" s="4">
        <v>1124</v>
      </c>
      <c r="GH755" s="4">
        <v>1062</v>
      </c>
      <c r="GI755" s="4">
        <v>964</v>
      </c>
      <c r="GJ755" s="4">
        <v>776</v>
      </c>
      <c r="GK755" s="4">
        <v>1023</v>
      </c>
      <c r="GL755" s="4">
        <v>934</v>
      </c>
      <c r="GM755" s="4">
        <v>1061</v>
      </c>
      <c r="GN755" s="4">
        <v>1010</v>
      </c>
      <c r="GO755" s="4">
        <v>950</v>
      </c>
      <c r="GP755" s="4">
        <v>893</v>
      </c>
      <c r="GQ755" s="4">
        <v>820</v>
      </c>
      <c r="GR755" s="4">
        <v>780</v>
      </c>
      <c r="GS755" s="4">
        <v>738</v>
      </c>
      <c r="GT755" s="4">
        <v>704</v>
      </c>
      <c r="GU755" s="4">
        <v>674</v>
      </c>
      <c r="GV755" s="4">
        <v>642</v>
      </c>
      <c r="GW755" s="4">
        <v>618</v>
      </c>
      <c r="GX755" s="4">
        <v>597</v>
      </c>
      <c r="GY755" s="4">
        <v>577</v>
      </c>
      <c r="GZ755" s="4">
        <v>556</v>
      </c>
      <c r="HA755" s="4">
        <v>535</v>
      </c>
      <c r="HB755" s="4">
        <v>514</v>
      </c>
      <c r="HC755" s="4">
        <v>493</v>
      </c>
      <c r="HD755" s="19">
        <v>19.2</v>
      </c>
      <c r="HE755" s="19">
        <v>19.8</v>
      </c>
      <c r="HF755" s="19">
        <v>11.7</v>
      </c>
      <c r="HG755" s="19">
        <v>10.2</v>
      </c>
      <c r="HH755" s="19">
        <v>9.1</v>
      </c>
      <c r="HI755" s="19">
        <v>9</v>
      </c>
      <c r="HJ755" s="19">
        <v>10.6</v>
      </c>
      <c r="HK755" s="19">
        <v>15.7</v>
      </c>
      <c r="HL755" s="19">
        <v>16.4</v>
      </c>
      <c r="HM755" s="19">
        <v>17.7</v>
      </c>
      <c r="HN755" s="19">
        <v>17.4</v>
      </c>
      <c r="HO755" s="19">
        <v>17.9</v>
      </c>
      <c r="HP755" s="19">
        <v>19</v>
      </c>
      <c r="HQ755" s="19">
        <v>22.8</v>
      </c>
      <c r="HR755" s="19">
        <v>22.9</v>
      </c>
      <c r="HS755" s="19">
        <v>24.6</v>
      </c>
      <c r="HT755" s="19">
        <v>26.1</v>
      </c>
      <c r="HU755" s="19">
        <v>28.1</v>
      </c>
      <c r="HV755" s="19">
        <v>29.2</v>
      </c>
      <c r="HW755" s="19">
        <v>29.4</v>
      </c>
      <c r="HX755" s="19">
        <v>28.4</v>
      </c>
      <c r="HY755" s="19">
        <v>27.5</v>
      </c>
      <c r="HZ755" s="19">
        <v>27.8</v>
      </c>
      <c r="IA755" s="19">
        <v>26.8</v>
      </c>
      <c r="IB755" s="19">
        <v>27.1</v>
      </c>
      <c r="IC755" s="19">
        <v>27.4</v>
      </c>
    </row>
    <row r="756">
      <c r="A756" s="2" t="s">
        <v>3253</v>
      </c>
      <c r="B756" s="2" t="s">
        <v>323</v>
      </c>
      <c r="C756" s="2" t="s">
        <v>1036</v>
      </c>
      <c r="D756" s="2" t="s">
        <v>257</v>
      </c>
      <c r="E756" s="2" t="s">
        <v>258</v>
      </c>
      <c r="F756" s="2" t="s">
        <v>3098</v>
      </c>
      <c r="G756" s="2" t="s">
        <v>3098</v>
      </c>
      <c r="H756" s="2" t="s">
        <v>3098</v>
      </c>
      <c r="I756" s="2" t="s">
        <v>3099</v>
      </c>
      <c r="J756" s="2" t="s">
        <v>270</v>
      </c>
      <c r="K756" s="2" t="s">
        <v>3246</v>
      </c>
      <c r="L756" s="3">
        <v>27.39</v>
      </c>
      <c r="M756" s="3">
        <v>28.76</v>
      </c>
      <c r="N756" s="3">
        <v>62.99</v>
      </c>
      <c r="O756" s="2" t="s">
        <v>232</v>
      </c>
      <c r="P756" s="2" t="s">
        <v>233</v>
      </c>
      <c r="Q756" s="2" t="s">
        <v>234</v>
      </c>
      <c r="R756" s="2" t="s">
        <v>235</v>
      </c>
      <c r="S756" s="2" t="s">
        <v>3247</v>
      </c>
      <c r="T756" s="2" t="s">
        <v>2908</v>
      </c>
      <c r="U756" s="2" t="s">
        <v>264</v>
      </c>
      <c r="V756" s="2" t="s">
        <v>2919</v>
      </c>
      <c r="W756" s="2" t="s">
        <v>1798</v>
      </c>
      <c r="X756" s="2" t="s">
        <v>239</v>
      </c>
      <c r="Y756" s="2" t="s">
        <v>3248</v>
      </c>
      <c r="Z756" s="4">
        <v>730</v>
      </c>
      <c r="AA756" s="4">
        <f>=ROUNDDOWN(27.037037037037,0)</f>
      </c>
      <c r="AB756" s="5">
        <v>27</v>
      </c>
      <c r="AC756" s="2" t="s">
        <v>2503</v>
      </c>
      <c r="AD756" s="4">
        <v>4</v>
      </c>
      <c r="AE756" s="4">
        <v>441</v>
      </c>
      <c r="AF756" s="6">
        <v>82</v>
      </c>
      <c r="AG756" s="6"/>
      <c r="AH756" s="7">
        <v>1</v>
      </c>
      <c r="AI756" s="4"/>
      <c r="AJ756" s="4">
        <f>=ROUNDDOWN({0},0)</f>
      </c>
      <c r="AK756" s="5"/>
      <c r="AL756" s="2" t="s">
        <v>235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235</v>
      </c>
      <c r="AW756" s="8" t="s">
        <v>235</v>
      </c>
      <c r="AX756" s="4" t="s">
        <v>235</v>
      </c>
      <c r="AY756" s="8" t="s">
        <v>235</v>
      </c>
      <c r="AZ756" s="7" t="s">
        <v>235</v>
      </c>
      <c r="BA756" s="7" t="s">
        <v>235</v>
      </c>
      <c r="BB756" s="7"/>
      <c r="BC756" s="4" t="s">
        <v>235</v>
      </c>
      <c r="BD756" s="8" t="s">
        <v>235</v>
      </c>
      <c r="BE756" s="4" t="s">
        <v>235</v>
      </c>
      <c r="BF756" s="8" t="s">
        <v>235</v>
      </c>
      <c r="BG756" s="7" t="s">
        <v>235</v>
      </c>
      <c r="BH756" s="7" t="s">
        <v>235</v>
      </c>
      <c r="BI756" s="7"/>
      <c r="BJ756" s="4">
        <v>7</v>
      </c>
      <c r="BK756" s="8">
        <v>257.69</v>
      </c>
      <c r="BL756" s="2" t="s">
        <v>3254</v>
      </c>
      <c r="BM756" s="7"/>
      <c r="BN756" s="7"/>
      <c r="BO756" s="4"/>
      <c r="BP756" s="8"/>
      <c r="BQ756" s="4"/>
      <c r="BR756" s="8"/>
      <c r="BS756" s="7"/>
      <c r="BT756" s="7"/>
      <c r="BU756" s="2" t="s">
        <v>3105</v>
      </c>
      <c r="BV756" s="2" t="s">
        <v>243</v>
      </c>
      <c r="BW756" s="2" t="s">
        <v>235</v>
      </c>
      <c r="BX756" s="2" t="s">
        <v>383</v>
      </c>
      <c r="BY756" s="2" t="s">
        <v>245</v>
      </c>
      <c r="BZ756" s="2" t="s">
        <v>232</v>
      </c>
      <c r="CA756" s="2" t="s">
        <v>1701</v>
      </c>
      <c r="CB756" s="2" t="s">
        <v>480</v>
      </c>
      <c r="CC756" s="2" t="s">
        <v>248</v>
      </c>
      <c r="CD756" s="2" t="s">
        <v>248</v>
      </c>
      <c r="CE756" s="2" t="s">
        <v>235</v>
      </c>
      <c r="CF756" s="4">
        <v>730</v>
      </c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>
        <v>4</v>
      </c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>
        <v>293</v>
      </c>
      <c r="ED756" s="4"/>
      <c r="EE756" s="4"/>
      <c r="EF756" s="4"/>
      <c r="EG756" s="4"/>
      <c r="EH756" s="4"/>
      <c r="EI756" s="4"/>
      <c r="EJ756" s="4">
        <v>144</v>
      </c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>
        <v>731</v>
      </c>
      <c r="GE756" s="4">
        <v>646</v>
      </c>
      <c r="GF756" s="4">
        <v>629</v>
      </c>
      <c r="GG756" s="4">
        <v>600</v>
      </c>
      <c r="GH756" s="4">
        <v>565</v>
      </c>
      <c r="GI756" s="4">
        <v>509</v>
      </c>
      <c r="GJ756" s="4">
        <v>409</v>
      </c>
      <c r="GK756" s="4">
        <v>648</v>
      </c>
      <c r="GL756" s="4">
        <v>596</v>
      </c>
      <c r="GM756" s="4">
        <v>702</v>
      </c>
      <c r="GN756" s="4">
        <v>663</v>
      </c>
      <c r="GO756" s="4">
        <v>616</v>
      </c>
      <c r="GP756" s="4">
        <v>561</v>
      </c>
      <c r="GQ756" s="4">
        <v>469</v>
      </c>
      <c r="GR756" s="4">
        <v>423</v>
      </c>
      <c r="GS756" s="4">
        <v>377</v>
      </c>
      <c r="GT756" s="4">
        <v>344</v>
      </c>
      <c r="GU756" s="4">
        <v>317</v>
      </c>
      <c r="GV756" s="4">
        <v>287</v>
      </c>
      <c r="GW756" s="4">
        <v>266</v>
      </c>
      <c r="GX756" s="4">
        <v>249</v>
      </c>
      <c r="GY756" s="4">
        <v>234</v>
      </c>
      <c r="GZ756" s="4">
        <v>218</v>
      </c>
      <c r="HA756" s="4">
        <v>202</v>
      </c>
      <c r="HB756" s="4">
        <v>186</v>
      </c>
      <c r="HC756" s="4">
        <v>170</v>
      </c>
      <c r="HD756" s="19">
        <v>17.4</v>
      </c>
      <c r="HE756" s="19">
        <v>18.5</v>
      </c>
      <c r="HF756" s="19">
        <v>11.4</v>
      </c>
      <c r="HG756" s="19">
        <v>9.8</v>
      </c>
      <c r="HH756" s="19">
        <v>8.6</v>
      </c>
      <c r="HI756" s="19">
        <v>8.3</v>
      </c>
      <c r="HJ756" s="19">
        <v>8.9</v>
      </c>
      <c r="HK756" s="19">
        <v>14.7</v>
      </c>
      <c r="HL756" s="19">
        <v>13.2</v>
      </c>
      <c r="HM756" s="19">
        <v>12.1</v>
      </c>
      <c r="HN756" s="19">
        <v>11.1</v>
      </c>
      <c r="HO756" s="19">
        <v>10.3</v>
      </c>
      <c r="HP756" s="19">
        <v>10.4</v>
      </c>
      <c r="HQ756" s="19">
        <v>12.3</v>
      </c>
      <c r="HR756" s="19">
        <v>12.4</v>
      </c>
      <c r="HS756" s="19">
        <v>13.5</v>
      </c>
      <c r="HT756" s="19">
        <v>14.3</v>
      </c>
      <c r="HU756" s="19">
        <v>15.1</v>
      </c>
      <c r="HV756" s="19">
        <v>16.9</v>
      </c>
      <c r="HW756" s="19">
        <v>16.6</v>
      </c>
      <c r="HX756" s="19">
        <v>15.6</v>
      </c>
      <c r="HY756" s="19">
        <v>14.6</v>
      </c>
      <c r="HZ756" s="19">
        <v>13.6</v>
      </c>
      <c r="IA756" s="19">
        <v>13.5</v>
      </c>
      <c r="IB756" s="19">
        <v>13.3</v>
      </c>
      <c r="IC756" s="19">
        <v>12.1</v>
      </c>
    </row>
    <row r="757">
      <c r="A757" s="2" t="s">
        <v>3255</v>
      </c>
      <c r="B757" s="2" t="s">
        <v>323</v>
      </c>
      <c r="C757" s="2" t="s">
        <v>1036</v>
      </c>
      <c r="D757" s="2" t="s">
        <v>257</v>
      </c>
      <c r="E757" s="2" t="s">
        <v>258</v>
      </c>
      <c r="F757" s="2" t="s">
        <v>3098</v>
      </c>
      <c r="G757" s="2" t="s">
        <v>3098</v>
      </c>
      <c r="H757" s="2" t="s">
        <v>3098</v>
      </c>
      <c r="I757" s="2" t="s">
        <v>3099</v>
      </c>
      <c r="J757" s="2" t="s">
        <v>272</v>
      </c>
      <c r="K757" s="2" t="s">
        <v>3246</v>
      </c>
      <c r="L757" s="3">
        <v>27.39</v>
      </c>
      <c r="M757" s="3">
        <v>28.76</v>
      </c>
      <c r="N757" s="3">
        <v>62.99</v>
      </c>
      <c r="O757" s="2" t="s">
        <v>232</v>
      </c>
      <c r="P757" s="2" t="s">
        <v>233</v>
      </c>
      <c r="Q757" s="2" t="s">
        <v>234</v>
      </c>
      <c r="R757" s="2" t="s">
        <v>235</v>
      </c>
      <c r="S757" s="2" t="s">
        <v>3247</v>
      </c>
      <c r="T757" s="2" t="s">
        <v>2908</v>
      </c>
      <c r="U757" s="2" t="s">
        <v>264</v>
      </c>
      <c r="V757" s="2" t="s">
        <v>2919</v>
      </c>
      <c r="W757" s="2" t="s">
        <v>1798</v>
      </c>
      <c r="X757" s="2" t="s">
        <v>239</v>
      </c>
      <c r="Y757" s="2" t="s">
        <v>3248</v>
      </c>
      <c r="Z757" s="4">
        <v>161</v>
      </c>
      <c r="AA757" s="4">
        <f>=ROUNDDOWN(26.8333333333333,0)</f>
      </c>
      <c r="AB757" s="5">
        <v>6</v>
      </c>
      <c r="AC757" s="2" t="s">
        <v>2503</v>
      </c>
      <c r="AD757" s="4">
        <v>9</v>
      </c>
      <c r="AE757" s="4">
        <v>109</v>
      </c>
      <c r="AF757" s="6">
        <v>82</v>
      </c>
      <c r="AG757" s="6"/>
      <c r="AH757" s="7">
        <v>1</v>
      </c>
      <c r="AI757" s="4"/>
      <c r="AJ757" s="4">
        <f>=ROUNDDOWN({0},0)</f>
      </c>
      <c r="AK757" s="5"/>
      <c r="AL757" s="2" t="s">
        <v>235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235</v>
      </c>
      <c r="AW757" s="8" t="s">
        <v>235</v>
      </c>
      <c r="AX757" s="4" t="s">
        <v>235</v>
      </c>
      <c r="AY757" s="8" t="s">
        <v>235</v>
      </c>
      <c r="AZ757" s="7" t="s">
        <v>235</v>
      </c>
      <c r="BA757" s="7" t="s">
        <v>235</v>
      </c>
      <c r="BB757" s="7"/>
      <c r="BC757" s="4" t="s">
        <v>235</v>
      </c>
      <c r="BD757" s="8" t="s">
        <v>235</v>
      </c>
      <c r="BE757" s="4" t="s">
        <v>235</v>
      </c>
      <c r="BF757" s="8" t="s">
        <v>235</v>
      </c>
      <c r="BG757" s="7" t="s">
        <v>235</v>
      </c>
      <c r="BH757" s="7" t="s">
        <v>235</v>
      </c>
      <c r="BI757" s="7"/>
      <c r="BJ757" s="4"/>
      <c r="BK757" s="8"/>
      <c r="BL757" s="2" t="s">
        <v>3256</v>
      </c>
      <c r="BM757" s="7"/>
      <c r="BN757" s="7"/>
      <c r="BO757" s="4"/>
      <c r="BP757" s="8"/>
      <c r="BQ757" s="4"/>
      <c r="BR757" s="8"/>
      <c r="BS757" s="7"/>
      <c r="BT757" s="7"/>
      <c r="BU757" s="2" t="s">
        <v>3105</v>
      </c>
      <c r="BV757" s="2" t="s">
        <v>243</v>
      </c>
      <c r="BW757" s="2" t="s">
        <v>235</v>
      </c>
      <c r="BX757" s="2" t="s">
        <v>383</v>
      </c>
      <c r="BY757" s="2" t="s">
        <v>245</v>
      </c>
      <c r="BZ757" s="2" t="s">
        <v>232</v>
      </c>
      <c r="CA757" s="2" t="s">
        <v>1701</v>
      </c>
      <c r="CB757" s="2" t="s">
        <v>934</v>
      </c>
      <c r="CC757" s="2" t="s">
        <v>248</v>
      </c>
      <c r="CD757" s="2" t="s">
        <v>248</v>
      </c>
      <c r="CE757" s="2" t="s">
        <v>235</v>
      </c>
      <c r="CF757" s="4">
        <v>161</v>
      </c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>
        <v>9</v>
      </c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>
        <v>67</v>
      </c>
      <c r="ED757" s="4"/>
      <c r="EE757" s="4"/>
      <c r="EF757" s="4"/>
      <c r="EG757" s="4"/>
      <c r="EH757" s="4"/>
      <c r="EI757" s="4"/>
      <c r="EJ757" s="4">
        <v>33</v>
      </c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>
        <v>161</v>
      </c>
      <c r="GE757" s="4">
        <v>151</v>
      </c>
      <c r="GF757" s="4">
        <v>155</v>
      </c>
      <c r="GG757" s="4">
        <v>148</v>
      </c>
      <c r="GH757" s="4">
        <v>140</v>
      </c>
      <c r="GI757" s="4">
        <v>128</v>
      </c>
      <c r="GJ757" s="4">
        <v>106</v>
      </c>
      <c r="GK757" s="4">
        <v>161</v>
      </c>
      <c r="GL757" s="4">
        <v>150</v>
      </c>
      <c r="GM757" s="4">
        <v>175</v>
      </c>
      <c r="GN757" s="4">
        <v>166</v>
      </c>
      <c r="GO757" s="4">
        <v>155</v>
      </c>
      <c r="GP757" s="4">
        <v>143</v>
      </c>
      <c r="GQ757" s="4">
        <v>122</v>
      </c>
      <c r="GR757" s="4">
        <v>111</v>
      </c>
      <c r="GS757" s="4">
        <v>101</v>
      </c>
      <c r="GT757" s="4">
        <v>94</v>
      </c>
      <c r="GU757" s="4">
        <v>88</v>
      </c>
      <c r="GV757" s="4">
        <v>81</v>
      </c>
      <c r="GW757" s="4">
        <v>76</v>
      </c>
      <c r="GX757" s="4">
        <v>72</v>
      </c>
      <c r="GY757" s="4">
        <v>68</v>
      </c>
      <c r="GZ757" s="4">
        <v>64</v>
      </c>
      <c r="HA757" s="4">
        <v>60</v>
      </c>
      <c r="HB757" s="4">
        <v>56</v>
      </c>
      <c r="HC757" s="4">
        <v>52</v>
      </c>
      <c r="HD757" s="19">
        <v>20.1</v>
      </c>
      <c r="HE757" s="19">
        <v>18.9</v>
      </c>
      <c r="HF757" s="19">
        <v>12.9</v>
      </c>
      <c r="HG757" s="19">
        <v>10.6</v>
      </c>
      <c r="HH757" s="19">
        <v>10</v>
      </c>
      <c r="HI757" s="19">
        <v>9.8</v>
      </c>
      <c r="HJ757" s="19">
        <v>10.6</v>
      </c>
      <c r="HK757" s="19">
        <v>16.1</v>
      </c>
      <c r="HL757" s="19">
        <v>15</v>
      </c>
      <c r="HM757" s="19">
        <v>13.5</v>
      </c>
      <c r="HN757" s="19">
        <v>11.9</v>
      </c>
      <c r="HO757" s="19">
        <v>11.1</v>
      </c>
      <c r="HP757" s="19">
        <v>11.9</v>
      </c>
      <c r="HQ757" s="19">
        <v>15.3</v>
      </c>
      <c r="HR757" s="19">
        <v>13.9</v>
      </c>
      <c r="HS757" s="19">
        <v>16.8</v>
      </c>
      <c r="HT757" s="19">
        <v>15.7</v>
      </c>
      <c r="HU757" s="19">
        <v>17.6</v>
      </c>
      <c r="HV757" s="19">
        <v>20.3</v>
      </c>
      <c r="HW757" s="19">
        <v>19</v>
      </c>
      <c r="HX757" s="19">
        <v>18</v>
      </c>
      <c r="HY757" s="19">
        <v>17</v>
      </c>
      <c r="HZ757" s="19">
        <v>16</v>
      </c>
      <c r="IA757" s="19">
        <v>15</v>
      </c>
      <c r="IB757" s="19">
        <v>14</v>
      </c>
      <c r="IC757" s="19">
        <v>13</v>
      </c>
    </row>
    <row r="758">
      <c r="A758" s="2" t="s">
        <v>3257</v>
      </c>
      <c r="B758" s="2" t="s">
        <v>323</v>
      </c>
      <c r="C758" s="2" t="s">
        <v>1036</v>
      </c>
      <c r="D758" s="2" t="s">
        <v>257</v>
      </c>
      <c r="E758" s="2" t="s">
        <v>258</v>
      </c>
      <c r="F758" s="2" t="s">
        <v>3098</v>
      </c>
      <c r="G758" s="2" t="s">
        <v>3098</v>
      </c>
      <c r="H758" s="2" t="s">
        <v>3098</v>
      </c>
      <c r="I758" s="2" t="s">
        <v>3099</v>
      </c>
      <c r="J758" s="2" t="s">
        <v>394</v>
      </c>
      <c r="K758" s="2" t="s">
        <v>3258</v>
      </c>
      <c r="L758" s="3">
        <v>14.89</v>
      </c>
      <c r="M758" s="3">
        <v>15.63</v>
      </c>
      <c r="N758" s="3">
        <v>31.99</v>
      </c>
      <c r="O758" s="2" t="s">
        <v>232</v>
      </c>
      <c r="P758" s="2" t="s">
        <v>336</v>
      </c>
      <c r="Q758" s="2" t="s">
        <v>234</v>
      </c>
      <c r="R758" s="2" t="s">
        <v>235</v>
      </c>
      <c r="S758" s="2" t="s">
        <v>3259</v>
      </c>
      <c r="T758" s="2" t="s">
        <v>2908</v>
      </c>
      <c r="U758" s="2" t="s">
        <v>552</v>
      </c>
      <c r="V758" s="2" t="s">
        <v>2919</v>
      </c>
      <c r="W758" s="2" t="s">
        <v>239</v>
      </c>
      <c r="X758" s="2" t="s">
        <v>1798</v>
      </c>
      <c r="Y758" s="2" t="s">
        <v>3102</v>
      </c>
      <c r="Z758" s="4">
        <v>1395</v>
      </c>
      <c r="AA758" s="4">
        <f>=ROUNDDOWN(24.9107142857143,0)</f>
      </c>
      <c r="AB758" s="5">
        <v>56</v>
      </c>
      <c r="AC758" s="2" t="s">
        <v>2503</v>
      </c>
      <c r="AD758" s="4">
        <v>50</v>
      </c>
      <c r="AE758" s="4">
        <v>793</v>
      </c>
      <c r="AF758" s="6">
        <v>73</v>
      </c>
      <c r="AG758" s="6"/>
      <c r="AH758" s="7">
        <v>1</v>
      </c>
      <c r="AI758" s="4"/>
      <c r="AJ758" s="4">
        <f>=ROUNDDOWN({0},0)</f>
      </c>
      <c r="AK758" s="5"/>
      <c r="AL758" s="2" t="s">
        <v>235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235</v>
      </c>
      <c r="AW758" s="8" t="s">
        <v>235</v>
      </c>
      <c r="AX758" s="4" t="s">
        <v>235</v>
      </c>
      <c r="AY758" s="8" t="s">
        <v>235</v>
      </c>
      <c r="AZ758" s="7" t="s">
        <v>235</v>
      </c>
      <c r="BA758" s="7" t="s">
        <v>235</v>
      </c>
      <c r="BB758" s="7"/>
      <c r="BC758" s="4" t="s">
        <v>235</v>
      </c>
      <c r="BD758" s="8" t="s">
        <v>235</v>
      </c>
      <c r="BE758" s="4" t="s">
        <v>235</v>
      </c>
      <c r="BF758" s="8" t="s">
        <v>235</v>
      </c>
      <c r="BG758" s="7" t="s">
        <v>235</v>
      </c>
      <c r="BH758" s="7" t="s">
        <v>235</v>
      </c>
      <c r="BI758" s="7"/>
      <c r="BJ758" s="4">
        <v>162</v>
      </c>
      <c r="BK758" s="8">
        <v>2716.68</v>
      </c>
      <c r="BL758" s="2" t="s">
        <v>3260</v>
      </c>
      <c r="BM758" s="7"/>
      <c r="BN758" s="7"/>
      <c r="BO758" s="4"/>
      <c r="BP758" s="8"/>
      <c r="BQ758" s="4"/>
      <c r="BR758" s="8"/>
      <c r="BS758" s="7"/>
      <c r="BT758" s="7"/>
      <c r="BU758" s="2" t="s">
        <v>3105</v>
      </c>
      <c r="BV758" s="2" t="s">
        <v>243</v>
      </c>
      <c r="BW758" s="2" t="s">
        <v>235</v>
      </c>
      <c r="BX758" s="2" t="s">
        <v>383</v>
      </c>
      <c r="BY758" s="2" t="s">
        <v>245</v>
      </c>
      <c r="BZ758" s="2" t="s">
        <v>232</v>
      </c>
      <c r="CA758" s="2" t="s">
        <v>3261</v>
      </c>
      <c r="CB758" s="2" t="s">
        <v>3177</v>
      </c>
      <c r="CC758" s="2" t="s">
        <v>248</v>
      </c>
      <c r="CD758" s="2" t="s">
        <v>248</v>
      </c>
      <c r="CE758" s="2" t="s">
        <v>235</v>
      </c>
      <c r="CF758" s="4">
        <v>1395</v>
      </c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>
        <v>50</v>
      </c>
      <c r="DH758" s="4"/>
      <c r="DI758" s="4"/>
      <c r="DJ758" s="4"/>
      <c r="DK758" s="4"/>
      <c r="DL758" s="4"/>
      <c r="DM758" s="4">
        <v>330</v>
      </c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>
        <v>134</v>
      </c>
      <c r="ED758" s="4"/>
      <c r="EE758" s="4"/>
      <c r="EF758" s="4"/>
      <c r="EG758" s="4"/>
      <c r="EH758" s="4"/>
      <c r="EI758" s="4"/>
      <c r="EJ758" s="4">
        <v>279</v>
      </c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>
        <v>1616</v>
      </c>
      <c r="GE758" s="4">
        <v>1362</v>
      </c>
      <c r="GF758" s="4">
        <v>1409</v>
      </c>
      <c r="GG758" s="4">
        <v>1394</v>
      </c>
      <c r="GH758" s="4">
        <v>1619</v>
      </c>
      <c r="GI758" s="4">
        <v>1456</v>
      </c>
      <c r="GJ758" s="4">
        <v>1135</v>
      </c>
      <c r="GK758" s="4">
        <v>1116</v>
      </c>
      <c r="GL758" s="4">
        <v>968</v>
      </c>
      <c r="GM758" s="4">
        <v>1150</v>
      </c>
      <c r="GN758" s="4">
        <v>1076</v>
      </c>
      <c r="GO758" s="4">
        <v>989</v>
      </c>
      <c r="GP758" s="4">
        <v>917</v>
      </c>
      <c r="GQ758" s="4">
        <v>845</v>
      </c>
      <c r="GR758" s="4">
        <v>799</v>
      </c>
      <c r="GS758" s="4">
        <v>749</v>
      </c>
      <c r="GT758" s="4">
        <v>704</v>
      </c>
      <c r="GU758" s="4">
        <v>661</v>
      </c>
      <c r="GV758" s="4">
        <v>617</v>
      </c>
      <c r="GW758" s="4">
        <v>585</v>
      </c>
      <c r="GX758" s="4">
        <v>555</v>
      </c>
      <c r="GY758" s="4">
        <v>526</v>
      </c>
      <c r="GZ758" s="4">
        <v>496</v>
      </c>
      <c r="HA758" s="4">
        <v>466</v>
      </c>
      <c r="HB758" s="4">
        <v>436</v>
      </c>
      <c r="HC758" s="4">
        <v>406</v>
      </c>
      <c r="HD758" s="19">
        <v>17.2</v>
      </c>
      <c r="HE758" s="19">
        <v>18.9</v>
      </c>
      <c r="HF758" s="19">
        <v>9.3</v>
      </c>
      <c r="HG758" s="19">
        <v>7.5</v>
      </c>
      <c r="HH758" s="19">
        <v>8.3</v>
      </c>
      <c r="HI758" s="19">
        <v>8.1</v>
      </c>
      <c r="HJ758" s="19">
        <v>9.6</v>
      </c>
      <c r="HK758" s="19">
        <v>10.9</v>
      </c>
      <c r="HL758" s="19">
        <v>11.8</v>
      </c>
      <c r="HM758" s="19">
        <v>15.1</v>
      </c>
      <c r="HN758" s="19">
        <v>15.6</v>
      </c>
      <c r="HO758" s="19">
        <v>16.5</v>
      </c>
      <c r="HP758" s="19">
        <v>17.3</v>
      </c>
      <c r="HQ758" s="19">
        <v>18.4</v>
      </c>
      <c r="HR758" s="19">
        <v>17.4</v>
      </c>
      <c r="HS758" s="19">
        <v>18.3</v>
      </c>
      <c r="HT758" s="19">
        <v>19</v>
      </c>
      <c r="HU758" s="19">
        <v>19.4</v>
      </c>
      <c r="HV758" s="19">
        <v>20.6</v>
      </c>
      <c r="HW758" s="19">
        <v>19.5</v>
      </c>
      <c r="HX758" s="19">
        <v>18.5</v>
      </c>
      <c r="HY758" s="19">
        <v>17.5</v>
      </c>
      <c r="HZ758" s="19">
        <v>16.5</v>
      </c>
      <c r="IA758" s="19">
        <v>15.5</v>
      </c>
      <c r="IB758" s="19">
        <v>15.6</v>
      </c>
      <c r="IC758" s="19">
        <v>15.6</v>
      </c>
    </row>
    <row r="759">
      <c r="A759" s="2" t="s">
        <v>3262</v>
      </c>
      <c r="B759" s="2" t="s">
        <v>323</v>
      </c>
      <c r="C759" s="2" t="s">
        <v>1036</v>
      </c>
      <c r="D759" s="2" t="s">
        <v>257</v>
      </c>
      <c r="E759" s="2" t="s">
        <v>258</v>
      </c>
      <c r="F759" s="2" t="s">
        <v>3098</v>
      </c>
      <c r="G759" s="2" t="s">
        <v>3098</v>
      </c>
      <c r="H759" s="2" t="s">
        <v>3098</v>
      </c>
      <c r="I759" s="2" t="s">
        <v>3099</v>
      </c>
      <c r="J759" s="2" t="s">
        <v>250</v>
      </c>
      <c r="K759" s="2" t="s">
        <v>3258</v>
      </c>
      <c r="L759" s="3">
        <v>19.57</v>
      </c>
      <c r="M759" s="3">
        <v>20.55</v>
      </c>
      <c r="N759" s="3">
        <v>42.99</v>
      </c>
      <c r="O759" s="2" t="s">
        <v>232</v>
      </c>
      <c r="P759" s="2" t="s">
        <v>336</v>
      </c>
      <c r="Q759" s="2" t="s">
        <v>234</v>
      </c>
      <c r="R759" s="2" t="s">
        <v>235</v>
      </c>
      <c r="S759" s="2" t="s">
        <v>3259</v>
      </c>
      <c r="T759" s="2" t="s">
        <v>2908</v>
      </c>
      <c r="U759" s="2" t="s">
        <v>264</v>
      </c>
      <c r="V759" s="2" t="s">
        <v>2919</v>
      </c>
      <c r="W759" s="2" t="s">
        <v>239</v>
      </c>
      <c r="X759" s="2" t="s">
        <v>1798</v>
      </c>
      <c r="Y759" s="2" t="s">
        <v>3102</v>
      </c>
      <c r="Z759" s="4">
        <v>717</v>
      </c>
      <c r="AA759" s="4">
        <f>=ROUNDDOWN(24.7241379310345,0)</f>
      </c>
      <c r="AB759" s="5">
        <v>29</v>
      </c>
      <c r="AC759" s="2" t="s">
        <v>2503</v>
      </c>
      <c r="AD759" s="4">
        <v>37</v>
      </c>
      <c r="AE759" s="4">
        <v>484</v>
      </c>
      <c r="AF759" s="6">
        <v>73</v>
      </c>
      <c r="AG759" s="6"/>
      <c r="AH759" s="7">
        <v>1</v>
      </c>
      <c r="AI759" s="4"/>
      <c r="AJ759" s="4">
        <f>=ROUNDDOWN({0},0)</f>
      </c>
      <c r="AK759" s="5"/>
      <c r="AL759" s="2" t="s">
        <v>235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235</v>
      </c>
      <c r="AW759" s="8" t="s">
        <v>235</v>
      </c>
      <c r="AX759" s="4" t="s">
        <v>235</v>
      </c>
      <c r="AY759" s="8" t="s">
        <v>235</v>
      </c>
      <c r="AZ759" s="7" t="s">
        <v>235</v>
      </c>
      <c r="BA759" s="7" t="s">
        <v>235</v>
      </c>
      <c r="BB759" s="7"/>
      <c r="BC759" s="4" t="s">
        <v>235</v>
      </c>
      <c r="BD759" s="8" t="s">
        <v>235</v>
      </c>
      <c r="BE759" s="4" t="s">
        <v>235</v>
      </c>
      <c r="BF759" s="8" t="s">
        <v>235</v>
      </c>
      <c r="BG759" s="7" t="s">
        <v>235</v>
      </c>
      <c r="BH759" s="7" t="s">
        <v>235</v>
      </c>
      <c r="BI759" s="7"/>
      <c r="BJ759" s="4">
        <v>108</v>
      </c>
      <c r="BK759" s="8">
        <v>2284.68</v>
      </c>
      <c r="BL759" s="2" t="s">
        <v>3263</v>
      </c>
      <c r="BM759" s="7"/>
      <c r="BN759" s="7"/>
      <c r="BO759" s="4"/>
      <c r="BP759" s="8"/>
      <c r="BQ759" s="4"/>
      <c r="BR759" s="8"/>
      <c r="BS759" s="7"/>
      <c r="BT759" s="7"/>
      <c r="BU759" s="2" t="s">
        <v>3105</v>
      </c>
      <c r="BV759" s="2" t="s">
        <v>243</v>
      </c>
      <c r="BW759" s="2" t="s">
        <v>235</v>
      </c>
      <c r="BX759" s="2" t="s">
        <v>383</v>
      </c>
      <c r="BY759" s="2" t="s">
        <v>245</v>
      </c>
      <c r="BZ759" s="2" t="s">
        <v>232</v>
      </c>
      <c r="CA759" s="2" t="s">
        <v>3110</v>
      </c>
      <c r="CB759" s="2" t="s">
        <v>3025</v>
      </c>
      <c r="CC759" s="2" t="s">
        <v>248</v>
      </c>
      <c r="CD759" s="2" t="s">
        <v>248</v>
      </c>
      <c r="CE759" s="2" t="s">
        <v>235</v>
      </c>
      <c r="CF759" s="4">
        <v>591</v>
      </c>
      <c r="CG759" s="4">
        <v>126</v>
      </c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>
        <v>37</v>
      </c>
      <c r="DH759" s="4"/>
      <c r="DI759" s="4"/>
      <c r="DJ759" s="4"/>
      <c r="DK759" s="4"/>
      <c r="DL759" s="4"/>
      <c r="DM759" s="4">
        <v>293</v>
      </c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>
        <v>154</v>
      </c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>
        <v>797</v>
      </c>
      <c r="GE759" s="4">
        <v>686</v>
      </c>
      <c r="GF759" s="4">
        <v>719</v>
      </c>
      <c r="GG759" s="4">
        <v>715</v>
      </c>
      <c r="GH759" s="4">
        <v>1004</v>
      </c>
      <c r="GI759" s="4">
        <v>974</v>
      </c>
      <c r="GJ759" s="4">
        <v>836</v>
      </c>
      <c r="GK759" s="4">
        <v>767</v>
      </c>
      <c r="GL759" s="4">
        <v>700</v>
      </c>
      <c r="GM759" s="4">
        <v>808</v>
      </c>
      <c r="GN759" s="4">
        <v>768</v>
      </c>
      <c r="GO759" s="4">
        <v>720</v>
      </c>
      <c r="GP759" s="4">
        <v>672</v>
      </c>
      <c r="GQ759" s="4">
        <v>605</v>
      </c>
      <c r="GR759" s="4">
        <v>569</v>
      </c>
      <c r="GS759" s="4">
        <v>532</v>
      </c>
      <c r="GT759" s="4">
        <v>503</v>
      </c>
      <c r="GU759" s="4">
        <v>478</v>
      </c>
      <c r="GV759" s="4">
        <v>451</v>
      </c>
      <c r="GW759" s="4">
        <v>431</v>
      </c>
      <c r="GX759" s="4">
        <v>414</v>
      </c>
      <c r="GY759" s="4">
        <v>398</v>
      </c>
      <c r="GZ759" s="4">
        <v>381</v>
      </c>
      <c r="HA759" s="4">
        <v>364</v>
      </c>
      <c r="HB759" s="4">
        <v>347</v>
      </c>
      <c r="HC759" s="4">
        <v>330</v>
      </c>
      <c r="HD759" s="19">
        <v>25.7</v>
      </c>
      <c r="HE759" s="19">
        <v>68.6</v>
      </c>
      <c r="HF759" s="19">
        <v>16.3</v>
      </c>
      <c r="HG759" s="19">
        <v>11.9</v>
      </c>
      <c r="HH759" s="19">
        <v>13.2</v>
      </c>
      <c r="HI759" s="19">
        <v>12.2</v>
      </c>
      <c r="HJ759" s="19">
        <v>14.9</v>
      </c>
      <c r="HK759" s="19">
        <v>15.3</v>
      </c>
      <c r="HL759" s="19">
        <v>15.2</v>
      </c>
      <c r="HM759" s="19">
        <v>15.8</v>
      </c>
      <c r="HN759" s="19">
        <v>15.4</v>
      </c>
      <c r="HO759" s="19">
        <v>15.3</v>
      </c>
      <c r="HP759" s="19">
        <v>16</v>
      </c>
      <c r="HQ759" s="19">
        <v>18.9</v>
      </c>
      <c r="HR759" s="19">
        <v>19</v>
      </c>
      <c r="HS759" s="19">
        <v>21.3</v>
      </c>
      <c r="HT759" s="19">
        <v>22.9</v>
      </c>
      <c r="HU759" s="19">
        <v>23.9</v>
      </c>
      <c r="HV759" s="19">
        <v>25.1</v>
      </c>
      <c r="HW759" s="19">
        <v>25.4</v>
      </c>
      <c r="HX759" s="19">
        <v>24.4</v>
      </c>
      <c r="HY759" s="19">
        <v>23.4</v>
      </c>
      <c r="HZ759" s="19">
        <v>23.8</v>
      </c>
      <c r="IA759" s="19">
        <v>22.8</v>
      </c>
      <c r="IB759" s="19">
        <v>23.1</v>
      </c>
      <c r="IC759" s="19">
        <v>23.6</v>
      </c>
    </row>
    <row r="760">
      <c r="A760" s="2" t="s">
        <v>3264</v>
      </c>
      <c r="B760" s="2" t="s">
        <v>323</v>
      </c>
      <c r="C760" s="2" t="s">
        <v>1036</v>
      </c>
      <c r="D760" s="2" t="s">
        <v>257</v>
      </c>
      <c r="E760" s="2" t="s">
        <v>258</v>
      </c>
      <c r="F760" s="2" t="s">
        <v>3098</v>
      </c>
      <c r="G760" s="2" t="s">
        <v>3098</v>
      </c>
      <c r="H760" s="2" t="s">
        <v>3098</v>
      </c>
      <c r="I760" s="2" t="s">
        <v>3099</v>
      </c>
      <c r="J760" s="2" t="s">
        <v>270</v>
      </c>
      <c r="K760" s="2" t="s">
        <v>3258</v>
      </c>
      <c r="L760" s="3">
        <v>27.39</v>
      </c>
      <c r="M760" s="3">
        <v>28.76</v>
      </c>
      <c r="N760" s="3">
        <v>62.99</v>
      </c>
      <c r="O760" s="2" t="s">
        <v>232</v>
      </c>
      <c r="P760" s="2" t="s">
        <v>233</v>
      </c>
      <c r="Q760" s="2" t="s">
        <v>234</v>
      </c>
      <c r="R760" s="2" t="s">
        <v>235</v>
      </c>
      <c r="S760" s="2" t="s">
        <v>3259</v>
      </c>
      <c r="T760" s="2" t="s">
        <v>2908</v>
      </c>
      <c r="U760" s="2" t="s">
        <v>264</v>
      </c>
      <c r="V760" s="2" t="s">
        <v>2919</v>
      </c>
      <c r="W760" s="2" t="s">
        <v>239</v>
      </c>
      <c r="X760" s="2" t="s">
        <v>1798</v>
      </c>
      <c r="Y760" s="2" t="s">
        <v>3102</v>
      </c>
      <c r="Z760" s="4">
        <v>372</v>
      </c>
      <c r="AA760" s="4">
        <f>=ROUNDDOWN(28.6153846153846,0)</f>
      </c>
      <c r="AB760" s="5">
        <v>13</v>
      </c>
      <c r="AC760" s="2" t="s">
        <v>2503</v>
      </c>
      <c r="AD760" s="4">
        <v>1</v>
      </c>
      <c r="AE760" s="4">
        <v>219</v>
      </c>
      <c r="AF760" s="6">
        <v>73</v>
      </c>
      <c r="AG760" s="6"/>
      <c r="AH760" s="7">
        <v>1</v>
      </c>
      <c r="AI760" s="4"/>
      <c r="AJ760" s="4">
        <f>=ROUNDDOWN({0},0)</f>
      </c>
      <c r="AK760" s="5"/>
      <c r="AL760" s="2" t="s">
        <v>235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235</v>
      </c>
      <c r="AW760" s="8" t="s">
        <v>235</v>
      </c>
      <c r="AX760" s="4" t="s">
        <v>235</v>
      </c>
      <c r="AY760" s="8" t="s">
        <v>235</v>
      </c>
      <c r="AZ760" s="7" t="s">
        <v>235</v>
      </c>
      <c r="BA760" s="7" t="s">
        <v>235</v>
      </c>
      <c r="BB760" s="7"/>
      <c r="BC760" s="4" t="s">
        <v>235</v>
      </c>
      <c r="BD760" s="8" t="s">
        <v>235</v>
      </c>
      <c r="BE760" s="4" t="s">
        <v>235</v>
      </c>
      <c r="BF760" s="8" t="s">
        <v>235</v>
      </c>
      <c r="BG760" s="7" t="s">
        <v>235</v>
      </c>
      <c r="BH760" s="7" t="s">
        <v>235</v>
      </c>
      <c r="BI760" s="7"/>
      <c r="BJ760" s="4">
        <v>5</v>
      </c>
      <c r="BK760" s="8">
        <v>149.37</v>
      </c>
      <c r="BL760" s="2" t="s">
        <v>3265</v>
      </c>
      <c r="BM760" s="7"/>
      <c r="BN760" s="7"/>
      <c r="BO760" s="4"/>
      <c r="BP760" s="8"/>
      <c r="BQ760" s="4"/>
      <c r="BR760" s="8"/>
      <c r="BS760" s="7"/>
      <c r="BT760" s="7"/>
      <c r="BU760" s="2" t="s">
        <v>3105</v>
      </c>
      <c r="BV760" s="2" t="s">
        <v>243</v>
      </c>
      <c r="BW760" s="2" t="s">
        <v>235</v>
      </c>
      <c r="BX760" s="2" t="s">
        <v>383</v>
      </c>
      <c r="BY760" s="2" t="s">
        <v>245</v>
      </c>
      <c r="BZ760" s="2" t="s">
        <v>232</v>
      </c>
      <c r="CA760" s="2" t="s">
        <v>3110</v>
      </c>
      <c r="CB760" s="2" t="s">
        <v>745</v>
      </c>
      <c r="CC760" s="2" t="s">
        <v>248</v>
      </c>
      <c r="CD760" s="2" t="s">
        <v>248</v>
      </c>
      <c r="CE760" s="2" t="s">
        <v>235</v>
      </c>
      <c r="CF760" s="4">
        <v>365</v>
      </c>
      <c r="CG760" s="4">
        <v>7</v>
      </c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>
        <v>1</v>
      </c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>
        <v>146</v>
      </c>
      <c r="ED760" s="4"/>
      <c r="EE760" s="4"/>
      <c r="EF760" s="4"/>
      <c r="EG760" s="4"/>
      <c r="EH760" s="4"/>
      <c r="EI760" s="4"/>
      <c r="EJ760" s="4">
        <v>72</v>
      </c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>
        <v>372</v>
      </c>
      <c r="GE760" s="4">
        <v>322</v>
      </c>
      <c r="GF760" s="4">
        <v>312</v>
      </c>
      <c r="GG760" s="4">
        <v>296</v>
      </c>
      <c r="GH760" s="4">
        <v>277</v>
      </c>
      <c r="GI760" s="4">
        <v>247</v>
      </c>
      <c r="GJ760" s="4">
        <v>192</v>
      </c>
      <c r="GK760" s="4">
        <v>310</v>
      </c>
      <c r="GL760" s="4">
        <v>283</v>
      </c>
      <c r="GM760" s="4">
        <v>336</v>
      </c>
      <c r="GN760" s="4">
        <v>318</v>
      </c>
      <c r="GO760" s="4">
        <v>296</v>
      </c>
      <c r="GP760" s="4">
        <v>271</v>
      </c>
      <c r="GQ760" s="4">
        <v>234</v>
      </c>
      <c r="GR760" s="4">
        <v>214</v>
      </c>
      <c r="GS760" s="4">
        <v>194</v>
      </c>
      <c r="GT760" s="4">
        <v>179</v>
      </c>
      <c r="GU760" s="4">
        <v>166</v>
      </c>
      <c r="GV760" s="4">
        <v>152</v>
      </c>
      <c r="GW760" s="4">
        <v>142</v>
      </c>
      <c r="GX760" s="4">
        <v>134</v>
      </c>
      <c r="GY760" s="4">
        <v>127</v>
      </c>
      <c r="GZ760" s="4">
        <v>119</v>
      </c>
      <c r="HA760" s="4">
        <v>111</v>
      </c>
      <c r="HB760" s="4">
        <v>103</v>
      </c>
      <c r="HC760" s="4">
        <v>95</v>
      </c>
      <c r="HD760" s="19">
        <v>15.5</v>
      </c>
      <c r="HE760" s="19">
        <v>16.9</v>
      </c>
      <c r="HF760" s="19">
        <v>10.4</v>
      </c>
      <c r="HG760" s="19">
        <v>9</v>
      </c>
      <c r="HH760" s="19">
        <v>7.9</v>
      </c>
      <c r="HI760" s="19">
        <v>7.7</v>
      </c>
      <c r="HJ760" s="19">
        <v>8.3</v>
      </c>
      <c r="HK760" s="19">
        <v>14.1</v>
      </c>
      <c r="HL760" s="19">
        <v>13.5</v>
      </c>
      <c r="HM760" s="19">
        <v>12.9</v>
      </c>
      <c r="HN760" s="19">
        <v>12.2</v>
      </c>
      <c r="HO760" s="19">
        <v>11.4</v>
      </c>
      <c r="HP760" s="19">
        <v>11.8</v>
      </c>
      <c r="HQ760" s="19">
        <v>13.8</v>
      </c>
      <c r="HR760" s="19">
        <v>13.4</v>
      </c>
      <c r="HS760" s="19">
        <v>14.9</v>
      </c>
      <c r="HT760" s="19">
        <v>16.3</v>
      </c>
      <c r="HU760" s="19">
        <v>16.6</v>
      </c>
      <c r="HV760" s="19">
        <v>19</v>
      </c>
      <c r="HW760" s="19">
        <v>17.8</v>
      </c>
      <c r="HX760" s="19">
        <v>16.8</v>
      </c>
      <c r="HY760" s="19">
        <v>15.9</v>
      </c>
      <c r="HZ760" s="19">
        <v>14.9</v>
      </c>
      <c r="IA760" s="19">
        <v>13.9</v>
      </c>
      <c r="IB760" s="19">
        <v>14.7</v>
      </c>
      <c r="IC760" s="19">
        <v>15.8</v>
      </c>
    </row>
    <row r="761">
      <c r="A761" s="2" t="s">
        <v>3266</v>
      </c>
      <c r="B761" s="2" t="s">
        <v>323</v>
      </c>
      <c r="C761" s="2" t="s">
        <v>1036</v>
      </c>
      <c r="D761" s="2" t="s">
        <v>257</v>
      </c>
      <c r="E761" s="2" t="s">
        <v>258</v>
      </c>
      <c r="F761" s="2" t="s">
        <v>3098</v>
      </c>
      <c r="G761" s="2" t="s">
        <v>3098</v>
      </c>
      <c r="H761" s="2" t="s">
        <v>3098</v>
      </c>
      <c r="I761" s="2" t="s">
        <v>3099</v>
      </c>
      <c r="J761" s="2" t="s">
        <v>394</v>
      </c>
      <c r="K761" s="2" t="s">
        <v>3267</v>
      </c>
      <c r="L761" s="3">
        <v>14.89</v>
      </c>
      <c r="M761" s="3">
        <v>15.63</v>
      </c>
      <c r="N761" s="3">
        <v>31.99</v>
      </c>
      <c r="O761" s="2" t="s">
        <v>232</v>
      </c>
      <c r="P761" s="2" t="s">
        <v>233</v>
      </c>
      <c r="Q761" s="2" t="s">
        <v>234</v>
      </c>
      <c r="R761" s="2" t="s">
        <v>235</v>
      </c>
      <c r="S761" s="2" t="s">
        <v>3268</v>
      </c>
      <c r="T761" s="2" t="s">
        <v>2908</v>
      </c>
      <c r="U761" s="2" t="s">
        <v>552</v>
      </c>
      <c r="V761" s="2" t="s">
        <v>2159</v>
      </c>
      <c r="W761" s="2" t="s">
        <v>239</v>
      </c>
      <c r="X761" s="2" t="s">
        <v>1798</v>
      </c>
      <c r="Y761" s="2" t="s">
        <v>3102</v>
      </c>
      <c r="Z761" s="4">
        <v>515</v>
      </c>
      <c r="AA761" s="4">
        <f>=ROUNDDOWN(27.1052631578947,0)</f>
      </c>
      <c r="AB761" s="5">
        <v>19</v>
      </c>
      <c r="AC761" s="2" t="s">
        <v>2503</v>
      </c>
      <c r="AD761" s="4">
        <v>12</v>
      </c>
      <c r="AE761" s="4">
        <v>254</v>
      </c>
      <c r="AF761" s="6">
        <v>73</v>
      </c>
      <c r="AG761" s="6"/>
      <c r="AH761" s="7">
        <v>1</v>
      </c>
      <c r="AI761" s="4"/>
      <c r="AJ761" s="4">
        <f>=ROUNDDOWN({0},0)</f>
      </c>
      <c r="AK761" s="5"/>
      <c r="AL761" s="2" t="s">
        <v>235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235</v>
      </c>
      <c r="AW761" s="8" t="s">
        <v>235</v>
      </c>
      <c r="AX761" s="4" t="s">
        <v>235</v>
      </c>
      <c r="AY761" s="8" t="s">
        <v>235</v>
      </c>
      <c r="AZ761" s="7" t="s">
        <v>235</v>
      </c>
      <c r="BA761" s="7" t="s">
        <v>235</v>
      </c>
      <c r="BB761" s="7"/>
      <c r="BC761" s="4" t="s">
        <v>235</v>
      </c>
      <c r="BD761" s="8" t="s">
        <v>235</v>
      </c>
      <c r="BE761" s="4" t="s">
        <v>235</v>
      </c>
      <c r="BF761" s="8" t="s">
        <v>235</v>
      </c>
      <c r="BG761" s="7" t="s">
        <v>235</v>
      </c>
      <c r="BH761" s="7" t="s">
        <v>235</v>
      </c>
      <c r="BI761" s="7"/>
      <c r="BJ761" s="4">
        <v>23</v>
      </c>
      <c r="BK761" s="8">
        <v>380.4</v>
      </c>
      <c r="BL761" s="2" t="s">
        <v>1556</v>
      </c>
      <c r="BM761" s="7"/>
      <c r="BN761" s="7"/>
      <c r="BO761" s="4"/>
      <c r="BP761" s="8"/>
      <c r="BQ761" s="4"/>
      <c r="BR761" s="8"/>
      <c r="BS761" s="7"/>
      <c r="BT761" s="7"/>
      <c r="BU761" s="2" t="s">
        <v>3105</v>
      </c>
      <c r="BV761" s="2" t="s">
        <v>243</v>
      </c>
      <c r="BW761" s="2" t="s">
        <v>235</v>
      </c>
      <c r="BX761" s="2" t="s">
        <v>383</v>
      </c>
      <c r="BY761" s="2" t="s">
        <v>245</v>
      </c>
      <c r="BZ761" s="2" t="s">
        <v>232</v>
      </c>
      <c r="CA761" s="2" t="s">
        <v>3106</v>
      </c>
      <c r="CB761" s="2" t="s">
        <v>2619</v>
      </c>
      <c r="CC761" s="2" t="s">
        <v>248</v>
      </c>
      <c r="CD761" s="2" t="s">
        <v>248</v>
      </c>
      <c r="CE761" s="2" t="s">
        <v>235</v>
      </c>
      <c r="CF761" s="4">
        <v>301</v>
      </c>
      <c r="CG761" s="4">
        <v>214</v>
      </c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>
        <v>12</v>
      </c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>
        <v>158</v>
      </c>
      <c r="ED761" s="4"/>
      <c r="EE761" s="4"/>
      <c r="EF761" s="4"/>
      <c r="EG761" s="4"/>
      <c r="EH761" s="4"/>
      <c r="EI761" s="4"/>
      <c r="EJ761" s="4">
        <v>84</v>
      </c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>
        <v>547</v>
      </c>
      <c r="GE761" s="4">
        <v>499</v>
      </c>
      <c r="GF761" s="4">
        <v>509</v>
      </c>
      <c r="GG761" s="4">
        <v>507</v>
      </c>
      <c r="GH761" s="4">
        <v>499</v>
      </c>
      <c r="GI761" s="4">
        <v>448</v>
      </c>
      <c r="GJ761" s="4">
        <v>351</v>
      </c>
      <c r="GK761" s="4">
        <v>461</v>
      </c>
      <c r="GL761" s="4">
        <v>415</v>
      </c>
      <c r="GM761" s="4">
        <v>468</v>
      </c>
      <c r="GN761" s="4">
        <v>442</v>
      </c>
      <c r="GO761" s="4">
        <v>411</v>
      </c>
      <c r="GP761" s="4">
        <v>382</v>
      </c>
      <c r="GQ761" s="4">
        <v>345</v>
      </c>
      <c r="GR761" s="4">
        <v>324</v>
      </c>
      <c r="GS761" s="4">
        <v>302</v>
      </c>
      <c r="GT761" s="4">
        <v>284</v>
      </c>
      <c r="GU761" s="4">
        <v>268</v>
      </c>
      <c r="GV761" s="4">
        <v>251</v>
      </c>
      <c r="GW761" s="4">
        <v>239</v>
      </c>
      <c r="GX761" s="4">
        <v>228</v>
      </c>
      <c r="GY761" s="4">
        <v>218</v>
      </c>
      <c r="GZ761" s="4">
        <v>207</v>
      </c>
      <c r="HA761" s="4">
        <v>196</v>
      </c>
      <c r="HB761" s="4">
        <v>185</v>
      </c>
      <c r="HC761" s="4">
        <v>174</v>
      </c>
      <c r="HD761" s="19">
        <v>36.5</v>
      </c>
      <c r="HE761" s="19">
        <v>31.2</v>
      </c>
      <c r="HF761" s="19">
        <v>12.7</v>
      </c>
      <c r="HG761" s="19">
        <v>9.9</v>
      </c>
      <c r="HH761" s="19">
        <v>8.3</v>
      </c>
      <c r="HI761" s="19">
        <v>8</v>
      </c>
      <c r="HJ761" s="19">
        <v>9.2</v>
      </c>
      <c r="HK761" s="19">
        <v>13.6</v>
      </c>
      <c r="HL761" s="19">
        <v>14.3</v>
      </c>
      <c r="HM761" s="19">
        <v>15.1</v>
      </c>
      <c r="HN761" s="19">
        <v>14.7</v>
      </c>
      <c r="HO761" s="19">
        <v>15.2</v>
      </c>
      <c r="HP761" s="19">
        <v>15.9</v>
      </c>
      <c r="HQ761" s="19">
        <v>18.2</v>
      </c>
      <c r="HR761" s="19">
        <v>18</v>
      </c>
      <c r="HS761" s="19">
        <v>18.9</v>
      </c>
      <c r="HT761" s="19">
        <v>20.3</v>
      </c>
      <c r="HU761" s="19">
        <v>22.3</v>
      </c>
      <c r="HV761" s="19">
        <v>22.8</v>
      </c>
      <c r="HW761" s="19">
        <v>21.7</v>
      </c>
      <c r="HX761" s="19">
        <v>20.7</v>
      </c>
      <c r="HY761" s="19">
        <v>19.8</v>
      </c>
      <c r="HZ761" s="19">
        <v>18.8</v>
      </c>
      <c r="IA761" s="19">
        <v>19.6</v>
      </c>
      <c r="IB761" s="19">
        <v>18.5</v>
      </c>
      <c r="IC761" s="19">
        <v>19.3</v>
      </c>
    </row>
    <row r="762">
      <c r="A762" s="2" t="s">
        <v>3269</v>
      </c>
      <c r="B762" s="2" t="s">
        <v>323</v>
      </c>
      <c r="C762" s="2" t="s">
        <v>1036</v>
      </c>
      <c r="D762" s="2" t="s">
        <v>257</v>
      </c>
      <c r="E762" s="2" t="s">
        <v>258</v>
      </c>
      <c r="F762" s="2" t="s">
        <v>3098</v>
      </c>
      <c r="G762" s="2" t="s">
        <v>3098</v>
      </c>
      <c r="H762" s="2" t="s">
        <v>3098</v>
      </c>
      <c r="I762" s="2" t="s">
        <v>3099</v>
      </c>
      <c r="J762" s="2" t="s">
        <v>261</v>
      </c>
      <c r="K762" s="2" t="s">
        <v>3267</v>
      </c>
      <c r="L762" s="3">
        <v>22.21</v>
      </c>
      <c r="M762" s="3">
        <v>23.32</v>
      </c>
      <c r="N762" s="3">
        <v>47.99</v>
      </c>
      <c r="O762" s="2" t="s">
        <v>232</v>
      </c>
      <c r="P762" s="2" t="s">
        <v>333</v>
      </c>
      <c r="Q762" s="2" t="s">
        <v>234</v>
      </c>
      <c r="R762" s="2" t="s">
        <v>235</v>
      </c>
      <c r="S762" s="2" t="s">
        <v>3268</v>
      </c>
      <c r="T762" s="2" t="s">
        <v>2908</v>
      </c>
      <c r="U762" s="2" t="s">
        <v>264</v>
      </c>
      <c r="V762" s="2" t="s">
        <v>2159</v>
      </c>
      <c r="W762" s="2" t="s">
        <v>239</v>
      </c>
      <c r="X762" s="2" t="s">
        <v>1798</v>
      </c>
      <c r="Y762" s="2" t="s">
        <v>3102</v>
      </c>
      <c r="Z762" s="4">
        <v>1798</v>
      </c>
      <c r="AA762" s="4">
        <f>=ROUNDDOWN(20.2022471910112,0)</f>
      </c>
      <c r="AB762" s="5">
        <v>89</v>
      </c>
      <c r="AC762" s="2" t="s">
        <v>2503</v>
      </c>
      <c r="AD762" s="4">
        <v>1</v>
      </c>
      <c r="AE762" s="4">
        <v>1161</v>
      </c>
      <c r="AF762" s="6">
        <v>73</v>
      </c>
      <c r="AG762" s="6"/>
      <c r="AH762" s="7">
        <v>1</v>
      </c>
      <c r="AI762" s="4"/>
      <c r="AJ762" s="4">
        <f>=ROUNDDOWN({0},0)</f>
      </c>
      <c r="AK762" s="5"/>
      <c r="AL762" s="2" t="s">
        <v>235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235</v>
      </c>
      <c r="AW762" s="8" t="s">
        <v>235</v>
      </c>
      <c r="AX762" s="4" t="s">
        <v>235</v>
      </c>
      <c r="AY762" s="8" t="s">
        <v>235</v>
      </c>
      <c r="AZ762" s="7" t="s">
        <v>235</v>
      </c>
      <c r="BA762" s="7" t="s">
        <v>235</v>
      </c>
      <c r="BB762" s="7"/>
      <c r="BC762" s="4" t="s">
        <v>235</v>
      </c>
      <c r="BD762" s="8" t="s">
        <v>235</v>
      </c>
      <c r="BE762" s="4" t="s">
        <v>235</v>
      </c>
      <c r="BF762" s="8" t="s">
        <v>235</v>
      </c>
      <c r="BG762" s="7" t="s">
        <v>235</v>
      </c>
      <c r="BH762" s="7" t="s">
        <v>235</v>
      </c>
      <c r="BI762" s="7"/>
      <c r="BJ762" s="4">
        <v>431</v>
      </c>
      <c r="BK762" s="8">
        <v>10762.01</v>
      </c>
      <c r="BL762" s="2" t="s">
        <v>3210</v>
      </c>
      <c r="BM762" s="7"/>
      <c r="BN762" s="7"/>
      <c r="BO762" s="4"/>
      <c r="BP762" s="8"/>
      <c r="BQ762" s="4"/>
      <c r="BR762" s="8"/>
      <c r="BS762" s="7"/>
      <c r="BT762" s="7"/>
      <c r="BU762" s="2" t="s">
        <v>3105</v>
      </c>
      <c r="BV762" s="2" t="s">
        <v>243</v>
      </c>
      <c r="BW762" s="2" t="s">
        <v>235</v>
      </c>
      <c r="BX762" s="2" t="s">
        <v>383</v>
      </c>
      <c r="BY762" s="2" t="s">
        <v>245</v>
      </c>
      <c r="BZ762" s="2" t="s">
        <v>232</v>
      </c>
      <c r="CA762" s="2" t="s">
        <v>3114</v>
      </c>
      <c r="CB762" s="2" t="s">
        <v>3270</v>
      </c>
      <c r="CC762" s="2" t="s">
        <v>248</v>
      </c>
      <c r="CD762" s="2" t="s">
        <v>248</v>
      </c>
      <c r="CE762" s="2" t="s">
        <v>235</v>
      </c>
      <c r="CF762" s="4">
        <v>1798</v>
      </c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>
        <v>1</v>
      </c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>
        <v>733</v>
      </c>
      <c r="ED762" s="4"/>
      <c r="EE762" s="4"/>
      <c r="EF762" s="4"/>
      <c r="EG762" s="4"/>
      <c r="EH762" s="4"/>
      <c r="EI762" s="4"/>
      <c r="EJ762" s="4">
        <v>427</v>
      </c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>
        <v>1920</v>
      </c>
      <c r="GE762" s="4">
        <v>1639</v>
      </c>
      <c r="GF762" s="4">
        <v>1633</v>
      </c>
      <c r="GG762" s="4">
        <v>1626</v>
      </c>
      <c r="GH762" s="4">
        <v>1619</v>
      </c>
      <c r="GI762" s="4">
        <v>1515</v>
      </c>
      <c r="GJ762" s="4">
        <v>1031</v>
      </c>
      <c r="GK762" s="4">
        <v>1531</v>
      </c>
      <c r="GL762" s="4">
        <v>1305</v>
      </c>
      <c r="GM762" s="4">
        <v>1582</v>
      </c>
      <c r="GN762" s="4">
        <v>1462</v>
      </c>
      <c r="GO762" s="4">
        <v>1322</v>
      </c>
      <c r="GP762" s="4">
        <v>1198</v>
      </c>
      <c r="GQ762" s="4">
        <v>1056</v>
      </c>
      <c r="GR762" s="4">
        <v>972</v>
      </c>
      <c r="GS762" s="4">
        <v>883</v>
      </c>
      <c r="GT762" s="4">
        <v>807</v>
      </c>
      <c r="GU762" s="4">
        <v>737</v>
      </c>
      <c r="GV762" s="4">
        <v>664</v>
      </c>
      <c r="GW762" s="4">
        <v>612</v>
      </c>
      <c r="GX762" s="4">
        <v>564</v>
      </c>
      <c r="GY762" s="4">
        <v>518</v>
      </c>
      <c r="GZ762" s="4">
        <v>471</v>
      </c>
      <c r="HA762" s="4">
        <v>424</v>
      </c>
      <c r="HB762" s="4">
        <v>377</v>
      </c>
      <c r="HC762" s="4">
        <v>497</v>
      </c>
      <c r="HD762" s="19">
        <v>25.3</v>
      </c>
      <c r="HE762" s="19">
        <v>52.9</v>
      </c>
      <c r="HF762" s="19">
        <v>10.9</v>
      </c>
      <c r="HG762" s="19">
        <v>7.9</v>
      </c>
      <c r="HH762" s="19">
        <v>6.2</v>
      </c>
      <c r="HI762" s="19">
        <v>5.5</v>
      </c>
      <c r="HJ762" s="19">
        <v>5.7</v>
      </c>
      <c r="HK762" s="19">
        <v>9.6</v>
      </c>
      <c r="HL762" s="19">
        <v>9.7</v>
      </c>
      <c r="HM762" s="19">
        <v>12</v>
      </c>
      <c r="HN762" s="19">
        <v>12</v>
      </c>
      <c r="HO762" s="19">
        <v>12</v>
      </c>
      <c r="HP762" s="19">
        <v>12.2</v>
      </c>
      <c r="HQ762" s="19">
        <v>13.2</v>
      </c>
      <c r="HR762" s="19">
        <v>12.6</v>
      </c>
      <c r="HS762" s="19">
        <v>13</v>
      </c>
      <c r="HT762" s="19">
        <v>13.2</v>
      </c>
      <c r="HU762" s="19">
        <v>13.4</v>
      </c>
      <c r="HV762" s="19">
        <v>13.8</v>
      </c>
      <c r="HW762" s="19">
        <v>13</v>
      </c>
      <c r="HX762" s="19">
        <v>12</v>
      </c>
      <c r="HY762" s="19">
        <v>11</v>
      </c>
      <c r="HZ762" s="19">
        <v>10.2</v>
      </c>
      <c r="IA762" s="19">
        <v>9.2</v>
      </c>
      <c r="IB762" s="19">
        <v>8.6</v>
      </c>
      <c r="IC762" s="19">
        <v>12.1</v>
      </c>
    </row>
    <row r="763">
      <c r="A763" s="2" t="s">
        <v>3271</v>
      </c>
      <c r="B763" s="2" t="s">
        <v>323</v>
      </c>
      <c r="C763" s="2" t="s">
        <v>1036</v>
      </c>
      <c r="D763" s="2" t="s">
        <v>257</v>
      </c>
      <c r="E763" s="2" t="s">
        <v>258</v>
      </c>
      <c r="F763" s="2" t="s">
        <v>3098</v>
      </c>
      <c r="G763" s="2" t="s">
        <v>3098</v>
      </c>
      <c r="H763" s="2" t="s">
        <v>3098</v>
      </c>
      <c r="I763" s="2" t="s">
        <v>3099</v>
      </c>
      <c r="J763" s="2" t="s">
        <v>270</v>
      </c>
      <c r="K763" s="2" t="s">
        <v>3267</v>
      </c>
      <c r="L763" s="3">
        <v>27.39</v>
      </c>
      <c r="M763" s="3">
        <v>28.76</v>
      </c>
      <c r="N763" s="3">
        <v>62.99</v>
      </c>
      <c r="O763" s="2" t="s">
        <v>232</v>
      </c>
      <c r="P763" s="2" t="s">
        <v>233</v>
      </c>
      <c r="Q763" s="2" t="s">
        <v>234</v>
      </c>
      <c r="R763" s="2" t="s">
        <v>235</v>
      </c>
      <c r="S763" s="2" t="s">
        <v>3268</v>
      </c>
      <c r="T763" s="2" t="s">
        <v>2908</v>
      </c>
      <c r="U763" s="2" t="s">
        <v>264</v>
      </c>
      <c r="V763" s="2" t="s">
        <v>2159</v>
      </c>
      <c r="W763" s="2" t="s">
        <v>239</v>
      </c>
      <c r="X763" s="2" t="s">
        <v>1798</v>
      </c>
      <c r="Y763" s="2" t="s">
        <v>3102</v>
      </c>
      <c r="Z763" s="4">
        <v>580</v>
      </c>
      <c r="AA763" s="4">
        <f>=ROUNDDOWN(41.4285714285714,0)</f>
      </c>
      <c r="AB763" s="5">
        <v>14</v>
      </c>
      <c r="AC763" s="2" t="s">
        <v>235</v>
      </c>
      <c r="AD763" s="4"/>
      <c r="AE763" s="4"/>
      <c r="AF763" s="6">
        <v>73</v>
      </c>
      <c r="AG763" s="6"/>
      <c r="AH763" s="7">
        <v>1</v>
      </c>
      <c r="AI763" s="4"/>
      <c r="AJ763" s="4">
        <f>=ROUNDDOWN({0},0)</f>
      </c>
      <c r="AK763" s="5"/>
      <c r="AL763" s="2" t="s">
        <v>235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235</v>
      </c>
      <c r="AW763" s="8" t="s">
        <v>235</v>
      </c>
      <c r="AX763" s="4" t="s">
        <v>235</v>
      </c>
      <c r="AY763" s="8" t="s">
        <v>235</v>
      </c>
      <c r="AZ763" s="7" t="s">
        <v>235</v>
      </c>
      <c r="BA763" s="7" t="s">
        <v>235</v>
      </c>
      <c r="BB763" s="7"/>
      <c r="BC763" s="4" t="s">
        <v>235</v>
      </c>
      <c r="BD763" s="8" t="s">
        <v>235</v>
      </c>
      <c r="BE763" s="4" t="s">
        <v>235</v>
      </c>
      <c r="BF763" s="8" t="s">
        <v>235</v>
      </c>
      <c r="BG763" s="7" t="s">
        <v>235</v>
      </c>
      <c r="BH763" s="7" t="s">
        <v>235</v>
      </c>
      <c r="BI763" s="7"/>
      <c r="BJ763" s="4">
        <v>66</v>
      </c>
      <c r="BK763" s="8">
        <v>1946.83</v>
      </c>
      <c r="BL763" s="2" t="s">
        <v>3272</v>
      </c>
      <c r="BM763" s="7"/>
      <c r="BN763" s="7"/>
      <c r="BO763" s="4"/>
      <c r="BP763" s="8"/>
      <c r="BQ763" s="4"/>
      <c r="BR763" s="8"/>
      <c r="BS763" s="7"/>
      <c r="BT763" s="7"/>
      <c r="BU763" s="2" t="s">
        <v>3105</v>
      </c>
      <c r="BV763" s="2" t="s">
        <v>243</v>
      </c>
      <c r="BW763" s="2" t="s">
        <v>235</v>
      </c>
      <c r="BX763" s="2" t="s">
        <v>383</v>
      </c>
      <c r="BY763" s="2" t="s">
        <v>245</v>
      </c>
      <c r="BZ763" s="2" t="s">
        <v>232</v>
      </c>
      <c r="CA763" s="2" t="s">
        <v>3106</v>
      </c>
      <c r="CB763" s="2" t="s">
        <v>3111</v>
      </c>
      <c r="CC763" s="2" t="s">
        <v>248</v>
      </c>
      <c r="CD763" s="2" t="s">
        <v>248</v>
      </c>
      <c r="CE763" s="2" t="s">
        <v>235</v>
      </c>
      <c r="CF763" s="4">
        <v>389</v>
      </c>
      <c r="CG763" s="4">
        <v>190</v>
      </c>
      <c r="CH763" s="4"/>
      <c r="CI763" s="4"/>
      <c r="CJ763" s="4"/>
      <c r="CK763" s="4"/>
      <c r="CL763" s="4"/>
      <c r="CM763" s="4">
        <v>1</v>
      </c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>
        <v>606</v>
      </c>
      <c r="GE763" s="4">
        <v>575</v>
      </c>
      <c r="GF763" s="4">
        <v>572</v>
      </c>
      <c r="GG763" s="4">
        <v>569</v>
      </c>
      <c r="GH763" s="4">
        <v>566</v>
      </c>
      <c r="GI763" s="4">
        <v>551</v>
      </c>
      <c r="GJ763" s="4">
        <v>495</v>
      </c>
      <c r="GK763" s="4">
        <v>466</v>
      </c>
      <c r="GL763" s="4">
        <v>438</v>
      </c>
      <c r="GM763" s="4">
        <v>418</v>
      </c>
      <c r="GN763" s="4">
        <v>398</v>
      </c>
      <c r="GO763" s="4">
        <v>374</v>
      </c>
      <c r="GP763" s="4">
        <v>346</v>
      </c>
      <c r="GQ763" s="4">
        <v>303</v>
      </c>
      <c r="GR763" s="4">
        <v>281</v>
      </c>
      <c r="GS763" s="4">
        <v>258</v>
      </c>
      <c r="GT763" s="4">
        <v>241</v>
      </c>
      <c r="GU763" s="4">
        <v>227</v>
      </c>
      <c r="GV763" s="4">
        <v>212</v>
      </c>
      <c r="GW763" s="4">
        <v>201</v>
      </c>
      <c r="GX763" s="4">
        <v>192</v>
      </c>
      <c r="GY763" s="4">
        <v>184</v>
      </c>
      <c r="GZ763" s="4">
        <v>176</v>
      </c>
      <c r="HA763" s="4">
        <v>168</v>
      </c>
      <c r="HB763" s="4">
        <v>160</v>
      </c>
      <c r="HC763" s="4">
        <v>152</v>
      </c>
      <c r="HD763" s="19">
        <v>60.6</v>
      </c>
      <c r="HE763" s="19">
        <v>95.8</v>
      </c>
      <c r="HF763" s="19">
        <v>30.1</v>
      </c>
      <c r="HG763" s="19">
        <v>21.9</v>
      </c>
      <c r="HH763" s="19">
        <v>17.7</v>
      </c>
      <c r="HI763" s="19">
        <v>16.7</v>
      </c>
      <c r="HJ763" s="19">
        <v>20.6</v>
      </c>
      <c r="HK763" s="19">
        <v>20.3</v>
      </c>
      <c r="HL763" s="19">
        <v>19</v>
      </c>
      <c r="HM763" s="19">
        <v>14.4</v>
      </c>
      <c r="HN763" s="19">
        <v>13.7</v>
      </c>
      <c r="HO763" s="19">
        <v>12.9</v>
      </c>
      <c r="HP763" s="19">
        <v>13.3</v>
      </c>
      <c r="HQ763" s="19">
        <v>15.9</v>
      </c>
      <c r="HR763" s="19">
        <v>16.5</v>
      </c>
      <c r="HS763" s="19">
        <v>18.4</v>
      </c>
      <c r="HT763" s="19">
        <v>20.1</v>
      </c>
      <c r="HU763" s="19">
        <v>20.6</v>
      </c>
      <c r="HV763" s="19">
        <v>23.6</v>
      </c>
      <c r="HW763" s="19">
        <v>25.1</v>
      </c>
      <c r="HX763" s="19">
        <v>24</v>
      </c>
      <c r="HY763" s="19">
        <v>23</v>
      </c>
      <c r="HZ763" s="19">
        <v>22</v>
      </c>
      <c r="IA763" s="19">
        <v>21</v>
      </c>
      <c r="IB763" s="19">
        <v>22.9</v>
      </c>
      <c r="IC763" s="19">
        <v>25.3</v>
      </c>
    </row>
    <row r="764">
      <c r="A764" s="2" t="s">
        <v>3273</v>
      </c>
      <c r="B764" s="2" t="s">
        <v>323</v>
      </c>
      <c r="C764" s="2" t="s">
        <v>1036</v>
      </c>
      <c r="D764" s="2" t="s">
        <v>257</v>
      </c>
      <c r="E764" s="2" t="s">
        <v>258</v>
      </c>
      <c r="F764" s="2" t="s">
        <v>3098</v>
      </c>
      <c r="G764" s="2" t="s">
        <v>3098</v>
      </c>
      <c r="H764" s="2" t="s">
        <v>3098</v>
      </c>
      <c r="I764" s="2" t="s">
        <v>3099</v>
      </c>
      <c r="J764" s="2" t="s">
        <v>394</v>
      </c>
      <c r="K764" s="2" t="s">
        <v>1210</v>
      </c>
      <c r="L764" s="3">
        <v>14.89</v>
      </c>
      <c r="M764" s="3">
        <v>15.63</v>
      </c>
      <c r="N764" s="3">
        <v>31.99</v>
      </c>
      <c r="O764" s="2" t="s">
        <v>232</v>
      </c>
      <c r="P764" s="2" t="s">
        <v>233</v>
      </c>
      <c r="Q764" s="2" t="s">
        <v>234</v>
      </c>
      <c r="R764" s="2" t="s">
        <v>235</v>
      </c>
      <c r="S764" s="2" t="s">
        <v>3274</v>
      </c>
      <c r="T764" s="2" t="s">
        <v>2908</v>
      </c>
      <c r="U764" s="2" t="s">
        <v>235</v>
      </c>
      <c r="V764" s="2" t="s">
        <v>863</v>
      </c>
      <c r="W764" s="2" t="s">
        <v>239</v>
      </c>
      <c r="X764" s="2" t="s">
        <v>235</v>
      </c>
      <c r="Y764" s="2" t="s">
        <v>2938</v>
      </c>
      <c r="Z764" s="4">
        <v>1042</v>
      </c>
      <c r="AA764" s="4">
        <f>=ROUNDDOWN(29.7714285714286,0)</f>
      </c>
      <c r="AB764" s="5">
        <v>35</v>
      </c>
      <c r="AC764" s="2" t="s">
        <v>3103</v>
      </c>
      <c r="AD764" s="4">
        <v>327</v>
      </c>
      <c r="AE764" s="4">
        <v>493</v>
      </c>
      <c r="AF764" s="6">
        <v>73</v>
      </c>
      <c r="AG764" s="6"/>
      <c r="AH764" s="7">
        <v>1</v>
      </c>
      <c r="AI764" s="4"/>
      <c r="AJ764" s="4">
        <f>=ROUNDDOWN({0},0)</f>
      </c>
      <c r="AK764" s="5"/>
      <c r="AL764" s="2" t="s">
        <v>235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235</v>
      </c>
      <c r="AW764" s="8" t="s">
        <v>235</v>
      </c>
      <c r="AX764" s="4" t="s">
        <v>235</v>
      </c>
      <c r="AY764" s="8" t="s">
        <v>235</v>
      </c>
      <c r="AZ764" s="7" t="s">
        <v>235</v>
      </c>
      <c r="BA764" s="7" t="s">
        <v>235</v>
      </c>
      <c r="BB764" s="7"/>
      <c r="BC764" s="4" t="s">
        <v>235</v>
      </c>
      <c r="BD764" s="8" t="s">
        <v>235</v>
      </c>
      <c r="BE764" s="4" t="s">
        <v>235</v>
      </c>
      <c r="BF764" s="8" t="s">
        <v>235</v>
      </c>
      <c r="BG764" s="7" t="s">
        <v>235</v>
      </c>
      <c r="BH764" s="7" t="s">
        <v>235</v>
      </c>
      <c r="BI764" s="7"/>
      <c r="BJ764" s="4">
        <v>9</v>
      </c>
      <c r="BK764" s="8">
        <v>156.29</v>
      </c>
      <c r="BL764" s="2" t="s">
        <v>3275</v>
      </c>
      <c r="BM764" s="7"/>
      <c r="BN764" s="7"/>
      <c r="BO764" s="4"/>
      <c r="BP764" s="8"/>
      <c r="BQ764" s="4"/>
      <c r="BR764" s="8"/>
      <c r="BS764" s="7"/>
      <c r="BT764" s="7"/>
      <c r="BU764" s="2" t="s">
        <v>3105</v>
      </c>
      <c r="BV764" s="2" t="s">
        <v>243</v>
      </c>
      <c r="BW764" s="2" t="s">
        <v>235</v>
      </c>
      <c r="BX764" s="2" t="s">
        <v>383</v>
      </c>
      <c r="BY764" s="2" t="s">
        <v>245</v>
      </c>
      <c r="BZ764" s="2" t="s">
        <v>232</v>
      </c>
      <c r="CA764" s="2" t="s">
        <v>1924</v>
      </c>
      <c r="CB764" s="2" t="s">
        <v>3192</v>
      </c>
      <c r="CC764" s="2" t="s">
        <v>248</v>
      </c>
      <c r="CD764" s="2" t="s">
        <v>248</v>
      </c>
      <c r="CE764" s="2" t="s">
        <v>235</v>
      </c>
      <c r="CF764" s="4">
        <v>1042</v>
      </c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>
        <v>327</v>
      </c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>
        <v>166</v>
      </c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>
        <v>1042</v>
      </c>
      <c r="GE764" s="4">
        <v>1037</v>
      </c>
      <c r="GF764" s="4">
        <v>1032</v>
      </c>
      <c r="GG764" s="4">
        <v>1007</v>
      </c>
      <c r="GH764" s="4">
        <v>1279</v>
      </c>
      <c r="GI764" s="4">
        <v>1191</v>
      </c>
      <c r="GJ764" s="4">
        <v>1026</v>
      </c>
      <c r="GK764" s="4">
        <v>943</v>
      </c>
      <c r="GL764" s="4">
        <v>863</v>
      </c>
      <c r="GM764" s="4">
        <v>974</v>
      </c>
      <c r="GN764" s="4">
        <v>925</v>
      </c>
      <c r="GO764" s="4">
        <v>867</v>
      </c>
      <c r="GP764" s="4">
        <v>808</v>
      </c>
      <c r="GQ764" s="4">
        <v>726</v>
      </c>
      <c r="GR764" s="4">
        <v>682</v>
      </c>
      <c r="GS764" s="4">
        <v>636</v>
      </c>
      <c r="GT764" s="4">
        <v>600</v>
      </c>
      <c r="GU764" s="4">
        <v>569</v>
      </c>
      <c r="GV764" s="4">
        <v>536</v>
      </c>
      <c r="GW764" s="4">
        <v>512</v>
      </c>
      <c r="GX764" s="4">
        <v>491</v>
      </c>
      <c r="GY764" s="4">
        <v>472</v>
      </c>
      <c r="GZ764" s="4">
        <v>452</v>
      </c>
      <c r="HA764" s="4">
        <v>432</v>
      </c>
      <c r="HB764" s="4">
        <v>412</v>
      </c>
      <c r="HC764" s="4">
        <v>392</v>
      </c>
      <c r="HD764" s="19">
        <v>47.4</v>
      </c>
      <c r="HE764" s="19">
        <v>24.1</v>
      </c>
      <c r="HF764" s="19">
        <v>12.4</v>
      </c>
      <c r="HG764" s="19">
        <v>10.3</v>
      </c>
      <c r="HH764" s="19">
        <v>12.3</v>
      </c>
      <c r="HI764" s="19">
        <v>12.4</v>
      </c>
      <c r="HJ764" s="19">
        <v>15.3</v>
      </c>
      <c r="HK764" s="19">
        <v>15.7</v>
      </c>
      <c r="HL764" s="19">
        <v>15.7</v>
      </c>
      <c r="HM764" s="19">
        <v>15.7</v>
      </c>
      <c r="HN764" s="19">
        <v>15.2</v>
      </c>
      <c r="HO764" s="19">
        <v>14.9</v>
      </c>
      <c r="HP764" s="19">
        <v>15.5</v>
      </c>
      <c r="HQ764" s="19">
        <v>18.6</v>
      </c>
      <c r="HR764" s="19">
        <v>18.9</v>
      </c>
      <c r="HS764" s="19">
        <v>20.5</v>
      </c>
      <c r="HT764" s="19">
        <v>22.2</v>
      </c>
      <c r="HU764" s="19">
        <v>23.7</v>
      </c>
      <c r="HV764" s="19">
        <v>25.5</v>
      </c>
      <c r="HW764" s="19">
        <v>25.6</v>
      </c>
      <c r="HX764" s="19">
        <v>24.6</v>
      </c>
      <c r="HY764" s="19">
        <v>23.6</v>
      </c>
      <c r="HZ764" s="19">
        <v>22.6</v>
      </c>
      <c r="IA764" s="19">
        <v>22.7</v>
      </c>
      <c r="IB764" s="19">
        <v>22.9</v>
      </c>
      <c r="IC764" s="19">
        <v>24.5</v>
      </c>
    </row>
    <row r="765">
      <c r="A765" s="2" t="s">
        <v>3276</v>
      </c>
      <c r="B765" s="2" t="s">
        <v>323</v>
      </c>
      <c r="C765" s="2" t="s">
        <v>1036</v>
      </c>
      <c r="D765" s="2" t="s">
        <v>257</v>
      </c>
      <c r="E765" s="2" t="s">
        <v>258</v>
      </c>
      <c r="F765" s="2" t="s">
        <v>3098</v>
      </c>
      <c r="G765" s="2" t="s">
        <v>3098</v>
      </c>
      <c r="H765" s="2" t="s">
        <v>3098</v>
      </c>
      <c r="I765" s="2" t="s">
        <v>3099</v>
      </c>
      <c r="J765" s="2" t="s">
        <v>250</v>
      </c>
      <c r="K765" s="2" t="s">
        <v>1210</v>
      </c>
      <c r="L765" s="3">
        <v>19.57</v>
      </c>
      <c r="M765" s="3">
        <v>20.55</v>
      </c>
      <c r="N765" s="3">
        <v>42.99</v>
      </c>
      <c r="O765" s="2" t="s">
        <v>232</v>
      </c>
      <c r="P765" s="2" t="s">
        <v>233</v>
      </c>
      <c r="Q765" s="2" t="s">
        <v>234</v>
      </c>
      <c r="R765" s="2" t="s">
        <v>235</v>
      </c>
      <c r="S765" s="2" t="s">
        <v>3274</v>
      </c>
      <c r="T765" s="2" t="s">
        <v>2908</v>
      </c>
      <c r="U765" s="2" t="s">
        <v>235</v>
      </c>
      <c r="V765" s="2" t="s">
        <v>863</v>
      </c>
      <c r="W765" s="2" t="s">
        <v>239</v>
      </c>
      <c r="X765" s="2" t="s">
        <v>235</v>
      </c>
      <c r="Y765" s="2" t="s">
        <v>2938</v>
      </c>
      <c r="Z765" s="4">
        <v>515</v>
      </c>
      <c r="AA765" s="4">
        <f>=ROUNDDOWN(51.5,0)</f>
      </c>
      <c r="AB765" s="5">
        <v>10</v>
      </c>
      <c r="AC765" s="2" t="s">
        <v>235</v>
      </c>
      <c r="AD765" s="4"/>
      <c r="AE765" s="4"/>
      <c r="AF765" s="6">
        <v>73</v>
      </c>
      <c r="AG765" s="6"/>
      <c r="AH765" s="7">
        <v>1</v>
      </c>
      <c r="AI765" s="4"/>
      <c r="AJ765" s="4">
        <f>=ROUNDDOWN({0},0)</f>
      </c>
      <c r="AK765" s="5"/>
      <c r="AL765" s="2" t="s">
        <v>235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235</v>
      </c>
      <c r="AW765" s="8" t="s">
        <v>235</v>
      </c>
      <c r="AX765" s="4" t="s">
        <v>235</v>
      </c>
      <c r="AY765" s="8" t="s">
        <v>235</v>
      </c>
      <c r="AZ765" s="7" t="s">
        <v>235</v>
      </c>
      <c r="BA765" s="7" t="s">
        <v>235</v>
      </c>
      <c r="BB765" s="7"/>
      <c r="BC765" s="4" t="s">
        <v>235</v>
      </c>
      <c r="BD765" s="8" t="s">
        <v>235</v>
      </c>
      <c r="BE765" s="4" t="s">
        <v>235</v>
      </c>
      <c r="BF765" s="8" t="s">
        <v>235</v>
      </c>
      <c r="BG765" s="7" t="s">
        <v>235</v>
      </c>
      <c r="BH765" s="7" t="s">
        <v>235</v>
      </c>
      <c r="BI765" s="7"/>
      <c r="BJ765" s="4">
        <v>21</v>
      </c>
      <c r="BK765" s="8">
        <v>469.47</v>
      </c>
      <c r="BL765" s="2" t="s">
        <v>1069</v>
      </c>
      <c r="BM765" s="7"/>
      <c r="BN765" s="7"/>
      <c r="BO765" s="4"/>
      <c r="BP765" s="8"/>
      <c r="BQ765" s="4"/>
      <c r="BR765" s="8"/>
      <c r="BS765" s="7"/>
      <c r="BT765" s="7"/>
      <c r="BU765" s="2" t="s">
        <v>3105</v>
      </c>
      <c r="BV765" s="2" t="s">
        <v>243</v>
      </c>
      <c r="BW765" s="2" t="s">
        <v>235</v>
      </c>
      <c r="BX765" s="2" t="s">
        <v>383</v>
      </c>
      <c r="BY765" s="2" t="s">
        <v>245</v>
      </c>
      <c r="BZ765" s="2" t="s">
        <v>232</v>
      </c>
      <c r="CA765" s="2" t="s">
        <v>1924</v>
      </c>
      <c r="CB765" s="2" t="s">
        <v>3192</v>
      </c>
      <c r="CC765" s="2" t="s">
        <v>248</v>
      </c>
      <c r="CD765" s="2" t="s">
        <v>248</v>
      </c>
      <c r="CE765" s="2" t="s">
        <v>235</v>
      </c>
      <c r="CF765" s="4">
        <v>515</v>
      </c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>
        <v>519</v>
      </c>
      <c r="GE765" s="4">
        <v>483</v>
      </c>
      <c r="GF765" s="4">
        <v>475</v>
      </c>
      <c r="GG765" s="4">
        <v>464</v>
      </c>
      <c r="GH765" s="4">
        <v>451</v>
      </c>
      <c r="GI765" s="4">
        <v>430</v>
      </c>
      <c r="GJ765" s="4">
        <v>394</v>
      </c>
      <c r="GK765" s="4">
        <v>374</v>
      </c>
      <c r="GL765" s="4">
        <v>355</v>
      </c>
      <c r="GM765" s="4">
        <v>341</v>
      </c>
      <c r="GN765" s="4">
        <v>326</v>
      </c>
      <c r="GO765" s="4">
        <v>308</v>
      </c>
      <c r="GP765" s="4">
        <v>286</v>
      </c>
      <c r="GQ765" s="4">
        <v>251</v>
      </c>
      <c r="GR765" s="4">
        <v>233</v>
      </c>
      <c r="GS765" s="4">
        <v>215</v>
      </c>
      <c r="GT765" s="4">
        <v>202</v>
      </c>
      <c r="GU765" s="4">
        <v>191</v>
      </c>
      <c r="GV765" s="4">
        <v>179</v>
      </c>
      <c r="GW765" s="4">
        <v>170</v>
      </c>
      <c r="GX765" s="4">
        <v>163</v>
      </c>
      <c r="GY765" s="4">
        <v>157</v>
      </c>
      <c r="GZ765" s="4">
        <v>150</v>
      </c>
      <c r="HA765" s="4">
        <v>143</v>
      </c>
      <c r="HB765" s="4">
        <v>136</v>
      </c>
      <c r="HC765" s="4">
        <v>129</v>
      </c>
      <c r="HD765" s="19">
        <v>30.5</v>
      </c>
      <c r="HE765" s="19">
        <v>37.2</v>
      </c>
      <c r="HF765" s="19">
        <v>23.8</v>
      </c>
      <c r="HG765" s="19">
        <v>21.1</v>
      </c>
      <c r="HH765" s="19">
        <v>18.8</v>
      </c>
      <c r="HI765" s="19">
        <v>19.5</v>
      </c>
      <c r="HJ765" s="19">
        <v>23.2</v>
      </c>
      <c r="HK765" s="19">
        <v>23.4</v>
      </c>
      <c r="HL765" s="19">
        <v>20.9</v>
      </c>
      <c r="HM765" s="19">
        <v>15.5</v>
      </c>
      <c r="HN765" s="19">
        <v>14.2</v>
      </c>
      <c r="HO765" s="19">
        <v>13.4</v>
      </c>
      <c r="HP765" s="19">
        <v>13.6</v>
      </c>
      <c r="HQ765" s="19">
        <v>16.7</v>
      </c>
      <c r="HR765" s="19">
        <v>16.6</v>
      </c>
      <c r="HS765" s="19">
        <v>19.5</v>
      </c>
      <c r="HT765" s="19">
        <v>20.2</v>
      </c>
      <c r="HU765" s="19">
        <v>23.9</v>
      </c>
      <c r="HV765" s="19">
        <v>25.6</v>
      </c>
      <c r="HW765" s="19">
        <v>24.3</v>
      </c>
      <c r="HX765" s="19">
        <v>23.3</v>
      </c>
      <c r="HY765" s="19">
        <v>22.4</v>
      </c>
      <c r="HZ765" s="19">
        <v>21.4</v>
      </c>
      <c r="IA765" s="19">
        <v>23.8</v>
      </c>
      <c r="IB765" s="19">
        <v>22.7</v>
      </c>
      <c r="IC765" s="19">
        <v>21.5</v>
      </c>
    </row>
    <row r="766">
      <c r="A766" s="2" t="s">
        <v>3277</v>
      </c>
      <c r="B766" s="2" t="s">
        <v>323</v>
      </c>
      <c r="C766" s="2" t="s">
        <v>1036</v>
      </c>
      <c r="D766" s="2" t="s">
        <v>257</v>
      </c>
      <c r="E766" s="2" t="s">
        <v>258</v>
      </c>
      <c r="F766" s="2" t="s">
        <v>3098</v>
      </c>
      <c r="G766" s="2" t="s">
        <v>3098</v>
      </c>
      <c r="H766" s="2" t="s">
        <v>3098</v>
      </c>
      <c r="I766" s="2" t="s">
        <v>3099</v>
      </c>
      <c r="J766" s="2" t="s">
        <v>261</v>
      </c>
      <c r="K766" s="2" t="s">
        <v>1210</v>
      </c>
      <c r="L766" s="3">
        <v>22.21</v>
      </c>
      <c r="M766" s="3">
        <v>23.32</v>
      </c>
      <c r="N766" s="3">
        <v>47.99</v>
      </c>
      <c r="O766" s="2" t="s">
        <v>232</v>
      </c>
      <c r="P766" s="2" t="s">
        <v>336</v>
      </c>
      <c r="Q766" s="2" t="s">
        <v>234</v>
      </c>
      <c r="R766" s="2" t="s">
        <v>235</v>
      </c>
      <c r="S766" s="2" t="s">
        <v>3274</v>
      </c>
      <c r="T766" s="2" t="s">
        <v>2908</v>
      </c>
      <c r="U766" s="2" t="s">
        <v>235</v>
      </c>
      <c r="V766" s="2" t="s">
        <v>863</v>
      </c>
      <c r="W766" s="2" t="s">
        <v>239</v>
      </c>
      <c r="X766" s="2" t="s">
        <v>235</v>
      </c>
      <c r="Y766" s="2" t="s">
        <v>2938</v>
      </c>
      <c r="Z766" s="4">
        <v>1178</v>
      </c>
      <c r="AA766" s="4">
        <f>=ROUNDDOWN(28.047619047619,0)</f>
      </c>
      <c r="AB766" s="5">
        <v>42</v>
      </c>
      <c r="AC766" s="2" t="s">
        <v>3103</v>
      </c>
      <c r="AD766" s="4">
        <v>411</v>
      </c>
      <c r="AE766" s="4">
        <v>633</v>
      </c>
      <c r="AF766" s="6">
        <v>73</v>
      </c>
      <c r="AG766" s="6"/>
      <c r="AH766" s="7">
        <v>1</v>
      </c>
      <c r="AI766" s="4"/>
      <c r="AJ766" s="4">
        <f>=ROUNDDOWN({0},0)</f>
      </c>
      <c r="AK766" s="5"/>
      <c r="AL766" s="2" t="s">
        <v>235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235</v>
      </c>
      <c r="AW766" s="8" t="s">
        <v>235</v>
      </c>
      <c r="AX766" s="4" t="s">
        <v>235</v>
      </c>
      <c r="AY766" s="8" t="s">
        <v>235</v>
      </c>
      <c r="AZ766" s="7" t="s">
        <v>235</v>
      </c>
      <c r="BA766" s="7" t="s">
        <v>235</v>
      </c>
      <c r="BB766" s="7"/>
      <c r="BC766" s="4" t="s">
        <v>235</v>
      </c>
      <c r="BD766" s="8" t="s">
        <v>235</v>
      </c>
      <c r="BE766" s="4" t="s">
        <v>235</v>
      </c>
      <c r="BF766" s="8" t="s">
        <v>235</v>
      </c>
      <c r="BG766" s="7" t="s">
        <v>235</v>
      </c>
      <c r="BH766" s="7" t="s">
        <v>235</v>
      </c>
      <c r="BI766" s="7"/>
      <c r="BJ766" s="4">
        <v>15</v>
      </c>
      <c r="BK766" s="8">
        <v>366.46</v>
      </c>
      <c r="BL766" s="2" t="s">
        <v>3278</v>
      </c>
      <c r="BM766" s="7"/>
      <c r="BN766" s="7"/>
      <c r="BO766" s="4"/>
      <c r="BP766" s="8"/>
      <c r="BQ766" s="4"/>
      <c r="BR766" s="8"/>
      <c r="BS766" s="7"/>
      <c r="BT766" s="7"/>
      <c r="BU766" s="2" t="s">
        <v>3105</v>
      </c>
      <c r="BV766" s="2" t="s">
        <v>243</v>
      </c>
      <c r="BW766" s="2" t="s">
        <v>235</v>
      </c>
      <c r="BX766" s="2" t="s">
        <v>383</v>
      </c>
      <c r="BY766" s="2" t="s">
        <v>245</v>
      </c>
      <c r="BZ766" s="2" t="s">
        <v>232</v>
      </c>
      <c r="CA766" s="2" t="s">
        <v>1924</v>
      </c>
      <c r="CB766" s="2" t="s">
        <v>3074</v>
      </c>
      <c r="CC766" s="2" t="s">
        <v>248</v>
      </c>
      <c r="CD766" s="2" t="s">
        <v>248</v>
      </c>
      <c r="CE766" s="2" t="s">
        <v>235</v>
      </c>
      <c r="CF766" s="4">
        <v>1178</v>
      </c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>
        <v>411</v>
      </c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>
        <v>222</v>
      </c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>
        <v>1184</v>
      </c>
      <c r="GE766" s="4">
        <v>984</v>
      </c>
      <c r="GF766" s="4">
        <v>947</v>
      </c>
      <c r="GG766" s="4">
        <v>891</v>
      </c>
      <c r="GH766" s="4">
        <v>1233</v>
      </c>
      <c r="GI766" s="4">
        <v>1124</v>
      </c>
      <c r="GJ766" s="4">
        <v>916</v>
      </c>
      <c r="GK766" s="4">
        <v>813</v>
      </c>
      <c r="GL766" s="4">
        <v>713</v>
      </c>
      <c r="GM766" s="4">
        <v>867</v>
      </c>
      <c r="GN766" s="4">
        <v>809</v>
      </c>
      <c r="GO766" s="4">
        <v>741</v>
      </c>
      <c r="GP766" s="4">
        <v>675</v>
      </c>
      <c r="GQ766" s="4">
        <v>587</v>
      </c>
      <c r="GR766" s="4">
        <v>539</v>
      </c>
      <c r="GS766" s="4">
        <v>489</v>
      </c>
      <c r="GT766" s="4">
        <v>449</v>
      </c>
      <c r="GU766" s="4">
        <v>414</v>
      </c>
      <c r="GV766" s="4">
        <v>377</v>
      </c>
      <c r="GW766" s="4">
        <v>350</v>
      </c>
      <c r="GX766" s="4">
        <v>326</v>
      </c>
      <c r="GY766" s="4">
        <v>304</v>
      </c>
      <c r="GZ766" s="4">
        <v>281</v>
      </c>
      <c r="HA766" s="4">
        <v>258</v>
      </c>
      <c r="HB766" s="4">
        <v>235</v>
      </c>
      <c r="HC766" s="4">
        <v>212</v>
      </c>
      <c r="HD766" s="19">
        <v>13.2</v>
      </c>
      <c r="HE766" s="19">
        <v>14.5</v>
      </c>
      <c r="HF766" s="19">
        <v>8.6</v>
      </c>
      <c r="HG766" s="19">
        <v>7.3</v>
      </c>
      <c r="HH766" s="19">
        <v>9.5</v>
      </c>
      <c r="HI766" s="19">
        <v>9.4</v>
      </c>
      <c r="HJ766" s="19">
        <v>11.2</v>
      </c>
      <c r="HK766" s="19">
        <v>11</v>
      </c>
      <c r="HL766" s="19">
        <v>11</v>
      </c>
      <c r="HM766" s="19">
        <v>12.4</v>
      </c>
      <c r="HN766" s="19">
        <v>11.9</v>
      </c>
      <c r="HO766" s="19">
        <v>11.8</v>
      </c>
      <c r="HP766" s="19">
        <v>12.1</v>
      </c>
      <c r="HQ766" s="19">
        <v>13.7</v>
      </c>
      <c r="HR766" s="19">
        <v>13.5</v>
      </c>
      <c r="HS766" s="19">
        <v>14</v>
      </c>
      <c r="HT766" s="19">
        <v>14.5</v>
      </c>
      <c r="HU766" s="19">
        <v>14.8</v>
      </c>
      <c r="HV766" s="19">
        <v>15.7</v>
      </c>
      <c r="HW766" s="19">
        <v>15.2</v>
      </c>
      <c r="HX766" s="19">
        <v>14.2</v>
      </c>
      <c r="HY766" s="19">
        <v>13.2</v>
      </c>
      <c r="HZ766" s="19">
        <v>12.8</v>
      </c>
      <c r="IA766" s="19">
        <v>11.7</v>
      </c>
      <c r="IB766" s="19">
        <v>11.2</v>
      </c>
      <c r="IC766" s="19">
        <v>10.6</v>
      </c>
    </row>
    <row r="767">
      <c r="A767" s="2" t="s">
        <v>3279</v>
      </c>
      <c r="B767" s="2" t="s">
        <v>323</v>
      </c>
      <c r="C767" s="2" t="s">
        <v>1036</v>
      </c>
      <c r="D767" s="2" t="s">
        <v>257</v>
      </c>
      <c r="E767" s="2" t="s">
        <v>258</v>
      </c>
      <c r="F767" s="2" t="s">
        <v>3098</v>
      </c>
      <c r="G767" s="2" t="s">
        <v>3098</v>
      </c>
      <c r="H767" s="2" t="s">
        <v>3098</v>
      </c>
      <c r="I767" s="2" t="s">
        <v>3099</v>
      </c>
      <c r="J767" s="2" t="s">
        <v>270</v>
      </c>
      <c r="K767" s="2" t="s">
        <v>1210</v>
      </c>
      <c r="L767" s="3">
        <v>27.39</v>
      </c>
      <c r="M767" s="3">
        <v>28.76</v>
      </c>
      <c r="N767" s="3">
        <v>62.99</v>
      </c>
      <c r="O767" s="2" t="s">
        <v>232</v>
      </c>
      <c r="P767" s="2" t="s">
        <v>233</v>
      </c>
      <c r="Q767" s="2" t="s">
        <v>234</v>
      </c>
      <c r="R767" s="2" t="s">
        <v>235</v>
      </c>
      <c r="S767" s="2" t="s">
        <v>3274</v>
      </c>
      <c r="T767" s="2" t="s">
        <v>2908</v>
      </c>
      <c r="U767" s="2" t="s">
        <v>235</v>
      </c>
      <c r="V767" s="2" t="s">
        <v>863</v>
      </c>
      <c r="W767" s="2" t="s">
        <v>239</v>
      </c>
      <c r="X767" s="2" t="s">
        <v>235</v>
      </c>
      <c r="Y767" s="2" t="s">
        <v>2938</v>
      </c>
      <c r="Z767" s="4">
        <v>374</v>
      </c>
      <c r="AA767" s="4">
        <f>=ROUNDDOWN(53.4285714285714,0)</f>
      </c>
      <c r="AB767" s="5">
        <v>7</v>
      </c>
      <c r="AC767" s="2" t="s">
        <v>235</v>
      </c>
      <c r="AD767" s="4"/>
      <c r="AE767" s="4"/>
      <c r="AF767" s="6">
        <v>73</v>
      </c>
      <c r="AG767" s="6"/>
      <c r="AH767" s="7">
        <v>1</v>
      </c>
      <c r="AI767" s="4"/>
      <c r="AJ767" s="4">
        <f>=ROUNDDOWN({0},0)</f>
      </c>
      <c r="AK767" s="5"/>
      <c r="AL767" s="2" t="s">
        <v>235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235</v>
      </c>
      <c r="AW767" s="8" t="s">
        <v>235</v>
      </c>
      <c r="AX767" s="4" t="s">
        <v>235</v>
      </c>
      <c r="AY767" s="8" t="s">
        <v>235</v>
      </c>
      <c r="AZ767" s="7" t="s">
        <v>235</v>
      </c>
      <c r="BA767" s="7" t="s">
        <v>235</v>
      </c>
      <c r="BB767" s="7"/>
      <c r="BC767" s="4" t="s">
        <v>235</v>
      </c>
      <c r="BD767" s="8" t="s">
        <v>235</v>
      </c>
      <c r="BE767" s="4" t="s">
        <v>235</v>
      </c>
      <c r="BF767" s="8" t="s">
        <v>235</v>
      </c>
      <c r="BG767" s="7" t="s">
        <v>235</v>
      </c>
      <c r="BH767" s="7" t="s">
        <v>235</v>
      </c>
      <c r="BI767" s="7"/>
      <c r="BJ767" s="4">
        <v>7</v>
      </c>
      <c r="BK767" s="8">
        <v>236.69</v>
      </c>
      <c r="BL767" s="2" t="s">
        <v>3113</v>
      </c>
      <c r="BM767" s="7"/>
      <c r="BN767" s="7"/>
      <c r="BO767" s="4"/>
      <c r="BP767" s="8"/>
      <c r="BQ767" s="4"/>
      <c r="BR767" s="8"/>
      <c r="BS767" s="7"/>
      <c r="BT767" s="7"/>
      <c r="BU767" s="2" t="s">
        <v>3105</v>
      </c>
      <c r="BV767" s="2" t="s">
        <v>243</v>
      </c>
      <c r="BW767" s="2" t="s">
        <v>235</v>
      </c>
      <c r="BX767" s="2" t="s">
        <v>383</v>
      </c>
      <c r="BY767" s="2" t="s">
        <v>245</v>
      </c>
      <c r="BZ767" s="2" t="s">
        <v>232</v>
      </c>
      <c r="CA767" s="2" t="s">
        <v>1924</v>
      </c>
      <c r="CB767" s="2" t="s">
        <v>3280</v>
      </c>
      <c r="CC767" s="2" t="s">
        <v>248</v>
      </c>
      <c r="CD767" s="2" t="s">
        <v>248</v>
      </c>
      <c r="CE767" s="2" t="s">
        <v>235</v>
      </c>
      <c r="CF767" s="4">
        <v>374</v>
      </c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>
        <v>375</v>
      </c>
      <c r="GE767" s="4">
        <v>372</v>
      </c>
      <c r="GF767" s="4">
        <v>370</v>
      </c>
      <c r="GG767" s="4">
        <v>363</v>
      </c>
      <c r="GH767" s="4">
        <v>355</v>
      </c>
      <c r="GI767" s="4">
        <v>342</v>
      </c>
      <c r="GJ767" s="4">
        <v>319</v>
      </c>
      <c r="GK767" s="4">
        <v>306</v>
      </c>
      <c r="GL767" s="4">
        <v>294</v>
      </c>
      <c r="GM767" s="4">
        <v>285</v>
      </c>
      <c r="GN767" s="4">
        <v>275</v>
      </c>
      <c r="GO767" s="4">
        <v>262</v>
      </c>
      <c r="GP767" s="4">
        <v>247</v>
      </c>
      <c r="GQ767" s="4">
        <v>220</v>
      </c>
      <c r="GR767" s="4">
        <v>206</v>
      </c>
      <c r="GS767" s="4">
        <v>193</v>
      </c>
      <c r="GT767" s="4">
        <v>184</v>
      </c>
      <c r="GU767" s="4">
        <v>177</v>
      </c>
      <c r="GV767" s="4">
        <v>169</v>
      </c>
      <c r="GW767" s="4">
        <v>163</v>
      </c>
      <c r="GX767" s="4">
        <v>158</v>
      </c>
      <c r="GY767" s="4">
        <v>154</v>
      </c>
      <c r="GZ767" s="4">
        <v>149</v>
      </c>
      <c r="HA767" s="4">
        <v>144</v>
      </c>
      <c r="HB767" s="4">
        <v>139</v>
      </c>
      <c r="HC767" s="4">
        <v>134</v>
      </c>
      <c r="HD767" s="19">
        <v>75</v>
      </c>
      <c r="HE767" s="19">
        <v>46.5</v>
      </c>
      <c r="HF767" s="19">
        <v>28.5</v>
      </c>
      <c r="HG767" s="19">
        <v>25.9</v>
      </c>
      <c r="HH767" s="19">
        <v>23.7</v>
      </c>
      <c r="HI767" s="19">
        <v>24.4</v>
      </c>
      <c r="HJ767" s="19">
        <v>29</v>
      </c>
      <c r="HK767" s="19">
        <v>27.8</v>
      </c>
      <c r="HL767" s="19">
        <v>24.5</v>
      </c>
      <c r="HM767" s="19">
        <v>17.8</v>
      </c>
      <c r="HN767" s="19">
        <v>16.2</v>
      </c>
      <c r="HO767" s="19">
        <v>15.4</v>
      </c>
      <c r="HP767" s="19">
        <v>15.4</v>
      </c>
      <c r="HQ767" s="19">
        <v>20</v>
      </c>
      <c r="HR767" s="19">
        <v>22.9</v>
      </c>
      <c r="HS767" s="19">
        <v>24.1</v>
      </c>
      <c r="HT767" s="19">
        <v>30.7</v>
      </c>
      <c r="HU767" s="19">
        <v>29.5</v>
      </c>
      <c r="HV767" s="19">
        <v>33.8</v>
      </c>
      <c r="HW767" s="19">
        <v>32.6</v>
      </c>
      <c r="HX767" s="19">
        <v>31.6</v>
      </c>
      <c r="HY767" s="19">
        <v>30.8</v>
      </c>
      <c r="HZ767" s="19">
        <v>29.8</v>
      </c>
      <c r="IA767" s="19">
        <v>36</v>
      </c>
      <c r="IB767" s="19">
        <v>34.8</v>
      </c>
      <c r="IC767" s="19">
        <v>33.5</v>
      </c>
    </row>
    <row r="768">
      <c r="A768" s="2" t="s">
        <v>3281</v>
      </c>
      <c r="B768" s="2" t="s">
        <v>323</v>
      </c>
      <c r="C768" s="2" t="s">
        <v>1036</v>
      </c>
      <c r="D768" s="2" t="s">
        <v>257</v>
      </c>
      <c r="E768" s="2" t="s">
        <v>258</v>
      </c>
      <c r="F768" s="2" t="s">
        <v>3098</v>
      </c>
      <c r="G768" s="2" t="s">
        <v>3098</v>
      </c>
      <c r="H768" s="2" t="s">
        <v>3098</v>
      </c>
      <c r="I768" s="2" t="s">
        <v>3099</v>
      </c>
      <c r="J768" s="2" t="s">
        <v>272</v>
      </c>
      <c r="K768" s="2" t="s">
        <v>1210</v>
      </c>
      <c r="L768" s="3">
        <v>27.39</v>
      </c>
      <c r="M768" s="3">
        <v>28.76</v>
      </c>
      <c r="N768" s="3">
        <v>62.99</v>
      </c>
      <c r="O768" s="2" t="s">
        <v>232</v>
      </c>
      <c r="P768" s="2" t="s">
        <v>233</v>
      </c>
      <c r="Q768" s="2" t="s">
        <v>234</v>
      </c>
      <c r="R768" s="2" t="s">
        <v>235</v>
      </c>
      <c r="S768" s="2" t="s">
        <v>3274</v>
      </c>
      <c r="T768" s="2" t="s">
        <v>2908</v>
      </c>
      <c r="U768" s="2" t="s">
        <v>235</v>
      </c>
      <c r="V768" s="2" t="s">
        <v>863</v>
      </c>
      <c r="W768" s="2" t="s">
        <v>239</v>
      </c>
      <c r="X768" s="2" t="s">
        <v>235</v>
      </c>
      <c r="Y768" s="2" t="s">
        <v>2938</v>
      </c>
      <c r="Z768" s="4">
        <v>248</v>
      </c>
      <c r="AA768" s="4">
        <f>=ROUNDDOWN(49.6,0)</f>
      </c>
      <c r="AB768" s="5">
        <v>5</v>
      </c>
      <c r="AC768" s="2" t="s">
        <v>235</v>
      </c>
      <c r="AD768" s="4"/>
      <c r="AE768" s="4"/>
      <c r="AF768" s="6">
        <v>73</v>
      </c>
      <c r="AG768" s="6"/>
      <c r="AH768" s="7">
        <v>1</v>
      </c>
      <c r="AI768" s="4"/>
      <c r="AJ768" s="4">
        <f>=ROUNDDOWN({0},0)</f>
      </c>
      <c r="AK768" s="5"/>
      <c r="AL768" s="2" t="s">
        <v>235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235</v>
      </c>
      <c r="AW768" s="8" t="s">
        <v>235</v>
      </c>
      <c r="AX768" s="4" t="s">
        <v>235</v>
      </c>
      <c r="AY768" s="8" t="s">
        <v>235</v>
      </c>
      <c r="AZ768" s="7" t="s">
        <v>235</v>
      </c>
      <c r="BA768" s="7" t="s">
        <v>235</v>
      </c>
      <c r="BB768" s="7"/>
      <c r="BC768" s="4" t="s">
        <v>235</v>
      </c>
      <c r="BD768" s="8" t="s">
        <v>235</v>
      </c>
      <c r="BE768" s="4" t="s">
        <v>235</v>
      </c>
      <c r="BF768" s="8" t="s">
        <v>235</v>
      </c>
      <c r="BG768" s="7" t="s">
        <v>235</v>
      </c>
      <c r="BH768" s="7" t="s">
        <v>235</v>
      </c>
      <c r="BI768" s="7"/>
      <c r="BJ768" s="4">
        <v>9</v>
      </c>
      <c r="BK768" s="8">
        <v>264.16</v>
      </c>
      <c r="BL768" s="2" t="s">
        <v>3282</v>
      </c>
      <c r="BM768" s="7"/>
      <c r="BN768" s="7"/>
      <c r="BO768" s="4"/>
      <c r="BP768" s="8"/>
      <c r="BQ768" s="4"/>
      <c r="BR768" s="8"/>
      <c r="BS768" s="7"/>
      <c r="BT768" s="7"/>
      <c r="BU768" s="2" t="s">
        <v>3105</v>
      </c>
      <c r="BV768" s="2" t="s">
        <v>243</v>
      </c>
      <c r="BW768" s="2" t="s">
        <v>235</v>
      </c>
      <c r="BX768" s="2" t="s">
        <v>383</v>
      </c>
      <c r="BY768" s="2" t="s">
        <v>245</v>
      </c>
      <c r="BZ768" s="2" t="s">
        <v>232</v>
      </c>
      <c r="CA768" s="2" t="s">
        <v>1924</v>
      </c>
      <c r="CB768" s="2" t="s">
        <v>3192</v>
      </c>
      <c r="CC768" s="2" t="s">
        <v>248</v>
      </c>
      <c r="CD768" s="2" t="s">
        <v>248</v>
      </c>
      <c r="CE768" s="2" t="s">
        <v>235</v>
      </c>
      <c r="CF768" s="4">
        <v>248</v>
      </c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>
        <v>250</v>
      </c>
      <c r="GE768" s="4">
        <v>246</v>
      </c>
      <c r="GF768" s="4">
        <v>244</v>
      </c>
      <c r="GG768" s="4">
        <v>242</v>
      </c>
      <c r="GH768" s="4">
        <v>236</v>
      </c>
      <c r="GI768" s="4">
        <v>227</v>
      </c>
      <c r="GJ768" s="4">
        <v>212</v>
      </c>
      <c r="GK768" s="4">
        <v>203</v>
      </c>
      <c r="GL768" s="4">
        <v>194</v>
      </c>
      <c r="GM768" s="4">
        <v>187</v>
      </c>
      <c r="GN768" s="4">
        <v>179</v>
      </c>
      <c r="GO768" s="4">
        <v>170</v>
      </c>
      <c r="GP768" s="4">
        <v>159</v>
      </c>
      <c r="GQ768" s="4">
        <v>138</v>
      </c>
      <c r="GR768" s="4">
        <v>128</v>
      </c>
      <c r="GS768" s="4">
        <v>119</v>
      </c>
      <c r="GT768" s="4">
        <v>113</v>
      </c>
      <c r="GU768" s="4">
        <v>108</v>
      </c>
      <c r="GV768" s="4">
        <v>102</v>
      </c>
      <c r="GW768" s="4">
        <v>98</v>
      </c>
      <c r="GX768" s="4">
        <v>95</v>
      </c>
      <c r="GY768" s="4">
        <v>92</v>
      </c>
      <c r="GZ768" s="4">
        <v>89</v>
      </c>
      <c r="HA768" s="4">
        <v>86</v>
      </c>
      <c r="HB768" s="4">
        <v>83</v>
      </c>
      <c r="HC768" s="4">
        <v>80</v>
      </c>
      <c r="HD768" s="19">
        <v>62.5</v>
      </c>
      <c r="HE768" s="19">
        <v>49.2</v>
      </c>
      <c r="HF768" s="19">
        <v>30.5</v>
      </c>
      <c r="HG768" s="19">
        <v>24.2</v>
      </c>
      <c r="HH768" s="19">
        <v>23.6</v>
      </c>
      <c r="HI768" s="19">
        <v>22.7</v>
      </c>
      <c r="HJ768" s="19">
        <v>26.5</v>
      </c>
      <c r="HK768" s="19">
        <v>25.4</v>
      </c>
      <c r="HL768" s="19">
        <v>21.6</v>
      </c>
      <c r="HM768" s="19">
        <v>15.6</v>
      </c>
      <c r="HN768" s="19">
        <v>13.8</v>
      </c>
      <c r="HO768" s="19">
        <v>13.1</v>
      </c>
      <c r="HP768" s="19">
        <v>13.3</v>
      </c>
      <c r="HQ768" s="19">
        <v>17.3</v>
      </c>
      <c r="HR768" s="19">
        <v>21.3</v>
      </c>
      <c r="HS768" s="19">
        <v>23.8</v>
      </c>
      <c r="HT768" s="19">
        <v>28.3</v>
      </c>
      <c r="HU768" s="19">
        <v>27</v>
      </c>
      <c r="HV768" s="19">
        <v>34</v>
      </c>
      <c r="HW768" s="19">
        <v>32.7</v>
      </c>
      <c r="HX768" s="19">
        <v>31.7</v>
      </c>
      <c r="HY768" s="19">
        <v>30.7</v>
      </c>
      <c r="HZ768" s="19">
        <v>29.7</v>
      </c>
      <c r="IA768" s="19">
        <v>28.7</v>
      </c>
      <c r="IB768" s="19">
        <v>27.7</v>
      </c>
      <c r="IC768" s="19">
        <v>26.7</v>
      </c>
    </row>
    <row r="769">
      <c r="A769" s="2" t="s">
        <v>3283</v>
      </c>
      <c r="B769" s="2" t="s">
        <v>323</v>
      </c>
      <c r="C769" s="2" t="s">
        <v>1036</v>
      </c>
      <c r="D769" s="2" t="s">
        <v>257</v>
      </c>
      <c r="E769" s="2" t="s">
        <v>258</v>
      </c>
      <c r="F769" s="2" t="s">
        <v>3098</v>
      </c>
      <c r="G769" s="2" t="s">
        <v>3098</v>
      </c>
      <c r="H769" s="2" t="s">
        <v>3098</v>
      </c>
      <c r="I769" s="2" t="s">
        <v>3099</v>
      </c>
      <c r="J769" s="2" t="s">
        <v>250</v>
      </c>
      <c r="K769" s="2" t="s">
        <v>3284</v>
      </c>
      <c r="L769" s="3">
        <v>19.57</v>
      </c>
      <c r="M769" s="3">
        <v>20.55</v>
      </c>
      <c r="N769" s="3">
        <v>42.99</v>
      </c>
      <c r="O769" s="2" t="s">
        <v>232</v>
      </c>
      <c r="P769" s="2" t="s">
        <v>698</v>
      </c>
      <c r="Q769" s="2" t="s">
        <v>234</v>
      </c>
      <c r="R769" s="2" t="s">
        <v>235</v>
      </c>
      <c r="S769" s="2" t="s">
        <v>3285</v>
      </c>
      <c r="T769" s="2" t="s">
        <v>2908</v>
      </c>
      <c r="U769" s="2" t="s">
        <v>264</v>
      </c>
      <c r="V769" s="2" t="s">
        <v>2919</v>
      </c>
      <c r="W769" s="2" t="s">
        <v>239</v>
      </c>
      <c r="X769" s="2" t="s">
        <v>1798</v>
      </c>
      <c r="Y769" s="2" t="s">
        <v>3102</v>
      </c>
      <c r="Z769" s="4">
        <v>1249</v>
      </c>
      <c r="AA769" s="4">
        <f>=ROUNDDOWN(27.7555555555556,0)</f>
      </c>
      <c r="AB769" s="5">
        <v>45</v>
      </c>
      <c r="AC769" s="2" t="s">
        <v>2503</v>
      </c>
      <c r="AD769" s="4">
        <v>366</v>
      </c>
      <c r="AE769" s="4">
        <v>1051</v>
      </c>
      <c r="AF769" s="6">
        <v>73</v>
      </c>
      <c r="AG769" s="6"/>
      <c r="AH769" s="7">
        <v>1</v>
      </c>
      <c r="AI769" s="4"/>
      <c r="AJ769" s="4">
        <f>=ROUNDDOWN({0},0)</f>
      </c>
      <c r="AK769" s="5"/>
      <c r="AL769" s="2" t="s">
        <v>235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235</v>
      </c>
      <c r="AW769" s="8" t="s">
        <v>235</v>
      </c>
      <c r="AX769" s="4" t="s">
        <v>235</v>
      </c>
      <c r="AY769" s="8" t="s">
        <v>235</v>
      </c>
      <c r="AZ769" s="7" t="s">
        <v>235</v>
      </c>
      <c r="BA769" s="7" t="s">
        <v>235</v>
      </c>
      <c r="BB769" s="7"/>
      <c r="BC769" s="4" t="s">
        <v>235</v>
      </c>
      <c r="BD769" s="8" t="s">
        <v>235</v>
      </c>
      <c r="BE769" s="4" t="s">
        <v>235</v>
      </c>
      <c r="BF769" s="8" t="s">
        <v>235</v>
      </c>
      <c r="BG769" s="7" t="s">
        <v>235</v>
      </c>
      <c r="BH769" s="7" t="s">
        <v>235</v>
      </c>
      <c r="BI769" s="7"/>
      <c r="BJ769" s="4">
        <v>11</v>
      </c>
      <c r="BK769" s="8">
        <v>262.57</v>
      </c>
      <c r="BL769" s="2" t="s">
        <v>3286</v>
      </c>
      <c r="BM769" s="7"/>
      <c r="BN769" s="7"/>
      <c r="BO769" s="4"/>
      <c r="BP769" s="8"/>
      <c r="BQ769" s="4"/>
      <c r="BR769" s="8"/>
      <c r="BS769" s="7"/>
      <c r="BT769" s="7"/>
      <c r="BU769" s="2" t="s">
        <v>3105</v>
      </c>
      <c r="BV769" s="2" t="s">
        <v>243</v>
      </c>
      <c r="BW769" s="2" t="s">
        <v>235</v>
      </c>
      <c r="BX769" s="2" t="s">
        <v>383</v>
      </c>
      <c r="BY769" s="2" t="s">
        <v>245</v>
      </c>
      <c r="BZ769" s="2" t="s">
        <v>232</v>
      </c>
      <c r="CA769" s="2" t="s">
        <v>3110</v>
      </c>
      <c r="CB769" s="2" t="s">
        <v>1400</v>
      </c>
      <c r="CC769" s="2" t="s">
        <v>248</v>
      </c>
      <c r="CD769" s="2" t="s">
        <v>248</v>
      </c>
      <c r="CE769" s="2" t="s">
        <v>235</v>
      </c>
      <c r="CF769" s="4">
        <v>1249</v>
      </c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>
        <v>366</v>
      </c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>
        <v>239</v>
      </c>
      <c r="EK769" s="4"/>
      <c r="EL769" s="4"/>
      <c r="EM769" s="4"/>
      <c r="EN769" s="4"/>
      <c r="EO769" s="4"/>
      <c r="EP769" s="4"/>
      <c r="EQ769" s="4">
        <v>446</v>
      </c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>
        <v>1252</v>
      </c>
      <c r="GE769" s="4">
        <v>1243</v>
      </c>
      <c r="GF769" s="4">
        <v>1602</v>
      </c>
      <c r="GG769" s="4">
        <v>1595</v>
      </c>
      <c r="GH769" s="4">
        <v>1588</v>
      </c>
      <c r="GI769" s="4">
        <v>1534</v>
      </c>
      <c r="GJ769" s="4">
        <v>1328</v>
      </c>
      <c r="GK769" s="4">
        <v>1224</v>
      </c>
      <c r="GL769" s="4">
        <v>1123</v>
      </c>
      <c r="GM769" s="4">
        <v>1292</v>
      </c>
      <c r="GN769" s="4">
        <v>1676</v>
      </c>
      <c r="GO769" s="4">
        <v>1601</v>
      </c>
      <c r="GP769" s="4">
        <v>1524</v>
      </c>
      <c r="GQ769" s="4">
        <v>1412</v>
      </c>
      <c r="GR769" s="4">
        <v>1352</v>
      </c>
      <c r="GS769" s="4">
        <v>1291</v>
      </c>
      <c r="GT769" s="4">
        <v>1244</v>
      </c>
      <c r="GU769" s="4">
        <v>1204</v>
      </c>
      <c r="GV769" s="4">
        <v>1161</v>
      </c>
      <c r="GW769" s="4">
        <v>1130</v>
      </c>
      <c r="GX769" s="4">
        <v>1103</v>
      </c>
      <c r="GY769" s="4">
        <v>1079</v>
      </c>
      <c r="GZ769" s="4">
        <v>1053</v>
      </c>
      <c r="HA769" s="4">
        <v>1027</v>
      </c>
      <c r="HB769" s="4">
        <v>1001</v>
      </c>
      <c r="HC769" s="4">
        <v>975</v>
      </c>
      <c r="HD769" s="19">
        <v>156.5</v>
      </c>
      <c r="HE769" s="19">
        <v>65.4</v>
      </c>
      <c r="HF769" s="19">
        <v>23.6</v>
      </c>
      <c r="HG769" s="19">
        <v>17.2</v>
      </c>
      <c r="HH769" s="19">
        <v>13.7</v>
      </c>
      <c r="HI769" s="19">
        <v>12.8</v>
      </c>
      <c r="HJ769" s="19">
        <v>15.8</v>
      </c>
      <c r="HK769" s="19">
        <v>15.9</v>
      </c>
      <c r="HL769" s="19">
        <v>15.8</v>
      </c>
      <c r="HM769" s="19">
        <v>15.8</v>
      </c>
      <c r="HN769" s="19">
        <v>20.7</v>
      </c>
      <c r="HO769" s="19">
        <v>20.5</v>
      </c>
      <c r="HP769" s="19">
        <v>21.8</v>
      </c>
      <c r="HQ769" s="19">
        <v>27.2</v>
      </c>
      <c r="HR769" s="19">
        <v>28.2</v>
      </c>
      <c r="HS769" s="19">
        <v>32.3</v>
      </c>
      <c r="HT769" s="19">
        <v>35.5</v>
      </c>
      <c r="HU769" s="19">
        <v>38.8</v>
      </c>
      <c r="HV769" s="19">
        <v>43</v>
      </c>
      <c r="HW769" s="19">
        <v>43.5</v>
      </c>
      <c r="HX769" s="19">
        <v>42.4</v>
      </c>
      <c r="HY769" s="19">
        <v>41.5</v>
      </c>
      <c r="HZ769" s="19">
        <v>42.1</v>
      </c>
      <c r="IA769" s="19">
        <v>42.8</v>
      </c>
      <c r="IB769" s="19">
        <v>43.5</v>
      </c>
      <c r="IC769" s="19">
        <v>46.4</v>
      </c>
    </row>
    <row r="770">
      <c r="A770" s="2" t="s">
        <v>3287</v>
      </c>
      <c r="B770" s="2" t="s">
        <v>323</v>
      </c>
      <c r="C770" s="2" t="s">
        <v>1036</v>
      </c>
      <c r="D770" s="2" t="s">
        <v>257</v>
      </c>
      <c r="E770" s="2" t="s">
        <v>258</v>
      </c>
      <c r="F770" s="2" t="s">
        <v>3098</v>
      </c>
      <c r="G770" s="2" t="s">
        <v>3098</v>
      </c>
      <c r="H770" s="2" t="s">
        <v>3098</v>
      </c>
      <c r="I770" s="2" t="s">
        <v>3099</v>
      </c>
      <c r="J770" s="2" t="s">
        <v>261</v>
      </c>
      <c r="K770" s="2" t="s">
        <v>3284</v>
      </c>
      <c r="L770" s="3">
        <v>22.21</v>
      </c>
      <c r="M770" s="3">
        <v>23.32</v>
      </c>
      <c r="N770" s="3">
        <v>47.99</v>
      </c>
      <c r="O770" s="2" t="s">
        <v>232</v>
      </c>
      <c r="P770" s="2" t="s">
        <v>333</v>
      </c>
      <c r="Q770" s="2" t="s">
        <v>234</v>
      </c>
      <c r="R770" s="2" t="s">
        <v>235</v>
      </c>
      <c r="S770" s="2" t="s">
        <v>3285</v>
      </c>
      <c r="T770" s="2" t="s">
        <v>2908</v>
      </c>
      <c r="U770" s="2" t="s">
        <v>264</v>
      </c>
      <c r="V770" s="2" t="s">
        <v>2919</v>
      </c>
      <c r="W770" s="2" t="s">
        <v>239</v>
      </c>
      <c r="X770" s="2" t="s">
        <v>1798</v>
      </c>
      <c r="Y770" s="2" t="s">
        <v>3102</v>
      </c>
      <c r="Z770" s="4">
        <v>1248</v>
      </c>
      <c r="AA770" s="4">
        <f>=ROUNDDOWN(16.64,0)</f>
      </c>
      <c r="AB770" s="5">
        <v>75</v>
      </c>
      <c r="AC770" s="2" t="s">
        <v>2503</v>
      </c>
      <c r="AD770" s="4">
        <v>755</v>
      </c>
      <c r="AE770" s="4">
        <v>1824</v>
      </c>
      <c r="AF770" s="6">
        <v>73</v>
      </c>
      <c r="AG770" s="6"/>
      <c r="AH770" s="7">
        <v>1</v>
      </c>
      <c r="AI770" s="4"/>
      <c r="AJ770" s="4">
        <f>=ROUNDDOWN({0},0)</f>
      </c>
      <c r="AK770" s="5"/>
      <c r="AL770" s="2" t="s">
        <v>235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235</v>
      </c>
      <c r="AW770" s="8" t="s">
        <v>235</v>
      </c>
      <c r="AX770" s="4" t="s">
        <v>235</v>
      </c>
      <c r="AY770" s="8" t="s">
        <v>235</v>
      </c>
      <c r="AZ770" s="7" t="s">
        <v>235</v>
      </c>
      <c r="BA770" s="7" t="s">
        <v>235</v>
      </c>
      <c r="BB770" s="7"/>
      <c r="BC770" s="4" t="s">
        <v>235</v>
      </c>
      <c r="BD770" s="8" t="s">
        <v>235</v>
      </c>
      <c r="BE770" s="4" t="s">
        <v>235</v>
      </c>
      <c r="BF770" s="8" t="s">
        <v>235</v>
      </c>
      <c r="BG770" s="7" t="s">
        <v>235</v>
      </c>
      <c r="BH770" s="7" t="s">
        <v>235</v>
      </c>
      <c r="BI770" s="7"/>
      <c r="BJ770" s="4">
        <v>308</v>
      </c>
      <c r="BK770" s="8">
        <v>7366.85</v>
      </c>
      <c r="BL770" s="2" t="s">
        <v>3288</v>
      </c>
      <c r="BM770" s="7"/>
      <c r="BN770" s="7"/>
      <c r="BO770" s="4"/>
      <c r="BP770" s="8"/>
      <c r="BQ770" s="4"/>
      <c r="BR770" s="8"/>
      <c r="BS770" s="7"/>
      <c r="BT770" s="7"/>
      <c r="BU770" s="2" t="s">
        <v>3105</v>
      </c>
      <c r="BV770" s="2" t="s">
        <v>243</v>
      </c>
      <c r="BW770" s="2" t="s">
        <v>235</v>
      </c>
      <c r="BX770" s="2" t="s">
        <v>383</v>
      </c>
      <c r="BY770" s="2" t="s">
        <v>245</v>
      </c>
      <c r="BZ770" s="2" t="s">
        <v>232</v>
      </c>
      <c r="CA770" s="2" t="s">
        <v>3114</v>
      </c>
      <c r="CB770" s="2" t="s">
        <v>3289</v>
      </c>
      <c r="CC770" s="2" t="s">
        <v>248</v>
      </c>
      <c r="CD770" s="2" t="s">
        <v>248</v>
      </c>
      <c r="CE770" s="2" t="s">
        <v>235</v>
      </c>
      <c r="CF770" s="4">
        <v>1248</v>
      </c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>
        <v>755</v>
      </c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>
        <v>391</v>
      </c>
      <c r="EK770" s="4"/>
      <c r="EL770" s="4"/>
      <c r="EM770" s="4"/>
      <c r="EN770" s="4"/>
      <c r="EO770" s="4"/>
      <c r="EP770" s="4"/>
      <c r="EQ770" s="4">
        <v>678</v>
      </c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>
        <v>1292</v>
      </c>
      <c r="GE770" s="4">
        <v>1281</v>
      </c>
      <c r="GF770" s="4">
        <v>2028</v>
      </c>
      <c r="GG770" s="4">
        <v>2020</v>
      </c>
      <c r="GH770" s="4">
        <v>2001</v>
      </c>
      <c r="GI770" s="4">
        <v>1800</v>
      </c>
      <c r="GJ770" s="4">
        <v>1413</v>
      </c>
      <c r="GK770" s="4">
        <v>1224</v>
      </c>
      <c r="GL770" s="4">
        <v>1041</v>
      </c>
      <c r="GM770" s="4">
        <v>1309</v>
      </c>
      <c r="GN770" s="4">
        <v>1885</v>
      </c>
      <c r="GO770" s="4">
        <v>1765</v>
      </c>
      <c r="GP770" s="4">
        <v>1652</v>
      </c>
      <c r="GQ770" s="4">
        <v>1511</v>
      </c>
      <c r="GR770" s="4">
        <v>1431</v>
      </c>
      <c r="GS770" s="4">
        <v>1347</v>
      </c>
      <c r="GT770" s="4">
        <v>1278</v>
      </c>
      <c r="GU770" s="4">
        <v>1216</v>
      </c>
      <c r="GV770" s="4">
        <v>1151</v>
      </c>
      <c r="GW770" s="4">
        <v>1104</v>
      </c>
      <c r="GX770" s="4">
        <v>1062</v>
      </c>
      <c r="GY770" s="4">
        <v>1023</v>
      </c>
      <c r="GZ770" s="4">
        <v>982</v>
      </c>
      <c r="HA770" s="4">
        <v>941</v>
      </c>
      <c r="HB770" s="4">
        <v>900</v>
      </c>
      <c r="HC770" s="4">
        <v>859</v>
      </c>
      <c r="HD770" s="19">
        <v>107.7</v>
      </c>
      <c r="HE770" s="19">
        <v>21.7</v>
      </c>
      <c r="HF770" s="19">
        <v>13.2</v>
      </c>
      <c r="HG770" s="19">
        <v>10.2</v>
      </c>
      <c r="HH770" s="19">
        <v>8.3</v>
      </c>
      <c r="HI770" s="19">
        <v>8.2</v>
      </c>
      <c r="HJ770" s="19">
        <v>9.5</v>
      </c>
      <c r="HK770" s="19">
        <v>9.3</v>
      </c>
      <c r="HL770" s="19">
        <v>9.1</v>
      </c>
      <c r="HM770" s="19">
        <v>11</v>
      </c>
      <c r="HN770" s="19">
        <v>16.5</v>
      </c>
      <c r="HO770" s="19">
        <v>17</v>
      </c>
      <c r="HP770" s="19">
        <v>17.6</v>
      </c>
      <c r="HQ770" s="19">
        <v>20.4</v>
      </c>
      <c r="HR770" s="19">
        <v>20.4</v>
      </c>
      <c r="HS770" s="19">
        <v>22.1</v>
      </c>
      <c r="HT770" s="19">
        <v>23.7</v>
      </c>
      <c r="HU770" s="19">
        <v>25.3</v>
      </c>
      <c r="HV770" s="19">
        <v>27.4</v>
      </c>
      <c r="HW770" s="19">
        <v>26.9</v>
      </c>
      <c r="HX770" s="19">
        <v>26.6</v>
      </c>
      <c r="HY770" s="19">
        <v>25</v>
      </c>
      <c r="HZ770" s="19">
        <v>24.6</v>
      </c>
      <c r="IA770" s="19">
        <v>23.5</v>
      </c>
      <c r="IB770" s="19">
        <v>24.3</v>
      </c>
      <c r="IC770" s="19">
        <v>24.5</v>
      </c>
    </row>
    <row r="771">
      <c r="A771" s="2" t="s">
        <v>3290</v>
      </c>
      <c r="B771" s="2" t="s">
        <v>323</v>
      </c>
      <c r="C771" s="2" t="s">
        <v>1036</v>
      </c>
      <c r="D771" s="2" t="s">
        <v>257</v>
      </c>
      <c r="E771" s="2" t="s">
        <v>258</v>
      </c>
      <c r="F771" s="2" t="s">
        <v>3098</v>
      </c>
      <c r="G771" s="2" t="s">
        <v>3098</v>
      </c>
      <c r="H771" s="2" t="s">
        <v>3098</v>
      </c>
      <c r="I771" s="2" t="s">
        <v>3099</v>
      </c>
      <c r="J771" s="2" t="s">
        <v>270</v>
      </c>
      <c r="K771" s="2" t="s">
        <v>3284</v>
      </c>
      <c r="L771" s="3">
        <v>27.39</v>
      </c>
      <c r="M771" s="3">
        <v>28.76</v>
      </c>
      <c r="N771" s="3">
        <v>62.99</v>
      </c>
      <c r="O771" s="2" t="s">
        <v>232</v>
      </c>
      <c r="P771" s="2" t="s">
        <v>336</v>
      </c>
      <c r="Q771" s="2" t="s">
        <v>234</v>
      </c>
      <c r="R771" s="2" t="s">
        <v>235</v>
      </c>
      <c r="S771" s="2" t="s">
        <v>3285</v>
      </c>
      <c r="T771" s="2" t="s">
        <v>2908</v>
      </c>
      <c r="U771" s="2" t="s">
        <v>264</v>
      </c>
      <c r="V771" s="2" t="s">
        <v>2919</v>
      </c>
      <c r="W771" s="2" t="s">
        <v>239</v>
      </c>
      <c r="X771" s="2" t="s">
        <v>1798</v>
      </c>
      <c r="Y771" s="2" t="s">
        <v>3102</v>
      </c>
      <c r="Z771" s="4">
        <v>794</v>
      </c>
      <c r="AA771" s="4">
        <f>=ROUNDDOWN(31.76,0)</f>
      </c>
      <c r="AB771" s="5">
        <v>25</v>
      </c>
      <c r="AC771" s="2" t="s">
        <v>3291</v>
      </c>
      <c r="AD771" s="4">
        <v>127</v>
      </c>
      <c r="AE771" s="4">
        <v>358</v>
      </c>
      <c r="AF771" s="6">
        <v>73</v>
      </c>
      <c r="AG771" s="6"/>
      <c r="AH771" s="7">
        <v>1</v>
      </c>
      <c r="AI771" s="4"/>
      <c r="AJ771" s="4">
        <f>=ROUNDDOWN({0},0)</f>
      </c>
      <c r="AK771" s="5"/>
      <c r="AL771" s="2" t="s">
        <v>235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235</v>
      </c>
      <c r="AW771" s="8" t="s">
        <v>235</v>
      </c>
      <c r="AX771" s="4" t="s">
        <v>235</v>
      </c>
      <c r="AY771" s="8" t="s">
        <v>235</v>
      </c>
      <c r="AZ771" s="7" t="s">
        <v>235</v>
      </c>
      <c r="BA771" s="7" t="s">
        <v>235</v>
      </c>
      <c r="BB771" s="7"/>
      <c r="BC771" s="4" t="s">
        <v>235</v>
      </c>
      <c r="BD771" s="8" t="s">
        <v>235</v>
      </c>
      <c r="BE771" s="4" t="s">
        <v>235</v>
      </c>
      <c r="BF771" s="8" t="s">
        <v>235</v>
      </c>
      <c r="BG771" s="7" t="s">
        <v>235</v>
      </c>
      <c r="BH771" s="7" t="s">
        <v>235</v>
      </c>
      <c r="BI771" s="7"/>
      <c r="BJ771" s="4">
        <v>22</v>
      </c>
      <c r="BK771" s="8">
        <v>659.06</v>
      </c>
      <c r="BL771" s="2" t="s">
        <v>3292</v>
      </c>
      <c r="BM771" s="7"/>
      <c r="BN771" s="7"/>
      <c r="BO771" s="4"/>
      <c r="BP771" s="8"/>
      <c r="BQ771" s="4"/>
      <c r="BR771" s="8"/>
      <c r="BS771" s="7"/>
      <c r="BT771" s="7"/>
      <c r="BU771" s="2" t="s">
        <v>3105</v>
      </c>
      <c r="BV771" s="2" t="s">
        <v>243</v>
      </c>
      <c r="BW771" s="2" t="s">
        <v>235</v>
      </c>
      <c r="BX771" s="2" t="s">
        <v>383</v>
      </c>
      <c r="BY771" s="2" t="s">
        <v>245</v>
      </c>
      <c r="BZ771" s="2" t="s">
        <v>232</v>
      </c>
      <c r="CA771" s="2" t="s">
        <v>3110</v>
      </c>
      <c r="CB771" s="2" t="s">
        <v>3293</v>
      </c>
      <c r="CC771" s="2" t="s">
        <v>248</v>
      </c>
      <c r="CD771" s="2" t="s">
        <v>248</v>
      </c>
      <c r="CE771" s="2" t="s">
        <v>235</v>
      </c>
      <c r="CF771" s="4">
        <v>610</v>
      </c>
      <c r="CG771" s="4">
        <v>184</v>
      </c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>
        <v>127</v>
      </c>
      <c r="EK771" s="4"/>
      <c r="EL771" s="4"/>
      <c r="EM771" s="4"/>
      <c r="EN771" s="4"/>
      <c r="EO771" s="4"/>
      <c r="EP771" s="4"/>
      <c r="EQ771" s="4">
        <v>231</v>
      </c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>
        <v>817</v>
      </c>
      <c r="GE771" s="4">
        <v>803</v>
      </c>
      <c r="GF771" s="4">
        <v>786</v>
      </c>
      <c r="GG771" s="4">
        <v>753</v>
      </c>
      <c r="GH771" s="4">
        <v>713</v>
      </c>
      <c r="GI771" s="4">
        <v>650</v>
      </c>
      <c r="GJ771" s="4">
        <v>531</v>
      </c>
      <c r="GK771" s="4">
        <v>472</v>
      </c>
      <c r="GL771" s="4">
        <v>415</v>
      </c>
      <c r="GM771" s="4">
        <v>503</v>
      </c>
      <c r="GN771" s="4">
        <v>700</v>
      </c>
      <c r="GO771" s="4">
        <v>659</v>
      </c>
      <c r="GP771" s="4">
        <v>617</v>
      </c>
      <c r="GQ771" s="4">
        <v>560</v>
      </c>
      <c r="GR771" s="4">
        <v>529</v>
      </c>
      <c r="GS771" s="4">
        <v>496</v>
      </c>
      <c r="GT771" s="4">
        <v>470</v>
      </c>
      <c r="GU771" s="4">
        <v>448</v>
      </c>
      <c r="GV771" s="4">
        <v>424</v>
      </c>
      <c r="GW771" s="4">
        <v>407</v>
      </c>
      <c r="GX771" s="4">
        <v>392</v>
      </c>
      <c r="GY771" s="4">
        <v>379</v>
      </c>
      <c r="GZ771" s="4">
        <v>365</v>
      </c>
      <c r="HA771" s="4">
        <v>351</v>
      </c>
      <c r="HB771" s="4">
        <v>337</v>
      </c>
      <c r="HC771" s="4">
        <v>323</v>
      </c>
      <c r="HD771" s="19">
        <v>31.4</v>
      </c>
      <c r="HE771" s="19">
        <v>21.1</v>
      </c>
      <c r="HF771" s="19">
        <v>12.3</v>
      </c>
      <c r="HG771" s="19">
        <v>10.8</v>
      </c>
      <c r="HH771" s="19">
        <v>9.6</v>
      </c>
      <c r="HI771" s="19">
        <v>9.6</v>
      </c>
      <c r="HJ771" s="19">
        <v>11.3</v>
      </c>
      <c r="HK771" s="19">
        <v>11</v>
      </c>
      <c r="HL771" s="19">
        <v>10.6</v>
      </c>
      <c r="HM771" s="19">
        <v>11.4</v>
      </c>
      <c r="HN771" s="19">
        <v>16.3</v>
      </c>
      <c r="HO771" s="19">
        <v>16.1</v>
      </c>
      <c r="HP771" s="19">
        <v>16.7</v>
      </c>
      <c r="HQ771" s="19">
        <v>20</v>
      </c>
      <c r="HR771" s="19">
        <v>20.3</v>
      </c>
      <c r="HS771" s="19">
        <v>22.5</v>
      </c>
      <c r="HT771" s="19">
        <v>23.5</v>
      </c>
      <c r="HU771" s="19">
        <v>26.4</v>
      </c>
      <c r="HV771" s="19">
        <v>28.3</v>
      </c>
      <c r="HW771" s="19">
        <v>29.1</v>
      </c>
      <c r="HX771" s="19">
        <v>28</v>
      </c>
      <c r="HY771" s="19">
        <v>27.1</v>
      </c>
      <c r="HZ771" s="19">
        <v>26.1</v>
      </c>
      <c r="IA771" s="19">
        <v>25.1</v>
      </c>
      <c r="IB771" s="19">
        <v>25.9</v>
      </c>
      <c r="IC771" s="19">
        <v>26.9</v>
      </c>
    </row>
    <row r="772">
      <c r="A772" s="2" t="s">
        <v>3294</v>
      </c>
      <c r="B772" s="2" t="s">
        <v>323</v>
      </c>
      <c r="C772" s="2" t="s">
        <v>1036</v>
      </c>
      <c r="D772" s="2" t="s">
        <v>257</v>
      </c>
      <c r="E772" s="2" t="s">
        <v>258</v>
      </c>
      <c r="F772" s="2" t="s">
        <v>3098</v>
      </c>
      <c r="G772" s="2" t="s">
        <v>3098</v>
      </c>
      <c r="H772" s="2" t="s">
        <v>3098</v>
      </c>
      <c r="I772" s="2" t="s">
        <v>3099</v>
      </c>
      <c r="J772" s="2" t="s">
        <v>394</v>
      </c>
      <c r="K772" s="2" t="s">
        <v>3295</v>
      </c>
      <c r="L772" s="3">
        <v>14.89</v>
      </c>
      <c r="M772" s="3">
        <v>15.63</v>
      </c>
      <c r="N772" s="3">
        <v>31.99</v>
      </c>
      <c r="O772" s="2" t="s">
        <v>232</v>
      </c>
      <c r="P772" s="2" t="s">
        <v>336</v>
      </c>
      <c r="Q772" s="2" t="s">
        <v>234</v>
      </c>
      <c r="R772" s="2" t="s">
        <v>235</v>
      </c>
      <c r="S772" s="2" t="s">
        <v>3296</v>
      </c>
      <c r="T772" s="2" t="s">
        <v>2908</v>
      </c>
      <c r="U772" s="2" t="s">
        <v>235</v>
      </c>
      <c r="V772" s="2" t="s">
        <v>238</v>
      </c>
      <c r="W772" s="2" t="s">
        <v>239</v>
      </c>
      <c r="X772" s="2" t="s">
        <v>235</v>
      </c>
      <c r="Y772" s="2" t="s">
        <v>240</v>
      </c>
      <c r="Z772" s="4">
        <v>905</v>
      </c>
      <c r="AA772" s="4">
        <f>=ROUNDDOWN(18.1,0)</f>
      </c>
      <c r="AB772" s="5">
        <v>50</v>
      </c>
      <c r="AC772" s="2" t="s">
        <v>168</v>
      </c>
      <c r="AD772" s="4">
        <v>358</v>
      </c>
      <c r="AE772" s="4">
        <v>565</v>
      </c>
      <c r="AF772" s="6">
        <v>73</v>
      </c>
      <c r="AG772" s="6"/>
      <c r="AH772" s="7">
        <v>1</v>
      </c>
      <c r="AI772" s="4"/>
      <c r="AJ772" s="4">
        <f>=ROUNDDOWN({0},0)</f>
      </c>
      <c r="AK772" s="5"/>
      <c r="AL772" s="2" t="s">
        <v>235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235</v>
      </c>
      <c r="AW772" s="8" t="s">
        <v>235</v>
      </c>
      <c r="AX772" s="4" t="s">
        <v>235</v>
      </c>
      <c r="AY772" s="8" t="s">
        <v>235</v>
      </c>
      <c r="AZ772" s="7" t="s">
        <v>235</v>
      </c>
      <c r="BA772" s="7" t="s">
        <v>235</v>
      </c>
      <c r="BB772" s="7"/>
      <c r="BC772" s="4" t="s">
        <v>235</v>
      </c>
      <c r="BD772" s="8" t="s">
        <v>235</v>
      </c>
      <c r="BE772" s="4" t="s">
        <v>235</v>
      </c>
      <c r="BF772" s="8" t="s">
        <v>235</v>
      </c>
      <c r="BG772" s="7" t="s">
        <v>235</v>
      </c>
      <c r="BH772" s="7" t="s">
        <v>235</v>
      </c>
      <c r="BI772" s="7"/>
      <c r="BJ772" s="4">
        <v>219</v>
      </c>
      <c r="BK772" s="8">
        <v>3464.32</v>
      </c>
      <c r="BL772" s="2" t="s">
        <v>3297</v>
      </c>
      <c r="BM772" s="7"/>
      <c r="BN772" s="7"/>
      <c r="BO772" s="4"/>
      <c r="BP772" s="8"/>
      <c r="BQ772" s="4"/>
      <c r="BR772" s="8"/>
      <c r="BS772" s="7"/>
      <c r="BT772" s="7"/>
      <c r="BU772" s="2" t="s">
        <v>3105</v>
      </c>
      <c r="BV772" s="2" t="s">
        <v>243</v>
      </c>
      <c r="BW772" s="2" t="s">
        <v>235</v>
      </c>
      <c r="BX772" s="2" t="s">
        <v>383</v>
      </c>
      <c r="BY772" s="2" t="s">
        <v>245</v>
      </c>
      <c r="BZ772" s="2" t="s">
        <v>232</v>
      </c>
      <c r="CA772" s="2" t="s">
        <v>3201</v>
      </c>
      <c r="CB772" s="2" t="s">
        <v>3298</v>
      </c>
      <c r="CC772" s="2" t="s">
        <v>248</v>
      </c>
      <c r="CD772" s="2" t="s">
        <v>248</v>
      </c>
      <c r="CE772" s="2" t="s">
        <v>235</v>
      </c>
      <c r="CF772" s="4">
        <v>742</v>
      </c>
      <c r="CG772" s="4">
        <v>163</v>
      </c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>
        <v>358</v>
      </c>
      <c r="ED772" s="4"/>
      <c r="EE772" s="4"/>
      <c r="EF772" s="4"/>
      <c r="EG772" s="4"/>
      <c r="EH772" s="4"/>
      <c r="EI772" s="4"/>
      <c r="EJ772" s="4">
        <v>207</v>
      </c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>
        <v>996</v>
      </c>
      <c r="GE772" s="4">
        <v>936</v>
      </c>
      <c r="GF772" s="4">
        <v>933</v>
      </c>
      <c r="GG772" s="4">
        <v>930</v>
      </c>
      <c r="GH772" s="4">
        <v>837</v>
      </c>
      <c r="GI772" s="4">
        <v>692</v>
      </c>
      <c r="GJ772" s="4">
        <v>408</v>
      </c>
      <c r="GK772" s="4">
        <v>630</v>
      </c>
      <c r="GL772" s="4">
        <v>499</v>
      </c>
      <c r="GM772" s="4">
        <v>620</v>
      </c>
      <c r="GN772" s="4">
        <v>553</v>
      </c>
      <c r="GO772" s="4">
        <v>475</v>
      </c>
      <c r="GP772" s="4">
        <v>409</v>
      </c>
      <c r="GQ772" s="4">
        <v>342</v>
      </c>
      <c r="GR772" s="4">
        <v>300</v>
      </c>
      <c r="GS772" s="4">
        <v>254</v>
      </c>
      <c r="GT772" s="4">
        <v>213</v>
      </c>
      <c r="GU772" s="4">
        <v>174</v>
      </c>
      <c r="GV772" s="4">
        <v>134</v>
      </c>
      <c r="GW772" s="4">
        <v>105</v>
      </c>
      <c r="GX772" s="4">
        <v>670</v>
      </c>
      <c r="GY772" s="4">
        <v>644</v>
      </c>
      <c r="GZ772" s="4">
        <v>617</v>
      </c>
      <c r="HA772" s="4">
        <v>590</v>
      </c>
      <c r="HB772" s="4">
        <v>563</v>
      </c>
      <c r="HC772" s="4">
        <v>536</v>
      </c>
      <c r="HD772" s="19">
        <v>24.9</v>
      </c>
      <c r="HE772" s="19">
        <v>15.3</v>
      </c>
      <c r="HF772" s="19">
        <v>7.1</v>
      </c>
      <c r="HG772" s="19">
        <v>5.7</v>
      </c>
      <c r="HH772" s="19">
        <v>4.8</v>
      </c>
      <c r="HI772" s="19">
        <v>4.4</v>
      </c>
      <c r="HJ772" s="19">
        <v>3.9</v>
      </c>
      <c r="HK772" s="19">
        <v>7</v>
      </c>
      <c r="HL772" s="19">
        <v>6.7</v>
      </c>
      <c r="HM772" s="19">
        <v>8.9</v>
      </c>
      <c r="HN772" s="19">
        <v>8.8</v>
      </c>
      <c r="HO772" s="19">
        <v>8.6</v>
      </c>
      <c r="HP772" s="19">
        <v>8.3</v>
      </c>
      <c r="HQ772" s="19">
        <v>8.1</v>
      </c>
      <c r="HR772" s="19">
        <v>7.1</v>
      </c>
      <c r="HS772" s="19">
        <v>6.9</v>
      </c>
      <c r="HT772" s="19">
        <v>6.3</v>
      </c>
      <c r="HU772" s="19">
        <v>5.8</v>
      </c>
      <c r="HV772" s="19">
        <v>5</v>
      </c>
      <c r="HW772" s="19">
        <v>3.9</v>
      </c>
      <c r="HX772" s="19">
        <v>24.8</v>
      </c>
      <c r="HY772" s="19">
        <v>23.9</v>
      </c>
      <c r="HZ772" s="19">
        <v>22.9</v>
      </c>
      <c r="IA772" s="19">
        <v>22.7</v>
      </c>
      <c r="IB772" s="19">
        <v>22.5</v>
      </c>
      <c r="IC772" s="19">
        <v>22.3</v>
      </c>
    </row>
    <row r="773">
      <c r="A773" s="2" t="s">
        <v>3299</v>
      </c>
      <c r="B773" s="2" t="s">
        <v>323</v>
      </c>
      <c r="C773" s="2" t="s">
        <v>1036</v>
      </c>
      <c r="D773" s="2" t="s">
        <v>257</v>
      </c>
      <c r="E773" s="2" t="s">
        <v>258</v>
      </c>
      <c r="F773" s="2" t="s">
        <v>3098</v>
      </c>
      <c r="G773" s="2" t="s">
        <v>3098</v>
      </c>
      <c r="H773" s="2" t="s">
        <v>3098</v>
      </c>
      <c r="I773" s="2" t="s">
        <v>3099</v>
      </c>
      <c r="J773" s="2" t="s">
        <v>250</v>
      </c>
      <c r="K773" s="2" t="s">
        <v>3295</v>
      </c>
      <c r="L773" s="3">
        <v>22.4</v>
      </c>
      <c r="M773" s="3">
        <v>23.52</v>
      </c>
      <c r="N773" s="3">
        <v>44.99</v>
      </c>
      <c r="O773" s="2" t="s">
        <v>232</v>
      </c>
      <c r="P773" s="2" t="s">
        <v>233</v>
      </c>
      <c r="Q773" s="2" t="s">
        <v>234</v>
      </c>
      <c r="R773" s="2" t="s">
        <v>235</v>
      </c>
      <c r="S773" s="2" t="s">
        <v>3296</v>
      </c>
      <c r="T773" s="2" t="s">
        <v>2908</v>
      </c>
      <c r="U773" s="2" t="s">
        <v>235</v>
      </c>
      <c r="V773" s="2" t="s">
        <v>238</v>
      </c>
      <c r="W773" s="2" t="s">
        <v>239</v>
      </c>
      <c r="X773" s="2" t="s">
        <v>235</v>
      </c>
      <c r="Y773" s="2" t="s">
        <v>240</v>
      </c>
      <c r="Z773" s="4">
        <v>870</v>
      </c>
      <c r="AA773" s="4">
        <f>=ROUNDDOWN(39.5454545454545,0)</f>
      </c>
      <c r="AB773" s="5">
        <v>22</v>
      </c>
      <c r="AC773" s="2" t="s">
        <v>168</v>
      </c>
      <c r="AD773" s="4">
        <v>126</v>
      </c>
      <c r="AE773" s="4">
        <v>247</v>
      </c>
      <c r="AF773" s="6">
        <v>73</v>
      </c>
      <c r="AG773" s="6"/>
      <c r="AH773" s="7">
        <v>1</v>
      </c>
      <c r="AI773" s="4"/>
      <c r="AJ773" s="4">
        <f>=ROUNDDOWN({0},0)</f>
      </c>
      <c r="AK773" s="5"/>
      <c r="AL773" s="2" t="s">
        <v>235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235</v>
      </c>
      <c r="AW773" s="8" t="s">
        <v>235</v>
      </c>
      <c r="AX773" s="4" t="s">
        <v>235</v>
      </c>
      <c r="AY773" s="8" t="s">
        <v>235</v>
      </c>
      <c r="AZ773" s="7" t="s">
        <v>235</v>
      </c>
      <c r="BA773" s="7" t="s">
        <v>235</v>
      </c>
      <c r="BB773" s="7"/>
      <c r="BC773" s="4" t="s">
        <v>235</v>
      </c>
      <c r="BD773" s="8" t="s">
        <v>235</v>
      </c>
      <c r="BE773" s="4" t="s">
        <v>235</v>
      </c>
      <c r="BF773" s="8" t="s">
        <v>235</v>
      </c>
      <c r="BG773" s="7" t="s">
        <v>235</v>
      </c>
      <c r="BH773" s="7" t="s">
        <v>235</v>
      </c>
      <c r="BI773" s="7"/>
      <c r="BJ773" s="4">
        <v>44</v>
      </c>
      <c r="BK773" s="8">
        <v>952.03</v>
      </c>
      <c r="BL773" s="2" t="s">
        <v>3300</v>
      </c>
      <c r="BM773" s="7"/>
      <c r="BN773" s="7"/>
      <c r="BO773" s="4"/>
      <c r="BP773" s="8"/>
      <c r="BQ773" s="4"/>
      <c r="BR773" s="8"/>
      <c r="BS773" s="7"/>
      <c r="BT773" s="7"/>
      <c r="BU773" s="2" t="s">
        <v>3105</v>
      </c>
      <c r="BV773" s="2" t="s">
        <v>243</v>
      </c>
      <c r="BW773" s="2" t="s">
        <v>235</v>
      </c>
      <c r="BX773" s="2" t="s">
        <v>383</v>
      </c>
      <c r="BY773" s="2" t="s">
        <v>245</v>
      </c>
      <c r="BZ773" s="2" t="s">
        <v>232</v>
      </c>
      <c r="CA773" s="2" t="s">
        <v>3201</v>
      </c>
      <c r="CB773" s="2" t="s">
        <v>3301</v>
      </c>
      <c r="CC773" s="2" t="s">
        <v>248</v>
      </c>
      <c r="CD773" s="2" t="s">
        <v>248</v>
      </c>
      <c r="CE773" s="2" t="s">
        <v>235</v>
      </c>
      <c r="CF773" s="4">
        <v>183</v>
      </c>
      <c r="CG773" s="4">
        <v>687</v>
      </c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>
        <v>126</v>
      </c>
      <c r="ED773" s="4"/>
      <c r="EE773" s="4"/>
      <c r="EF773" s="4"/>
      <c r="EG773" s="4"/>
      <c r="EH773" s="4"/>
      <c r="EI773" s="4"/>
      <c r="EJ773" s="4">
        <v>121</v>
      </c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>
        <v>915</v>
      </c>
      <c r="GE773" s="4">
        <v>872</v>
      </c>
      <c r="GF773" s="4">
        <v>869</v>
      </c>
      <c r="GG773" s="4">
        <v>866</v>
      </c>
      <c r="GH773" s="4">
        <v>859</v>
      </c>
      <c r="GI773" s="4">
        <v>801</v>
      </c>
      <c r="GJ773" s="4">
        <v>691</v>
      </c>
      <c r="GK773" s="4">
        <v>763</v>
      </c>
      <c r="GL773" s="4">
        <v>710</v>
      </c>
      <c r="GM773" s="4">
        <v>795</v>
      </c>
      <c r="GN773" s="4">
        <v>765</v>
      </c>
      <c r="GO773" s="4">
        <v>729</v>
      </c>
      <c r="GP773" s="4">
        <v>694</v>
      </c>
      <c r="GQ773" s="4">
        <v>649</v>
      </c>
      <c r="GR773" s="4">
        <v>624</v>
      </c>
      <c r="GS773" s="4">
        <v>598</v>
      </c>
      <c r="GT773" s="4">
        <v>577</v>
      </c>
      <c r="GU773" s="4">
        <v>558</v>
      </c>
      <c r="GV773" s="4">
        <v>538</v>
      </c>
      <c r="GW773" s="4">
        <v>523</v>
      </c>
      <c r="GX773" s="4">
        <v>510</v>
      </c>
      <c r="GY773" s="4">
        <v>498</v>
      </c>
      <c r="GZ773" s="4">
        <v>485</v>
      </c>
      <c r="HA773" s="4">
        <v>472</v>
      </c>
      <c r="HB773" s="4">
        <v>459</v>
      </c>
      <c r="HC773" s="4">
        <v>446</v>
      </c>
      <c r="HD773" s="19">
        <v>65.4</v>
      </c>
      <c r="HE773" s="19">
        <v>48.4</v>
      </c>
      <c r="HF773" s="19">
        <v>19.8</v>
      </c>
      <c r="HG773" s="19">
        <v>15.2</v>
      </c>
      <c r="HH773" s="19">
        <v>12.4</v>
      </c>
      <c r="HI773" s="19">
        <v>12.7</v>
      </c>
      <c r="HJ773" s="19">
        <v>16.1</v>
      </c>
      <c r="HK773" s="19">
        <v>19.6</v>
      </c>
      <c r="HL773" s="19">
        <v>20.9</v>
      </c>
      <c r="HM773" s="19">
        <v>22.1</v>
      </c>
      <c r="HN773" s="19">
        <v>21.9</v>
      </c>
      <c r="HO773" s="19">
        <v>22.1</v>
      </c>
      <c r="HP773" s="19">
        <v>23.9</v>
      </c>
      <c r="HQ773" s="19">
        <v>28.2</v>
      </c>
      <c r="HR773" s="19">
        <v>28.4</v>
      </c>
      <c r="HS773" s="19">
        <v>31.5</v>
      </c>
      <c r="HT773" s="19">
        <v>33.9</v>
      </c>
      <c r="HU773" s="19">
        <v>37.2</v>
      </c>
      <c r="HV773" s="19">
        <v>41.4</v>
      </c>
      <c r="HW773" s="19">
        <v>40.2</v>
      </c>
      <c r="HX773" s="19">
        <v>39.2</v>
      </c>
      <c r="HY773" s="19">
        <v>38.3</v>
      </c>
      <c r="HZ773" s="19">
        <v>37.3</v>
      </c>
      <c r="IA773" s="19">
        <v>39.3</v>
      </c>
      <c r="IB773" s="19">
        <v>38.3</v>
      </c>
      <c r="IC773" s="19">
        <v>40.5</v>
      </c>
    </row>
    <row r="774">
      <c r="A774" s="2" t="s">
        <v>3302</v>
      </c>
      <c r="B774" s="2" t="s">
        <v>323</v>
      </c>
      <c r="C774" s="2" t="s">
        <v>1036</v>
      </c>
      <c r="D774" s="2" t="s">
        <v>257</v>
      </c>
      <c r="E774" s="2" t="s">
        <v>258</v>
      </c>
      <c r="F774" s="2" t="s">
        <v>3098</v>
      </c>
      <c r="G774" s="2" t="s">
        <v>3098</v>
      </c>
      <c r="H774" s="2" t="s">
        <v>3098</v>
      </c>
      <c r="I774" s="2" t="s">
        <v>3099</v>
      </c>
      <c r="J774" s="2" t="s">
        <v>270</v>
      </c>
      <c r="K774" s="2" t="s">
        <v>3295</v>
      </c>
      <c r="L774" s="3">
        <v>27.39</v>
      </c>
      <c r="M774" s="3">
        <v>28.76</v>
      </c>
      <c r="N774" s="3">
        <v>62.99</v>
      </c>
      <c r="O774" s="2" t="s">
        <v>232</v>
      </c>
      <c r="P774" s="2" t="s">
        <v>233</v>
      </c>
      <c r="Q774" s="2" t="s">
        <v>234</v>
      </c>
      <c r="R774" s="2" t="s">
        <v>235</v>
      </c>
      <c r="S774" s="2" t="s">
        <v>3296</v>
      </c>
      <c r="T774" s="2" t="s">
        <v>2908</v>
      </c>
      <c r="U774" s="2" t="s">
        <v>235</v>
      </c>
      <c r="V774" s="2" t="s">
        <v>238</v>
      </c>
      <c r="W774" s="2" t="s">
        <v>239</v>
      </c>
      <c r="X774" s="2" t="s">
        <v>235</v>
      </c>
      <c r="Y774" s="2" t="s">
        <v>240</v>
      </c>
      <c r="Z774" s="4">
        <v>497</v>
      </c>
      <c r="AA774" s="4">
        <f>=ROUNDDOWN(82.8333333333333,0)</f>
      </c>
      <c r="AB774" s="5">
        <v>6</v>
      </c>
      <c r="AC774" s="2" t="s">
        <v>235</v>
      </c>
      <c r="AD774" s="4"/>
      <c r="AE774" s="4"/>
      <c r="AF774" s="6">
        <v>73</v>
      </c>
      <c r="AG774" s="6"/>
      <c r="AH774" s="7">
        <v>1</v>
      </c>
      <c r="AI774" s="4"/>
      <c r="AJ774" s="4">
        <f>=ROUNDDOWN({0},0)</f>
      </c>
      <c r="AK774" s="5"/>
      <c r="AL774" s="2" t="s">
        <v>235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235</v>
      </c>
      <c r="AW774" s="8" t="s">
        <v>235</v>
      </c>
      <c r="AX774" s="4" t="s">
        <v>235</v>
      </c>
      <c r="AY774" s="8" t="s">
        <v>235</v>
      </c>
      <c r="AZ774" s="7" t="s">
        <v>235</v>
      </c>
      <c r="BA774" s="7" t="s">
        <v>235</v>
      </c>
      <c r="BB774" s="7"/>
      <c r="BC774" s="4" t="s">
        <v>235</v>
      </c>
      <c r="BD774" s="8" t="s">
        <v>235</v>
      </c>
      <c r="BE774" s="4" t="s">
        <v>235</v>
      </c>
      <c r="BF774" s="8" t="s">
        <v>235</v>
      </c>
      <c r="BG774" s="7" t="s">
        <v>235</v>
      </c>
      <c r="BH774" s="7" t="s">
        <v>235</v>
      </c>
      <c r="BI774" s="7"/>
      <c r="BJ774" s="4">
        <v>8</v>
      </c>
      <c r="BK774" s="8">
        <v>235.9</v>
      </c>
      <c r="BL774" s="2" t="s">
        <v>3303</v>
      </c>
      <c r="BM774" s="7"/>
      <c r="BN774" s="7"/>
      <c r="BO774" s="4"/>
      <c r="BP774" s="8"/>
      <c r="BQ774" s="4"/>
      <c r="BR774" s="8"/>
      <c r="BS774" s="7"/>
      <c r="BT774" s="7"/>
      <c r="BU774" s="2" t="s">
        <v>3105</v>
      </c>
      <c r="BV774" s="2" t="s">
        <v>243</v>
      </c>
      <c r="BW774" s="2" t="s">
        <v>235</v>
      </c>
      <c r="BX774" s="2" t="s">
        <v>383</v>
      </c>
      <c r="BY774" s="2" t="s">
        <v>245</v>
      </c>
      <c r="BZ774" s="2" t="s">
        <v>232</v>
      </c>
      <c r="CA774" s="2" t="s">
        <v>3201</v>
      </c>
      <c r="CB774" s="2" t="s">
        <v>3304</v>
      </c>
      <c r="CC774" s="2" t="s">
        <v>248</v>
      </c>
      <c r="CD774" s="2" t="s">
        <v>248</v>
      </c>
      <c r="CE774" s="2" t="s">
        <v>235</v>
      </c>
      <c r="CF774" s="4">
        <v>264</v>
      </c>
      <c r="CG774" s="4">
        <v>233</v>
      </c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>
        <v>504</v>
      </c>
      <c r="GE774" s="4">
        <v>495</v>
      </c>
      <c r="GF774" s="4">
        <v>490</v>
      </c>
      <c r="GG774" s="4">
        <v>483</v>
      </c>
      <c r="GH774" s="4">
        <v>475</v>
      </c>
      <c r="GI774" s="4">
        <v>463</v>
      </c>
      <c r="GJ774" s="4">
        <v>441</v>
      </c>
      <c r="GK774" s="4">
        <v>429</v>
      </c>
      <c r="GL774" s="4">
        <v>418</v>
      </c>
      <c r="GM774" s="4">
        <v>410</v>
      </c>
      <c r="GN774" s="4">
        <v>401</v>
      </c>
      <c r="GO774" s="4">
        <v>390</v>
      </c>
      <c r="GP774" s="4">
        <v>378</v>
      </c>
      <c r="GQ774" s="4">
        <v>357</v>
      </c>
      <c r="GR774" s="4">
        <v>346</v>
      </c>
      <c r="GS774" s="4">
        <v>336</v>
      </c>
      <c r="GT774" s="4">
        <v>329</v>
      </c>
      <c r="GU774" s="4">
        <v>323</v>
      </c>
      <c r="GV774" s="4">
        <v>316</v>
      </c>
      <c r="GW774" s="4">
        <v>311</v>
      </c>
      <c r="GX774" s="4">
        <v>307</v>
      </c>
      <c r="GY774" s="4">
        <v>303</v>
      </c>
      <c r="GZ774" s="4">
        <v>299</v>
      </c>
      <c r="HA774" s="4">
        <v>295</v>
      </c>
      <c r="HB774" s="4">
        <v>291</v>
      </c>
      <c r="HC774" s="4">
        <v>287</v>
      </c>
      <c r="HD774" s="19">
        <v>72</v>
      </c>
      <c r="HE774" s="19">
        <v>61.9</v>
      </c>
      <c r="HF774" s="19">
        <v>40.8</v>
      </c>
      <c r="HG774" s="19">
        <v>34.5</v>
      </c>
      <c r="HH774" s="19">
        <v>33.9</v>
      </c>
      <c r="HI774" s="19">
        <v>35.6</v>
      </c>
      <c r="HJ774" s="19">
        <v>44.1</v>
      </c>
      <c r="HK774" s="19">
        <v>42.9</v>
      </c>
      <c r="HL774" s="19">
        <v>41.8</v>
      </c>
      <c r="HM774" s="19">
        <v>31.5</v>
      </c>
      <c r="HN774" s="19">
        <v>28.6</v>
      </c>
      <c r="HO774" s="19">
        <v>27.9</v>
      </c>
      <c r="HP774" s="19">
        <v>31.5</v>
      </c>
      <c r="HQ774" s="19">
        <v>44.6</v>
      </c>
      <c r="HR774" s="19">
        <v>43.3</v>
      </c>
      <c r="HS774" s="19">
        <v>56</v>
      </c>
      <c r="HT774" s="19">
        <v>54.8</v>
      </c>
      <c r="HU774" s="19">
        <v>64.6</v>
      </c>
      <c r="HV774" s="19">
        <v>79</v>
      </c>
      <c r="HW774" s="19">
        <v>77.8</v>
      </c>
      <c r="HX774" s="19">
        <v>76.8</v>
      </c>
      <c r="HY774" s="19">
        <v>75.8</v>
      </c>
      <c r="HZ774" s="19">
        <v>74.8</v>
      </c>
      <c r="IA774" s="19">
        <v>73.8</v>
      </c>
      <c r="IB774" s="19">
        <v>72.8</v>
      </c>
      <c r="IC774" s="19">
        <v>71.8</v>
      </c>
    </row>
    <row r="775">
      <c r="A775" s="2" t="s">
        <v>3305</v>
      </c>
      <c r="B775" s="2" t="s">
        <v>323</v>
      </c>
      <c r="C775" s="2" t="s">
        <v>1036</v>
      </c>
      <c r="D775" s="2" t="s">
        <v>257</v>
      </c>
      <c r="E775" s="2" t="s">
        <v>258</v>
      </c>
      <c r="F775" s="2" t="s">
        <v>3098</v>
      </c>
      <c r="G775" s="2" t="s">
        <v>3098</v>
      </c>
      <c r="H775" s="2" t="s">
        <v>3098</v>
      </c>
      <c r="I775" s="2" t="s">
        <v>3099</v>
      </c>
      <c r="J775" s="2" t="s">
        <v>272</v>
      </c>
      <c r="K775" s="2" t="s">
        <v>3295</v>
      </c>
      <c r="L775" s="3">
        <v>27.39</v>
      </c>
      <c r="M775" s="3">
        <v>28.76</v>
      </c>
      <c r="N775" s="3">
        <v>62.99</v>
      </c>
      <c r="O775" s="2" t="s">
        <v>232</v>
      </c>
      <c r="P775" s="2" t="s">
        <v>233</v>
      </c>
      <c r="Q775" s="2" t="s">
        <v>234</v>
      </c>
      <c r="R775" s="2" t="s">
        <v>235</v>
      </c>
      <c r="S775" s="2" t="s">
        <v>3296</v>
      </c>
      <c r="T775" s="2" t="s">
        <v>2908</v>
      </c>
      <c r="U775" s="2" t="s">
        <v>235</v>
      </c>
      <c r="V775" s="2" t="s">
        <v>238</v>
      </c>
      <c r="W775" s="2" t="s">
        <v>239</v>
      </c>
      <c r="X775" s="2" t="s">
        <v>235</v>
      </c>
      <c r="Y775" s="2" t="s">
        <v>240</v>
      </c>
      <c r="Z775" s="4">
        <v>265</v>
      </c>
      <c r="AA775" s="4">
        <f>=ROUNDDOWN(37.8571428571429,0)</f>
      </c>
      <c r="AB775" s="5">
        <v>7</v>
      </c>
      <c r="AC775" s="2" t="s">
        <v>235</v>
      </c>
      <c r="AD775" s="4"/>
      <c r="AE775" s="4"/>
      <c r="AF775" s="6">
        <v>73</v>
      </c>
      <c r="AG775" s="6"/>
      <c r="AH775" s="7">
        <v>1</v>
      </c>
      <c r="AI775" s="4"/>
      <c r="AJ775" s="4">
        <f>=ROUNDDOWN({0},0)</f>
      </c>
      <c r="AK775" s="5"/>
      <c r="AL775" s="2" t="s">
        <v>235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235</v>
      </c>
      <c r="AW775" s="8" t="s">
        <v>235</v>
      </c>
      <c r="AX775" s="4" t="s">
        <v>235</v>
      </c>
      <c r="AY775" s="8" t="s">
        <v>235</v>
      </c>
      <c r="AZ775" s="7" t="s">
        <v>235</v>
      </c>
      <c r="BA775" s="7" t="s">
        <v>235</v>
      </c>
      <c r="BB775" s="7"/>
      <c r="BC775" s="4" t="s">
        <v>235</v>
      </c>
      <c r="BD775" s="8" t="s">
        <v>235</v>
      </c>
      <c r="BE775" s="4" t="s">
        <v>235</v>
      </c>
      <c r="BF775" s="8" t="s">
        <v>235</v>
      </c>
      <c r="BG775" s="7" t="s">
        <v>235</v>
      </c>
      <c r="BH775" s="7" t="s">
        <v>235</v>
      </c>
      <c r="BI775" s="7"/>
      <c r="BJ775" s="4">
        <v>1</v>
      </c>
      <c r="BK775" s="8">
        <v>29.36</v>
      </c>
      <c r="BL775" s="2" t="s">
        <v>3306</v>
      </c>
      <c r="BM775" s="7"/>
      <c r="BN775" s="7"/>
      <c r="BO775" s="4"/>
      <c r="BP775" s="8"/>
      <c r="BQ775" s="4"/>
      <c r="BR775" s="8"/>
      <c r="BS775" s="7"/>
      <c r="BT775" s="7"/>
      <c r="BU775" s="2" t="s">
        <v>3105</v>
      </c>
      <c r="BV775" s="2" t="s">
        <v>243</v>
      </c>
      <c r="BW775" s="2" t="s">
        <v>235</v>
      </c>
      <c r="BX775" s="2" t="s">
        <v>383</v>
      </c>
      <c r="BY775" s="2" t="s">
        <v>245</v>
      </c>
      <c r="BZ775" s="2" t="s">
        <v>232</v>
      </c>
      <c r="CA775" s="2" t="s">
        <v>3201</v>
      </c>
      <c r="CB775" s="2" t="s">
        <v>869</v>
      </c>
      <c r="CC775" s="2" t="s">
        <v>248</v>
      </c>
      <c r="CD775" s="2" t="s">
        <v>248</v>
      </c>
      <c r="CE775" s="2" t="s">
        <v>235</v>
      </c>
      <c r="CF775" s="4">
        <v>171</v>
      </c>
      <c r="CG775" s="4">
        <v>94</v>
      </c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>
        <v>265</v>
      </c>
      <c r="GE775" s="4">
        <v>264</v>
      </c>
      <c r="GF775" s="4">
        <v>263</v>
      </c>
      <c r="GG775" s="4">
        <v>260</v>
      </c>
      <c r="GH775" s="4">
        <v>249</v>
      </c>
      <c r="GI775" s="4">
        <v>231</v>
      </c>
      <c r="GJ775" s="4">
        <v>198</v>
      </c>
      <c r="GK775" s="4">
        <v>181</v>
      </c>
      <c r="GL775" s="4">
        <v>165</v>
      </c>
      <c r="GM775" s="4">
        <v>154</v>
      </c>
      <c r="GN775" s="4">
        <v>144</v>
      </c>
      <c r="GO775" s="4">
        <v>132</v>
      </c>
      <c r="GP775" s="4">
        <v>120</v>
      </c>
      <c r="GQ775" s="4">
        <v>104</v>
      </c>
      <c r="GR775" s="4">
        <v>95</v>
      </c>
      <c r="GS775" s="4">
        <v>85</v>
      </c>
      <c r="GT775" s="4">
        <v>77</v>
      </c>
      <c r="GU775" s="4">
        <v>70</v>
      </c>
      <c r="GV775" s="4">
        <v>63</v>
      </c>
      <c r="GW775" s="4">
        <v>58</v>
      </c>
      <c r="GX775" s="4">
        <v>97</v>
      </c>
      <c r="GY775" s="4">
        <v>93</v>
      </c>
      <c r="GZ775" s="4">
        <v>89</v>
      </c>
      <c r="HA775" s="4">
        <v>85</v>
      </c>
      <c r="HB775" s="4">
        <v>81</v>
      </c>
      <c r="HC775" s="4">
        <v>77</v>
      </c>
      <c r="HD775" s="19">
        <v>66.3</v>
      </c>
      <c r="HE775" s="19">
        <v>33</v>
      </c>
      <c r="HF775" s="19">
        <v>16.4</v>
      </c>
      <c r="HG775" s="19">
        <v>13</v>
      </c>
      <c r="HH775" s="19">
        <v>11.9</v>
      </c>
      <c r="HI775" s="19">
        <v>12.2</v>
      </c>
      <c r="HJ775" s="19">
        <v>14.1</v>
      </c>
      <c r="HK775" s="19">
        <v>15.1</v>
      </c>
      <c r="HL775" s="19">
        <v>15</v>
      </c>
      <c r="HM775" s="19">
        <v>12.8</v>
      </c>
      <c r="HN775" s="19">
        <v>12</v>
      </c>
      <c r="HO775" s="19">
        <v>11</v>
      </c>
      <c r="HP775" s="19">
        <v>10.9</v>
      </c>
      <c r="HQ775" s="19">
        <v>13</v>
      </c>
      <c r="HR775" s="19">
        <v>11.9</v>
      </c>
      <c r="HS775" s="19">
        <v>12.1</v>
      </c>
      <c r="HT775" s="19">
        <v>12.8</v>
      </c>
      <c r="HU775" s="19">
        <v>14</v>
      </c>
      <c r="HV775" s="19">
        <v>15.8</v>
      </c>
      <c r="HW775" s="19">
        <v>14.5</v>
      </c>
      <c r="HX775" s="19">
        <v>24.3</v>
      </c>
      <c r="HY775" s="19">
        <v>23.3</v>
      </c>
      <c r="HZ775" s="19">
        <v>22.3</v>
      </c>
      <c r="IA775" s="19">
        <v>21.3</v>
      </c>
      <c r="IB775" s="19">
        <v>20.3</v>
      </c>
      <c r="IC775" s="19">
        <v>19.3</v>
      </c>
    </row>
    <row r="776">
      <c r="A776" s="2" t="s">
        <v>3307</v>
      </c>
      <c r="B776" s="2" t="s">
        <v>323</v>
      </c>
      <c r="C776" s="2" t="s">
        <v>1036</v>
      </c>
      <c r="D776" s="2" t="s">
        <v>257</v>
      </c>
      <c r="E776" s="2" t="s">
        <v>258</v>
      </c>
      <c r="F776" s="2" t="s">
        <v>3098</v>
      </c>
      <c r="G776" s="2" t="s">
        <v>3098</v>
      </c>
      <c r="H776" s="2" t="s">
        <v>3098</v>
      </c>
      <c r="I776" s="2" t="s">
        <v>2906</v>
      </c>
      <c r="J776" s="2" t="s">
        <v>394</v>
      </c>
      <c r="K776" s="2" t="s">
        <v>3308</v>
      </c>
      <c r="L776" s="3">
        <v>14.89</v>
      </c>
      <c r="M776" s="3">
        <v>15.63</v>
      </c>
      <c r="N776" s="3">
        <v>31.99</v>
      </c>
      <c r="O776" s="2" t="s">
        <v>232</v>
      </c>
      <c r="P776" s="2" t="s">
        <v>878</v>
      </c>
      <c r="Q776" s="2" t="s">
        <v>234</v>
      </c>
      <c r="R776" s="2" t="s">
        <v>235</v>
      </c>
      <c r="S776" s="2" t="s">
        <v>235</v>
      </c>
      <c r="T776" s="2" t="s">
        <v>2908</v>
      </c>
      <c r="U776" s="2" t="s">
        <v>552</v>
      </c>
      <c r="V776" s="2" t="s">
        <v>2182</v>
      </c>
      <c r="W776" s="2" t="s">
        <v>329</v>
      </c>
      <c r="X776" s="2" t="s">
        <v>235</v>
      </c>
      <c r="Y776" s="2" t="s">
        <v>235</v>
      </c>
      <c r="Z776" s="4"/>
      <c r="AA776" s="4">
        <f>=ROUNDDOWN({0},0)</f>
      </c>
      <c r="AB776" s="5"/>
      <c r="AC776" s="2" t="s">
        <v>235</v>
      </c>
      <c r="AD776" s="4"/>
      <c r="AE776" s="4"/>
      <c r="AF776" s="6">
        <v>77</v>
      </c>
      <c r="AG776" s="6"/>
      <c r="AH776" s="7"/>
      <c r="AI776" s="4"/>
      <c r="AJ776" s="4">
        <f>=ROUNDDOWN({0},0)</f>
      </c>
      <c r="AK776" s="5"/>
      <c r="AL776" s="2" t="s">
        <v>235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235</v>
      </c>
      <c r="AW776" s="8" t="s">
        <v>235</v>
      </c>
      <c r="AX776" s="4" t="s">
        <v>235</v>
      </c>
      <c r="AY776" s="8" t="s">
        <v>235</v>
      </c>
      <c r="AZ776" s="7" t="s">
        <v>235</v>
      </c>
      <c r="BA776" s="7" t="s">
        <v>235</v>
      </c>
      <c r="BB776" s="7"/>
      <c r="BC776" s="4" t="s">
        <v>235</v>
      </c>
      <c r="BD776" s="8" t="s">
        <v>235</v>
      </c>
      <c r="BE776" s="4" t="s">
        <v>235</v>
      </c>
      <c r="BF776" s="8" t="s">
        <v>235</v>
      </c>
      <c r="BG776" s="7" t="s">
        <v>235</v>
      </c>
      <c r="BH776" s="7" t="s">
        <v>235</v>
      </c>
      <c r="BI776" s="7"/>
      <c r="BJ776" s="4"/>
      <c r="BK776" s="8"/>
      <c r="BL776" s="2" t="s">
        <v>235</v>
      </c>
      <c r="BM776" s="7"/>
      <c r="BN776" s="7"/>
      <c r="BO776" s="4"/>
      <c r="BP776" s="8"/>
      <c r="BQ776" s="4"/>
      <c r="BR776" s="8"/>
      <c r="BS776" s="7"/>
      <c r="BT776" s="7"/>
      <c r="BU776" s="2" t="s">
        <v>330</v>
      </c>
      <c r="BV776" s="2" t="s">
        <v>235</v>
      </c>
      <c r="BW776" s="2" t="s">
        <v>235</v>
      </c>
      <c r="BX776" s="2" t="s">
        <v>330</v>
      </c>
      <c r="BY776" s="2" t="s">
        <v>331</v>
      </c>
      <c r="BZ776" s="2" t="s">
        <v>232</v>
      </c>
      <c r="CA776" s="2" t="s">
        <v>235</v>
      </c>
      <c r="CB776" s="2" t="s">
        <v>235</v>
      </c>
      <c r="CC776" s="2" t="s">
        <v>248</v>
      </c>
      <c r="CD776" s="2" t="s">
        <v>248</v>
      </c>
      <c r="CE776" s="2" t="s">
        <v>235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</row>
    <row r="777">
      <c r="A777" s="2" t="s">
        <v>3309</v>
      </c>
      <c r="B777" s="2" t="s">
        <v>323</v>
      </c>
      <c r="C777" s="2" t="s">
        <v>1036</v>
      </c>
      <c r="D777" s="2" t="s">
        <v>257</v>
      </c>
      <c r="E777" s="2" t="s">
        <v>258</v>
      </c>
      <c r="F777" s="2" t="s">
        <v>3098</v>
      </c>
      <c r="G777" s="2" t="s">
        <v>3098</v>
      </c>
      <c r="H777" s="2" t="s">
        <v>3098</v>
      </c>
      <c r="I777" s="2" t="s">
        <v>2906</v>
      </c>
      <c r="J777" s="2" t="s">
        <v>230</v>
      </c>
      <c r="K777" s="2" t="s">
        <v>3308</v>
      </c>
      <c r="L777" s="3">
        <v>16.16</v>
      </c>
      <c r="M777" s="3">
        <v>16.97</v>
      </c>
      <c r="N777" s="3">
        <v>34.99</v>
      </c>
      <c r="O777" s="2" t="s">
        <v>232</v>
      </c>
      <c r="P777" s="2" t="s">
        <v>878</v>
      </c>
      <c r="Q777" s="2" t="s">
        <v>234</v>
      </c>
      <c r="R777" s="2" t="s">
        <v>235</v>
      </c>
      <c r="S777" s="2" t="s">
        <v>235</v>
      </c>
      <c r="T777" s="2" t="s">
        <v>2908</v>
      </c>
      <c r="U777" s="2" t="s">
        <v>552</v>
      </c>
      <c r="V777" s="2" t="s">
        <v>2182</v>
      </c>
      <c r="W777" s="2" t="s">
        <v>329</v>
      </c>
      <c r="X777" s="2" t="s">
        <v>235</v>
      </c>
      <c r="Y777" s="2" t="s">
        <v>235</v>
      </c>
      <c r="Z777" s="4"/>
      <c r="AA777" s="4">
        <f>=ROUNDDOWN({0},0)</f>
      </c>
      <c r="AB777" s="5"/>
      <c r="AC777" s="2" t="s">
        <v>235</v>
      </c>
      <c r="AD777" s="4"/>
      <c r="AE777" s="4"/>
      <c r="AF777" s="6">
        <v>77</v>
      </c>
      <c r="AG777" s="6"/>
      <c r="AH777" s="7"/>
      <c r="AI777" s="4"/>
      <c r="AJ777" s="4">
        <f>=ROUNDDOWN({0},0)</f>
      </c>
      <c r="AK777" s="5"/>
      <c r="AL777" s="2" t="s">
        <v>235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235</v>
      </c>
      <c r="AW777" s="8" t="s">
        <v>235</v>
      </c>
      <c r="AX777" s="4" t="s">
        <v>235</v>
      </c>
      <c r="AY777" s="8" t="s">
        <v>235</v>
      </c>
      <c r="AZ777" s="7" t="s">
        <v>235</v>
      </c>
      <c r="BA777" s="7" t="s">
        <v>235</v>
      </c>
      <c r="BB777" s="7"/>
      <c r="BC777" s="4" t="s">
        <v>235</v>
      </c>
      <c r="BD777" s="8" t="s">
        <v>235</v>
      </c>
      <c r="BE777" s="4" t="s">
        <v>235</v>
      </c>
      <c r="BF777" s="8" t="s">
        <v>235</v>
      </c>
      <c r="BG777" s="7" t="s">
        <v>235</v>
      </c>
      <c r="BH777" s="7" t="s">
        <v>235</v>
      </c>
      <c r="BI777" s="7"/>
      <c r="BJ777" s="4"/>
      <c r="BK777" s="8"/>
      <c r="BL777" s="2" t="s">
        <v>235</v>
      </c>
      <c r="BM777" s="7"/>
      <c r="BN777" s="7"/>
      <c r="BO777" s="4"/>
      <c r="BP777" s="8"/>
      <c r="BQ777" s="4"/>
      <c r="BR777" s="8"/>
      <c r="BS777" s="7"/>
      <c r="BT777" s="7"/>
      <c r="BU777" s="2" t="s">
        <v>330</v>
      </c>
      <c r="BV777" s="2" t="s">
        <v>235</v>
      </c>
      <c r="BW777" s="2" t="s">
        <v>235</v>
      </c>
      <c r="BX777" s="2" t="s">
        <v>330</v>
      </c>
      <c r="BY777" s="2" t="s">
        <v>331</v>
      </c>
      <c r="BZ777" s="2" t="s">
        <v>232</v>
      </c>
      <c r="CA777" s="2" t="s">
        <v>235</v>
      </c>
      <c r="CB777" s="2" t="s">
        <v>235</v>
      </c>
      <c r="CC777" s="2" t="s">
        <v>248</v>
      </c>
      <c r="CD777" s="2" t="s">
        <v>248</v>
      </c>
      <c r="CE777" s="2" t="s">
        <v>235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</row>
    <row r="778">
      <c r="A778" s="2" t="s">
        <v>3310</v>
      </c>
      <c r="B778" s="2" t="s">
        <v>323</v>
      </c>
      <c r="C778" s="2" t="s">
        <v>1036</v>
      </c>
      <c r="D778" s="2" t="s">
        <v>257</v>
      </c>
      <c r="E778" s="2" t="s">
        <v>258</v>
      </c>
      <c r="F778" s="2" t="s">
        <v>3098</v>
      </c>
      <c r="G778" s="2" t="s">
        <v>3098</v>
      </c>
      <c r="H778" s="2" t="s">
        <v>3098</v>
      </c>
      <c r="I778" s="2" t="s">
        <v>2906</v>
      </c>
      <c r="J778" s="2" t="s">
        <v>261</v>
      </c>
      <c r="K778" s="2" t="s">
        <v>3308</v>
      </c>
      <c r="L778" s="3">
        <v>23.32</v>
      </c>
      <c r="M778" s="3">
        <v>24.49</v>
      </c>
      <c r="N778" s="3">
        <v>47.99</v>
      </c>
      <c r="O778" s="2" t="s">
        <v>232</v>
      </c>
      <c r="P778" s="2" t="s">
        <v>233</v>
      </c>
      <c r="Q778" s="2" t="s">
        <v>234</v>
      </c>
      <c r="R778" s="2" t="s">
        <v>235</v>
      </c>
      <c r="S778" s="2" t="s">
        <v>235</v>
      </c>
      <c r="T778" s="2" t="s">
        <v>2908</v>
      </c>
      <c r="U778" s="2" t="s">
        <v>264</v>
      </c>
      <c r="V778" s="2" t="s">
        <v>2182</v>
      </c>
      <c r="W778" s="2" t="s">
        <v>329</v>
      </c>
      <c r="X778" s="2" t="s">
        <v>235</v>
      </c>
      <c r="Y778" s="2" t="s">
        <v>235</v>
      </c>
      <c r="Z778" s="4"/>
      <c r="AA778" s="4">
        <f>=ROUNDDOWN({0},0)</f>
      </c>
      <c r="AB778" s="5">
        <v>20</v>
      </c>
      <c r="AC778" s="2" t="s">
        <v>2985</v>
      </c>
      <c r="AD778" s="4">
        <v>290</v>
      </c>
      <c r="AE778" s="4">
        <v>290</v>
      </c>
      <c r="AF778" s="6">
        <v>77</v>
      </c>
      <c r="AG778" s="6"/>
      <c r="AH778" s="7"/>
      <c r="AI778" s="4"/>
      <c r="AJ778" s="4">
        <f>=ROUNDDOWN({0},0)</f>
      </c>
      <c r="AK778" s="5"/>
      <c r="AL778" s="2" t="s">
        <v>235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235</v>
      </c>
      <c r="AW778" s="8" t="s">
        <v>235</v>
      </c>
      <c r="AX778" s="4" t="s">
        <v>235</v>
      </c>
      <c r="AY778" s="8" t="s">
        <v>235</v>
      </c>
      <c r="AZ778" s="7" t="s">
        <v>235</v>
      </c>
      <c r="BA778" s="7" t="s">
        <v>235</v>
      </c>
      <c r="BB778" s="7"/>
      <c r="BC778" s="4" t="s">
        <v>235</v>
      </c>
      <c r="BD778" s="8" t="s">
        <v>235</v>
      </c>
      <c r="BE778" s="4" t="s">
        <v>235</v>
      </c>
      <c r="BF778" s="8" t="s">
        <v>235</v>
      </c>
      <c r="BG778" s="7" t="s">
        <v>235</v>
      </c>
      <c r="BH778" s="7" t="s">
        <v>235</v>
      </c>
      <c r="BI778" s="7"/>
      <c r="BJ778" s="4"/>
      <c r="BK778" s="8"/>
      <c r="BL778" s="2" t="s">
        <v>235</v>
      </c>
      <c r="BM778" s="7"/>
      <c r="BN778" s="7"/>
      <c r="BO778" s="4"/>
      <c r="BP778" s="8"/>
      <c r="BQ778" s="4"/>
      <c r="BR778" s="8"/>
      <c r="BS778" s="7"/>
      <c r="BT778" s="7"/>
      <c r="BU778" s="2" t="s">
        <v>330</v>
      </c>
      <c r="BV778" s="2" t="s">
        <v>235</v>
      </c>
      <c r="BW778" s="2" t="s">
        <v>235</v>
      </c>
      <c r="BX778" s="2" t="s">
        <v>330</v>
      </c>
      <c r="BY778" s="2" t="s">
        <v>331</v>
      </c>
      <c r="BZ778" s="2" t="s">
        <v>232</v>
      </c>
      <c r="CA778" s="2" t="s">
        <v>235</v>
      </c>
      <c r="CB778" s="2" t="s">
        <v>235</v>
      </c>
      <c r="CC778" s="2" t="s">
        <v>248</v>
      </c>
      <c r="CD778" s="2" t="s">
        <v>248</v>
      </c>
      <c r="CE778" s="2" t="s">
        <v>235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>
        <v>290</v>
      </c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>
        <v>290</v>
      </c>
      <c r="GI778" s="4">
        <v>290</v>
      </c>
      <c r="GJ778" s="4">
        <v>290</v>
      </c>
      <c r="GK778" s="4">
        <v>290</v>
      </c>
      <c r="GL778" s="4">
        <v>290</v>
      </c>
      <c r="GM778" s="4">
        <v>290</v>
      </c>
      <c r="GN778" s="4">
        <v>290</v>
      </c>
      <c r="GO778" s="4">
        <v>290</v>
      </c>
      <c r="GP778" s="4">
        <v>290</v>
      </c>
      <c r="GQ778" s="4">
        <v>290</v>
      </c>
      <c r="GR778" s="4">
        <v>290</v>
      </c>
      <c r="GS778" s="4">
        <v>239</v>
      </c>
      <c r="GT778" s="4">
        <v>206</v>
      </c>
      <c r="GU778" s="4">
        <v>182</v>
      </c>
      <c r="GV778" s="4">
        <v>158</v>
      </c>
      <c r="GW778" s="4">
        <v>139</v>
      </c>
      <c r="GX778" s="4">
        <v>124</v>
      </c>
      <c r="GY778" s="4">
        <v>112</v>
      </c>
      <c r="GZ778" s="4">
        <v>100</v>
      </c>
      <c r="HA778" s="4">
        <v>88</v>
      </c>
      <c r="HB778" s="4">
        <v>373</v>
      </c>
      <c r="HC778" s="4">
        <v>361</v>
      </c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19">
        <v>22.3</v>
      </c>
      <c r="HP778" s="19">
        <v>13.8</v>
      </c>
      <c r="HQ778" s="19">
        <v>10.7</v>
      </c>
      <c r="HR778" s="19">
        <v>8.8</v>
      </c>
      <c r="HS778" s="19">
        <v>9.6</v>
      </c>
      <c r="HT778" s="19">
        <v>10.3</v>
      </c>
      <c r="HU778" s="19">
        <v>10.1</v>
      </c>
      <c r="HV778" s="19">
        <v>11.3</v>
      </c>
      <c r="HW778" s="19">
        <v>10.7</v>
      </c>
      <c r="HX778" s="19">
        <v>10.3</v>
      </c>
      <c r="HY778" s="19">
        <v>9.3</v>
      </c>
      <c r="HZ778" s="19">
        <v>9.1</v>
      </c>
      <c r="IA778" s="19">
        <v>8.8</v>
      </c>
      <c r="IB778" s="19">
        <v>41.4</v>
      </c>
      <c r="IC778" s="19">
        <v>45.1</v>
      </c>
    </row>
    <row r="779">
      <c r="A779" s="2" t="s">
        <v>3311</v>
      </c>
      <c r="B779" s="2" t="s">
        <v>323</v>
      </c>
      <c r="C779" s="2" t="s">
        <v>1036</v>
      </c>
      <c r="D779" s="2" t="s">
        <v>257</v>
      </c>
      <c r="E779" s="2" t="s">
        <v>258</v>
      </c>
      <c r="F779" s="2" t="s">
        <v>3098</v>
      </c>
      <c r="G779" s="2" t="s">
        <v>3098</v>
      </c>
      <c r="H779" s="2" t="s">
        <v>3098</v>
      </c>
      <c r="I779" s="2" t="s">
        <v>2906</v>
      </c>
      <c r="J779" s="2" t="s">
        <v>270</v>
      </c>
      <c r="K779" s="2" t="s">
        <v>3308</v>
      </c>
      <c r="L779" s="3">
        <v>28.76</v>
      </c>
      <c r="M779" s="3">
        <v>30.2</v>
      </c>
      <c r="N779" s="3">
        <v>62.99</v>
      </c>
      <c r="O779" s="2" t="s">
        <v>232</v>
      </c>
      <c r="P779" s="2" t="s">
        <v>233</v>
      </c>
      <c r="Q779" s="2" t="s">
        <v>234</v>
      </c>
      <c r="R779" s="2" t="s">
        <v>235</v>
      </c>
      <c r="S779" s="2" t="s">
        <v>235</v>
      </c>
      <c r="T779" s="2" t="s">
        <v>2908</v>
      </c>
      <c r="U779" s="2" t="s">
        <v>264</v>
      </c>
      <c r="V779" s="2" t="s">
        <v>2182</v>
      </c>
      <c r="W779" s="2" t="s">
        <v>329</v>
      </c>
      <c r="X779" s="2" t="s">
        <v>235</v>
      </c>
      <c r="Y779" s="2" t="s">
        <v>235</v>
      </c>
      <c r="Z779" s="4"/>
      <c r="AA779" s="4">
        <f>=ROUNDDOWN({0},0)</f>
      </c>
      <c r="AB779" s="5">
        <v>13</v>
      </c>
      <c r="AC779" s="2" t="s">
        <v>2985</v>
      </c>
      <c r="AD779" s="4">
        <v>220</v>
      </c>
      <c r="AE779" s="4">
        <v>220</v>
      </c>
      <c r="AF779" s="6">
        <v>77</v>
      </c>
      <c r="AG779" s="6"/>
      <c r="AH779" s="7"/>
      <c r="AI779" s="4"/>
      <c r="AJ779" s="4">
        <f>=ROUNDDOWN({0},0)</f>
      </c>
      <c r="AK779" s="5"/>
      <c r="AL779" s="2" t="s">
        <v>235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235</v>
      </c>
      <c r="AW779" s="8" t="s">
        <v>235</v>
      </c>
      <c r="AX779" s="4" t="s">
        <v>235</v>
      </c>
      <c r="AY779" s="8" t="s">
        <v>235</v>
      </c>
      <c r="AZ779" s="7" t="s">
        <v>235</v>
      </c>
      <c r="BA779" s="7" t="s">
        <v>235</v>
      </c>
      <c r="BB779" s="7"/>
      <c r="BC779" s="4" t="s">
        <v>235</v>
      </c>
      <c r="BD779" s="8" t="s">
        <v>235</v>
      </c>
      <c r="BE779" s="4" t="s">
        <v>235</v>
      </c>
      <c r="BF779" s="8" t="s">
        <v>235</v>
      </c>
      <c r="BG779" s="7" t="s">
        <v>235</v>
      </c>
      <c r="BH779" s="7" t="s">
        <v>235</v>
      </c>
      <c r="BI779" s="7"/>
      <c r="BJ779" s="4"/>
      <c r="BK779" s="8"/>
      <c r="BL779" s="2" t="s">
        <v>235</v>
      </c>
      <c r="BM779" s="7"/>
      <c r="BN779" s="7"/>
      <c r="BO779" s="4"/>
      <c r="BP779" s="8"/>
      <c r="BQ779" s="4"/>
      <c r="BR779" s="8"/>
      <c r="BS779" s="7"/>
      <c r="BT779" s="7"/>
      <c r="BU779" s="2" t="s">
        <v>330</v>
      </c>
      <c r="BV779" s="2" t="s">
        <v>235</v>
      </c>
      <c r="BW779" s="2" t="s">
        <v>235</v>
      </c>
      <c r="BX779" s="2" t="s">
        <v>330</v>
      </c>
      <c r="BY779" s="2" t="s">
        <v>331</v>
      </c>
      <c r="BZ779" s="2" t="s">
        <v>232</v>
      </c>
      <c r="CA779" s="2" t="s">
        <v>235</v>
      </c>
      <c r="CB779" s="2" t="s">
        <v>235</v>
      </c>
      <c r="CC779" s="2" t="s">
        <v>248</v>
      </c>
      <c r="CD779" s="2" t="s">
        <v>248</v>
      </c>
      <c r="CE779" s="2" t="s">
        <v>235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>
        <v>220</v>
      </c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>
        <v>220</v>
      </c>
      <c r="GI779" s="4">
        <v>220</v>
      </c>
      <c r="GJ779" s="4">
        <v>220</v>
      </c>
      <c r="GK779" s="4">
        <v>217</v>
      </c>
      <c r="GL779" s="4">
        <v>214</v>
      </c>
      <c r="GM779" s="4">
        <v>212</v>
      </c>
      <c r="GN779" s="4">
        <v>211</v>
      </c>
      <c r="GO779" s="4">
        <v>210</v>
      </c>
      <c r="GP779" s="4">
        <v>209</v>
      </c>
      <c r="GQ779" s="4">
        <v>208</v>
      </c>
      <c r="GR779" s="4">
        <v>173</v>
      </c>
      <c r="GS779" s="4">
        <v>139</v>
      </c>
      <c r="GT779" s="4">
        <v>117</v>
      </c>
      <c r="GU779" s="4">
        <v>101</v>
      </c>
      <c r="GV779" s="4">
        <v>85</v>
      </c>
      <c r="GW779" s="4">
        <v>73</v>
      </c>
      <c r="GX779" s="4">
        <v>63</v>
      </c>
      <c r="GY779" s="4">
        <v>56</v>
      </c>
      <c r="GZ779" s="4">
        <v>49</v>
      </c>
      <c r="HA779" s="4">
        <v>42</v>
      </c>
      <c r="HB779" s="4">
        <v>249</v>
      </c>
      <c r="HC779" s="4">
        <v>242</v>
      </c>
      <c r="HD779" s="9"/>
      <c r="HE779" s="9"/>
      <c r="HF779" s="9"/>
      <c r="HG779" s="9"/>
      <c r="HH779" s="19">
        <v>73.3</v>
      </c>
      <c r="HI779" s="19">
        <v>110</v>
      </c>
      <c r="HJ779" s="19">
        <v>110</v>
      </c>
      <c r="HK779" s="19">
        <v>108.5</v>
      </c>
      <c r="HL779" s="19">
        <v>214</v>
      </c>
      <c r="HM779" s="19">
        <v>212</v>
      </c>
      <c r="HN779" s="19">
        <v>21.1</v>
      </c>
      <c r="HO779" s="19">
        <v>11.7</v>
      </c>
      <c r="HP779" s="19">
        <v>8.7</v>
      </c>
      <c r="HQ779" s="19">
        <v>7.4</v>
      </c>
      <c r="HR779" s="19">
        <v>7.5</v>
      </c>
      <c r="HS779" s="19">
        <v>8.2</v>
      </c>
      <c r="HT779" s="19">
        <v>8.4</v>
      </c>
      <c r="HU779" s="19">
        <v>9.2</v>
      </c>
      <c r="HV779" s="19">
        <v>9.4</v>
      </c>
      <c r="HW779" s="19">
        <v>9.1</v>
      </c>
      <c r="HX779" s="19">
        <v>9</v>
      </c>
      <c r="HY779" s="19">
        <v>8</v>
      </c>
      <c r="HZ779" s="19">
        <v>8.2</v>
      </c>
      <c r="IA779" s="19">
        <v>7</v>
      </c>
      <c r="IB779" s="19">
        <v>41.5</v>
      </c>
      <c r="IC779" s="19">
        <v>48.4</v>
      </c>
    </row>
    <row r="780">
      <c r="A780" s="2" t="s">
        <v>3312</v>
      </c>
      <c r="B780" s="2" t="s">
        <v>323</v>
      </c>
      <c r="C780" s="2" t="s">
        <v>1036</v>
      </c>
      <c r="D780" s="2" t="s">
        <v>257</v>
      </c>
      <c r="E780" s="2" t="s">
        <v>258</v>
      </c>
      <c r="F780" s="2" t="s">
        <v>3098</v>
      </c>
      <c r="G780" s="2" t="s">
        <v>3098</v>
      </c>
      <c r="H780" s="2" t="s">
        <v>3098</v>
      </c>
      <c r="I780" s="2" t="s">
        <v>2906</v>
      </c>
      <c r="J780" s="2" t="s">
        <v>272</v>
      </c>
      <c r="K780" s="2" t="s">
        <v>3308</v>
      </c>
      <c r="L780" s="3">
        <v>28.76</v>
      </c>
      <c r="M780" s="3">
        <v>30.2</v>
      </c>
      <c r="N780" s="3">
        <v>62.99</v>
      </c>
      <c r="O780" s="2" t="s">
        <v>232</v>
      </c>
      <c r="P780" s="2" t="s">
        <v>233</v>
      </c>
      <c r="Q780" s="2" t="s">
        <v>234</v>
      </c>
      <c r="R780" s="2" t="s">
        <v>235</v>
      </c>
      <c r="S780" s="2" t="s">
        <v>235</v>
      </c>
      <c r="T780" s="2" t="s">
        <v>2908</v>
      </c>
      <c r="U780" s="2" t="s">
        <v>264</v>
      </c>
      <c r="V780" s="2" t="s">
        <v>2182</v>
      </c>
      <c r="W780" s="2" t="s">
        <v>329</v>
      </c>
      <c r="X780" s="2" t="s">
        <v>235</v>
      </c>
      <c r="Y780" s="2" t="s">
        <v>235</v>
      </c>
      <c r="Z780" s="4"/>
      <c r="AA780" s="4">
        <f>=ROUNDDOWN({0},0)</f>
      </c>
      <c r="AB780" s="5">
        <v>7</v>
      </c>
      <c r="AC780" s="2" t="s">
        <v>2985</v>
      </c>
      <c r="AD780" s="4">
        <v>100</v>
      </c>
      <c r="AE780" s="4">
        <v>100</v>
      </c>
      <c r="AF780" s="6">
        <v>77</v>
      </c>
      <c r="AG780" s="6"/>
      <c r="AH780" s="7"/>
      <c r="AI780" s="4"/>
      <c r="AJ780" s="4">
        <f>=ROUNDDOWN({0},0)</f>
      </c>
      <c r="AK780" s="5"/>
      <c r="AL780" s="2" t="s">
        <v>235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235</v>
      </c>
      <c r="AW780" s="8" t="s">
        <v>235</v>
      </c>
      <c r="AX780" s="4" t="s">
        <v>235</v>
      </c>
      <c r="AY780" s="8" t="s">
        <v>235</v>
      </c>
      <c r="AZ780" s="7" t="s">
        <v>235</v>
      </c>
      <c r="BA780" s="7" t="s">
        <v>235</v>
      </c>
      <c r="BB780" s="7"/>
      <c r="BC780" s="4" t="s">
        <v>235</v>
      </c>
      <c r="BD780" s="8" t="s">
        <v>235</v>
      </c>
      <c r="BE780" s="4" t="s">
        <v>235</v>
      </c>
      <c r="BF780" s="8" t="s">
        <v>235</v>
      </c>
      <c r="BG780" s="7" t="s">
        <v>235</v>
      </c>
      <c r="BH780" s="7" t="s">
        <v>235</v>
      </c>
      <c r="BI780" s="7"/>
      <c r="BJ780" s="4"/>
      <c r="BK780" s="8"/>
      <c r="BL780" s="2" t="s">
        <v>235</v>
      </c>
      <c r="BM780" s="7"/>
      <c r="BN780" s="7"/>
      <c r="BO780" s="4"/>
      <c r="BP780" s="8"/>
      <c r="BQ780" s="4"/>
      <c r="BR780" s="8"/>
      <c r="BS780" s="7"/>
      <c r="BT780" s="7"/>
      <c r="BU780" s="2" t="s">
        <v>330</v>
      </c>
      <c r="BV780" s="2" t="s">
        <v>235</v>
      </c>
      <c r="BW780" s="2" t="s">
        <v>235</v>
      </c>
      <c r="BX780" s="2" t="s">
        <v>330</v>
      </c>
      <c r="BY780" s="2" t="s">
        <v>331</v>
      </c>
      <c r="BZ780" s="2" t="s">
        <v>232</v>
      </c>
      <c r="CA780" s="2" t="s">
        <v>235</v>
      </c>
      <c r="CB780" s="2" t="s">
        <v>235</v>
      </c>
      <c r="CC780" s="2" t="s">
        <v>248</v>
      </c>
      <c r="CD780" s="2" t="s">
        <v>248</v>
      </c>
      <c r="CE780" s="2" t="s">
        <v>235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>
        <v>100</v>
      </c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>
        <v>100</v>
      </c>
      <c r="GI780" s="4">
        <v>100</v>
      </c>
      <c r="GJ780" s="4">
        <v>100</v>
      </c>
      <c r="GK780" s="4">
        <v>97</v>
      </c>
      <c r="GL780" s="4">
        <v>94</v>
      </c>
      <c r="GM780" s="4">
        <v>92</v>
      </c>
      <c r="GN780" s="4">
        <v>91</v>
      </c>
      <c r="GO780" s="4">
        <v>90</v>
      </c>
      <c r="GP780" s="4">
        <v>89</v>
      </c>
      <c r="GQ780" s="4">
        <v>88</v>
      </c>
      <c r="GR780" s="4">
        <v>71</v>
      </c>
      <c r="GS780" s="4">
        <v>54</v>
      </c>
      <c r="GT780" s="4">
        <v>43</v>
      </c>
      <c r="GU780" s="4">
        <v>35</v>
      </c>
      <c r="GV780" s="4">
        <v>27</v>
      </c>
      <c r="GW780" s="4">
        <v>21</v>
      </c>
      <c r="GX780" s="4">
        <v>16</v>
      </c>
      <c r="GY780" s="4">
        <v>12</v>
      </c>
      <c r="GZ780" s="4">
        <v>8</v>
      </c>
      <c r="HA780" s="4">
        <v>4</v>
      </c>
      <c r="HB780" s="4">
        <v>117</v>
      </c>
      <c r="HC780" s="4">
        <v>113</v>
      </c>
      <c r="HD780" s="9"/>
      <c r="HE780" s="9"/>
      <c r="HF780" s="9"/>
      <c r="HG780" s="9"/>
      <c r="HH780" s="19">
        <v>33.3</v>
      </c>
      <c r="HI780" s="19">
        <v>50</v>
      </c>
      <c r="HJ780" s="19">
        <v>50</v>
      </c>
      <c r="HK780" s="19">
        <v>48.5</v>
      </c>
      <c r="HL780" s="19">
        <v>94</v>
      </c>
      <c r="HM780" s="19">
        <v>92</v>
      </c>
      <c r="HN780" s="19">
        <v>18.2</v>
      </c>
      <c r="HO780" s="19">
        <v>9</v>
      </c>
      <c r="HP780" s="19">
        <v>7.4</v>
      </c>
      <c r="HQ780" s="19">
        <v>6.3</v>
      </c>
      <c r="HR780" s="19">
        <v>5.9</v>
      </c>
      <c r="HS780" s="19">
        <v>6.8</v>
      </c>
      <c r="HT780" s="19">
        <v>6.1</v>
      </c>
      <c r="HU780" s="19">
        <v>5.8</v>
      </c>
      <c r="HV780" s="19">
        <v>5.4</v>
      </c>
      <c r="HW780" s="19">
        <v>5.3</v>
      </c>
      <c r="HX780" s="19">
        <v>4</v>
      </c>
      <c r="HY780" s="19">
        <v>3</v>
      </c>
      <c r="HZ780" s="19">
        <v>2</v>
      </c>
      <c r="IA780" s="19">
        <v>1.3</v>
      </c>
      <c r="IB780" s="19">
        <v>58.5</v>
      </c>
      <c r="IC780" s="19">
        <v>56.5</v>
      </c>
    </row>
    <row r="781">
      <c r="A781" s="2" t="s">
        <v>3313</v>
      </c>
      <c r="B781" s="2" t="s">
        <v>323</v>
      </c>
      <c r="C781" s="2" t="s">
        <v>1036</v>
      </c>
      <c r="D781" s="2" t="s">
        <v>257</v>
      </c>
      <c r="E781" s="2" t="s">
        <v>258</v>
      </c>
      <c r="F781" s="2" t="s">
        <v>3098</v>
      </c>
      <c r="G781" s="2" t="s">
        <v>3098</v>
      </c>
      <c r="H781" s="2" t="s">
        <v>3098</v>
      </c>
      <c r="I781" s="2" t="s">
        <v>2906</v>
      </c>
      <c r="J781" s="2" t="s">
        <v>394</v>
      </c>
      <c r="K781" s="2" t="s">
        <v>3314</v>
      </c>
      <c r="L781" s="3">
        <v>14.89</v>
      </c>
      <c r="M781" s="3">
        <v>15.63</v>
      </c>
      <c r="N781" s="3">
        <v>31.99</v>
      </c>
      <c r="O781" s="2" t="s">
        <v>232</v>
      </c>
      <c r="P781" s="2" t="s">
        <v>878</v>
      </c>
      <c r="Q781" s="2" t="s">
        <v>234</v>
      </c>
      <c r="R781" s="2" t="s">
        <v>235</v>
      </c>
      <c r="S781" s="2" t="s">
        <v>235</v>
      </c>
      <c r="T781" s="2" t="s">
        <v>2908</v>
      </c>
      <c r="U781" s="2" t="s">
        <v>552</v>
      </c>
      <c r="V781" s="2" t="s">
        <v>2182</v>
      </c>
      <c r="W781" s="2" t="s">
        <v>329</v>
      </c>
      <c r="X781" s="2" t="s">
        <v>235</v>
      </c>
      <c r="Y781" s="2" t="s">
        <v>235</v>
      </c>
      <c r="Z781" s="4"/>
      <c r="AA781" s="4">
        <f>=ROUNDDOWN({0},0)</f>
      </c>
      <c r="AB781" s="5"/>
      <c r="AC781" s="2" t="s">
        <v>235</v>
      </c>
      <c r="AD781" s="4"/>
      <c r="AE781" s="4"/>
      <c r="AF781" s="6">
        <v>77</v>
      </c>
      <c r="AG781" s="6"/>
      <c r="AH781" s="7"/>
      <c r="AI781" s="4"/>
      <c r="AJ781" s="4">
        <f>=ROUNDDOWN({0},0)</f>
      </c>
      <c r="AK781" s="5"/>
      <c r="AL781" s="2" t="s">
        <v>235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235</v>
      </c>
      <c r="AW781" s="8" t="s">
        <v>235</v>
      </c>
      <c r="AX781" s="4" t="s">
        <v>235</v>
      </c>
      <c r="AY781" s="8" t="s">
        <v>235</v>
      </c>
      <c r="AZ781" s="7" t="s">
        <v>235</v>
      </c>
      <c r="BA781" s="7" t="s">
        <v>235</v>
      </c>
      <c r="BB781" s="7"/>
      <c r="BC781" s="4" t="s">
        <v>235</v>
      </c>
      <c r="BD781" s="8" t="s">
        <v>235</v>
      </c>
      <c r="BE781" s="4" t="s">
        <v>235</v>
      </c>
      <c r="BF781" s="8" t="s">
        <v>235</v>
      </c>
      <c r="BG781" s="7" t="s">
        <v>235</v>
      </c>
      <c r="BH781" s="7" t="s">
        <v>235</v>
      </c>
      <c r="BI781" s="7"/>
      <c r="BJ781" s="4"/>
      <c r="BK781" s="8"/>
      <c r="BL781" s="2" t="s">
        <v>235</v>
      </c>
      <c r="BM781" s="7"/>
      <c r="BN781" s="7"/>
      <c r="BO781" s="4"/>
      <c r="BP781" s="8"/>
      <c r="BQ781" s="4"/>
      <c r="BR781" s="8"/>
      <c r="BS781" s="7"/>
      <c r="BT781" s="7"/>
      <c r="BU781" s="2" t="s">
        <v>330</v>
      </c>
      <c r="BV781" s="2" t="s">
        <v>235</v>
      </c>
      <c r="BW781" s="2" t="s">
        <v>235</v>
      </c>
      <c r="BX781" s="2" t="s">
        <v>330</v>
      </c>
      <c r="BY781" s="2" t="s">
        <v>331</v>
      </c>
      <c r="BZ781" s="2" t="s">
        <v>232</v>
      </c>
      <c r="CA781" s="2" t="s">
        <v>235</v>
      </c>
      <c r="CB781" s="2" t="s">
        <v>235</v>
      </c>
      <c r="CC781" s="2" t="s">
        <v>248</v>
      </c>
      <c r="CD781" s="2" t="s">
        <v>248</v>
      </c>
      <c r="CE781" s="2" t="s">
        <v>235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</row>
    <row r="782">
      <c r="A782" s="2" t="s">
        <v>3315</v>
      </c>
      <c r="B782" s="2" t="s">
        <v>323</v>
      </c>
      <c r="C782" s="2" t="s">
        <v>1036</v>
      </c>
      <c r="D782" s="2" t="s">
        <v>257</v>
      </c>
      <c r="E782" s="2" t="s">
        <v>258</v>
      </c>
      <c r="F782" s="2" t="s">
        <v>3098</v>
      </c>
      <c r="G782" s="2" t="s">
        <v>3098</v>
      </c>
      <c r="H782" s="2" t="s">
        <v>3098</v>
      </c>
      <c r="I782" s="2" t="s">
        <v>2906</v>
      </c>
      <c r="J782" s="2" t="s">
        <v>230</v>
      </c>
      <c r="K782" s="2" t="s">
        <v>3314</v>
      </c>
      <c r="L782" s="3">
        <v>16.16</v>
      </c>
      <c r="M782" s="3">
        <v>16.97</v>
      </c>
      <c r="N782" s="3">
        <v>34.99</v>
      </c>
      <c r="O782" s="2" t="s">
        <v>232</v>
      </c>
      <c r="P782" s="2" t="s">
        <v>878</v>
      </c>
      <c r="Q782" s="2" t="s">
        <v>234</v>
      </c>
      <c r="R782" s="2" t="s">
        <v>235</v>
      </c>
      <c r="S782" s="2" t="s">
        <v>235</v>
      </c>
      <c r="T782" s="2" t="s">
        <v>2908</v>
      </c>
      <c r="U782" s="2" t="s">
        <v>552</v>
      </c>
      <c r="V782" s="2" t="s">
        <v>2182</v>
      </c>
      <c r="W782" s="2" t="s">
        <v>329</v>
      </c>
      <c r="X782" s="2" t="s">
        <v>235</v>
      </c>
      <c r="Y782" s="2" t="s">
        <v>235</v>
      </c>
      <c r="Z782" s="4"/>
      <c r="AA782" s="4">
        <f>=ROUNDDOWN({0},0)</f>
      </c>
      <c r="AB782" s="5"/>
      <c r="AC782" s="2" t="s">
        <v>235</v>
      </c>
      <c r="AD782" s="4"/>
      <c r="AE782" s="4"/>
      <c r="AF782" s="6">
        <v>77</v>
      </c>
      <c r="AG782" s="6"/>
      <c r="AH782" s="7"/>
      <c r="AI782" s="4"/>
      <c r="AJ782" s="4">
        <f>=ROUNDDOWN({0},0)</f>
      </c>
      <c r="AK782" s="5"/>
      <c r="AL782" s="2" t="s">
        <v>235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235</v>
      </c>
      <c r="AW782" s="8" t="s">
        <v>235</v>
      </c>
      <c r="AX782" s="4" t="s">
        <v>235</v>
      </c>
      <c r="AY782" s="8" t="s">
        <v>235</v>
      </c>
      <c r="AZ782" s="7" t="s">
        <v>235</v>
      </c>
      <c r="BA782" s="7" t="s">
        <v>235</v>
      </c>
      <c r="BB782" s="7"/>
      <c r="BC782" s="4" t="s">
        <v>235</v>
      </c>
      <c r="BD782" s="8" t="s">
        <v>235</v>
      </c>
      <c r="BE782" s="4" t="s">
        <v>235</v>
      </c>
      <c r="BF782" s="8" t="s">
        <v>235</v>
      </c>
      <c r="BG782" s="7" t="s">
        <v>235</v>
      </c>
      <c r="BH782" s="7" t="s">
        <v>235</v>
      </c>
      <c r="BI782" s="7"/>
      <c r="BJ782" s="4"/>
      <c r="BK782" s="8"/>
      <c r="BL782" s="2" t="s">
        <v>235</v>
      </c>
      <c r="BM782" s="7"/>
      <c r="BN782" s="7"/>
      <c r="BO782" s="4"/>
      <c r="BP782" s="8"/>
      <c r="BQ782" s="4"/>
      <c r="BR782" s="8"/>
      <c r="BS782" s="7"/>
      <c r="BT782" s="7"/>
      <c r="BU782" s="2" t="s">
        <v>330</v>
      </c>
      <c r="BV782" s="2" t="s">
        <v>235</v>
      </c>
      <c r="BW782" s="2" t="s">
        <v>235</v>
      </c>
      <c r="BX782" s="2" t="s">
        <v>330</v>
      </c>
      <c r="BY782" s="2" t="s">
        <v>331</v>
      </c>
      <c r="BZ782" s="2" t="s">
        <v>232</v>
      </c>
      <c r="CA782" s="2" t="s">
        <v>235</v>
      </c>
      <c r="CB782" s="2" t="s">
        <v>235</v>
      </c>
      <c r="CC782" s="2" t="s">
        <v>248</v>
      </c>
      <c r="CD782" s="2" t="s">
        <v>248</v>
      </c>
      <c r="CE782" s="2" t="s">
        <v>235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</row>
    <row r="783">
      <c r="A783" s="2" t="s">
        <v>3316</v>
      </c>
      <c r="B783" s="2" t="s">
        <v>323</v>
      </c>
      <c r="C783" s="2" t="s">
        <v>1036</v>
      </c>
      <c r="D783" s="2" t="s">
        <v>257</v>
      </c>
      <c r="E783" s="2" t="s">
        <v>258</v>
      </c>
      <c r="F783" s="2" t="s">
        <v>3098</v>
      </c>
      <c r="G783" s="2" t="s">
        <v>3098</v>
      </c>
      <c r="H783" s="2" t="s">
        <v>3098</v>
      </c>
      <c r="I783" s="2" t="s">
        <v>2906</v>
      </c>
      <c r="J783" s="2" t="s">
        <v>250</v>
      </c>
      <c r="K783" s="2" t="s">
        <v>3314</v>
      </c>
      <c r="L783" s="3">
        <v>20.54</v>
      </c>
      <c r="M783" s="3">
        <v>21.57</v>
      </c>
      <c r="N783" s="3">
        <v>42.99</v>
      </c>
      <c r="O783" s="2" t="s">
        <v>232</v>
      </c>
      <c r="P783" s="2" t="s">
        <v>878</v>
      </c>
      <c r="Q783" s="2" t="s">
        <v>234</v>
      </c>
      <c r="R783" s="2" t="s">
        <v>235</v>
      </c>
      <c r="S783" s="2" t="s">
        <v>235</v>
      </c>
      <c r="T783" s="2" t="s">
        <v>2908</v>
      </c>
      <c r="U783" s="2" t="s">
        <v>264</v>
      </c>
      <c r="V783" s="2" t="s">
        <v>2182</v>
      </c>
      <c r="W783" s="2" t="s">
        <v>329</v>
      </c>
      <c r="X783" s="2" t="s">
        <v>235</v>
      </c>
      <c r="Y783" s="2" t="s">
        <v>3317</v>
      </c>
      <c r="Z783" s="4">
        <v>767</v>
      </c>
      <c r="AA783" s="4">
        <f>=ROUNDDOWN(1917.5,0)</f>
      </c>
      <c r="AB783" s="5">
        <v>0.4</v>
      </c>
      <c r="AC783" s="2" t="s">
        <v>2503</v>
      </c>
      <c r="AD783" s="4">
        <v>772</v>
      </c>
      <c r="AE783" s="4">
        <v>1544</v>
      </c>
      <c r="AF783" s="6">
        <v>77</v>
      </c>
      <c r="AG783" s="6"/>
      <c r="AH783" s="7">
        <v>1</v>
      </c>
      <c r="AI783" s="4"/>
      <c r="AJ783" s="4">
        <f>=ROUNDDOWN({0},0)</f>
      </c>
      <c r="AK783" s="5"/>
      <c r="AL783" s="2" t="s">
        <v>235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235</v>
      </c>
      <c r="AW783" s="8" t="s">
        <v>235</v>
      </c>
      <c r="AX783" s="4" t="s">
        <v>235</v>
      </c>
      <c r="AY783" s="8" t="s">
        <v>235</v>
      </c>
      <c r="AZ783" s="7" t="s">
        <v>235</v>
      </c>
      <c r="BA783" s="7" t="s">
        <v>235</v>
      </c>
      <c r="BB783" s="7"/>
      <c r="BC783" s="4" t="s">
        <v>235</v>
      </c>
      <c r="BD783" s="8" t="s">
        <v>235</v>
      </c>
      <c r="BE783" s="4" t="s">
        <v>235</v>
      </c>
      <c r="BF783" s="8" t="s">
        <v>235</v>
      </c>
      <c r="BG783" s="7" t="s">
        <v>235</v>
      </c>
      <c r="BH783" s="7" t="s">
        <v>235</v>
      </c>
      <c r="BI783" s="7"/>
      <c r="BJ783" s="4">
        <v>1</v>
      </c>
      <c r="BK783" s="8">
        <v>23.62</v>
      </c>
      <c r="BL783" s="2" t="s">
        <v>1226</v>
      </c>
      <c r="BM783" s="7"/>
      <c r="BN783" s="7"/>
      <c r="BO783" s="4"/>
      <c r="BP783" s="8"/>
      <c r="BQ783" s="4"/>
      <c r="BR783" s="8"/>
      <c r="BS783" s="7"/>
      <c r="BT783" s="7"/>
      <c r="BU783" s="2" t="s">
        <v>3318</v>
      </c>
      <c r="BV783" s="2" t="s">
        <v>235</v>
      </c>
      <c r="BW783" s="2" t="s">
        <v>235</v>
      </c>
      <c r="BX783" s="2" t="s">
        <v>244</v>
      </c>
      <c r="BY783" s="2" t="s">
        <v>245</v>
      </c>
      <c r="BZ783" s="2" t="s">
        <v>232</v>
      </c>
      <c r="CA783" s="2" t="s">
        <v>235</v>
      </c>
      <c r="CB783" s="2" t="s">
        <v>235</v>
      </c>
      <c r="CC783" s="2" t="s">
        <v>248</v>
      </c>
      <c r="CD783" s="2" t="s">
        <v>248</v>
      </c>
      <c r="CE783" s="2" t="s">
        <v>235</v>
      </c>
      <c r="CF783" s="4">
        <v>767</v>
      </c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>
        <v>772</v>
      </c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>
        <v>514</v>
      </c>
      <c r="EI783" s="4"/>
      <c r="EJ783" s="4"/>
      <c r="EK783" s="4"/>
      <c r="EL783" s="4">
        <v>258</v>
      </c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>
        <v>770</v>
      </c>
      <c r="GE783" s="4">
        <v>478</v>
      </c>
      <c r="GF783" s="4">
        <v>1189</v>
      </c>
      <c r="GG783" s="4">
        <v>1092</v>
      </c>
      <c r="GH783" s="4">
        <v>971</v>
      </c>
      <c r="GI783" s="4">
        <v>782</v>
      </c>
      <c r="GJ783" s="4">
        <v>403</v>
      </c>
      <c r="GK783" s="4">
        <v>222</v>
      </c>
      <c r="GL783" s="4">
        <v>47</v>
      </c>
      <c r="GM783" s="4">
        <v>514</v>
      </c>
      <c r="GN783" s="4">
        <v>610</v>
      </c>
      <c r="GO783" s="4">
        <v>500</v>
      </c>
      <c r="GP783" s="4">
        <v>403</v>
      </c>
      <c r="GQ783" s="4">
        <v>293</v>
      </c>
      <c r="GR783" s="4">
        <v>228</v>
      </c>
      <c r="GS783" s="4">
        <v>158</v>
      </c>
      <c r="GT783" s="4">
        <v>98</v>
      </c>
      <c r="GU783" s="4">
        <v>43</v>
      </c>
      <c r="GV783" s="4"/>
      <c r="GW783" s="4"/>
      <c r="GX783" s="4"/>
      <c r="GY783" s="4"/>
      <c r="GZ783" s="4"/>
      <c r="HA783" s="4"/>
      <c r="HB783" s="4">
        <v>591</v>
      </c>
      <c r="HC783" s="4">
        <v>360</v>
      </c>
      <c r="HD783" s="19">
        <v>5.4</v>
      </c>
      <c r="HE783" s="19">
        <v>4.1</v>
      </c>
      <c r="HF783" s="19">
        <v>6.1</v>
      </c>
      <c r="HG783" s="19">
        <v>5</v>
      </c>
      <c r="HH783" s="19">
        <v>4.2</v>
      </c>
      <c r="HI783" s="19">
        <v>4</v>
      </c>
      <c r="HJ783" s="19">
        <v>2.9</v>
      </c>
      <c r="HK783" s="19">
        <v>1.8</v>
      </c>
      <c r="HL783" s="19">
        <v>0.5</v>
      </c>
      <c r="HM783" s="19">
        <v>4.3</v>
      </c>
      <c r="HN783" s="19">
        <v>6.4</v>
      </c>
      <c r="HO783" s="19">
        <v>5.8</v>
      </c>
      <c r="HP783" s="19">
        <v>5.3</v>
      </c>
      <c r="HQ783" s="19">
        <v>4.7</v>
      </c>
      <c r="HR783" s="19">
        <v>4</v>
      </c>
      <c r="HS783" s="19">
        <v>3.8</v>
      </c>
      <c r="HT783" s="19">
        <v>3.4</v>
      </c>
      <c r="HU783" s="19">
        <v>2.5</v>
      </c>
      <c r="HV783" s="20">
        <v>0</v>
      </c>
      <c r="HW783" s="20">
        <v>0</v>
      </c>
      <c r="HX783" s="20">
        <v>0</v>
      </c>
      <c r="HY783" s="20">
        <v>0</v>
      </c>
      <c r="HZ783" s="20">
        <v>0</v>
      </c>
      <c r="IA783" s="20">
        <v>0</v>
      </c>
      <c r="IB783" s="19">
        <v>7.2</v>
      </c>
      <c r="IC783" s="19">
        <v>11.3</v>
      </c>
    </row>
    <row r="784">
      <c r="A784" s="2" t="s">
        <v>3319</v>
      </c>
      <c r="B784" s="2" t="s">
        <v>323</v>
      </c>
      <c r="C784" s="2" t="s">
        <v>1036</v>
      </c>
      <c r="D784" s="2" t="s">
        <v>257</v>
      </c>
      <c r="E784" s="2" t="s">
        <v>258</v>
      </c>
      <c r="F784" s="2" t="s">
        <v>3098</v>
      </c>
      <c r="G784" s="2" t="s">
        <v>3098</v>
      </c>
      <c r="H784" s="2" t="s">
        <v>3098</v>
      </c>
      <c r="I784" s="2" t="s">
        <v>2906</v>
      </c>
      <c r="J784" s="2" t="s">
        <v>261</v>
      </c>
      <c r="K784" s="2" t="s">
        <v>3314</v>
      </c>
      <c r="L784" s="3">
        <v>23.32</v>
      </c>
      <c r="M784" s="3">
        <v>24.49</v>
      </c>
      <c r="N784" s="3">
        <v>47.99</v>
      </c>
      <c r="O784" s="2" t="s">
        <v>232</v>
      </c>
      <c r="P784" s="2" t="s">
        <v>878</v>
      </c>
      <c r="Q784" s="2" t="s">
        <v>234</v>
      </c>
      <c r="R784" s="2" t="s">
        <v>235</v>
      </c>
      <c r="S784" s="2" t="s">
        <v>235</v>
      </c>
      <c r="T784" s="2" t="s">
        <v>2908</v>
      </c>
      <c r="U784" s="2" t="s">
        <v>264</v>
      </c>
      <c r="V784" s="2" t="s">
        <v>2182</v>
      </c>
      <c r="W784" s="2" t="s">
        <v>329</v>
      </c>
      <c r="X784" s="2" t="s">
        <v>235</v>
      </c>
      <c r="Y784" s="2" t="s">
        <v>3320</v>
      </c>
      <c r="Z784" s="4">
        <v>742</v>
      </c>
      <c r="AA784" s="4">
        <f>=ROUNDDOWN({0},0)</f>
      </c>
      <c r="AB784" s="5"/>
      <c r="AC784" s="2" t="s">
        <v>2503</v>
      </c>
      <c r="AD784" s="4">
        <v>732</v>
      </c>
      <c r="AE784" s="4">
        <v>1616</v>
      </c>
      <c r="AF784" s="6">
        <v>77</v>
      </c>
      <c r="AG784" s="6"/>
      <c r="AH784" s="7">
        <v>1</v>
      </c>
      <c r="AI784" s="4"/>
      <c r="AJ784" s="4">
        <f>=ROUNDDOWN({0},0)</f>
      </c>
      <c r="AK784" s="5"/>
      <c r="AL784" s="2" t="s">
        <v>235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235</v>
      </c>
      <c r="AW784" s="8" t="s">
        <v>235</v>
      </c>
      <c r="AX784" s="4" t="s">
        <v>235</v>
      </c>
      <c r="AY784" s="8" t="s">
        <v>235</v>
      </c>
      <c r="AZ784" s="7" t="s">
        <v>235</v>
      </c>
      <c r="BA784" s="7" t="s">
        <v>235</v>
      </c>
      <c r="BB784" s="7"/>
      <c r="BC784" s="4" t="s">
        <v>235</v>
      </c>
      <c r="BD784" s="8" t="s">
        <v>235</v>
      </c>
      <c r="BE784" s="4" t="s">
        <v>235</v>
      </c>
      <c r="BF784" s="8" t="s">
        <v>235</v>
      </c>
      <c r="BG784" s="7" t="s">
        <v>235</v>
      </c>
      <c r="BH784" s="7" t="s">
        <v>235</v>
      </c>
      <c r="BI784" s="7"/>
      <c r="BJ784" s="4"/>
      <c r="BK784" s="8"/>
      <c r="BL784" s="2" t="s">
        <v>235</v>
      </c>
      <c r="BM784" s="7"/>
      <c r="BN784" s="7"/>
      <c r="BO784" s="4"/>
      <c r="BP784" s="8"/>
      <c r="BQ784" s="4"/>
      <c r="BR784" s="8"/>
      <c r="BS784" s="7"/>
      <c r="BT784" s="7"/>
      <c r="BU784" s="2" t="s">
        <v>3318</v>
      </c>
      <c r="BV784" s="2" t="s">
        <v>235</v>
      </c>
      <c r="BW784" s="2" t="s">
        <v>235</v>
      </c>
      <c r="BX784" s="2" t="s">
        <v>244</v>
      </c>
      <c r="BY784" s="2" t="s">
        <v>245</v>
      </c>
      <c r="BZ784" s="2" t="s">
        <v>232</v>
      </c>
      <c r="CA784" s="2" t="s">
        <v>235</v>
      </c>
      <c r="CB784" s="2" t="s">
        <v>235</v>
      </c>
      <c r="CC784" s="2" t="s">
        <v>248</v>
      </c>
      <c r="CD784" s="2" t="s">
        <v>248</v>
      </c>
      <c r="CE784" s="2" t="s">
        <v>235</v>
      </c>
      <c r="CF784" s="4">
        <v>742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>
        <v>732</v>
      </c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>
        <v>488</v>
      </c>
      <c r="EI784" s="4"/>
      <c r="EJ784" s="4"/>
      <c r="EK784" s="4"/>
      <c r="EL784" s="4">
        <v>396</v>
      </c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>
        <v>743</v>
      </c>
      <c r="GE784" s="4">
        <v>435</v>
      </c>
      <c r="GF784" s="4">
        <v>1104</v>
      </c>
      <c r="GG784" s="4">
        <v>1003</v>
      </c>
      <c r="GH784" s="4">
        <v>877</v>
      </c>
      <c r="GI784" s="4">
        <v>681</v>
      </c>
      <c r="GJ784" s="4">
        <v>288</v>
      </c>
      <c r="GK784" s="4">
        <v>103</v>
      </c>
      <c r="GL784" s="4"/>
      <c r="GM784" s="4">
        <v>488</v>
      </c>
      <c r="GN784" s="4">
        <v>609</v>
      </c>
      <c r="GO784" s="4">
        <v>508</v>
      </c>
      <c r="GP784" s="4">
        <v>430</v>
      </c>
      <c r="GQ784" s="4">
        <v>361</v>
      </c>
      <c r="GR784" s="4">
        <v>314</v>
      </c>
      <c r="GS784" s="4">
        <v>262</v>
      </c>
      <c r="GT784" s="4">
        <v>213</v>
      </c>
      <c r="GU784" s="4">
        <v>165</v>
      </c>
      <c r="GV784" s="4">
        <v>116</v>
      </c>
      <c r="GW784" s="4">
        <v>81</v>
      </c>
      <c r="GX784" s="4">
        <v>47</v>
      </c>
      <c r="GY784" s="4">
        <v>13</v>
      </c>
      <c r="GZ784" s="4"/>
      <c r="HA784" s="4"/>
      <c r="HB784" s="4">
        <v>457</v>
      </c>
      <c r="HC784" s="4">
        <v>338</v>
      </c>
      <c r="HD784" s="19">
        <v>5</v>
      </c>
      <c r="HE784" s="19">
        <v>3.6</v>
      </c>
      <c r="HF784" s="19">
        <v>5.4</v>
      </c>
      <c r="HG784" s="19">
        <v>4.5</v>
      </c>
      <c r="HH784" s="19">
        <v>4</v>
      </c>
      <c r="HI784" s="19">
        <v>4</v>
      </c>
      <c r="HJ784" s="19">
        <v>2</v>
      </c>
      <c r="HK784" s="19">
        <v>0.9</v>
      </c>
      <c r="HL784" s="20">
        <v>0</v>
      </c>
      <c r="HM784" s="19">
        <v>3.7</v>
      </c>
      <c r="HN784" s="19">
        <v>8.2</v>
      </c>
      <c r="HO784" s="19">
        <v>8.2</v>
      </c>
      <c r="HP784" s="19">
        <v>8</v>
      </c>
      <c r="HQ784" s="19">
        <v>7.4</v>
      </c>
      <c r="HR784" s="19">
        <v>6.3</v>
      </c>
      <c r="HS784" s="19">
        <v>5.8</v>
      </c>
      <c r="HT784" s="19">
        <v>5.1</v>
      </c>
      <c r="HU784" s="19">
        <v>4.3</v>
      </c>
      <c r="HV784" s="19">
        <v>4</v>
      </c>
      <c r="HW784" s="19">
        <v>3.9</v>
      </c>
      <c r="HX784" s="19">
        <v>3.6</v>
      </c>
      <c r="HY784" s="19">
        <v>0.4</v>
      </c>
      <c r="HZ784" s="20">
        <v>0</v>
      </c>
      <c r="IA784" s="20">
        <v>0</v>
      </c>
      <c r="IB784" s="19">
        <v>8.5</v>
      </c>
      <c r="IC784" s="19">
        <v>11.3</v>
      </c>
    </row>
    <row r="785">
      <c r="A785" s="2" t="s">
        <v>3321</v>
      </c>
      <c r="B785" s="2" t="s">
        <v>323</v>
      </c>
      <c r="C785" s="2" t="s">
        <v>1036</v>
      </c>
      <c r="D785" s="2" t="s">
        <v>257</v>
      </c>
      <c r="E785" s="2" t="s">
        <v>258</v>
      </c>
      <c r="F785" s="2" t="s">
        <v>3098</v>
      </c>
      <c r="G785" s="2" t="s">
        <v>3098</v>
      </c>
      <c r="H785" s="2" t="s">
        <v>3098</v>
      </c>
      <c r="I785" s="2" t="s">
        <v>2906</v>
      </c>
      <c r="J785" s="2" t="s">
        <v>270</v>
      </c>
      <c r="K785" s="2" t="s">
        <v>3314</v>
      </c>
      <c r="L785" s="3">
        <v>28.76</v>
      </c>
      <c r="M785" s="3">
        <v>30.2</v>
      </c>
      <c r="N785" s="3">
        <v>62.99</v>
      </c>
      <c r="O785" s="2" t="s">
        <v>232</v>
      </c>
      <c r="P785" s="2" t="s">
        <v>878</v>
      </c>
      <c r="Q785" s="2" t="s">
        <v>234</v>
      </c>
      <c r="R785" s="2" t="s">
        <v>235</v>
      </c>
      <c r="S785" s="2" t="s">
        <v>235</v>
      </c>
      <c r="T785" s="2" t="s">
        <v>2908</v>
      </c>
      <c r="U785" s="2" t="s">
        <v>264</v>
      </c>
      <c r="V785" s="2" t="s">
        <v>2182</v>
      </c>
      <c r="W785" s="2" t="s">
        <v>329</v>
      </c>
      <c r="X785" s="2" t="s">
        <v>235</v>
      </c>
      <c r="Y785" s="2" t="s">
        <v>3317</v>
      </c>
      <c r="Z785" s="4">
        <v>192</v>
      </c>
      <c r="AA785" s="4">
        <f>=ROUNDDOWN({0},0)</f>
      </c>
      <c r="AB785" s="5"/>
      <c r="AC785" s="2" t="s">
        <v>2503</v>
      </c>
      <c r="AD785" s="4">
        <v>193</v>
      </c>
      <c r="AE785" s="4">
        <v>461</v>
      </c>
      <c r="AF785" s="6">
        <v>77</v>
      </c>
      <c r="AG785" s="6"/>
      <c r="AH785" s="7">
        <v>1</v>
      </c>
      <c r="AI785" s="4"/>
      <c r="AJ785" s="4">
        <f>=ROUNDDOWN({0},0)</f>
      </c>
      <c r="AK785" s="5"/>
      <c r="AL785" s="2" t="s">
        <v>235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235</v>
      </c>
      <c r="AW785" s="8" t="s">
        <v>235</v>
      </c>
      <c r="AX785" s="4" t="s">
        <v>235</v>
      </c>
      <c r="AY785" s="8" t="s">
        <v>235</v>
      </c>
      <c r="AZ785" s="7" t="s">
        <v>235</v>
      </c>
      <c r="BA785" s="7" t="s">
        <v>235</v>
      </c>
      <c r="BB785" s="7"/>
      <c r="BC785" s="4" t="s">
        <v>235</v>
      </c>
      <c r="BD785" s="8" t="s">
        <v>235</v>
      </c>
      <c r="BE785" s="4" t="s">
        <v>235</v>
      </c>
      <c r="BF785" s="8" t="s">
        <v>235</v>
      </c>
      <c r="BG785" s="7" t="s">
        <v>235</v>
      </c>
      <c r="BH785" s="7" t="s">
        <v>235</v>
      </c>
      <c r="BI785" s="7"/>
      <c r="BJ785" s="4"/>
      <c r="BK785" s="8"/>
      <c r="BL785" s="2" t="s">
        <v>235</v>
      </c>
      <c r="BM785" s="7"/>
      <c r="BN785" s="7"/>
      <c r="BO785" s="4"/>
      <c r="BP785" s="8"/>
      <c r="BQ785" s="4"/>
      <c r="BR785" s="8"/>
      <c r="BS785" s="7"/>
      <c r="BT785" s="7"/>
      <c r="BU785" s="2" t="s">
        <v>3318</v>
      </c>
      <c r="BV785" s="2" t="s">
        <v>235</v>
      </c>
      <c r="BW785" s="2" t="s">
        <v>235</v>
      </c>
      <c r="BX785" s="2" t="s">
        <v>244</v>
      </c>
      <c r="BY785" s="2" t="s">
        <v>245</v>
      </c>
      <c r="BZ785" s="2" t="s">
        <v>232</v>
      </c>
      <c r="CA785" s="2" t="s">
        <v>235</v>
      </c>
      <c r="CB785" s="2" t="s">
        <v>235</v>
      </c>
      <c r="CC785" s="2" t="s">
        <v>248</v>
      </c>
      <c r="CD785" s="2" t="s">
        <v>248</v>
      </c>
      <c r="CE785" s="2" t="s">
        <v>235</v>
      </c>
      <c r="CF785" s="4">
        <v>192</v>
      </c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>
        <v>193</v>
      </c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>
        <v>129</v>
      </c>
      <c r="EI785" s="4"/>
      <c r="EJ785" s="4"/>
      <c r="EK785" s="4"/>
      <c r="EL785" s="4">
        <v>139</v>
      </c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>
        <v>192</v>
      </c>
      <c r="GE785" s="4">
        <v>138</v>
      </c>
      <c r="GF785" s="4">
        <v>319</v>
      </c>
      <c r="GG785" s="4">
        <v>300</v>
      </c>
      <c r="GH785" s="4">
        <v>277</v>
      </c>
      <c r="GI785" s="4">
        <v>241</v>
      </c>
      <c r="GJ785" s="4">
        <v>169</v>
      </c>
      <c r="GK785" s="4">
        <v>133</v>
      </c>
      <c r="GL785" s="4">
        <v>98</v>
      </c>
      <c r="GM785" s="4">
        <v>203</v>
      </c>
      <c r="GN785" s="4">
        <v>318</v>
      </c>
      <c r="GO785" s="4">
        <v>289</v>
      </c>
      <c r="GP785" s="4">
        <v>258</v>
      </c>
      <c r="GQ785" s="4">
        <v>212</v>
      </c>
      <c r="GR785" s="4">
        <v>188</v>
      </c>
      <c r="GS785" s="4">
        <v>163</v>
      </c>
      <c r="GT785" s="4">
        <v>144</v>
      </c>
      <c r="GU785" s="4">
        <v>128</v>
      </c>
      <c r="GV785" s="4">
        <v>111</v>
      </c>
      <c r="GW785" s="4">
        <v>98</v>
      </c>
      <c r="GX785" s="4">
        <v>87</v>
      </c>
      <c r="GY785" s="4">
        <v>77</v>
      </c>
      <c r="GZ785" s="4">
        <v>67</v>
      </c>
      <c r="HA785" s="4">
        <v>57</v>
      </c>
      <c r="HB785" s="4">
        <v>98</v>
      </c>
      <c r="HC785" s="4">
        <v>88</v>
      </c>
      <c r="HD785" s="19">
        <v>7.1</v>
      </c>
      <c r="HE785" s="19">
        <v>6.3</v>
      </c>
      <c r="HF785" s="19">
        <v>8.4</v>
      </c>
      <c r="HG785" s="19">
        <v>7.1</v>
      </c>
      <c r="HH785" s="19">
        <v>6.2</v>
      </c>
      <c r="HI785" s="19">
        <v>5.7</v>
      </c>
      <c r="HJ785" s="19">
        <v>5.6</v>
      </c>
      <c r="HK785" s="19">
        <v>4.8</v>
      </c>
      <c r="HL785" s="19">
        <v>3.6</v>
      </c>
      <c r="HM785" s="19">
        <v>6.3</v>
      </c>
      <c r="HN785" s="19">
        <v>9.9</v>
      </c>
      <c r="HO785" s="19">
        <v>9</v>
      </c>
      <c r="HP785" s="19">
        <v>9.2</v>
      </c>
      <c r="HQ785" s="19">
        <v>10.1</v>
      </c>
      <c r="HR785" s="19">
        <v>9.9</v>
      </c>
      <c r="HS785" s="19">
        <v>10.2</v>
      </c>
      <c r="HT785" s="19">
        <v>10.3</v>
      </c>
      <c r="HU785" s="19">
        <v>9.8</v>
      </c>
      <c r="HV785" s="19">
        <v>10.1</v>
      </c>
      <c r="HW785" s="19">
        <v>9.8</v>
      </c>
      <c r="HX785" s="19">
        <v>8.7</v>
      </c>
      <c r="HY785" s="19">
        <v>7.7</v>
      </c>
      <c r="HZ785" s="19">
        <v>6.7</v>
      </c>
      <c r="IA785" s="19">
        <v>5.7</v>
      </c>
      <c r="IB785" s="19">
        <v>10.9</v>
      </c>
      <c r="IC785" s="19">
        <v>11</v>
      </c>
    </row>
    <row r="786">
      <c r="A786" s="2" t="s">
        <v>3322</v>
      </c>
      <c r="B786" s="2" t="s">
        <v>323</v>
      </c>
      <c r="C786" s="2" t="s">
        <v>1036</v>
      </c>
      <c r="D786" s="2" t="s">
        <v>257</v>
      </c>
      <c r="E786" s="2" t="s">
        <v>258</v>
      </c>
      <c r="F786" s="2" t="s">
        <v>3098</v>
      </c>
      <c r="G786" s="2" t="s">
        <v>3098</v>
      </c>
      <c r="H786" s="2" t="s">
        <v>3098</v>
      </c>
      <c r="I786" s="2" t="s">
        <v>2906</v>
      </c>
      <c r="J786" s="2" t="s">
        <v>272</v>
      </c>
      <c r="K786" s="2" t="s">
        <v>3314</v>
      </c>
      <c r="L786" s="3">
        <v>28.76</v>
      </c>
      <c r="M786" s="3">
        <v>30.2</v>
      </c>
      <c r="N786" s="3">
        <v>62.99</v>
      </c>
      <c r="O786" s="2" t="s">
        <v>232</v>
      </c>
      <c r="P786" s="2" t="s">
        <v>878</v>
      </c>
      <c r="Q786" s="2" t="s">
        <v>234</v>
      </c>
      <c r="R786" s="2" t="s">
        <v>235</v>
      </c>
      <c r="S786" s="2" t="s">
        <v>235</v>
      </c>
      <c r="T786" s="2" t="s">
        <v>2908</v>
      </c>
      <c r="U786" s="2" t="s">
        <v>264</v>
      </c>
      <c r="V786" s="2" t="s">
        <v>2182</v>
      </c>
      <c r="W786" s="2" t="s">
        <v>329</v>
      </c>
      <c r="X786" s="2" t="s">
        <v>235</v>
      </c>
      <c r="Y786" s="2" t="s">
        <v>3320</v>
      </c>
      <c r="Z786" s="4">
        <v>103</v>
      </c>
      <c r="AA786" s="4">
        <f>=ROUNDDOWN({0},0)</f>
      </c>
      <c r="AB786" s="5"/>
      <c r="AC786" s="2" t="s">
        <v>2503</v>
      </c>
      <c r="AD786" s="4">
        <v>105</v>
      </c>
      <c r="AE786" s="4">
        <v>235</v>
      </c>
      <c r="AF786" s="6">
        <v>77</v>
      </c>
      <c r="AG786" s="6"/>
      <c r="AH786" s="7">
        <v>1</v>
      </c>
      <c r="AI786" s="4"/>
      <c r="AJ786" s="4">
        <f>=ROUNDDOWN({0},0)</f>
      </c>
      <c r="AK786" s="5"/>
      <c r="AL786" s="2" t="s">
        <v>235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235</v>
      </c>
      <c r="AW786" s="8" t="s">
        <v>235</v>
      </c>
      <c r="AX786" s="4" t="s">
        <v>235</v>
      </c>
      <c r="AY786" s="8" t="s">
        <v>235</v>
      </c>
      <c r="AZ786" s="7" t="s">
        <v>235</v>
      </c>
      <c r="BA786" s="7" t="s">
        <v>235</v>
      </c>
      <c r="BB786" s="7"/>
      <c r="BC786" s="4" t="s">
        <v>235</v>
      </c>
      <c r="BD786" s="8" t="s">
        <v>235</v>
      </c>
      <c r="BE786" s="4" t="s">
        <v>235</v>
      </c>
      <c r="BF786" s="8" t="s">
        <v>235</v>
      </c>
      <c r="BG786" s="7" t="s">
        <v>235</v>
      </c>
      <c r="BH786" s="7" t="s">
        <v>235</v>
      </c>
      <c r="BI786" s="7"/>
      <c r="BJ786" s="4"/>
      <c r="BK786" s="8"/>
      <c r="BL786" s="2" t="s">
        <v>235</v>
      </c>
      <c r="BM786" s="7"/>
      <c r="BN786" s="7"/>
      <c r="BO786" s="4"/>
      <c r="BP786" s="8"/>
      <c r="BQ786" s="4"/>
      <c r="BR786" s="8"/>
      <c r="BS786" s="7"/>
      <c r="BT786" s="7"/>
      <c r="BU786" s="2" t="s">
        <v>3318</v>
      </c>
      <c r="BV786" s="2" t="s">
        <v>235</v>
      </c>
      <c r="BW786" s="2" t="s">
        <v>235</v>
      </c>
      <c r="BX786" s="2" t="s">
        <v>244</v>
      </c>
      <c r="BY786" s="2" t="s">
        <v>245</v>
      </c>
      <c r="BZ786" s="2" t="s">
        <v>232</v>
      </c>
      <c r="CA786" s="2" t="s">
        <v>235</v>
      </c>
      <c r="CB786" s="2" t="s">
        <v>235</v>
      </c>
      <c r="CC786" s="2" t="s">
        <v>248</v>
      </c>
      <c r="CD786" s="2" t="s">
        <v>248</v>
      </c>
      <c r="CE786" s="2" t="s">
        <v>235</v>
      </c>
      <c r="CF786" s="4">
        <v>103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>
        <v>105</v>
      </c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>
        <v>70</v>
      </c>
      <c r="EI786" s="4"/>
      <c r="EJ786" s="4"/>
      <c r="EK786" s="4"/>
      <c r="EL786" s="4">
        <v>60</v>
      </c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>
        <v>104</v>
      </c>
      <c r="GE786" s="4">
        <v>90</v>
      </c>
      <c r="GF786" s="4">
        <v>191</v>
      </c>
      <c r="GG786" s="4">
        <v>185</v>
      </c>
      <c r="GH786" s="4">
        <v>178</v>
      </c>
      <c r="GI786" s="4">
        <v>167</v>
      </c>
      <c r="GJ786" s="4">
        <v>144</v>
      </c>
      <c r="GK786" s="4">
        <v>131</v>
      </c>
      <c r="GL786" s="4">
        <v>119</v>
      </c>
      <c r="GM786" s="4">
        <v>180</v>
      </c>
      <c r="GN786" s="4">
        <v>226</v>
      </c>
      <c r="GO786" s="4">
        <v>209</v>
      </c>
      <c r="GP786" s="4">
        <v>187</v>
      </c>
      <c r="GQ786" s="4">
        <v>148</v>
      </c>
      <c r="GR786" s="4">
        <v>129</v>
      </c>
      <c r="GS786" s="4">
        <v>110</v>
      </c>
      <c r="GT786" s="4">
        <v>97</v>
      </c>
      <c r="GU786" s="4">
        <v>87</v>
      </c>
      <c r="GV786" s="4">
        <v>76</v>
      </c>
      <c r="GW786" s="4">
        <v>67</v>
      </c>
      <c r="GX786" s="4">
        <v>60</v>
      </c>
      <c r="GY786" s="4">
        <v>54</v>
      </c>
      <c r="GZ786" s="4">
        <v>48</v>
      </c>
      <c r="HA786" s="4">
        <v>42</v>
      </c>
      <c r="HB786" s="4">
        <v>56</v>
      </c>
      <c r="HC786" s="4">
        <v>50</v>
      </c>
      <c r="HD786" s="19">
        <v>13</v>
      </c>
      <c r="HE786" s="19">
        <v>12.9</v>
      </c>
      <c r="HF786" s="19">
        <v>15.9</v>
      </c>
      <c r="HG786" s="19">
        <v>13.2</v>
      </c>
      <c r="HH786" s="19">
        <v>11.9</v>
      </c>
      <c r="HI786" s="19">
        <v>11.9</v>
      </c>
      <c r="HJ786" s="19">
        <v>12</v>
      </c>
      <c r="HK786" s="19">
        <v>10.1</v>
      </c>
      <c r="HL786" s="19">
        <v>7.4</v>
      </c>
      <c r="HM786" s="19">
        <v>7.8</v>
      </c>
      <c r="HN786" s="19">
        <v>9.4</v>
      </c>
      <c r="HO786" s="19">
        <v>8.4</v>
      </c>
      <c r="HP786" s="19">
        <v>8.5</v>
      </c>
      <c r="HQ786" s="19">
        <v>9.9</v>
      </c>
      <c r="HR786" s="19">
        <v>9.9</v>
      </c>
      <c r="HS786" s="19">
        <v>10</v>
      </c>
      <c r="HT786" s="19">
        <v>10.8</v>
      </c>
      <c r="HU786" s="19">
        <v>10.9</v>
      </c>
      <c r="HV786" s="19">
        <v>10.9</v>
      </c>
      <c r="HW786" s="19">
        <v>11.2</v>
      </c>
      <c r="HX786" s="19">
        <v>10</v>
      </c>
      <c r="HY786" s="19">
        <v>9</v>
      </c>
      <c r="HZ786" s="19">
        <v>8</v>
      </c>
      <c r="IA786" s="19">
        <v>7</v>
      </c>
      <c r="IB786" s="19">
        <v>11.2</v>
      </c>
      <c r="IC786" s="19">
        <v>12.5</v>
      </c>
    </row>
    <row r="787">
      <c r="A787" s="2" t="s">
        <v>3323</v>
      </c>
      <c r="B787" s="2" t="s">
        <v>323</v>
      </c>
      <c r="C787" s="2" t="s">
        <v>1036</v>
      </c>
      <c r="D787" s="2" t="s">
        <v>257</v>
      </c>
      <c r="E787" s="2" t="s">
        <v>258</v>
      </c>
      <c r="F787" s="2" t="s">
        <v>3098</v>
      </c>
      <c r="G787" s="2" t="s">
        <v>3098</v>
      </c>
      <c r="H787" s="2" t="s">
        <v>3098</v>
      </c>
      <c r="I787" s="2" t="s">
        <v>3099</v>
      </c>
      <c r="J787" s="2" t="s">
        <v>394</v>
      </c>
      <c r="K787" s="2" t="s">
        <v>3324</v>
      </c>
      <c r="L787" s="3">
        <v>14.89</v>
      </c>
      <c r="M787" s="3">
        <v>15.63</v>
      </c>
      <c r="N787" s="3">
        <v>31.99</v>
      </c>
      <c r="O787" s="2" t="s">
        <v>232</v>
      </c>
      <c r="P787" s="2" t="s">
        <v>336</v>
      </c>
      <c r="Q787" s="2" t="s">
        <v>234</v>
      </c>
      <c r="R787" s="2" t="s">
        <v>235</v>
      </c>
      <c r="S787" s="2" t="s">
        <v>3325</v>
      </c>
      <c r="T787" s="2" t="s">
        <v>2908</v>
      </c>
      <c r="U787" s="2" t="s">
        <v>235</v>
      </c>
      <c r="V787" s="2" t="s">
        <v>238</v>
      </c>
      <c r="W787" s="2" t="s">
        <v>239</v>
      </c>
      <c r="X787" s="2" t="s">
        <v>235</v>
      </c>
      <c r="Y787" s="2" t="s">
        <v>3326</v>
      </c>
      <c r="Z787" s="4">
        <v>570</v>
      </c>
      <c r="AA787" s="4">
        <f>=ROUNDDOWN(14.6153846153846,0)</f>
      </c>
      <c r="AB787" s="5">
        <v>39</v>
      </c>
      <c r="AC787" s="2" t="s">
        <v>168</v>
      </c>
      <c r="AD787" s="4">
        <v>264</v>
      </c>
      <c r="AE787" s="4">
        <v>406</v>
      </c>
      <c r="AF787" s="6">
        <v>73</v>
      </c>
      <c r="AG787" s="6"/>
      <c r="AH787" s="7">
        <v>1</v>
      </c>
      <c r="AI787" s="4"/>
      <c r="AJ787" s="4">
        <f>=ROUNDDOWN({0},0)</f>
      </c>
      <c r="AK787" s="5"/>
      <c r="AL787" s="2" t="s">
        <v>235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235</v>
      </c>
      <c r="AW787" s="8" t="s">
        <v>235</v>
      </c>
      <c r="AX787" s="4" t="s">
        <v>235</v>
      </c>
      <c r="AY787" s="8" t="s">
        <v>235</v>
      </c>
      <c r="AZ787" s="7" t="s">
        <v>235</v>
      </c>
      <c r="BA787" s="7" t="s">
        <v>235</v>
      </c>
      <c r="BB787" s="7"/>
      <c r="BC787" s="4" t="s">
        <v>235</v>
      </c>
      <c r="BD787" s="8" t="s">
        <v>235</v>
      </c>
      <c r="BE787" s="4" t="s">
        <v>235</v>
      </c>
      <c r="BF787" s="8" t="s">
        <v>235</v>
      </c>
      <c r="BG787" s="7" t="s">
        <v>235</v>
      </c>
      <c r="BH787" s="7" t="s">
        <v>235</v>
      </c>
      <c r="BI787" s="7"/>
      <c r="BJ787" s="4">
        <v>82</v>
      </c>
      <c r="BK787" s="8">
        <v>1304.11</v>
      </c>
      <c r="BL787" s="2" t="s">
        <v>3086</v>
      </c>
      <c r="BM787" s="7"/>
      <c r="BN787" s="7"/>
      <c r="BO787" s="4"/>
      <c r="BP787" s="8"/>
      <c r="BQ787" s="4"/>
      <c r="BR787" s="8"/>
      <c r="BS787" s="7"/>
      <c r="BT787" s="7"/>
      <c r="BU787" s="2" t="s">
        <v>3105</v>
      </c>
      <c r="BV787" s="2" t="s">
        <v>243</v>
      </c>
      <c r="BW787" s="2" t="s">
        <v>235</v>
      </c>
      <c r="BX787" s="2" t="s">
        <v>383</v>
      </c>
      <c r="BY787" s="2" t="s">
        <v>245</v>
      </c>
      <c r="BZ787" s="2" t="s">
        <v>232</v>
      </c>
      <c r="CA787" s="2" t="s">
        <v>3201</v>
      </c>
      <c r="CB787" s="2" t="s">
        <v>3327</v>
      </c>
      <c r="CC787" s="2" t="s">
        <v>248</v>
      </c>
      <c r="CD787" s="2" t="s">
        <v>248</v>
      </c>
      <c r="CE787" s="2" t="s">
        <v>235</v>
      </c>
      <c r="CF787" s="4">
        <v>570</v>
      </c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>
        <v>264</v>
      </c>
      <c r="ED787" s="4"/>
      <c r="EE787" s="4"/>
      <c r="EF787" s="4"/>
      <c r="EG787" s="4"/>
      <c r="EH787" s="4"/>
      <c r="EI787" s="4"/>
      <c r="EJ787" s="4">
        <v>142</v>
      </c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>
        <v>623</v>
      </c>
      <c r="GE787" s="4">
        <v>618</v>
      </c>
      <c r="GF787" s="4">
        <v>615</v>
      </c>
      <c r="GG787" s="4">
        <v>574</v>
      </c>
      <c r="GH787" s="4">
        <v>505</v>
      </c>
      <c r="GI787" s="4">
        <v>397</v>
      </c>
      <c r="GJ787" s="4">
        <v>186</v>
      </c>
      <c r="GK787" s="4">
        <v>348</v>
      </c>
      <c r="GL787" s="4">
        <v>250</v>
      </c>
      <c r="GM787" s="4">
        <v>327</v>
      </c>
      <c r="GN787" s="4">
        <v>274</v>
      </c>
      <c r="GO787" s="4">
        <v>212</v>
      </c>
      <c r="GP787" s="4">
        <v>157</v>
      </c>
      <c r="GQ787" s="4">
        <v>94</v>
      </c>
      <c r="GR787" s="4">
        <v>57</v>
      </c>
      <c r="GS787" s="4">
        <v>17</v>
      </c>
      <c r="GT787" s="4"/>
      <c r="GU787" s="4"/>
      <c r="GV787" s="4"/>
      <c r="GW787" s="4"/>
      <c r="GX787" s="4"/>
      <c r="GY787" s="4"/>
      <c r="GZ787" s="4"/>
      <c r="HA787" s="4">
        <v>250</v>
      </c>
      <c r="HB787" s="4">
        <v>229</v>
      </c>
      <c r="HC787" s="4">
        <v>208</v>
      </c>
      <c r="HD787" s="19">
        <v>20.8</v>
      </c>
      <c r="HE787" s="19">
        <v>11.2</v>
      </c>
      <c r="HF787" s="19">
        <v>5.7</v>
      </c>
      <c r="HG787" s="19">
        <v>4.7</v>
      </c>
      <c r="HH787" s="19">
        <v>3.9</v>
      </c>
      <c r="HI787" s="19">
        <v>3.3</v>
      </c>
      <c r="HJ787" s="19">
        <v>2.3</v>
      </c>
      <c r="HK787" s="19">
        <v>5</v>
      </c>
      <c r="HL787" s="19">
        <v>4.2</v>
      </c>
      <c r="HM787" s="19">
        <v>5.6</v>
      </c>
      <c r="HN787" s="19">
        <v>5.1</v>
      </c>
      <c r="HO787" s="19">
        <v>4.3</v>
      </c>
      <c r="HP787" s="19">
        <v>4</v>
      </c>
      <c r="HQ787" s="19">
        <v>3.6</v>
      </c>
      <c r="HR787" s="19">
        <v>3.2</v>
      </c>
      <c r="HS787" s="19">
        <v>1.7</v>
      </c>
      <c r="HT787" s="20">
        <v>0</v>
      </c>
      <c r="HU787" s="20">
        <v>0</v>
      </c>
      <c r="HV787" s="20">
        <v>0</v>
      </c>
      <c r="HW787" s="20">
        <v>0</v>
      </c>
      <c r="HX787" s="20">
        <v>0</v>
      </c>
      <c r="HY787" s="20">
        <v>0</v>
      </c>
      <c r="HZ787" s="20">
        <v>0</v>
      </c>
      <c r="IA787" s="19">
        <v>12.5</v>
      </c>
      <c r="IB787" s="19">
        <v>12.1</v>
      </c>
      <c r="IC787" s="19">
        <v>11.6</v>
      </c>
    </row>
    <row r="788">
      <c r="A788" s="2" t="s">
        <v>3328</v>
      </c>
      <c r="B788" s="2" t="s">
        <v>323</v>
      </c>
      <c r="C788" s="2" t="s">
        <v>1036</v>
      </c>
      <c r="D788" s="2" t="s">
        <v>257</v>
      </c>
      <c r="E788" s="2" t="s">
        <v>258</v>
      </c>
      <c r="F788" s="2" t="s">
        <v>3098</v>
      </c>
      <c r="G788" s="2" t="s">
        <v>3098</v>
      </c>
      <c r="H788" s="2" t="s">
        <v>3098</v>
      </c>
      <c r="I788" s="2" t="s">
        <v>3099</v>
      </c>
      <c r="J788" s="2" t="s">
        <v>261</v>
      </c>
      <c r="K788" s="2" t="s">
        <v>3324</v>
      </c>
      <c r="L788" s="3">
        <v>22.21</v>
      </c>
      <c r="M788" s="3">
        <v>23.32</v>
      </c>
      <c r="N788" s="3">
        <v>47.99</v>
      </c>
      <c r="O788" s="2" t="s">
        <v>232</v>
      </c>
      <c r="P788" s="2" t="s">
        <v>698</v>
      </c>
      <c r="Q788" s="2" t="s">
        <v>234</v>
      </c>
      <c r="R788" s="2" t="s">
        <v>235</v>
      </c>
      <c r="S788" s="2" t="s">
        <v>3325</v>
      </c>
      <c r="T788" s="2" t="s">
        <v>2908</v>
      </c>
      <c r="U788" s="2" t="s">
        <v>235</v>
      </c>
      <c r="V788" s="2" t="s">
        <v>238</v>
      </c>
      <c r="W788" s="2" t="s">
        <v>235</v>
      </c>
      <c r="X788" s="2" t="s">
        <v>235</v>
      </c>
      <c r="Y788" s="2" t="s">
        <v>240</v>
      </c>
      <c r="Z788" s="4">
        <v>637</v>
      </c>
      <c r="AA788" s="4">
        <f>=ROUNDDOWN(11.375,0)</f>
      </c>
      <c r="AB788" s="5">
        <v>56</v>
      </c>
      <c r="AC788" s="2" t="s">
        <v>2503</v>
      </c>
      <c r="AD788" s="4">
        <v>4</v>
      </c>
      <c r="AE788" s="4">
        <v>589</v>
      </c>
      <c r="AF788" s="6">
        <v>73</v>
      </c>
      <c r="AG788" s="6"/>
      <c r="AH788" s="7">
        <v>1</v>
      </c>
      <c r="AI788" s="4"/>
      <c r="AJ788" s="4">
        <f>=ROUNDDOWN({0},0)</f>
      </c>
      <c r="AK788" s="5"/>
      <c r="AL788" s="2" t="s">
        <v>235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235</v>
      </c>
      <c r="AW788" s="8" t="s">
        <v>235</v>
      </c>
      <c r="AX788" s="4" t="s">
        <v>235</v>
      </c>
      <c r="AY788" s="8" t="s">
        <v>235</v>
      </c>
      <c r="AZ788" s="7" t="s">
        <v>235</v>
      </c>
      <c r="BA788" s="7" t="s">
        <v>235</v>
      </c>
      <c r="BB788" s="7"/>
      <c r="BC788" s="4" t="s">
        <v>235</v>
      </c>
      <c r="BD788" s="8" t="s">
        <v>235</v>
      </c>
      <c r="BE788" s="4" t="s">
        <v>235</v>
      </c>
      <c r="BF788" s="8" t="s">
        <v>235</v>
      </c>
      <c r="BG788" s="7" t="s">
        <v>235</v>
      </c>
      <c r="BH788" s="7" t="s">
        <v>235</v>
      </c>
      <c r="BI788" s="7"/>
      <c r="BJ788" s="4">
        <v>193</v>
      </c>
      <c r="BK788" s="8">
        <v>4688.26</v>
      </c>
      <c r="BL788" s="2" t="s">
        <v>3329</v>
      </c>
      <c r="BM788" s="7"/>
      <c r="BN788" s="7"/>
      <c r="BO788" s="4"/>
      <c r="BP788" s="8"/>
      <c r="BQ788" s="4"/>
      <c r="BR788" s="8"/>
      <c r="BS788" s="7"/>
      <c r="BT788" s="7"/>
      <c r="BU788" s="2" t="s">
        <v>3105</v>
      </c>
      <c r="BV788" s="2" t="s">
        <v>243</v>
      </c>
      <c r="BW788" s="2" t="s">
        <v>235</v>
      </c>
      <c r="BX788" s="2" t="s">
        <v>383</v>
      </c>
      <c r="BY788" s="2" t="s">
        <v>245</v>
      </c>
      <c r="BZ788" s="2" t="s">
        <v>232</v>
      </c>
      <c r="CA788" s="2" t="s">
        <v>3201</v>
      </c>
      <c r="CB788" s="2" t="s">
        <v>3330</v>
      </c>
      <c r="CC788" s="2" t="s">
        <v>248</v>
      </c>
      <c r="CD788" s="2" t="s">
        <v>248</v>
      </c>
      <c r="CE788" s="2" t="s">
        <v>235</v>
      </c>
      <c r="CF788" s="4">
        <v>637</v>
      </c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>
        <v>4</v>
      </c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>
        <v>292</v>
      </c>
      <c r="ED788" s="4"/>
      <c r="EE788" s="4"/>
      <c r="EF788" s="4"/>
      <c r="EG788" s="4"/>
      <c r="EH788" s="4"/>
      <c r="EI788" s="4"/>
      <c r="EJ788" s="4">
        <v>203</v>
      </c>
      <c r="EK788" s="4"/>
      <c r="EL788" s="4"/>
      <c r="EM788" s="4"/>
      <c r="EN788" s="4"/>
      <c r="EO788" s="4"/>
      <c r="EP788" s="4"/>
      <c r="EQ788" s="4">
        <v>90</v>
      </c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>
        <v>637</v>
      </c>
      <c r="GE788" s="4">
        <v>630</v>
      </c>
      <c r="GF788" s="4">
        <v>628</v>
      </c>
      <c r="GG788" s="4">
        <v>622</v>
      </c>
      <c r="GH788" s="4">
        <v>616</v>
      </c>
      <c r="GI788" s="4">
        <v>573</v>
      </c>
      <c r="GJ788" s="4">
        <v>376</v>
      </c>
      <c r="GK788" s="4">
        <v>570</v>
      </c>
      <c r="GL788" s="4">
        <v>475</v>
      </c>
      <c r="GM788" s="4">
        <v>613</v>
      </c>
      <c r="GN788" s="4">
        <v>646</v>
      </c>
      <c r="GO788" s="4">
        <v>579</v>
      </c>
      <c r="GP788" s="4">
        <v>512</v>
      </c>
      <c r="GQ788" s="4">
        <v>420</v>
      </c>
      <c r="GR788" s="4">
        <v>370</v>
      </c>
      <c r="GS788" s="4">
        <v>307</v>
      </c>
      <c r="GT788" s="4">
        <v>255</v>
      </c>
      <c r="GU788" s="4">
        <v>209</v>
      </c>
      <c r="GV788" s="4">
        <v>160</v>
      </c>
      <c r="GW788" s="4">
        <v>125</v>
      </c>
      <c r="GX788" s="4">
        <v>93</v>
      </c>
      <c r="GY788" s="4">
        <v>63</v>
      </c>
      <c r="GZ788" s="4">
        <v>32</v>
      </c>
      <c r="HA788" s="4">
        <v>351</v>
      </c>
      <c r="HB788" s="4">
        <v>320</v>
      </c>
      <c r="HC788" s="4">
        <v>289</v>
      </c>
      <c r="HD788" s="19">
        <v>106.2</v>
      </c>
      <c r="HE788" s="19">
        <v>42</v>
      </c>
      <c r="HF788" s="19">
        <v>10</v>
      </c>
      <c r="HG788" s="19">
        <v>7.2</v>
      </c>
      <c r="HH788" s="19">
        <v>5.7</v>
      </c>
      <c r="HI788" s="19">
        <v>5</v>
      </c>
      <c r="HJ788" s="19">
        <v>4.8</v>
      </c>
      <c r="HK788" s="19">
        <v>8</v>
      </c>
      <c r="HL788" s="19">
        <v>7.4</v>
      </c>
      <c r="HM788" s="19">
        <v>8.6</v>
      </c>
      <c r="HN788" s="19">
        <v>9.4</v>
      </c>
      <c r="HO788" s="19">
        <v>8.5</v>
      </c>
      <c r="HP788" s="19">
        <v>8</v>
      </c>
      <c r="HQ788" s="19">
        <v>7.9</v>
      </c>
      <c r="HR788" s="19">
        <v>7.1</v>
      </c>
      <c r="HS788" s="19">
        <v>6.7</v>
      </c>
      <c r="HT788" s="19">
        <v>6.4</v>
      </c>
      <c r="HU788" s="19">
        <v>5.8</v>
      </c>
      <c r="HV788" s="19">
        <v>5</v>
      </c>
      <c r="HW788" s="19">
        <v>4</v>
      </c>
      <c r="HX788" s="19">
        <v>3</v>
      </c>
      <c r="HY788" s="19">
        <v>2</v>
      </c>
      <c r="HZ788" s="19">
        <v>1.1</v>
      </c>
      <c r="IA788" s="19">
        <v>11.7</v>
      </c>
      <c r="IB788" s="19">
        <v>11.4</v>
      </c>
      <c r="IC788" s="19">
        <v>11.1</v>
      </c>
    </row>
    <row r="789">
      <c r="A789" s="2" t="s">
        <v>3331</v>
      </c>
      <c r="B789" s="2" t="s">
        <v>323</v>
      </c>
      <c r="C789" s="2" t="s">
        <v>1036</v>
      </c>
      <c r="D789" s="2" t="s">
        <v>257</v>
      </c>
      <c r="E789" s="2" t="s">
        <v>258</v>
      </c>
      <c r="F789" s="2" t="s">
        <v>3098</v>
      </c>
      <c r="G789" s="2" t="s">
        <v>3098</v>
      </c>
      <c r="H789" s="2" t="s">
        <v>3098</v>
      </c>
      <c r="I789" s="2" t="s">
        <v>3099</v>
      </c>
      <c r="J789" s="2" t="s">
        <v>270</v>
      </c>
      <c r="K789" s="2" t="s">
        <v>3324</v>
      </c>
      <c r="L789" s="3">
        <v>27.39</v>
      </c>
      <c r="M789" s="3">
        <v>28.76</v>
      </c>
      <c r="N789" s="3">
        <v>62.99</v>
      </c>
      <c r="O789" s="2" t="s">
        <v>232</v>
      </c>
      <c r="P789" s="2" t="s">
        <v>233</v>
      </c>
      <c r="Q789" s="2" t="s">
        <v>234</v>
      </c>
      <c r="R789" s="2" t="s">
        <v>235</v>
      </c>
      <c r="S789" s="2" t="s">
        <v>3325</v>
      </c>
      <c r="T789" s="2" t="s">
        <v>2908</v>
      </c>
      <c r="U789" s="2" t="s">
        <v>235</v>
      </c>
      <c r="V789" s="2" t="s">
        <v>238</v>
      </c>
      <c r="W789" s="2" t="s">
        <v>239</v>
      </c>
      <c r="X789" s="2" t="s">
        <v>235</v>
      </c>
      <c r="Y789" s="2" t="s">
        <v>240</v>
      </c>
      <c r="Z789" s="4">
        <v>551</v>
      </c>
      <c r="AA789" s="4">
        <f>=ROUNDDOWN(34.4375,0)</f>
      </c>
      <c r="AB789" s="5">
        <v>16</v>
      </c>
      <c r="AC789" s="2" t="s">
        <v>168</v>
      </c>
      <c r="AD789" s="4">
        <v>184</v>
      </c>
      <c r="AE789" s="4">
        <v>277</v>
      </c>
      <c r="AF789" s="6">
        <v>73</v>
      </c>
      <c r="AG789" s="6"/>
      <c r="AH789" s="7">
        <v>1</v>
      </c>
      <c r="AI789" s="4"/>
      <c r="AJ789" s="4">
        <f>=ROUNDDOWN({0},0)</f>
      </c>
      <c r="AK789" s="5"/>
      <c r="AL789" s="2" t="s">
        <v>235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235</v>
      </c>
      <c r="AW789" s="8" t="s">
        <v>235</v>
      </c>
      <c r="AX789" s="4" t="s">
        <v>235</v>
      </c>
      <c r="AY789" s="8" t="s">
        <v>235</v>
      </c>
      <c r="AZ789" s="7" t="s">
        <v>235</v>
      </c>
      <c r="BA789" s="7" t="s">
        <v>235</v>
      </c>
      <c r="BB789" s="7"/>
      <c r="BC789" s="4" t="s">
        <v>235</v>
      </c>
      <c r="BD789" s="8" t="s">
        <v>235</v>
      </c>
      <c r="BE789" s="4" t="s">
        <v>235</v>
      </c>
      <c r="BF789" s="8" t="s">
        <v>235</v>
      </c>
      <c r="BG789" s="7" t="s">
        <v>235</v>
      </c>
      <c r="BH789" s="7" t="s">
        <v>235</v>
      </c>
      <c r="BI789" s="7"/>
      <c r="BJ789" s="4">
        <v>4</v>
      </c>
      <c r="BK789" s="8">
        <v>144.06</v>
      </c>
      <c r="BL789" s="2" t="s">
        <v>3188</v>
      </c>
      <c r="BM789" s="7"/>
      <c r="BN789" s="7"/>
      <c r="BO789" s="4"/>
      <c r="BP789" s="8"/>
      <c r="BQ789" s="4"/>
      <c r="BR789" s="8"/>
      <c r="BS789" s="7"/>
      <c r="BT789" s="7"/>
      <c r="BU789" s="2" t="s">
        <v>3105</v>
      </c>
      <c r="BV789" s="2" t="s">
        <v>243</v>
      </c>
      <c r="BW789" s="2" t="s">
        <v>235</v>
      </c>
      <c r="BX789" s="2" t="s">
        <v>383</v>
      </c>
      <c r="BY789" s="2" t="s">
        <v>245</v>
      </c>
      <c r="BZ789" s="2" t="s">
        <v>232</v>
      </c>
      <c r="CA789" s="2" t="s">
        <v>3201</v>
      </c>
      <c r="CB789" s="2" t="s">
        <v>3332</v>
      </c>
      <c r="CC789" s="2" t="s">
        <v>248</v>
      </c>
      <c r="CD789" s="2" t="s">
        <v>248</v>
      </c>
      <c r="CE789" s="2" t="s">
        <v>235</v>
      </c>
      <c r="CF789" s="4">
        <v>551</v>
      </c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>
        <v>184</v>
      </c>
      <c r="ED789" s="4"/>
      <c r="EE789" s="4"/>
      <c r="EF789" s="4"/>
      <c r="EG789" s="4"/>
      <c r="EH789" s="4"/>
      <c r="EI789" s="4"/>
      <c r="EJ789" s="4">
        <v>93</v>
      </c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>
        <v>552</v>
      </c>
      <c r="GE789" s="4">
        <v>500</v>
      </c>
      <c r="GF789" s="4">
        <v>487</v>
      </c>
      <c r="GG789" s="4">
        <v>468</v>
      </c>
      <c r="GH789" s="4">
        <v>445</v>
      </c>
      <c r="GI789" s="4">
        <v>408</v>
      </c>
      <c r="GJ789" s="4">
        <v>340</v>
      </c>
      <c r="GK789" s="4">
        <v>489</v>
      </c>
      <c r="GL789" s="4">
        <v>455</v>
      </c>
      <c r="GM789" s="4">
        <v>524</v>
      </c>
      <c r="GN789" s="4">
        <v>501</v>
      </c>
      <c r="GO789" s="4">
        <v>474</v>
      </c>
      <c r="GP789" s="4">
        <v>444</v>
      </c>
      <c r="GQ789" s="4">
        <v>399</v>
      </c>
      <c r="GR789" s="4">
        <v>376</v>
      </c>
      <c r="GS789" s="4">
        <v>352</v>
      </c>
      <c r="GT789" s="4">
        <v>334</v>
      </c>
      <c r="GU789" s="4">
        <v>319</v>
      </c>
      <c r="GV789" s="4">
        <v>303</v>
      </c>
      <c r="GW789" s="4">
        <v>291</v>
      </c>
      <c r="GX789" s="4">
        <v>281</v>
      </c>
      <c r="GY789" s="4">
        <v>272</v>
      </c>
      <c r="GZ789" s="4">
        <v>263</v>
      </c>
      <c r="HA789" s="4">
        <v>254</v>
      </c>
      <c r="HB789" s="4">
        <v>245</v>
      </c>
      <c r="HC789" s="4">
        <v>236</v>
      </c>
      <c r="HD789" s="19">
        <v>20.4</v>
      </c>
      <c r="HE789" s="19">
        <v>21.7</v>
      </c>
      <c r="HF789" s="19">
        <v>13.2</v>
      </c>
      <c r="HG789" s="19">
        <v>11.4</v>
      </c>
      <c r="HH789" s="19">
        <v>10.1</v>
      </c>
      <c r="HI789" s="19">
        <v>10.2</v>
      </c>
      <c r="HJ789" s="19">
        <v>11.7</v>
      </c>
      <c r="HK789" s="19">
        <v>18.1</v>
      </c>
      <c r="HL789" s="19">
        <v>17.5</v>
      </c>
      <c r="HM789" s="19">
        <v>16.9</v>
      </c>
      <c r="HN789" s="19">
        <v>16.2</v>
      </c>
      <c r="HO789" s="19">
        <v>15.8</v>
      </c>
      <c r="HP789" s="19">
        <v>15.9</v>
      </c>
      <c r="HQ789" s="19">
        <v>20</v>
      </c>
      <c r="HR789" s="19">
        <v>20.9</v>
      </c>
      <c r="HS789" s="19">
        <v>23.5</v>
      </c>
      <c r="HT789" s="19">
        <v>25.7</v>
      </c>
      <c r="HU789" s="19">
        <v>26.6</v>
      </c>
      <c r="HV789" s="19">
        <v>30.3</v>
      </c>
      <c r="HW789" s="19">
        <v>32.3</v>
      </c>
      <c r="HX789" s="19">
        <v>31.2</v>
      </c>
      <c r="HY789" s="19">
        <v>30.2</v>
      </c>
      <c r="HZ789" s="19">
        <v>29.2</v>
      </c>
      <c r="IA789" s="19">
        <v>31.8</v>
      </c>
      <c r="IB789" s="19">
        <v>30.6</v>
      </c>
      <c r="IC789" s="19">
        <v>29.5</v>
      </c>
    </row>
    <row r="790">
      <c r="A790" s="2" t="s">
        <v>3333</v>
      </c>
      <c r="B790" s="2" t="s">
        <v>323</v>
      </c>
      <c r="C790" s="2" t="s">
        <v>1036</v>
      </c>
      <c r="D790" s="2" t="s">
        <v>257</v>
      </c>
      <c r="E790" s="2" t="s">
        <v>258</v>
      </c>
      <c r="F790" s="2" t="s">
        <v>3098</v>
      </c>
      <c r="G790" s="2" t="s">
        <v>3098</v>
      </c>
      <c r="H790" s="2" t="s">
        <v>3098</v>
      </c>
      <c r="I790" s="2" t="s">
        <v>3099</v>
      </c>
      <c r="J790" s="2" t="s">
        <v>272</v>
      </c>
      <c r="K790" s="2" t="s">
        <v>3324</v>
      </c>
      <c r="L790" s="3">
        <v>27.39</v>
      </c>
      <c r="M790" s="3">
        <v>28.76</v>
      </c>
      <c r="N790" s="3">
        <v>62.99</v>
      </c>
      <c r="O790" s="2" t="s">
        <v>232</v>
      </c>
      <c r="P790" s="2" t="s">
        <v>233</v>
      </c>
      <c r="Q790" s="2" t="s">
        <v>234</v>
      </c>
      <c r="R790" s="2" t="s">
        <v>235</v>
      </c>
      <c r="S790" s="2" t="s">
        <v>3325</v>
      </c>
      <c r="T790" s="2" t="s">
        <v>2908</v>
      </c>
      <c r="U790" s="2" t="s">
        <v>235</v>
      </c>
      <c r="V790" s="2" t="s">
        <v>238</v>
      </c>
      <c r="W790" s="2" t="s">
        <v>239</v>
      </c>
      <c r="X790" s="2" t="s">
        <v>235</v>
      </c>
      <c r="Y790" s="2" t="s">
        <v>240</v>
      </c>
      <c r="Z790" s="4">
        <v>533</v>
      </c>
      <c r="AA790" s="4">
        <f>=ROUNDDOWN(106.6,0)</f>
      </c>
      <c r="AB790" s="5">
        <v>5</v>
      </c>
      <c r="AC790" s="2" t="s">
        <v>235</v>
      </c>
      <c r="AD790" s="4"/>
      <c r="AE790" s="4"/>
      <c r="AF790" s="6">
        <v>73</v>
      </c>
      <c r="AG790" s="6"/>
      <c r="AH790" s="7">
        <v>1</v>
      </c>
      <c r="AI790" s="4"/>
      <c r="AJ790" s="4">
        <f>=ROUNDDOWN({0},0)</f>
      </c>
      <c r="AK790" s="5"/>
      <c r="AL790" s="2" t="s">
        <v>235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235</v>
      </c>
      <c r="AW790" s="8" t="s">
        <v>235</v>
      </c>
      <c r="AX790" s="4" t="s">
        <v>235</v>
      </c>
      <c r="AY790" s="8" t="s">
        <v>235</v>
      </c>
      <c r="AZ790" s="7" t="s">
        <v>235</v>
      </c>
      <c r="BA790" s="7" t="s">
        <v>235</v>
      </c>
      <c r="BB790" s="7"/>
      <c r="BC790" s="4" t="s">
        <v>235</v>
      </c>
      <c r="BD790" s="8" t="s">
        <v>235</v>
      </c>
      <c r="BE790" s="4" t="s">
        <v>235</v>
      </c>
      <c r="BF790" s="8" t="s">
        <v>235</v>
      </c>
      <c r="BG790" s="7" t="s">
        <v>235</v>
      </c>
      <c r="BH790" s="7" t="s">
        <v>235</v>
      </c>
      <c r="BI790" s="7"/>
      <c r="BJ790" s="4">
        <v>3</v>
      </c>
      <c r="BK790" s="8">
        <v>114.93</v>
      </c>
      <c r="BL790" s="2" t="s">
        <v>3334</v>
      </c>
      <c r="BM790" s="7"/>
      <c r="BN790" s="7"/>
      <c r="BO790" s="4"/>
      <c r="BP790" s="8"/>
      <c r="BQ790" s="4"/>
      <c r="BR790" s="8"/>
      <c r="BS790" s="7"/>
      <c r="BT790" s="7"/>
      <c r="BU790" s="2" t="s">
        <v>3105</v>
      </c>
      <c r="BV790" s="2" t="s">
        <v>243</v>
      </c>
      <c r="BW790" s="2" t="s">
        <v>235</v>
      </c>
      <c r="BX790" s="2" t="s">
        <v>383</v>
      </c>
      <c r="BY790" s="2" t="s">
        <v>245</v>
      </c>
      <c r="BZ790" s="2" t="s">
        <v>232</v>
      </c>
      <c r="CA790" s="2" t="s">
        <v>3201</v>
      </c>
      <c r="CB790" s="2" t="s">
        <v>3335</v>
      </c>
      <c r="CC790" s="2" t="s">
        <v>248</v>
      </c>
      <c r="CD790" s="2" t="s">
        <v>248</v>
      </c>
      <c r="CE790" s="2" t="s">
        <v>235</v>
      </c>
      <c r="CF790" s="4">
        <v>533</v>
      </c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>
        <v>533</v>
      </c>
      <c r="GE790" s="4">
        <v>532</v>
      </c>
      <c r="GF790" s="4">
        <v>531</v>
      </c>
      <c r="GG790" s="4">
        <v>527</v>
      </c>
      <c r="GH790" s="4">
        <v>520</v>
      </c>
      <c r="GI790" s="4">
        <v>509</v>
      </c>
      <c r="GJ790" s="4">
        <v>488</v>
      </c>
      <c r="GK790" s="4">
        <v>477</v>
      </c>
      <c r="GL790" s="4">
        <v>467</v>
      </c>
      <c r="GM790" s="4">
        <v>460</v>
      </c>
      <c r="GN790" s="4">
        <v>453</v>
      </c>
      <c r="GO790" s="4">
        <v>444</v>
      </c>
      <c r="GP790" s="4">
        <v>435</v>
      </c>
      <c r="GQ790" s="4">
        <v>421</v>
      </c>
      <c r="GR790" s="4">
        <v>413</v>
      </c>
      <c r="GS790" s="4">
        <v>405</v>
      </c>
      <c r="GT790" s="4">
        <v>399</v>
      </c>
      <c r="GU790" s="4">
        <v>394</v>
      </c>
      <c r="GV790" s="4">
        <v>389</v>
      </c>
      <c r="GW790" s="4">
        <v>385</v>
      </c>
      <c r="GX790" s="4">
        <v>381</v>
      </c>
      <c r="GY790" s="4">
        <v>378</v>
      </c>
      <c r="GZ790" s="4">
        <v>375</v>
      </c>
      <c r="HA790" s="4">
        <v>372</v>
      </c>
      <c r="HB790" s="4">
        <v>369</v>
      </c>
      <c r="HC790" s="4">
        <v>366</v>
      </c>
      <c r="HD790" s="19">
        <v>177.7</v>
      </c>
      <c r="HE790" s="19">
        <v>88.7</v>
      </c>
      <c r="HF790" s="19">
        <v>48.3</v>
      </c>
      <c r="HG790" s="19">
        <v>43.9</v>
      </c>
      <c r="HH790" s="19">
        <v>40</v>
      </c>
      <c r="HI790" s="19">
        <v>42.4</v>
      </c>
      <c r="HJ790" s="19">
        <v>54.2</v>
      </c>
      <c r="HK790" s="19">
        <v>59.6</v>
      </c>
      <c r="HL790" s="19">
        <v>58.4</v>
      </c>
      <c r="HM790" s="19">
        <v>46</v>
      </c>
      <c r="HN790" s="19">
        <v>45.3</v>
      </c>
      <c r="HO790" s="19">
        <v>44.4</v>
      </c>
      <c r="HP790" s="19">
        <v>48.3</v>
      </c>
      <c r="HQ790" s="19">
        <v>60.1</v>
      </c>
      <c r="HR790" s="19">
        <v>68.8</v>
      </c>
      <c r="HS790" s="19">
        <v>81</v>
      </c>
      <c r="HT790" s="19">
        <v>99.8</v>
      </c>
      <c r="HU790" s="19">
        <v>98.5</v>
      </c>
      <c r="HV790" s="19">
        <v>97.3</v>
      </c>
      <c r="HW790" s="19">
        <v>128.3</v>
      </c>
      <c r="HX790" s="19">
        <v>127</v>
      </c>
      <c r="HY790" s="19">
        <v>126</v>
      </c>
      <c r="HZ790" s="19">
        <v>125</v>
      </c>
      <c r="IA790" s="19">
        <v>124</v>
      </c>
      <c r="IB790" s="19">
        <v>123</v>
      </c>
      <c r="IC790" s="19">
        <v>183</v>
      </c>
    </row>
    <row r="791">
      <c r="A791" s="2" t="s">
        <v>3336</v>
      </c>
      <c r="B791" s="2" t="s">
        <v>323</v>
      </c>
      <c r="C791" s="2" t="s">
        <v>1036</v>
      </c>
      <c r="D791" s="2" t="s">
        <v>257</v>
      </c>
      <c r="E791" s="2" t="s">
        <v>258</v>
      </c>
      <c r="F791" s="2" t="s">
        <v>3098</v>
      </c>
      <c r="G791" s="2" t="s">
        <v>3098</v>
      </c>
      <c r="H791" s="2" t="s">
        <v>3098</v>
      </c>
      <c r="I791" s="2" t="s">
        <v>3099</v>
      </c>
      <c r="J791" s="2" t="s">
        <v>394</v>
      </c>
      <c r="K791" s="2" t="s">
        <v>3337</v>
      </c>
      <c r="L791" s="3">
        <v>14.89</v>
      </c>
      <c r="M791" s="3">
        <v>15.63</v>
      </c>
      <c r="N791" s="3">
        <v>31.99</v>
      </c>
      <c r="O791" s="2" t="s">
        <v>232</v>
      </c>
      <c r="P791" s="2" t="s">
        <v>698</v>
      </c>
      <c r="Q791" s="2" t="s">
        <v>234</v>
      </c>
      <c r="R791" s="2" t="s">
        <v>235</v>
      </c>
      <c r="S791" s="2" t="s">
        <v>3338</v>
      </c>
      <c r="T791" s="2" t="s">
        <v>2908</v>
      </c>
      <c r="U791" s="2" t="s">
        <v>235</v>
      </c>
      <c r="V791" s="2" t="s">
        <v>2919</v>
      </c>
      <c r="W791" s="2" t="s">
        <v>239</v>
      </c>
      <c r="X791" s="2" t="s">
        <v>235</v>
      </c>
      <c r="Y791" s="2" t="s">
        <v>3029</v>
      </c>
      <c r="Z791" s="4">
        <v>1444</v>
      </c>
      <c r="AA791" s="4">
        <f>=ROUNDDOWN(20.0555555555556,0)</f>
      </c>
      <c r="AB791" s="5">
        <v>72</v>
      </c>
      <c r="AC791" s="2" t="s">
        <v>2503</v>
      </c>
      <c r="AD791" s="4">
        <v>2</v>
      </c>
      <c r="AE791" s="4">
        <v>985</v>
      </c>
      <c r="AF791" s="6">
        <v>73</v>
      </c>
      <c r="AG791" s="6"/>
      <c r="AH791" s="7">
        <v>1</v>
      </c>
      <c r="AI791" s="4"/>
      <c r="AJ791" s="4">
        <f>=ROUNDDOWN({0},0)</f>
      </c>
      <c r="AK791" s="5"/>
      <c r="AL791" s="2" t="s">
        <v>235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235</v>
      </c>
      <c r="AW791" s="8" t="s">
        <v>235</v>
      </c>
      <c r="AX791" s="4" t="s">
        <v>235</v>
      </c>
      <c r="AY791" s="8" t="s">
        <v>235</v>
      </c>
      <c r="AZ791" s="7" t="s">
        <v>235</v>
      </c>
      <c r="BA791" s="7" t="s">
        <v>235</v>
      </c>
      <c r="BB791" s="7"/>
      <c r="BC791" s="4" t="s">
        <v>235</v>
      </c>
      <c r="BD791" s="8" t="s">
        <v>235</v>
      </c>
      <c r="BE791" s="4" t="s">
        <v>235</v>
      </c>
      <c r="BF791" s="8" t="s">
        <v>235</v>
      </c>
      <c r="BG791" s="7" t="s">
        <v>235</v>
      </c>
      <c r="BH791" s="7" t="s">
        <v>235</v>
      </c>
      <c r="BI791" s="7"/>
      <c r="BJ791" s="4">
        <v>220</v>
      </c>
      <c r="BK791" s="8">
        <v>3678.92</v>
      </c>
      <c r="BL791" s="2" t="s">
        <v>3339</v>
      </c>
      <c r="BM791" s="7"/>
      <c r="BN791" s="7"/>
      <c r="BO791" s="4"/>
      <c r="BP791" s="8"/>
      <c r="BQ791" s="4"/>
      <c r="BR791" s="8"/>
      <c r="BS791" s="7"/>
      <c r="BT791" s="7"/>
      <c r="BU791" s="2" t="s">
        <v>3105</v>
      </c>
      <c r="BV791" s="2" t="s">
        <v>243</v>
      </c>
      <c r="BW791" s="2" t="s">
        <v>235</v>
      </c>
      <c r="BX791" s="2" t="s">
        <v>383</v>
      </c>
      <c r="BY791" s="2" t="s">
        <v>245</v>
      </c>
      <c r="BZ791" s="2" t="s">
        <v>232</v>
      </c>
      <c r="CA791" s="2" t="s">
        <v>1924</v>
      </c>
      <c r="CB791" s="2" t="s">
        <v>3205</v>
      </c>
      <c r="CC791" s="2" t="s">
        <v>248</v>
      </c>
      <c r="CD791" s="2" t="s">
        <v>248</v>
      </c>
      <c r="CE791" s="2" t="s">
        <v>235</v>
      </c>
      <c r="CF791" s="4">
        <v>1444</v>
      </c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>
        <v>2</v>
      </c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>
        <v>368</v>
      </c>
      <c r="EK791" s="4"/>
      <c r="EL791" s="4"/>
      <c r="EM791" s="4"/>
      <c r="EN791" s="4"/>
      <c r="EO791" s="4"/>
      <c r="EP791" s="4"/>
      <c r="EQ791" s="4">
        <v>615</v>
      </c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>
        <v>1932</v>
      </c>
      <c r="GE791" s="4">
        <v>1397</v>
      </c>
      <c r="GF791" s="4">
        <v>1394</v>
      </c>
      <c r="GG791" s="4">
        <v>1389</v>
      </c>
      <c r="GH791" s="4">
        <v>1384</v>
      </c>
      <c r="GI791" s="4">
        <v>1188</v>
      </c>
      <c r="GJ791" s="4">
        <v>788</v>
      </c>
      <c r="GK791" s="4">
        <v>596</v>
      </c>
      <c r="GL791" s="4">
        <v>411</v>
      </c>
      <c r="GM791" s="4">
        <v>657</v>
      </c>
      <c r="GN791" s="4">
        <v>1176</v>
      </c>
      <c r="GO791" s="4">
        <v>1063</v>
      </c>
      <c r="GP791" s="4">
        <v>966</v>
      </c>
      <c r="GQ791" s="4">
        <v>860</v>
      </c>
      <c r="GR791" s="4">
        <v>796</v>
      </c>
      <c r="GS791" s="4">
        <v>727</v>
      </c>
      <c r="GT791" s="4">
        <v>667</v>
      </c>
      <c r="GU791" s="4">
        <v>611</v>
      </c>
      <c r="GV791" s="4">
        <v>553</v>
      </c>
      <c r="GW791" s="4">
        <v>511</v>
      </c>
      <c r="GX791" s="4">
        <v>732</v>
      </c>
      <c r="GY791" s="4">
        <v>695</v>
      </c>
      <c r="GZ791" s="4">
        <v>657</v>
      </c>
      <c r="HA791" s="4">
        <v>619</v>
      </c>
      <c r="HB791" s="4">
        <v>581</v>
      </c>
      <c r="HC791" s="4">
        <v>543</v>
      </c>
      <c r="HD791" s="19">
        <v>14</v>
      </c>
      <c r="HE791" s="19">
        <v>26.4</v>
      </c>
      <c r="HF791" s="19">
        <v>9.2</v>
      </c>
      <c r="HG791" s="19">
        <v>7</v>
      </c>
      <c r="HH791" s="19">
        <v>5.7</v>
      </c>
      <c r="HI791" s="19">
        <v>5.3</v>
      </c>
      <c r="HJ791" s="19">
        <v>5.3</v>
      </c>
      <c r="HK791" s="19">
        <v>4.6</v>
      </c>
      <c r="HL791" s="19">
        <v>3.8</v>
      </c>
      <c r="HM791" s="19">
        <v>6.4</v>
      </c>
      <c r="HN791" s="19">
        <v>12.4</v>
      </c>
      <c r="HO791" s="19">
        <v>12.7</v>
      </c>
      <c r="HP791" s="19">
        <v>12.9</v>
      </c>
      <c r="HQ791" s="19">
        <v>13.9</v>
      </c>
      <c r="HR791" s="19">
        <v>13</v>
      </c>
      <c r="HS791" s="19">
        <v>13.5</v>
      </c>
      <c r="HT791" s="19">
        <v>13.6</v>
      </c>
      <c r="HU791" s="19">
        <v>13.9</v>
      </c>
      <c r="HV791" s="19">
        <v>14.2</v>
      </c>
      <c r="HW791" s="19">
        <v>13.4</v>
      </c>
      <c r="HX791" s="19">
        <v>19.3</v>
      </c>
      <c r="HY791" s="19">
        <v>18.3</v>
      </c>
      <c r="HZ791" s="19">
        <v>17.3</v>
      </c>
      <c r="IA791" s="19">
        <v>16.3</v>
      </c>
      <c r="IB791" s="19">
        <v>16.1</v>
      </c>
      <c r="IC791" s="19">
        <v>16</v>
      </c>
    </row>
    <row r="792">
      <c r="A792" s="2" t="s">
        <v>3340</v>
      </c>
      <c r="B792" s="2" t="s">
        <v>323</v>
      </c>
      <c r="C792" s="2" t="s">
        <v>1036</v>
      </c>
      <c r="D792" s="2" t="s">
        <v>257</v>
      </c>
      <c r="E792" s="2" t="s">
        <v>258</v>
      </c>
      <c r="F792" s="2" t="s">
        <v>3098</v>
      </c>
      <c r="G792" s="2" t="s">
        <v>3098</v>
      </c>
      <c r="H792" s="2" t="s">
        <v>3098</v>
      </c>
      <c r="I792" s="2" t="s">
        <v>3099</v>
      </c>
      <c r="J792" s="2" t="s">
        <v>261</v>
      </c>
      <c r="K792" s="2" t="s">
        <v>3337</v>
      </c>
      <c r="L792" s="3">
        <v>22.21</v>
      </c>
      <c r="M792" s="3">
        <v>23.32</v>
      </c>
      <c r="N792" s="3">
        <v>47.99</v>
      </c>
      <c r="O792" s="2" t="s">
        <v>232</v>
      </c>
      <c r="P792" s="2" t="s">
        <v>333</v>
      </c>
      <c r="Q792" s="2" t="s">
        <v>234</v>
      </c>
      <c r="R792" s="2" t="s">
        <v>235</v>
      </c>
      <c r="S792" s="2" t="s">
        <v>3338</v>
      </c>
      <c r="T792" s="2" t="s">
        <v>2908</v>
      </c>
      <c r="U792" s="2" t="s">
        <v>235</v>
      </c>
      <c r="V792" s="2" t="s">
        <v>2919</v>
      </c>
      <c r="W792" s="2" t="s">
        <v>239</v>
      </c>
      <c r="X792" s="2" t="s">
        <v>235</v>
      </c>
      <c r="Y792" s="2" t="s">
        <v>3029</v>
      </c>
      <c r="Z792" s="4">
        <v>1334</v>
      </c>
      <c r="AA792" s="4">
        <f>=ROUNDDOWN(26.156862745098,0)</f>
      </c>
      <c r="AB792" s="5">
        <v>51</v>
      </c>
      <c r="AC792" s="2" t="s">
        <v>3341</v>
      </c>
      <c r="AD792" s="4">
        <v>59</v>
      </c>
      <c r="AE792" s="4">
        <v>816</v>
      </c>
      <c r="AF792" s="6">
        <v>73</v>
      </c>
      <c r="AG792" s="6"/>
      <c r="AH792" s="7">
        <v>1</v>
      </c>
      <c r="AI792" s="4"/>
      <c r="AJ792" s="4">
        <f>=ROUNDDOWN({0},0)</f>
      </c>
      <c r="AK792" s="5"/>
      <c r="AL792" s="2" t="s">
        <v>235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235</v>
      </c>
      <c r="AW792" s="8" t="s">
        <v>235</v>
      </c>
      <c r="AX792" s="4" t="s">
        <v>235</v>
      </c>
      <c r="AY792" s="8" t="s">
        <v>235</v>
      </c>
      <c r="AZ792" s="7" t="s">
        <v>235</v>
      </c>
      <c r="BA792" s="7" t="s">
        <v>235</v>
      </c>
      <c r="BB792" s="7"/>
      <c r="BC792" s="4" t="s">
        <v>235</v>
      </c>
      <c r="BD792" s="8" t="s">
        <v>235</v>
      </c>
      <c r="BE792" s="4" t="s">
        <v>235</v>
      </c>
      <c r="BF792" s="8" t="s">
        <v>235</v>
      </c>
      <c r="BG792" s="7" t="s">
        <v>235</v>
      </c>
      <c r="BH792" s="7" t="s">
        <v>235</v>
      </c>
      <c r="BI792" s="7"/>
      <c r="BJ792" s="4">
        <v>114</v>
      </c>
      <c r="BK792" s="8">
        <v>2864.03</v>
      </c>
      <c r="BL792" s="2" t="s">
        <v>3342</v>
      </c>
      <c r="BM792" s="7"/>
      <c r="BN792" s="7"/>
      <c r="BO792" s="4"/>
      <c r="BP792" s="8"/>
      <c r="BQ792" s="4"/>
      <c r="BR792" s="8"/>
      <c r="BS792" s="7"/>
      <c r="BT792" s="7"/>
      <c r="BU792" s="2" t="s">
        <v>3105</v>
      </c>
      <c r="BV792" s="2" t="s">
        <v>243</v>
      </c>
      <c r="BW792" s="2" t="s">
        <v>235</v>
      </c>
      <c r="BX792" s="2" t="s">
        <v>383</v>
      </c>
      <c r="BY792" s="2" t="s">
        <v>245</v>
      </c>
      <c r="BZ792" s="2" t="s">
        <v>232</v>
      </c>
      <c r="CA792" s="2" t="s">
        <v>1924</v>
      </c>
      <c r="CB792" s="2" t="s">
        <v>3074</v>
      </c>
      <c r="CC792" s="2" t="s">
        <v>248</v>
      </c>
      <c r="CD792" s="2" t="s">
        <v>248</v>
      </c>
      <c r="CE792" s="2" t="s">
        <v>235</v>
      </c>
      <c r="CF792" s="4">
        <v>1323</v>
      </c>
      <c r="CG792" s="4"/>
      <c r="CH792" s="4"/>
      <c r="CI792" s="4"/>
      <c r="CJ792" s="4"/>
      <c r="CK792" s="4"/>
      <c r="CL792" s="4"/>
      <c r="CM792" s="4">
        <v>11</v>
      </c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>
        <v>59</v>
      </c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>
        <v>271</v>
      </c>
      <c r="EK792" s="4"/>
      <c r="EL792" s="4"/>
      <c r="EM792" s="4"/>
      <c r="EN792" s="4"/>
      <c r="EO792" s="4"/>
      <c r="EP792" s="4"/>
      <c r="EQ792" s="4">
        <v>486</v>
      </c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>
        <v>1410</v>
      </c>
      <c r="GE792" s="4">
        <v>1369</v>
      </c>
      <c r="GF792" s="4">
        <v>1363</v>
      </c>
      <c r="GG792" s="4">
        <v>1312</v>
      </c>
      <c r="GH792" s="4">
        <v>1228</v>
      </c>
      <c r="GI792" s="4">
        <v>1095</v>
      </c>
      <c r="GJ792" s="4">
        <v>841</v>
      </c>
      <c r="GK792" s="4">
        <v>716</v>
      </c>
      <c r="GL792" s="4">
        <v>595</v>
      </c>
      <c r="GM792" s="4">
        <v>784</v>
      </c>
      <c r="GN792" s="4">
        <v>1200</v>
      </c>
      <c r="GO792" s="4">
        <v>1117</v>
      </c>
      <c r="GP792" s="4">
        <v>1037</v>
      </c>
      <c r="GQ792" s="4">
        <v>932</v>
      </c>
      <c r="GR792" s="4">
        <v>874</v>
      </c>
      <c r="GS792" s="4">
        <v>813</v>
      </c>
      <c r="GT792" s="4">
        <v>764</v>
      </c>
      <c r="GU792" s="4">
        <v>721</v>
      </c>
      <c r="GV792" s="4">
        <v>676</v>
      </c>
      <c r="GW792" s="4">
        <v>643</v>
      </c>
      <c r="GX792" s="4">
        <v>613</v>
      </c>
      <c r="GY792" s="4">
        <v>586</v>
      </c>
      <c r="GZ792" s="4">
        <v>558</v>
      </c>
      <c r="HA792" s="4">
        <v>530</v>
      </c>
      <c r="HB792" s="4">
        <v>502</v>
      </c>
      <c r="HC792" s="4">
        <v>474</v>
      </c>
      <c r="HD792" s="19">
        <v>23.5</v>
      </c>
      <c r="HE792" s="19">
        <v>20.1</v>
      </c>
      <c r="HF792" s="19">
        <v>10.5</v>
      </c>
      <c r="HG792" s="19">
        <v>8.8</v>
      </c>
      <c r="HH792" s="19">
        <v>7.8</v>
      </c>
      <c r="HI792" s="19">
        <v>7.5</v>
      </c>
      <c r="HJ792" s="19">
        <v>8.4</v>
      </c>
      <c r="HK792" s="19">
        <v>8</v>
      </c>
      <c r="HL792" s="19">
        <v>7.5</v>
      </c>
      <c r="HM792" s="19">
        <v>9.3</v>
      </c>
      <c r="HN792" s="19">
        <v>14.6</v>
      </c>
      <c r="HO792" s="19">
        <v>14.7</v>
      </c>
      <c r="HP792" s="19">
        <v>15.3</v>
      </c>
      <c r="HQ792" s="19">
        <v>17.6</v>
      </c>
      <c r="HR792" s="19">
        <v>17.5</v>
      </c>
      <c r="HS792" s="19">
        <v>19.4</v>
      </c>
      <c r="HT792" s="19">
        <v>20.1</v>
      </c>
      <c r="HU792" s="19">
        <v>21.2</v>
      </c>
      <c r="HV792" s="19">
        <v>22.5</v>
      </c>
      <c r="HW792" s="19">
        <v>23</v>
      </c>
      <c r="HX792" s="19">
        <v>21.9</v>
      </c>
      <c r="HY792" s="19">
        <v>20.9</v>
      </c>
      <c r="HZ792" s="19">
        <v>19.9</v>
      </c>
      <c r="IA792" s="19">
        <v>19.6</v>
      </c>
      <c r="IB792" s="19">
        <v>19.3</v>
      </c>
      <c r="IC792" s="19">
        <v>19.8</v>
      </c>
    </row>
    <row r="793">
      <c r="A793" s="2" t="s">
        <v>3343</v>
      </c>
      <c r="B793" s="2" t="s">
        <v>323</v>
      </c>
      <c r="C793" s="2" t="s">
        <v>1036</v>
      </c>
      <c r="D793" s="2" t="s">
        <v>257</v>
      </c>
      <c r="E793" s="2" t="s">
        <v>258</v>
      </c>
      <c r="F793" s="2" t="s">
        <v>3098</v>
      </c>
      <c r="G793" s="2" t="s">
        <v>3098</v>
      </c>
      <c r="H793" s="2" t="s">
        <v>3098</v>
      </c>
      <c r="I793" s="2" t="s">
        <v>3099</v>
      </c>
      <c r="J793" s="2" t="s">
        <v>270</v>
      </c>
      <c r="K793" s="2" t="s">
        <v>3337</v>
      </c>
      <c r="L793" s="3">
        <v>27.39</v>
      </c>
      <c r="M793" s="3">
        <v>28.76</v>
      </c>
      <c r="N793" s="3">
        <v>62.99</v>
      </c>
      <c r="O793" s="2" t="s">
        <v>232</v>
      </c>
      <c r="P793" s="2" t="s">
        <v>233</v>
      </c>
      <c r="Q793" s="2" t="s">
        <v>234</v>
      </c>
      <c r="R793" s="2" t="s">
        <v>235</v>
      </c>
      <c r="S793" s="2" t="s">
        <v>3338</v>
      </c>
      <c r="T793" s="2" t="s">
        <v>2908</v>
      </c>
      <c r="U793" s="2" t="s">
        <v>235</v>
      </c>
      <c r="V793" s="2" t="s">
        <v>2919</v>
      </c>
      <c r="W793" s="2" t="s">
        <v>239</v>
      </c>
      <c r="X793" s="2" t="s">
        <v>235</v>
      </c>
      <c r="Y793" s="2" t="s">
        <v>3029</v>
      </c>
      <c r="Z793" s="4">
        <v>308</v>
      </c>
      <c r="AA793" s="4">
        <f>=ROUNDDOWN(34.2222222222222,0)</f>
      </c>
      <c r="AB793" s="5">
        <v>9</v>
      </c>
      <c r="AC793" s="2" t="s">
        <v>235</v>
      </c>
      <c r="AD793" s="4"/>
      <c r="AE793" s="4"/>
      <c r="AF793" s="6">
        <v>73</v>
      </c>
      <c r="AG793" s="6"/>
      <c r="AH793" s="7">
        <v>1</v>
      </c>
      <c r="AI793" s="4"/>
      <c r="AJ793" s="4">
        <f>=ROUNDDOWN({0},0)</f>
      </c>
      <c r="AK793" s="5"/>
      <c r="AL793" s="2" t="s">
        <v>235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235</v>
      </c>
      <c r="AW793" s="8" t="s">
        <v>235</v>
      </c>
      <c r="AX793" s="4" t="s">
        <v>235</v>
      </c>
      <c r="AY793" s="8" t="s">
        <v>235</v>
      </c>
      <c r="AZ793" s="7" t="s">
        <v>235</v>
      </c>
      <c r="BA793" s="7" t="s">
        <v>235</v>
      </c>
      <c r="BB793" s="7"/>
      <c r="BC793" s="4" t="s">
        <v>235</v>
      </c>
      <c r="BD793" s="8" t="s">
        <v>235</v>
      </c>
      <c r="BE793" s="4" t="s">
        <v>235</v>
      </c>
      <c r="BF793" s="8" t="s">
        <v>235</v>
      </c>
      <c r="BG793" s="7" t="s">
        <v>235</v>
      </c>
      <c r="BH793" s="7" t="s">
        <v>235</v>
      </c>
      <c r="BI793" s="7"/>
      <c r="BJ793" s="4">
        <v>15</v>
      </c>
      <c r="BK793" s="8">
        <v>495.22</v>
      </c>
      <c r="BL793" s="2" t="s">
        <v>3344</v>
      </c>
      <c r="BM793" s="7"/>
      <c r="BN793" s="7"/>
      <c r="BO793" s="4"/>
      <c r="BP793" s="8"/>
      <c r="BQ793" s="4"/>
      <c r="BR793" s="8"/>
      <c r="BS793" s="7"/>
      <c r="BT793" s="7"/>
      <c r="BU793" s="2" t="s">
        <v>3105</v>
      </c>
      <c r="BV793" s="2" t="s">
        <v>243</v>
      </c>
      <c r="BW793" s="2" t="s">
        <v>235</v>
      </c>
      <c r="BX793" s="2" t="s">
        <v>383</v>
      </c>
      <c r="BY793" s="2" t="s">
        <v>245</v>
      </c>
      <c r="BZ793" s="2" t="s">
        <v>232</v>
      </c>
      <c r="CA793" s="2" t="s">
        <v>1924</v>
      </c>
      <c r="CB793" s="2" t="s">
        <v>3192</v>
      </c>
      <c r="CC793" s="2" t="s">
        <v>248</v>
      </c>
      <c r="CD793" s="2" t="s">
        <v>248</v>
      </c>
      <c r="CE793" s="2" t="s">
        <v>235</v>
      </c>
      <c r="CF793" s="4">
        <v>288</v>
      </c>
      <c r="CG793" s="4"/>
      <c r="CH793" s="4"/>
      <c r="CI793" s="4"/>
      <c r="CJ793" s="4"/>
      <c r="CK793" s="4"/>
      <c r="CL793" s="4"/>
      <c r="CM793" s="4">
        <v>20</v>
      </c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>
        <v>310</v>
      </c>
      <c r="GE793" s="4">
        <v>308</v>
      </c>
      <c r="GF793" s="4">
        <v>306</v>
      </c>
      <c r="GG793" s="4">
        <v>304</v>
      </c>
      <c r="GH793" s="4">
        <v>301</v>
      </c>
      <c r="GI793" s="4">
        <v>281</v>
      </c>
      <c r="GJ793" s="4">
        <v>246</v>
      </c>
      <c r="GK793" s="4">
        <v>227</v>
      </c>
      <c r="GL793" s="4">
        <v>209</v>
      </c>
      <c r="GM793" s="4">
        <v>196</v>
      </c>
      <c r="GN793" s="4">
        <v>183</v>
      </c>
      <c r="GO793" s="4">
        <v>167</v>
      </c>
      <c r="GP793" s="4">
        <v>149</v>
      </c>
      <c r="GQ793" s="4">
        <v>120</v>
      </c>
      <c r="GR793" s="4">
        <v>105</v>
      </c>
      <c r="GS793" s="4">
        <v>90</v>
      </c>
      <c r="GT793" s="4">
        <v>79</v>
      </c>
      <c r="GU793" s="4">
        <v>70</v>
      </c>
      <c r="GV793" s="4">
        <v>60</v>
      </c>
      <c r="GW793" s="4">
        <v>53</v>
      </c>
      <c r="GX793" s="4">
        <v>87</v>
      </c>
      <c r="GY793" s="4">
        <v>82</v>
      </c>
      <c r="GZ793" s="4">
        <v>76</v>
      </c>
      <c r="HA793" s="4">
        <v>70</v>
      </c>
      <c r="HB793" s="4">
        <v>64</v>
      </c>
      <c r="HC793" s="4">
        <v>58</v>
      </c>
      <c r="HD793" s="19">
        <v>155</v>
      </c>
      <c r="HE793" s="19">
        <v>44</v>
      </c>
      <c r="HF793" s="19">
        <v>20.4</v>
      </c>
      <c r="HG793" s="19">
        <v>16</v>
      </c>
      <c r="HH793" s="19">
        <v>13.1</v>
      </c>
      <c r="HI793" s="19">
        <v>13.4</v>
      </c>
      <c r="HJ793" s="19">
        <v>15.4</v>
      </c>
      <c r="HK793" s="19">
        <v>15.1</v>
      </c>
      <c r="HL793" s="19">
        <v>13.9</v>
      </c>
      <c r="HM793" s="19">
        <v>10.3</v>
      </c>
      <c r="HN793" s="19">
        <v>9.2</v>
      </c>
      <c r="HO793" s="19">
        <v>8.8</v>
      </c>
      <c r="HP793" s="19">
        <v>8.3</v>
      </c>
      <c r="HQ793" s="19">
        <v>10</v>
      </c>
      <c r="HR793" s="19">
        <v>9.5</v>
      </c>
      <c r="HS793" s="19">
        <v>10</v>
      </c>
      <c r="HT793" s="19">
        <v>9.9</v>
      </c>
      <c r="HU793" s="19">
        <v>10</v>
      </c>
      <c r="HV793" s="19">
        <v>10</v>
      </c>
      <c r="HW793" s="19">
        <v>8.8</v>
      </c>
      <c r="HX793" s="19">
        <v>14.5</v>
      </c>
      <c r="HY793" s="19">
        <v>13.7</v>
      </c>
      <c r="HZ793" s="19">
        <v>12.7</v>
      </c>
      <c r="IA793" s="19">
        <v>11.7</v>
      </c>
      <c r="IB793" s="19">
        <v>12.8</v>
      </c>
      <c r="IC793" s="19">
        <v>14.5</v>
      </c>
    </row>
    <row r="794">
      <c r="A794" s="2" t="s">
        <v>3345</v>
      </c>
      <c r="B794" s="2" t="s">
        <v>323</v>
      </c>
      <c r="C794" s="2" t="s">
        <v>1036</v>
      </c>
      <c r="D794" s="2" t="s">
        <v>257</v>
      </c>
      <c r="E794" s="2" t="s">
        <v>258</v>
      </c>
      <c r="F794" s="2" t="s">
        <v>3098</v>
      </c>
      <c r="G794" s="2" t="s">
        <v>3098</v>
      </c>
      <c r="H794" s="2" t="s">
        <v>3098</v>
      </c>
      <c r="I794" s="2" t="s">
        <v>3099</v>
      </c>
      <c r="J794" s="2" t="s">
        <v>230</v>
      </c>
      <c r="K794" s="2" t="s">
        <v>3346</v>
      </c>
      <c r="L794" s="3">
        <v>16.16</v>
      </c>
      <c r="M794" s="3">
        <v>16.97</v>
      </c>
      <c r="N794" s="3">
        <v>34.99</v>
      </c>
      <c r="O794" s="2" t="s">
        <v>232</v>
      </c>
      <c r="P794" s="2" t="s">
        <v>336</v>
      </c>
      <c r="Q794" s="2" t="s">
        <v>234</v>
      </c>
      <c r="R794" s="2" t="s">
        <v>235</v>
      </c>
      <c r="S794" s="2" t="s">
        <v>3347</v>
      </c>
      <c r="T794" s="2" t="s">
        <v>2908</v>
      </c>
      <c r="U794" s="2" t="s">
        <v>235</v>
      </c>
      <c r="V794" s="2" t="s">
        <v>2919</v>
      </c>
      <c r="W794" s="2" t="s">
        <v>239</v>
      </c>
      <c r="X794" s="2" t="s">
        <v>235</v>
      </c>
      <c r="Y794" s="2" t="s">
        <v>3348</v>
      </c>
      <c r="Z794" s="4">
        <v>893</v>
      </c>
      <c r="AA794" s="4">
        <f>=ROUNDDOWN(20.7674418604651,0)</f>
      </c>
      <c r="AB794" s="5">
        <v>43</v>
      </c>
      <c r="AC794" s="2" t="s">
        <v>2503</v>
      </c>
      <c r="AD794" s="4">
        <v>409</v>
      </c>
      <c r="AE794" s="4">
        <v>1101</v>
      </c>
      <c r="AF794" s="6">
        <v>73</v>
      </c>
      <c r="AG794" s="6"/>
      <c r="AH794" s="7">
        <v>1</v>
      </c>
      <c r="AI794" s="4"/>
      <c r="AJ794" s="4">
        <f>=ROUNDDOWN({0},0)</f>
      </c>
      <c r="AK794" s="5"/>
      <c r="AL794" s="2" t="s">
        <v>235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235</v>
      </c>
      <c r="AW794" s="8" t="s">
        <v>235</v>
      </c>
      <c r="AX794" s="4" t="s">
        <v>235</v>
      </c>
      <c r="AY794" s="8" t="s">
        <v>235</v>
      </c>
      <c r="AZ794" s="7" t="s">
        <v>235</v>
      </c>
      <c r="BA794" s="7" t="s">
        <v>235</v>
      </c>
      <c r="BB794" s="7"/>
      <c r="BC794" s="4" t="s">
        <v>235</v>
      </c>
      <c r="BD794" s="8" t="s">
        <v>235</v>
      </c>
      <c r="BE794" s="4" t="s">
        <v>235</v>
      </c>
      <c r="BF794" s="8" t="s">
        <v>235</v>
      </c>
      <c r="BG794" s="7" t="s">
        <v>235</v>
      </c>
      <c r="BH794" s="7" t="s">
        <v>235</v>
      </c>
      <c r="BI794" s="7"/>
      <c r="BJ794" s="4">
        <v>130</v>
      </c>
      <c r="BK794" s="8">
        <v>2438.31</v>
      </c>
      <c r="BL794" s="2" t="s">
        <v>3349</v>
      </c>
      <c r="BM794" s="7"/>
      <c r="BN794" s="7"/>
      <c r="BO794" s="4"/>
      <c r="BP794" s="8"/>
      <c r="BQ794" s="4"/>
      <c r="BR794" s="8"/>
      <c r="BS794" s="7"/>
      <c r="BT794" s="7"/>
      <c r="BU794" s="2" t="s">
        <v>3105</v>
      </c>
      <c r="BV794" s="2" t="s">
        <v>243</v>
      </c>
      <c r="BW794" s="2" t="s">
        <v>235</v>
      </c>
      <c r="BX794" s="2" t="s">
        <v>383</v>
      </c>
      <c r="BY794" s="2" t="s">
        <v>245</v>
      </c>
      <c r="BZ794" s="2" t="s">
        <v>232</v>
      </c>
      <c r="CA794" s="2" t="s">
        <v>1924</v>
      </c>
      <c r="CB794" s="2" t="s">
        <v>3146</v>
      </c>
      <c r="CC794" s="2" t="s">
        <v>248</v>
      </c>
      <c r="CD794" s="2" t="s">
        <v>248</v>
      </c>
      <c r="CE794" s="2" t="s">
        <v>235</v>
      </c>
      <c r="CF794" s="4">
        <v>893</v>
      </c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>
        <v>409</v>
      </c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>
        <v>241</v>
      </c>
      <c r="EK794" s="4"/>
      <c r="EL794" s="4"/>
      <c r="EM794" s="4"/>
      <c r="EN794" s="4"/>
      <c r="EO794" s="4"/>
      <c r="EP794" s="4"/>
      <c r="EQ794" s="4">
        <v>451</v>
      </c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>
        <v>893</v>
      </c>
      <c r="GE794" s="4">
        <v>862</v>
      </c>
      <c r="GF794" s="4">
        <v>1264</v>
      </c>
      <c r="GG794" s="4">
        <v>1257</v>
      </c>
      <c r="GH794" s="4">
        <v>1250</v>
      </c>
      <c r="GI794" s="4">
        <v>1221</v>
      </c>
      <c r="GJ794" s="4">
        <v>1022</v>
      </c>
      <c r="GK794" s="4">
        <v>922</v>
      </c>
      <c r="GL794" s="4">
        <v>825</v>
      </c>
      <c r="GM794" s="4">
        <v>999</v>
      </c>
      <c r="GN794" s="4">
        <v>1390</v>
      </c>
      <c r="GO794" s="4">
        <v>1319</v>
      </c>
      <c r="GP794" s="4">
        <v>1246</v>
      </c>
      <c r="GQ794" s="4">
        <v>1141</v>
      </c>
      <c r="GR794" s="4">
        <v>1085</v>
      </c>
      <c r="GS794" s="4">
        <v>1028</v>
      </c>
      <c r="GT794" s="4">
        <v>984</v>
      </c>
      <c r="GU794" s="4">
        <v>946</v>
      </c>
      <c r="GV794" s="4">
        <v>905</v>
      </c>
      <c r="GW794" s="4">
        <v>876</v>
      </c>
      <c r="GX794" s="4">
        <v>851</v>
      </c>
      <c r="GY794" s="4">
        <v>828</v>
      </c>
      <c r="GZ794" s="4">
        <v>804</v>
      </c>
      <c r="HA794" s="4">
        <v>780</v>
      </c>
      <c r="HB794" s="4">
        <v>756</v>
      </c>
      <c r="HC794" s="4">
        <v>732</v>
      </c>
      <c r="HD794" s="19">
        <v>68.7</v>
      </c>
      <c r="HE794" s="19">
        <v>71.8</v>
      </c>
      <c r="HF794" s="19">
        <v>21.1</v>
      </c>
      <c r="HG794" s="19">
        <v>15</v>
      </c>
      <c r="HH794" s="19">
        <v>11.8</v>
      </c>
      <c r="HI794" s="19">
        <v>10.5</v>
      </c>
      <c r="HJ794" s="19">
        <v>12.6</v>
      </c>
      <c r="HK794" s="19">
        <v>12.5</v>
      </c>
      <c r="HL794" s="19">
        <v>12.1</v>
      </c>
      <c r="HM794" s="19">
        <v>13</v>
      </c>
      <c r="HN794" s="19">
        <v>18.3</v>
      </c>
      <c r="HO794" s="19">
        <v>18.1</v>
      </c>
      <c r="HP794" s="19">
        <v>18.9</v>
      </c>
      <c r="HQ794" s="19">
        <v>23.3</v>
      </c>
      <c r="HR794" s="19">
        <v>24.1</v>
      </c>
      <c r="HS794" s="19">
        <v>27.1</v>
      </c>
      <c r="HT794" s="19">
        <v>29.8</v>
      </c>
      <c r="HU794" s="19">
        <v>31.5</v>
      </c>
      <c r="HV794" s="19">
        <v>36.2</v>
      </c>
      <c r="HW794" s="19">
        <v>36.5</v>
      </c>
      <c r="HX794" s="19">
        <v>35.5</v>
      </c>
      <c r="HY794" s="19">
        <v>34.5</v>
      </c>
      <c r="HZ794" s="19">
        <v>33.5</v>
      </c>
      <c r="IA794" s="19">
        <v>33.9</v>
      </c>
      <c r="IB794" s="19">
        <v>34.4</v>
      </c>
      <c r="IC794" s="19">
        <v>36.6</v>
      </c>
    </row>
    <row r="795">
      <c r="A795" s="2" t="s">
        <v>3350</v>
      </c>
      <c r="B795" s="2" t="s">
        <v>323</v>
      </c>
      <c r="C795" s="2" t="s">
        <v>1036</v>
      </c>
      <c r="D795" s="2" t="s">
        <v>257</v>
      </c>
      <c r="E795" s="2" t="s">
        <v>258</v>
      </c>
      <c r="F795" s="2" t="s">
        <v>3098</v>
      </c>
      <c r="G795" s="2" t="s">
        <v>3098</v>
      </c>
      <c r="H795" s="2" t="s">
        <v>3098</v>
      </c>
      <c r="I795" s="2" t="s">
        <v>3099</v>
      </c>
      <c r="J795" s="2" t="s">
        <v>272</v>
      </c>
      <c r="K795" s="2" t="s">
        <v>3346</v>
      </c>
      <c r="L795" s="3">
        <v>27.39</v>
      </c>
      <c r="M795" s="3">
        <v>28.76</v>
      </c>
      <c r="N795" s="3">
        <v>62.99</v>
      </c>
      <c r="O795" s="2" t="s">
        <v>232</v>
      </c>
      <c r="P795" s="2" t="s">
        <v>233</v>
      </c>
      <c r="Q795" s="2" t="s">
        <v>234</v>
      </c>
      <c r="R795" s="2" t="s">
        <v>235</v>
      </c>
      <c r="S795" s="2" t="s">
        <v>3347</v>
      </c>
      <c r="T795" s="2" t="s">
        <v>2908</v>
      </c>
      <c r="U795" s="2" t="s">
        <v>235</v>
      </c>
      <c r="V795" s="2" t="s">
        <v>2919</v>
      </c>
      <c r="W795" s="2" t="s">
        <v>239</v>
      </c>
      <c r="X795" s="2" t="s">
        <v>235</v>
      </c>
      <c r="Y795" s="2" t="s">
        <v>3029</v>
      </c>
      <c r="Z795" s="4">
        <v>237</v>
      </c>
      <c r="AA795" s="4">
        <f>=ROUNDDOWN(14.8125,0)</f>
      </c>
      <c r="AB795" s="5">
        <v>16</v>
      </c>
      <c r="AC795" s="2" t="s">
        <v>3291</v>
      </c>
      <c r="AD795" s="4">
        <v>86</v>
      </c>
      <c r="AE795" s="4">
        <v>254</v>
      </c>
      <c r="AF795" s="6">
        <v>73</v>
      </c>
      <c r="AG795" s="6"/>
      <c r="AH795" s="7">
        <v>1</v>
      </c>
      <c r="AI795" s="4"/>
      <c r="AJ795" s="4">
        <f>=ROUNDDOWN({0},0)</f>
      </c>
      <c r="AK795" s="5"/>
      <c r="AL795" s="2" t="s">
        <v>235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235</v>
      </c>
      <c r="AW795" s="8" t="s">
        <v>235</v>
      </c>
      <c r="AX795" s="4" t="s">
        <v>235</v>
      </c>
      <c r="AY795" s="8" t="s">
        <v>235</v>
      </c>
      <c r="AZ795" s="7" t="s">
        <v>235</v>
      </c>
      <c r="BA795" s="7" t="s">
        <v>235</v>
      </c>
      <c r="BB795" s="7"/>
      <c r="BC795" s="4" t="s">
        <v>235</v>
      </c>
      <c r="BD795" s="8" t="s">
        <v>235</v>
      </c>
      <c r="BE795" s="4" t="s">
        <v>235</v>
      </c>
      <c r="BF795" s="8" t="s">
        <v>235</v>
      </c>
      <c r="BG795" s="7" t="s">
        <v>235</v>
      </c>
      <c r="BH795" s="7" t="s">
        <v>235</v>
      </c>
      <c r="BI795" s="7"/>
      <c r="BJ795" s="4">
        <v>40</v>
      </c>
      <c r="BK795" s="8">
        <v>1188.25</v>
      </c>
      <c r="BL795" s="2" t="s">
        <v>3213</v>
      </c>
      <c r="BM795" s="7"/>
      <c r="BN795" s="7"/>
      <c r="BO795" s="4"/>
      <c r="BP795" s="8"/>
      <c r="BQ795" s="4"/>
      <c r="BR795" s="8"/>
      <c r="BS795" s="7"/>
      <c r="BT795" s="7"/>
      <c r="BU795" s="2" t="s">
        <v>3105</v>
      </c>
      <c r="BV795" s="2" t="s">
        <v>243</v>
      </c>
      <c r="BW795" s="2" t="s">
        <v>235</v>
      </c>
      <c r="BX795" s="2" t="s">
        <v>383</v>
      </c>
      <c r="BY795" s="2" t="s">
        <v>245</v>
      </c>
      <c r="BZ795" s="2" t="s">
        <v>232</v>
      </c>
      <c r="CA795" s="2" t="s">
        <v>1924</v>
      </c>
      <c r="CB795" s="2" t="s">
        <v>3074</v>
      </c>
      <c r="CC795" s="2" t="s">
        <v>248</v>
      </c>
      <c r="CD795" s="2" t="s">
        <v>248</v>
      </c>
      <c r="CE795" s="2" t="s">
        <v>235</v>
      </c>
      <c r="CF795" s="4">
        <v>110</v>
      </c>
      <c r="CG795" s="4">
        <v>127</v>
      </c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>
        <v>86</v>
      </c>
      <c r="EK795" s="4"/>
      <c r="EL795" s="4"/>
      <c r="EM795" s="4"/>
      <c r="EN795" s="4"/>
      <c r="EO795" s="4"/>
      <c r="EP795" s="4"/>
      <c r="EQ795" s="4">
        <v>168</v>
      </c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>
        <v>441</v>
      </c>
      <c r="GE795" s="4">
        <v>419</v>
      </c>
      <c r="GF795" s="4">
        <v>416</v>
      </c>
      <c r="GG795" s="4">
        <v>413</v>
      </c>
      <c r="GH795" s="4">
        <v>406</v>
      </c>
      <c r="GI795" s="4">
        <v>369</v>
      </c>
      <c r="GJ795" s="4">
        <v>301</v>
      </c>
      <c r="GK795" s="4">
        <v>266</v>
      </c>
      <c r="GL795" s="4">
        <v>232</v>
      </c>
      <c r="GM795" s="4">
        <v>294</v>
      </c>
      <c r="GN795" s="4">
        <v>439</v>
      </c>
      <c r="GO795" s="4">
        <v>412</v>
      </c>
      <c r="GP795" s="4">
        <v>382</v>
      </c>
      <c r="GQ795" s="4">
        <v>337</v>
      </c>
      <c r="GR795" s="4">
        <v>314</v>
      </c>
      <c r="GS795" s="4">
        <v>290</v>
      </c>
      <c r="GT795" s="4">
        <v>272</v>
      </c>
      <c r="GU795" s="4">
        <v>257</v>
      </c>
      <c r="GV795" s="4">
        <v>241</v>
      </c>
      <c r="GW795" s="4">
        <v>229</v>
      </c>
      <c r="GX795" s="4">
        <v>219</v>
      </c>
      <c r="GY795" s="4">
        <v>210</v>
      </c>
      <c r="GZ795" s="4">
        <v>201</v>
      </c>
      <c r="HA795" s="4">
        <v>192</v>
      </c>
      <c r="HB795" s="4">
        <v>183</v>
      </c>
      <c r="HC795" s="4">
        <v>174</v>
      </c>
      <c r="HD795" s="19">
        <v>49</v>
      </c>
      <c r="HE795" s="19">
        <v>34.9</v>
      </c>
      <c r="HF795" s="19">
        <v>14.3</v>
      </c>
      <c r="HG795" s="19">
        <v>11.2</v>
      </c>
      <c r="HH795" s="19">
        <v>9.2</v>
      </c>
      <c r="HI795" s="19">
        <v>9.2</v>
      </c>
      <c r="HJ795" s="19">
        <v>10.4</v>
      </c>
      <c r="HK795" s="19">
        <v>9.9</v>
      </c>
      <c r="HL795" s="19">
        <v>8.9</v>
      </c>
      <c r="HM795" s="19">
        <v>9.5</v>
      </c>
      <c r="HN795" s="19">
        <v>14.2</v>
      </c>
      <c r="HO795" s="19">
        <v>13.7</v>
      </c>
      <c r="HP795" s="19">
        <v>13.6</v>
      </c>
      <c r="HQ795" s="19">
        <v>16.9</v>
      </c>
      <c r="HR795" s="19">
        <v>17.4</v>
      </c>
      <c r="HS795" s="19">
        <v>19.3</v>
      </c>
      <c r="HT795" s="19">
        <v>20.9</v>
      </c>
      <c r="HU795" s="19">
        <v>21.4</v>
      </c>
      <c r="HV795" s="19">
        <v>24.1</v>
      </c>
      <c r="HW795" s="19">
        <v>25.4</v>
      </c>
      <c r="HX795" s="19">
        <v>24.3</v>
      </c>
      <c r="HY795" s="19">
        <v>23.3</v>
      </c>
      <c r="HZ795" s="19">
        <v>22.3</v>
      </c>
      <c r="IA795" s="19">
        <v>24</v>
      </c>
      <c r="IB795" s="19">
        <v>22.9</v>
      </c>
      <c r="IC795" s="19">
        <v>21.8</v>
      </c>
    </row>
    <row r="796">
      <c r="A796" s="2" t="s">
        <v>3351</v>
      </c>
      <c r="B796" s="2" t="s">
        <v>323</v>
      </c>
      <c r="C796" s="2" t="s">
        <v>1036</v>
      </c>
      <c r="D796" s="2" t="s">
        <v>257</v>
      </c>
      <c r="E796" s="2" t="s">
        <v>258</v>
      </c>
      <c r="F796" s="2" t="s">
        <v>3098</v>
      </c>
      <c r="G796" s="2" t="s">
        <v>3098</v>
      </c>
      <c r="H796" s="2" t="s">
        <v>3098</v>
      </c>
      <c r="I796" s="2" t="s">
        <v>3099</v>
      </c>
      <c r="J796" s="2" t="s">
        <v>394</v>
      </c>
      <c r="K796" s="2" t="s">
        <v>3352</v>
      </c>
      <c r="L796" s="3">
        <v>17.07</v>
      </c>
      <c r="M796" s="3">
        <v>17.92</v>
      </c>
      <c r="N796" s="3">
        <v>31.99</v>
      </c>
      <c r="O796" s="2" t="s">
        <v>232</v>
      </c>
      <c r="P796" s="2" t="s">
        <v>336</v>
      </c>
      <c r="Q796" s="2" t="s">
        <v>234</v>
      </c>
      <c r="R796" s="2" t="s">
        <v>235</v>
      </c>
      <c r="S796" s="2" t="s">
        <v>3353</v>
      </c>
      <c r="T796" s="2" t="s">
        <v>2908</v>
      </c>
      <c r="U796" s="2" t="s">
        <v>552</v>
      </c>
      <c r="V796" s="2" t="s">
        <v>2919</v>
      </c>
      <c r="W796" s="2" t="s">
        <v>239</v>
      </c>
      <c r="X796" s="2" t="s">
        <v>1798</v>
      </c>
      <c r="Y796" s="2" t="s">
        <v>2946</v>
      </c>
      <c r="Z796" s="4">
        <v>1039</v>
      </c>
      <c r="AA796" s="4">
        <f>=ROUNDDOWN(25.975,0)</f>
      </c>
      <c r="AB796" s="5">
        <v>40</v>
      </c>
      <c r="AC796" s="2" t="s">
        <v>2503</v>
      </c>
      <c r="AD796" s="4">
        <v>13</v>
      </c>
      <c r="AE796" s="4">
        <v>601</v>
      </c>
      <c r="AF796" s="6">
        <v>73</v>
      </c>
      <c r="AG796" s="6"/>
      <c r="AH796" s="7">
        <v>1</v>
      </c>
      <c r="AI796" s="4"/>
      <c r="AJ796" s="4">
        <f>=ROUNDDOWN({0},0)</f>
      </c>
      <c r="AK796" s="5"/>
      <c r="AL796" s="2" t="s">
        <v>235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235</v>
      </c>
      <c r="AW796" s="8" t="s">
        <v>235</v>
      </c>
      <c r="AX796" s="4" t="s">
        <v>235</v>
      </c>
      <c r="AY796" s="8" t="s">
        <v>235</v>
      </c>
      <c r="AZ796" s="7" t="s">
        <v>235</v>
      </c>
      <c r="BA796" s="7" t="s">
        <v>235</v>
      </c>
      <c r="BB796" s="7"/>
      <c r="BC796" s="4" t="s">
        <v>235</v>
      </c>
      <c r="BD796" s="8" t="s">
        <v>235</v>
      </c>
      <c r="BE796" s="4" t="s">
        <v>235</v>
      </c>
      <c r="BF796" s="8" t="s">
        <v>235</v>
      </c>
      <c r="BG796" s="7" t="s">
        <v>235</v>
      </c>
      <c r="BH796" s="7" t="s">
        <v>235</v>
      </c>
      <c r="BI796" s="7"/>
      <c r="BJ796" s="4">
        <v>22</v>
      </c>
      <c r="BK796" s="8">
        <v>368.61</v>
      </c>
      <c r="BL796" s="2" t="s">
        <v>3354</v>
      </c>
      <c r="BM796" s="7"/>
      <c r="BN796" s="7"/>
      <c r="BO796" s="4"/>
      <c r="BP796" s="8"/>
      <c r="BQ796" s="4"/>
      <c r="BR796" s="8"/>
      <c r="BS796" s="7"/>
      <c r="BT796" s="7"/>
      <c r="BU796" s="2" t="s">
        <v>3105</v>
      </c>
      <c r="BV796" s="2" t="s">
        <v>243</v>
      </c>
      <c r="BW796" s="2" t="s">
        <v>235</v>
      </c>
      <c r="BX796" s="2" t="s">
        <v>383</v>
      </c>
      <c r="BY796" s="2" t="s">
        <v>245</v>
      </c>
      <c r="BZ796" s="2" t="s">
        <v>232</v>
      </c>
      <c r="CA796" s="2" t="s">
        <v>3114</v>
      </c>
      <c r="CB796" s="2" t="s">
        <v>3355</v>
      </c>
      <c r="CC796" s="2" t="s">
        <v>248</v>
      </c>
      <c r="CD796" s="2" t="s">
        <v>248</v>
      </c>
      <c r="CE796" s="2" t="s">
        <v>235</v>
      </c>
      <c r="CF796" s="4">
        <v>1039</v>
      </c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>
        <v>13</v>
      </c>
      <c r="DH796" s="4"/>
      <c r="DI796" s="4"/>
      <c r="DJ796" s="4"/>
      <c r="DK796" s="4"/>
      <c r="DL796" s="4"/>
      <c r="DM796" s="4">
        <v>387</v>
      </c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>
        <v>201</v>
      </c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>
        <v>1077</v>
      </c>
      <c r="GE796" s="4">
        <v>1007</v>
      </c>
      <c r="GF796" s="4">
        <v>986</v>
      </c>
      <c r="GG796" s="4">
        <v>935</v>
      </c>
      <c r="GH796" s="4">
        <v>1260</v>
      </c>
      <c r="GI796" s="4">
        <v>1161</v>
      </c>
      <c r="GJ796" s="4">
        <v>975</v>
      </c>
      <c r="GK796" s="4">
        <v>882</v>
      </c>
      <c r="GL796" s="4">
        <v>792</v>
      </c>
      <c r="GM796" s="4">
        <v>931</v>
      </c>
      <c r="GN796" s="4">
        <v>876</v>
      </c>
      <c r="GO796" s="4">
        <v>810</v>
      </c>
      <c r="GP796" s="4">
        <v>742</v>
      </c>
      <c r="GQ796" s="4">
        <v>646</v>
      </c>
      <c r="GR796" s="4">
        <v>594</v>
      </c>
      <c r="GS796" s="4">
        <v>540</v>
      </c>
      <c r="GT796" s="4">
        <v>498</v>
      </c>
      <c r="GU796" s="4">
        <v>462</v>
      </c>
      <c r="GV796" s="4">
        <v>424</v>
      </c>
      <c r="GW796" s="4">
        <v>397</v>
      </c>
      <c r="GX796" s="4">
        <v>373</v>
      </c>
      <c r="GY796" s="4">
        <v>352</v>
      </c>
      <c r="GZ796" s="4">
        <v>330</v>
      </c>
      <c r="HA796" s="4">
        <v>308</v>
      </c>
      <c r="HB796" s="4">
        <v>286</v>
      </c>
      <c r="HC796" s="4">
        <v>264</v>
      </c>
      <c r="HD796" s="19">
        <v>19.9</v>
      </c>
      <c r="HE796" s="19">
        <v>16.2</v>
      </c>
      <c r="HF796" s="19">
        <v>9.9</v>
      </c>
      <c r="HG796" s="19">
        <v>8.5</v>
      </c>
      <c r="HH796" s="19">
        <v>10.8</v>
      </c>
      <c r="HI796" s="19">
        <v>10.8</v>
      </c>
      <c r="HJ796" s="19">
        <v>13</v>
      </c>
      <c r="HK796" s="19">
        <v>13</v>
      </c>
      <c r="HL796" s="19">
        <v>12.6</v>
      </c>
      <c r="HM796" s="19">
        <v>13.1</v>
      </c>
      <c r="HN796" s="19">
        <v>12.5</v>
      </c>
      <c r="HO796" s="19">
        <v>11.9</v>
      </c>
      <c r="HP796" s="19">
        <v>12.2</v>
      </c>
      <c r="HQ796" s="19">
        <v>14</v>
      </c>
      <c r="HR796" s="19">
        <v>14.1</v>
      </c>
      <c r="HS796" s="19">
        <v>15</v>
      </c>
      <c r="HT796" s="19">
        <v>16.1</v>
      </c>
      <c r="HU796" s="19">
        <v>16.5</v>
      </c>
      <c r="HV796" s="19">
        <v>17.7</v>
      </c>
      <c r="HW796" s="19">
        <v>18</v>
      </c>
      <c r="HX796" s="19">
        <v>17</v>
      </c>
      <c r="HY796" s="19">
        <v>16</v>
      </c>
      <c r="HZ796" s="19">
        <v>15</v>
      </c>
      <c r="IA796" s="19">
        <v>14.7</v>
      </c>
      <c r="IB796" s="19">
        <v>14.3</v>
      </c>
      <c r="IC796" s="19">
        <v>14.7</v>
      </c>
    </row>
    <row r="797">
      <c r="A797" s="2" t="s">
        <v>3356</v>
      </c>
      <c r="B797" s="2" t="s">
        <v>323</v>
      </c>
      <c r="C797" s="2" t="s">
        <v>1036</v>
      </c>
      <c r="D797" s="2" t="s">
        <v>257</v>
      </c>
      <c r="E797" s="2" t="s">
        <v>258</v>
      </c>
      <c r="F797" s="2" t="s">
        <v>3098</v>
      </c>
      <c r="G797" s="2" t="s">
        <v>3098</v>
      </c>
      <c r="H797" s="2" t="s">
        <v>3098</v>
      </c>
      <c r="I797" s="2" t="s">
        <v>3099</v>
      </c>
      <c r="J797" s="2" t="s">
        <v>250</v>
      </c>
      <c r="K797" s="2" t="s">
        <v>3352</v>
      </c>
      <c r="L797" s="3">
        <v>19.57</v>
      </c>
      <c r="M797" s="3">
        <v>20.55</v>
      </c>
      <c r="N797" s="3">
        <v>42.99</v>
      </c>
      <c r="O797" s="2" t="s">
        <v>232</v>
      </c>
      <c r="P797" s="2" t="s">
        <v>336</v>
      </c>
      <c r="Q797" s="2" t="s">
        <v>234</v>
      </c>
      <c r="R797" s="2" t="s">
        <v>235</v>
      </c>
      <c r="S797" s="2" t="s">
        <v>3353</v>
      </c>
      <c r="T797" s="2" t="s">
        <v>2908</v>
      </c>
      <c r="U797" s="2" t="s">
        <v>264</v>
      </c>
      <c r="V797" s="2" t="s">
        <v>2919</v>
      </c>
      <c r="W797" s="2" t="s">
        <v>239</v>
      </c>
      <c r="X797" s="2" t="s">
        <v>1798</v>
      </c>
      <c r="Y797" s="2" t="s">
        <v>2946</v>
      </c>
      <c r="Z797" s="4">
        <v>1127</v>
      </c>
      <c r="AA797" s="4">
        <f>=ROUNDDOWN(30.4594594594595,0)</f>
      </c>
      <c r="AB797" s="5">
        <v>37</v>
      </c>
      <c r="AC797" s="2" t="s">
        <v>3103</v>
      </c>
      <c r="AD797" s="4">
        <v>268</v>
      </c>
      <c r="AE797" s="4">
        <v>416</v>
      </c>
      <c r="AF797" s="6">
        <v>73</v>
      </c>
      <c r="AG797" s="6"/>
      <c r="AH797" s="7">
        <v>1</v>
      </c>
      <c r="AI797" s="4"/>
      <c r="AJ797" s="4">
        <f>=ROUNDDOWN({0},0)</f>
      </c>
      <c r="AK797" s="5"/>
      <c r="AL797" s="2" t="s">
        <v>235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235</v>
      </c>
      <c r="AW797" s="8" t="s">
        <v>235</v>
      </c>
      <c r="AX797" s="4" t="s">
        <v>235</v>
      </c>
      <c r="AY797" s="8" t="s">
        <v>235</v>
      </c>
      <c r="AZ797" s="7" t="s">
        <v>235</v>
      </c>
      <c r="BA797" s="7" t="s">
        <v>235</v>
      </c>
      <c r="BB797" s="7"/>
      <c r="BC797" s="4" t="s">
        <v>235</v>
      </c>
      <c r="BD797" s="8" t="s">
        <v>235</v>
      </c>
      <c r="BE797" s="4" t="s">
        <v>235</v>
      </c>
      <c r="BF797" s="8" t="s">
        <v>235</v>
      </c>
      <c r="BG797" s="7" t="s">
        <v>235</v>
      </c>
      <c r="BH797" s="7" t="s">
        <v>235</v>
      </c>
      <c r="BI797" s="7"/>
      <c r="BJ797" s="4">
        <v>8</v>
      </c>
      <c r="BK797" s="8">
        <v>173.71</v>
      </c>
      <c r="BL797" s="2" t="s">
        <v>3357</v>
      </c>
      <c r="BM797" s="7"/>
      <c r="BN797" s="7"/>
      <c r="BO797" s="4"/>
      <c r="BP797" s="8"/>
      <c r="BQ797" s="4"/>
      <c r="BR797" s="8"/>
      <c r="BS797" s="7"/>
      <c r="BT797" s="7"/>
      <c r="BU797" s="2" t="s">
        <v>3105</v>
      </c>
      <c r="BV797" s="2" t="s">
        <v>243</v>
      </c>
      <c r="BW797" s="2" t="s">
        <v>235</v>
      </c>
      <c r="BX797" s="2" t="s">
        <v>383</v>
      </c>
      <c r="BY797" s="2" t="s">
        <v>245</v>
      </c>
      <c r="BZ797" s="2" t="s">
        <v>232</v>
      </c>
      <c r="CA797" s="2" t="s">
        <v>3114</v>
      </c>
      <c r="CB797" s="2" t="s">
        <v>3358</v>
      </c>
      <c r="CC797" s="2" t="s">
        <v>248</v>
      </c>
      <c r="CD797" s="2" t="s">
        <v>248</v>
      </c>
      <c r="CE797" s="2" t="s">
        <v>235</v>
      </c>
      <c r="CF797" s="4">
        <v>1127</v>
      </c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>
        <v>268</v>
      </c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>
        <v>148</v>
      </c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>
        <v>1127</v>
      </c>
      <c r="GE797" s="4">
        <v>1104</v>
      </c>
      <c r="GF797" s="4">
        <v>1070</v>
      </c>
      <c r="GG797" s="4">
        <v>1018</v>
      </c>
      <c r="GH797" s="4">
        <v>1222</v>
      </c>
      <c r="GI797" s="4">
        <v>1122</v>
      </c>
      <c r="GJ797" s="4">
        <v>929</v>
      </c>
      <c r="GK797" s="4">
        <v>835</v>
      </c>
      <c r="GL797" s="4">
        <v>744</v>
      </c>
      <c r="GM797" s="4">
        <v>831</v>
      </c>
      <c r="GN797" s="4">
        <v>781</v>
      </c>
      <c r="GO797" s="4">
        <v>722</v>
      </c>
      <c r="GP797" s="4">
        <v>667</v>
      </c>
      <c r="GQ797" s="4">
        <v>600</v>
      </c>
      <c r="GR797" s="4">
        <v>562</v>
      </c>
      <c r="GS797" s="4">
        <v>521</v>
      </c>
      <c r="GT797" s="4">
        <v>487</v>
      </c>
      <c r="GU797" s="4">
        <v>457</v>
      </c>
      <c r="GV797" s="4">
        <v>425</v>
      </c>
      <c r="GW797" s="4">
        <v>402</v>
      </c>
      <c r="GX797" s="4">
        <v>381</v>
      </c>
      <c r="GY797" s="4">
        <v>362</v>
      </c>
      <c r="GZ797" s="4">
        <v>342</v>
      </c>
      <c r="HA797" s="4">
        <v>322</v>
      </c>
      <c r="HB797" s="4">
        <v>302</v>
      </c>
      <c r="HC797" s="4">
        <v>282</v>
      </c>
      <c r="HD797" s="19">
        <v>26.2</v>
      </c>
      <c r="HE797" s="19">
        <v>17.8</v>
      </c>
      <c r="HF797" s="19">
        <v>10.5</v>
      </c>
      <c r="HG797" s="19">
        <v>9</v>
      </c>
      <c r="HH797" s="19">
        <v>10.2</v>
      </c>
      <c r="HI797" s="19">
        <v>10.2</v>
      </c>
      <c r="HJ797" s="19">
        <v>12.6</v>
      </c>
      <c r="HK797" s="19">
        <v>12.8</v>
      </c>
      <c r="HL797" s="19">
        <v>13.3</v>
      </c>
      <c r="HM797" s="19">
        <v>14.3</v>
      </c>
      <c r="HN797" s="19">
        <v>14.2</v>
      </c>
      <c r="HO797" s="19">
        <v>14.4</v>
      </c>
      <c r="HP797" s="19">
        <v>14.8</v>
      </c>
      <c r="HQ797" s="19">
        <v>16.7</v>
      </c>
      <c r="HR797" s="19">
        <v>16.5</v>
      </c>
      <c r="HS797" s="19">
        <v>17.4</v>
      </c>
      <c r="HT797" s="19">
        <v>18.7</v>
      </c>
      <c r="HU797" s="19">
        <v>19</v>
      </c>
      <c r="HV797" s="19">
        <v>20.2</v>
      </c>
      <c r="HW797" s="19">
        <v>20.1</v>
      </c>
      <c r="HX797" s="19">
        <v>19.1</v>
      </c>
      <c r="HY797" s="19">
        <v>18.1</v>
      </c>
      <c r="HZ797" s="19">
        <v>17.1</v>
      </c>
      <c r="IA797" s="19">
        <v>16.1</v>
      </c>
      <c r="IB797" s="19">
        <v>16.8</v>
      </c>
      <c r="IC797" s="19">
        <v>15.7</v>
      </c>
    </row>
    <row r="798">
      <c r="A798" s="2" t="s">
        <v>3359</v>
      </c>
      <c r="B798" s="2" t="s">
        <v>323</v>
      </c>
      <c r="C798" s="2" t="s">
        <v>1036</v>
      </c>
      <c r="D798" s="2" t="s">
        <v>257</v>
      </c>
      <c r="E798" s="2" t="s">
        <v>258</v>
      </c>
      <c r="F798" s="2" t="s">
        <v>3098</v>
      </c>
      <c r="G798" s="2" t="s">
        <v>3098</v>
      </c>
      <c r="H798" s="2" t="s">
        <v>3098</v>
      </c>
      <c r="I798" s="2" t="s">
        <v>3099</v>
      </c>
      <c r="J798" s="2" t="s">
        <v>261</v>
      </c>
      <c r="K798" s="2" t="s">
        <v>3352</v>
      </c>
      <c r="L798" s="3">
        <v>22.21</v>
      </c>
      <c r="M798" s="3">
        <v>23.32</v>
      </c>
      <c r="N798" s="3">
        <v>47.99</v>
      </c>
      <c r="O798" s="2" t="s">
        <v>232</v>
      </c>
      <c r="P798" s="2" t="s">
        <v>698</v>
      </c>
      <c r="Q798" s="2" t="s">
        <v>234</v>
      </c>
      <c r="R798" s="2" t="s">
        <v>235</v>
      </c>
      <c r="S798" s="2" t="s">
        <v>3353</v>
      </c>
      <c r="T798" s="2" t="s">
        <v>2908</v>
      </c>
      <c r="U798" s="2" t="s">
        <v>264</v>
      </c>
      <c r="V798" s="2" t="s">
        <v>2919</v>
      </c>
      <c r="W798" s="2" t="s">
        <v>239</v>
      </c>
      <c r="X798" s="2" t="s">
        <v>1798</v>
      </c>
      <c r="Y798" s="2" t="s">
        <v>2946</v>
      </c>
      <c r="Z798" s="4">
        <v>986</v>
      </c>
      <c r="AA798" s="4">
        <f>=ROUNDDOWN(26.6486486486486,0)</f>
      </c>
      <c r="AB798" s="5">
        <v>37</v>
      </c>
      <c r="AC798" s="2" t="s">
        <v>2503</v>
      </c>
      <c r="AD798" s="4">
        <v>4</v>
      </c>
      <c r="AE798" s="4">
        <v>581</v>
      </c>
      <c r="AF798" s="6">
        <v>73</v>
      </c>
      <c r="AG798" s="6"/>
      <c r="AH798" s="7">
        <v>1</v>
      </c>
      <c r="AI798" s="4"/>
      <c r="AJ798" s="4">
        <f>=ROUNDDOWN({0},0)</f>
      </c>
      <c r="AK798" s="5"/>
      <c r="AL798" s="2" t="s">
        <v>235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235</v>
      </c>
      <c r="AW798" s="8" t="s">
        <v>235</v>
      </c>
      <c r="AX798" s="4" t="s">
        <v>235</v>
      </c>
      <c r="AY798" s="8" t="s">
        <v>235</v>
      </c>
      <c r="AZ798" s="7" t="s">
        <v>235</v>
      </c>
      <c r="BA798" s="7" t="s">
        <v>235</v>
      </c>
      <c r="BB798" s="7"/>
      <c r="BC798" s="4" t="s">
        <v>235</v>
      </c>
      <c r="BD798" s="8" t="s">
        <v>235</v>
      </c>
      <c r="BE798" s="4" t="s">
        <v>235</v>
      </c>
      <c r="BF798" s="8" t="s">
        <v>235</v>
      </c>
      <c r="BG798" s="7" t="s">
        <v>235</v>
      </c>
      <c r="BH798" s="7" t="s">
        <v>235</v>
      </c>
      <c r="BI798" s="7"/>
      <c r="BJ798" s="4">
        <v>10</v>
      </c>
      <c r="BK798" s="8">
        <v>246.7</v>
      </c>
      <c r="BL798" s="2" t="s">
        <v>3360</v>
      </c>
      <c r="BM798" s="7"/>
      <c r="BN798" s="7"/>
      <c r="BO798" s="4"/>
      <c r="BP798" s="8"/>
      <c r="BQ798" s="4"/>
      <c r="BR798" s="8"/>
      <c r="BS798" s="7"/>
      <c r="BT798" s="7"/>
      <c r="BU798" s="2" t="s">
        <v>3105</v>
      </c>
      <c r="BV798" s="2" t="s">
        <v>243</v>
      </c>
      <c r="BW798" s="2" t="s">
        <v>235</v>
      </c>
      <c r="BX798" s="2" t="s">
        <v>383</v>
      </c>
      <c r="BY798" s="2" t="s">
        <v>245</v>
      </c>
      <c r="BZ798" s="2" t="s">
        <v>232</v>
      </c>
      <c r="CA798" s="2" t="s">
        <v>3114</v>
      </c>
      <c r="CB798" s="2" t="s">
        <v>3361</v>
      </c>
      <c r="CC798" s="2" t="s">
        <v>248</v>
      </c>
      <c r="CD798" s="2" t="s">
        <v>248</v>
      </c>
      <c r="CE798" s="2" t="s">
        <v>235</v>
      </c>
      <c r="CF798" s="4">
        <v>986</v>
      </c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>
        <v>4</v>
      </c>
      <c r="DH798" s="4"/>
      <c r="DI798" s="4"/>
      <c r="DJ798" s="4"/>
      <c r="DK798" s="4"/>
      <c r="DL798" s="4"/>
      <c r="DM798" s="4">
        <v>382</v>
      </c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>
        <v>195</v>
      </c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>
        <v>990</v>
      </c>
      <c r="GE798" s="4">
        <v>837</v>
      </c>
      <c r="GF798" s="4">
        <v>810</v>
      </c>
      <c r="GG798" s="4">
        <v>765</v>
      </c>
      <c r="GH798" s="4">
        <v>1092</v>
      </c>
      <c r="GI798" s="4">
        <v>1005</v>
      </c>
      <c r="GJ798" s="4">
        <v>843</v>
      </c>
      <c r="GK798" s="4">
        <v>760</v>
      </c>
      <c r="GL798" s="4">
        <v>680</v>
      </c>
      <c r="GM798" s="4">
        <v>819</v>
      </c>
      <c r="GN798" s="4">
        <v>767</v>
      </c>
      <c r="GO798" s="4">
        <v>705</v>
      </c>
      <c r="GP798" s="4">
        <v>639</v>
      </c>
      <c r="GQ798" s="4">
        <v>539</v>
      </c>
      <c r="GR798" s="4">
        <v>487</v>
      </c>
      <c r="GS798" s="4">
        <v>434</v>
      </c>
      <c r="GT798" s="4">
        <v>394</v>
      </c>
      <c r="GU798" s="4">
        <v>360</v>
      </c>
      <c r="GV798" s="4">
        <v>323</v>
      </c>
      <c r="GW798" s="4">
        <v>297</v>
      </c>
      <c r="GX798" s="4">
        <v>275</v>
      </c>
      <c r="GY798" s="4">
        <v>255</v>
      </c>
      <c r="GZ798" s="4">
        <v>234</v>
      </c>
      <c r="HA798" s="4">
        <v>213</v>
      </c>
      <c r="HB798" s="4">
        <v>192</v>
      </c>
      <c r="HC798" s="4">
        <v>171</v>
      </c>
      <c r="HD798" s="19">
        <v>13.9</v>
      </c>
      <c r="HE798" s="19">
        <v>15.5</v>
      </c>
      <c r="HF798" s="19">
        <v>9.3</v>
      </c>
      <c r="HG798" s="19">
        <v>7.9</v>
      </c>
      <c r="HH798" s="19">
        <v>10.6</v>
      </c>
      <c r="HI798" s="19">
        <v>10.6</v>
      </c>
      <c r="HJ798" s="19">
        <v>12.4</v>
      </c>
      <c r="HK798" s="19">
        <v>12.3</v>
      </c>
      <c r="HL798" s="19">
        <v>11.5</v>
      </c>
      <c r="HM798" s="19">
        <v>11.7</v>
      </c>
      <c r="HN798" s="19">
        <v>11</v>
      </c>
      <c r="HO798" s="19">
        <v>10.4</v>
      </c>
      <c r="HP798" s="19">
        <v>10.5</v>
      </c>
      <c r="HQ798" s="19">
        <v>12</v>
      </c>
      <c r="HR798" s="19">
        <v>11.9</v>
      </c>
      <c r="HS798" s="19">
        <v>12.8</v>
      </c>
      <c r="HT798" s="19">
        <v>13.1</v>
      </c>
      <c r="HU798" s="19">
        <v>13.8</v>
      </c>
      <c r="HV798" s="19">
        <v>14.7</v>
      </c>
      <c r="HW798" s="19">
        <v>14.1</v>
      </c>
      <c r="HX798" s="19">
        <v>13.1</v>
      </c>
      <c r="HY798" s="19">
        <v>12.1</v>
      </c>
      <c r="HZ798" s="19">
        <v>11.7</v>
      </c>
      <c r="IA798" s="19">
        <v>10.7</v>
      </c>
      <c r="IB798" s="19">
        <v>10.1</v>
      </c>
      <c r="IC798" s="19">
        <v>9.5</v>
      </c>
    </row>
    <row r="799">
      <c r="A799" s="2" t="s">
        <v>3362</v>
      </c>
      <c r="B799" s="2" t="s">
        <v>323</v>
      </c>
      <c r="C799" s="2" t="s">
        <v>1036</v>
      </c>
      <c r="D799" s="2" t="s">
        <v>257</v>
      </c>
      <c r="E799" s="2" t="s">
        <v>258</v>
      </c>
      <c r="F799" s="2" t="s">
        <v>3098</v>
      </c>
      <c r="G799" s="2" t="s">
        <v>3098</v>
      </c>
      <c r="H799" s="2" t="s">
        <v>3098</v>
      </c>
      <c r="I799" s="2" t="s">
        <v>3099</v>
      </c>
      <c r="J799" s="2" t="s">
        <v>270</v>
      </c>
      <c r="K799" s="2" t="s">
        <v>3352</v>
      </c>
      <c r="L799" s="3">
        <v>27.39</v>
      </c>
      <c r="M799" s="3">
        <v>28.76</v>
      </c>
      <c r="N799" s="3">
        <v>62.99</v>
      </c>
      <c r="O799" s="2" t="s">
        <v>232</v>
      </c>
      <c r="P799" s="2" t="s">
        <v>233</v>
      </c>
      <c r="Q799" s="2" t="s">
        <v>234</v>
      </c>
      <c r="R799" s="2" t="s">
        <v>235</v>
      </c>
      <c r="S799" s="2" t="s">
        <v>3353</v>
      </c>
      <c r="T799" s="2" t="s">
        <v>2908</v>
      </c>
      <c r="U799" s="2" t="s">
        <v>264</v>
      </c>
      <c r="V799" s="2" t="s">
        <v>2919</v>
      </c>
      <c r="W799" s="2" t="s">
        <v>239</v>
      </c>
      <c r="X799" s="2" t="s">
        <v>1798</v>
      </c>
      <c r="Y799" s="2" t="s">
        <v>2946</v>
      </c>
      <c r="Z799" s="4">
        <v>429</v>
      </c>
      <c r="AA799" s="4">
        <f>=ROUNDDOWN(28.6,0)</f>
      </c>
      <c r="AB799" s="5">
        <v>15</v>
      </c>
      <c r="AC799" s="2" t="s">
        <v>2503</v>
      </c>
      <c r="AD799" s="4">
        <v>2</v>
      </c>
      <c r="AE799" s="4">
        <v>375</v>
      </c>
      <c r="AF799" s="6">
        <v>73</v>
      </c>
      <c r="AG799" s="6"/>
      <c r="AH799" s="7">
        <v>1</v>
      </c>
      <c r="AI799" s="4"/>
      <c r="AJ799" s="4">
        <f>=ROUNDDOWN({0},0)</f>
      </c>
      <c r="AK799" s="5"/>
      <c r="AL799" s="2" t="s">
        <v>235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235</v>
      </c>
      <c r="AW799" s="8" t="s">
        <v>235</v>
      </c>
      <c r="AX799" s="4" t="s">
        <v>235</v>
      </c>
      <c r="AY799" s="8" t="s">
        <v>235</v>
      </c>
      <c r="AZ799" s="7" t="s">
        <v>235</v>
      </c>
      <c r="BA799" s="7" t="s">
        <v>235</v>
      </c>
      <c r="BB799" s="7"/>
      <c r="BC799" s="4" t="s">
        <v>235</v>
      </c>
      <c r="BD799" s="8" t="s">
        <v>235</v>
      </c>
      <c r="BE799" s="4" t="s">
        <v>235</v>
      </c>
      <c r="BF799" s="8" t="s">
        <v>235</v>
      </c>
      <c r="BG799" s="7" t="s">
        <v>235</v>
      </c>
      <c r="BH799" s="7" t="s">
        <v>235</v>
      </c>
      <c r="BI799" s="7"/>
      <c r="BJ799" s="4">
        <v>2</v>
      </c>
      <c r="BK799" s="8">
        <v>60.65</v>
      </c>
      <c r="BL799" s="2" t="s">
        <v>3363</v>
      </c>
      <c r="BM799" s="7"/>
      <c r="BN799" s="7"/>
      <c r="BO799" s="4"/>
      <c r="BP799" s="8"/>
      <c r="BQ799" s="4"/>
      <c r="BR799" s="8"/>
      <c r="BS799" s="7"/>
      <c r="BT799" s="7"/>
      <c r="BU799" s="2" t="s">
        <v>3105</v>
      </c>
      <c r="BV799" s="2" t="s">
        <v>243</v>
      </c>
      <c r="BW799" s="2" t="s">
        <v>235</v>
      </c>
      <c r="BX799" s="2" t="s">
        <v>383</v>
      </c>
      <c r="BY799" s="2" t="s">
        <v>245</v>
      </c>
      <c r="BZ799" s="2" t="s">
        <v>232</v>
      </c>
      <c r="CA799" s="2" t="s">
        <v>3327</v>
      </c>
      <c r="CB799" s="2" t="s">
        <v>798</v>
      </c>
      <c r="CC799" s="2" t="s">
        <v>248</v>
      </c>
      <c r="CD799" s="2" t="s">
        <v>248</v>
      </c>
      <c r="CE799" s="2" t="s">
        <v>235</v>
      </c>
      <c r="CF799" s="4">
        <v>429</v>
      </c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>
        <v>2</v>
      </c>
      <c r="DH799" s="4"/>
      <c r="DI799" s="4"/>
      <c r="DJ799" s="4"/>
      <c r="DK799" s="4"/>
      <c r="DL799" s="4"/>
      <c r="DM799" s="4">
        <v>146</v>
      </c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>
        <v>81</v>
      </c>
      <c r="EK799" s="4"/>
      <c r="EL799" s="4"/>
      <c r="EM799" s="4"/>
      <c r="EN799" s="4"/>
      <c r="EO799" s="4"/>
      <c r="EP799" s="4"/>
      <c r="EQ799" s="4">
        <v>146</v>
      </c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>
        <v>429</v>
      </c>
      <c r="GE799" s="4">
        <v>361</v>
      </c>
      <c r="GF799" s="4">
        <v>350</v>
      </c>
      <c r="GG799" s="4">
        <v>330</v>
      </c>
      <c r="GH799" s="4">
        <v>452</v>
      </c>
      <c r="GI799" s="4">
        <v>414</v>
      </c>
      <c r="GJ799" s="4">
        <v>342</v>
      </c>
      <c r="GK799" s="4">
        <v>306</v>
      </c>
      <c r="GL799" s="4">
        <v>271</v>
      </c>
      <c r="GM799" s="4">
        <v>328</v>
      </c>
      <c r="GN799" s="4">
        <v>454</v>
      </c>
      <c r="GO799" s="4">
        <v>429</v>
      </c>
      <c r="GP799" s="4">
        <v>405</v>
      </c>
      <c r="GQ799" s="4">
        <v>371</v>
      </c>
      <c r="GR799" s="4">
        <v>352</v>
      </c>
      <c r="GS799" s="4">
        <v>333</v>
      </c>
      <c r="GT799" s="4">
        <v>318</v>
      </c>
      <c r="GU799" s="4">
        <v>305</v>
      </c>
      <c r="GV799" s="4">
        <v>291</v>
      </c>
      <c r="GW799" s="4">
        <v>281</v>
      </c>
      <c r="GX799" s="4">
        <v>272</v>
      </c>
      <c r="GY799" s="4">
        <v>264</v>
      </c>
      <c r="GZ799" s="4">
        <v>255</v>
      </c>
      <c r="HA799" s="4">
        <v>246</v>
      </c>
      <c r="HB799" s="4">
        <v>237</v>
      </c>
      <c r="HC799" s="4">
        <v>228</v>
      </c>
      <c r="HD799" s="19">
        <v>13.8</v>
      </c>
      <c r="HE799" s="19">
        <v>15</v>
      </c>
      <c r="HF799" s="19">
        <v>9.2</v>
      </c>
      <c r="HG799" s="19">
        <v>7.9</v>
      </c>
      <c r="HH799" s="19">
        <v>10</v>
      </c>
      <c r="HI799" s="19">
        <v>9.9</v>
      </c>
      <c r="HJ799" s="19">
        <v>11.8</v>
      </c>
      <c r="HK799" s="19">
        <v>11.8</v>
      </c>
      <c r="HL799" s="19">
        <v>11.8</v>
      </c>
      <c r="HM799" s="19">
        <v>12.6</v>
      </c>
      <c r="HN799" s="19">
        <v>17.5</v>
      </c>
      <c r="HO799" s="19">
        <v>17.9</v>
      </c>
      <c r="HP799" s="19">
        <v>18.4</v>
      </c>
      <c r="HQ799" s="19">
        <v>23.2</v>
      </c>
      <c r="HR799" s="19">
        <v>23.5</v>
      </c>
      <c r="HS799" s="19">
        <v>25.6</v>
      </c>
      <c r="HT799" s="19">
        <v>26.5</v>
      </c>
      <c r="HU799" s="19">
        <v>30.5</v>
      </c>
      <c r="HV799" s="19">
        <v>32.3</v>
      </c>
      <c r="HW799" s="19">
        <v>31.2</v>
      </c>
      <c r="HX799" s="19">
        <v>30.2</v>
      </c>
      <c r="HY799" s="19">
        <v>29.3</v>
      </c>
      <c r="HZ799" s="19">
        <v>28.3</v>
      </c>
      <c r="IA799" s="19">
        <v>30.8</v>
      </c>
      <c r="IB799" s="19">
        <v>29.6</v>
      </c>
      <c r="IC799" s="19">
        <v>32.6</v>
      </c>
    </row>
    <row r="800">
      <c r="A800" s="2" t="s">
        <v>3364</v>
      </c>
      <c r="B800" s="2" t="s">
        <v>323</v>
      </c>
      <c r="C800" s="2" t="s">
        <v>1036</v>
      </c>
      <c r="D800" s="2" t="s">
        <v>257</v>
      </c>
      <c r="E800" s="2" t="s">
        <v>258</v>
      </c>
      <c r="F800" s="2" t="s">
        <v>3098</v>
      </c>
      <c r="G800" s="2" t="s">
        <v>3098</v>
      </c>
      <c r="H800" s="2" t="s">
        <v>3098</v>
      </c>
      <c r="I800" s="2" t="s">
        <v>3099</v>
      </c>
      <c r="J800" s="2" t="s">
        <v>394</v>
      </c>
      <c r="K800" s="2" t="s">
        <v>3365</v>
      </c>
      <c r="L800" s="3">
        <v>14.89</v>
      </c>
      <c r="M800" s="3">
        <v>15.63</v>
      </c>
      <c r="N800" s="3">
        <v>31.99</v>
      </c>
      <c r="O800" s="2" t="s">
        <v>232</v>
      </c>
      <c r="P800" s="2" t="s">
        <v>233</v>
      </c>
      <c r="Q800" s="2" t="s">
        <v>234</v>
      </c>
      <c r="R800" s="2" t="s">
        <v>235</v>
      </c>
      <c r="S800" s="2" t="s">
        <v>3366</v>
      </c>
      <c r="T800" s="2" t="s">
        <v>2908</v>
      </c>
      <c r="U800" s="2" t="s">
        <v>235</v>
      </c>
      <c r="V800" s="2" t="s">
        <v>2919</v>
      </c>
      <c r="W800" s="2" t="s">
        <v>239</v>
      </c>
      <c r="X800" s="2" t="s">
        <v>235</v>
      </c>
      <c r="Y800" s="2" t="s">
        <v>3029</v>
      </c>
      <c r="Z800" s="4">
        <v>828</v>
      </c>
      <c r="AA800" s="4">
        <f>=ROUNDDOWN(33.12,0)</f>
      </c>
      <c r="AB800" s="5">
        <v>25</v>
      </c>
      <c r="AC800" s="2" t="s">
        <v>2503</v>
      </c>
      <c r="AD800" s="4">
        <v>11</v>
      </c>
      <c r="AE800" s="4">
        <v>386</v>
      </c>
      <c r="AF800" s="6">
        <v>73</v>
      </c>
      <c r="AG800" s="6"/>
      <c r="AH800" s="7">
        <v>1</v>
      </c>
      <c r="AI800" s="4"/>
      <c r="AJ800" s="4">
        <f>=ROUNDDOWN({0},0)</f>
      </c>
      <c r="AK800" s="5"/>
      <c r="AL800" s="2" t="s">
        <v>235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235</v>
      </c>
      <c r="AW800" s="8" t="s">
        <v>235</v>
      </c>
      <c r="AX800" s="4" t="s">
        <v>235</v>
      </c>
      <c r="AY800" s="8" t="s">
        <v>235</v>
      </c>
      <c r="AZ800" s="7" t="s">
        <v>235</v>
      </c>
      <c r="BA800" s="7" t="s">
        <v>235</v>
      </c>
      <c r="BB800" s="7"/>
      <c r="BC800" s="4" t="s">
        <v>235</v>
      </c>
      <c r="BD800" s="8" t="s">
        <v>235</v>
      </c>
      <c r="BE800" s="4" t="s">
        <v>235</v>
      </c>
      <c r="BF800" s="8" t="s">
        <v>235</v>
      </c>
      <c r="BG800" s="7" t="s">
        <v>235</v>
      </c>
      <c r="BH800" s="7" t="s">
        <v>235</v>
      </c>
      <c r="BI800" s="7"/>
      <c r="BJ800" s="4">
        <v>28</v>
      </c>
      <c r="BK800" s="8">
        <v>481.03</v>
      </c>
      <c r="BL800" s="2" t="s">
        <v>3367</v>
      </c>
      <c r="BM800" s="7"/>
      <c r="BN800" s="7"/>
      <c r="BO800" s="4"/>
      <c r="BP800" s="8"/>
      <c r="BQ800" s="4"/>
      <c r="BR800" s="8"/>
      <c r="BS800" s="7"/>
      <c r="BT800" s="7"/>
      <c r="BU800" s="2" t="s">
        <v>3105</v>
      </c>
      <c r="BV800" s="2" t="s">
        <v>243</v>
      </c>
      <c r="BW800" s="2" t="s">
        <v>235</v>
      </c>
      <c r="BX800" s="2" t="s">
        <v>383</v>
      </c>
      <c r="BY800" s="2" t="s">
        <v>245</v>
      </c>
      <c r="BZ800" s="2" t="s">
        <v>232</v>
      </c>
      <c r="CA800" s="2" t="s">
        <v>1924</v>
      </c>
      <c r="CB800" s="2" t="s">
        <v>3368</v>
      </c>
      <c r="CC800" s="2" t="s">
        <v>248</v>
      </c>
      <c r="CD800" s="2" t="s">
        <v>248</v>
      </c>
      <c r="CE800" s="2" t="s">
        <v>235</v>
      </c>
      <c r="CF800" s="4">
        <v>828</v>
      </c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>
        <v>11</v>
      </c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>
        <v>245</v>
      </c>
      <c r="ED800" s="4"/>
      <c r="EE800" s="4"/>
      <c r="EF800" s="4"/>
      <c r="EG800" s="4"/>
      <c r="EH800" s="4"/>
      <c r="EI800" s="4"/>
      <c r="EJ800" s="4">
        <v>130</v>
      </c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>
        <v>830</v>
      </c>
      <c r="GE800" s="4">
        <v>759</v>
      </c>
      <c r="GF800" s="4">
        <v>748</v>
      </c>
      <c r="GG800" s="4">
        <v>715</v>
      </c>
      <c r="GH800" s="4">
        <v>674</v>
      </c>
      <c r="GI800" s="4">
        <v>609</v>
      </c>
      <c r="GJ800" s="4">
        <v>485</v>
      </c>
      <c r="GK800" s="4">
        <v>669</v>
      </c>
      <c r="GL800" s="4">
        <v>610</v>
      </c>
      <c r="GM800" s="4">
        <v>700</v>
      </c>
      <c r="GN800" s="4">
        <v>665</v>
      </c>
      <c r="GO800" s="4">
        <v>624</v>
      </c>
      <c r="GP800" s="4">
        <v>584</v>
      </c>
      <c r="GQ800" s="4">
        <v>532</v>
      </c>
      <c r="GR800" s="4">
        <v>504</v>
      </c>
      <c r="GS800" s="4">
        <v>474</v>
      </c>
      <c r="GT800" s="4">
        <v>450</v>
      </c>
      <c r="GU800" s="4">
        <v>429</v>
      </c>
      <c r="GV800" s="4">
        <v>407</v>
      </c>
      <c r="GW800" s="4">
        <v>390</v>
      </c>
      <c r="GX800" s="4">
        <v>381</v>
      </c>
      <c r="GY800" s="4">
        <v>367</v>
      </c>
      <c r="GZ800" s="4">
        <v>353</v>
      </c>
      <c r="HA800" s="4">
        <v>339</v>
      </c>
      <c r="HB800" s="4">
        <v>325</v>
      </c>
      <c r="HC800" s="4">
        <v>311</v>
      </c>
      <c r="HD800" s="19">
        <v>19.8</v>
      </c>
      <c r="HE800" s="19">
        <v>19</v>
      </c>
      <c r="HF800" s="19">
        <v>11.3</v>
      </c>
      <c r="HG800" s="19">
        <v>9.8</v>
      </c>
      <c r="HH800" s="19">
        <v>8.8</v>
      </c>
      <c r="HI800" s="19">
        <v>8.6</v>
      </c>
      <c r="HJ800" s="19">
        <v>9.9</v>
      </c>
      <c r="HK800" s="19">
        <v>15.2</v>
      </c>
      <c r="HL800" s="19">
        <v>15.6</v>
      </c>
      <c r="HM800" s="19">
        <v>16.7</v>
      </c>
      <c r="HN800" s="19">
        <v>16.6</v>
      </c>
      <c r="HO800" s="19">
        <v>16.4</v>
      </c>
      <c r="HP800" s="19">
        <v>17.2</v>
      </c>
      <c r="HQ800" s="19">
        <v>20.5</v>
      </c>
      <c r="HR800" s="19">
        <v>21</v>
      </c>
      <c r="HS800" s="19">
        <v>22.6</v>
      </c>
      <c r="HT800" s="19">
        <v>23.7</v>
      </c>
      <c r="HU800" s="19">
        <v>25.2</v>
      </c>
      <c r="HV800" s="19">
        <v>27.1</v>
      </c>
      <c r="HW800" s="19">
        <v>27.9</v>
      </c>
      <c r="HX800" s="19">
        <v>27.2</v>
      </c>
      <c r="HY800" s="19">
        <v>26.2</v>
      </c>
      <c r="HZ800" s="19">
        <v>25.2</v>
      </c>
      <c r="IA800" s="19">
        <v>24.2</v>
      </c>
      <c r="IB800" s="19">
        <v>25</v>
      </c>
      <c r="IC800" s="19">
        <v>25.9</v>
      </c>
    </row>
    <row r="801">
      <c r="A801" s="2" t="s">
        <v>3369</v>
      </c>
      <c r="B801" s="2" t="s">
        <v>323</v>
      </c>
      <c r="C801" s="2" t="s">
        <v>1036</v>
      </c>
      <c r="D801" s="2" t="s">
        <v>257</v>
      </c>
      <c r="E801" s="2" t="s">
        <v>258</v>
      </c>
      <c r="F801" s="2" t="s">
        <v>3098</v>
      </c>
      <c r="G801" s="2" t="s">
        <v>3098</v>
      </c>
      <c r="H801" s="2" t="s">
        <v>3098</v>
      </c>
      <c r="I801" s="2" t="s">
        <v>3099</v>
      </c>
      <c r="J801" s="2" t="s">
        <v>230</v>
      </c>
      <c r="K801" s="2" t="s">
        <v>3365</v>
      </c>
      <c r="L801" s="3">
        <v>16.16</v>
      </c>
      <c r="M801" s="3">
        <v>16.97</v>
      </c>
      <c r="N801" s="3">
        <v>34.99</v>
      </c>
      <c r="O801" s="2" t="s">
        <v>232</v>
      </c>
      <c r="P801" s="2" t="s">
        <v>233</v>
      </c>
      <c r="Q801" s="2" t="s">
        <v>234</v>
      </c>
      <c r="R801" s="2" t="s">
        <v>235</v>
      </c>
      <c r="S801" s="2" t="s">
        <v>3366</v>
      </c>
      <c r="T801" s="2" t="s">
        <v>2908</v>
      </c>
      <c r="U801" s="2" t="s">
        <v>235</v>
      </c>
      <c r="V801" s="2" t="s">
        <v>2919</v>
      </c>
      <c r="W801" s="2" t="s">
        <v>239</v>
      </c>
      <c r="X801" s="2" t="s">
        <v>235</v>
      </c>
      <c r="Y801" s="2" t="s">
        <v>3029</v>
      </c>
      <c r="Z801" s="4">
        <v>190</v>
      </c>
      <c r="AA801" s="4">
        <f>=ROUNDDOWN(23.75,0)</f>
      </c>
      <c r="AB801" s="5">
        <v>8</v>
      </c>
      <c r="AC801" s="2" t="s">
        <v>2503</v>
      </c>
      <c r="AD801" s="4">
        <v>2</v>
      </c>
      <c r="AE801" s="4">
        <v>141</v>
      </c>
      <c r="AF801" s="6">
        <v>73</v>
      </c>
      <c r="AG801" s="6"/>
      <c r="AH801" s="7">
        <v>1</v>
      </c>
      <c r="AI801" s="4"/>
      <c r="AJ801" s="4">
        <f>=ROUNDDOWN({0},0)</f>
      </c>
      <c r="AK801" s="5"/>
      <c r="AL801" s="2" t="s">
        <v>235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235</v>
      </c>
      <c r="AW801" s="8" t="s">
        <v>235</v>
      </c>
      <c r="AX801" s="4" t="s">
        <v>235</v>
      </c>
      <c r="AY801" s="8" t="s">
        <v>235</v>
      </c>
      <c r="AZ801" s="7" t="s">
        <v>235</v>
      </c>
      <c r="BA801" s="7" t="s">
        <v>235</v>
      </c>
      <c r="BB801" s="7"/>
      <c r="BC801" s="4" t="s">
        <v>235</v>
      </c>
      <c r="BD801" s="8" t="s">
        <v>235</v>
      </c>
      <c r="BE801" s="4" t="s">
        <v>235</v>
      </c>
      <c r="BF801" s="8" t="s">
        <v>235</v>
      </c>
      <c r="BG801" s="7" t="s">
        <v>235</v>
      </c>
      <c r="BH801" s="7" t="s">
        <v>235</v>
      </c>
      <c r="BI801" s="7"/>
      <c r="BJ801" s="4">
        <v>22</v>
      </c>
      <c r="BK801" s="8">
        <v>428.12</v>
      </c>
      <c r="BL801" s="2" t="s">
        <v>3370</v>
      </c>
      <c r="BM801" s="7"/>
      <c r="BN801" s="7"/>
      <c r="BO801" s="4"/>
      <c r="BP801" s="8"/>
      <c r="BQ801" s="4"/>
      <c r="BR801" s="8"/>
      <c r="BS801" s="7"/>
      <c r="BT801" s="7"/>
      <c r="BU801" s="2" t="s">
        <v>3105</v>
      </c>
      <c r="BV801" s="2" t="s">
        <v>243</v>
      </c>
      <c r="BW801" s="2" t="s">
        <v>235</v>
      </c>
      <c r="BX801" s="2" t="s">
        <v>383</v>
      </c>
      <c r="BY801" s="2" t="s">
        <v>245</v>
      </c>
      <c r="BZ801" s="2" t="s">
        <v>232</v>
      </c>
      <c r="CA801" s="2" t="s">
        <v>1924</v>
      </c>
      <c r="CB801" s="2" t="s">
        <v>3371</v>
      </c>
      <c r="CC801" s="2" t="s">
        <v>248</v>
      </c>
      <c r="CD801" s="2" t="s">
        <v>248</v>
      </c>
      <c r="CE801" s="2" t="s">
        <v>235</v>
      </c>
      <c r="CF801" s="4">
        <v>190</v>
      </c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>
        <v>2</v>
      </c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>
        <v>93</v>
      </c>
      <c r="ED801" s="4"/>
      <c r="EE801" s="4"/>
      <c r="EF801" s="4"/>
      <c r="EG801" s="4"/>
      <c r="EH801" s="4"/>
      <c r="EI801" s="4"/>
      <c r="EJ801" s="4">
        <v>46</v>
      </c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>
        <v>191</v>
      </c>
      <c r="GE801" s="4">
        <v>157</v>
      </c>
      <c r="GF801" s="4">
        <v>152</v>
      </c>
      <c r="GG801" s="4">
        <v>142</v>
      </c>
      <c r="GH801" s="4">
        <v>130</v>
      </c>
      <c r="GI801" s="4">
        <v>111</v>
      </c>
      <c r="GJ801" s="4">
        <v>77</v>
      </c>
      <c r="GK801" s="4">
        <v>152</v>
      </c>
      <c r="GL801" s="4">
        <v>135</v>
      </c>
      <c r="GM801" s="4">
        <v>169</v>
      </c>
      <c r="GN801" s="4">
        <v>157</v>
      </c>
      <c r="GO801" s="4">
        <v>143</v>
      </c>
      <c r="GP801" s="4">
        <v>128</v>
      </c>
      <c r="GQ801" s="4">
        <v>105</v>
      </c>
      <c r="GR801" s="4">
        <v>93</v>
      </c>
      <c r="GS801" s="4">
        <v>81</v>
      </c>
      <c r="GT801" s="4">
        <v>72</v>
      </c>
      <c r="GU801" s="4">
        <v>64</v>
      </c>
      <c r="GV801" s="4">
        <v>55</v>
      </c>
      <c r="GW801" s="4">
        <v>49</v>
      </c>
      <c r="GX801" s="4">
        <v>125</v>
      </c>
      <c r="GY801" s="4">
        <v>120</v>
      </c>
      <c r="GZ801" s="4">
        <v>115</v>
      </c>
      <c r="HA801" s="4">
        <v>110</v>
      </c>
      <c r="HB801" s="4">
        <v>105</v>
      </c>
      <c r="HC801" s="4">
        <v>100</v>
      </c>
      <c r="HD801" s="19">
        <v>11.9</v>
      </c>
      <c r="HE801" s="19">
        <v>13.1</v>
      </c>
      <c r="HF801" s="19">
        <v>8</v>
      </c>
      <c r="HG801" s="19">
        <v>6.8</v>
      </c>
      <c r="HH801" s="19">
        <v>5.9</v>
      </c>
      <c r="HI801" s="19">
        <v>5.6</v>
      </c>
      <c r="HJ801" s="19">
        <v>5.1</v>
      </c>
      <c r="HK801" s="19">
        <v>10.9</v>
      </c>
      <c r="HL801" s="19">
        <v>10.4</v>
      </c>
      <c r="HM801" s="19">
        <v>10.6</v>
      </c>
      <c r="HN801" s="19">
        <v>9.8</v>
      </c>
      <c r="HO801" s="19">
        <v>8.9</v>
      </c>
      <c r="HP801" s="19">
        <v>9.1</v>
      </c>
      <c r="HQ801" s="19">
        <v>10.5</v>
      </c>
      <c r="HR801" s="19">
        <v>9.3</v>
      </c>
      <c r="HS801" s="19">
        <v>10.1</v>
      </c>
      <c r="HT801" s="19">
        <v>10.3</v>
      </c>
      <c r="HU801" s="19">
        <v>10.7</v>
      </c>
      <c r="HV801" s="19">
        <v>11</v>
      </c>
      <c r="HW801" s="19">
        <v>9.8</v>
      </c>
      <c r="HX801" s="19">
        <v>25</v>
      </c>
      <c r="HY801" s="19">
        <v>24</v>
      </c>
      <c r="HZ801" s="19">
        <v>23</v>
      </c>
      <c r="IA801" s="19">
        <v>22</v>
      </c>
      <c r="IB801" s="19">
        <v>21</v>
      </c>
      <c r="IC801" s="19">
        <v>25</v>
      </c>
    </row>
    <row r="802">
      <c r="A802" s="2" t="s">
        <v>3372</v>
      </c>
      <c r="B802" s="2" t="s">
        <v>323</v>
      </c>
      <c r="C802" s="2" t="s">
        <v>1036</v>
      </c>
      <c r="D802" s="2" t="s">
        <v>257</v>
      </c>
      <c r="E802" s="2" t="s">
        <v>258</v>
      </c>
      <c r="F802" s="2" t="s">
        <v>3098</v>
      </c>
      <c r="G802" s="2" t="s">
        <v>3098</v>
      </c>
      <c r="H802" s="2" t="s">
        <v>3098</v>
      </c>
      <c r="I802" s="2" t="s">
        <v>3099</v>
      </c>
      <c r="J802" s="2" t="s">
        <v>250</v>
      </c>
      <c r="K802" s="2" t="s">
        <v>3365</v>
      </c>
      <c r="L802" s="3">
        <v>19.57</v>
      </c>
      <c r="M802" s="3">
        <v>20.55</v>
      </c>
      <c r="N802" s="3">
        <v>42.99</v>
      </c>
      <c r="O802" s="2" t="s">
        <v>232</v>
      </c>
      <c r="P802" s="2" t="s">
        <v>233</v>
      </c>
      <c r="Q802" s="2" t="s">
        <v>234</v>
      </c>
      <c r="R802" s="2" t="s">
        <v>235</v>
      </c>
      <c r="S802" s="2" t="s">
        <v>3366</v>
      </c>
      <c r="T802" s="2" t="s">
        <v>2908</v>
      </c>
      <c r="U802" s="2" t="s">
        <v>235</v>
      </c>
      <c r="V802" s="2" t="s">
        <v>2919</v>
      </c>
      <c r="W802" s="2" t="s">
        <v>239</v>
      </c>
      <c r="X802" s="2" t="s">
        <v>235</v>
      </c>
      <c r="Y802" s="2" t="s">
        <v>3029</v>
      </c>
      <c r="Z802" s="4">
        <v>590</v>
      </c>
      <c r="AA802" s="4">
        <f>=ROUNDDOWN(22.6923076923077,0)</f>
      </c>
      <c r="AB802" s="5">
        <v>26</v>
      </c>
      <c r="AC802" s="2" t="s">
        <v>2503</v>
      </c>
      <c r="AD802" s="4">
        <v>43</v>
      </c>
      <c r="AE802" s="4">
        <v>469</v>
      </c>
      <c r="AF802" s="6">
        <v>73</v>
      </c>
      <c r="AG802" s="6"/>
      <c r="AH802" s="7">
        <v>1</v>
      </c>
      <c r="AI802" s="4"/>
      <c r="AJ802" s="4">
        <f>=ROUNDDOWN({0},0)</f>
      </c>
      <c r="AK802" s="5"/>
      <c r="AL802" s="2" t="s">
        <v>235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235</v>
      </c>
      <c r="AW802" s="8" t="s">
        <v>235</v>
      </c>
      <c r="AX802" s="4" t="s">
        <v>235</v>
      </c>
      <c r="AY802" s="8" t="s">
        <v>235</v>
      </c>
      <c r="AZ802" s="7" t="s">
        <v>235</v>
      </c>
      <c r="BA802" s="7" t="s">
        <v>235</v>
      </c>
      <c r="BB802" s="7"/>
      <c r="BC802" s="4" t="s">
        <v>235</v>
      </c>
      <c r="BD802" s="8" t="s">
        <v>235</v>
      </c>
      <c r="BE802" s="4" t="s">
        <v>235</v>
      </c>
      <c r="BF802" s="8" t="s">
        <v>235</v>
      </c>
      <c r="BG802" s="7" t="s">
        <v>235</v>
      </c>
      <c r="BH802" s="7" t="s">
        <v>235</v>
      </c>
      <c r="BI802" s="7"/>
      <c r="BJ802" s="4">
        <v>36</v>
      </c>
      <c r="BK802" s="8">
        <v>797.32</v>
      </c>
      <c r="BL802" s="2" t="s">
        <v>2325</v>
      </c>
      <c r="BM802" s="7"/>
      <c r="BN802" s="7"/>
      <c r="BO802" s="4"/>
      <c r="BP802" s="8"/>
      <c r="BQ802" s="4"/>
      <c r="BR802" s="8"/>
      <c r="BS802" s="7"/>
      <c r="BT802" s="7"/>
      <c r="BU802" s="2" t="s">
        <v>3105</v>
      </c>
      <c r="BV802" s="2" t="s">
        <v>243</v>
      </c>
      <c r="BW802" s="2" t="s">
        <v>235</v>
      </c>
      <c r="BX802" s="2" t="s">
        <v>383</v>
      </c>
      <c r="BY802" s="2" t="s">
        <v>245</v>
      </c>
      <c r="BZ802" s="2" t="s">
        <v>232</v>
      </c>
      <c r="CA802" s="2" t="s">
        <v>1924</v>
      </c>
      <c r="CB802" s="2" t="s">
        <v>3126</v>
      </c>
      <c r="CC802" s="2" t="s">
        <v>248</v>
      </c>
      <c r="CD802" s="2" t="s">
        <v>248</v>
      </c>
      <c r="CE802" s="2" t="s">
        <v>235</v>
      </c>
      <c r="CF802" s="4">
        <v>590</v>
      </c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>
        <v>43</v>
      </c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>
        <v>281</v>
      </c>
      <c r="ED802" s="4"/>
      <c r="EE802" s="4"/>
      <c r="EF802" s="4"/>
      <c r="EG802" s="4"/>
      <c r="EH802" s="4"/>
      <c r="EI802" s="4"/>
      <c r="EJ802" s="4">
        <v>145</v>
      </c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>
        <v>641</v>
      </c>
      <c r="GE802" s="4">
        <v>577</v>
      </c>
      <c r="GF802" s="4">
        <v>598</v>
      </c>
      <c r="GG802" s="4">
        <v>565</v>
      </c>
      <c r="GH802" s="4">
        <v>525</v>
      </c>
      <c r="GI802" s="4">
        <v>461</v>
      </c>
      <c r="GJ802" s="4">
        <v>341</v>
      </c>
      <c r="GK802" s="4">
        <v>562</v>
      </c>
      <c r="GL802" s="4">
        <v>504</v>
      </c>
      <c r="GM802" s="4">
        <v>609</v>
      </c>
      <c r="GN802" s="4">
        <v>573</v>
      </c>
      <c r="GO802" s="4">
        <v>530</v>
      </c>
      <c r="GP802" s="4">
        <v>485</v>
      </c>
      <c r="GQ802" s="4">
        <v>421</v>
      </c>
      <c r="GR802" s="4">
        <v>387</v>
      </c>
      <c r="GS802" s="4">
        <v>352</v>
      </c>
      <c r="GT802" s="4">
        <v>325</v>
      </c>
      <c r="GU802" s="4">
        <v>302</v>
      </c>
      <c r="GV802" s="4">
        <v>277</v>
      </c>
      <c r="GW802" s="4">
        <v>259</v>
      </c>
      <c r="GX802" s="4">
        <v>385</v>
      </c>
      <c r="GY802" s="4">
        <v>371</v>
      </c>
      <c r="GZ802" s="4">
        <v>356</v>
      </c>
      <c r="HA802" s="4">
        <v>341</v>
      </c>
      <c r="HB802" s="4">
        <v>326</v>
      </c>
      <c r="HC802" s="4">
        <v>311</v>
      </c>
      <c r="HD802" s="19">
        <v>16</v>
      </c>
      <c r="HE802" s="19">
        <v>14.4</v>
      </c>
      <c r="HF802" s="19">
        <v>9.3</v>
      </c>
      <c r="HG802" s="19">
        <v>8</v>
      </c>
      <c r="HH802" s="19">
        <v>6.9</v>
      </c>
      <c r="HI802" s="19">
        <v>6.6</v>
      </c>
      <c r="HJ802" s="19">
        <v>7.1</v>
      </c>
      <c r="HK802" s="19">
        <v>12.8</v>
      </c>
      <c r="HL802" s="19">
        <v>12.3</v>
      </c>
      <c r="HM802" s="19">
        <v>13</v>
      </c>
      <c r="HN802" s="19">
        <v>12.5</v>
      </c>
      <c r="HO802" s="19">
        <v>12</v>
      </c>
      <c r="HP802" s="19">
        <v>12.1</v>
      </c>
      <c r="HQ802" s="19">
        <v>14</v>
      </c>
      <c r="HR802" s="19">
        <v>13.8</v>
      </c>
      <c r="HS802" s="19">
        <v>15.3</v>
      </c>
      <c r="HT802" s="19">
        <v>16.3</v>
      </c>
      <c r="HU802" s="19">
        <v>16.8</v>
      </c>
      <c r="HV802" s="19">
        <v>17.3</v>
      </c>
      <c r="HW802" s="19">
        <v>17.3</v>
      </c>
      <c r="HX802" s="19">
        <v>25.7</v>
      </c>
      <c r="HY802" s="19">
        <v>24.7</v>
      </c>
      <c r="HZ802" s="19">
        <v>25.4</v>
      </c>
      <c r="IA802" s="19">
        <v>24.4</v>
      </c>
      <c r="IB802" s="19">
        <v>25.1</v>
      </c>
      <c r="IC802" s="19">
        <v>25.9</v>
      </c>
    </row>
    <row r="803">
      <c r="A803" s="2" t="s">
        <v>3373</v>
      </c>
      <c r="B803" s="2" t="s">
        <v>323</v>
      </c>
      <c r="C803" s="2" t="s">
        <v>1036</v>
      </c>
      <c r="D803" s="2" t="s">
        <v>257</v>
      </c>
      <c r="E803" s="2" t="s">
        <v>258</v>
      </c>
      <c r="F803" s="2" t="s">
        <v>3098</v>
      </c>
      <c r="G803" s="2" t="s">
        <v>3098</v>
      </c>
      <c r="H803" s="2" t="s">
        <v>3098</v>
      </c>
      <c r="I803" s="2" t="s">
        <v>3099</v>
      </c>
      <c r="J803" s="2" t="s">
        <v>270</v>
      </c>
      <c r="K803" s="2" t="s">
        <v>3365</v>
      </c>
      <c r="L803" s="3">
        <v>27.39</v>
      </c>
      <c r="M803" s="3">
        <v>28.76</v>
      </c>
      <c r="N803" s="3">
        <v>62.99</v>
      </c>
      <c r="O803" s="2" t="s">
        <v>232</v>
      </c>
      <c r="P803" s="2" t="s">
        <v>233</v>
      </c>
      <c r="Q803" s="2" t="s">
        <v>234</v>
      </c>
      <c r="R803" s="2" t="s">
        <v>235</v>
      </c>
      <c r="S803" s="2" t="s">
        <v>3366</v>
      </c>
      <c r="T803" s="2" t="s">
        <v>2908</v>
      </c>
      <c r="U803" s="2" t="s">
        <v>235</v>
      </c>
      <c r="V803" s="2" t="s">
        <v>2919</v>
      </c>
      <c r="W803" s="2" t="s">
        <v>239</v>
      </c>
      <c r="X803" s="2" t="s">
        <v>235</v>
      </c>
      <c r="Y803" s="2" t="s">
        <v>3029</v>
      </c>
      <c r="Z803" s="4">
        <v>395</v>
      </c>
      <c r="AA803" s="4">
        <f>=ROUNDDOWN(56.4285714285714,0)</f>
      </c>
      <c r="AB803" s="5">
        <v>7</v>
      </c>
      <c r="AC803" s="2" t="s">
        <v>235</v>
      </c>
      <c r="AD803" s="4"/>
      <c r="AE803" s="4"/>
      <c r="AF803" s="6">
        <v>73</v>
      </c>
      <c r="AG803" s="6"/>
      <c r="AH803" s="7">
        <v>1</v>
      </c>
      <c r="AI803" s="4"/>
      <c r="AJ803" s="4">
        <f>=ROUNDDOWN({0},0)</f>
      </c>
      <c r="AK803" s="5"/>
      <c r="AL803" s="2" t="s">
        <v>235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235</v>
      </c>
      <c r="AW803" s="8" t="s">
        <v>235</v>
      </c>
      <c r="AX803" s="4" t="s">
        <v>235</v>
      </c>
      <c r="AY803" s="8" t="s">
        <v>235</v>
      </c>
      <c r="AZ803" s="7" t="s">
        <v>235</v>
      </c>
      <c r="BA803" s="7" t="s">
        <v>235</v>
      </c>
      <c r="BB803" s="7"/>
      <c r="BC803" s="4" t="s">
        <v>235</v>
      </c>
      <c r="BD803" s="8" t="s">
        <v>235</v>
      </c>
      <c r="BE803" s="4" t="s">
        <v>235</v>
      </c>
      <c r="BF803" s="8" t="s">
        <v>235</v>
      </c>
      <c r="BG803" s="7" t="s">
        <v>235</v>
      </c>
      <c r="BH803" s="7" t="s">
        <v>235</v>
      </c>
      <c r="BI803" s="7"/>
      <c r="BJ803" s="4">
        <v>6</v>
      </c>
      <c r="BK803" s="8">
        <v>178.09</v>
      </c>
      <c r="BL803" s="2" t="s">
        <v>2589</v>
      </c>
      <c r="BM803" s="7"/>
      <c r="BN803" s="7"/>
      <c r="BO803" s="4"/>
      <c r="BP803" s="8"/>
      <c r="BQ803" s="4"/>
      <c r="BR803" s="8"/>
      <c r="BS803" s="7"/>
      <c r="BT803" s="7"/>
      <c r="BU803" s="2" t="s">
        <v>3105</v>
      </c>
      <c r="BV803" s="2" t="s">
        <v>243</v>
      </c>
      <c r="BW803" s="2" t="s">
        <v>235</v>
      </c>
      <c r="BX803" s="2" t="s">
        <v>383</v>
      </c>
      <c r="BY803" s="2" t="s">
        <v>245</v>
      </c>
      <c r="BZ803" s="2" t="s">
        <v>232</v>
      </c>
      <c r="CA803" s="2" t="s">
        <v>1924</v>
      </c>
      <c r="CB803" s="2" t="s">
        <v>3374</v>
      </c>
      <c r="CC803" s="2" t="s">
        <v>248</v>
      </c>
      <c r="CD803" s="2" t="s">
        <v>248</v>
      </c>
      <c r="CE803" s="2" t="s">
        <v>235</v>
      </c>
      <c r="CF803" s="4">
        <v>395</v>
      </c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>
        <v>395</v>
      </c>
      <c r="GE803" s="4">
        <v>393</v>
      </c>
      <c r="GF803" s="4">
        <v>391</v>
      </c>
      <c r="GG803" s="4">
        <v>389</v>
      </c>
      <c r="GH803" s="4">
        <v>387</v>
      </c>
      <c r="GI803" s="4">
        <v>377</v>
      </c>
      <c r="GJ803" s="4">
        <v>354</v>
      </c>
      <c r="GK803" s="4">
        <v>341</v>
      </c>
      <c r="GL803" s="4">
        <v>329</v>
      </c>
      <c r="GM803" s="4">
        <v>320</v>
      </c>
      <c r="GN803" s="4">
        <v>310</v>
      </c>
      <c r="GO803" s="4">
        <v>297</v>
      </c>
      <c r="GP803" s="4">
        <v>282</v>
      </c>
      <c r="GQ803" s="4">
        <v>255</v>
      </c>
      <c r="GR803" s="4">
        <v>241</v>
      </c>
      <c r="GS803" s="4">
        <v>228</v>
      </c>
      <c r="GT803" s="4">
        <v>219</v>
      </c>
      <c r="GU803" s="4">
        <v>212</v>
      </c>
      <c r="GV803" s="4">
        <v>204</v>
      </c>
      <c r="GW803" s="4">
        <v>198</v>
      </c>
      <c r="GX803" s="4">
        <v>193</v>
      </c>
      <c r="GY803" s="4">
        <v>189</v>
      </c>
      <c r="GZ803" s="4">
        <v>184</v>
      </c>
      <c r="HA803" s="4">
        <v>179</v>
      </c>
      <c r="HB803" s="4">
        <v>174</v>
      </c>
      <c r="HC803" s="4">
        <v>169</v>
      </c>
      <c r="HD803" s="19">
        <v>197.5</v>
      </c>
      <c r="HE803" s="19">
        <v>98.3</v>
      </c>
      <c r="HF803" s="19">
        <v>43.4</v>
      </c>
      <c r="HG803" s="19">
        <v>32.4</v>
      </c>
      <c r="HH803" s="19">
        <v>27.6</v>
      </c>
      <c r="HI803" s="19">
        <v>26.9</v>
      </c>
      <c r="HJ803" s="19">
        <v>32.2</v>
      </c>
      <c r="HK803" s="19">
        <v>31</v>
      </c>
      <c r="HL803" s="19">
        <v>27.4</v>
      </c>
      <c r="HM803" s="19">
        <v>20</v>
      </c>
      <c r="HN803" s="19">
        <v>18.2</v>
      </c>
      <c r="HO803" s="19">
        <v>17.5</v>
      </c>
      <c r="HP803" s="19">
        <v>17.6</v>
      </c>
      <c r="HQ803" s="19">
        <v>23.2</v>
      </c>
      <c r="HR803" s="19">
        <v>26.8</v>
      </c>
      <c r="HS803" s="19">
        <v>28.5</v>
      </c>
      <c r="HT803" s="19">
        <v>36.5</v>
      </c>
      <c r="HU803" s="19">
        <v>35.3</v>
      </c>
      <c r="HV803" s="19">
        <v>40.8</v>
      </c>
      <c r="HW803" s="19">
        <v>39.6</v>
      </c>
      <c r="HX803" s="19">
        <v>38.6</v>
      </c>
      <c r="HY803" s="19">
        <v>37.8</v>
      </c>
      <c r="HZ803" s="19">
        <v>36.8</v>
      </c>
      <c r="IA803" s="19">
        <v>44.8</v>
      </c>
      <c r="IB803" s="19">
        <v>43.5</v>
      </c>
      <c r="IC803" s="19">
        <v>42.3</v>
      </c>
    </row>
    <row r="804">
      <c r="A804" s="2" t="s">
        <v>3375</v>
      </c>
      <c r="B804" s="2" t="s">
        <v>323</v>
      </c>
      <c r="C804" s="2" t="s">
        <v>1036</v>
      </c>
      <c r="D804" s="2" t="s">
        <v>257</v>
      </c>
      <c r="E804" s="2" t="s">
        <v>258</v>
      </c>
      <c r="F804" s="2" t="s">
        <v>3098</v>
      </c>
      <c r="G804" s="2" t="s">
        <v>3098</v>
      </c>
      <c r="H804" s="2" t="s">
        <v>3098</v>
      </c>
      <c r="I804" s="2" t="s">
        <v>3099</v>
      </c>
      <c r="J804" s="2" t="s">
        <v>394</v>
      </c>
      <c r="K804" s="2" t="s">
        <v>3376</v>
      </c>
      <c r="L804" s="3">
        <v>17.07</v>
      </c>
      <c r="M804" s="3">
        <v>17.92</v>
      </c>
      <c r="N804" s="3">
        <v>31.99</v>
      </c>
      <c r="O804" s="2" t="s">
        <v>232</v>
      </c>
      <c r="P804" s="2" t="s">
        <v>233</v>
      </c>
      <c r="Q804" s="2" t="s">
        <v>234</v>
      </c>
      <c r="R804" s="2" t="s">
        <v>235</v>
      </c>
      <c r="S804" s="2" t="s">
        <v>3377</v>
      </c>
      <c r="T804" s="2" t="s">
        <v>2908</v>
      </c>
      <c r="U804" s="2" t="s">
        <v>235</v>
      </c>
      <c r="V804" s="2" t="s">
        <v>1222</v>
      </c>
      <c r="W804" s="2" t="s">
        <v>239</v>
      </c>
      <c r="X804" s="2" t="s">
        <v>235</v>
      </c>
      <c r="Y804" s="2" t="s">
        <v>2938</v>
      </c>
      <c r="Z804" s="4">
        <v>1006</v>
      </c>
      <c r="AA804" s="4">
        <f>=ROUNDDOWN(35.9285714285714,0)</f>
      </c>
      <c r="AB804" s="5">
        <v>28</v>
      </c>
      <c r="AC804" s="2" t="s">
        <v>235</v>
      </c>
      <c r="AD804" s="4"/>
      <c r="AE804" s="4"/>
      <c r="AF804" s="6">
        <v>73</v>
      </c>
      <c r="AG804" s="6"/>
      <c r="AH804" s="7">
        <v>1</v>
      </c>
      <c r="AI804" s="4"/>
      <c r="AJ804" s="4">
        <f>=ROUNDDOWN({0},0)</f>
      </c>
      <c r="AK804" s="5"/>
      <c r="AL804" s="2" t="s">
        <v>235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235</v>
      </c>
      <c r="AW804" s="8" t="s">
        <v>235</v>
      </c>
      <c r="AX804" s="4" t="s">
        <v>235</v>
      </c>
      <c r="AY804" s="8" t="s">
        <v>235</v>
      </c>
      <c r="AZ804" s="7" t="s">
        <v>235</v>
      </c>
      <c r="BA804" s="7" t="s">
        <v>235</v>
      </c>
      <c r="BB804" s="7"/>
      <c r="BC804" s="4" t="s">
        <v>235</v>
      </c>
      <c r="BD804" s="8" t="s">
        <v>235</v>
      </c>
      <c r="BE804" s="4" t="s">
        <v>235</v>
      </c>
      <c r="BF804" s="8" t="s">
        <v>235</v>
      </c>
      <c r="BG804" s="7" t="s">
        <v>235</v>
      </c>
      <c r="BH804" s="7" t="s">
        <v>235</v>
      </c>
      <c r="BI804" s="7"/>
      <c r="BJ804" s="4">
        <v>14</v>
      </c>
      <c r="BK804" s="8">
        <v>235.82</v>
      </c>
      <c r="BL804" s="2" t="s">
        <v>3263</v>
      </c>
      <c r="BM804" s="7"/>
      <c r="BN804" s="7"/>
      <c r="BO804" s="4"/>
      <c r="BP804" s="8"/>
      <c r="BQ804" s="4"/>
      <c r="BR804" s="8"/>
      <c r="BS804" s="7"/>
      <c r="BT804" s="7"/>
      <c r="BU804" s="2" t="s">
        <v>3105</v>
      </c>
      <c r="BV804" s="2" t="s">
        <v>243</v>
      </c>
      <c r="BW804" s="2" t="s">
        <v>235</v>
      </c>
      <c r="BX804" s="2" t="s">
        <v>383</v>
      </c>
      <c r="BY804" s="2" t="s">
        <v>245</v>
      </c>
      <c r="BZ804" s="2" t="s">
        <v>232</v>
      </c>
      <c r="CA804" s="2" t="s">
        <v>1924</v>
      </c>
      <c r="CB804" s="2" t="s">
        <v>3069</v>
      </c>
      <c r="CC804" s="2" t="s">
        <v>248</v>
      </c>
      <c r="CD804" s="2" t="s">
        <v>248</v>
      </c>
      <c r="CE804" s="2" t="s">
        <v>235</v>
      </c>
      <c r="CF804" s="4">
        <v>229</v>
      </c>
      <c r="CG804" s="4">
        <v>776</v>
      </c>
      <c r="CH804" s="4"/>
      <c r="CI804" s="4"/>
      <c r="CJ804" s="4"/>
      <c r="CK804" s="4"/>
      <c r="CL804" s="4"/>
      <c r="CM804" s="4">
        <v>1</v>
      </c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>
        <v>1297</v>
      </c>
      <c r="GE804" s="4">
        <v>1282</v>
      </c>
      <c r="GF804" s="4">
        <v>1257</v>
      </c>
      <c r="GG804" s="4">
        <v>1219</v>
      </c>
      <c r="GH804" s="4">
        <v>1172</v>
      </c>
      <c r="GI804" s="4">
        <v>1098</v>
      </c>
      <c r="GJ804" s="4">
        <v>956</v>
      </c>
      <c r="GK804" s="4">
        <v>886</v>
      </c>
      <c r="GL804" s="4">
        <v>818</v>
      </c>
      <c r="GM804" s="4">
        <v>772</v>
      </c>
      <c r="GN804" s="4">
        <v>733</v>
      </c>
      <c r="GO804" s="4">
        <v>688</v>
      </c>
      <c r="GP804" s="4">
        <v>645</v>
      </c>
      <c r="GQ804" s="4">
        <v>590</v>
      </c>
      <c r="GR804" s="4">
        <v>560</v>
      </c>
      <c r="GS804" s="4">
        <v>528</v>
      </c>
      <c r="GT804" s="4">
        <v>502</v>
      </c>
      <c r="GU804" s="4">
        <v>479</v>
      </c>
      <c r="GV804" s="4">
        <v>455</v>
      </c>
      <c r="GW804" s="4">
        <v>437</v>
      </c>
      <c r="GX804" s="4">
        <v>421</v>
      </c>
      <c r="GY804" s="4">
        <v>406</v>
      </c>
      <c r="GZ804" s="4">
        <v>391</v>
      </c>
      <c r="HA804" s="4">
        <v>376</v>
      </c>
      <c r="HB804" s="4">
        <v>361</v>
      </c>
      <c r="HC804" s="4">
        <v>346</v>
      </c>
      <c r="HD804" s="19">
        <v>41.8</v>
      </c>
      <c r="HE804" s="19">
        <v>27.9</v>
      </c>
      <c r="HF804" s="19">
        <v>16.8</v>
      </c>
      <c r="HG804" s="19">
        <v>14.7</v>
      </c>
      <c r="HH804" s="19">
        <v>13.3</v>
      </c>
      <c r="HI804" s="19">
        <v>13.4</v>
      </c>
      <c r="HJ804" s="19">
        <v>17.1</v>
      </c>
      <c r="HK804" s="19">
        <v>17.7</v>
      </c>
      <c r="HL804" s="19">
        <v>19</v>
      </c>
      <c r="HM804" s="19">
        <v>16.8</v>
      </c>
      <c r="HN804" s="19">
        <v>17</v>
      </c>
      <c r="HO804" s="19">
        <v>17.2</v>
      </c>
      <c r="HP804" s="19">
        <v>17.9</v>
      </c>
      <c r="HQ804" s="19">
        <v>21.1</v>
      </c>
      <c r="HR804" s="19">
        <v>21.5</v>
      </c>
      <c r="HS804" s="19">
        <v>23</v>
      </c>
      <c r="HT804" s="19">
        <v>25.1</v>
      </c>
      <c r="HU804" s="19">
        <v>26.6</v>
      </c>
      <c r="HV804" s="19">
        <v>28.4</v>
      </c>
      <c r="HW804" s="19">
        <v>29.1</v>
      </c>
      <c r="HX804" s="19">
        <v>28.1</v>
      </c>
      <c r="HY804" s="19">
        <v>27.1</v>
      </c>
      <c r="HZ804" s="19">
        <v>26.1</v>
      </c>
      <c r="IA804" s="19">
        <v>26.9</v>
      </c>
      <c r="IB804" s="19">
        <v>25.8</v>
      </c>
      <c r="IC804" s="19">
        <v>26.6</v>
      </c>
    </row>
    <row r="805">
      <c r="A805" s="2" t="s">
        <v>3378</v>
      </c>
      <c r="B805" s="2" t="s">
        <v>323</v>
      </c>
      <c r="C805" s="2" t="s">
        <v>1036</v>
      </c>
      <c r="D805" s="2" t="s">
        <v>257</v>
      </c>
      <c r="E805" s="2" t="s">
        <v>258</v>
      </c>
      <c r="F805" s="2" t="s">
        <v>3098</v>
      </c>
      <c r="G805" s="2" t="s">
        <v>3098</v>
      </c>
      <c r="H805" s="2" t="s">
        <v>3098</v>
      </c>
      <c r="I805" s="2" t="s">
        <v>3099</v>
      </c>
      <c r="J805" s="2" t="s">
        <v>250</v>
      </c>
      <c r="K805" s="2" t="s">
        <v>3376</v>
      </c>
      <c r="L805" s="3">
        <v>22.4</v>
      </c>
      <c r="M805" s="3">
        <v>23.52</v>
      </c>
      <c r="N805" s="3">
        <v>44.99</v>
      </c>
      <c r="O805" s="2" t="s">
        <v>232</v>
      </c>
      <c r="P805" s="2" t="s">
        <v>233</v>
      </c>
      <c r="Q805" s="2" t="s">
        <v>234</v>
      </c>
      <c r="R805" s="2" t="s">
        <v>235</v>
      </c>
      <c r="S805" s="2" t="s">
        <v>3377</v>
      </c>
      <c r="T805" s="2" t="s">
        <v>2908</v>
      </c>
      <c r="U805" s="2" t="s">
        <v>235</v>
      </c>
      <c r="V805" s="2" t="s">
        <v>1222</v>
      </c>
      <c r="W805" s="2" t="s">
        <v>239</v>
      </c>
      <c r="X805" s="2" t="s">
        <v>235</v>
      </c>
      <c r="Y805" s="2" t="s">
        <v>2938</v>
      </c>
      <c r="Z805" s="4">
        <v>960</v>
      </c>
      <c r="AA805" s="4">
        <f>=ROUNDDOWN(45.7142857142857,0)</f>
      </c>
      <c r="AB805" s="5">
        <v>21</v>
      </c>
      <c r="AC805" s="2" t="s">
        <v>235</v>
      </c>
      <c r="AD805" s="4"/>
      <c r="AE805" s="4"/>
      <c r="AF805" s="6">
        <v>73</v>
      </c>
      <c r="AG805" s="6"/>
      <c r="AH805" s="7">
        <v>1</v>
      </c>
      <c r="AI805" s="4"/>
      <c r="AJ805" s="4">
        <f>=ROUNDDOWN({0},0)</f>
      </c>
      <c r="AK805" s="5"/>
      <c r="AL805" s="2" t="s">
        <v>235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235</v>
      </c>
      <c r="AW805" s="8" t="s">
        <v>235</v>
      </c>
      <c r="AX805" s="4" t="s">
        <v>235</v>
      </c>
      <c r="AY805" s="8" t="s">
        <v>235</v>
      </c>
      <c r="AZ805" s="7" t="s">
        <v>235</v>
      </c>
      <c r="BA805" s="7" t="s">
        <v>235</v>
      </c>
      <c r="BB805" s="7"/>
      <c r="BC805" s="4" t="s">
        <v>235</v>
      </c>
      <c r="BD805" s="8" t="s">
        <v>235</v>
      </c>
      <c r="BE805" s="4" t="s">
        <v>235</v>
      </c>
      <c r="BF805" s="8" t="s">
        <v>235</v>
      </c>
      <c r="BG805" s="7" t="s">
        <v>235</v>
      </c>
      <c r="BH805" s="7" t="s">
        <v>235</v>
      </c>
      <c r="BI805" s="7"/>
      <c r="BJ805" s="4">
        <v>44</v>
      </c>
      <c r="BK805" s="8">
        <v>962.04</v>
      </c>
      <c r="BL805" s="2" t="s">
        <v>3379</v>
      </c>
      <c r="BM805" s="7"/>
      <c r="BN805" s="7"/>
      <c r="BO805" s="4"/>
      <c r="BP805" s="8"/>
      <c r="BQ805" s="4"/>
      <c r="BR805" s="8"/>
      <c r="BS805" s="7"/>
      <c r="BT805" s="7"/>
      <c r="BU805" s="2" t="s">
        <v>3105</v>
      </c>
      <c r="BV805" s="2" t="s">
        <v>243</v>
      </c>
      <c r="BW805" s="2" t="s">
        <v>235</v>
      </c>
      <c r="BX805" s="2" t="s">
        <v>383</v>
      </c>
      <c r="BY805" s="2" t="s">
        <v>245</v>
      </c>
      <c r="BZ805" s="2" t="s">
        <v>232</v>
      </c>
      <c r="CA805" s="2" t="s">
        <v>1924</v>
      </c>
      <c r="CB805" s="2" t="s">
        <v>3074</v>
      </c>
      <c r="CC805" s="2" t="s">
        <v>248</v>
      </c>
      <c r="CD805" s="2" t="s">
        <v>248</v>
      </c>
      <c r="CE805" s="2" t="s">
        <v>235</v>
      </c>
      <c r="CF805" s="4">
        <v>336</v>
      </c>
      <c r="CG805" s="4">
        <v>624</v>
      </c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>
        <v>1074</v>
      </c>
      <c r="GE805" s="4">
        <v>1058</v>
      </c>
      <c r="GF805" s="4">
        <v>1040</v>
      </c>
      <c r="GG805" s="4">
        <v>1014</v>
      </c>
      <c r="GH805" s="4">
        <v>982</v>
      </c>
      <c r="GI805" s="4">
        <v>932</v>
      </c>
      <c r="GJ805" s="4">
        <v>838</v>
      </c>
      <c r="GK805" s="4">
        <v>790</v>
      </c>
      <c r="GL805" s="4">
        <v>744</v>
      </c>
      <c r="GM805" s="4">
        <v>712</v>
      </c>
      <c r="GN805" s="4">
        <v>683</v>
      </c>
      <c r="GO805" s="4">
        <v>648</v>
      </c>
      <c r="GP805" s="4">
        <v>611</v>
      </c>
      <c r="GQ805" s="4">
        <v>557</v>
      </c>
      <c r="GR805" s="4">
        <v>529</v>
      </c>
      <c r="GS805" s="4">
        <v>499</v>
      </c>
      <c r="GT805" s="4">
        <v>476</v>
      </c>
      <c r="GU805" s="4">
        <v>457</v>
      </c>
      <c r="GV805" s="4">
        <v>436</v>
      </c>
      <c r="GW805" s="4">
        <v>421</v>
      </c>
      <c r="GX805" s="4">
        <v>408</v>
      </c>
      <c r="GY805" s="4">
        <v>397</v>
      </c>
      <c r="GZ805" s="4">
        <v>385</v>
      </c>
      <c r="HA805" s="4">
        <v>373</v>
      </c>
      <c r="HB805" s="4">
        <v>361</v>
      </c>
      <c r="HC805" s="4">
        <v>349</v>
      </c>
      <c r="HD805" s="19">
        <v>46.7</v>
      </c>
      <c r="HE805" s="19">
        <v>33.1</v>
      </c>
      <c r="HF805" s="19">
        <v>20.8</v>
      </c>
      <c r="HG805" s="19">
        <v>18.1</v>
      </c>
      <c r="HH805" s="19">
        <v>16.4</v>
      </c>
      <c r="HI805" s="19">
        <v>16.9</v>
      </c>
      <c r="HJ805" s="19">
        <v>21.5</v>
      </c>
      <c r="HK805" s="19">
        <v>21.9</v>
      </c>
      <c r="HL805" s="19">
        <v>22.5</v>
      </c>
      <c r="HM805" s="19">
        <v>18.3</v>
      </c>
      <c r="HN805" s="19">
        <v>18</v>
      </c>
      <c r="HO805" s="19">
        <v>17.5</v>
      </c>
      <c r="HP805" s="19">
        <v>18</v>
      </c>
      <c r="HQ805" s="19">
        <v>22.3</v>
      </c>
      <c r="HR805" s="19">
        <v>23</v>
      </c>
      <c r="HS805" s="19">
        <v>25</v>
      </c>
      <c r="HT805" s="19">
        <v>28</v>
      </c>
      <c r="HU805" s="19">
        <v>30.5</v>
      </c>
      <c r="HV805" s="19">
        <v>33.5</v>
      </c>
      <c r="HW805" s="19">
        <v>35.1</v>
      </c>
      <c r="HX805" s="19">
        <v>34</v>
      </c>
      <c r="HY805" s="19">
        <v>33.1</v>
      </c>
      <c r="HZ805" s="19">
        <v>32.1</v>
      </c>
      <c r="IA805" s="19">
        <v>31.1</v>
      </c>
      <c r="IB805" s="19">
        <v>32.8</v>
      </c>
      <c r="IC805" s="19">
        <v>34.9</v>
      </c>
    </row>
    <row r="806">
      <c r="A806" s="2" t="s">
        <v>3380</v>
      </c>
      <c r="B806" s="2" t="s">
        <v>323</v>
      </c>
      <c r="C806" s="2" t="s">
        <v>1036</v>
      </c>
      <c r="D806" s="2" t="s">
        <v>257</v>
      </c>
      <c r="E806" s="2" t="s">
        <v>258</v>
      </c>
      <c r="F806" s="2" t="s">
        <v>3098</v>
      </c>
      <c r="G806" s="2" t="s">
        <v>3098</v>
      </c>
      <c r="H806" s="2" t="s">
        <v>3098</v>
      </c>
      <c r="I806" s="2" t="s">
        <v>3099</v>
      </c>
      <c r="J806" s="2" t="s">
        <v>394</v>
      </c>
      <c r="K806" s="2" t="s">
        <v>3381</v>
      </c>
      <c r="L806" s="3">
        <v>14.89</v>
      </c>
      <c r="M806" s="3">
        <v>15.63</v>
      </c>
      <c r="N806" s="3">
        <v>31.99</v>
      </c>
      <c r="O806" s="2" t="s">
        <v>232</v>
      </c>
      <c r="P806" s="2" t="s">
        <v>333</v>
      </c>
      <c r="Q806" s="2" t="s">
        <v>234</v>
      </c>
      <c r="R806" s="2" t="s">
        <v>235</v>
      </c>
      <c r="S806" s="2" t="s">
        <v>3382</v>
      </c>
      <c r="T806" s="2" t="s">
        <v>2908</v>
      </c>
      <c r="U806" s="2" t="s">
        <v>235</v>
      </c>
      <c r="V806" s="2" t="s">
        <v>2919</v>
      </c>
      <c r="W806" s="2" t="s">
        <v>239</v>
      </c>
      <c r="X806" s="2" t="s">
        <v>235</v>
      </c>
      <c r="Y806" s="2" t="s">
        <v>3383</v>
      </c>
      <c r="Z806" s="4">
        <v>2014</v>
      </c>
      <c r="AA806" s="4">
        <f>=ROUNDDOWN(19.7450980392157,0)</f>
      </c>
      <c r="AB806" s="5">
        <v>102</v>
      </c>
      <c r="AC806" s="2" t="s">
        <v>2503</v>
      </c>
      <c r="AD806" s="4">
        <v>942</v>
      </c>
      <c r="AE806" s="4">
        <v>2289</v>
      </c>
      <c r="AF806" s="6">
        <v>73</v>
      </c>
      <c r="AG806" s="6"/>
      <c r="AH806" s="7">
        <v>1</v>
      </c>
      <c r="AI806" s="4"/>
      <c r="AJ806" s="4">
        <f>=ROUNDDOWN({0},0)</f>
      </c>
      <c r="AK806" s="5"/>
      <c r="AL806" s="2" t="s">
        <v>235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235</v>
      </c>
      <c r="AW806" s="8" t="s">
        <v>235</v>
      </c>
      <c r="AX806" s="4" t="s">
        <v>235</v>
      </c>
      <c r="AY806" s="8" t="s">
        <v>235</v>
      </c>
      <c r="AZ806" s="7" t="s">
        <v>235</v>
      </c>
      <c r="BA806" s="7" t="s">
        <v>235</v>
      </c>
      <c r="BB806" s="7"/>
      <c r="BC806" s="4" t="s">
        <v>235</v>
      </c>
      <c r="BD806" s="8" t="s">
        <v>235</v>
      </c>
      <c r="BE806" s="4" t="s">
        <v>235</v>
      </c>
      <c r="BF806" s="8" t="s">
        <v>235</v>
      </c>
      <c r="BG806" s="7" t="s">
        <v>235</v>
      </c>
      <c r="BH806" s="7" t="s">
        <v>235</v>
      </c>
      <c r="BI806" s="7"/>
      <c r="BJ806" s="4">
        <v>270</v>
      </c>
      <c r="BK806" s="8">
        <v>4267.7</v>
      </c>
      <c r="BL806" s="2" t="s">
        <v>3384</v>
      </c>
      <c r="BM806" s="7"/>
      <c r="BN806" s="7"/>
      <c r="BO806" s="4"/>
      <c r="BP806" s="8"/>
      <c r="BQ806" s="4"/>
      <c r="BR806" s="8"/>
      <c r="BS806" s="7"/>
      <c r="BT806" s="7"/>
      <c r="BU806" s="2" t="s">
        <v>3105</v>
      </c>
      <c r="BV806" s="2" t="s">
        <v>243</v>
      </c>
      <c r="BW806" s="2" t="s">
        <v>235</v>
      </c>
      <c r="BX806" s="2" t="s">
        <v>383</v>
      </c>
      <c r="BY806" s="2" t="s">
        <v>245</v>
      </c>
      <c r="BZ806" s="2" t="s">
        <v>232</v>
      </c>
      <c r="CA806" s="2" t="s">
        <v>530</v>
      </c>
      <c r="CB806" s="2" t="s">
        <v>3385</v>
      </c>
      <c r="CC806" s="2" t="s">
        <v>248</v>
      </c>
      <c r="CD806" s="2" t="s">
        <v>248</v>
      </c>
      <c r="CE806" s="2" t="s">
        <v>235</v>
      </c>
      <c r="CF806" s="4">
        <v>2009</v>
      </c>
      <c r="CG806" s="4">
        <v>5</v>
      </c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>
        <v>942</v>
      </c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>
        <v>504</v>
      </c>
      <c r="EK806" s="4"/>
      <c r="EL806" s="4"/>
      <c r="EM806" s="4"/>
      <c r="EN806" s="4"/>
      <c r="EO806" s="4"/>
      <c r="EP806" s="4"/>
      <c r="EQ806" s="4">
        <v>843</v>
      </c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>
        <v>2135</v>
      </c>
      <c r="GE806" s="4">
        <v>1845</v>
      </c>
      <c r="GF806" s="4">
        <v>2780</v>
      </c>
      <c r="GG806" s="4">
        <v>2773</v>
      </c>
      <c r="GH806" s="4">
        <v>2599</v>
      </c>
      <c r="GI806" s="4">
        <v>2312</v>
      </c>
      <c r="GJ806" s="4">
        <v>1752</v>
      </c>
      <c r="GK806" s="4">
        <v>1483</v>
      </c>
      <c r="GL806" s="4">
        <v>1223</v>
      </c>
      <c r="GM806" s="4">
        <v>1555</v>
      </c>
      <c r="GN806" s="4">
        <v>2262</v>
      </c>
      <c r="GO806" s="4">
        <v>2102</v>
      </c>
      <c r="GP806" s="4">
        <v>1962</v>
      </c>
      <c r="GQ806" s="4">
        <v>1805</v>
      </c>
      <c r="GR806" s="4">
        <v>1711</v>
      </c>
      <c r="GS806" s="4">
        <v>1610</v>
      </c>
      <c r="GT806" s="4">
        <v>1523</v>
      </c>
      <c r="GU806" s="4">
        <v>1443</v>
      </c>
      <c r="GV806" s="4">
        <v>1360</v>
      </c>
      <c r="GW806" s="4">
        <v>1301</v>
      </c>
      <c r="GX806" s="4">
        <v>1246</v>
      </c>
      <c r="GY806" s="4">
        <v>1194</v>
      </c>
      <c r="GZ806" s="4">
        <v>1140</v>
      </c>
      <c r="HA806" s="4">
        <v>1086</v>
      </c>
      <c r="HB806" s="4">
        <v>1032</v>
      </c>
      <c r="HC806" s="4">
        <v>978</v>
      </c>
      <c r="HD806" s="19">
        <v>17.8</v>
      </c>
      <c r="HE806" s="19">
        <v>15.5</v>
      </c>
      <c r="HF806" s="19">
        <v>10.8</v>
      </c>
      <c r="HG806" s="19">
        <v>8.6</v>
      </c>
      <c r="HH806" s="19">
        <v>7.6</v>
      </c>
      <c r="HI806" s="19">
        <v>7.3</v>
      </c>
      <c r="HJ806" s="19">
        <v>8.4</v>
      </c>
      <c r="HK806" s="19">
        <v>8.1</v>
      </c>
      <c r="HL806" s="19">
        <v>8</v>
      </c>
      <c r="HM806" s="19">
        <v>10.5</v>
      </c>
      <c r="HN806" s="19">
        <v>16.4</v>
      </c>
      <c r="HO806" s="19">
        <v>17.1</v>
      </c>
      <c r="HP806" s="19">
        <v>17.8</v>
      </c>
      <c r="HQ806" s="19">
        <v>20.1</v>
      </c>
      <c r="HR806" s="19">
        <v>19.4</v>
      </c>
      <c r="HS806" s="19">
        <v>20.9</v>
      </c>
      <c r="HT806" s="19">
        <v>22.1</v>
      </c>
      <c r="HU806" s="19">
        <v>23.3</v>
      </c>
      <c r="HV806" s="19">
        <v>24.7</v>
      </c>
      <c r="HW806" s="19">
        <v>24.1</v>
      </c>
      <c r="HX806" s="19">
        <v>23.1</v>
      </c>
      <c r="HY806" s="19">
        <v>22.1</v>
      </c>
      <c r="HZ806" s="19">
        <v>21.5</v>
      </c>
      <c r="IA806" s="19">
        <v>20.9</v>
      </c>
      <c r="IB806" s="19">
        <v>20.6</v>
      </c>
      <c r="IC806" s="19">
        <v>21.3</v>
      </c>
    </row>
    <row r="807">
      <c r="A807" s="2" t="s">
        <v>3386</v>
      </c>
      <c r="B807" s="2" t="s">
        <v>323</v>
      </c>
      <c r="C807" s="2" t="s">
        <v>1036</v>
      </c>
      <c r="D807" s="2" t="s">
        <v>257</v>
      </c>
      <c r="E807" s="2" t="s">
        <v>258</v>
      </c>
      <c r="F807" s="2" t="s">
        <v>3098</v>
      </c>
      <c r="G807" s="2" t="s">
        <v>3098</v>
      </c>
      <c r="H807" s="2" t="s">
        <v>3098</v>
      </c>
      <c r="I807" s="2" t="s">
        <v>3099</v>
      </c>
      <c r="J807" s="2" t="s">
        <v>250</v>
      </c>
      <c r="K807" s="2" t="s">
        <v>3381</v>
      </c>
      <c r="L807" s="3">
        <v>19.57</v>
      </c>
      <c r="M807" s="3">
        <v>20.55</v>
      </c>
      <c r="N807" s="3">
        <v>42.99</v>
      </c>
      <c r="O807" s="2" t="s">
        <v>232</v>
      </c>
      <c r="P807" s="2" t="s">
        <v>698</v>
      </c>
      <c r="Q807" s="2" t="s">
        <v>234</v>
      </c>
      <c r="R807" s="2" t="s">
        <v>235</v>
      </c>
      <c r="S807" s="2" t="s">
        <v>3382</v>
      </c>
      <c r="T807" s="2" t="s">
        <v>2908</v>
      </c>
      <c r="U807" s="2" t="s">
        <v>235</v>
      </c>
      <c r="V807" s="2" t="s">
        <v>2919</v>
      </c>
      <c r="W807" s="2" t="s">
        <v>239</v>
      </c>
      <c r="X807" s="2" t="s">
        <v>235</v>
      </c>
      <c r="Y807" s="2" t="s">
        <v>3383</v>
      </c>
      <c r="Z807" s="4">
        <v>1148</v>
      </c>
      <c r="AA807" s="4">
        <f>=ROUNDDOWN(20.8727272727273,0)</f>
      </c>
      <c r="AB807" s="5">
        <v>55</v>
      </c>
      <c r="AC807" s="2" t="s">
        <v>2503</v>
      </c>
      <c r="AD807" s="4">
        <v>48</v>
      </c>
      <c r="AE807" s="4">
        <v>853</v>
      </c>
      <c r="AF807" s="6">
        <v>73</v>
      </c>
      <c r="AG807" s="6"/>
      <c r="AH807" s="7">
        <v>1</v>
      </c>
      <c r="AI807" s="4"/>
      <c r="AJ807" s="4">
        <f>=ROUNDDOWN({0},0)</f>
      </c>
      <c r="AK807" s="5"/>
      <c r="AL807" s="2" t="s">
        <v>235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235</v>
      </c>
      <c r="AW807" s="8" t="s">
        <v>235</v>
      </c>
      <c r="AX807" s="4" t="s">
        <v>235</v>
      </c>
      <c r="AY807" s="8" t="s">
        <v>235</v>
      </c>
      <c r="AZ807" s="7" t="s">
        <v>235</v>
      </c>
      <c r="BA807" s="7" t="s">
        <v>235</v>
      </c>
      <c r="BB807" s="7"/>
      <c r="BC807" s="4" t="s">
        <v>235</v>
      </c>
      <c r="BD807" s="8" t="s">
        <v>235</v>
      </c>
      <c r="BE807" s="4" t="s">
        <v>235</v>
      </c>
      <c r="BF807" s="8" t="s">
        <v>235</v>
      </c>
      <c r="BG807" s="7" t="s">
        <v>235</v>
      </c>
      <c r="BH807" s="7" t="s">
        <v>235</v>
      </c>
      <c r="BI807" s="7"/>
      <c r="BJ807" s="4">
        <v>233</v>
      </c>
      <c r="BK807" s="8">
        <v>4913.67</v>
      </c>
      <c r="BL807" s="2" t="s">
        <v>529</v>
      </c>
      <c r="BM807" s="7"/>
      <c r="BN807" s="7"/>
      <c r="BO807" s="4"/>
      <c r="BP807" s="8"/>
      <c r="BQ807" s="4"/>
      <c r="BR807" s="8"/>
      <c r="BS807" s="7"/>
      <c r="BT807" s="7"/>
      <c r="BU807" s="2" t="s">
        <v>3105</v>
      </c>
      <c r="BV807" s="2" t="s">
        <v>243</v>
      </c>
      <c r="BW807" s="2" t="s">
        <v>235</v>
      </c>
      <c r="BX807" s="2" t="s">
        <v>383</v>
      </c>
      <c r="BY807" s="2" t="s">
        <v>245</v>
      </c>
      <c r="BZ807" s="2" t="s">
        <v>232</v>
      </c>
      <c r="CA807" s="2" t="s">
        <v>530</v>
      </c>
      <c r="CB807" s="2" t="s">
        <v>3387</v>
      </c>
      <c r="CC807" s="2" t="s">
        <v>248</v>
      </c>
      <c r="CD807" s="2" t="s">
        <v>248</v>
      </c>
      <c r="CE807" s="2" t="s">
        <v>235</v>
      </c>
      <c r="CF807" s="4">
        <v>1145</v>
      </c>
      <c r="CG807" s="4">
        <v>3</v>
      </c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>
        <v>48</v>
      </c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>
        <v>283</v>
      </c>
      <c r="EK807" s="4"/>
      <c r="EL807" s="4"/>
      <c r="EM807" s="4"/>
      <c r="EN807" s="4"/>
      <c r="EO807" s="4"/>
      <c r="EP807" s="4"/>
      <c r="EQ807" s="4">
        <v>522</v>
      </c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>
        <v>1180</v>
      </c>
      <c r="GE807" s="4">
        <v>1089</v>
      </c>
      <c r="GF807" s="4">
        <v>1129</v>
      </c>
      <c r="GG807" s="4">
        <v>1121</v>
      </c>
      <c r="GH807" s="4">
        <v>1075</v>
      </c>
      <c r="GI807" s="4">
        <v>938</v>
      </c>
      <c r="GJ807" s="4">
        <v>680</v>
      </c>
      <c r="GK807" s="4">
        <v>551</v>
      </c>
      <c r="GL807" s="4">
        <v>426</v>
      </c>
      <c r="GM807" s="4">
        <v>623</v>
      </c>
      <c r="GN807" s="4">
        <v>1068</v>
      </c>
      <c r="GO807" s="4">
        <v>977</v>
      </c>
      <c r="GP807" s="4">
        <v>884</v>
      </c>
      <c r="GQ807" s="4">
        <v>754</v>
      </c>
      <c r="GR807" s="4">
        <v>685</v>
      </c>
      <c r="GS807" s="4">
        <v>613</v>
      </c>
      <c r="GT807" s="4">
        <v>557</v>
      </c>
      <c r="GU807" s="4">
        <v>509</v>
      </c>
      <c r="GV807" s="4">
        <v>458</v>
      </c>
      <c r="GW807" s="4">
        <v>420</v>
      </c>
      <c r="GX807" s="4">
        <v>387</v>
      </c>
      <c r="GY807" s="4">
        <v>357</v>
      </c>
      <c r="GZ807" s="4">
        <v>326</v>
      </c>
      <c r="HA807" s="4">
        <v>295</v>
      </c>
      <c r="HB807" s="4">
        <v>264</v>
      </c>
      <c r="HC807" s="4">
        <v>233</v>
      </c>
      <c r="HD807" s="19">
        <v>31.1</v>
      </c>
      <c r="HE807" s="19">
        <v>21.8</v>
      </c>
      <c r="HF807" s="19">
        <v>10.1</v>
      </c>
      <c r="HG807" s="19">
        <v>7.9</v>
      </c>
      <c r="HH807" s="19">
        <v>6.6</v>
      </c>
      <c r="HI807" s="19">
        <v>6.3</v>
      </c>
      <c r="HJ807" s="19">
        <v>6.5</v>
      </c>
      <c r="HK807" s="19">
        <v>5.8</v>
      </c>
      <c r="HL807" s="19">
        <v>4.9</v>
      </c>
      <c r="HM807" s="19">
        <v>6.4</v>
      </c>
      <c r="HN807" s="19">
        <v>11.1</v>
      </c>
      <c r="HO807" s="19">
        <v>10.7</v>
      </c>
      <c r="HP807" s="19">
        <v>10.8</v>
      </c>
      <c r="HQ807" s="19">
        <v>12.4</v>
      </c>
      <c r="HR807" s="19">
        <v>12</v>
      </c>
      <c r="HS807" s="19">
        <v>12.8</v>
      </c>
      <c r="HT807" s="19">
        <v>13.3</v>
      </c>
      <c r="HU807" s="19">
        <v>13.4</v>
      </c>
      <c r="HV807" s="19">
        <v>13.9</v>
      </c>
      <c r="HW807" s="19">
        <v>13.5</v>
      </c>
      <c r="HX807" s="19">
        <v>12.5</v>
      </c>
      <c r="HY807" s="19">
        <v>11.5</v>
      </c>
      <c r="HZ807" s="19">
        <v>10.9</v>
      </c>
      <c r="IA807" s="19">
        <v>9.8</v>
      </c>
      <c r="IB807" s="19">
        <v>9.4</v>
      </c>
      <c r="IC807" s="19">
        <v>9</v>
      </c>
    </row>
    <row r="808">
      <c r="A808" s="2" t="s">
        <v>3388</v>
      </c>
      <c r="B808" s="2" t="s">
        <v>323</v>
      </c>
      <c r="C808" s="2" t="s">
        <v>1036</v>
      </c>
      <c r="D808" s="2" t="s">
        <v>257</v>
      </c>
      <c r="E808" s="2" t="s">
        <v>258</v>
      </c>
      <c r="F808" s="2" t="s">
        <v>3098</v>
      </c>
      <c r="G808" s="2" t="s">
        <v>3098</v>
      </c>
      <c r="H808" s="2" t="s">
        <v>3098</v>
      </c>
      <c r="I808" s="2" t="s">
        <v>3099</v>
      </c>
      <c r="J808" s="2" t="s">
        <v>394</v>
      </c>
      <c r="K808" s="2" t="s">
        <v>3045</v>
      </c>
      <c r="L808" s="3">
        <v>14.89</v>
      </c>
      <c r="M808" s="3">
        <v>15.63</v>
      </c>
      <c r="N808" s="3">
        <v>31.99</v>
      </c>
      <c r="O808" s="2" t="s">
        <v>232</v>
      </c>
      <c r="P808" s="2" t="s">
        <v>233</v>
      </c>
      <c r="Q808" s="2" t="s">
        <v>234</v>
      </c>
      <c r="R808" s="2" t="s">
        <v>235</v>
      </c>
      <c r="S808" s="2" t="s">
        <v>3389</v>
      </c>
      <c r="T808" s="2" t="s">
        <v>2908</v>
      </c>
      <c r="U808" s="2" t="s">
        <v>235</v>
      </c>
      <c r="V808" s="2" t="s">
        <v>1222</v>
      </c>
      <c r="W808" s="2" t="s">
        <v>239</v>
      </c>
      <c r="X808" s="2" t="s">
        <v>235</v>
      </c>
      <c r="Y808" s="2" t="s">
        <v>240</v>
      </c>
      <c r="Z808" s="4">
        <v>769</v>
      </c>
      <c r="AA808" s="4">
        <f>=ROUNDDOWN(45.2352941176471,0)</f>
      </c>
      <c r="AB808" s="5">
        <v>17</v>
      </c>
      <c r="AC808" s="2" t="s">
        <v>235</v>
      </c>
      <c r="AD808" s="4"/>
      <c r="AE808" s="4"/>
      <c r="AF808" s="6">
        <v>73</v>
      </c>
      <c r="AG808" s="6"/>
      <c r="AH808" s="7">
        <v>1</v>
      </c>
      <c r="AI808" s="4"/>
      <c r="AJ808" s="4">
        <f>=ROUNDDOWN({0},0)</f>
      </c>
      <c r="AK808" s="5"/>
      <c r="AL808" s="2" t="s">
        <v>235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235</v>
      </c>
      <c r="AW808" s="8" t="s">
        <v>235</v>
      </c>
      <c r="AX808" s="4" t="s">
        <v>235</v>
      </c>
      <c r="AY808" s="8" t="s">
        <v>235</v>
      </c>
      <c r="AZ808" s="7" t="s">
        <v>235</v>
      </c>
      <c r="BA808" s="7" t="s">
        <v>235</v>
      </c>
      <c r="BB808" s="7"/>
      <c r="BC808" s="4" t="s">
        <v>235</v>
      </c>
      <c r="BD808" s="8" t="s">
        <v>235</v>
      </c>
      <c r="BE808" s="4" t="s">
        <v>235</v>
      </c>
      <c r="BF808" s="8" t="s">
        <v>235</v>
      </c>
      <c r="BG808" s="7" t="s">
        <v>235</v>
      </c>
      <c r="BH808" s="7" t="s">
        <v>235</v>
      </c>
      <c r="BI808" s="7"/>
      <c r="BJ808" s="4">
        <v>39</v>
      </c>
      <c r="BK808" s="8">
        <v>622.82</v>
      </c>
      <c r="BL808" s="2" t="s">
        <v>3086</v>
      </c>
      <c r="BM808" s="7"/>
      <c r="BN808" s="7"/>
      <c r="BO808" s="4"/>
      <c r="BP808" s="8"/>
      <c r="BQ808" s="4"/>
      <c r="BR808" s="8"/>
      <c r="BS808" s="7"/>
      <c r="BT808" s="7"/>
      <c r="BU808" s="2" t="s">
        <v>3105</v>
      </c>
      <c r="BV808" s="2" t="s">
        <v>243</v>
      </c>
      <c r="BW808" s="2" t="s">
        <v>235</v>
      </c>
      <c r="BX808" s="2" t="s">
        <v>383</v>
      </c>
      <c r="BY808" s="2" t="s">
        <v>245</v>
      </c>
      <c r="BZ808" s="2" t="s">
        <v>232</v>
      </c>
      <c r="CA808" s="2" t="s">
        <v>530</v>
      </c>
      <c r="CB808" s="2" t="s">
        <v>3390</v>
      </c>
      <c r="CC808" s="2" t="s">
        <v>248</v>
      </c>
      <c r="CD808" s="2" t="s">
        <v>248</v>
      </c>
      <c r="CE808" s="2" t="s">
        <v>235</v>
      </c>
      <c r="CF808" s="4">
        <v>769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>
        <v>815</v>
      </c>
      <c r="GE808" s="4">
        <v>742</v>
      </c>
      <c r="GF808" s="4">
        <v>739</v>
      </c>
      <c r="GG808" s="4">
        <v>736</v>
      </c>
      <c r="GH808" s="4">
        <v>733</v>
      </c>
      <c r="GI808" s="4">
        <v>723</v>
      </c>
      <c r="GJ808" s="4">
        <v>649</v>
      </c>
      <c r="GK808" s="4">
        <v>611</v>
      </c>
      <c r="GL808" s="4">
        <v>574</v>
      </c>
      <c r="GM808" s="4">
        <v>548</v>
      </c>
      <c r="GN808" s="4">
        <v>524</v>
      </c>
      <c r="GO808" s="4">
        <v>495</v>
      </c>
      <c r="GP808" s="4">
        <v>464</v>
      </c>
      <c r="GQ808" s="4">
        <v>418</v>
      </c>
      <c r="GR808" s="4">
        <v>394</v>
      </c>
      <c r="GS808" s="4">
        <v>369</v>
      </c>
      <c r="GT808" s="4">
        <v>350</v>
      </c>
      <c r="GU808" s="4">
        <v>334</v>
      </c>
      <c r="GV808" s="4">
        <v>317</v>
      </c>
      <c r="GW808" s="4">
        <v>304</v>
      </c>
      <c r="GX808" s="4">
        <v>293</v>
      </c>
      <c r="GY808" s="4">
        <v>283</v>
      </c>
      <c r="GZ808" s="4">
        <v>273</v>
      </c>
      <c r="HA808" s="4">
        <v>263</v>
      </c>
      <c r="HB808" s="4">
        <v>253</v>
      </c>
      <c r="HC808" s="4">
        <v>243</v>
      </c>
      <c r="HD808" s="19">
        <v>40.8</v>
      </c>
      <c r="HE808" s="19">
        <v>148.4</v>
      </c>
      <c r="HF808" s="19">
        <v>33.6</v>
      </c>
      <c r="HG808" s="19">
        <v>23.7</v>
      </c>
      <c r="HH808" s="19">
        <v>18.3</v>
      </c>
      <c r="HI808" s="19">
        <v>16.4</v>
      </c>
      <c r="HJ808" s="19">
        <v>20.9</v>
      </c>
      <c r="HK808" s="19">
        <v>21.1</v>
      </c>
      <c r="HL808" s="19">
        <v>20.5</v>
      </c>
      <c r="HM808" s="19">
        <v>17.1</v>
      </c>
      <c r="HN808" s="19">
        <v>16.4</v>
      </c>
      <c r="HO808" s="19">
        <v>15.5</v>
      </c>
      <c r="HP808" s="19">
        <v>16.6</v>
      </c>
      <c r="HQ808" s="19">
        <v>19.9</v>
      </c>
      <c r="HR808" s="19">
        <v>20.7</v>
      </c>
      <c r="HS808" s="19">
        <v>23.1</v>
      </c>
      <c r="HT808" s="19">
        <v>25</v>
      </c>
      <c r="HU808" s="19">
        <v>25.7</v>
      </c>
      <c r="HV808" s="19">
        <v>28.8</v>
      </c>
      <c r="HW808" s="19">
        <v>30.4</v>
      </c>
      <c r="HX808" s="19">
        <v>29.3</v>
      </c>
      <c r="HY808" s="19">
        <v>28.3</v>
      </c>
      <c r="HZ808" s="19">
        <v>27.3</v>
      </c>
      <c r="IA808" s="19">
        <v>26.3</v>
      </c>
      <c r="IB808" s="19">
        <v>28.1</v>
      </c>
      <c r="IC808" s="19">
        <v>30.4</v>
      </c>
    </row>
    <row r="809">
      <c r="A809" s="2" t="s">
        <v>3391</v>
      </c>
      <c r="B809" s="2" t="s">
        <v>323</v>
      </c>
      <c r="C809" s="2" t="s">
        <v>1036</v>
      </c>
      <c r="D809" s="2" t="s">
        <v>257</v>
      </c>
      <c r="E809" s="2" t="s">
        <v>258</v>
      </c>
      <c r="F809" s="2" t="s">
        <v>3098</v>
      </c>
      <c r="G809" s="2" t="s">
        <v>3098</v>
      </c>
      <c r="H809" s="2" t="s">
        <v>3098</v>
      </c>
      <c r="I809" s="2" t="s">
        <v>3099</v>
      </c>
      <c r="J809" s="2" t="s">
        <v>250</v>
      </c>
      <c r="K809" s="2" t="s">
        <v>3045</v>
      </c>
      <c r="L809" s="3">
        <v>19.57</v>
      </c>
      <c r="M809" s="3">
        <v>20.55</v>
      </c>
      <c r="N809" s="3">
        <v>42.99</v>
      </c>
      <c r="O809" s="2" t="s">
        <v>232</v>
      </c>
      <c r="P809" s="2" t="s">
        <v>233</v>
      </c>
      <c r="Q809" s="2" t="s">
        <v>234</v>
      </c>
      <c r="R809" s="2" t="s">
        <v>235</v>
      </c>
      <c r="S809" s="2" t="s">
        <v>3389</v>
      </c>
      <c r="T809" s="2" t="s">
        <v>2908</v>
      </c>
      <c r="U809" s="2" t="s">
        <v>235</v>
      </c>
      <c r="V809" s="2" t="s">
        <v>1222</v>
      </c>
      <c r="W809" s="2" t="s">
        <v>239</v>
      </c>
      <c r="X809" s="2" t="s">
        <v>235</v>
      </c>
      <c r="Y809" s="2" t="s">
        <v>240</v>
      </c>
      <c r="Z809" s="4">
        <v>942</v>
      </c>
      <c r="AA809" s="4">
        <f>=ROUNDDOWN(85.6363636363636,0)</f>
      </c>
      <c r="AB809" s="5">
        <v>11</v>
      </c>
      <c r="AC809" s="2" t="s">
        <v>235</v>
      </c>
      <c r="AD809" s="4"/>
      <c r="AE809" s="4"/>
      <c r="AF809" s="6">
        <v>73</v>
      </c>
      <c r="AG809" s="6"/>
      <c r="AH809" s="7">
        <v>1</v>
      </c>
      <c r="AI809" s="4"/>
      <c r="AJ809" s="4">
        <f>=ROUNDDOWN({0},0)</f>
      </c>
      <c r="AK809" s="5"/>
      <c r="AL809" s="2" t="s">
        <v>235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235</v>
      </c>
      <c r="AW809" s="8" t="s">
        <v>235</v>
      </c>
      <c r="AX809" s="4" t="s">
        <v>235</v>
      </c>
      <c r="AY809" s="8" t="s">
        <v>235</v>
      </c>
      <c r="AZ809" s="7" t="s">
        <v>235</v>
      </c>
      <c r="BA809" s="7" t="s">
        <v>235</v>
      </c>
      <c r="BB809" s="7"/>
      <c r="BC809" s="4" t="s">
        <v>235</v>
      </c>
      <c r="BD809" s="8" t="s">
        <v>235</v>
      </c>
      <c r="BE809" s="4" t="s">
        <v>235</v>
      </c>
      <c r="BF809" s="8" t="s">
        <v>235</v>
      </c>
      <c r="BG809" s="7" t="s">
        <v>235</v>
      </c>
      <c r="BH809" s="7" t="s">
        <v>235</v>
      </c>
      <c r="BI809" s="7"/>
      <c r="BJ809" s="4">
        <v>10</v>
      </c>
      <c r="BK809" s="8">
        <v>214.34</v>
      </c>
      <c r="BL809" s="2" t="s">
        <v>3392</v>
      </c>
      <c r="BM809" s="7"/>
      <c r="BN809" s="7"/>
      <c r="BO809" s="4"/>
      <c r="BP809" s="8"/>
      <c r="BQ809" s="4"/>
      <c r="BR809" s="8"/>
      <c r="BS809" s="7"/>
      <c r="BT809" s="7"/>
      <c r="BU809" s="2" t="s">
        <v>3105</v>
      </c>
      <c r="BV809" s="2" t="s">
        <v>243</v>
      </c>
      <c r="BW809" s="2" t="s">
        <v>235</v>
      </c>
      <c r="BX809" s="2" t="s">
        <v>383</v>
      </c>
      <c r="BY809" s="2" t="s">
        <v>245</v>
      </c>
      <c r="BZ809" s="2" t="s">
        <v>232</v>
      </c>
      <c r="CA809" s="2" t="s">
        <v>530</v>
      </c>
      <c r="CB809" s="2" t="s">
        <v>3390</v>
      </c>
      <c r="CC809" s="2" t="s">
        <v>248</v>
      </c>
      <c r="CD809" s="2" t="s">
        <v>248</v>
      </c>
      <c r="CE809" s="2" t="s">
        <v>235</v>
      </c>
      <c r="CF809" s="4">
        <v>942</v>
      </c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>
        <v>942</v>
      </c>
      <c r="GE809" s="4">
        <v>934</v>
      </c>
      <c r="GF809" s="4">
        <v>930</v>
      </c>
      <c r="GG809" s="4">
        <v>926</v>
      </c>
      <c r="GH809" s="4">
        <v>916</v>
      </c>
      <c r="GI809" s="4">
        <v>899</v>
      </c>
      <c r="GJ809" s="4">
        <v>872</v>
      </c>
      <c r="GK809" s="4">
        <v>855</v>
      </c>
      <c r="GL809" s="4">
        <v>839</v>
      </c>
      <c r="GM809" s="4">
        <v>826</v>
      </c>
      <c r="GN809" s="4">
        <v>809</v>
      </c>
      <c r="GO809" s="4">
        <v>788</v>
      </c>
      <c r="GP809" s="4">
        <v>760</v>
      </c>
      <c r="GQ809" s="4">
        <v>708</v>
      </c>
      <c r="GR809" s="4">
        <v>683</v>
      </c>
      <c r="GS809" s="4">
        <v>659</v>
      </c>
      <c r="GT809" s="4">
        <v>643</v>
      </c>
      <c r="GU809" s="4">
        <v>631</v>
      </c>
      <c r="GV809" s="4">
        <v>617</v>
      </c>
      <c r="GW809" s="4">
        <v>606</v>
      </c>
      <c r="GX809" s="4">
        <v>598</v>
      </c>
      <c r="GY809" s="4">
        <v>591</v>
      </c>
      <c r="GZ809" s="4">
        <v>583</v>
      </c>
      <c r="HA809" s="4">
        <v>575</v>
      </c>
      <c r="HB809" s="4">
        <v>567</v>
      </c>
      <c r="HC809" s="4">
        <v>559</v>
      </c>
      <c r="HD809" s="19">
        <v>157</v>
      </c>
      <c r="HE809" s="19">
        <v>103.8</v>
      </c>
      <c r="HF809" s="19">
        <v>66.4</v>
      </c>
      <c r="HG809" s="19">
        <v>51.4</v>
      </c>
      <c r="HH809" s="19">
        <v>48.2</v>
      </c>
      <c r="HI809" s="19">
        <v>49.9</v>
      </c>
      <c r="HJ809" s="19">
        <v>54.5</v>
      </c>
      <c r="HK809" s="19">
        <v>50.3</v>
      </c>
      <c r="HL809" s="19">
        <v>42</v>
      </c>
      <c r="HM809" s="19">
        <v>27.5</v>
      </c>
      <c r="HN809" s="19">
        <v>25.3</v>
      </c>
      <c r="HO809" s="19">
        <v>24.6</v>
      </c>
      <c r="HP809" s="19">
        <v>26.2</v>
      </c>
      <c r="HQ809" s="19">
        <v>37.3</v>
      </c>
      <c r="HR809" s="19">
        <v>42.7</v>
      </c>
      <c r="HS809" s="19">
        <v>50.7</v>
      </c>
      <c r="HT809" s="19">
        <v>58.5</v>
      </c>
      <c r="HU809" s="19">
        <v>63.1</v>
      </c>
      <c r="HV809" s="19">
        <v>77.1</v>
      </c>
      <c r="HW809" s="19">
        <v>75.8</v>
      </c>
      <c r="HX809" s="19">
        <v>74.8</v>
      </c>
      <c r="HY809" s="19">
        <v>73.9</v>
      </c>
      <c r="HZ809" s="19">
        <v>72.9</v>
      </c>
      <c r="IA809" s="19">
        <v>82.1</v>
      </c>
      <c r="IB809" s="19">
        <v>94.5</v>
      </c>
      <c r="IC809" s="19">
        <v>93.2</v>
      </c>
    </row>
    <row r="810">
      <c r="A810" s="2" t="s">
        <v>3393</v>
      </c>
      <c r="B810" s="2" t="s">
        <v>323</v>
      </c>
      <c r="C810" s="2" t="s">
        <v>1036</v>
      </c>
      <c r="D810" s="2" t="s">
        <v>257</v>
      </c>
      <c r="E810" s="2" t="s">
        <v>258</v>
      </c>
      <c r="F810" s="2" t="s">
        <v>3098</v>
      </c>
      <c r="G810" s="2" t="s">
        <v>3098</v>
      </c>
      <c r="H810" s="2" t="s">
        <v>3098</v>
      </c>
      <c r="I810" s="2" t="s">
        <v>3099</v>
      </c>
      <c r="J810" s="2" t="s">
        <v>270</v>
      </c>
      <c r="K810" s="2" t="s">
        <v>3045</v>
      </c>
      <c r="L810" s="3">
        <v>27.39</v>
      </c>
      <c r="M810" s="3">
        <v>28.76</v>
      </c>
      <c r="N810" s="3">
        <v>62.99</v>
      </c>
      <c r="O810" s="2" t="s">
        <v>232</v>
      </c>
      <c r="P810" s="2" t="s">
        <v>233</v>
      </c>
      <c r="Q810" s="2" t="s">
        <v>234</v>
      </c>
      <c r="R810" s="2" t="s">
        <v>235</v>
      </c>
      <c r="S810" s="2" t="s">
        <v>3389</v>
      </c>
      <c r="T810" s="2" t="s">
        <v>2908</v>
      </c>
      <c r="U810" s="2" t="s">
        <v>235</v>
      </c>
      <c r="V810" s="2" t="s">
        <v>1222</v>
      </c>
      <c r="W810" s="2" t="s">
        <v>239</v>
      </c>
      <c r="X810" s="2" t="s">
        <v>235</v>
      </c>
      <c r="Y810" s="2" t="s">
        <v>240</v>
      </c>
      <c r="Z810" s="4">
        <v>575</v>
      </c>
      <c r="AA810" s="4">
        <f>=ROUNDDOWN(63.8888888888889,0)</f>
      </c>
      <c r="AB810" s="5">
        <v>9</v>
      </c>
      <c r="AC810" s="2" t="s">
        <v>235</v>
      </c>
      <c r="AD810" s="4"/>
      <c r="AE810" s="4"/>
      <c r="AF810" s="6">
        <v>73</v>
      </c>
      <c r="AG810" s="6"/>
      <c r="AH810" s="7">
        <v>1</v>
      </c>
      <c r="AI810" s="4"/>
      <c r="AJ810" s="4">
        <f>=ROUNDDOWN({0},0)</f>
      </c>
      <c r="AK810" s="5"/>
      <c r="AL810" s="2" t="s">
        <v>235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235</v>
      </c>
      <c r="AW810" s="8" t="s">
        <v>235</v>
      </c>
      <c r="AX810" s="4" t="s">
        <v>235</v>
      </c>
      <c r="AY810" s="8" t="s">
        <v>235</v>
      </c>
      <c r="AZ810" s="7" t="s">
        <v>235</v>
      </c>
      <c r="BA810" s="7" t="s">
        <v>235</v>
      </c>
      <c r="BB810" s="7"/>
      <c r="BC810" s="4" t="s">
        <v>235</v>
      </c>
      <c r="BD810" s="8" t="s">
        <v>235</v>
      </c>
      <c r="BE810" s="4" t="s">
        <v>235</v>
      </c>
      <c r="BF810" s="8" t="s">
        <v>235</v>
      </c>
      <c r="BG810" s="7" t="s">
        <v>235</v>
      </c>
      <c r="BH810" s="7" t="s">
        <v>235</v>
      </c>
      <c r="BI810" s="7"/>
      <c r="BJ810" s="4">
        <v>4</v>
      </c>
      <c r="BK810" s="8">
        <v>115.52</v>
      </c>
      <c r="BL810" s="2" t="s">
        <v>3303</v>
      </c>
      <c r="BM810" s="7"/>
      <c r="BN810" s="7"/>
      <c r="BO810" s="4"/>
      <c r="BP810" s="8"/>
      <c r="BQ810" s="4"/>
      <c r="BR810" s="8"/>
      <c r="BS810" s="7"/>
      <c r="BT810" s="7"/>
      <c r="BU810" s="2" t="s">
        <v>3105</v>
      </c>
      <c r="BV810" s="2" t="s">
        <v>243</v>
      </c>
      <c r="BW810" s="2" t="s">
        <v>235</v>
      </c>
      <c r="BX810" s="2" t="s">
        <v>383</v>
      </c>
      <c r="BY810" s="2" t="s">
        <v>245</v>
      </c>
      <c r="BZ810" s="2" t="s">
        <v>232</v>
      </c>
      <c r="CA810" s="2" t="s">
        <v>530</v>
      </c>
      <c r="CB810" s="2" t="s">
        <v>3394</v>
      </c>
      <c r="CC810" s="2" t="s">
        <v>248</v>
      </c>
      <c r="CD810" s="2" t="s">
        <v>248</v>
      </c>
      <c r="CE810" s="2" t="s">
        <v>235</v>
      </c>
      <c r="CF810" s="4">
        <v>575</v>
      </c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>
        <v>595</v>
      </c>
      <c r="GE810" s="4">
        <v>578</v>
      </c>
      <c r="GF810" s="4">
        <v>575</v>
      </c>
      <c r="GG810" s="4">
        <v>572</v>
      </c>
      <c r="GH810" s="4">
        <v>565</v>
      </c>
      <c r="GI810" s="4">
        <v>550</v>
      </c>
      <c r="GJ810" s="4">
        <v>525</v>
      </c>
      <c r="GK810" s="4">
        <v>510</v>
      </c>
      <c r="GL810" s="4">
        <v>496</v>
      </c>
      <c r="GM810" s="4">
        <v>485</v>
      </c>
      <c r="GN810" s="4">
        <v>471</v>
      </c>
      <c r="GO810" s="4">
        <v>454</v>
      </c>
      <c r="GP810" s="4">
        <v>432</v>
      </c>
      <c r="GQ810" s="4">
        <v>393</v>
      </c>
      <c r="GR810" s="4">
        <v>374</v>
      </c>
      <c r="GS810" s="4">
        <v>355</v>
      </c>
      <c r="GT810" s="4">
        <v>342</v>
      </c>
      <c r="GU810" s="4">
        <v>332</v>
      </c>
      <c r="GV810" s="4">
        <v>321</v>
      </c>
      <c r="GW810" s="4">
        <v>312</v>
      </c>
      <c r="GX810" s="4">
        <v>305</v>
      </c>
      <c r="GY810" s="4">
        <v>299</v>
      </c>
      <c r="GZ810" s="4">
        <v>293</v>
      </c>
      <c r="HA810" s="4">
        <v>287</v>
      </c>
      <c r="HB810" s="4">
        <v>281</v>
      </c>
      <c r="HC810" s="4">
        <v>275</v>
      </c>
      <c r="HD810" s="19">
        <v>74.4</v>
      </c>
      <c r="HE810" s="19">
        <v>82.6</v>
      </c>
      <c r="HF810" s="19">
        <v>47.9</v>
      </c>
      <c r="HG810" s="19">
        <v>35.8</v>
      </c>
      <c r="HH810" s="19">
        <v>33.2</v>
      </c>
      <c r="HI810" s="19">
        <v>34.4</v>
      </c>
      <c r="HJ810" s="19">
        <v>37.5</v>
      </c>
      <c r="HK810" s="19">
        <v>36.4</v>
      </c>
      <c r="HL810" s="19">
        <v>31</v>
      </c>
      <c r="HM810" s="19">
        <v>21.1</v>
      </c>
      <c r="HN810" s="19">
        <v>19.6</v>
      </c>
      <c r="HO810" s="19">
        <v>18.2</v>
      </c>
      <c r="HP810" s="19">
        <v>19.6</v>
      </c>
      <c r="HQ810" s="19">
        <v>26.2</v>
      </c>
      <c r="HR810" s="19">
        <v>28.8</v>
      </c>
      <c r="HS810" s="19">
        <v>32.3</v>
      </c>
      <c r="HT810" s="19">
        <v>38</v>
      </c>
      <c r="HU810" s="19">
        <v>41.5</v>
      </c>
      <c r="HV810" s="19">
        <v>45.9</v>
      </c>
      <c r="HW810" s="19">
        <v>52</v>
      </c>
      <c r="HX810" s="19">
        <v>50.8</v>
      </c>
      <c r="HY810" s="19">
        <v>49.8</v>
      </c>
      <c r="HZ810" s="19">
        <v>48.8</v>
      </c>
      <c r="IA810" s="19">
        <v>47.8</v>
      </c>
      <c r="IB810" s="19">
        <v>56.2</v>
      </c>
      <c r="IC810" s="19">
        <v>68.8</v>
      </c>
    </row>
    <row r="811">
      <c r="A811" s="2" t="s">
        <v>3395</v>
      </c>
      <c r="B811" s="2" t="s">
        <v>323</v>
      </c>
      <c r="C811" s="2" t="s">
        <v>1036</v>
      </c>
      <c r="D811" s="2" t="s">
        <v>257</v>
      </c>
      <c r="E811" s="2" t="s">
        <v>258</v>
      </c>
      <c r="F811" s="2" t="s">
        <v>3098</v>
      </c>
      <c r="G811" s="2" t="s">
        <v>3098</v>
      </c>
      <c r="H811" s="2" t="s">
        <v>3098</v>
      </c>
      <c r="I811" s="2" t="s">
        <v>3099</v>
      </c>
      <c r="J811" s="2" t="s">
        <v>272</v>
      </c>
      <c r="K811" s="2" t="s">
        <v>3045</v>
      </c>
      <c r="L811" s="3">
        <v>27.39</v>
      </c>
      <c r="M811" s="3">
        <v>28.76</v>
      </c>
      <c r="N811" s="3">
        <v>62.99</v>
      </c>
      <c r="O811" s="2" t="s">
        <v>232</v>
      </c>
      <c r="P811" s="2" t="s">
        <v>233</v>
      </c>
      <c r="Q811" s="2" t="s">
        <v>234</v>
      </c>
      <c r="R811" s="2" t="s">
        <v>235</v>
      </c>
      <c r="S811" s="2" t="s">
        <v>3389</v>
      </c>
      <c r="T811" s="2" t="s">
        <v>2908</v>
      </c>
      <c r="U811" s="2" t="s">
        <v>235</v>
      </c>
      <c r="V811" s="2" t="s">
        <v>1222</v>
      </c>
      <c r="W811" s="2" t="s">
        <v>239</v>
      </c>
      <c r="X811" s="2" t="s">
        <v>235</v>
      </c>
      <c r="Y811" s="2" t="s">
        <v>3383</v>
      </c>
      <c r="Z811" s="4">
        <v>446</v>
      </c>
      <c r="AA811" s="4">
        <f>=ROUNDDOWN(34.3076923076923,0)</f>
      </c>
      <c r="AB811" s="5">
        <v>13</v>
      </c>
      <c r="AC811" s="2" t="s">
        <v>2503</v>
      </c>
      <c r="AD811" s="4">
        <v>3</v>
      </c>
      <c r="AE811" s="4">
        <v>194</v>
      </c>
      <c r="AF811" s="6">
        <v>73</v>
      </c>
      <c r="AG811" s="6"/>
      <c r="AH811" s="7">
        <v>1</v>
      </c>
      <c r="AI811" s="4"/>
      <c r="AJ811" s="4">
        <f>=ROUNDDOWN({0},0)</f>
      </c>
      <c r="AK811" s="5"/>
      <c r="AL811" s="2" t="s">
        <v>235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235</v>
      </c>
      <c r="AW811" s="8" t="s">
        <v>235</v>
      </c>
      <c r="AX811" s="4" t="s">
        <v>235</v>
      </c>
      <c r="AY811" s="8" t="s">
        <v>235</v>
      </c>
      <c r="AZ811" s="7" t="s">
        <v>235</v>
      </c>
      <c r="BA811" s="7" t="s">
        <v>235</v>
      </c>
      <c r="BB811" s="7"/>
      <c r="BC811" s="4" t="s">
        <v>235</v>
      </c>
      <c r="BD811" s="8" t="s">
        <v>235</v>
      </c>
      <c r="BE811" s="4" t="s">
        <v>235</v>
      </c>
      <c r="BF811" s="8" t="s">
        <v>235</v>
      </c>
      <c r="BG811" s="7" t="s">
        <v>235</v>
      </c>
      <c r="BH811" s="7" t="s">
        <v>235</v>
      </c>
      <c r="BI811" s="7"/>
      <c r="BJ811" s="4">
        <v>1</v>
      </c>
      <c r="BK811" s="8">
        <v>30.2</v>
      </c>
      <c r="BL811" s="2" t="s">
        <v>1254</v>
      </c>
      <c r="BM811" s="7"/>
      <c r="BN811" s="7"/>
      <c r="BO811" s="4"/>
      <c r="BP811" s="8"/>
      <c r="BQ811" s="4"/>
      <c r="BR811" s="8"/>
      <c r="BS811" s="7"/>
      <c r="BT811" s="7"/>
      <c r="BU811" s="2" t="s">
        <v>3105</v>
      </c>
      <c r="BV811" s="2" t="s">
        <v>243</v>
      </c>
      <c r="BW811" s="2" t="s">
        <v>235</v>
      </c>
      <c r="BX811" s="2" t="s">
        <v>383</v>
      </c>
      <c r="BY811" s="2" t="s">
        <v>245</v>
      </c>
      <c r="BZ811" s="2" t="s">
        <v>232</v>
      </c>
      <c r="CA811" s="2" t="s">
        <v>530</v>
      </c>
      <c r="CB811" s="2" t="s">
        <v>3396</v>
      </c>
      <c r="CC811" s="2" t="s">
        <v>248</v>
      </c>
      <c r="CD811" s="2" t="s">
        <v>248</v>
      </c>
      <c r="CE811" s="2" t="s">
        <v>235</v>
      </c>
      <c r="CF811" s="4">
        <v>446</v>
      </c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>
        <v>3</v>
      </c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>
        <v>67</v>
      </c>
      <c r="EK811" s="4"/>
      <c r="EL811" s="4"/>
      <c r="EM811" s="4"/>
      <c r="EN811" s="4"/>
      <c r="EO811" s="4"/>
      <c r="EP811" s="4"/>
      <c r="EQ811" s="4">
        <v>124</v>
      </c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>
        <v>446</v>
      </c>
      <c r="GE811" s="4">
        <v>408</v>
      </c>
      <c r="GF811" s="4">
        <v>400</v>
      </c>
      <c r="GG811" s="4">
        <v>384</v>
      </c>
      <c r="GH811" s="4">
        <v>364</v>
      </c>
      <c r="GI811" s="4">
        <v>332</v>
      </c>
      <c r="GJ811" s="4">
        <v>272</v>
      </c>
      <c r="GK811" s="4">
        <v>242</v>
      </c>
      <c r="GL811" s="4">
        <v>213</v>
      </c>
      <c r="GM811" s="4">
        <v>260</v>
      </c>
      <c r="GN811" s="4">
        <v>366</v>
      </c>
      <c r="GO811" s="4">
        <v>344</v>
      </c>
      <c r="GP811" s="4">
        <v>322</v>
      </c>
      <c r="GQ811" s="4">
        <v>290</v>
      </c>
      <c r="GR811" s="4">
        <v>273</v>
      </c>
      <c r="GS811" s="4">
        <v>256</v>
      </c>
      <c r="GT811" s="4">
        <v>243</v>
      </c>
      <c r="GU811" s="4">
        <v>232</v>
      </c>
      <c r="GV811" s="4">
        <v>220</v>
      </c>
      <c r="GW811" s="4">
        <v>211</v>
      </c>
      <c r="GX811" s="4">
        <v>203</v>
      </c>
      <c r="GY811" s="4">
        <v>196</v>
      </c>
      <c r="GZ811" s="4">
        <v>188</v>
      </c>
      <c r="HA811" s="4">
        <v>180</v>
      </c>
      <c r="HB811" s="4">
        <v>172</v>
      </c>
      <c r="HC811" s="4">
        <v>164</v>
      </c>
      <c r="HD811" s="19">
        <v>21.2</v>
      </c>
      <c r="HE811" s="19">
        <v>20.4</v>
      </c>
      <c r="HF811" s="19">
        <v>12.5</v>
      </c>
      <c r="HG811" s="19">
        <v>10.7</v>
      </c>
      <c r="HH811" s="19">
        <v>9.6</v>
      </c>
      <c r="HI811" s="19">
        <v>9.5</v>
      </c>
      <c r="HJ811" s="19">
        <v>11.3</v>
      </c>
      <c r="HK811" s="19">
        <v>11</v>
      </c>
      <c r="HL811" s="19">
        <v>10.7</v>
      </c>
      <c r="HM811" s="19">
        <v>10.8</v>
      </c>
      <c r="HN811" s="19">
        <v>15.9</v>
      </c>
      <c r="HO811" s="19">
        <v>15.6</v>
      </c>
      <c r="HP811" s="19">
        <v>16.1</v>
      </c>
      <c r="HQ811" s="19">
        <v>20.7</v>
      </c>
      <c r="HR811" s="19">
        <v>21</v>
      </c>
      <c r="HS811" s="19">
        <v>23.3</v>
      </c>
      <c r="HT811" s="19">
        <v>24.3</v>
      </c>
      <c r="HU811" s="19">
        <v>25.8</v>
      </c>
      <c r="HV811" s="19">
        <v>27.5</v>
      </c>
      <c r="HW811" s="19">
        <v>26.4</v>
      </c>
      <c r="HX811" s="19">
        <v>25.4</v>
      </c>
      <c r="HY811" s="19">
        <v>24.5</v>
      </c>
      <c r="HZ811" s="19">
        <v>23.5</v>
      </c>
      <c r="IA811" s="19">
        <v>22.5</v>
      </c>
      <c r="IB811" s="19">
        <v>24.6</v>
      </c>
      <c r="IC811" s="19">
        <v>27.3</v>
      </c>
    </row>
    <row r="812">
      <c r="A812" s="2" t="s">
        <v>3397</v>
      </c>
      <c r="B812" s="2" t="s">
        <v>323</v>
      </c>
      <c r="C812" s="2" t="s">
        <v>1036</v>
      </c>
      <c r="D812" s="2" t="s">
        <v>257</v>
      </c>
      <c r="E812" s="2" t="s">
        <v>258</v>
      </c>
      <c r="F812" s="2" t="s">
        <v>3098</v>
      </c>
      <c r="G812" s="2" t="s">
        <v>3098</v>
      </c>
      <c r="H812" s="2" t="s">
        <v>3098</v>
      </c>
      <c r="I812" s="2" t="s">
        <v>3099</v>
      </c>
      <c r="J812" s="2" t="s">
        <v>270</v>
      </c>
      <c r="K812" s="2" t="s">
        <v>3398</v>
      </c>
      <c r="L812" s="3">
        <v>27.39</v>
      </c>
      <c r="M812" s="3">
        <v>28.76</v>
      </c>
      <c r="N812" s="3">
        <v>62.99</v>
      </c>
      <c r="O812" s="2" t="s">
        <v>485</v>
      </c>
      <c r="P812" s="2" t="s">
        <v>408</v>
      </c>
      <c r="Q812" s="2" t="s">
        <v>234</v>
      </c>
      <c r="R812" s="2" t="s">
        <v>235</v>
      </c>
      <c r="S812" s="2" t="s">
        <v>3399</v>
      </c>
      <c r="T812" s="2" t="s">
        <v>2908</v>
      </c>
      <c r="U812" s="2" t="s">
        <v>264</v>
      </c>
      <c r="V812" s="2" t="s">
        <v>2182</v>
      </c>
      <c r="W812" s="2" t="s">
        <v>239</v>
      </c>
      <c r="X812" s="2" t="s">
        <v>1157</v>
      </c>
      <c r="Y812" s="2" t="s">
        <v>3135</v>
      </c>
      <c r="Z812" s="4">
        <v>59</v>
      </c>
      <c r="AA812" s="4">
        <f>=ROUNDDOWN(42.1428571428571,0)</f>
      </c>
      <c r="AB812" s="5">
        <v>1.4</v>
      </c>
      <c r="AC812" s="2" t="s">
        <v>235</v>
      </c>
      <c r="AD812" s="4"/>
      <c r="AE812" s="4"/>
      <c r="AF812" s="6">
        <v>78</v>
      </c>
      <c r="AG812" s="6"/>
      <c r="AH812" s="7">
        <v>1</v>
      </c>
      <c r="AI812" s="4"/>
      <c r="AJ812" s="4">
        <f>=ROUNDDOWN({0},0)</f>
      </c>
      <c r="AK812" s="5"/>
      <c r="AL812" s="2" t="s">
        <v>235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235</v>
      </c>
      <c r="BD812" s="8" t="s">
        <v>235</v>
      </c>
      <c r="BE812" s="4" t="s">
        <v>235</v>
      </c>
      <c r="BF812" s="8" t="s">
        <v>235</v>
      </c>
      <c r="BG812" s="7" t="s">
        <v>235</v>
      </c>
      <c r="BH812" s="7" t="s">
        <v>235</v>
      </c>
      <c r="BI812" s="7"/>
      <c r="BJ812" s="4">
        <v>4</v>
      </c>
      <c r="BK812" s="8">
        <v>118.99</v>
      </c>
      <c r="BL812" s="2" t="s">
        <v>3400</v>
      </c>
      <c r="BM812" s="7"/>
      <c r="BN812" s="7"/>
      <c r="BO812" s="4"/>
      <c r="BP812" s="8"/>
      <c r="BQ812" s="4"/>
      <c r="BR812" s="8"/>
      <c r="BS812" s="7"/>
      <c r="BT812" s="7"/>
      <c r="BU812" s="2" t="s">
        <v>3105</v>
      </c>
      <c r="BV812" s="2" t="s">
        <v>243</v>
      </c>
      <c r="BW812" s="2" t="s">
        <v>235</v>
      </c>
      <c r="BX812" s="2" t="s">
        <v>414</v>
      </c>
      <c r="BY812" s="2" t="s">
        <v>245</v>
      </c>
      <c r="BZ812" s="2" t="s">
        <v>232</v>
      </c>
      <c r="CA812" s="2" t="s">
        <v>675</v>
      </c>
      <c r="CB812" s="2" t="s">
        <v>3401</v>
      </c>
      <c r="CC812" s="2" t="s">
        <v>492</v>
      </c>
      <c r="CD812" s="2" t="s">
        <v>248</v>
      </c>
      <c r="CE812" s="2" t="s">
        <v>235</v>
      </c>
      <c r="CF812" s="4">
        <v>59</v>
      </c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>
        <v>59</v>
      </c>
      <c r="GE812" s="4">
        <v>55</v>
      </c>
      <c r="GF812" s="4">
        <v>55</v>
      </c>
      <c r="GG812" s="4">
        <v>55</v>
      </c>
      <c r="GH812" s="4">
        <v>55</v>
      </c>
      <c r="GI812" s="4">
        <v>54</v>
      </c>
      <c r="GJ812" s="4">
        <v>53</v>
      </c>
      <c r="GK812" s="4">
        <v>52</v>
      </c>
      <c r="GL812" s="4">
        <v>51</v>
      </c>
      <c r="GM812" s="4">
        <v>50</v>
      </c>
      <c r="GN812" s="4">
        <v>48</v>
      </c>
      <c r="GO812" s="4">
        <v>46</v>
      </c>
      <c r="GP812" s="4">
        <v>43</v>
      </c>
      <c r="GQ812" s="4">
        <v>37</v>
      </c>
      <c r="GR812" s="4">
        <v>34</v>
      </c>
      <c r="GS812" s="4">
        <v>30</v>
      </c>
      <c r="GT812" s="4">
        <v>27</v>
      </c>
      <c r="GU812" s="4">
        <v>25</v>
      </c>
      <c r="GV812" s="4">
        <v>22</v>
      </c>
      <c r="GW812" s="4">
        <v>20</v>
      </c>
      <c r="GX812" s="4">
        <v>18</v>
      </c>
      <c r="GY812" s="4">
        <v>16</v>
      </c>
      <c r="GZ812" s="4">
        <v>15</v>
      </c>
      <c r="HA812" s="4">
        <v>14</v>
      </c>
      <c r="HB812" s="4">
        <v>13</v>
      </c>
      <c r="HC812" s="4">
        <v>12</v>
      </c>
      <c r="HD812" s="19">
        <v>59</v>
      </c>
      <c r="HE812" s="9"/>
      <c r="HF812" s="9"/>
      <c r="HG812" s="19">
        <v>55</v>
      </c>
      <c r="HH812" s="19">
        <v>55</v>
      </c>
      <c r="HI812" s="19">
        <v>54</v>
      </c>
      <c r="HJ812" s="19">
        <v>53</v>
      </c>
      <c r="HK812" s="19">
        <v>26</v>
      </c>
      <c r="HL812" s="19">
        <v>25.5</v>
      </c>
      <c r="HM812" s="19">
        <v>16.7</v>
      </c>
      <c r="HN812" s="19">
        <v>12</v>
      </c>
      <c r="HO812" s="19">
        <v>11.5</v>
      </c>
      <c r="HP812" s="19">
        <v>10.8</v>
      </c>
      <c r="HQ812" s="19">
        <v>12.3</v>
      </c>
      <c r="HR812" s="19">
        <v>11.3</v>
      </c>
      <c r="HS812" s="19">
        <v>15</v>
      </c>
      <c r="HT812" s="19">
        <v>13.5</v>
      </c>
      <c r="HU812" s="19">
        <v>12.5</v>
      </c>
      <c r="HV812" s="19">
        <v>11</v>
      </c>
      <c r="HW812" s="19">
        <v>10</v>
      </c>
      <c r="HX812" s="19">
        <v>18</v>
      </c>
      <c r="HY812" s="19">
        <v>16</v>
      </c>
      <c r="HZ812" s="19">
        <v>15</v>
      </c>
      <c r="IA812" s="19">
        <v>14</v>
      </c>
      <c r="IB812" s="19">
        <v>13</v>
      </c>
      <c r="IC812" s="20">
        <v>0</v>
      </c>
    </row>
    <row r="813">
      <c r="A813" s="2" t="s">
        <v>3402</v>
      </c>
      <c r="B813" s="2" t="s">
        <v>323</v>
      </c>
      <c r="C813" s="2" t="s">
        <v>1036</v>
      </c>
      <c r="D813" s="2" t="s">
        <v>257</v>
      </c>
      <c r="E813" s="2" t="s">
        <v>258</v>
      </c>
      <c r="F813" s="2" t="s">
        <v>3098</v>
      </c>
      <c r="G813" s="2" t="s">
        <v>3098</v>
      </c>
      <c r="H813" s="2" t="s">
        <v>3098</v>
      </c>
      <c r="I813" s="2" t="s">
        <v>2906</v>
      </c>
      <c r="J813" s="2" t="s">
        <v>394</v>
      </c>
      <c r="K813" s="2" t="s">
        <v>3403</v>
      </c>
      <c r="L813" s="3">
        <v>14.89</v>
      </c>
      <c r="M813" s="3">
        <v>15.63</v>
      </c>
      <c r="N813" s="3">
        <v>31.99</v>
      </c>
      <c r="O813" s="2" t="s">
        <v>232</v>
      </c>
      <c r="P813" s="2" t="s">
        <v>878</v>
      </c>
      <c r="Q813" s="2" t="s">
        <v>234</v>
      </c>
      <c r="R813" s="2" t="s">
        <v>235</v>
      </c>
      <c r="S813" s="2" t="s">
        <v>235</v>
      </c>
      <c r="T813" s="2" t="s">
        <v>2908</v>
      </c>
      <c r="U813" s="2" t="s">
        <v>552</v>
      </c>
      <c r="V813" s="2" t="s">
        <v>2182</v>
      </c>
      <c r="W813" s="2" t="s">
        <v>329</v>
      </c>
      <c r="X813" s="2" t="s">
        <v>235</v>
      </c>
      <c r="Y813" s="2" t="s">
        <v>235</v>
      </c>
      <c r="Z813" s="4"/>
      <c r="AA813" s="4">
        <f>=ROUNDDOWN({0},0)</f>
      </c>
      <c r="AB813" s="5"/>
      <c r="AC813" s="2" t="s">
        <v>235</v>
      </c>
      <c r="AD813" s="4"/>
      <c r="AE813" s="4"/>
      <c r="AF813" s="6">
        <v>77</v>
      </c>
      <c r="AG813" s="6"/>
      <c r="AH813" s="7"/>
      <c r="AI813" s="4"/>
      <c r="AJ813" s="4">
        <f>=ROUNDDOWN({0},0)</f>
      </c>
      <c r="AK813" s="5"/>
      <c r="AL813" s="2" t="s">
        <v>235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235</v>
      </c>
      <c r="AW813" s="8" t="s">
        <v>235</v>
      </c>
      <c r="AX813" s="4" t="s">
        <v>235</v>
      </c>
      <c r="AY813" s="8" t="s">
        <v>235</v>
      </c>
      <c r="AZ813" s="7" t="s">
        <v>235</v>
      </c>
      <c r="BA813" s="7" t="s">
        <v>235</v>
      </c>
      <c r="BB813" s="7"/>
      <c r="BC813" s="4" t="s">
        <v>235</v>
      </c>
      <c r="BD813" s="8" t="s">
        <v>235</v>
      </c>
      <c r="BE813" s="4" t="s">
        <v>235</v>
      </c>
      <c r="BF813" s="8" t="s">
        <v>235</v>
      </c>
      <c r="BG813" s="7" t="s">
        <v>235</v>
      </c>
      <c r="BH813" s="7" t="s">
        <v>235</v>
      </c>
      <c r="BI813" s="7"/>
      <c r="BJ813" s="4"/>
      <c r="BK813" s="8"/>
      <c r="BL813" s="2" t="s">
        <v>235</v>
      </c>
      <c r="BM813" s="7"/>
      <c r="BN813" s="7"/>
      <c r="BO813" s="4"/>
      <c r="BP813" s="8"/>
      <c r="BQ813" s="4"/>
      <c r="BR813" s="8"/>
      <c r="BS813" s="7"/>
      <c r="BT813" s="7"/>
      <c r="BU813" s="2" t="s">
        <v>330</v>
      </c>
      <c r="BV813" s="2" t="s">
        <v>235</v>
      </c>
      <c r="BW813" s="2" t="s">
        <v>235</v>
      </c>
      <c r="BX813" s="2" t="s">
        <v>330</v>
      </c>
      <c r="BY813" s="2" t="s">
        <v>331</v>
      </c>
      <c r="BZ813" s="2" t="s">
        <v>232</v>
      </c>
      <c r="CA813" s="2" t="s">
        <v>235</v>
      </c>
      <c r="CB813" s="2" t="s">
        <v>235</v>
      </c>
      <c r="CC813" s="2" t="s">
        <v>248</v>
      </c>
      <c r="CD813" s="2" t="s">
        <v>248</v>
      </c>
      <c r="CE813" s="2" t="s">
        <v>235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</row>
    <row r="814">
      <c r="A814" s="2" t="s">
        <v>3404</v>
      </c>
      <c r="B814" s="2" t="s">
        <v>323</v>
      </c>
      <c r="C814" s="2" t="s">
        <v>1036</v>
      </c>
      <c r="D814" s="2" t="s">
        <v>257</v>
      </c>
      <c r="E814" s="2" t="s">
        <v>258</v>
      </c>
      <c r="F814" s="2" t="s">
        <v>3098</v>
      </c>
      <c r="G814" s="2" t="s">
        <v>3098</v>
      </c>
      <c r="H814" s="2" t="s">
        <v>3098</v>
      </c>
      <c r="I814" s="2" t="s">
        <v>2906</v>
      </c>
      <c r="J814" s="2" t="s">
        <v>230</v>
      </c>
      <c r="K814" s="2" t="s">
        <v>3403</v>
      </c>
      <c r="L814" s="3">
        <v>16.16</v>
      </c>
      <c r="M814" s="3">
        <v>16.97</v>
      </c>
      <c r="N814" s="3">
        <v>34.99</v>
      </c>
      <c r="O814" s="2" t="s">
        <v>232</v>
      </c>
      <c r="P814" s="2" t="s">
        <v>878</v>
      </c>
      <c r="Q814" s="2" t="s">
        <v>234</v>
      </c>
      <c r="R814" s="2" t="s">
        <v>235</v>
      </c>
      <c r="S814" s="2" t="s">
        <v>235</v>
      </c>
      <c r="T814" s="2" t="s">
        <v>2908</v>
      </c>
      <c r="U814" s="2" t="s">
        <v>552</v>
      </c>
      <c r="V814" s="2" t="s">
        <v>2182</v>
      </c>
      <c r="W814" s="2" t="s">
        <v>329</v>
      </c>
      <c r="X814" s="2" t="s">
        <v>235</v>
      </c>
      <c r="Y814" s="2" t="s">
        <v>235</v>
      </c>
      <c r="Z814" s="4"/>
      <c r="AA814" s="4">
        <f>=ROUNDDOWN({0},0)</f>
      </c>
      <c r="AB814" s="5"/>
      <c r="AC814" s="2" t="s">
        <v>235</v>
      </c>
      <c r="AD814" s="4"/>
      <c r="AE814" s="4"/>
      <c r="AF814" s="6">
        <v>77</v>
      </c>
      <c r="AG814" s="6"/>
      <c r="AH814" s="7"/>
      <c r="AI814" s="4"/>
      <c r="AJ814" s="4">
        <f>=ROUNDDOWN({0},0)</f>
      </c>
      <c r="AK814" s="5"/>
      <c r="AL814" s="2" t="s">
        <v>235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235</v>
      </c>
      <c r="AW814" s="8" t="s">
        <v>235</v>
      </c>
      <c r="AX814" s="4" t="s">
        <v>235</v>
      </c>
      <c r="AY814" s="8" t="s">
        <v>235</v>
      </c>
      <c r="AZ814" s="7" t="s">
        <v>235</v>
      </c>
      <c r="BA814" s="7" t="s">
        <v>235</v>
      </c>
      <c r="BB814" s="7"/>
      <c r="BC814" s="4" t="s">
        <v>235</v>
      </c>
      <c r="BD814" s="8" t="s">
        <v>235</v>
      </c>
      <c r="BE814" s="4" t="s">
        <v>235</v>
      </c>
      <c r="BF814" s="8" t="s">
        <v>235</v>
      </c>
      <c r="BG814" s="7" t="s">
        <v>235</v>
      </c>
      <c r="BH814" s="7" t="s">
        <v>235</v>
      </c>
      <c r="BI814" s="7"/>
      <c r="BJ814" s="4"/>
      <c r="BK814" s="8"/>
      <c r="BL814" s="2" t="s">
        <v>235</v>
      </c>
      <c r="BM814" s="7"/>
      <c r="BN814" s="7"/>
      <c r="BO814" s="4"/>
      <c r="BP814" s="8"/>
      <c r="BQ814" s="4"/>
      <c r="BR814" s="8"/>
      <c r="BS814" s="7"/>
      <c r="BT814" s="7"/>
      <c r="BU814" s="2" t="s">
        <v>330</v>
      </c>
      <c r="BV814" s="2" t="s">
        <v>235</v>
      </c>
      <c r="BW814" s="2" t="s">
        <v>235</v>
      </c>
      <c r="BX814" s="2" t="s">
        <v>330</v>
      </c>
      <c r="BY814" s="2" t="s">
        <v>331</v>
      </c>
      <c r="BZ814" s="2" t="s">
        <v>232</v>
      </c>
      <c r="CA814" s="2" t="s">
        <v>235</v>
      </c>
      <c r="CB814" s="2" t="s">
        <v>235</v>
      </c>
      <c r="CC814" s="2" t="s">
        <v>248</v>
      </c>
      <c r="CD814" s="2" t="s">
        <v>248</v>
      </c>
      <c r="CE814" s="2" t="s">
        <v>235</v>
      </c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</row>
    <row r="815">
      <c r="A815" s="2" t="s">
        <v>3405</v>
      </c>
      <c r="B815" s="2" t="s">
        <v>323</v>
      </c>
      <c r="C815" s="2" t="s">
        <v>1036</v>
      </c>
      <c r="D815" s="2" t="s">
        <v>257</v>
      </c>
      <c r="E815" s="2" t="s">
        <v>258</v>
      </c>
      <c r="F815" s="2" t="s">
        <v>3098</v>
      </c>
      <c r="G815" s="2" t="s">
        <v>3098</v>
      </c>
      <c r="H815" s="2" t="s">
        <v>3098</v>
      </c>
      <c r="I815" s="2" t="s">
        <v>2906</v>
      </c>
      <c r="J815" s="2" t="s">
        <v>250</v>
      </c>
      <c r="K815" s="2" t="s">
        <v>3403</v>
      </c>
      <c r="L815" s="3">
        <v>20.54</v>
      </c>
      <c r="M815" s="3">
        <v>21.57</v>
      </c>
      <c r="N815" s="3">
        <v>42.99</v>
      </c>
      <c r="O815" s="2" t="s">
        <v>232</v>
      </c>
      <c r="P815" s="2" t="s">
        <v>233</v>
      </c>
      <c r="Q815" s="2" t="s">
        <v>234</v>
      </c>
      <c r="R815" s="2" t="s">
        <v>235</v>
      </c>
      <c r="S815" s="2" t="s">
        <v>235</v>
      </c>
      <c r="T815" s="2" t="s">
        <v>2908</v>
      </c>
      <c r="U815" s="2" t="s">
        <v>264</v>
      </c>
      <c r="V815" s="2" t="s">
        <v>2182</v>
      </c>
      <c r="W815" s="2" t="s">
        <v>329</v>
      </c>
      <c r="X815" s="2" t="s">
        <v>235</v>
      </c>
      <c r="Y815" s="2" t="s">
        <v>235</v>
      </c>
      <c r="Z815" s="4"/>
      <c r="AA815" s="4">
        <f>=ROUNDDOWN({0},0)</f>
      </c>
      <c r="AB815" s="5">
        <v>9</v>
      </c>
      <c r="AC815" s="2" t="s">
        <v>235</v>
      </c>
      <c r="AD815" s="4"/>
      <c r="AE815" s="4"/>
      <c r="AF815" s="6">
        <v>77</v>
      </c>
      <c r="AG815" s="6"/>
      <c r="AH815" s="7"/>
      <c r="AI815" s="4"/>
      <c r="AJ815" s="4">
        <f>=ROUNDDOWN({0},0)</f>
      </c>
      <c r="AK815" s="5"/>
      <c r="AL815" s="2" t="s">
        <v>235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235</v>
      </c>
      <c r="AW815" s="8" t="s">
        <v>235</v>
      </c>
      <c r="AX815" s="4" t="s">
        <v>235</v>
      </c>
      <c r="AY815" s="8" t="s">
        <v>235</v>
      </c>
      <c r="AZ815" s="7" t="s">
        <v>235</v>
      </c>
      <c r="BA815" s="7" t="s">
        <v>235</v>
      </c>
      <c r="BB815" s="7"/>
      <c r="BC815" s="4" t="s">
        <v>235</v>
      </c>
      <c r="BD815" s="8" t="s">
        <v>235</v>
      </c>
      <c r="BE815" s="4" t="s">
        <v>235</v>
      </c>
      <c r="BF815" s="8" t="s">
        <v>235</v>
      </c>
      <c r="BG815" s="7" t="s">
        <v>235</v>
      </c>
      <c r="BH815" s="7" t="s">
        <v>235</v>
      </c>
      <c r="BI815" s="7"/>
      <c r="BJ815" s="4"/>
      <c r="BK815" s="8"/>
      <c r="BL815" s="2" t="s">
        <v>235</v>
      </c>
      <c r="BM815" s="7"/>
      <c r="BN815" s="7"/>
      <c r="BO815" s="4"/>
      <c r="BP815" s="8"/>
      <c r="BQ815" s="4"/>
      <c r="BR815" s="8"/>
      <c r="BS815" s="7"/>
      <c r="BT815" s="7"/>
      <c r="BU815" s="2" t="s">
        <v>330</v>
      </c>
      <c r="BV815" s="2" t="s">
        <v>235</v>
      </c>
      <c r="BW815" s="2" t="s">
        <v>235</v>
      </c>
      <c r="BX815" s="2" t="s">
        <v>330</v>
      </c>
      <c r="BY815" s="2" t="s">
        <v>331</v>
      </c>
      <c r="BZ815" s="2" t="s">
        <v>232</v>
      </c>
      <c r="CA815" s="2" t="s">
        <v>235</v>
      </c>
      <c r="CB815" s="2" t="s">
        <v>235</v>
      </c>
      <c r="CC815" s="2" t="s">
        <v>248</v>
      </c>
      <c r="CD815" s="2" t="s">
        <v>248</v>
      </c>
      <c r="CE815" s="2" t="s">
        <v>235</v>
      </c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>
        <v>134</v>
      </c>
      <c r="HC815" s="4">
        <v>134</v>
      </c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19">
        <v>134</v>
      </c>
      <c r="IC815" s="19">
        <v>134</v>
      </c>
    </row>
    <row r="816">
      <c r="A816" s="2" t="s">
        <v>3406</v>
      </c>
      <c r="B816" s="2" t="s">
        <v>323</v>
      </c>
      <c r="C816" s="2" t="s">
        <v>1036</v>
      </c>
      <c r="D816" s="2" t="s">
        <v>257</v>
      </c>
      <c r="E816" s="2" t="s">
        <v>258</v>
      </c>
      <c r="F816" s="2" t="s">
        <v>3098</v>
      </c>
      <c r="G816" s="2" t="s">
        <v>3098</v>
      </c>
      <c r="H816" s="2" t="s">
        <v>3098</v>
      </c>
      <c r="I816" s="2" t="s">
        <v>2906</v>
      </c>
      <c r="J816" s="2" t="s">
        <v>261</v>
      </c>
      <c r="K816" s="2" t="s">
        <v>3403</v>
      </c>
      <c r="L816" s="3">
        <v>23.32</v>
      </c>
      <c r="M816" s="3">
        <v>24.49</v>
      </c>
      <c r="N816" s="3">
        <v>47.99</v>
      </c>
      <c r="O816" s="2" t="s">
        <v>232</v>
      </c>
      <c r="P816" s="2" t="s">
        <v>336</v>
      </c>
      <c r="Q816" s="2" t="s">
        <v>234</v>
      </c>
      <c r="R816" s="2" t="s">
        <v>235</v>
      </c>
      <c r="S816" s="2" t="s">
        <v>235</v>
      </c>
      <c r="T816" s="2" t="s">
        <v>2908</v>
      </c>
      <c r="U816" s="2" t="s">
        <v>264</v>
      </c>
      <c r="V816" s="2" t="s">
        <v>2182</v>
      </c>
      <c r="W816" s="2" t="s">
        <v>329</v>
      </c>
      <c r="X816" s="2" t="s">
        <v>235</v>
      </c>
      <c r="Y816" s="2" t="s">
        <v>266</v>
      </c>
      <c r="Z816" s="4">
        <v>261</v>
      </c>
      <c r="AA816" s="4">
        <f>=ROUNDDOWN(11.8636363636364,0)</f>
      </c>
      <c r="AB816" s="5">
        <v>22</v>
      </c>
      <c r="AC816" s="2" t="s">
        <v>2503</v>
      </c>
      <c r="AD816" s="4">
        <v>286</v>
      </c>
      <c r="AE816" s="4">
        <v>286</v>
      </c>
      <c r="AF816" s="6">
        <v>77</v>
      </c>
      <c r="AG816" s="6"/>
      <c r="AH816" s="7"/>
      <c r="AI816" s="4"/>
      <c r="AJ816" s="4">
        <f>=ROUNDDOWN({0},0)</f>
      </c>
      <c r="AK816" s="5"/>
      <c r="AL816" s="2" t="s">
        <v>235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235</v>
      </c>
      <c r="AW816" s="8" t="s">
        <v>235</v>
      </c>
      <c r="AX816" s="4" t="s">
        <v>235</v>
      </c>
      <c r="AY816" s="8" t="s">
        <v>235</v>
      </c>
      <c r="AZ816" s="7" t="s">
        <v>235</v>
      </c>
      <c r="BA816" s="7" t="s">
        <v>235</v>
      </c>
      <c r="BB816" s="7"/>
      <c r="BC816" s="4" t="s">
        <v>235</v>
      </c>
      <c r="BD816" s="8" t="s">
        <v>235</v>
      </c>
      <c r="BE816" s="4" t="s">
        <v>235</v>
      </c>
      <c r="BF816" s="8" t="s">
        <v>235</v>
      </c>
      <c r="BG816" s="7" t="s">
        <v>235</v>
      </c>
      <c r="BH816" s="7" t="s">
        <v>235</v>
      </c>
      <c r="BI816" s="7"/>
      <c r="BJ816" s="4"/>
      <c r="BK816" s="8"/>
      <c r="BL816" s="2" t="s">
        <v>235</v>
      </c>
      <c r="BM816" s="7"/>
      <c r="BN816" s="7"/>
      <c r="BO816" s="4"/>
      <c r="BP816" s="8"/>
      <c r="BQ816" s="4"/>
      <c r="BR816" s="8"/>
      <c r="BS816" s="7"/>
      <c r="BT816" s="7"/>
      <c r="BU816" s="2" t="s">
        <v>3105</v>
      </c>
      <c r="BV816" s="2" t="s">
        <v>235</v>
      </c>
      <c r="BW816" s="2" t="s">
        <v>235</v>
      </c>
      <c r="BX816" s="2" t="s">
        <v>383</v>
      </c>
      <c r="BY816" s="2" t="s">
        <v>245</v>
      </c>
      <c r="BZ816" s="2" t="s">
        <v>232</v>
      </c>
      <c r="CA816" s="2" t="s">
        <v>235</v>
      </c>
      <c r="CB816" s="2" t="s">
        <v>235</v>
      </c>
      <c r="CC816" s="2" t="s">
        <v>248</v>
      </c>
      <c r="CD816" s="2" t="s">
        <v>248</v>
      </c>
      <c r="CE816" s="2" t="s">
        <v>235</v>
      </c>
      <c r="CF816" s="4">
        <v>261</v>
      </c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>
        <v>286</v>
      </c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>
        <v>261</v>
      </c>
      <c r="GE816" s="4">
        <v>252</v>
      </c>
      <c r="GF816" s="4">
        <v>530</v>
      </c>
      <c r="GG816" s="4">
        <v>522</v>
      </c>
      <c r="GH816" s="4">
        <v>514</v>
      </c>
      <c r="GI816" s="4">
        <v>498</v>
      </c>
      <c r="GJ816" s="4">
        <v>482</v>
      </c>
      <c r="GK816" s="4">
        <v>466</v>
      </c>
      <c r="GL816" s="4">
        <v>450</v>
      </c>
      <c r="GM816" s="4">
        <v>434</v>
      </c>
      <c r="GN816" s="4">
        <v>408</v>
      </c>
      <c r="GO816" s="4">
        <v>376</v>
      </c>
      <c r="GP816" s="4">
        <v>326</v>
      </c>
      <c r="GQ816" s="4">
        <v>227</v>
      </c>
      <c r="GR816" s="4">
        <v>181</v>
      </c>
      <c r="GS816" s="4">
        <v>132</v>
      </c>
      <c r="GT816" s="4">
        <v>99</v>
      </c>
      <c r="GU816" s="4">
        <v>74</v>
      </c>
      <c r="GV816" s="4">
        <v>49</v>
      </c>
      <c r="GW816" s="4">
        <v>31</v>
      </c>
      <c r="GX816" s="4">
        <v>16</v>
      </c>
      <c r="GY816" s="4">
        <v>4</v>
      </c>
      <c r="GZ816" s="4"/>
      <c r="HA816" s="4"/>
      <c r="HB816" s="4">
        <v>255</v>
      </c>
      <c r="HC816" s="4">
        <v>237</v>
      </c>
      <c r="HD816" s="19">
        <v>32.6</v>
      </c>
      <c r="HE816" s="19">
        <v>25.2</v>
      </c>
      <c r="HF816" s="19">
        <v>44.2</v>
      </c>
      <c r="HG816" s="19">
        <v>37.3</v>
      </c>
      <c r="HH816" s="19">
        <v>32.1</v>
      </c>
      <c r="HI816" s="19">
        <v>31.1</v>
      </c>
      <c r="HJ816" s="19">
        <v>26.8</v>
      </c>
      <c r="HK816" s="19">
        <v>21.2</v>
      </c>
      <c r="HL816" s="19">
        <v>14.5</v>
      </c>
      <c r="HM816" s="19">
        <v>8.3</v>
      </c>
      <c r="HN816" s="19">
        <v>7.2</v>
      </c>
      <c r="HO816" s="19">
        <v>6.3</v>
      </c>
      <c r="HP816" s="19">
        <v>5.8</v>
      </c>
      <c r="HQ816" s="19">
        <v>6</v>
      </c>
      <c r="HR816" s="19">
        <v>5.5</v>
      </c>
      <c r="HS816" s="19">
        <v>5.3</v>
      </c>
      <c r="HT816" s="19">
        <v>4.7</v>
      </c>
      <c r="HU816" s="19">
        <v>4.1</v>
      </c>
      <c r="HV816" s="19">
        <v>3.5</v>
      </c>
      <c r="HW816" s="19">
        <v>2.6</v>
      </c>
      <c r="HX816" s="19">
        <v>1.6</v>
      </c>
      <c r="HY816" s="19">
        <v>0.3</v>
      </c>
      <c r="HZ816" s="20">
        <v>0</v>
      </c>
      <c r="IA816" s="20">
        <v>0</v>
      </c>
      <c r="IB816" s="19">
        <v>25.5</v>
      </c>
      <c r="IC816" s="19">
        <v>29.6</v>
      </c>
    </row>
    <row r="817">
      <c r="A817" s="2" t="s">
        <v>3407</v>
      </c>
      <c r="B817" s="2" t="s">
        <v>323</v>
      </c>
      <c r="C817" s="2" t="s">
        <v>1036</v>
      </c>
      <c r="D817" s="2" t="s">
        <v>257</v>
      </c>
      <c r="E817" s="2" t="s">
        <v>258</v>
      </c>
      <c r="F817" s="2" t="s">
        <v>3098</v>
      </c>
      <c r="G817" s="2" t="s">
        <v>3098</v>
      </c>
      <c r="H817" s="2" t="s">
        <v>3098</v>
      </c>
      <c r="I817" s="2" t="s">
        <v>2906</v>
      </c>
      <c r="J817" s="2" t="s">
        <v>270</v>
      </c>
      <c r="K817" s="2" t="s">
        <v>3403</v>
      </c>
      <c r="L817" s="3">
        <v>28.76</v>
      </c>
      <c r="M817" s="3">
        <v>30.2</v>
      </c>
      <c r="N817" s="3">
        <v>62.99</v>
      </c>
      <c r="O817" s="2" t="s">
        <v>232</v>
      </c>
      <c r="P817" s="2" t="s">
        <v>233</v>
      </c>
      <c r="Q817" s="2" t="s">
        <v>234</v>
      </c>
      <c r="R817" s="2" t="s">
        <v>235</v>
      </c>
      <c r="S817" s="2" t="s">
        <v>235</v>
      </c>
      <c r="T817" s="2" t="s">
        <v>2908</v>
      </c>
      <c r="U817" s="2" t="s">
        <v>264</v>
      </c>
      <c r="V817" s="2" t="s">
        <v>2182</v>
      </c>
      <c r="W817" s="2" t="s">
        <v>329</v>
      </c>
      <c r="X817" s="2" t="s">
        <v>235</v>
      </c>
      <c r="Y817" s="2" t="s">
        <v>266</v>
      </c>
      <c r="Z817" s="4">
        <v>259</v>
      </c>
      <c r="AA817" s="4">
        <f>=ROUNDDOWN(19.9230769230769,0)</f>
      </c>
      <c r="AB817" s="5">
        <v>13</v>
      </c>
      <c r="AC817" s="2" t="s">
        <v>2503</v>
      </c>
      <c r="AD817" s="4">
        <v>185</v>
      </c>
      <c r="AE817" s="4">
        <v>185</v>
      </c>
      <c r="AF817" s="6">
        <v>77</v>
      </c>
      <c r="AG817" s="6"/>
      <c r="AH817" s="7"/>
      <c r="AI817" s="4"/>
      <c r="AJ817" s="4">
        <f>=ROUNDDOWN({0},0)</f>
      </c>
      <c r="AK817" s="5"/>
      <c r="AL817" s="2" t="s">
        <v>235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235</v>
      </c>
      <c r="AW817" s="8" t="s">
        <v>235</v>
      </c>
      <c r="AX817" s="4" t="s">
        <v>235</v>
      </c>
      <c r="AY817" s="8" t="s">
        <v>235</v>
      </c>
      <c r="AZ817" s="7" t="s">
        <v>235</v>
      </c>
      <c r="BA817" s="7" t="s">
        <v>235</v>
      </c>
      <c r="BB817" s="7"/>
      <c r="BC817" s="4" t="s">
        <v>235</v>
      </c>
      <c r="BD817" s="8" t="s">
        <v>235</v>
      </c>
      <c r="BE817" s="4" t="s">
        <v>235</v>
      </c>
      <c r="BF817" s="8" t="s">
        <v>235</v>
      </c>
      <c r="BG817" s="7" t="s">
        <v>235</v>
      </c>
      <c r="BH817" s="7" t="s">
        <v>235</v>
      </c>
      <c r="BI817" s="7"/>
      <c r="BJ817" s="4"/>
      <c r="BK817" s="8"/>
      <c r="BL817" s="2" t="s">
        <v>235</v>
      </c>
      <c r="BM817" s="7"/>
      <c r="BN817" s="7"/>
      <c r="BO817" s="4"/>
      <c r="BP817" s="8"/>
      <c r="BQ817" s="4"/>
      <c r="BR817" s="8"/>
      <c r="BS817" s="7"/>
      <c r="BT817" s="7"/>
      <c r="BU817" s="2" t="s">
        <v>3105</v>
      </c>
      <c r="BV817" s="2" t="s">
        <v>235</v>
      </c>
      <c r="BW817" s="2" t="s">
        <v>235</v>
      </c>
      <c r="BX817" s="2" t="s">
        <v>383</v>
      </c>
      <c r="BY817" s="2" t="s">
        <v>245</v>
      </c>
      <c r="BZ817" s="2" t="s">
        <v>232</v>
      </c>
      <c r="CA817" s="2" t="s">
        <v>235</v>
      </c>
      <c r="CB817" s="2" t="s">
        <v>235</v>
      </c>
      <c r="CC817" s="2" t="s">
        <v>248</v>
      </c>
      <c r="CD817" s="2" t="s">
        <v>248</v>
      </c>
      <c r="CE817" s="2" t="s">
        <v>235</v>
      </c>
      <c r="CF817" s="4">
        <v>259</v>
      </c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>
        <v>185</v>
      </c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>
        <v>259</v>
      </c>
      <c r="GE817" s="4">
        <v>245</v>
      </c>
      <c r="GF817" s="4">
        <v>423</v>
      </c>
      <c r="GG817" s="4">
        <v>415</v>
      </c>
      <c r="GH817" s="4">
        <v>407</v>
      </c>
      <c r="GI817" s="4">
        <v>392</v>
      </c>
      <c r="GJ817" s="4">
        <v>374</v>
      </c>
      <c r="GK817" s="4">
        <v>359</v>
      </c>
      <c r="GL817" s="4">
        <v>344</v>
      </c>
      <c r="GM817" s="4">
        <v>330</v>
      </c>
      <c r="GN817" s="4">
        <v>310</v>
      </c>
      <c r="GO817" s="4">
        <v>285</v>
      </c>
      <c r="GP817" s="4">
        <v>247</v>
      </c>
      <c r="GQ817" s="4">
        <v>172</v>
      </c>
      <c r="GR817" s="4">
        <v>136</v>
      </c>
      <c r="GS817" s="4">
        <v>101</v>
      </c>
      <c r="GT817" s="4">
        <v>78</v>
      </c>
      <c r="GU817" s="4">
        <v>61</v>
      </c>
      <c r="GV817" s="4">
        <v>44</v>
      </c>
      <c r="GW817" s="4">
        <v>32</v>
      </c>
      <c r="GX817" s="4">
        <v>22</v>
      </c>
      <c r="GY817" s="4">
        <v>15</v>
      </c>
      <c r="GZ817" s="4">
        <v>8</v>
      </c>
      <c r="HA817" s="4">
        <v>1</v>
      </c>
      <c r="HB817" s="4">
        <v>167</v>
      </c>
      <c r="HC817" s="4">
        <v>160</v>
      </c>
      <c r="HD817" s="19">
        <v>28.8</v>
      </c>
      <c r="HE817" s="19">
        <v>24.5</v>
      </c>
      <c r="HF817" s="19">
        <v>35.3</v>
      </c>
      <c r="HG817" s="19">
        <v>29.6</v>
      </c>
      <c r="HH817" s="19">
        <v>25.4</v>
      </c>
      <c r="HI817" s="19">
        <v>24.5</v>
      </c>
      <c r="HJ817" s="19">
        <v>23.4</v>
      </c>
      <c r="HK817" s="19">
        <v>19.9</v>
      </c>
      <c r="HL817" s="19">
        <v>14.3</v>
      </c>
      <c r="HM817" s="19">
        <v>8.3</v>
      </c>
      <c r="HN817" s="19">
        <v>7</v>
      </c>
      <c r="HO817" s="19">
        <v>6.2</v>
      </c>
      <c r="HP817" s="19">
        <v>5.9</v>
      </c>
      <c r="HQ817" s="19">
        <v>6.1</v>
      </c>
      <c r="HR817" s="19">
        <v>5.9</v>
      </c>
      <c r="HS817" s="19">
        <v>5.9</v>
      </c>
      <c r="HT817" s="19">
        <v>5.6</v>
      </c>
      <c r="HU817" s="19">
        <v>5.1</v>
      </c>
      <c r="HV817" s="19">
        <v>4.9</v>
      </c>
      <c r="HW817" s="19">
        <v>4</v>
      </c>
      <c r="HX817" s="19">
        <v>3.1</v>
      </c>
      <c r="HY817" s="19">
        <v>2.1</v>
      </c>
      <c r="HZ817" s="19">
        <v>1.3</v>
      </c>
      <c r="IA817" s="19">
        <v>0.2</v>
      </c>
      <c r="IB817" s="19">
        <v>27.8</v>
      </c>
      <c r="IC817" s="19">
        <v>32</v>
      </c>
    </row>
    <row r="818">
      <c r="A818" s="2" t="s">
        <v>3408</v>
      </c>
      <c r="B818" s="2" t="s">
        <v>323</v>
      </c>
      <c r="C818" s="2" t="s">
        <v>1036</v>
      </c>
      <c r="D818" s="2" t="s">
        <v>257</v>
      </c>
      <c r="E818" s="2" t="s">
        <v>258</v>
      </c>
      <c r="F818" s="2" t="s">
        <v>3098</v>
      </c>
      <c r="G818" s="2" t="s">
        <v>3098</v>
      </c>
      <c r="H818" s="2" t="s">
        <v>3098</v>
      </c>
      <c r="I818" s="2" t="s">
        <v>2906</v>
      </c>
      <c r="J818" s="2" t="s">
        <v>272</v>
      </c>
      <c r="K818" s="2" t="s">
        <v>3403</v>
      </c>
      <c r="L818" s="3">
        <v>28.76</v>
      </c>
      <c r="M818" s="3">
        <v>30.2</v>
      </c>
      <c r="N818" s="3">
        <v>62.99</v>
      </c>
      <c r="O818" s="2" t="s">
        <v>232</v>
      </c>
      <c r="P818" s="2" t="s">
        <v>233</v>
      </c>
      <c r="Q818" s="2" t="s">
        <v>234</v>
      </c>
      <c r="R818" s="2" t="s">
        <v>235</v>
      </c>
      <c r="S818" s="2" t="s">
        <v>235</v>
      </c>
      <c r="T818" s="2" t="s">
        <v>2908</v>
      </c>
      <c r="U818" s="2" t="s">
        <v>264</v>
      </c>
      <c r="V818" s="2" t="s">
        <v>2182</v>
      </c>
      <c r="W818" s="2" t="s">
        <v>329</v>
      </c>
      <c r="X818" s="2" t="s">
        <v>235</v>
      </c>
      <c r="Y818" s="2" t="s">
        <v>266</v>
      </c>
      <c r="Z818" s="4">
        <v>100</v>
      </c>
      <c r="AA818" s="4">
        <f>=ROUNDDOWN(16.6666666666667,0)</f>
      </c>
      <c r="AB818" s="5">
        <v>6</v>
      </c>
      <c r="AC818" s="2" t="s">
        <v>2503</v>
      </c>
      <c r="AD818" s="4">
        <v>110</v>
      </c>
      <c r="AE818" s="4">
        <v>110</v>
      </c>
      <c r="AF818" s="6">
        <v>77</v>
      </c>
      <c r="AG818" s="6"/>
      <c r="AH818" s="7"/>
      <c r="AI818" s="4"/>
      <c r="AJ818" s="4">
        <f>=ROUNDDOWN({0},0)</f>
      </c>
      <c r="AK818" s="5"/>
      <c r="AL818" s="2" t="s">
        <v>235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235</v>
      </c>
      <c r="AW818" s="8" t="s">
        <v>235</v>
      </c>
      <c r="AX818" s="4" t="s">
        <v>235</v>
      </c>
      <c r="AY818" s="8" t="s">
        <v>235</v>
      </c>
      <c r="AZ818" s="7" t="s">
        <v>235</v>
      </c>
      <c r="BA818" s="7" t="s">
        <v>235</v>
      </c>
      <c r="BB818" s="7"/>
      <c r="BC818" s="4" t="s">
        <v>235</v>
      </c>
      <c r="BD818" s="8" t="s">
        <v>235</v>
      </c>
      <c r="BE818" s="4" t="s">
        <v>235</v>
      </c>
      <c r="BF818" s="8" t="s">
        <v>235</v>
      </c>
      <c r="BG818" s="7" t="s">
        <v>235</v>
      </c>
      <c r="BH818" s="7" t="s">
        <v>235</v>
      </c>
      <c r="BI818" s="7"/>
      <c r="BJ818" s="4"/>
      <c r="BK818" s="8"/>
      <c r="BL818" s="2" t="s">
        <v>235</v>
      </c>
      <c r="BM818" s="7"/>
      <c r="BN818" s="7"/>
      <c r="BO818" s="4"/>
      <c r="BP818" s="8"/>
      <c r="BQ818" s="4"/>
      <c r="BR818" s="8"/>
      <c r="BS818" s="7"/>
      <c r="BT818" s="7"/>
      <c r="BU818" s="2" t="s">
        <v>3105</v>
      </c>
      <c r="BV818" s="2" t="s">
        <v>235</v>
      </c>
      <c r="BW818" s="2" t="s">
        <v>235</v>
      </c>
      <c r="BX818" s="2" t="s">
        <v>383</v>
      </c>
      <c r="BY818" s="2" t="s">
        <v>245</v>
      </c>
      <c r="BZ818" s="2" t="s">
        <v>232</v>
      </c>
      <c r="CA818" s="2" t="s">
        <v>235</v>
      </c>
      <c r="CB818" s="2" t="s">
        <v>235</v>
      </c>
      <c r="CC818" s="2" t="s">
        <v>248</v>
      </c>
      <c r="CD818" s="2" t="s">
        <v>248</v>
      </c>
      <c r="CE818" s="2" t="s">
        <v>235</v>
      </c>
      <c r="CF818" s="4">
        <v>100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>
        <v>110</v>
      </c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>
        <v>100</v>
      </c>
      <c r="GE818" s="4">
        <v>93</v>
      </c>
      <c r="GF818" s="4">
        <v>200</v>
      </c>
      <c r="GG818" s="4">
        <v>196</v>
      </c>
      <c r="GH818" s="4">
        <v>191</v>
      </c>
      <c r="GI818" s="4">
        <v>183</v>
      </c>
      <c r="GJ818" s="4">
        <v>172</v>
      </c>
      <c r="GK818" s="4">
        <v>164</v>
      </c>
      <c r="GL818" s="4">
        <v>156</v>
      </c>
      <c r="GM818" s="4">
        <v>149</v>
      </c>
      <c r="GN818" s="4">
        <v>140</v>
      </c>
      <c r="GO818" s="4">
        <v>129</v>
      </c>
      <c r="GP818" s="4">
        <v>112</v>
      </c>
      <c r="GQ818" s="4">
        <v>80</v>
      </c>
      <c r="GR818" s="4">
        <v>64</v>
      </c>
      <c r="GS818" s="4">
        <v>49</v>
      </c>
      <c r="GT818" s="4">
        <v>39</v>
      </c>
      <c r="GU818" s="4">
        <v>31</v>
      </c>
      <c r="GV818" s="4">
        <v>23</v>
      </c>
      <c r="GW818" s="4">
        <v>18</v>
      </c>
      <c r="GX818" s="4">
        <v>14</v>
      </c>
      <c r="GY818" s="4">
        <v>11</v>
      </c>
      <c r="GZ818" s="4">
        <v>8</v>
      </c>
      <c r="HA818" s="4">
        <v>5</v>
      </c>
      <c r="HB818" s="4">
        <v>89</v>
      </c>
      <c r="HC818" s="4">
        <v>86</v>
      </c>
      <c r="HD818" s="19">
        <v>20</v>
      </c>
      <c r="HE818" s="19">
        <v>18.6</v>
      </c>
      <c r="HF818" s="19">
        <v>28.6</v>
      </c>
      <c r="HG818" s="19">
        <v>24.5</v>
      </c>
      <c r="HH818" s="19">
        <v>21.2</v>
      </c>
      <c r="HI818" s="19">
        <v>22.9</v>
      </c>
      <c r="HJ818" s="19">
        <v>21.5</v>
      </c>
      <c r="HK818" s="19">
        <v>18.2</v>
      </c>
      <c r="HL818" s="19">
        <v>14.2</v>
      </c>
      <c r="HM818" s="19">
        <v>8.8</v>
      </c>
      <c r="HN818" s="19">
        <v>7.4</v>
      </c>
      <c r="HO818" s="19">
        <v>6.5</v>
      </c>
      <c r="HP818" s="19">
        <v>6.2</v>
      </c>
      <c r="HQ818" s="19">
        <v>6.7</v>
      </c>
      <c r="HR818" s="19">
        <v>6.4</v>
      </c>
      <c r="HS818" s="19">
        <v>6.1</v>
      </c>
      <c r="HT818" s="19">
        <v>6.5</v>
      </c>
      <c r="HU818" s="19">
        <v>6.2</v>
      </c>
      <c r="HV818" s="19">
        <v>5.8</v>
      </c>
      <c r="HW818" s="19">
        <v>6</v>
      </c>
      <c r="HX818" s="19">
        <v>4.7</v>
      </c>
      <c r="HY818" s="19">
        <v>3.7</v>
      </c>
      <c r="HZ818" s="19">
        <v>2.7</v>
      </c>
      <c r="IA818" s="19">
        <v>2.5</v>
      </c>
      <c r="IB818" s="19">
        <v>44.5</v>
      </c>
      <c r="IC818" s="19">
        <v>43</v>
      </c>
    </row>
    <row r="819">
      <c r="A819" s="2" t="s">
        <v>3409</v>
      </c>
      <c r="B819" s="2" t="s">
        <v>323</v>
      </c>
      <c r="C819" s="2" t="s">
        <v>1036</v>
      </c>
      <c r="D819" s="2" t="s">
        <v>257</v>
      </c>
      <c r="E819" s="2" t="s">
        <v>258</v>
      </c>
      <c r="F819" s="2" t="s">
        <v>3098</v>
      </c>
      <c r="G819" s="2" t="s">
        <v>3098</v>
      </c>
      <c r="H819" s="2" t="s">
        <v>3098</v>
      </c>
      <c r="I819" s="2" t="s">
        <v>3099</v>
      </c>
      <c r="J819" s="2" t="s">
        <v>394</v>
      </c>
      <c r="K819" s="2" t="s">
        <v>3410</v>
      </c>
      <c r="L819" s="3">
        <v>17.07</v>
      </c>
      <c r="M819" s="3">
        <v>17.92</v>
      </c>
      <c r="N819" s="3">
        <v>31.99</v>
      </c>
      <c r="O819" s="2" t="s">
        <v>232</v>
      </c>
      <c r="P819" s="2" t="s">
        <v>698</v>
      </c>
      <c r="Q819" s="2" t="s">
        <v>234</v>
      </c>
      <c r="R819" s="2" t="s">
        <v>235</v>
      </c>
      <c r="S819" s="2" t="s">
        <v>3411</v>
      </c>
      <c r="T819" s="2" t="s">
        <v>2908</v>
      </c>
      <c r="U819" s="2" t="s">
        <v>552</v>
      </c>
      <c r="V819" s="2" t="s">
        <v>2182</v>
      </c>
      <c r="W819" s="2" t="s">
        <v>239</v>
      </c>
      <c r="X819" s="2" t="s">
        <v>1157</v>
      </c>
      <c r="Y819" s="2" t="s">
        <v>3135</v>
      </c>
      <c r="Z819" s="4">
        <v>1151</v>
      </c>
      <c r="AA819" s="4">
        <f>=ROUNDDOWN(31.1081081081081,0)</f>
      </c>
      <c r="AB819" s="5">
        <v>37</v>
      </c>
      <c r="AC819" s="2" t="s">
        <v>2503</v>
      </c>
      <c r="AD819" s="4">
        <v>56</v>
      </c>
      <c r="AE819" s="4">
        <v>592</v>
      </c>
      <c r="AF819" s="6">
        <v>73</v>
      </c>
      <c r="AG819" s="6"/>
      <c r="AH819" s="7">
        <v>1</v>
      </c>
      <c r="AI819" s="4"/>
      <c r="AJ819" s="4">
        <f>=ROUNDDOWN({0},0)</f>
      </c>
      <c r="AK819" s="5"/>
      <c r="AL819" s="2" t="s">
        <v>235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235</v>
      </c>
      <c r="AW819" s="8" t="s">
        <v>235</v>
      </c>
      <c r="AX819" s="4" t="s">
        <v>235</v>
      </c>
      <c r="AY819" s="8" t="s">
        <v>235</v>
      </c>
      <c r="AZ819" s="7" t="s">
        <v>235</v>
      </c>
      <c r="BA819" s="7" t="s">
        <v>235</v>
      </c>
      <c r="BB819" s="7"/>
      <c r="BC819" s="4" t="s">
        <v>235</v>
      </c>
      <c r="BD819" s="8" t="s">
        <v>235</v>
      </c>
      <c r="BE819" s="4" t="s">
        <v>235</v>
      </c>
      <c r="BF819" s="8" t="s">
        <v>235</v>
      </c>
      <c r="BG819" s="7" t="s">
        <v>235</v>
      </c>
      <c r="BH819" s="7" t="s">
        <v>235</v>
      </c>
      <c r="BI819" s="7"/>
      <c r="BJ819" s="4">
        <v>41</v>
      </c>
      <c r="BK819" s="8">
        <v>678.8</v>
      </c>
      <c r="BL819" s="2" t="s">
        <v>3113</v>
      </c>
      <c r="BM819" s="7"/>
      <c r="BN819" s="7"/>
      <c r="BO819" s="4"/>
      <c r="BP819" s="8"/>
      <c r="BQ819" s="4"/>
      <c r="BR819" s="8"/>
      <c r="BS819" s="7"/>
      <c r="BT819" s="7"/>
      <c r="BU819" s="2" t="s">
        <v>3105</v>
      </c>
      <c r="BV819" s="2" t="s">
        <v>243</v>
      </c>
      <c r="BW819" s="2" t="s">
        <v>235</v>
      </c>
      <c r="BX819" s="2" t="s">
        <v>383</v>
      </c>
      <c r="BY819" s="2" t="s">
        <v>245</v>
      </c>
      <c r="BZ819" s="2" t="s">
        <v>232</v>
      </c>
      <c r="CA819" s="2" t="s">
        <v>675</v>
      </c>
      <c r="CB819" s="2" t="s">
        <v>3412</v>
      </c>
      <c r="CC819" s="2" t="s">
        <v>248</v>
      </c>
      <c r="CD819" s="2" t="s">
        <v>248</v>
      </c>
      <c r="CE819" s="2" t="s">
        <v>235</v>
      </c>
      <c r="CF819" s="4">
        <v>1151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>
        <v>56</v>
      </c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>
        <v>191</v>
      </c>
      <c r="EK819" s="4"/>
      <c r="EL819" s="4"/>
      <c r="EM819" s="4"/>
      <c r="EN819" s="4"/>
      <c r="EO819" s="4"/>
      <c r="EP819" s="4"/>
      <c r="EQ819" s="4">
        <v>345</v>
      </c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>
        <v>1190</v>
      </c>
      <c r="GE819" s="4">
        <v>1184</v>
      </c>
      <c r="GF819" s="4">
        <v>1235</v>
      </c>
      <c r="GG819" s="4">
        <v>1230</v>
      </c>
      <c r="GH819" s="4">
        <v>1225</v>
      </c>
      <c r="GI819" s="4">
        <v>1158</v>
      </c>
      <c r="GJ819" s="4">
        <v>981</v>
      </c>
      <c r="GK819" s="4">
        <v>893</v>
      </c>
      <c r="GL819" s="4">
        <v>807</v>
      </c>
      <c r="GM819" s="4">
        <v>939</v>
      </c>
      <c r="GN819" s="4">
        <v>1233</v>
      </c>
      <c r="GO819" s="4">
        <v>1172</v>
      </c>
      <c r="GP819" s="4">
        <v>1111</v>
      </c>
      <c r="GQ819" s="4">
        <v>1027</v>
      </c>
      <c r="GR819" s="4">
        <v>982</v>
      </c>
      <c r="GS819" s="4">
        <v>935</v>
      </c>
      <c r="GT819" s="4">
        <v>898</v>
      </c>
      <c r="GU819" s="4">
        <v>866</v>
      </c>
      <c r="GV819" s="4">
        <v>832</v>
      </c>
      <c r="GW819" s="4">
        <v>807</v>
      </c>
      <c r="GX819" s="4">
        <v>785</v>
      </c>
      <c r="GY819" s="4">
        <v>765</v>
      </c>
      <c r="GZ819" s="4">
        <v>744</v>
      </c>
      <c r="HA819" s="4">
        <v>723</v>
      </c>
      <c r="HB819" s="4">
        <v>702</v>
      </c>
      <c r="HC819" s="4">
        <v>681</v>
      </c>
      <c r="HD819" s="19">
        <v>238</v>
      </c>
      <c r="HE819" s="19">
        <v>59.2</v>
      </c>
      <c r="HF819" s="19">
        <v>19.3</v>
      </c>
      <c r="HG819" s="19">
        <v>14.6</v>
      </c>
      <c r="HH819" s="19">
        <v>11.8</v>
      </c>
      <c r="HI819" s="19">
        <v>11.4</v>
      </c>
      <c r="HJ819" s="19">
        <v>13.8</v>
      </c>
      <c r="HK819" s="19">
        <v>14</v>
      </c>
      <c r="HL819" s="19">
        <v>13.9</v>
      </c>
      <c r="HM819" s="19">
        <v>14.7</v>
      </c>
      <c r="HN819" s="19">
        <v>19.6</v>
      </c>
      <c r="HO819" s="19">
        <v>19.9</v>
      </c>
      <c r="HP819" s="19">
        <v>21</v>
      </c>
      <c r="HQ819" s="19">
        <v>25.7</v>
      </c>
      <c r="HR819" s="19">
        <v>25.8</v>
      </c>
      <c r="HS819" s="19">
        <v>29.2</v>
      </c>
      <c r="HT819" s="19">
        <v>32.1</v>
      </c>
      <c r="HU819" s="19">
        <v>34.6</v>
      </c>
      <c r="HV819" s="19">
        <v>37.8</v>
      </c>
      <c r="HW819" s="19">
        <v>38.4</v>
      </c>
      <c r="HX819" s="19">
        <v>37.4</v>
      </c>
      <c r="HY819" s="19">
        <v>36.4</v>
      </c>
      <c r="HZ819" s="19">
        <v>37.2</v>
      </c>
      <c r="IA819" s="19">
        <v>36.2</v>
      </c>
      <c r="IB819" s="19">
        <v>36.9</v>
      </c>
      <c r="IC819" s="19">
        <v>37.8</v>
      </c>
    </row>
    <row r="820">
      <c r="A820" s="2" t="s">
        <v>3413</v>
      </c>
      <c r="B820" s="2" t="s">
        <v>323</v>
      </c>
      <c r="C820" s="2" t="s">
        <v>1036</v>
      </c>
      <c r="D820" s="2" t="s">
        <v>257</v>
      </c>
      <c r="E820" s="2" t="s">
        <v>258</v>
      </c>
      <c r="F820" s="2" t="s">
        <v>3098</v>
      </c>
      <c r="G820" s="2" t="s">
        <v>3098</v>
      </c>
      <c r="H820" s="2" t="s">
        <v>3098</v>
      </c>
      <c r="I820" s="2" t="s">
        <v>3099</v>
      </c>
      <c r="J820" s="2" t="s">
        <v>230</v>
      </c>
      <c r="K820" s="2" t="s">
        <v>3410</v>
      </c>
      <c r="L820" s="3">
        <v>16.16</v>
      </c>
      <c r="M820" s="3">
        <v>16.97</v>
      </c>
      <c r="N820" s="3">
        <v>34.99</v>
      </c>
      <c r="O820" s="2" t="s">
        <v>232</v>
      </c>
      <c r="P820" s="2" t="s">
        <v>233</v>
      </c>
      <c r="Q820" s="2" t="s">
        <v>234</v>
      </c>
      <c r="R820" s="2" t="s">
        <v>235</v>
      </c>
      <c r="S820" s="2" t="s">
        <v>3411</v>
      </c>
      <c r="T820" s="2" t="s">
        <v>2908</v>
      </c>
      <c r="U820" s="2" t="s">
        <v>552</v>
      </c>
      <c r="V820" s="2" t="s">
        <v>2182</v>
      </c>
      <c r="W820" s="2" t="s">
        <v>239</v>
      </c>
      <c r="X820" s="2" t="s">
        <v>1157</v>
      </c>
      <c r="Y820" s="2" t="s">
        <v>3135</v>
      </c>
      <c r="Z820" s="4">
        <v>421</v>
      </c>
      <c r="AA820" s="4">
        <f>=ROUNDDOWN(24.7647058823529,0)</f>
      </c>
      <c r="AB820" s="5">
        <v>17</v>
      </c>
      <c r="AC820" s="2" t="s">
        <v>3291</v>
      </c>
      <c r="AD820" s="4">
        <v>93</v>
      </c>
      <c r="AE820" s="4">
        <v>271</v>
      </c>
      <c r="AF820" s="6">
        <v>73</v>
      </c>
      <c r="AG820" s="6"/>
      <c r="AH820" s="7">
        <v>1</v>
      </c>
      <c r="AI820" s="4"/>
      <c r="AJ820" s="4">
        <f>=ROUNDDOWN({0},0)</f>
      </c>
      <c r="AK820" s="5"/>
      <c r="AL820" s="2" t="s">
        <v>235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235</v>
      </c>
      <c r="AW820" s="8" t="s">
        <v>235</v>
      </c>
      <c r="AX820" s="4" t="s">
        <v>235</v>
      </c>
      <c r="AY820" s="8" t="s">
        <v>235</v>
      </c>
      <c r="AZ820" s="7" t="s">
        <v>235</v>
      </c>
      <c r="BA820" s="7" t="s">
        <v>235</v>
      </c>
      <c r="BB820" s="7"/>
      <c r="BC820" s="4" t="s">
        <v>235</v>
      </c>
      <c r="BD820" s="8" t="s">
        <v>235</v>
      </c>
      <c r="BE820" s="4" t="s">
        <v>235</v>
      </c>
      <c r="BF820" s="8" t="s">
        <v>235</v>
      </c>
      <c r="BG820" s="7" t="s">
        <v>235</v>
      </c>
      <c r="BH820" s="7" t="s">
        <v>235</v>
      </c>
      <c r="BI820" s="7"/>
      <c r="BJ820" s="4">
        <v>36</v>
      </c>
      <c r="BK820" s="8">
        <v>666.42</v>
      </c>
      <c r="BL820" s="2" t="s">
        <v>3086</v>
      </c>
      <c r="BM820" s="7"/>
      <c r="BN820" s="7"/>
      <c r="BO820" s="4"/>
      <c r="BP820" s="8"/>
      <c r="BQ820" s="4"/>
      <c r="BR820" s="8"/>
      <c r="BS820" s="7"/>
      <c r="BT820" s="7"/>
      <c r="BU820" s="2" t="s">
        <v>3105</v>
      </c>
      <c r="BV820" s="2" t="s">
        <v>243</v>
      </c>
      <c r="BW820" s="2" t="s">
        <v>235</v>
      </c>
      <c r="BX820" s="2" t="s">
        <v>383</v>
      </c>
      <c r="BY820" s="2" t="s">
        <v>245</v>
      </c>
      <c r="BZ820" s="2" t="s">
        <v>232</v>
      </c>
      <c r="CA820" s="2" t="s">
        <v>675</v>
      </c>
      <c r="CB820" s="2" t="s">
        <v>2175</v>
      </c>
      <c r="CC820" s="2" t="s">
        <v>248</v>
      </c>
      <c r="CD820" s="2" t="s">
        <v>248</v>
      </c>
      <c r="CE820" s="2" t="s">
        <v>235</v>
      </c>
      <c r="CF820" s="4">
        <v>421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>
        <v>93</v>
      </c>
      <c r="EK820" s="4"/>
      <c r="EL820" s="4"/>
      <c r="EM820" s="4"/>
      <c r="EN820" s="4"/>
      <c r="EO820" s="4"/>
      <c r="EP820" s="4"/>
      <c r="EQ820" s="4">
        <v>178</v>
      </c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>
        <v>447</v>
      </c>
      <c r="GE820" s="4">
        <v>415</v>
      </c>
      <c r="GF820" s="4">
        <v>412</v>
      </c>
      <c r="GG820" s="4">
        <v>399</v>
      </c>
      <c r="GH820" s="4">
        <v>374</v>
      </c>
      <c r="GI820" s="4">
        <v>334</v>
      </c>
      <c r="GJ820" s="4">
        <v>260</v>
      </c>
      <c r="GK820" s="4">
        <v>222</v>
      </c>
      <c r="GL820" s="4">
        <v>185</v>
      </c>
      <c r="GM820" s="4">
        <v>252</v>
      </c>
      <c r="GN820" s="4">
        <v>406</v>
      </c>
      <c r="GO820" s="4">
        <v>377</v>
      </c>
      <c r="GP820" s="4">
        <v>346</v>
      </c>
      <c r="GQ820" s="4">
        <v>300</v>
      </c>
      <c r="GR820" s="4">
        <v>276</v>
      </c>
      <c r="GS820" s="4">
        <v>251</v>
      </c>
      <c r="GT820" s="4">
        <v>232</v>
      </c>
      <c r="GU820" s="4">
        <v>216</v>
      </c>
      <c r="GV820" s="4">
        <v>199</v>
      </c>
      <c r="GW820" s="4">
        <v>186</v>
      </c>
      <c r="GX820" s="4">
        <v>175</v>
      </c>
      <c r="GY820" s="4">
        <v>165</v>
      </c>
      <c r="GZ820" s="4">
        <v>155</v>
      </c>
      <c r="HA820" s="4">
        <v>145</v>
      </c>
      <c r="HB820" s="4">
        <v>135</v>
      </c>
      <c r="HC820" s="4">
        <v>125</v>
      </c>
      <c r="HD820" s="19">
        <v>24.8</v>
      </c>
      <c r="HE820" s="19">
        <v>20.8</v>
      </c>
      <c r="HF820" s="19">
        <v>10.8</v>
      </c>
      <c r="HG820" s="19">
        <v>9.1</v>
      </c>
      <c r="HH820" s="19">
        <v>8</v>
      </c>
      <c r="HI820" s="19">
        <v>7.6</v>
      </c>
      <c r="HJ820" s="19">
        <v>8.4</v>
      </c>
      <c r="HK820" s="19">
        <v>7.7</v>
      </c>
      <c r="HL820" s="19">
        <v>6.6</v>
      </c>
      <c r="HM820" s="19">
        <v>7.9</v>
      </c>
      <c r="HN820" s="19">
        <v>12.7</v>
      </c>
      <c r="HO820" s="19">
        <v>11.8</v>
      </c>
      <c r="HP820" s="19">
        <v>12.4</v>
      </c>
      <c r="HQ820" s="19">
        <v>14.3</v>
      </c>
      <c r="HR820" s="19">
        <v>14.5</v>
      </c>
      <c r="HS820" s="19">
        <v>15.7</v>
      </c>
      <c r="HT820" s="19">
        <v>16.6</v>
      </c>
      <c r="HU820" s="19">
        <v>16.6</v>
      </c>
      <c r="HV820" s="19">
        <v>18.1</v>
      </c>
      <c r="HW820" s="19">
        <v>18.6</v>
      </c>
      <c r="HX820" s="19">
        <v>17.5</v>
      </c>
      <c r="HY820" s="19">
        <v>16.5</v>
      </c>
      <c r="HZ820" s="19">
        <v>15.5</v>
      </c>
      <c r="IA820" s="19">
        <v>14.5</v>
      </c>
      <c r="IB820" s="19">
        <v>15</v>
      </c>
      <c r="IC820" s="19">
        <v>15.6</v>
      </c>
    </row>
    <row r="821">
      <c r="A821" s="2" t="s">
        <v>3414</v>
      </c>
      <c r="B821" s="2" t="s">
        <v>323</v>
      </c>
      <c r="C821" s="2" t="s">
        <v>1036</v>
      </c>
      <c r="D821" s="2" t="s">
        <v>257</v>
      </c>
      <c r="E821" s="2" t="s">
        <v>258</v>
      </c>
      <c r="F821" s="2" t="s">
        <v>3098</v>
      </c>
      <c r="G821" s="2" t="s">
        <v>3098</v>
      </c>
      <c r="H821" s="2" t="s">
        <v>3098</v>
      </c>
      <c r="I821" s="2" t="s">
        <v>3099</v>
      </c>
      <c r="J821" s="2" t="s">
        <v>250</v>
      </c>
      <c r="K821" s="2" t="s">
        <v>3410</v>
      </c>
      <c r="L821" s="3">
        <v>19.57</v>
      </c>
      <c r="M821" s="3">
        <v>20.55</v>
      </c>
      <c r="N821" s="3">
        <v>42.99</v>
      </c>
      <c r="O821" s="2" t="s">
        <v>232</v>
      </c>
      <c r="P821" s="2" t="s">
        <v>698</v>
      </c>
      <c r="Q821" s="2" t="s">
        <v>234</v>
      </c>
      <c r="R821" s="2" t="s">
        <v>235</v>
      </c>
      <c r="S821" s="2" t="s">
        <v>3411</v>
      </c>
      <c r="T821" s="2" t="s">
        <v>2908</v>
      </c>
      <c r="U821" s="2" t="s">
        <v>264</v>
      </c>
      <c r="V821" s="2" t="s">
        <v>2182</v>
      </c>
      <c r="W821" s="2" t="s">
        <v>239</v>
      </c>
      <c r="X821" s="2" t="s">
        <v>1157</v>
      </c>
      <c r="Y821" s="2" t="s">
        <v>3135</v>
      </c>
      <c r="Z821" s="4">
        <v>685</v>
      </c>
      <c r="AA821" s="4">
        <f>=ROUNDDOWN(19.5714285714286,0)</f>
      </c>
      <c r="AB821" s="5">
        <v>35</v>
      </c>
      <c r="AC821" s="2" t="s">
        <v>2503</v>
      </c>
      <c r="AD821" s="4">
        <v>3</v>
      </c>
      <c r="AE821" s="4">
        <v>499</v>
      </c>
      <c r="AF821" s="6">
        <v>73</v>
      </c>
      <c r="AG821" s="6"/>
      <c r="AH821" s="7">
        <v>1</v>
      </c>
      <c r="AI821" s="4"/>
      <c r="AJ821" s="4">
        <f>=ROUNDDOWN({0},0)</f>
      </c>
      <c r="AK821" s="5"/>
      <c r="AL821" s="2" t="s">
        <v>235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235</v>
      </c>
      <c r="AW821" s="8" t="s">
        <v>235</v>
      </c>
      <c r="AX821" s="4" t="s">
        <v>235</v>
      </c>
      <c r="AY821" s="8" t="s">
        <v>235</v>
      </c>
      <c r="AZ821" s="7" t="s">
        <v>235</v>
      </c>
      <c r="BA821" s="7" t="s">
        <v>235</v>
      </c>
      <c r="BB821" s="7"/>
      <c r="BC821" s="4" t="s">
        <v>235</v>
      </c>
      <c r="BD821" s="8" t="s">
        <v>235</v>
      </c>
      <c r="BE821" s="4" t="s">
        <v>235</v>
      </c>
      <c r="BF821" s="8" t="s">
        <v>235</v>
      </c>
      <c r="BG821" s="7" t="s">
        <v>235</v>
      </c>
      <c r="BH821" s="7" t="s">
        <v>235</v>
      </c>
      <c r="BI821" s="7"/>
      <c r="BJ821" s="4">
        <v>208</v>
      </c>
      <c r="BK821" s="8">
        <v>4410.83</v>
      </c>
      <c r="BL821" s="2" t="s">
        <v>3415</v>
      </c>
      <c r="BM821" s="7"/>
      <c r="BN821" s="7"/>
      <c r="BO821" s="4"/>
      <c r="BP821" s="8"/>
      <c r="BQ821" s="4"/>
      <c r="BR821" s="8"/>
      <c r="BS821" s="7"/>
      <c r="BT821" s="7"/>
      <c r="BU821" s="2" t="s">
        <v>3105</v>
      </c>
      <c r="BV821" s="2" t="s">
        <v>243</v>
      </c>
      <c r="BW821" s="2" t="s">
        <v>235</v>
      </c>
      <c r="BX821" s="2" t="s">
        <v>383</v>
      </c>
      <c r="BY821" s="2" t="s">
        <v>245</v>
      </c>
      <c r="BZ821" s="2" t="s">
        <v>232</v>
      </c>
      <c r="CA821" s="2" t="s">
        <v>675</v>
      </c>
      <c r="CB821" s="2" t="s">
        <v>3416</v>
      </c>
      <c r="CC821" s="2" t="s">
        <v>248</v>
      </c>
      <c r="CD821" s="2" t="s">
        <v>248</v>
      </c>
      <c r="CE821" s="2" t="s">
        <v>235</v>
      </c>
      <c r="CF821" s="4">
        <v>685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>
        <v>3</v>
      </c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>
        <v>177</v>
      </c>
      <c r="EK821" s="4"/>
      <c r="EL821" s="4"/>
      <c r="EM821" s="4"/>
      <c r="EN821" s="4"/>
      <c r="EO821" s="4"/>
      <c r="EP821" s="4"/>
      <c r="EQ821" s="4">
        <v>319</v>
      </c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>
        <v>712</v>
      </c>
      <c r="GE821" s="4">
        <v>660</v>
      </c>
      <c r="GF821" s="4">
        <v>658</v>
      </c>
      <c r="GG821" s="4">
        <v>653</v>
      </c>
      <c r="GH821" s="4">
        <v>648</v>
      </c>
      <c r="GI821" s="4">
        <v>568</v>
      </c>
      <c r="GJ821" s="4">
        <v>398</v>
      </c>
      <c r="GK821" s="4">
        <v>314</v>
      </c>
      <c r="GL821" s="4">
        <v>232</v>
      </c>
      <c r="GM821" s="4">
        <v>353</v>
      </c>
      <c r="GN821" s="4">
        <v>624</v>
      </c>
      <c r="GO821" s="4">
        <v>567</v>
      </c>
      <c r="GP821" s="4">
        <v>510</v>
      </c>
      <c r="GQ821" s="4">
        <v>433</v>
      </c>
      <c r="GR821" s="4">
        <v>391</v>
      </c>
      <c r="GS821" s="4">
        <v>348</v>
      </c>
      <c r="GT821" s="4">
        <v>314</v>
      </c>
      <c r="GU821" s="4">
        <v>284</v>
      </c>
      <c r="GV821" s="4">
        <v>252</v>
      </c>
      <c r="GW821" s="4">
        <v>229</v>
      </c>
      <c r="GX821" s="4">
        <v>209</v>
      </c>
      <c r="GY821" s="4">
        <v>191</v>
      </c>
      <c r="GZ821" s="4">
        <v>172</v>
      </c>
      <c r="HA821" s="4">
        <v>153</v>
      </c>
      <c r="HB821" s="4">
        <v>205</v>
      </c>
      <c r="HC821" s="4">
        <v>186</v>
      </c>
      <c r="HD821" s="19">
        <v>41.9</v>
      </c>
      <c r="HE821" s="19">
        <v>27.5</v>
      </c>
      <c r="HF821" s="19">
        <v>10.1</v>
      </c>
      <c r="HG821" s="19">
        <v>7.7</v>
      </c>
      <c r="HH821" s="19">
        <v>6.2</v>
      </c>
      <c r="HI821" s="19">
        <v>5.8</v>
      </c>
      <c r="HJ821" s="19">
        <v>5.9</v>
      </c>
      <c r="HK821" s="19">
        <v>5.1</v>
      </c>
      <c r="HL821" s="19">
        <v>4.3</v>
      </c>
      <c r="HM821" s="19">
        <v>5.9</v>
      </c>
      <c r="HN821" s="19">
        <v>10.8</v>
      </c>
      <c r="HO821" s="19">
        <v>10.3</v>
      </c>
      <c r="HP821" s="19">
        <v>10.4</v>
      </c>
      <c r="HQ821" s="19">
        <v>11.7</v>
      </c>
      <c r="HR821" s="19">
        <v>11.2</v>
      </c>
      <c r="HS821" s="19">
        <v>11.6</v>
      </c>
      <c r="HT821" s="19">
        <v>12.1</v>
      </c>
      <c r="HU821" s="19">
        <v>12.3</v>
      </c>
      <c r="HV821" s="19">
        <v>12.6</v>
      </c>
      <c r="HW821" s="19">
        <v>12.1</v>
      </c>
      <c r="HX821" s="19">
        <v>11</v>
      </c>
      <c r="HY821" s="19">
        <v>10.1</v>
      </c>
      <c r="HZ821" s="19">
        <v>9.1</v>
      </c>
      <c r="IA821" s="19">
        <v>8.5</v>
      </c>
      <c r="IB821" s="19">
        <v>11.4</v>
      </c>
      <c r="IC821" s="19">
        <v>11.6</v>
      </c>
    </row>
    <row r="822">
      <c r="A822" s="2" t="s">
        <v>3417</v>
      </c>
      <c r="B822" s="2" t="s">
        <v>323</v>
      </c>
      <c r="C822" s="2" t="s">
        <v>1036</v>
      </c>
      <c r="D822" s="2" t="s">
        <v>257</v>
      </c>
      <c r="E822" s="2" t="s">
        <v>258</v>
      </c>
      <c r="F822" s="2" t="s">
        <v>3098</v>
      </c>
      <c r="G822" s="2" t="s">
        <v>3098</v>
      </c>
      <c r="H822" s="2" t="s">
        <v>3098</v>
      </c>
      <c r="I822" s="2" t="s">
        <v>3099</v>
      </c>
      <c r="J822" s="2" t="s">
        <v>261</v>
      </c>
      <c r="K822" s="2" t="s">
        <v>3410</v>
      </c>
      <c r="L822" s="3">
        <v>22.21</v>
      </c>
      <c r="M822" s="3">
        <v>23.32</v>
      </c>
      <c r="N822" s="3">
        <v>47.99</v>
      </c>
      <c r="O822" s="2" t="s">
        <v>232</v>
      </c>
      <c r="P822" s="2" t="s">
        <v>333</v>
      </c>
      <c r="Q822" s="2" t="s">
        <v>234</v>
      </c>
      <c r="R822" s="2" t="s">
        <v>235</v>
      </c>
      <c r="S822" s="2" t="s">
        <v>3411</v>
      </c>
      <c r="T822" s="2" t="s">
        <v>2908</v>
      </c>
      <c r="U822" s="2" t="s">
        <v>264</v>
      </c>
      <c r="V822" s="2" t="s">
        <v>2182</v>
      </c>
      <c r="W822" s="2" t="s">
        <v>239</v>
      </c>
      <c r="X822" s="2" t="s">
        <v>1157</v>
      </c>
      <c r="Y822" s="2" t="s">
        <v>3135</v>
      </c>
      <c r="Z822" s="4">
        <v>2388</v>
      </c>
      <c r="AA822" s="4">
        <f>=ROUNDDOWN(36.7384615384615,0)</f>
      </c>
      <c r="AB822" s="5">
        <v>65</v>
      </c>
      <c r="AC822" s="2" t="s">
        <v>3291</v>
      </c>
      <c r="AD822" s="4">
        <v>331</v>
      </c>
      <c r="AE822" s="4">
        <v>798</v>
      </c>
      <c r="AF822" s="6">
        <v>73</v>
      </c>
      <c r="AG822" s="6"/>
      <c r="AH822" s="7">
        <v>1</v>
      </c>
      <c r="AI822" s="4"/>
      <c r="AJ822" s="4">
        <f>=ROUNDDOWN({0},0)</f>
      </c>
      <c r="AK822" s="5"/>
      <c r="AL822" s="2" t="s">
        <v>235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235</v>
      </c>
      <c r="AW822" s="8" t="s">
        <v>235</v>
      </c>
      <c r="AX822" s="4" t="s">
        <v>235</v>
      </c>
      <c r="AY822" s="8" t="s">
        <v>235</v>
      </c>
      <c r="AZ822" s="7" t="s">
        <v>235</v>
      </c>
      <c r="BA822" s="7" t="s">
        <v>235</v>
      </c>
      <c r="BB822" s="7"/>
      <c r="BC822" s="4" t="s">
        <v>235</v>
      </c>
      <c r="BD822" s="8" t="s">
        <v>235</v>
      </c>
      <c r="BE822" s="4" t="s">
        <v>235</v>
      </c>
      <c r="BF822" s="8" t="s">
        <v>235</v>
      </c>
      <c r="BG822" s="7" t="s">
        <v>235</v>
      </c>
      <c r="BH822" s="7" t="s">
        <v>235</v>
      </c>
      <c r="BI822" s="7"/>
      <c r="BJ822" s="4">
        <v>70</v>
      </c>
      <c r="BK822" s="8">
        <v>1788.95</v>
      </c>
      <c r="BL822" s="2" t="s">
        <v>3418</v>
      </c>
      <c r="BM822" s="7"/>
      <c r="BN822" s="7"/>
      <c r="BO822" s="4"/>
      <c r="BP822" s="8"/>
      <c r="BQ822" s="4"/>
      <c r="BR822" s="8"/>
      <c r="BS822" s="7"/>
      <c r="BT822" s="7"/>
      <c r="BU822" s="2" t="s">
        <v>3105</v>
      </c>
      <c r="BV822" s="2" t="s">
        <v>243</v>
      </c>
      <c r="BW822" s="2" t="s">
        <v>235</v>
      </c>
      <c r="BX822" s="2" t="s">
        <v>383</v>
      </c>
      <c r="BY822" s="2" t="s">
        <v>245</v>
      </c>
      <c r="BZ822" s="2" t="s">
        <v>232</v>
      </c>
      <c r="CA822" s="2" t="s">
        <v>675</v>
      </c>
      <c r="CB822" s="2" t="s">
        <v>3419</v>
      </c>
      <c r="CC822" s="2" t="s">
        <v>248</v>
      </c>
      <c r="CD822" s="2" t="s">
        <v>248</v>
      </c>
      <c r="CE822" s="2" t="s">
        <v>235</v>
      </c>
      <c r="CF822" s="4">
        <v>2388</v>
      </c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>
        <v>331</v>
      </c>
      <c r="EK822" s="4"/>
      <c r="EL822" s="4"/>
      <c r="EM822" s="4"/>
      <c r="EN822" s="4"/>
      <c r="EO822" s="4"/>
      <c r="EP822" s="4"/>
      <c r="EQ822" s="4">
        <v>467</v>
      </c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>
        <v>2617</v>
      </c>
      <c r="GE822" s="4">
        <v>2464</v>
      </c>
      <c r="GF822" s="4">
        <v>2459</v>
      </c>
      <c r="GG822" s="4">
        <v>2454</v>
      </c>
      <c r="GH822" s="4">
        <v>2348</v>
      </c>
      <c r="GI822" s="4">
        <v>2167</v>
      </c>
      <c r="GJ822" s="4">
        <v>1816</v>
      </c>
      <c r="GK822" s="4">
        <v>1646</v>
      </c>
      <c r="GL822" s="4">
        <v>1482</v>
      </c>
      <c r="GM822" s="4">
        <v>1704</v>
      </c>
      <c r="GN822" s="4">
        <v>2083</v>
      </c>
      <c r="GO822" s="4">
        <v>1980</v>
      </c>
      <c r="GP822" s="4">
        <v>1888</v>
      </c>
      <c r="GQ822" s="4">
        <v>1782</v>
      </c>
      <c r="GR822" s="4">
        <v>1720</v>
      </c>
      <c r="GS822" s="4">
        <v>1653</v>
      </c>
      <c r="GT822" s="4">
        <v>1596</v>
      </c>
      <c r="GU822" s="4">
        <v>1544</v>
      </c>
      <c r="GV822" s="4">
        <v>1490</v>
      </c>
      <c r="GW822" s="4">
        <v>1451</v>
      </c>
      <c r="GX822" s="4">
        <v>1415</v>
      </c>
      <c r="GY822" s="4">
        <v>1381</v>
      </c>
      <c r="GZ822" s="4">
        <v>1346</v>
      </c>
      <c r="HA822" s="4">
        <v>1311</v>
      </c>
      <c r="HB822" s="4">
        <v>1276</v>
      </c>
      <c r="HC822" s="4">
        <v>1241</v>
      </c>
      <c r="HD822" s="19">
        <v>39.1</v>
      </c>
      <c r="HE822" s="19">
        <v>33.3</v>
      </c>
      <c r="HF822" s="19">
        <v>15.3</v>
      </c>
      <c r="HG822" s="19">
        <v>12.1</v>
      </c>
      <c r="HH822" s="19">
        <v>10.9</v>
      </c>
      <c r="HI822" s="19">
        <v>10.9</v>
      </c>
      <c r="HJ822" s="19">
        <v>13.7</v>
      </c>
      <c r="HK822" s="19">
        <v>14.2</v>
      </c>
      <c r="HL822" s="19">
        <v>15.1</v>
      </c>
      <c r="HM822" s="19">
        <v>17.6</v>
      </c>
      <c r="HN822" s="19">
        <v>22.9</v>
      </c>
      <c r="HO822" s="19">
        <v>24.1</v>
      </c>
      <c r="HP822" s="19">
        <v>25.9</v>
      </c>
      <c r="HQ822" s="19">
        <v>29.7</v>
      </c>
      <c r="HR822" s="19">
        <v>29.7</v>
      </c>
      <c r="HS822" s="19">
        <v>33.1</v>
      </c>
      <c r="HT822" s="19">
        <v>35.5</v>
      </c>
      <c r="HU822" s="19">
        <v>37.7</v>
      </c>
      <c r="HV822" s="19">
        <v>41.4</v>
      </c>
      <c r="HW822" s="19">
        <v>41.5</v>
      </c>
      <c r="HX822" s="19">
        <v>40.4</v>
      </c>
      <c r="HY822" s="19">
        <v>39.5</v>
      </c>
      <c r="HZ822" s="19">
        <v>39.6</v>
      </c>
      <c r="IA822" s="19">
        <v>38.6</v>
      </c>
      <c r="IB822" s="19">
        <v>39.9</v>
      </c>
      <c r="IC822" s="19">
        <v>41.4</v>
      </c>
    </row>
    <row r="823">
      <c r="A823" s="2" t="s">
        <v>3420</v>
      </c>
      <c r="B823" s="2" t="s">
        <v>323</v>
      </c>
      <c r="C823" s="2" t="s">
        <v>1036</v>
      </c>
      <c r="D823" s="2" t="s">
        <v>257</v>
      </c>
      <c r="E823" s="2" t="s">
        <v>258</v>
      </c>
      <c r="F823" s="2" t="s">
        <v>3098</v>
      </c>
      <c r="G823" s="2" t="s">
        <v>3098</v>
      </c>
      <c r="H823" s="2" t="s">
        <v>3098</v>
      </c>
      <c r="I823" s="2" t="s">
        <v>3099</v>
      </c>
      <c r="J823" s="2" t="s">
        <v>270</v>
      </c>
      <c r="K823" s="2" t="s">
        <v>3410</v>
      </c>
      <c r="L823" s="3">
        <v>27.39</v>
      </c>
      <c r="M823" s="3">
        <v>28.76</v>
      </c>
      <c r="N823" s="3">
        <v>62.99</v>
      </c>
      <c r="O823" s="2" t="s">
        <v>232</v>
      </c>
      <c r="P823" s="2" t="s">
        <v>233</v>
      </c>
      <c r="Q823" s="2" t="s">
        <v>234</v>
      </c>
      <c r="R823" s="2" t="s">
        <v>235</v>
      </c>
      <c r="S823" s="2" t="s">
        <v>3411</v>
      </c>
      <c r="T823" s="2" t="s">
        <v>2908</v>
      </c>
      <c r="U823" s="2" t="s">
        <v>264</v>
      </c>
      <c r="V823" s="2" t="s">
        <v>2182</v>
      </c>
      <c r="W823" s="2" t="s">
        <v>239</v>
      </c>
      <c r="X823" s="2" t="s">
        <v>1157</v>
      </c>
      <c r="Y823" s="2" t="s">
        <v>3135</v>
      </c>
      <c r="Z823" s="4">
        <v>434</v>
      </c>
      <c r="AA823" s="4">
        <f>=ROUNDDOWN(27.125,0)</f>
      </c>
      <c r="AB823" s="5">
        <v>16</v>
      </c>
      <c r="AC823" s="2" t="s">
        <v>3291</v>
      </c>
      <c r="AD823" s="4">
        <v>86</v>
      </c>
      <c r="AE823" s="4">
        <v>240</v>
      </c>
      <c r="AF823" s="6">
        <v>73</v>
      </c>
      <c r="AG823" s="6"/>
      <c r="AH823" s="7">
        <v>1</v>
      </c>
      <c r="AI823" s="4"/>
      <c r="AJ823" s="4">
        <f>=ROUNDDOWN({0},0)</f>
      </c>
      <c r="AK823" s="5"/>
      <c r="AL823" s="2" t="s">
        <v>235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235</v>
      </c>
      <c r="AW823" s="8" t="s">
        <v>235</v>
      </c>
      <c r="AX823" s="4" t="s">
        <v>235</v>
      </c>
      <c r="AY823" s="8" t="s">
        <v>235</v>
      </c>
      <c r="AZ823" s="7" t="s">
        <v>235</v>
      </c>
      <c r="BA823" s="7" t="s">
        <v>235</v>
      </c>
      <c r="BB823" s="7"/>
      <c r="BC823" s="4" t="s">
        <v>235</v>
      </c>
      <c r="BD823" s="8" t="s">
        <v>235</v>
      </c>
      <c r="BE823" s="4" t="s">
        <v>235</v>
      </c>
      <c r="BF823" s="8" t="s">
        <v>235</v>
      </c>
      <c r="BG823" s="7" t="s">
        <v>235</v>
      </c>
      <c r="BH823" s="7" t="s">
        <v>235</v>
      </c>
      <c r="BI823" s="7"/>
      <c r="BJ823" s="4">
        <v>26</v>
      </c>
      <c r="BK823" s="8">
        <v>764.92</v>
      </c>
      <c r="BL823" s="2" t="s">
        <v>3421</v>
      </c>
      <c r="BM823" s="7"/>
      <c r="BN823" s="7"/>
      <c r="BO823" s="4"/>
      <c r="BP823" s="8"/>
      <c r="BQ823" s="4"/>
      <c r="BR823" s="8"/>
      <c r="BS823" s="7"/>
      <c r="BT823" s="7"/>
      <c r="BU823" s="2" t="s">
        <v>3105</v>
      </c>
      <c r="BV823" s="2" t="s">
        <v>243</v>
      </c>
      <c r="BW823" s="2" t="s">
        <v>235</v>
      </c>
      <c r="BX823" s="2" t="s">
        <v>383</v>
      </c>
      <c r="BY823" s="2" t="s">
        <v>245</v>
      </c>
      <c r="BZ823" s="2" t="s">
        <v>232</v>
      </c>
      <c r="CA823" s="2" t="s">
        <v>675</v>
      </c>
      <c r="CB823" s="2" t="s">
        <v>3422</v>
      </c>
      <c r="CC823" s="2" t="s">
        <v>248</v>
      </c>
      <c r="CD823" s="2" t="s">
        <v>248</v>
      </c>
      <c r="CE823" s="2" t="s">
        <v>235</v>
      </c>
      <c r="CF823" s="4">
        <v>434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>
        <v>86</v>
      </c>
      <c r="EK823" s="4"/>
      <c r="EL823" s="4"/>
      <c r="EM823" s="4"/>
      <c r="EN823" s="4"/>
      <c r="EO823" s="4"/>
      <c r="EP823" s="4"/>
      <c r="EQ823" s="4">
        <v>154</v>
      </c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>
        <v>451</v>
      </c>
      <c r="GE823" s="4">
        <v>429</v>
      </c>
      <c r="GF823" s="4">
        <v>416</v>
      </c>
      <c r="GG823" s="4">
        <v>397</v>
      </c>
      <c r="GH823" s="4">
        <v>374</v>
      </c>
      <c r="GI823" s="4">
        <v>337</v>
      </c>
      <c r="GJ823" s="4">
        <v>269</v>
      </c>
      <c r="GK823" s="4">
        <v>234</v>
      </c>
      <c r="GL823" s="4">
        <v>200</v>
      </c>
      <c r="GM823" s="4">
        <v>262</v>
      </c>
      <c r="GN823" s="4">
        <v>393</v>
      </c>
      <c r="GO823" s="4">
        <v>366</v>
      </c>
      <c r="GP823" s="4">
        <v>336</v>
      </c>
      <c r="GQ823" s="4">
        <v>291</v>
      </c>
      <c r="GR823" s="4">
        <v>268</v>
      </c>
      <c r="GS823" s="4">
        <v>244</v>
      </c>
      <c r="GT823" s="4">
        <v>226</v>
      </c>
      <c r="GU823" s="4">
        <v>211</v>
      </c>
      <c r="GV823" s="4">
        <v>195</v>
      </c>
      <c r="GW823" s="4">
        <v>183</v>
      </c>
      <c r="GX823" s="4">
        <v>173</v>
      </c>
      <c r="GY823" s="4">
        <v>164</v>
      </c>
      <c r="GZ823" s="4">
        <v>155</v>
      </c>
      <c r="HA823" s="4">
        <v>146</v>
      </c>
      <c r="HB823" s="4">
        <v>137</v>
      </c>
      <c r="HC823" s="4">
        <v>128</v>
      </c>
      <c r="HD823" s="19">
        <v>23.7</v>
      </c>
      <c r="HE823" s="19">
        <v>18.7</v>
      </c>
      <c r="HF823" s="19">
        <v>11.2</v>
      </c>
      <c r="HG823" s="19">
        <v>9.7</v>
      </c>
      <c r="HH823" s="19">
        <v>8.5</v>
      </c>
      <c r="HI823" s="19">
        <v>8.4</v>
      </c>
      <c r="HJ823" s="19">
        <v>9.3</v>
      </c>
      <c r="HK823" s="19">
        <v>8.7</v>
      </c>
      <c r="HL823" s="19">
        <v>7.7</v>
      </c>
      <c r="HM823" s="19">
        <v>8.5</v>
      </c>
      <c r="HN823" s="19">
        <v>12.7</v>
      </c>
      <c r="HO823" s="19">
        <v>12.2</v>
      </c>
      <c r="HP823" s="19">
        <v>12</v>
      </c>
      <c r="HQ823" s="19">
        <v>14.6</v>
      </c>
      <c r="HR823" s="19">
        <v>14.9</v>
      </c>
      <c r="HS823" s="19">
        <v>16.3</v>
      </c>
      <c r="HT823" s="19">
        <v>17.4</v>
      </c>
      <c r="HU823" s="19">
        <v>17.6</v>
      </c>
      <c r="HV823" s="19">
        <v>19.5</v>
      </c>
      <c r="HW823" s="19">
        <v>20.3</v>
      </c>
      <c r="HX823" s="19">
        <v>19.2</v>
      </c>
      <c r="HY823" s="19">
        <v>18.2</v>
      </c>
      <c r="HZ823" s="19">
        <v>17.2</v>
      </c>
      <c r="IA823" s="19">
        <v>18.3</v>
      </c>
      <c r="IB823" s="19">
        <v>17.1</v>
      </c>
      <c r="IC823" s="19">
        <v>16</v>
      </c>
    </row>
    <row r="824">
      <c r="A824" s="2" t="s">
        <v>3423</v>
      </c>
      <c r="B824" s="2" t="s">
        <v>323</v>
      </c>
      <c r="C824" s="2" t="s">
        <v>1036</v>
      </c>
      <c r="D824" s="2" t="s">
        <v>257</v>
      </c>
      <c r="E824" s="2" t="s">
        <v>258</v>
      </c>
      <c r="F824" s="2" t="s">
        <v>3098</v>
      </c>
      <c r="G824" s="2" t="s">
        <v>3098</v>
      </c>
      <c r="H824" s="2" t="s">
        <v>3098</v>
      </c>
      <c r="I824" s="2" t="s">
        <v>2906</v>
      </c>
      <c r="J824" s="2" t="s">
        <v>394</v>
      </c>
      <c r="K824" s="2" t="s">
        <v>3424</v>
      </c>
      <c r="L824" s="3">
        <v>14.89</v>
      </c>
      <c r="M824" s="3">
        <v>15.63</v>
      </c>
      <c r="N824" s="3">
        <v>31.99</v>
      </c>
      <c r="O824" s="2" t="s">
        <v>232</v>
      </c>
      <c r="P824" s="2" t="s">
        <v>878</v>
      </c>
      <c r="Q824" s="2" t="s">
        <v>234</v>
      </c>
      <c r="R824" s="2" t="s">
        <v>235</v>
      </c>
      <c r="S824" s="2" t="s">
        <v>235</v>
      </c>
      <c r="T824" s="2" t="s">
        <v>2908</v>
      </c>
      <c r="U824" s="2" t="s">
        <v>552</v>
      </c>
      <c r="V824" s="2" t="s">
        <v>2182</v>
      </c>
      <c r="W824" s="2" t="s">
        <v>329</v>
      </c>
      <c r="X824" s="2" t="s">
        <v>235</v>
      </c>
      <c r="Y824" s="2" t="s">
        <v>235</v>
      </c>
      <c r="Z824" s="4"/>
      <c r="AA824" s="4">
        <f>=ROUNDDOWN({0},0)</f>
      </c>
      <c r="AB824" s="5"/>
      <c r="AC824" s="2" t="s">
        <v>235</v>
      </c>
      <c r="AD824" s="4"/>
      <c r="AE824" s="4"/>
      <c r="AF824" s="6">
        <v>77</v>
      </c>
      <c r="AG824" s="6"/>
      <c r="AH824" s="7"/>
      <c r="AI824" s="4"/>
      <c r="AJ824" s="4">
        <f>=ROUNDDOWN({0},0)</f>
      </c>
      <c r="AK824" s="5"/>
      <c r="AL824" s="2" t="s">
        <v>235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235</v>
      </c>
      <c r="AW824" s="8" t="s">
        <v>235</v>
      </c>
      <c r="AX824" s="4" t="s">
        <v>235</v>
      </c>
      <c r="AY824" s="8" t="s">
        <v>235</v>
      </c>
      <c r="AZ824" s="7" t="s">
        <v>235</v>
      </c>
      <c r="BA824" s="7" t="s">
        <v>235</v>
      </c>
      <c r="BB824" s="7"/>
      <c r="BC824" s="4" t="s">
        <v>235</v>
      </c>
      <c r="BD824" s="8" t="s">
        <v>235</v>
      </c>
      <c r="BE824" s="4" t="s">
        <v>235</v>
      </c>
      <c r="BF824" s="8" t="s">
        <v>235</v>
      </c>
      <c r="BG824" s="7" t="s">
        <v>235</v>
      </c>
      <c r="BH824" s="7" t="s">
        <v>235</v>
      </c>
      <c r="BI824" s="7"/>
      <c r="BJ824" s="4"/>
      <c r="BK824" s="8"/>
      <c r="BL824" s="2" t="s">
        <v>235</v>
      </c>
      <c r="BM824" s="7"/>
      <c r="BN824" s="7"/>
      <c r="BO824" s="4"/>
      <c r="BP824" s="8"/>
      <c r="BQ824" s="4"/>
      <c r="BR824" s="8"/>
      <c r="BS824" s="7"/>
      <c r="BT824" s="7"/>
      <c r="BU824" s="2" t="s">
        <v>330</v>
      </c>
      <c r="BV824" s="2" t="s">
        <v>235</v>
      </c>
      <c r="BW824" s="2" t="s">
        <v>235</v>
      </c>
      <c r="BX824" s="2" t="s">
        <v>330</v>
      </c>
      <c r="BY824" s="2" t="s">
        <v>331</v>
      </c>
      <c r="BZ824" s="2" t="s">
        <v>232</v>
      </c>
      <c r="CA824" s="2" t="s">
        <v>235</v>
      </c>
      <c r="CB824" s="2" t="s">
        <v>235</v>
      </c>
      <c r="CC824" s="2" t="s">
        <v>248</v>
      </c>
      <c r="CD824" s="2" t="s">
        <v>248</v>
      </c>
      <c r="CE824" s="2" t="s">
        <v>235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</row>
    <row r="825">
      <c r="A825" s="2" t="s">
        <v>3425</v>
      </c>
      <c r="B825" s="2" t="s">
        <v>323</v>
      </c>
      <c r="C825" s="2" t="s">
        <v>1036</v>
      </c>
      <c r="D825" s="2" t="s">
        <v>257</v>
      </c>
      <c r="E825" s="2" t="s">
        <v>258</v>
      </c>
      <c r="F825" s="2" t="s">
        <v>3098</v>
      </c>
      <c r="G825" s="2" t="s">
        <v>3098</v>
      </c>
      <c r="H825" s="2" t="s">
        <v>3098</v>
      </c>
      <c r="I825" s="2" t="s">
        <v>2906</v>
      </c>
      <c r="J825" s="2" t="s">
        <v>230</v>
      </c>
      <c r="K825" s="2" t="s">
        <v>3424</v>
      </c>
      <c r="L825" s="3">
        <v>16.16</v>
      </c>
      <c r="M825" s="3">
        <v>16.97</v>
      </c>
      <c r="N825" s="3">
        <v>34.99</v>
      </c>
      <c r="O825" s="2" t="s">
        <v>232</v>
      </c>
      <c r="P825" s="2" t="s">
        <v>878</v>
      </c>
      <c r="Q825" s="2" t="s">
        <v>234</v>
      </c>
      <c r="R825" s="2" t="s">
        <v>235</v>
      </c>
      <c r="S825" s="2" t="s">
        <v>235</v>
      </c>
      <c r="T825" s="2" t="s">
        <v>2908</v>
      </c>
      <c r="U825" s="2" t="s">
        <v>552</v>
      </c>
      <c r="V825" s="2" t="s">
        <v>2182</v>
      </c>
      <c r="W825" s="2" t="s">
        <v>329</v>
      </c>
      <c r="X825" s="2" t="s">
        <v>235</v>
      </c>
      <c r="Y825" s="2" t="s">
        <v>235</v>
      </c>
      <c r="Z825" s="4"/>
      <c r="AA825" s="4">
        <f>=ROUNDDOWN({0},0)</f>
      </c>
      <c r="AB825" s="5"/>
      <c r="AC825" s="2" t="s">
        <v>235</v>
      </c>
      <c r="AD825" s="4"/>
      <c r="AE825" s="4"/>
      <c r="AF825" s="6">
        <v>77</v>
      </c>
      <c r="AG825" s="6"/>
      <c r="AH825" s="7"/>
      <c r="AI825" s="4"/>
      <c r="AJ825" s="4">
        <f>=ROUNDDOWN({0},0)</f>
      </c>
      <c r="AK825" s="5"/>
      <c r="AL825" s="2" t="s">
        <v>235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235</v>
      </c>
      <c r="AW825" s="8" t="s">
        <v>235</v>
      </c>
      <c r="AX825" s="4" t="s">
        <v>235</v>
      </c>
      <c r="AY825" s="8" t="s">
        <v>235</v>
      </c>
      <c r="AZ825" s="7" t="s">
        <v>235</v>
      </c>
      <c r="BA825" s="7" t="s">
        <v>235</v>
      </c>
      <c r="BB825" s="7"/>
      <c r="BC825" s="4" t="s">
        <v>235</v>
      </c>
      <c r="BD825" s="8" t="s">
        <v>235</v>
      </c>
      <c r="BE825" s="4" t="s">
        <v>235</v>
      </c>
      <c r="BF825" s="8" t="s">
        <v>235</v>
      </c>
      <c r="BG825" s="7" t="s">
        <v>235</v>
      </c>
      <c r="BH825" s="7" t="s">
        <v>235</v>
      </c>
      <c r="BI825" s="7"/>
      <c r="BJ825" s="4"/>
      <c r="BK825" s="8"/>
      <c r="BL825" s="2" t="s">
        <v>235</v>
      </c>
      <c r="BM825" s="7"/>
      <c r="BN825" s="7"/>
      <c r="BO825" s="4"/>
      <c r="BP825" s="8"/>
      <c r="BQ825" s="4"/>
      <c r="BR825" s="8"/>
      <c r="BS825" s="7"/>
      <c r="BT825" s="7"/>
      <c r="BU825" s="2" t="s">
        <v>330</v>
      </c>
      <c r="BV825" s="2" t="s">
        <v>235</v>
      </c>
      <c r="BW825" s="2" t="s">
        <v>235</v>
      </c>
      <c r="BX825" s="2" t="s">
        <v>330</v>
      </c>
      <c r="BY825" s="2" t="s">
        <v>331</v>
      </c>
      <c r="BZ825" s="2" t="s">
        <v>232</v>
      </c>
      <c r="CA825" s="2" t="s">
        <v>235</v>
      </c>
      <c r="CB825" s="2" t="s">
        <v>235</v>
      </c>
      <c r="CC825" s="2" t="s">
        <v>248</v>
      </c>
      <c r="CD825" s="2" t="s">
        <v>248</v>
      </c>
      <c r="CE825" s="2" t="s">
        <v>235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</row>
    <row r="826">
      <c r="A826" s="2" t="s">
        <v>3426</v>
      </c>
      <c r="B826" s="2" t="s">
        <v>323</v>
      </c>
      <c r="C826" s="2" t="s">
        <v>1036</v>
      </c>
      <c r="D826" s="2" t="s">
        <v>257</v>
      </c>
      <c r="E826" s="2" t="s">
        <v>258</v>
      </c>
      <c r="F826" s="2" t="s">
        <v>3098</v>
      </c>
      <c r="G826" s="2" t="s">
        <v>3098</v>
      </c>
      <c r="H826" s="2" t="s">
        <v>3098</v>
      </c>
      <c r="I826" s="2" t="s">
        <v>2906</v>
      </c>
      <c r="J826" s="2" t="s">
        <v>250</v>
      </c>
      <c r="K826" s="2" t="s">
        <v>3424</v>
      </c>
      <c r="L826" s="3">
        <v>20.54</v>
      </c>
      <c r="M826" s="3">
        <v>21.57</v>
      </c>
      <c r="N826" s="3">
        <v>42.99</v>
      </c>
      <c r="O826" s="2" t="s">
        <v>232</v>
      </c>
      <c r="P826" s="2" t="s">
        <v>878</v>
      </c>
      <c r="Q826" s="2" t="s">
        <v>234</v>
      </c>
      <c r="R826" s="2" t="s">
        <v>235</v>
      </c>
      <c r="S826" s="2" t="s">
        <v>235</v>
      </c>
      <c r="T826" s="2" t="s">
        <v>2908</v>
      </c>
      <c r="U826" s="2" t="s">
        <v>264</v>
      </c>
      <c r="V826" s="2" t="s">
        <v>2182</v>
      </c>
      <c r="W826" s="2" t="s">
        <v>329</v>
      </c>
      <c r="X826" s="2" t="s">
        <v>235</v>
      </c>
      <c r="Y826" s="2" t="s">
        <v>3320</v>
      </c>
      <c r="Z826" s="4">
        <v>370</v>
      </c>
      <c r="AA826" s="4">
        <f>=ROUNDDOWN(925,0)</f>
      </c>
      <c r="AB826" s="5">
        <v>0.4</v>
      </c>
      <c r="AC826" s="2" t="s">
        <v>2503</v>
      </c>
      <c r="AD826" s="4">
        <v>372</v>
      </c>
      <c r="AE826" s="4">
        <v>1122</v>
      </c>
      <c r="AF826" s="6">
        <v>77</v>
      </c>
      <c r="AG826" s="6"/>
      <c r="AH826" s="7">
        <v>1</v>
      </c>
      <c r="AI826" s="4"/>
      <c r="AJ826" s="4">
        <f>=ROUNDDOWN({0},0)</f>
      </c>
      <c r="AK826" s="5"/>
      <c r="AL826" s="2" t="s">
        <v>235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235</v>
      </c>
      <c r="AW826" s="8" t="s">
        <v>235</v>
      </c>
      <c r="AX826" s="4" t="s">
        <v>235</v>
      </c>
      <c r="AY826" s="8" t="s">
        <v>235</v>
      </c>
      <c r="AZ826" s="7" t="s">
        <v>235</v>
      </c>
      <c r="BA826" s="7" t="s">
        <v>235</v>
      </c>
      <c r="BB826" s="7"/>
      <c r="BC826" s="4" t="s">
        <v>235</v>
      </c>
      <c r="BD826" s="8" t="s">
        <v>235</v>
      </c>
      <c r="BE826" s="4" t="s">
        <v>235</v>
      </c>
      <c r="BF826" s="8" t="s">
        <v>235</v>
      </c>
      <c r="BG826" s="7" t="s">
        <v>235</v>
      </c>
      <c r="BH826" s="7" t="s">
        <v>235</v>
      </c>
      <c r="BI826" s="7"/>
      <c r="BJ826" s="4">
        <v>1</v>
      </c>
      <c r="BK826" s="8">
        <v>23.62</v>
      </c>
      <c r="BL826" s="2" t="s">
        <v>1226</v>
      </c>
      <c r="BM826" s="7"/>
      <c r="BN826" s="7"/>
      <c r="BO826" s="4"/>
      <c r="BP826" s="8"/>
      <c r="BQ826" s="4"/>
      <c r="BR826" s="8"/>
      <c r="BS826" s="7"/>
      <c r="BT826" s="7"/>
      <c r="BU826" s="2" t="s">
        <v>3318</v>
      </c>
      <c r="BV826" s="2" t="s">
        <v>235</v>
      </c>
      <c r="BW826" s="2" t="s">
        <v>235</v>
      </c>
      <c r="BX826" s="2" t="s">
        <v>244</v>
      </c>
      <c r="BY826" s="2" t="s">
        <v>245</v>
      </c>
      <c r="BZ826" s="2" t="s">
        <v>232</v>
      </c>
      <c r="CA826" s="2" t="s">
        <v>235</v>
      </c>
      <c r="CB826" s="2" t="s">
        <v>235</v>
      </c>
      <c r="CC826" s="2" t="s">
        <v>248</v>
      </c>
      <c r="CD826" s="2" t="s">
        <v>248</v>
      </c>
      <c r="CE826" s="2" t="s">
        <v>235</v>
      </c>
      <c r="CF826" s="4">
        <v>370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>
        <v>372</v>
      </c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>
        <v>248</v>
      </c>
      <c r="EI826" s="4"/>
      <c r="EJ826" s="4"/>
      <c r="EK826" s="4"/>
      <c r="EL826" s="4">
        <v>502</v>
      </c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>
        <v>370</v>
      </c>
      <c r="GE826" s="4">
        <v>272</v>
      </c>
      <c r="GF826" s="4">
        <v>623</v>
      </c>
      <c r="GG826" s="4">
        <v>590</v>
      </c>
      <c r="GH826" s="4">
        <v>548</v>
      </c>
      <c r="GI826" s="4">
        <v>483</v>
      </c>
      <c r="GJ826" s="4">
        <v>350</v>
      </c>
      <c r="GK826" s="4">
        <v>283</v>
      </c>
      <c r="GL826" s="4">
        <v>218</v>
      </c>
      <c r="GM826" s="4">
        <v>421</v>
      </c>
      <c r="GN826" s="4">
        <v>876</v>
      </c>
      <c r="GO826" s="4">
        <v>820</v>
      </c>
      <c r="GP826" s="4">
        <v>758</v>
      </c>
      <c r="GQ826" s="4">
        <v>661</v>
      </c>
      <c r="GR826" s="4">
        <v>611</v>
      </c>
      <c r="GS826" s="4">
        <v>561</v>
      </c>
      <c r="GT826" s="4">
        <v>524</v>
      </c>
      <c r="GU826" s="4">
        <v>493</v>
      </c>
      <c r="GV826" s="4">
        <v>459</v>
      </c>
      <c r="GW826" s="4">
        <v>435</v>
      </c>
      <c r="GX826" s="4">
        <v>415</v>
      </c>
      <c r="GY826" s="4">
        <v>397</v>
      </c>
      <c r="GZ826" s="4">
        <v>378</v>
      </c>
      <c r="HA826" s="4">
        <v>359</v>
      </c>
      <c r="HB826" s="4">
        <v>340</v>
      </c>
      <c r="HC826" s="4">
        <v>321</v>
      </c>
      <c r="HD826" s="19">
        <v>7.7</v>
      </c>
      <c r="HE826" s="19">
        <v>6.8</v>
      </c>
      <c r="HF826" s="19">
        <v>9.2</v>
      </c>
      <c r="HG826" s="19">
        <v>7.7</v>
      </c>
      <c r="HH826" s="19">
        <v>6.7</v>
      </c>
      <c r="HI826" s="19">
        <v>6.2</v>
      </c>
      <c r="HJ826" s="19">
        <v>6.3</v>
      </c>
      <c r="HK826" s="19">
        <v>5.3</v>
      </c>
      <c r="HL826" s="19">
        <v>4.2</v>
      </c>
      <c r="HM826" s="19">
        <v>6.4</v>
      </c>
      <c r="HN826" s="19">
        <v>13.3</v>
      </c>
      <c r="HO826" s="19">
        <v>12.6</v>
      </c>
      <c r="HP826" s="19">
        <v>13.1</v>
      </c>
      <c r="HQ826" s="19">
        <v>15.7</v>
      </c>
      <c r="HR826" s="19">
        <v>16.1</v>
      </c>
      <c r="HS826" s="19">
        <v>17.5</v>
      </c>
      <c r="HT826" s="19">
        <v>19.4</v>
      </c>
      <c r="HU826" s="19">
        <v>20.5</v>
      </c>
      <c r="HV826" s="19">
        <v>23</v>
      </c>
      <c r="HW826" s="19">
        <v>22.9</v>
      </c>
      <c r="HX826" s="19">
        <v>21.8</v>
      </c>
      <c r="HY826" s="19">
        <v>20.9</v>
      </c>
      <c r="HZ826" s="19">
        <v>21</v>
      </c>
      <c r="IA826" s="19">
        <v>19.9</v>
      </c>
      <c r="IB826" s="19">
        <v>20</v>
      </c>
      <c r="IC826" s="19">
        <v>20.1</v>
      </c>
    </row>
    <row r="827">
      <c r="A827" s="2" t="s">
        <v>3427</v>
      </c>
      <c r="B827" s="2" t="s">
        <v>323</v>
      </c>
      <c r="C827" s="2" t="s">
        <v>1036</v>
      </c>
      <c r="D827" s="2" t="s">
        <v>257</v>
      </c>
      <c r="E827" s="2" t="s">
        <v>258</v>
      </c>
      <c r="F827" s="2" t="s">
        <v>3098</v>
      </c>
      <c r="G827" s="2" t="s">
        <v>3098</v>
      </c>
      <c r="H827" s="2" t="s">
        <v>3098</v>
      </c>
      <c r="I827" s="2" t="s">
        <v>2906</v>
      </c>
      <c r="J827" s="2" t="s">
        <v>261</v>
      </c>
      <c r="K827" s="2" t="s">
        <v>3424</v>
      </c>
      <c r="L827" s="3">
        <v>23.32</v>
      </c>
      <c r="M827" s="3">
        <v>24.49</v>
      </c>
      <c r="N827" s="3">
        <v>47.99</v>
      </c>
      <c r="O827" s="2" t="s">
        <v>232</v>
      </c>
      <c r="P827" s="2" t="s">
        <v>878</v>
      </c>
      <c r="Q827" s="2" t="s">
        <v>234</v>
      </c>
      <c r="R827" s="2" t="s">
        <v>235</v>
      </c>
      <c r="S827" s="2" t="s">
        <v>235</v>
      </c>
      <c r="T827" s="2" t="s">
        <v>2908</v>
      </c>
      <c r="U827" s="2" t="s">
        <v>264</v>
      </c>
      <c r="V827" s="2" t="s">
        <v>2182</v>
      </c>
      <c r="W827" s="2" t="s">
        <v>329</v>
      </c>
      <c r="X827" s="2" t="s">
        <v>235</v>
      </c>
      <c r="Y827" s="2" t="s">
        <v>3320</v>
      </c>
      <c r="Z827" s="4">
        <v>561</v>
      </c>
      <c r="AA827" s="4">
        <f>=ROUNDDOWN(280.5,0)</f>
      </c>
      <c r="AB827" s="5">
        <v>2</v>
      </c>
      <c r="AC827" s="2" t="s">
        <v>2503</v>
      </c>
      <c r="AD827" s="4">
        <v>579</v>
      </c>
      <c r="AE827" s="4">
        <v>1439</v>
      </c>
      <c r="AF827" s="6">
        <v>77</v>
      </c>
      <c r="AG827" s="6"/>
      <c r="AH827" s="7">
        <v>1</v>
      </c>
      <c r="AI827" s="4"/>
      <c r="AJ827" s="4">
        <f>=ROUNDDOWN({0},0)</f>
      </c>
      <c r="AK827" s="5"/>
      <c r="AL827" s="2" t="s">
        <v>235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235</v>
      </c>
      <c r="AW827" s="8" t="s">
        <v>235</v>
      </c>
      <c r="AX827" s="4" t="s">
        <v>235</v>
      </c>
      <c r="AY827" s="8" t="s">
        <v>235</v>
      </c>
      <c r="AZ827" s="7" t="s">
        <v>235</v>
      </c>
      <c r="BA827" s="7" t="s">
        <v>235</v>
      </c>
      <c r="BB827" s="7"/>
      <c r="BC827" s="4" t="s">
        <v>235</v>
      </c>
      <c r="BD827" s="8" t="s">
        <v>235</v>
      </c>
      <c r="BE827" s="4" t="s">
        <v>235</v>
      </c>
      <c r="BF827" s="8" t="s">
        <v>235</v>
      </c>
      <c r="BG827" s="7" t="s">
        <v>235</v>
      </c>
      <c r="BH827" s="7" t="s">
        <v>235</v>
      </c>
      <c r="BI827" s="7"/>
      <c r="BJ827" s="4"/>
      <c r="BK827" s="8"/>
      <c r="BL827" s="2" t="s">
        <v>235</v>
      </c>
      <c r="BM827" s="7"/>
      <c r="BN827" s="7"/>
      <c r="BO827" s="4"/>
      <c r="BP827" s="8"/>
      <c r="BQ827" s="4"/>
      <c r="BR827" s="8"/>
      <c r="BS827" s="7"/>
      <c r="BT827" s="7"/>
      <c r="BU827" s="2" t="s">
        <v>3318</v>
      </c>
      <c r="BV827" s="2" t="s">
        <v>235</v>
      </c>
      <c r="BW827" s="2" t="s">
        <v>235</v>
      </c>
      <c r="BX827" s="2" t="s">
        <v>244</v>
      </c>
      <c r="BY827" s="2" t="s">
        <v>245</v>
      </c>
      <c r="BZ827" s="2" t="s">
        <v>232</v>
      </c>
      <c r="CA827" s="2" t="s">
        <v>235</v>
      </c>
      <c r="CB827" s="2" t="s">
        <v>235</v>
      </c>
      <c r="CC827" s="2" t="s">
        <v>248</v>
      </c>
      <c r="CD827" s="2" t="s">
        <v>248</v>
      </c>
      <c r="CE827" s="2" t="s">
        <v>235</v>
      </c>
      <c r="CF827" s="4">
        <v>561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>
        <v>579</v>
      </c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>
        <v>386</v>
      </c>
      <c r="EI827" s="4"/>
      <c r="EJ827" s="4"/>
      <c r="EK827" s="4"/>
      <c r="EL827" s="4">
        <v>474</v>
      </c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>
        <v>563</v>
      </c>
      <c r="GE827" s="4">
        <v>422</v>
      </c>
      <c r="GF827" s="4">
        <v>970</v>
      </c>
      <c r="GG827" s="4">
        <v>920</v>
      </c>
      <c r="GH827" s="4">
        <v>858</v>
      </c>
      <c r="GI827" s="4">
        <v>762</v>
      </c>
      <c r="GJ827" s="4">
        <v>570</v>
      </c>
      <c r="GK827" s="4">
        <v>480</v>
      </c>
      <c r="GL827" s="4">
        <v>393</v>
      </c>
      <c r="GM827" s="4">
        <v>723</v>
      </c>
      <c r="GN827" s="4">
        <v>1157</v>
      </c>
      <c r="GO827" s="4">
        <v>1110</v>
      </c>
      <c r="GP827" s="4">
        <v>1076</v>
      </c>
      <c r="GQ827" s="4">
        <v>1051</v>
      </c>
      <c r="GR827" s="4">
        <v>1032</v>
      </c>
      <c r="GS827" s="4">
        <v>1010</v>
      </c>
      <c r="GT827" s="4">
        <v>988</v>
      </c>
      <c r="GU827" s="4">
        <v>966</v>
      </c>
      <c r="GV827" s="4">
        <v>944</v>
      </c>
      <c r="GW827" s="4">
        <v>928</v>
      </c>
      <c r="GX827" s="4">
        <v>912</v>
      </c>
      <c r="GY827" s="4">
        <v>896</v>
      </c>
      <c r="GZ827" s="4">
        <v>879</v>
      </c>
      <c r="HA827" s="4">
        <v>862</v>
      </c>
      <c r="HB827" s="4">
        <v>845</v>
      </c>
      <c r="HC827" s="4">
        <v>828</v>
      </c>
      <c r="HD827" s="19">
        <v>7.9</v>
      </c>
      <c r="HE827" s="19">
        <v>7</v>
      </c>
      <c r="HF827" s="19">
        <v>9.7</v>
      </c>
      <c r="HG827" s="19">
        <v>8.4</v>
      </c>
      <c r="HH827" s="19">
        <v>7.4</v>
      </c>
      <c r="HI827" s="19">
        <v>7.2</v>
      </c>
      <c r="HJ827" s="19">
        <v>8.4</v>
      </c>
      <c r="HK827" s="19">
        <v>8.3</v>
      </c>
      <c r="HL827" s="19">
        <v>8.9</v>
      </c>
      <c r="HM827" s="19">
        <v>20.1</v>
      </c>
      <c r="HN827" s="19">
        <v>37.3</v>
      </c>
      <c r="HO827" s="19">
        <v>44.4</v>
      </c>
      <c r="HP827" s="19">
        <v>48.9</v>
      </c>
      <c r="HQ827" s="19">
        <v>50</v>
      </c>
      <c r="HR827" s="19">
        <v>46.9</v>
      </c>
      <c r="HS827" s="19">
        <v>50.5</v>
      </c>
      <c r="HT827" s="19">
        <v>52</v>
      </c>
      <c r="HU827" s="19">
        <v>53.7</v>
      </c>
      <c r="HV827" s="19">
        <v>59</v>
      </c>
      <c r="HW827" s="19">
        <v>58</v>
      </c>
      <c r="HX827" s="19">
        <v>53.6</v>
      </c>
      <c r="HY827" s="19">
        <v>52.7</v>
      </c>
      <c r="HZ827" s="19">
        <v>51.7</v>
      </c>
      <c r="IA827" s="19">
        <v>50.7</v>
      </c>
      <c r="IB827" s="19">
        <v>52.8</v>
      </c>
      <c r="IC827" s="19">
        <v>55.2</v>
      </c>
    </row>
    <row r="828">
      <c r="A828" s="2" t="s">
        <v>3428</v>
      </c>
      <c r="B828" s="2" t="s">
        <v>323</v>
      </c>
      <c r="C828" s="2" t="s">
        <v>1036</v>
      </c>
      <c r="D828" s="2" t="s">
        <v>257</v>
      </c>
      <c r="E828" s="2" t="s">
        <v>258</v>
      </c>
      <c r="F828" s="2" t="s">
        <v>3098</v>
      </c>
      <c r="G828" s="2" t="s">
        <v>3098</v>
      </c>
      <c r="H828" s="2" t="s">
        <v>3098</v>
      </c>
      <c r="I828" s="2" t="s">
        <v>2906</v>
      </c>
      <c r="J828" s="2" t="s">
        <v>270</v>
      </c>
      <c r="K828" s="2" t="s">
        <v>3424</v>
      </c>
      <c r="L828" s="3">
        <v>28.76</v>
      </c>
      <c r="M828" s="3">
        <v>30.2</v>
      </c>
      <c r="N828" s="3">
        <v>62.99</v>
      </c>
      <c r="O828" s="2" t="s">
        <v>232</v>
      </c>
      <c r="P828" s="2" t="s">
        <v>878</v>
      </c>
      <c r="Q828" s="2" t="s">
        <v>234</v>
      </c>
      <c r="R828" s="2" t="s">
        <v>235</v>
      </c>
      <c r="S828" s="2" t="s">
        <v>235</v>
      </c>
      <c r="T828" s="2" t="s">
        <v>2908</v>
      </c>
      <c r="U828" s="2" t="s">
        <v>264</v>
      </c>
      <c r="V828" s="2" t="s">
        <v>2182</v>
      </c>
      <c r="W828" s="2" t="s">
        <v>329</v>
      </c>
      <c r="X828" s="2" t="s">
        <v>235</v>
      </c>
      <c r="Y828" s="2" t="s">
        <v>3317</v>
      </c>
      <c r="Z828" s="4">
        <v>203</v>
      </c>
      <c r="AA828" s="4">
        <f>=ROUNDDOWN({0},0)</f>
      </c>
      <c r="AB828" s="5"/>
      <c r="AC828" s="2" t="s">
        <v>2503</v>
      </c>
      <c r="AD828" s="4">
        <v>204</v>
      </c>
      <c r="AE828" s="4">
        <v>473</v>
      </c>
      <c r="AF828" s="6">
        <v>77</v>
      </c>
      <c r="AG828" s="6"/>
      <c r="AH828" s="7">
        <v>1</v>
      </c>
      <c r="AI828" s="4"/>
      <c r="AJ828" s="4">
        <f>=ROUNDDOWN({0},0)</f>
      </c>
      <c r="AK828" s="5"/>
      <c r="AL828" s="2" t="s">
        <v>235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235</v>
      </c>
      <c r="AW828" s="8" t="s">
        <v>235</v>
      </c>
      <c r="AX828" s="4" t="s">
        <v>235</v>
      </c>
      <c r="AY828" s="8" t="s">
        <v>235</v>
      </c>
      <c r="AZ828" s="7" t="s">
        <v>235</v>
      </c>
      <c r="BA828" s="7" t="s">
        <v>235</v>
      </c>
      <c r="BB828" s="7"/>
      <c r="BC828" s="4" t="s">
        <v>235</v>
      </c>
      <c r="BD828" s="8" t="s">
        <v>235</v>
      </c>
      <c r="BE828" s="4" t="s">
        <v>235</v>
      </c>
      <c r="BF828" s="8" t="s">
        <v>235</v>
      </c>
      <c r="BG828" s="7" t="s">
        <v>235</v>
      </c>
      <c r="BH828" s="7" t="s">
        <v>235</v>
      </c>
      <c r="BI828" s="7"/>
      <c r="BJ828" s="4"/>
      <c r="BK828" s="8"/>
      <c r="BL828" s="2" t="s">
        <v>235</v>
      </c>
      <c r="BM828" s="7"/>
      <c r="BN828" s="7"/>
      <c r="BO828" s="4"/>
      <c r="BP828" s="8"/>
      <c r="BQ828" s="4"/>
      <c r="BR828" s="8"/>
      <c r="BS828" s="7"/>
      <c r="BT828" s="7"/>
      <c r="BU828" s="2" t="s">
        <v>3318</v>
      </c>
      <c r="BV828" s="2" t="s">
        <v>235</v>
      </c>
      <c r="BW828" s="2" t="s">
        <v>235</v>
      </c>
      <c r="BX828" s="2" t="s">
        <v>244</v>
      </c>
      <c r="BY828" s="2" t="s">
        <v>245</v>
      </c>
      <c r="BZ828" s="2" t="s">
        <v>232</v>
      </c>
      <c r="CA828" s="2" t="s">
        <v>235</v>
      </c>
      <c r="CB828" s="2" t="s">
        <v>235</v>
      </c>
      <c r="CC828" s="2" t="s">
        <v>248</v>
      </c>
      <c r="CD828" s="2" t="s">
        <v>248</v>
      </c>
      <c r="CE828" s="2" t="s">
        <v>235</v>
      </c>
      <c r="CF828" s="4">
        <v>203</v>
      </c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>
        <v>204</v>
      </c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>
        <v>136</v>
      </c>
      <c r="EI828" s="4"/>
      <c r="EJ828" s="4"/>
      <c r="EK828" s="4"/>
      <c r="EL828" s="4">
        <v>133</v>
      </c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>
        <v>203</v>
      </c>
      <c r="GE828" s="4">
        <v>164</v>
      </c>
      <c r="GF828" s="4">
        <v>359</v>
      </c>
      <c r="GG828" s="4">
        <v>345</v>
      </c>
      <c r="GH828" s="4">
        <v>328</v>
      </c>
      <c r="GI828" s="4">
        <v>301</v>
      </c>
      <c r="GJ828" s="4">
        <v>245</v>
      </c>
      <c r="GK828" s="4">
        <v>216</v>
      </c>
      <c r="GL828" s="4">
        <v>188</v>
      </c>
      <c r="GM828" s="4">
        <v>304</v>
      </c>
      <c r="GN828" s="4">
        <v>413</v>
      </c>
      <c r="GO828" s="4">
        <v>383</v>
      </c>
      <c r="GP828" s="4">
        <v>346</v>
      </c>
      <c r="GQ828" s="4">
        <v>284</v>
      </c>
      <c r="GR828" s="4">
        <v>253</v>
      </c>
      <c r="GS828" s="4">
        <v>222</v>
      </c>
      <c r="GT828" s="4">
        <v>200</v>
      </c>
      <c r="GU828" s="4">
        <v>182</v>
      </c>
      <c r="GV828" s="4">
        <v>162</v>
      </c>
      <c r="GW828" s="4">
        <v>148</v>
      </c>
      <c r="GX828" s="4">
        <v>137</v>
      </c>
      <c r="GY828" s="4">
        <v>128</v>
      </c>
      <c r="GZ828" s="4">
        <v>118</v>
      </c>
      <c r="HA828" s="4">
        <v>108</v>
      </c>
      <c r="HB828" s="4">
        <v>98</v>
      </c>
      <c r="HC828" s="4">
        <v>88</v>
      </c>
      <c r="HD828" s="19">
        <v>10.2</v>
      </c>
      <c r="HE828" s="19">
        <v>9.6</v>
      </c>
      <c r="HF828" s="19">
        <v>12.8</v>
      </c>
      <c r="HG828" s="19">
        <v>10.8</v>
      </c>
      <c r="HH828" s="19">
        <v>9.4</v>
      </c>
      <c r="HI828" s="19">
        <v>9.1</v>
      </c>
      <c r="HJ828" s="19">
        <v>9.8</v>
      </c>
      <c r="HK828" s="19">
        <v>8.3</v>
      </c>
      <c r="HL828" s="19">
        <v>6.7</v>
      </c>
      <c r="HM828" s="19">
        <v>8</v>
      </c>
      <c r="HN828" s="19">
        <v>10.3</v>
      </c>
      <c r="HO828" s="19">
        <v>9.6</v>
      </c>
      <c r="HP828" s="19">
        <v>9.6</v>
      </c>
      <c r="HQ828" s="19">
        <v>10.9</v>
      </c>
      <c r="HR828" s="19">
        <v>11</v>
      </c>
      <c r="HS828" s="19">
        <v>12.3</v>
      </c>
      <c r="HT828" s="19">
        <v>12.5</v>
      </c>
      <c r="HU828" s="19">
        <v>13</v>
      </c>
      <c r="HV828" s="19">
        <v>14.7</v>
      </c>
      <c r="HW828" s="19">
        <v>14.8</v>
      </c>
      <c r="HX828" s="19">
        <v>13.7</v>
      </c>
      <c r="HY828" s="19">
        <v>12.8</v>
      </c>
      <c r="HZ828" s="19">
        <v>11.8</v>
      </c>
      <c r="IA828" s="19">
        <v>10.8</v>
      </c>
      <c r="IB828" s="19">
        <v>10.9</v>
      </c>
      <c r="IC828" s="19">
        <v>11</v>
      </c>
    </row>
    <row r="829">
      <c r="A829" s="2" t="s">
        <v>3429</v>
      </c>
      <c r="B829" s="2" t="s">
        <v>323</v>
      </c>
      <c r="C829" s="2" t="s">
        <v>1036</v>
      </c>
      <c r="D829" s="2" t="s">
        <v>257</v>
      </c>
      <c r="E829" s="2" t="s">
        <v>258</v>
      </c>
      <c r="F829" s="2" t="s">
        <v>3098</v>
      </c>
      <c r="G829" s="2" t="s">
        <v>3098</v>
      </c>
      <c r="H829" s="2" t="s">
        <v>3098</v>
      </c>
      <c r="I829" s="2" t="s">
        <v>2906</v>
      </c>
      <c r="J829" s="2" t="s">
        <v>272</v>
      </c>
      <c r="K829" s="2" t="s">
        <v>3424</v>
      </c>
      <c r="L829" s="3">
        <v>28.76</v>
      </c>
      <c r="M829" s="3">
        <v>30.2</v>
      </c>
      <c r="N829" s="3">
        <v>62.99</v>
      </c>
      <c r="O829" s="2" t="s">
        <v>232</v>
      </c>
      <c r="P829" s="2" t="s">
        <v>878</v>
      </c>
      <c r="Q829" s="2" t="s">
        <v>234</v>
      </c>
      <c r="R829" s="2" t="s">
        <v>235</v>
      </c>
      <c r="S829" s="2" t="s">
        <v>235</v>
      </c>
      <c r="T829" s="2" t="s">
        <v>2908</v>
      </c>
      <c r="U829" s="2" t="s">
        <v>264</v>
      </c>
      <c r="V829" s="2" t="s">
        <v>2182</v>
      </c>
      <c r="W829" s="2" t="s">
        <v>329</v>
      </c>
      <c r="X829" s="2" t="s">
        <v>235</v>
      </c>
      <c r="Y829" s="2" t="s">
        <v>3317</v>
      </c>
      <c r="Z829" s="4">
        <v>45</v>
      </c>
      <c r="AA829" s="4">
        <f>=ROUNDDOWN({0},0)</f>
      </c>
      <c r="AB829" s="5"/>
      <c r="AC829" s="2" t="s">
        <v>2503</v>
      </c>
      <c r="AD829" s="4">
        <v>45</v>
      </c>
      <c r="AE829" s="4">
        <v>113</v>
      </c>
      <c r="AF829" s="6">
        <v>77</v>
      </c>
      <c r="AG829" s="6"/>
      <c r="AH829" s="7">
        <v>1</v>
      </c>
      <c r="AI829" s="4"/>
      <c r="AJ829" s="4">
        <f>=ROUNDDOWN({0},0)</f>
      </c>
      <c r="AK829" s="5"/>
      <c r="AL829" s="2" t="s">
        <v>235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235</v>
      </c>
      <c r="AW829" s="8" t="s">
        <v>235</v>
      </c>
      <c r="AX829" s="4" t="s">
        <v>235</v>
      </c>
      <c r="AY829" s="8" t="s">
        <v>235</v>
      </c>
      <c r="AZ829" s="7" t="s">
        <v>235</v>
      </c>
      <c r="BA829" s="7" t="s">
        <v>235</v>
      </c>
      <c r="BB829" s="7"/>
      <c r="BC829" s="4" t="s">
        <v>235</v>
      </c>
      <c r="BD829" s="8" t="s">
        <v>235</v>
      </c>
      <c r="BE829" s="4" t="s">
        <v>235</v>
      </c>
      <c r="BF829" s="8" t="s">
        <v>235</v>
      </c>
      <c r="BG829" s="7" t="s">
        <v>235</v>
      </c>
      <c r="BH829" s="7" t="s">
        <v>235</v>
      </c>
      <c r="BI829" s="7"/>
      <c r="BJ829" s="4"/>
      <c r="BK829" s="8"/>
      <c r="BL829" s="2" t="s">
        <v>235</v>
      </c>
      <c r="BM829" s="7"/>
      <c r="BN829" s="7"/>
      <c r="BO829" s="4"/>
      <c r="BP829" s="8"/>
      <c r="BQ829" s="4"/>
      <c r="BR829" s="8"/>
      <c r="BS829" s="7"/>
      <c r="BT829" s="7"/>
      <c r="BU829" s="2" t="s">
        <v>3318</v>
      </c>
      <c r="BV829" s="2" t="s">
        <v>235</v>
      </c>
      <c r="BW829" s="2" t="s">
        <v>235</v>
      </c>
      <c r="BX829" s="2" t="s">
        <v>244</v>
      </c>
      <c r="BY829" s="2" t="s">
        <v>245</v>
      </c>
      <c r="BZ829" s="2" t="s">
        <v>232</v>
      </c>
      <c r="CA829" s="2" t="s">
        <v>235</v>
      </c>
      <c r="CB829" s="2" t="s">
        <v>235</v>
      </c>
      <c r="CC829" s="2" t="s">
        <v>248</v>
      </c>
      <c r="CD829" s="2" t="s">
        <v>248</v>
      </c>
      <c r="CE829" s="2" t="s">
        <v>235</v>
      </c>
      <c r="CF829" s="4">
        <v>45</v>
      </c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>
        <v>45</v>
      </c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>
        <v>68</v>
      </c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>
        <v>45</v>
      </c>
      <c r="GE829" s="4">
        <v>41</v>
      </c>
      <c r="GF829" s="4">
        <v>85</v>
      </c>
      <c r="GG829" s="4">
        <v>83</v>
      </c>
      <c r="GH829" s="4">
        <v>81</v>
      </c>
      <c r="GI829" s="4">
        <v>77</v>
      </c>
      <c r="GJ829" s="4">
        <v>70</v>
      </c>
      <c r="GK829" s="4">
        <v>66</v>
      </c>
      <c r="GL829" s="4">
        <v>62</v>
      </c>
      <c r="GM829" s="4">
        <v>59</v>
      </c>
      <c r="GN829" s="4">
        <v>123</v>
      </c>
      <c r="GO829" s="4">
        <v>117</v>
      </c>
      <c r="GP829" s="4">
        <v>110</v>
      </c>
      <c r="GQ829" s="4">
        <v>97</v>
      </c>
      <c r="GR829" s="4">
        <v>90</v>
      </c>
      <c r="GS829" s="4">
        <v>83</v>
      </c>
      <c r="GT829" s="4">
        <v>78</v>
      </c>
      <c r="GU829" s="4">
        <v>74</v>
      </c>
      <c r="GV829" s="4">
        <v>70</v>
      </c>
      <c r="GW829" s="4">
        <v>67</v>
      </c>
      <c r="GX829" s="4">
        <v>64</v>
      </c>
      <c r="GY829" s="4">
        <v>62</v>
      </c>
      <c r="GZ829" s="4">
        <v>60</v>
      </c>
      <c r="HA829" s="4">
        <v>58</v>
      </c>
      <c r="HB829" s="4">
        <v>56</v>
      </c>
      <c r="HC829" s="4">
        <v>54</v>
      </c>
      <c r="HD829" s="19">
        <v>22.5</v>
      </c>
      <c r="HE829" s="19">
        <v>20.5</v>
      </c>
      <c r="HF829" s="19">
        <v>21.3</v>
      </c>
      <c r="HG829" s="19">
        <v>20.8</v>
      </c>
      <c r="HH829" s="19">
        <v>16.2</v>
      </c>
      <c r="HI829" s="19">
        <v>19.3</v>
      </c>
      <c r="HJ829" s="19">
        <v>17.5</v>
      </c>
      <c r="HK829" s="19">
        <v>16.5</v>
      </c>
      <c r="HL829" s="19">
        <v>12.4</v>
      </c>
      <c r="HM829" s="19">
        <v>7.4</v>
      </c>
      <c r="HN829" s="19">
        <v>15.4</v>
      </c>
      <c r="HO829" s="19">
        <v>14.6</v>
      </c>
      <c r="HP829" s="19">
        <v>13.8</v>
      </c>
      <c r="HQ829" s="19">
        <v>16.2</v>
      </c>
      <c r="HR829" s="19">
        <v>18</v>
      </c>
      <c r="HS829" s="19">
        <v>20.8</v>
      </c>
      <c r="HT829" s="19">
        <v>19.5</v>
      </c>
      <c r="HU829" s="19">
        <v>24.7</v>
      </c>
      <c r="HV829" s="19">
        <v>35</v>
      </c>
      <c r="HW829" s="19">
        <v>33.5</v>
      </c>
      <c r="HX829" s="19">
        <v>32</v>
      </c>
      <c r="HY829" s="19">
        <v>31</v>
      </c>
      <c r="HZ829" s="19">
        <v>30</v>
      </c>
      <c r="IA829" s="19">
        <v>29</v>
      </c>
      <c r="IB829" s="19">
        <v>28</v>
      </c>
      <c r="IC829" s="19">
        <v>27</v>
      </c>
    </row>
    <row r="830">
      <c r="A830" s="2" t="s">
        <v>3430</v>
      </c>
      <c r="B830" s="2" t="s">
        <v>323</v>
      </c>
      <c r="C830" s="2" t="s">
        <v>1036</v>
      </c>
      <c r="D830" s="2" t="s">
        <v>257</v>
      </c>
      <c r="E830" s="2" t="s">
        <v>258</v>
      </c>
      <c r="F830" s="2" t="s">
        <v>3098</v>
      </c>
      <c r="G830" s="2" t="s">
        <v>3098</v>
      </c>
      <c r="H830" s="2" t="s">
        <v>3098</v>
      </c>
      <c r="I830" s="2" t="s">
        <v>3099</v>
      </c>
      <c r="J830" s="2" t="s">
        <v>230</v>
      </c>
      <c r="K830" s="2" t="s">
        <v>3088</v>
      </c>
      <c r="L830" s="3">
        <v>16.16</v>
      </c>
      <c r="M830" s="3">
        <v>16.97</v>
      </c>
      <c r="N830" s="3">
        <v>34.99</v>
      </c>
      <c r="O830" s="2" t="s">
        <v>232</v>
      </c>
      <c r="P830" s="2" t="s">
        <v>233</v>
      </c>
      <c r="Q830" s="2" t="s">
        <v>234</v>
      </c>
      <c r="R830" s="2" t="s">
        <v>235</v>
      </c>
      <c r="S830" s="2" t="s">
        <v>3431</v>
      </c>
      <c r="T830" s="2" t="s">
        <v>2908</v>
      </c>
      <c r="U830" s="2" t="s">
        <v>235</v>
      </c>
      <c r="V830" s="2" t="s">
        <v>1222</v>
      </c>
      <c r="W830" s="2" t="s">
        <v>239</v>
      </c>
      <c r="X830" s="2" t="s">
        <v>235</v>
      </c>
      <c r="Y830" s="2" t="s">
        <v>3383</v>
      </c>
      <c r="Z830" s="4">
        <v>480</v>
      </c>
      <c r="AA830" s="4">
        <f>=ROUNDDOWN(14.5454545454545,0)</f>
      </c>
      <c r="AB830" s="5">
        <v>33</v>
      </c>
      <c r="AC830" s="2" t="s">
        <v>3291</v>
      </c>
      <c r="AD830" s="4">
        <v>135</v>
      </c>
      <c r="AE830" s="4">
        <v>405</v>
      </c>
      <c r="AF830" s="6">
        <v>73</v>
      </c>
      <c r="AG830" s="6"/>
      <c r="AH830" s="7">
        <v>1</v>
      </c>
      <c r="AI830" s="4"/>
      <c r="AJ830" s="4">
        <f>=ROUNDDOWN({0},0)</f>
      </c>
      <c r="AK830" s="5"/>
      <c r="AL830" s="2" t="s">
        <v>235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235</v>
      </c>
      <c r="AW830" s="8" t="s">
        <v>235</v>
      </c>
      <c r="AX830" s="4" t="s">
        <v>235</v>
      </c>
      <c r="AY830" s="8" t="s">
        <v>235</v>
      </c>
      <c r="AZ830" s="7" t="s">
        <v>235</v>
      </c>
      <c r="BA830" s="7" t="s">
        <v>235</v>
      </c>
      <c r="BB830" s="7"/>
      <c r="BC830" s="4" t="s">
        <v>235</v>
      </c>
      <c r="BD830" s="8" t="s">
        <v>235</v>
      </c>
      <c r="BE830" s="4" t="s">
        <v>235</v>
      </c>
      <c r="BF830" s="8" t="s">
        <v>235</v>
      </c>
      <c r="BG830" s="7" t="s">
        <v>235</v>
      </c>
      <c r="BH830" s="7" t="s">
        <v>235</v>
      </c>
      <c r="BI830" s="7"/>
      <c r="BJ830" s="4">
        <v>101</v>
      </c>
      <c r="BK830" s="8">
        <v>1762.27</v>
      </c>
      <c r="BL830" s="2" t="s">
        <v>3432</v>
      </c>
      <c r="BM830" s="7"/>
      <c r="BN830" s="7"/>
      <c r="BO830" s="4"/>
      <c r="BP830" s="8"/>
      <c r="BQ830" s="4"/>
      <c r="BR830" s="8"/>
      <c r="BS830" s="7"/>
      <c r="BT830" s="7"/>
      <c r="BU830" s="2" t="s">
        <v>3105</v>
      </c>
      <c r="BV830" s="2" t="s">
        <v>243</v>
      </c>
      <c r="BW830" s="2" t="s">
        <v>235</v>
      </c>
      <c r="BX830" s="2" t="s">
        <v>383</v>
      </c>
      <c r="BY830" s="2" t="s">
        <v>245</v>
      </c>
      <c r="BZ830" s="2" t="s">
        <v>232</v>
      </c>
      <c r="CA830" s="2" t="s">
        <v>3433</v>
      </c>
      <c r="CB830" s="2" t="s">
        <v>3434</v>
      </c>
      <c r="CC830" s="2" t="s">
        <v>248</v>
      </c>
      <c r="CD830" s="2" t="s">
        <v>248</v>
      </c>
      <c r="CE830" s="2" t="s">
        <v>235</v>
      </c>
      <c r="CF830" s="4">
        <v>480</v>
      </c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>
        <v>135</v>
      </c>
      <c r="EK830" s="4"/>
      <c r="EL830" s="4"/>
      <c r="EM830" s="4"/>
      <c r="EN830" s="4"/>
      <c r="EO830" s="4"/>
      <c r="EP830" s="4"/>
      <c r="EQ830" s="4">
        <v>270</v>
      </c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>
        <v>484</v>
      </c>
      <c r="GE830" s="4">
        <v>446</v>
      </c>
      <c r="GF830" s="4">
        <v>418</v>
      </c>
      <c r="GG830" s="4">
        <v>377</v>
      </c>
      <c r="GH830" s="4">
        <v>327</v>
      </c>
      <c r="GI830" s="4">
        <v>248</v>
      </c>
      <c r="GJ830" s="4">
        <v>101</v>
      </c>
      <c r="GK830" s="4">
        <v>26</v>
      </c>
      <c r="GL830" s="4"/>
      <c r="GM830" s="4">
        <v>135</v>
      </c>
      <c r="GN830" s="4">
        <v>271</v>
      </c>
      <c r="GO830" s="4">
        <v>216</v>
      </c>
      <c r="GP830" s="4">
        <v>158</v>
      </c>
      <c r="GQ830" s="4">
        <v>72</v>
      </c>
      <c r="GR830" s="4">
        <v>27</v>
      </c>
      <c r="GS830" s="4"/>
      <c r="GT830" s="4"/>
      <c r="GU830" s="4"/>
      <c r="GV830" s="4"/>
      <c r="GW830" s="4"/>
      <c r="GX830" s="4">
        <v>300</v>
      </c>
      <c r="GY830" s="4">
        <v>200</v>
      </c>
      <c r="GZ830" s="4">
        <v>181</v>
      </c>
      <c r="HA830" s="4">
        <v>162</v>
      </c>
      <c r="HB830" s="4">
        <v>143</v>
      </c>
      <c r="HC830" s="4">
        <v>124</v>
      </c>
      <c r="HD830" s="19">
        <v>12.4</v>
      </c>
      <c r="HE830" s="19">
        <v>8.9</v>
      </c>
      <c r="HF830" s="19">
        <v>5.3</v>
      </c>
      <c r="HG830" s="19">
        <v>4.3</v>
      </c>
      <c r="HH830" s="19">
        <v>4</v>
      </c>
      <c r="HI830" s="19">
        <v>3.8</v>
      </c>
      <c r="HJ830" s="19">
        <v>1.6</v>
      </c>
      <c r="HK830" s="19">
        <v>0.5</v>
      </c>
      <c r="HL830" s="20">
        <v>0</v>
      </c>
      <c r="HM830" s="19">
        <v>1.6</v>
      </c>
      <c r="HN830" s="19">
        <v>4.4</v>
      </c>
      <c r="HO830" s="19">
        <v>3.9</v>
      </c>
      <c r="HP830" s="19">
        <v>3.4</v>
      </c>
      <c r="HQ830" s="19">
        <v>2.6</v>
      </c>
      <c r="HR830" s="19">
        <v>1.4</v>
      </c>
      <c r="HS830" s="20">
        <v>0</v>
      </c>
      <c r="HT830" s="20">
        <v>0</v>
      </c>
      <c r="HU830" s="20">
        <v>0</v>
      </c>
      <c r="HV830" s="20">
        <v>0</v>
      </c>
      <c r="HW830" s="20">
        <v>0</v>
      </c>
      <c r="HX830" s="19">
        <v>7.7</v>
      </c>
      <c r="HY830" s="19">
        <v>10.5</v>
      </c>
      <c r="HZ830" s="19">
        <v>10.1</v>
      </c>
      <c r="IA830" s="19">
        <v>9</v>
      </c>
      <c r="IB830" s="19">
        <v>8.4</v>
      </c>
      <c r="IC830" s="19">
        <v>7.8</v>
      </c>
    </row>
    <row r="831">
      <c r="A831" s="2" t="s">
        <v>3435</v>
      </c>
      <c r="B831" s="2" t="s">
        <v>323</v>
      </c>
      <c r="C831" s="2" t="s">
        <v>1036</v>
      </c>
      <c r="D831" s="2" t="s">
        <v>257</v>
      </c>
      <c r="E831" s="2" t="s">
        <v>258</v>
      </c>
      <c r="F831" s="2" t="s">
        <v>3098</v>
      </c>
      <c r="G831" s="2" t="s">
        <v>3098</v>
      </c>
      <c r="H831" s="2" t="s">
        <v>3098</v>
      </c>
      <c r="I831" s="2" t="s">
        <v>3099</v>
      </c>
      <c r="J831" s="2" t="s">
        <v>250</v>
      </c>
      <c r="K831" s="2" t="s">
        <v>3088</v>
      </c>
      <c r="L831" s="3">
        <v>19.57</v>
      </c>
      <c r="M831" s="3">
        <v>20.55</v>
      </c>
      <c r="N831" s="3">
        <v>42.99</v>
      </c>
      <c r="O831" s="2" t="s">
        <v>232</v>
      </c>
      <c r="P831" s="2" t="s">
        <v>233</v>
      </c>
      <c r="Q831" s="2" t="s">
        <v>234</v>
      </c>
      <c r="R831" s="2" t="s">
        <v>235</v>
      </c>
      <c r="S831" s="2" t="s">
        <v>3431</v>
      </c>
      <c r="T831" s="2" t="s">
        <v>2908</v>
      </c>
      <c r="U831" s="2" t="s">
        <v>235</v>
      </c>
      <c r="V831" s="2" t="s">
        <v>1222</v>
      </c>
      <c r="W831" s="2" t="s">
        <v>239</v>
      </c>
      <c r="X831" s="2" t="s">
        <v>235</v>
      </c>
      <c r="Y831" s="2" t="s">
        <v>240</v>
      </c>
      <c r="Z831" s="4">
        <v>821</v>
      </c>
      <c r="AA831" s="4">
        <f>=ROUNDDOWN(102.625,0)</f>
      </c>
      <c r="AB831" s="5">
        <v>8</v>
      </c>
      <c r="AC831" s="2" t="s">
        <v>235</v>
      </c>
      <c r="AD831" s="4"/>
      <c r="AE831" s="4"/>
      <c r="AF831" s="6">
        <v>73</v>
      </c>
      <c r="AG831" s="6"/>
      <c r="AH831" s="7">
        <v>1</v>
      </c>
      <c r="AI831" s="4"/>
      <c r="AJ831" s="4">
        <f>=ROUNDDOWN({0},0)</f>
      </c>
      <c r="AK831" s="5"/>
      <c r="AL831" s="2" t="s">
        <v>235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235</v>
      </c>
      <c r="AW831" s="8" t="s">
        <v>235</v>
      </c>
      <c r="AX831" s="4" t="s">
        <v>235</v>
      </c>
      <c r="AY831" s="8" t="s">
        <v>235</v>
      </c>
      <c r="AZ831" s="7" t="s">
        <v>235</v>
      </c>
      <c r="BA831" s="7" t="s">
        <v>235</v>
      </c>
      <c r="BB831" s="7"/>
      <c r="BC831" s="4" t="s">
        <v>235</v>
      </c>
      <c r="BD831" s="8" t="s">
        <v>235</v>
      </c>
      <c r="BE831" s="4" t="s">
        <v>235</v>
      </c>
      <c r="BF831" s="8" t="s">
        <v>235</v>
      </c>
      <c r="BG831" s="7" t="s">
        <v>235</v>
      </c>
      <c r="BH831" s="7" t="s">
        <v>235</v>
      </c>
      <c r="BI831" s="7"/>
      <c r="BJ831" s="4">
        <v>4</v>
      </c>
      <c r="BK831" s="8">
        <v>87.89</v>
      </c>
      <c r="BL831" s="2" t="s">
        <v>3436</v>
      </c>
      <c r="BM831" s="7"/>
      <c r="BN831" s="7"/>
      <c r="BO831" s="4"/>
      <c r="BP831" s="8"/>
      <c r="BQ831" s="4"/>
      <c r="BR831" s="8"/>
      <c r="BS831" s="7"/>
      <c r="BT831" s="7"/>
      <c r="BU831" s="2" t="s">
        <v>3105</v>
      </c>
      <c r="BV831" s="2" t="s">
        <v>243</v>
      </c>
      <c r="BW831" s="2" t="s">
        <v>235</v>
      </c>
      <c r="BX831" s="2" t="s">
        <v>383</v>
      </c>
      <c r="BY831" s="2" t="s">
        <v>245</v>
      </c>
      <c r="BZ831" s="2" t="s">
        <v>232</v>
      </c>
      <c r="CA831" s="2" t="s">
        <v>530</v>
      </c>
      <c r="CB831" s="2" t="s">
        <v>3437</v>
      </c>
      <c r="CC831" s="2" t="s">
        <v>248</v>
      </c>
      <c r="CD831" s="2" t="s">
        <v>248</v>
      </c>
      <c r="CE831" s="2" t="s">
        <v>235</v>
      </c>
      <c r="CF831" s="4">
        <v>821</v>
      </c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>
        <v>829</v>
      </c>
      <c r="GE831" s="4">
        <v>820</v>
      </c>
      <c r="GF831" s="4">
        <v>817</v>
      </c>
      <c r="GG831" s="4">
        <v>809</v>
      </c>
      <c r="GH831" s="4">
        <v>800</v>
      </c>
      <c r="GI831" s="4">
        <v>786</v>
      </c>
      <c r="GJ831" s="4">
        <v>762</v>
      </c>
      <c r="GK831" s="4">
        <v>748</v>
      </c>
      <c r="GL831" s="4">
        <v>735</v>
      </c>
      <c r="GM831" s="4">
        <v>725</v>
      </c>
      <c r="GN831" s="4">
        <v>713</v>
      </c>
      <c r="GO831" s="4">
        <v>698</v>
      </c>
      <c r="GP831" s="4">
        <v>679</v>
      </c>
      <c r="GQ831" s="4">
        <v>646</v>
      </c>
      <c r="GR831" s="4">
        <v>629</v>
      </c>
      <c r="GS831" s="4">
        <v>613</v>
      </c>
      <c r="GT831" s="4">
        <v>602</v>
      </c>
      <c r="GU831" s="4">
        <v>593</v>
      </c>
      <c r="GV831" s="4">
        <v>583</v>
      </c>
      <c r="GW831" s="4">
        <v>575</v>
      </c>
      <c r="GX831" s="4">
        <v>569</v>
      </c>
      <c r="GY831" s="4">
        <v>564</v>
      </c>
      <c r="GZ831" s="4">
        <v>558</v>
      </c>
      <c r="HA831" s="4">
        <v>552</v>
      </c>
      <c r="HB831" s="4">
        <v>546</v>
      </c>
      <c r="HC831" s="4">
        <v>540</v>
      </c>
      <c r="HD831" s="19">
        <v>118.4</v>
      </c>
      <c r="HE831" s="19">
        <v>102.5</v>
      </c>
      <c r="HF831" s="19">
        <v>58.4</v>
      </c>
      <c r="HG831" s="19">
        <v>53.9</v>
      </c>
      <c r="HH831" s="19">
        <v>50</v>
      </c>
      <c r="HI831" s="19">
        <v>52.4</v>
      </c>
      <c r="HJ831" s="19">
        <v>63.5</v>
      </c>
      <c r="HK831" s="19">
        <v>62.3</v>
      </c>
      <c r="HL831" s="19">
        <v>52.5</v>
      </c>
      <c r="HM831" s="19">
        <v>36.3</v>
      </c>
      <c r="HN831" s="19">
        <v>34</v>
      </c>
      <c r="HO831" s="19">
        <v>33.2</v>
      </c>
      <c r="HP831" s="19">
        <v>35.7</v>
      </c>
      <c r="HQ831" s="19">
        <v>49.7</v>
      </c>
      <c r="HR831" s="19">
        <v>52.4</v>
      </c>
      <c r="HS831" s="19">
        <v>61.3</v>
      </c>
      <c r="HT831" s="19">
        <v>75.3</v>
      </c>
      <c r="HU831" s="19">
        <v>84.7</v>
      </c>
      <c r="HV831" s="19">
        <v>97.2</v>
      </c>
      <c r="HW831" s="19">
        <v>95.8</v>
      </c>
      <c r="HX831" s="19">
        <v>94.8</v>
      </c>
      <c r="HY831" s="19">
        <v>94</v>
      </c>
      <c r="HZ831" s="19">
        <v>93</v>
      </c>
      <c r="IA831" s="19">
        <v>92</v>
      </c>
      <c r="IB831" s="19">
        <v>109.2</v>
      </c>
      <c r="IC831" s="19">
        <v>135</v>
      </c>
    </row>
    <row r="832">
      <c r="A832" s="2" t="s">
        <v>3438</v>
      </c>
      <c r="B832" s="2" t="s">
        <v>323</v>
      </c>
      <c r="C832" s="2" t="s">
        <v>1036</v>
      </c>
      <c r="D832" s="2" t="s">
        <v>257</v>
      </c>
      <c r="E832" s="2" t="s">
        <v>258</v>
      </c>
      <c r="F832" s="2" t="s">
        <v>3098</v>
      </c>
      <c r="G832" s="2" t="s">
        <v>3098</v>
      </c>
      <c r="H832" s="2" t="s">
        <v>3098</v>
      </c>
      <c r="I832" s="2" t="s">
        <v>3099</v>
      </c>
      <c r="J832" s="2" t="s">
        <v>261</v>
      </c>
      <c r="K832" s="2" t="s">
        <v>3088</v>
      </c>
      <c r="L832" s="3">
        <v>22.21</v>
      </c>
      <c r="M832" s="3">
        <v>23.32</v>
      </c>
      <c r="N832" s="3">
        <v>47.99</v>
      </c>
      <c r="O832" s="2" t="s">
        <v>232</v>
      </c>
      <c r="P832" s="2" t="s">
        <v>336</v>
      </c>
      <c r="Q832" s="2" t="s">
        <v>234</v>
      </c>
      <c r="R832" s="2" t="s">
        <v>235</v>
      </c>
      <c r="S832" s="2" t="s">
        <v>3431</v>
      </c>
      <c r="T832" s="2" t="s">
        <v>2908</v>
      </c>
      <c r="U832" s="2" t="s">
        <v>235</v>
      </c>
      <c r="V832" s="2" t="s">
        <v>1222</v>
      </c>
      <c r="W832" s="2" t="s">
        <v>239</v>
      </c>
      <c r="X832" s="2" t="s">
        <v>235</v>
      </c>
      <c r="Y832" s="2" t="s">
        <v>3383</v>
      </c>
      <c r="Z832" s="4">
        <v>652</v>
      </c>
      <c r="AA832" s="4">
        <f>=ROUNDDOWN(19.1764705882353,0)</f>
      </c>
      <c r="AB832" s="5">
        <v>34</v>
      </c>
      <c r="AC832" s="2" t="s">
        <v>3291</v>
      </c>
      <c r="AD832" s="4">
        <v>151</v>
      </c>
      <c r="AE832" s="4">
        <v>253</v>
      </c>
      <c r="AF832" s="6">
        <v>73</v>
      </c>
      <c r="AG832" s="6"/>
      <c r="AH832" s="7">
        <v>1</v>
      </c>
      <c r="AI832" s="4"/>
      <c r="AJ832" s="4">
        <f>=ROUNDDOWN({0},0)</f>
      </c>
      <c r="AK832" s="5"/>
      <c r="AL832" s="2" t="s">
        <v>235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235</v>
      </c>
      <c r="AW832" s="8" t="s">
        <v>235</v>
      </c>
      <c r="AX832" s="4" t="s">
        <v>235</v>
      </c>
      <c r="AY832" s="8" t="s">
        <v>235</v>
      </c>
      <c r="AZ832" s="7" t="s">
        <v>235</v>
      </c>
      <c r="BA832" s="7" t="s">
        <v>235</v>
      </c>
      <c r="BB832" s="7"/>
      <c r="BC832" s="4" t="s">
        <v>235</v>
      </c>
      <c r="BD832" s="8" t="s">
        <v>235</v>
      </c>
      <c r="BE832" s="4" t="s">
        <v>235</v>
      </c>
      <c r="BF832" s="8" t="s">
        <v>235</v>
      </c>
      <c r="BG832" s="7" t="s">
        <v>235</v>
      </c>
      <c r="BH832" s="7" t="s">
        <v>235</v>
      </c>
      <c r="BI832" s="7"/>
      <c r="BJ832" s="4">
        <v>106</v>
      </c>
      <c r="BK832" s="8">
        <v>2613.32</v>
      </c>
      <c r="BL832" s="2" t="s">
        <v>3439</v>
      </c>
      <c r="BM832" s="7"/>
      <c r="BN832" s="7"/>
      <c r="BO832" s="4"/>
      <c r="BP832" s="8"/>
      <c r="BQ832" s="4"/>
      <c r="BR832" s="8"/>
      <c r="BS832" s="7"/>
      <c r="BT832" s="7"/>
      <c r="BU832" s="2" t="s">
        <v>3105</v>
      </c>
      <c r="BV832" s="2" t="s">
        <v>243</v>
      </c>
      <c r="BW832" s="2" t="s">
        <v>235</v>
      </c>
      <c r="BX832" s="2" t="s">
        <v>383</v>
      </c>
      <c r="BY832" s="2" t="s">
        <v>245</v>
      </c>
      <c r="BZ832" s="2" t="s">
        <v>232</v>
      </c>
      <c r="CA832" s="2" t="s">
        <v>530</v>
      </c>
      <c r="CB832" s="2" t="s">
        <v>3440</v>
      </c>
      <c r="CC832" s="2" t="s">
        <v>248</v>
      </c>
      <c r="CD832" s="2" t="s">
        <v>248</v>
      </c>
      <c r="CE832" s="2" t="s">
        <v>235</v>
      </c>
      <c r="CF832" s="4">
        <v>652</v>
      </c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>
        <v>151</v>
      </c>
      <c r="EK832" s="4"/>
      <c r="EL832" s="4"/>
      <c r="EM832" s="4"/>
      <c r="EN832" s="4"/>
      <c r="EO832" s="4"/>
      <c r="EP832" s="4"/>
      <c r="EQ832" s="4">
        <v>102</v>
      </c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>
        <v>750</v>
      </c>
      <c r="GE832" s="4">
        <v>657</v>
      </c>
      <c r="GF832" s="4">
        <v>651</v>
      </c>
      <c r="GG832" s="4">
        <v>645</v>
      </c>
      <c r="GH832" s="4">
        <v>627</v>
      </c>
      <c r="GI832" s="4">
        <v>547</v>
      </c>
      <c r="GJ832" s="4">
        <v>399</v>
      </c>
      <c r="GK832" s="4">
        <v>323</v>
      </c>
      <c r="GL832" s="4">
        <v>249</v>
      </c>
      <c r="GM832" s="4">
        <v>348</v>
      </c>
      <c r="GN832" s="4">
        <v>402</v>
      </c>
      <c r="GO832" s="4">
        <v>345</v>
      </c>
      <c r="GP832" s="4">
        <v>284</v>
      </c>
      <c r="GQ832" s="4">
        <v>192</v>
      </c>
      <c r="GR832" s="4">
        <v>144</v>
      </c>
      <c r="GS832" s="4">
        <v>95</v>
      </c>
      <c r="GT832" s="4">
        <v>58</v>
      </c>
      <c r="GU832" s="4">
        <v>27</v>
      </c>
      <c r="GV832" s="4"/>
      <c r="GW832" s="4"/>
      <c r="GX832" s="4">
        <v>276</v>
      </c>
      <c r="GY832" s="4">
        <v>230</v>
      </c>
      <c r="GZ832" s="4">
        <v>211</v>
      </c>
      <c r="HA832" s="4">
        <v>192</v>
      </c>
      <c r="HB832" s="4">
        <v>173</v>
      </c>
      <c r="HC832" s="4">
        <v>154</v>
      </c>
      <c r="HD832" s="19">
        <v>24.2</v>
      </c>
      <c r="HE832" s="19">
        <v>23.5</v>
      </c>
      <c r="HF832" s="19">
        <v>10.3</v>
      </c>
      <c r="HG832" s="19">
        <v>8.1</v>
      </c>
      <c r="HH832" s="19">
        <v>6.7</v>
      </c>
      <c r="HI832" s="19">
        <v>6.2</v>
      </c>
      <c r="HJ832" s="19">
        <v>6.4</v>
      </c>
      <c r="HK832" s="19">
        <v>5.6</v>
      </c>
      <c r="HL832" s="19">
        <v>4.6</v>
      </c>
      <c r="HM832" s="19">
        <v>5.4</v>
      </c>
      <c r="HN832" s="19">
        <v>6.3</v>
      </c>
      <c r="HO832" s="19">
        <v>5.6</v>
      </c>
      <c r="HP832" s="19">
        <v>5.1</v>
      </c>
      <c r="HQ832" s="19">
        <v>4.7</v>
      </c>
      <c r="HR832" s="19">
        <v>4</v>
      </c>
      <c r="HS832" s="19">
        <v>3.5</v>
      </c>
      <c r="HT832" s="19">
        <v>2.9</v>
      </c>
      <c r="HU832" s="19">
        <v>1.1</v>
      </c>
      <c r="HV832" s="20">
        <v>0</v>
      </c>
      <c r="HW832" s="20">
        <v>0</v>
      </c>
      <c r="HX832" s="19">
        <v>10.6</v>
      </c>
      <c r="HY832" s="19">
        <v>12.1</v>
      </c>
      <c r="HZ832" s="19">
        <v>11.7</v>
      </c>
      <c r="IA832" s="19">
        <v>10.7</v>
      </c>
      <c r="IB832" s="19">
        <v>10.2</v>
      </c>
      <c r="IC832" s="19">
        <v>9.6</v>
      </c>
    </row>
    <row r="833">
      <c r="A833" s="2" t="s">
        <v>3441</v>
      </c>
      <c r="B833" s="2" t="s">
        <v>323</v>
      </c>
      <c r="C833" s="2" t="s">
        <v>1036</v>
      </c>
      <c r="D833" s="2" t="s">
        <v>257</v>
      </c>
      <c r="E833" s="2" t="s">
        <v>258</v>
      </c>
      <c r="F833" s="2" t="s">
        <v>3098</v>
      </c>
      <c r="G833" s="2" t="s">
        <v>3098</v>
      </c>
      <c r="H833" s="2" t="s">
        <v>3098</v>
      </c>
      <c r="I833" s="2" t="s">
        <v>3099</v>
      </c>
      <c r="J833" s="2" t="s">
        <v>272</v>
      </c>
      <c r="K833" s="2" t="s">
        <v>3442</v>
      </c>
      <c r="L833" s="3">
        <v>27.39</v>
      </c>
      <c r="M833" s="3">
        <v>28.76</v>
      </c>
      <c r="N833" s="3">
        <v>62.99</v>
      </c>
      <c r="O833" s="2" t="s">
        <v>407</v>
      </c>
      <c r="P833" s="2" t="s">
        <v>408</v>
      </c>
      <c r="Q833" s="2" t="s">
        <v>234</v>
      </c>
      <c r="R833" s="2" t="s">
        <v>235</v>
      </c>
      <c r="S833" s="2" t="s">
        <v>3443</v>
      </c>
      <c r="T833" s="2" t="s">
        <v>2908</v>
      </c>
      <c r="U833" s="2" t="s">
        <v>235</v>
      </c>
      <c r="V833" s="2" t="s">
        <v>238</v>
      </c>
      <c r="W833" s="2" t="s">
        <v>239</v>
      </c>
      <c r="X833" s="2" t="s">
        <v>235</v>
      </c>
      <c r="Y833" s="2" t="s">
        <v>240</v>
      </c>
      <c r="Z833" s="4">
        <v>132</v>
      </c>
      <c r="AA833" s="4">
        <f>=ROUNDDOWN(44,0)</f>
      </c>
      <c r="AB833" s="5">
        <v>3</v>
      </c>
      <c r="AC833" s="2" t="s">
        <v>235</v>
      </c>
      <c r="AD833" s="4"/>
      <c r="AE833" s="4"/>
      <c r="AF833" s="6">
        <v>73</v>
      </c>
      <c r="AG833" s="6"/>
      <c r="AH833" s="7">
        <v>1</v>
      </c>
      <c r="AI833" s="4"/>
      <c r="AJ833" s="4">
        <f>=ROUNDDOWN({0},0)</f>
      </c>
      <c r="AK833" s="5"/>
      <c r="AL833" s="2" t="s">
        <v>235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235</v>
      </c>
      <c r="BD833" s="8" t="s">
        <v>235</v>
      </c>
      <c r="BE833" s="4" t="s">
        <v>235</v>
      </c>
      <c r="BF833" s="8" t="s">
        <v>235</v>
      </c>
      <c r="BG833" s="7" t="s">
        <v>235</v>
      </c>
      <c r="BH833" s="7" t="s">
        <v>235</v>
      </c>
      <c r="BI833" s="7"/>
      <c r="BJ833" s="4">
        <v>79</v>
      </c>
      <c r="BK833" s="8">
        <v>2310.85</v>
      </c>
      <c r="BL833" s="2" t="s">
        <v>3444</v>
      </c>
      <c r="BM833" s="7"/>
      <c r="BN833" s="7"/>
      <c r="BO833" s="4"/>
      <c r="BP833" s="8"/>
      <c r="BQ833" s="4"/>
      <c r="BR833" s="8"/>
      <c r="BS833" s="7"/>
      <c r="BT833" s="7"/>
      <c r="BU833" s="2" t="s">
        <v>3105</v>
      </c>
      <c r="BV833" s="2" t="s">
        <v>243</v>
      </c>
      <c r="BW833" s="2" t="s">
        <v>235</v>
      </c>
      <c r="BX833" s="2" t="s">
        <v>383</v>
      </c>
      <c r="BY833" s="2" t="s">
        <v>245</v>
      </c>
      <c r="BZ833" s="2" t="s">
        <v>232</v>
      </c>
      <c r="CA833" s="2" t="s">
        <v>3201</v>
      </c>
      <c r="CB833" s="2" t="s">
        <v>3445</v>
      </c>
      <c r="CC833" s="2" t="s">
        <v>248</v>
      </c>
      <c r="CD833" s="2" t="s">
        <v>248</v>
      </c>
      <c r="CE833" s="2" t="s">
        <v>235</v>
      </c>
      <c r="CF833" s="4">
        <v>4</v>
      </c>
      <c r="CG833" s="4">
        <v>128</v>
      </c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>
        <v>148</v>
      </c>
      <c r="GE833" s="4">
        <v>144</v>
      </c>
      <c r="GF833" s="4">
        <v>132</v>
      </c>
      <c r="GG833" s="4">
        <v>131</v>
      </c>
      <c r="GH833" s="4">
        <v>130</v>
      </c>
      <c r="GI833" s="4">
        <v>128</v>
      </c>
      <c r="GJ833" s="4">
        <v>126</v>
      </c>
      <c r="GK833" s="4">
        <v>124</v>
      </c>
      <c r="GL833" s="4">
        <v>122</v>
      </c>
      <c r="GM833" s="4">
        <v>120</v>
      </c>
      <c r="GN833" s="4">
        <v>117</v>
      </c>
      <c r="GO833" s="4">
        <v>113</v>
      </c>
      <c r="GP833" s="4">
        <v>107</v>
      </c>
      <c r="GQ833" s="4">
        <v>94</v>
      </c>
      <c r="GR833" s="4">
        <v>87</v>
      </c>
      <c r="GS833" s="4">
        <v>80</v>
      </c>
      <c r="GT833" s="4">
        <v>75</v>
      </c>
      <c r="GU833" s="4">
        <v>71</v>
      </c>
      <c r="GV833" s="4">
        <v>67</v>
      </c>
      <c r="GW833" s="4">
        <v>64</v>
      </c>
      <c r="GX833" s="4">
        <v>61</v>
      </c>
      <c r="GY833" s="4">
        <v>59</v>
      </c>
      <c r="GZ833" s="4">
        <v>57</v>
      </c>
      <c r="HA833" s="4">
        <v>55</v>
      </c>
      <c r="HB833" s="4">
        <v>53</v>
      </c>
      <c r="HC833" s="4">
        <v>51</v>
      </c>
      <c r="HD833" s="19">
        <v>37</v>
      </c>
      <c r="HE833" s="19">
        <v>36</v>
      </c>
      <c r="HF833" s="19">
        <v>66</v>
      </c>
      <c r="HG833" s="19">
        <v>65.5</v>
      </c>
      <c r="HH833" s="19">
        <v>65</v>
      </c>
      <c r="HI833" s="19">
        <v>64</v>
      </c>
      <c r="HJ833" s="19">
        <v>63</v>
      </c>
      <c r="HK833" s="19">
        <v>41.3</v>
      </c>
      <c r="HL833" s="19">
        <v>30.5</v>
      </c>
      <c r="HM833" s="19">
        <v>20</v>
      </c>
      <c r="HN833" s="19">
        <v>14.6</v>
      </c>
      <c r="HO833" s="19">
        <v>14.1</v>
      </c>
      <c r="HP833" s="19">
        <v>13.4</v>
      </c>
      <c r="HQ833" s="19">
        <v>15.7</v>
      </c>
      <c r="HR833" s="19">
        <v>17.4</v>
      </c>
      <c r="HS833" s="19">
        <v>20</v>
      </c>
      <c r="HT833" s="19">
        <v>18.8</v>
      </c>
      <c r="HU833" s="19">
        <v>23.7</v>
      </c>
      <c r="HV833" s="19">
        <v>33.5</v>
      </c>
      <c r="HW833" s="19">
        <v>32</v>
      </c>
      <c r="HX833" s="19">
        <v>30.5</v>
      </c>
      <c r="HY833" s="19">
        <v>29.5</v>
      </c>
      <c r="HZ833" s="19">
        <v>28.5</v>
      </c>
      <c r="IA833" s="19">
        <v>27.5</v>
      </c>
      <c r="IB833" s="19">
        <v>26.5</v>
      </c>
      <c r="IC833" s="19">
        <v>25.5</v>
      </c>
    </row>
    <row r="834">
      <c r="A834" s="2" t="s">
        <v>3446</v>
      </c>
      <c r="B834" s="2" t="s">
        <v>323</v>
      </c>
      <c r="C834" s="2" t="s">
        <v>1036</v>
      </c>
      <c r="D834" s="2" t="s">
        <v>257</v>
      </c>
      <c r="E834" s="2" t="s">
        <v>258</v>
      </c>
      <c r="F834" s="2" t="s">
        <v>3098</v>
      </c>
      <c r="G834" s="2" t="s">
        <v>3098</v>
      </c>
      <c r="H834" s="2" t="s">
        <v>3098</v>
      </c>
      <c r="I834" s="2" t="s">
        <v>3099</v>
      </c>
      <c r="J834" s="2" t="s">
        <v>394</v>
      </c>
      <c r="K834" s="2" t="s">
        <v>3447</v>
      </c>
      <c r="L834" s="3">
        <v>14.89</v>
      </c>
      <c r="M834" s="3">
        <v>15.63</v>
      </c>
      <c r="N834" s="3">
        <v>31.99</v>
      </c>
      <c r="O834" s="2" t="s">
        <v>232</v>
      </c>
      <c r="P834" s="2" t="s">
        <v>233</v>
      </c>
      <c r="Q834" s="2" t="s">
        <v>234</v>
      </c>
      <c r="R834" s="2" t="s">
        <v>235</v>
      </c>
      <c r="S834" s="2" t="s">
        <v>3448</v>
      </c>
      <c r="T834" s="2" t="s">
        <v>2908</v>
      </c>
      <c r="U834" s="2" t="s">
        <v>235</v>
      </c>
      <c r="V834" s="2" t="s">
        <v>2919</v>
      </c>
      <c r="W834" s="2" t="s">
        <v>239</v>
      </c>
      <c r="X834" s="2" t="s">
        <v>235</v>
      </c>
      <c r="Y834" s="2" t="s">
        <v>240</v>
      </c>
      <c r="Z834" s="4">
        <v>862</v>
      </c>
      <c r="AA834" s="4">
        <f>=ROUNDDOWN(39.1818181818182,0)</f>
      </c>
      <c r="AB834" s="5">
        <v>22</v>
      </c>
      <c r="AC834" s="2" t="s">
        <v>235</v>
      </c>
      <c r="AD834" s="4"/>
      <c r="AE834" s="4"/>
      <c r="AF834" s="6">
        <v>73</v>
      </c>
      <c r="AG834" s="6"/>
      <c r="AH834" s="7">
        <v>1</v>
      </c>
      <c r="AI834" s="4"/>
      <c r="AJ834" s="4">
        <f>=ROUNDDOWN({0},0)</f>
      </c>
      <c r="AK834" s="5"/>
      <c r="AL834" s="2" t="s">
        <v>235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235</v>
      </c>
      <c r="AW834" s="8" t="s">
        <v>235</v>
      </c>
      <c r="AX834" s="4" t="s">
        <v>235</v>
      </c>
      <c r="AY834" s="8" t="s">
        <v>235</v>
      </c>
      <c r="AZ834" s="7" t="s">
        <v>235</v>
      </c>
      <c r="BA834" s="7" t="s">
        <v>235</v>
      </c>
      <c r="BB834" s="7"/>
      <c r="BC834" s="4" t="s">
        <v>235</v>
      </c>
      <c r="BD834" s="8" t="s">
        <v>235</v>
      </c>
      <c r="BE834" s="4" t="s">
        <v>235</v>
      </c>
      <c r="BF834" s="8" t="s">
        <v>235</v>
      </c>
      <c r="BG834" s="7" t="s">
        <v>235</v>
      </c>
      <c r="BH834" s="7" t="s">
        <v>235</v>
      </c>
      <c r="BI834" s="7"/>
      <c r="BJ834" s="4">
        <v>94</v>
      </c>
      <c r="BK834" s="8">
        <v>1513.71</v>
      </c>
      <c r="BL834" s="2" t="s">
        <v>3449</v>
      </c>
      <c r="BM834" s="7"/>
      <c r="BN834" s="7"/>
      <c r="BO834" s="4"/>
      <c r="BP834" s="8"/>
      <c r="BQ834" s="4"/>
      <c r="BR834" s="8"/>
      <c r="BS834" s="7"/>
      <c r="BT834" s="7"/>
      <c r="BU834" s="2" t="s">
        <v>3105</v>
      </c>
      <c r="BV834" s="2" t="s">
        <v>243</v>
      </c>
      <c r="BW834" s="2" t="s">
        <v>235</v>
      </c>
      <c r="BX834" s="2" t="s">
        <v>383</v>
      </c>
      <c r="BY834" s="2" t="s">
        <v>245</v>
      </c>
      <c r="BZ834" s="2" t="s">
        <v>232</v>
      </c>
      <c r="CA834" s="2" t="s">
        <v>530</v>
      </c>
      <c r="CB834" s="2" t="s">
        <v>521</v>
      </c>
      <c r="CC834" s="2" t="s">
        <v>248</v>
      </c>
      <c r="CD834" s="2" t="s">
        <v>248</v>
      </c>
      <c r="CE834" s="2" t="s">
        <v>235</v>
      </c>
      <c r="CF834" s="4">
        <v>862</v>
      </c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>
        <v>893</v>
      </c>
      <c r="GE834" s="4">
        <v>841</v>
      </c>
      <c r="GF834" s="4">
        <v>838</v>
      </c>
      <c r="GG834" s="4">
        <v>835</v>
      </c>
      <c r="GH834" s="4">
        <v>832</v>
      </c>
      <c r="GI834" s="4">
        <v>809</v>
      </c>
      <c r="GJ834" s="4">
        <v>699</v>
      </c>
      <c r="GK834" s="4">
        <v>645</v>
      </c>
      <c r="GL834" s="4">
        <v>592</v>
      </c>
      <c r="GM834" s="4">
        <v>556</v>
      </c>
      <c r="GN834" s="4">
        <v>526</v>
      </c>
      <c r="GO834" s="4">
        <v>490</v>
      </c>
      <c r="GP834" s="4">
        <v>455</v>
      </c>
      <c r="GQ834" s="4">
        <v>410</v>
      </c>
      <c r="GR834" s="4">
        <v>385</v>
      </c>
      <c r="GS834" s="4">
        <v>359</v>
      </c>
      <c r="GT834" s="4">
        <v>338</v>
      </c>
      <c r="GU834" s="4">
        <v>319</v>
      </c>
      <c r="GV834" s="4">
        <v>299</v>
      </c>
      <c r="GW834" s="4">
        <v>284</v>
      </c>
      <c r="GX834" s="4">
        <v>271</v>
      </c>
      <c r="GY834" s="4">
        <v>259</v>
      </c>
      <c r="GZ834" s="4">
        <v>246</v>
      </c>
      <c r="HA834" s="4">
        <v>233</v>
      </c>
      <c r="HB834" s="4">
        <v>220</v>
      </c>
      <c r="HC834" s="4">
        <v>207</v>
      </c>
      <c r="HD834" s="19">
        <v>59.5</v>
      </c>
      <c r="HE834" s="19">
        <v>105.1</v>
      </c>
      <c r="HF834" s="19">
        <v>23.9</v>
      </c>
      <c r="HG834" s="19">
        <v>17.4</v>
      </c>
      <c r="HH834" s="19">
        <v>13.9</v>
      </c>
      <c r="HI834" s="19">
        <v>12.8</v>
      </c>
      <c r="HJ834" s="19">
        <v>16.3</v>
      </c>
      <c r="HK834" s="19">
        <v>16.5</v>
      </c>
      <c r="HL834" s="19">
        <v>17.4</v>
      </c>
      <c r="HM834" s="19">
        <v>15.4</v>
      </c>
      <c r="HN834" s="19">
        <v>15</v>
      </c>
      <c r="HO834" s="19">
        <v>14.8</v>
      </c>
      <c r="HP834" s="19">
        <v>15.7</v>
      </c>
      <c r="HQ834" s="19">
        <v>17.8</v>
      </c>
      <c r="HR834" s="19">
        <v>17.5</v>
      </c>
      <c r="HS834" s="19">
        <v>18.9</v>
      </c>
      <c r="HT834" s="19">
        <v>19.9</v>
      </c>
      <c r="HU834" s="19">
        <v>21.3</v>
      </c>
      <c r="HV834" s="19">
        <v>23</v>
      </c>
      <c r="HW834" s="19">
        <v>21.8</v>
      </c>
      <c r="HX834" s="19">
        <v>20.8</v>
      </c>
      <c r="HY834" s="19">
        <v>19.9</v>
      </c>
      <c r="HZ834" s="19">
        <v>18.9</v>
      </c>
      <c r="IA834" s="19">
        <v>19.4</v>
      </c>
      <c r="IB834" s="19">
        <v>18.3</v>
      </c>
      <c r="IC834" s="19">
        <v>18.8</v>
      </c>
    </row>
    <row r="835">
      <c r="A835" s="2" t="s">
        <v>3450</v>
      </c>
      <c r="B835" s="2" t="s">
        <v>323</v>
      </c>
      <c r="C835" s="2" t="s">
        <v>1036</v>
      </c>
      <c r="D835" s="2" t="s">
        <v>257</v>
      </c>
      <c r="E835" s="2" t="s">
        <v>258</v>
      </c>
      <c r="F835" s="2" t="s">
        <v>3098</v>
      </c>
      <c r="G835" s="2" t="s">
        <v>3098</v>
      </c>
      <c r="H835" s="2" t="s">
        <v>3098</v>
      </c>
      <c r="I835" s="2" t="s">
        <v>3099</v>
      </c>
      <c r="J835" s="2" t="s">
        <v>270</v>
      </c>
      <c r="K835" s="2" t="s">
        <v>3447</v>
      </c>
      <c r="L835" s="3">
        <v>27.39</v>
      </c>
      <c r="M835" s="3">
        <v>28.76</v>
      </c>
      <c r="N835" s="3">
        <v>62.99</v>
      </c>
      <c r="O835" s="2" t="s">
        <v>232</v>
      </c>
      <c r="P835" s="2" t="s">
        <v>233</v>
      </c>
      <c r="Q835" s="2" t="s">
        <v>234</v>
      </c>
      <c r="R835" s="2" t="s">
        <v>235</v>
      </c>
      <c r="S835" s="2" t="s">
        <v>3448</v>
      </c>
      <c r="T835" s="2" t="s">
        <v>2908</v>
      </c>
      <c r="U835" s="2" t="s">
        <v>235</v>
      </c>
      <c r="V835" s="2" t="s">
        <v>2919</v>
      </c>
      <c r="W835" s="2" t="s">
        <v>239</v>
      </c>
      <c r="X835" s="2" t="s">
        <v>235</v>
      </c>
      <c r="Y835" s="2" t="s">
        <v>240</v>
      </c>
      <c r="Z835" s="4">
        <v>465</v>
      </c>
      <c r="AA835" s="4">
        <f>=ROUNDDOWN(46.5,0)</f>
      </c>
      <c r="AB835" s="5">
        <v>10</v>
      </c>
      <c r="AC835" s="2" t="s">
        <v>235</v>
      </c>
      <c r="AD835" s="4"/>
      <c r="AE835" s="4"/>
      <c r="AF835" s="6">
        <v>73</v>
      </c>
      <c r="AG835" s="6"/>
      <c r="AH835" s="7">
        <v>1</v>
      </c>
      <c r="AI835" s="4"/>
      <c r="AJ835" s="4">
        <f>=ROUNDDOWN({0},0)</f>
      </c>
      <c r="AK835" s="5"/>
      <c r="AL835" s="2" t="s">
        <v>235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235</v>
      </c>
      <c r="AW835" s="8" t="s">
        <v>235</v>
      </c>
      <c r="AX835" s="4" t="s">
        <v>235</v>
      </c>
      <c r="AY835" s="8" t="s">
        <v>235</v>
      </c>
      <c r="AZ835" s="7" t="s">
        <v>235</v>
      </c>
      <c r="BA835" s="7" t="s">
        <v>235</v>
      </c>
      <c r="BB835" s="7"/>
      <c r="BC835" s="4" t="s">
        <v>235</v>
      </c>
      <c r="BD835" s="8" t="s">
        <v>235</v>
      </c>
      <c r="BE835" s="4" t="s">
        <v>235</v>
      </c>
      <c r="BF835" s="8" t="s">
        <v>235</v>
      </c>
      <c r="BG835" s="7" t="s">
        <v>235</v>
      </c>
      <c r="BH835" s="7" t="s">
        <v>235</v>
      </c>
      <c r="BI835" s="7"/>
      <c r="BJ835" s="4">
        <v>1</v>
      </c>
      <c r="BK835" s="8">
        <v>30.2</v>
      </c>
      <c r="BL835" s="2" t="s">
        <v>3451</v>
      </c>
      <c r="BM835" s="7"/>
      <c r="BN835" s="7"/>
      <c r="BO835" s="4"/>
      <c r="BP835" s="8"/>
      <c r="BQ835" s="4"/>
      <c r="BR835" s="8"/>
      <c r="BS835" s="7"/>
      <c r="BT835" s="7"/>
      <c r="BU835" s="2" t="s">
        <v>3105</v>
      </c>
      <c r="BV835" s="2" t="s">
        <v>243</v>
      </c>
      <c r="BW835" s="2" t="s">
        <v>235</v>
      </c>
      <c r="BX835" s="2" t="s">
        <v>383</v>
      </c>
      <c r="BY835" s="2" t="s">
        <v>245</v>
      </c>
      <c r="BZ835" s="2" t="s">
        <v>232</v>
      </c>
      <c r="CA835" s="2" t="s">
        <v>530</v>
      </c>
      <c r="CB835" s="2" t="s">
        <v>3452</v>
      </c>
      <c r="CC835" s="2" t="s">
        <v>248</v>
      </c>
      <c r="CD835" s="2" t="s">
        <v>248</v>
      </c>
      <c r="CE835" s="2" t="s">
        <v>235</v>
      </c>
      <c r="CF835" s="4">
        <v>465</v>
      </c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>
        <v>473</v>
      </c>
      <c r="GE835" s="4">
        <v>462</v>
      </c>
      <c r="GF835" s="4">
        <v>459</v>
      </c>
      <c r="GG835" s="4">
        <v>450</v>
      </c>
      <c r="GH835" s="4">
        <v>439</v>
      </c>
      <c r="GI835" s="4">
        <v>421</v>
      </c>
      <c r="GJ835" s="4">
        <v>390</v>
      </c>
      <c r="GK835" s="4">
        <v>372</v>
      </c>
      <c r="GL835" s="4">
        <v>355</v>
      </c>
      <c r="GM835" s="4">
        <v>342</v>
      </c>
      <c r="GN835" s="4">
        <v>327</v>
      </c>
      <c r="GO835" s="4">
        <v>309</v>
      </c>
      <c r="GP835" s="4">
        <v>286</v>
      </c>
      <c r="GQ835" s="4">
        <v>246</v>
      </c>
      <c r="GR835" s="4">
        <v>227</v>
      </c>
      <c r="GS835" s="4">
        <v>207</v>
      </c>
      <c r="GT835" s="4">
        <v>193</v>
      </c>
      <c r="GU835" s="4">
        <v>182</v>
      </c>
      <c r="GV835" s="4">
        <v>170</v>
      </c>
      <c r="GW835" s="4">
        <v>161</v>
      </c>
      <c r="GX835" s="4">
        <v>154</v>
      </c>
      <c r="GY835" s="4">
        <v>148</v>
      </c>
      <c r="GZ835" s="4">
        <v>142</v>
      </c>
      <c r="HA835" s="4">
        <v>136</v>
      </c>
      <c r="HB835" s="4">
        <v>130</v>
      </c>
      <c r="HC835" s="4">
        <v>124</v>
      </c>
      <c r="HD835" s="19">
        <v>59.1</v>
      </c>
      <c r="HE835" s="19">
        <v>46.2</v>
      </c>
      <c r="HF835" s="19">
        <v>27</v>
      </c>
      <c r="HG835" s="19">
        <v>22.5</v>
      </c>
      <c r="HH835" s="19">
        <v>20.9</v>
      </c>
      <c r="HI835" s="19">
        <v>21.1</v>
      </c>
      <c r="HJ835" s="19">
        <v>24.4</v>
      </c>
      <c r="HK835" s="19">
        <v>23.3</v>
      </c>
      <c r="HL835" s="19">
        <v>20.9</v>
      </c>
      <c r="HM835" s="19">
        <v>14.3</v>
      </c>
      <c r="HN835" s="19">
        <v>13.1</v>
      </c>
      <c r="HO835" s="19">
        <v>11.9</v>
      </c>
      <c r="HP835" s="19">
        <v>12.4</v>
      </c>
      <c r="HQ835" s="19">
        <v>15.4</v>
      </c>
      <c r="HR835" s="19">
        <v>16.2</v>
      </c>
      <c r="HS835" s="19">
        <v>17.3</v>
      </c>
      <c r="HT835" s="19">
        <v>19.3</v>
      </c>
      <c r="HU835" s="19">
        <v>22.8</v>
      </c>
      <c r="HV835" s="19">
        <v>24.3</v>
      </c>
      <c r="HW835" s="19">
        <v>26.8</v>
      </c>
      <c r="HX835" s="19">
        <v>25.7</v>
      </c>
      <c r="HY835" s="19">
        <v>24.7</v>
      </c>
      <c r="HZ835" s="19">
        <v>23.7</v>
      </c>
      <c r="IA835" s="19">
        <v>22.7</v>
      </c>
      <c r="IB835" s="19">
        <v>26</v>
      </c>
      <c r="IC835" s="19">
        <v>24.8</v>
      </c>
    </row>
    <row r="836">
      <c r="A836" s="2" t="s">
        <v>3453</v>
      </c>
      <c r="B836" s="2" t="s">
        <v>323</v>
      </c>
      <c r="C836" s="2" t="s">
        <v>1036</v>
      </c>
      <c r="D836" s="2" t="s">
        <v>257</v>
      </c>
      <c r="E836" s="2" t="s">
        <v>258</v>
      </c>
      <c r="F836" s="2" t="s">
        <v>3098</v>
      </c>
      <c r="G836" s="2" t="s">
        <v>3098</v>
      </c>
      <c r="H836" s="2" t="s">
        <v>3098</v>
      </c>
      <c r="I836" s="2" t="s">
        <v>2906</v>
      </c>
      <c r="J836" s="2" t="s">
        <v>394</v>
      </c>
      <c r="K836" s="2" t="s">
        <v>3454</v>
      </c>
      <c r="L836" s="3">
        <v>14.89</v>
      </c>
      <c r="M836" s="3">
        <v>15.63</v>
      </c>
      <c r="N836" s="3">
        <v>31.99</v>
      </c>
      <c r="O836" s="2" t="s">
        <v>232</v>
      </c>
      <c r="P836" s="2" t="s">
        <v>878</v>
      </c>
      <c r="Q836" s="2" t="s">
        <v>234</v>
      </c>
      <c r="R836" s="2" t="s">
        <v>235</v>
      </c>
      <c r="S836" s="2" t="s">
        <v>235</v>
      </c>
      <c r="T836" s="2" t="s">
        <v>2908</v>
      </c>
      <c r="U836" s="2" t="s">
        <v>552</v>
      </c>
      <c r="V836" s="2" t="s">
        <v>2182</v>
      </c>
      <c r="W836" s="2" t="s">
        <v>329</v>
      </c>
      <c r="X836" s="2" t="s">
        <v>235</v>
      </c>
      <c r="Y836" s="2" t="s">
        <v>235</v>
      </c>
      <c r="Z836" s="4"/>
      <c r="AA836" s="4">
        <f>=ROUNDDOWN({0},0)</f>
      </c>
      <c r="AB836" s="5"/>
      <c r="AC836" s="2" t="s">
        <v>235</v>
      </c>
      <c r="AD836" s="4"/>
      <c r="AE836" s="4"/>
      <c r="AF836" s="6">
        <v>77</v>
      </c>
      <c r="AG836" s="6"/>
      <c r="AH836" s="7"/>
      <c r="AI836" s="4"/>
      <c r="AJ836" s="4">
        <f>=ROUNDDOWN({0},0)</f>
      </c>
      <c r="AK836" s="5"/>
      <c r="AL836" s="2" t="s">
        <v>235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235</v>
      </c>
      <c r="AW836" s="8" t="s">
        <v>235</v>
      </c>
      <c r="AX836" s="4" t="s">
        <v>235</v>
      </c>
      <c r="AY836" s="8" t="s">
        <v>235</v>
      </c>
      <c r="AZ836" s="7" t="s">
        <v>235</v>
      </c>
      <c r="BA836" s="7" t="s">
        <v>235</v>
      </c>
      <c r="BB836" s="7"/>
      <c r="BC836" s="4" t="s">
        <v>235</v>
      </c>
      <c r="BD836" s="8" t="s">
        <v>235</v>
      </c>
      <c r="BE836" s="4" t="s">
        <v>235</v>
      </c>
      <c r="BF836" s="8" t="s">
        <v>235</v>
      </c>
      <c r="BG836" s="7" t="s">
        <v>235</v>
      </c>
      <c r="BH836" s="7" t="s">
        <v>235</v>
      </c>
      <c r="BI836" s="7"/>
      <c r="BJ836" s="4"/>
      <c r="BK836" s="8"/>
      <c r="BL836" s="2" t="s">
        <v>235</v>
      </c>
      <c r="BM836" s="7"/>
      <c r="BN836" s="7"/>
      <c r="BO836" s="4"/>
      <c r="BP836" s="8"/>
      <c r="BQ836" s="4"/>
      <c r="BR836" s="8"/>
      <c r="BS836" s="7"/>
      <c r="BT836" s="7"/>
      <c r="BU836" s="2" t="s">
        <v>330</v>
      </c>
      <c r="BV836" s="2" t="s">
        <v>235</v>
      </c>
      <c r="BW836" s="2" t="s">
        <v>235</v>
      </c>
      <c r="BX836" s="2" t="s">
        <v>330</v>
      </c>
      <c r="BY836" s="2" t="s">
        <v>331</v>
      </c>
      <c r="BZ836" s="2" t="s">
        <v>232</v>
      </c>
      <c r="CA836" s="2" t="s">
        <v>235</v>
      </c>
      <c r="CB836" s="2" t="s">
        <v>235</v>
      </c>
      <c r="CC836" s="2" t="s">
        <v>248</v>
      </c>
      <c r="CD836" s="2" t="s">
        <v>248</v>
      </c>
      <c r="CE836" s="2" t="s">
        <v>235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</row>
    <row r="837">
      <c r="A837" s="2" t="s">
        <v>3455</v>
      </c>
      <c r="B837" s="2" t="s">
        <v>323</v>
      </c>
      <c r="C837" s="2" t="s">
        <v>1036</v>
      </c>
      <c r="D837" s="2" t="s">
        <v>257</v>
      </c>
      <c r="E837" s="2" t="s">
        <v>258</v>
      </c>
      <c r="F837" s="2" t="s">
        <v>3098</v>
      </c>
      <c r="G837" s="2" t="s">
        <v>3098</v>
      </c>
      <c r="H837" s="2" t="s">
        <v>3098</v>
      </c>
      <c r="I837" s="2" t="s">
        <v>2906</v>
      </c>
      <c r="J837" s="2" t="s">
        <v>230</v>
      </c>
      <c r="K837" s="2" t="s">
        <v>3454</v>
      </c>
      <c r="L837" s="3">
        <v>16.16</v>
      </c>
      <c r="M837" s="3">
        <v>16.97</v>
      </c>
      <c r="N837" s="3">
        <v>34.99</v>
      </c>
      <c r="O837" s="2" t="s">
        <v>232</v>
      </c>
      <c r="P837" s="2" t="s">
        <v>878</v>
      </c>
      <c r="Q837" s="2" t="s">
        <v>234</v>
      </c>
      <c r="R837" s="2" t="s">
        <v>235</v>
      </c>
      <c r="S837" s="2" t="s">
        <v>235</v>
      </c>
      <c r="T837" s="2" t="s">
        <v>2908</v>
      </c>
      <c r="U837" s="2" t="s">
        <v>552</v>
      </c>
      <c r="V837" s="2" t="s">
        <v>2182</v>
      </c>
      <c r="W837" s="2" t="s">
        <v>329</v>
      </c>
      <c r="X837" s="2" t="s">
        <v>235</v>
      </c>
      <c r="Y837" s="2" t="s">
        <v>235</v>
      </c>
      <c r="Z837" s="4"/>
      <c r="AA837" s="4">
        <f>=ROUNDDOWN({0},0)</f>
      </c>
      <c r="AB837" s="5"/>
      <c r="AC837" s="2" t="s">
        <v>235</v>
      </c>
      <c r="AD837" s="4"/>
      <c r="AE837" s="4"/>
      <c r="AF837" s="6">
        <v>77</v>
      </c>
      <c r="AG837" s="6"/>
      <c r="AH837" s="7"/>
      <c r="AI837" s="4"/>
      <c r="AJ837" s="4">
        <f>=ROUNDDOWN({0},0)</f>
      </c>
      <c r="AK837" s="5"/>
      <c r="AL837" s="2" t="s">
        <v>235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235</v>
      </c>
      <c r="AW837" s="8" t="s">
        <v>235</v>
      </c>
      <c r="AX837" s="4" t="s">
        <v>235</v>
      </c>
      <c r="AY837" s="8" t="s">
        <v>235</v>
      </c>
      <c r="AZ837" s="7" t="s">
        <v>235</v>
      </c>
      <c r="BA837" s="7" t="s">
        <v>235</v>
      </c>
      <c r="BB837" s="7"/>
      <c r="BC837" s="4" t="s">
        <v>235</v>
      </c>
      <c r="BD837" s="8" t="s">
        <v>235</v>
      </c>
      <c r="BE837" s="4" t="s">
        <v>235</v>
      </c>
      <c r="BF837" s="8" t="s">
        <v>235</v>
      </c>
      <c r="BG837" s="7" t="s">
        <v>235</v>
      </c>
      <c r="BH837" s="7" t="s">
        <v>235</v>
      </c>
      <c r="BI837" s="7"/>
      <c r="BJ837" s="4"/>
      <c r="BK837" s="8"/>
      <c r="BL837" s="2" t="s">
        <v>235</v>
      </c>
      <c r="BM837" s="7"/>
      <c r="BN837" s="7"/>
      <c r="BO837" s="4"/>
      <c r="BP837" s="8"/>
      <c r="BQ837" s="4"/>
      <c r="BR837" s="8"/>
      <c r="BS837" s="7"/>
      <c r="BT837" s="7"/>
      <c r="BU837" s="2" t="s">
        <v>330</v>
      </c>
      <c r="BV837" s="2" t="s">
        <v>235</v>
      </c>
      <c r="BW837" s="2" t="s">
        <v>235</v>
      </c>
      <c r="BX837" s="2" t="s">
        <v>330</v>
      </c>
      <c r="BY837" s="2" t="s">
        <v>331</v>
      </c>
      <c r="BZ837" s="2" t="s">
        <v>232</v>
      </c>
      <c r="CA837" s="2" t="s">
        <v>235</v>
      </c>
      <c r="CB837" s="2" t="s">
        <v>235</v>
      </c>
      <c r="CC837" s="2" t="s">
        <v>248</v>
      </c>
      <c r="CD837" s="2" t="s">
        <v>248</v>
      </c>
      <c r="CE837" s="2" t="s">
        <v>235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</row>
    <row r="838">
      <c r="A838" s="2" t="s">
        <v>3456</v>
      </c>
      <c r="B838" s="2" t="s">
        <v>323</v>
      </c>
      <c r="C838" s="2" t="s">
        <v>1036</v>
      </c>
      <c r="D838" s="2" t="s">
        <v>257</v>
      </c>
      <c r="E838" s="2" t="s">
        <v>258</v>
      </c>
      <c r="F838" s="2" t="s">
        <v>3098</v>
      </c>
      <c r="G838" s="2" t="s">
        <v>3098</v>
      </c>
      <c r="H838" s="2" t="s">
        <v>3098</v>
      </c>
      <c r="I838" s="2" t="s">
        <v>2906</v>
      </c>
      <c r="J838" s="2" t="s">
        <v>250</v>
      </c>
      <c r="K838" s="2" t="s">
        <v>3454</v>
      </c>
      <c r="L838" s="3">
        <v>20.54</v>
      </c>
      <c r="M838" s="3">
        <v>21.57</v>
      </c>
      <c r="N838" s="3">
        <v>42.99</v>
      </c>
      <c r="O838" s="2" t="s">
        <v>232</v>
      </c>
      <c r="P838" s="2" t="s">
        <v>878</v>
      </c>
      <c r="Q838" s="2" t="s">
        <v>234</v>
      </c>
      <c r="R838" s="2" t="s">
        <v>235</v>
      </c>
      <c r="S838" s="2" t="s">
        <v>235</v>
      </c>
      <c r="T838" s="2" t="s">
        <v>2908</v>
      </c>
      <c r="U838" s="2" t="s">
        <v>264</v>
      </c>
      <c r="V838" s="2" t="s">
        <v>2182</v>
      </c>
      <c r="W838" s="2" t="s">
        <v>329</v>
      </c>
      <c r="X838" s="2" t="s">
        <v>235</v>
      </c>
      <c r="Y838" s="2" t="s">
        <v>3317</v>
      </c>
      <c r="Z838" s="4">
        <v>738</v>
      </c>
      <c r="AA838" s="4">
        <f>=ROUNDDOWN({0},0)</f>
      </c>
      <c r="AB838" s="5"/>
      <c r="AC838" s="2" t="s">
        <v>2503</v>
      </c>
      <c r="AD838" s="4">
        <v>739</v>
      </c>
      <c r="AE838" s="4">
        <v>1755</v>
      </c>
      <c r="AF838" s="6">
        <v>77</v>
      </c>
      <c r="AG838" s="6"/>
      <c r="AH838" s="7">
        <v>1</v>
      </c>
      <c r="AI838" s="4"/>
      <c r="AJ838" s="4">
        <f>=ROUNDDOWN({0},0)</f>
      </c>
      <c r="AK838" s="5"/>
      <c r="AL838" s="2" t="s">
        <v>235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235</v>
      </c>
      <c r="AW838" s="8" t="s">
        <v>235</v>
      </c>
      <c r="AX838" s="4" t="s">
        <v>235</v>
      </c>
      <c r="AY838" s="8" t="s">
        <v>235</v>
      </c>
      <c r="AZ838" s="7" t="s">
        <v>235</v>
      </c>
      <c r="BA838" s="7" t="s">
        <v>235</v>
      </c>
      <c r="BB838" s="7"/>
      <c r="BC838" s="4" t="s">
        <v>235</v>
      </c>
      <c r="BD838" s="8" t="s">
        <v>235</v>
      </c>
      <c r="BE838" s="4" t="s">
        <v>235</v>
      </c>
      <c r="BF838" s="8" t="s">
        <v>235</v>
      </c>
      <c r="BG838" s="7" t="s">
        <v>235</v>
      </c>
      <c r="BH838" s="7" t="s">
        <v>235</v>
      </c>
      <c r="BI838" s="7"/>
      <c r="BJ838" s="4"/>
      <c r="BK838" s="8"/>
      <c r="BL838" s="2" t="s">
        <v>235</v>
      </c>
      <c r="BM838" s="7"/>
      <c r="BN838" s="7"/>
      <c r="BO838" s="4"/>
      <c r="BP838" s="8"/>
      <c r="BQ838" s="4"/>
      <c r="BR838" s="8"/>
      <c r="BS838" s="7"/>
      <c r="BT838" s="7"/>
      <c r="BU838" s="2" t="s">
        <v>3318</v>
      </c>
      <c r="BV838" s="2" t="s">
        <v>235</v>
      </c>
      <c r="BW838" s="2" t="s">
        <v>235</v>
      </c>
      <c r="BX838" s="2" t="s">
        <v>244</v>
      </c>
      <c r="BY838" s="2" t="s">
        <v>245</v>
      </c>
      <c r="BZ838" s="2" t="s">
        <v>232</v>
      </c>
      <c r="CA838" s="2" t="s">
        <v>235</v>
      </c>
      <c r="CB838" s="2" t="s">
        <v>235</v>
      </c>
      <c r="CC838" s="2" t="s">
        <v>248</v>
      </c>
      <c r="CD838" s="2" t="s">
        <v>248</v>
      </c>
      <c r="CE838" s="2" t="s">
        <v>235</v>
      </c>
      <c r="CF838" s="4">
        <v>738</v>
      </c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>
        <v>739</v>
      </c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>
        <v>492</v>
      </c>
      <c r="EI838" s="4"/>
      <c r="EJ838" s="4"/>
      <c r="EK838" s="4"/>
      <c r="EL838" s="4">
        <v>524</v>
      </c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>
        <v>738</v>
      </c>
      <c r="GE838" s="4">
        <v>457</v>
      </c>
      <c r="GF838" s="4">
        <v>1138</v>
      </c>
      <c r="GG838" s="4">
        <v>1046</v>
      </c>
      <c r="GH838" s="4">
        <v>931</v>
      </c>
      <c r="GI838" s="4">
        <v>751</v>
      </c>
      <c r="GJ838" s="4">
        <v>391</v>
      </c>
      <c r="GK838" s="4">
        <v>219</v>
      </c>
      <c r="GL838" s="4">
        <v>52</v>
      </c>
      <c r="GM838" s="4">
        <v>492</v>
      </c>
      <c r="GN838" s="4">
        <v>868</v>
      </c>
      <c r="GO838" s="4">
        <v>762</v>
      </c>
      <c r="GP838" s="4">
        <v>668</v>
      </c>
      <c r="GQ838" s="4">
        <v>560</v>
      </c>
      <c r="GR838" s="4">
        <v>497</v>
      </c>
      <c r="GS838" s="4">
        <v>429</v>
      </c>
      <c r="GT838" s="4">
        <v>371</v>
      </c>
      <c r="GU838" s="4">
        <v>318</v>
      </c>
      <c r="GV838" s="4">
        <v>263</v>
      </c>
      <c r="GW838" s="4">
        <v>223</v>
      </c>
      <c r="GX838" s="4">
        <v>186</v>
      </c>
      <c r="GY838" s="4">
        <v>151</v>
      </c>
      <c r="GZ838" s="4">
        <v>115</v>
      </c>
      <c r="HA838" s="4">
        <v>79</v>
      </c>
      <c r="HB838" s="4">
        <v>384</v>
      </c>
      <c r="HC838" s="4">
        <v>348</v>
      </c>
      <c r="HD838" s="19">
        <v>5.4</v>
      </c>
      <c r="HE838" s="19">
        <v>4.1</v>
      </c>
      <c r="HF838" s="19">
        <v>6.1</v>
      </c>
      <c r="HG838" s="19">
        <v>5.1</v>
      </c>
      <c r="HH838" s="19">
        <v>4.2</v>
      </c>
      <c r="HI838" s="19">
        <v>4</v>
      </c>
      <c r="HJ838" s="19">
        <v>2.9</v>
      </c>
      <c r="HK838" s="19">
        <v>1.9</v>
      </c>
      <c r="HL838" s="19">
        <v>0.5</v>
      </c>
      <c r="HM838" s="19">
        <v>4.3</v>
      </c>
      <c r="HN838" s="19">
        <v>9.3</v>
      </c>
      <c r="HO838" s="19">
        <v>9.2</v>
      </c>
      <c r="HP838" s="19">
        <v>9</v>
      </c>
      <c r="HQ838" s="19">
        <v>9.3</v>
      </c>
      <c r="HR838" s="19">
        <v>8.6</v>
      </c>
      <c r="HS838" s="19">
        <v>8.3</v>
      </c>
      <c r="HT838" s="19">
        <v>8.1</v>
      </c>
      <c r="HU838" s="19">
        <v>7.6</v>
      </c>
      <c r="HV838" s="19">
        <v>7.1</v>
      </c>
      <c r="HW838" s="19">
        <v>6.2</v>
      </c>
      <c r="HX838" s="19">
        <v>5.2</v>
      </c>
      <c r="HY838" s="19">
        <v>4.2</v>
      </c>
      <c r="HZ838" s="19">
        <v>3.2</v>
      </c>
      <c r="IA838" s="19">
        <v>2.3</v>
      </c>
      <c r="IB838" s="19">
        <v>11.6</v>
      </c>
      <c r="IC838" s="19">
        <v>11.2</v>
      </c>
    </row>
    <row r="839">
      <c r="A839" s="2" t="s">
        <v>3457</v>
      </c>
      <c r="B839" s="2" t="s">
        <v>323</v>
      </c>
      <c r="C839" s="2" t="s">
        <v>1036</v>
      </c>
      <c r="D839" s="2" t="s">
        <v>257</v>
      </c>
      <c r="E839" s="2" t="s">
        <v>258</v>
      </c>
      <c r="F839" s="2" t="s">
        <v>3098</v>
      </c>
      <c r="G839" s="2" t="s">
        <v>3098</v>
      </c>
      <c r="H839" s="2" t="s">
        <v>3098</v>
      </c>
      <c r="I839" s="2" t="s">
        <v>2906</v>
      </c>
      <c r="J839" s="2" t="s">
        <v>270</v>
      </c>
      <c r="K839" s="2" t="s">
        <v>3454</v>
      </c>
      <c r="L839" s="3">
        <v>28.76</v>
      </c>
      <c r="M839" s="3">
        <v>30.2</v>
      </c>
      <c r="N839" s="3">
        <v>62.99</v>
      </c>
      <c r="O839" s="2" t="s">
        <v>232</v>
      </c>
      <c r="P839" s="2" t="s">
        <v>878</v>
      </c>
      <c r="Q839" s="2" t="s">
        <v>234</v>
      </c>
      <c r="R839" s="2" t="s">
        <v>235</v>
      </c>
      <c r="S839" s="2" t="s">
        <v>235</v>
      </c>
      <c r="T839" s="2" t="s">
        <v>2908</v>
      </c>
      <c r="U839" s="2" t="s">
        <v>264</v>
      </c>
      <c r="V839" s="2" t="s">
        <v>2182</v>
      </c>
      <c r="W839" s="2" t="s">
        <v>329</v>
      </c>
      <c r="X839" s="2" t="s">
        <v>235</v>
      </c>
      <c r="Y839" s="2" t="s">
        <v>3317</v>
      </c>
      <c r="Z839" s="4">
        <v>186</v>
      </c>
      <c r="AA839" s="4">
        <f>=ROUNDDOWN({0},0)</f>
      </c>
      <c r="AB839" s="5"/>
      <c r="AC839" s="2" t="s">
        <v>2503</v>
      </c>
      <c r="AD839" s="4">
        <v>187</v>
      </c>
      <c r="AE839" s="4">
        <v>447</v>
      </c>
      <c r="AF839" s="6">
        <v>77</v>
      </c>
      <c r="AG839" s="6"/>
      <c r="AH839" s="7">
        <v>1</v>
      </c>
      <c r="AI839" s="4"/>
      <c r="AJ839" s="4">
        <f>=ROUNDDOWN({0},0)</f>
      </c>
      <c r="AK839" s="5"/>
      <c r="AL839" s="2" t="s">
        <v>235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235</v>
      </c>
      <c r="AW839" s="8" t="s">
        <v>235</v>
      </c>
      <c r="AX839" s="4" t="s">
        <v>235</v>
      </c>
      <c r="AY839" s="8" t="s">
        <v>235</v>
      </c>
      <c r="AZ839" s="7" t="s">
        <v>235</v>
      </c>
      <c r="BA839" s="7" t="s">
        <v>235</v>
      </c>
      <c r="BB839" s="7"/>
      <c r="BC839" s="4" t="s">
        <v>235</v>
      </c>
      <c r="BD839" s="8" t="s">
        <v>235</v>
      </c>
      <c r="BE839" s="4" t="s">
        <v>235</v>
      </c>
      <c r="BF839" s="8" t="s">
        <v>235</v>
      </c>
      <c r="BG839" s="7" t="s">
        <v>235</v>
      </c>
      <c r="BH839" s="7" t="s">
        <v>235</v>
      </c>
      <c r="BI839" s="7"/>
      <c r="BJ839" s="4"/>
      <c r="BK839" s="8"/>
      <c r="BL839" s="2" t="s">
        <v>235</v>
      </c>
      <c r="BM839" s="7"/>
      <c r="BN839" s="7"/>
      <c r="BO839" s="4"/>
      <c r="BP839" s="8"/>
      <c r="BQ839" s="4"/>
      <c r="BR839" s="8"/>
      <c r="BS839" s="7"/>
      <c r="BT839" s="7"/>
      <c r="BU839" s="2" t="s">
        <v>3318</v>
      </c>
      <c r="BV839" s="2" t="s">
        <v>235</v>
      </c>
      <c r="BW839" s="2" t="s">
        <v>235</v>
      </c>
      <c r="BX839" s="2" t="s">
        <v>244</v>
      </c>
      <c r="BY839" s="2" t="s">
        <v>245</v>
      </c>
      <c r="BZ839" s="2" t="s">
        <v>232</v>
      </c>
      <c r="CA839" s="2" t="s">
        <v>235</v>
      </c>
      <c r="CB839" s="2" t="s">
        <v>235</v>
      </c>
      <c r="CC839" s="2" t="s">
        <v>248</v>
      </c>
      <c r="CD839" s="2" t="s">
        <v>248</v>
      </c>
      <c r="CE839" s="2" t="s">
        <v>235</v>
      </c>
      <c r="CF839" s="4">
        <v>186</v>
      </c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>
        <v>187</v>
      </c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>
        <v>124</v>
      </c>
      <c r="EI839" s="4"/>
      <c r="EJ839" s="4"/>
      <c r="EK839" s="4"/>
      <c r="EL839" s="4">
        <v>136</v>
      </c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>
        <v>187</v>
      </c>
      <c r="GE839" s="4">
        <v>137</v>
      </c>
      <c r="GF839" s="4">
        <v>313</v>
      </c>
      <c r="GG839" s="4">
        <v>296</v>
      </c>
      <c r="GH839" s="4">
        <v>275</v>
      </c>
      <c r="GI839" s="4">
        <v>242</v>
      </c>
      <c r="GJ839" s="4">
        <v>176</v>
      </c>
      <c r="GK839" s="4">
        <v>143</v>
      </c>
      <c r="GL839" s="4">
        <v>111</v>
      </c>
      <c r="GM839" s="4">
        <v>213</v>
      </c>
      <c r="GN839" s="4">
        <v>326</v>
      </c>
      <c r="GO839" s="4">
        <v>299</v>
      </c>
      <c r="GP839" s="4">
        <v>269</v>
      </c>
      <c r="GQ839" s="4">
        <v>224</v>
      </c>
      <c r="GR839" s="4">
        <v>201</v>
      </c>
      <c r="GS839" s="4">
        <v>177</v>
      </c>
      <c r="GT839" s="4">
        <v>159</v>
      </c>
      <c r="GU839" s="4">
        <v>144</v>
      </c>
      <c r="GV839" s="4">
        <v>128</v>
      </c>
      <c r="GW839" s="4">
        <v>116</v>
      </c>
      <c r="GX839" s="4">
        <v>106</v>
      </c>
      <c r="GY839" s="4">
        <v>97</v>
      </c>
      <c r="GZ839" s="4">
        <v>88</v>
      </c>
      <c r="HA839" s="4">
        <v>79</v>
      </c>
      <c r="HB839" s="4">
        <v>95</v>
      </c>
      <c r="HC839" s="4">
        <v>86</v>
      </c>
      <c r="HD839" s="19">
        <v>7.5</v>
      </c>
      <c r="HE839" s="19">
        <v>6.9</v>
      </c>
      <c r="HF839" s="19">
        <v>9.2</v>
      </c>
      <c r="HG839" s="19">
        <v>7.8</v>
      </c>
      <c r="HH839" s="19">
        <v>6.7</v>
      </c>
      <c r="HI839" s="19">
        <v>6.4</v>
      </c>
      <c r="HJ839" s="19">
        <v>6.3</v>
      </c>
      <c r="HK839" s="19">
        <v>5.5</v>
      </c>
      <c r="HL839" s="19">
        <v>4.3</v>
      </c>
      <c r="HM839" s="19">
        <v>6.9</v>
      </c>
      <c r="HN839" s="19">
        <v>10.5</v>
      </c>
      <c r="HO839" s="19">
        <v>10</v>
      </c>
      <c r="HP839" s="19">
        <v>9.6</v>
      </c>
      <c r="HQ839" s="19">
        <v>11.2</v>
      </c>
      <c r="HR839" s="19">
        <v>11.2</v>
      </c>
      <c r="HS839" s="19">
        <v>11.8</v>
      </c>
      <c r="HT839" s="19">
        <v>12.2</v>
      </c>
      <c r="HU839" s="19">
        <v>12</v>
      </c>
      <c r="HV839" s="19">
        <v>12.8</v>
      </c>
      <c r="HW839" s="19">
        <v>12.9</v>
      </c>
      <c r="HX839" s="19">
        <v>11.8</v>
      </c>
      <c r="HY839" s="19">
        <v>10.8</v>
      </c>
      <c r="HZ839" s="19">
        <v>9.8</v>
      </c>
      <c r="IA839" s="19">
        <v>9.9</v>
      </c>
      <c r="IB839" s="19">
        <v>11.9</v>
      </c>
      <c r="IC839" s="19">
        <v>10.8</v>
      </c>
    </row>
    <row r="840">
      <c r="A840" s="2" t="s">
        <v>3458</v>
      </c>
      <c r="B840" s="2" t="s">
        <v>323</v>
      </c>
      <c r="C840" s="2" t="s">
        <v>1036</v>
      </c>
      <c r="D840" s="2" t="s">
        <v>257</v>
      </c>
      <c r="E840" s="2" t="s">
        <v>258</v>
      </c>
      <c r="F840" s="2" t="s">
        <v>3098</v>
      </c>
      <c r="G840" s="2" t="s">
        <v>3098</v>
      </c>
      <c r="H840" s="2" t="s">
        <v>3098</v>
      </c>
      <c r="I840" s="2" t="s">
        <v>2906</v>
      </c>
      <c r="J840" s="2" t="s">
        <v>272</v>
      </c>
      <c r="K840" s="2" t="s">
        <v>3454</v>
      </c>
      <c r="L840" s="3">
        <v>28.76</v>
      </c>
      <c r="M840" s="3">
        <v>30.2</v>
      </c>
      <c r="N840" s="3">
        <v>62.99</v>
      </c>
      <c r="O840" s="2" t="s">
        <v>232</v>
      </c>
      <c r="P840" s="2" t="s">
        <v>878</v>
      </c>
      <c r="Q840" s="2" t="s">
        <v>234</v>
      </c>
      <c r="R840" s="2" t="s">
        <v>235</v>
      </c>
      <c r="S840" s="2" t="s">
        <v>235</v>
      </c>
      <c r="T840" s="2" t="s">
        <v>2908</v>
      </c>
      <c r="U840" s="2" t="s">
        <v>264</v>
      </c>
      <c r="V840" s="2" t="s">
        <v>2182</v>
      </c>
      <c r="W840" s="2" t="s">
        <v>329</v>
      </c>
      <c r="X840" s="2" t="s">
        <v>235</v>
      </c>
      <c r="Y840" s="2" t="s">
        <v>3459</v>
      </c>
      <c r="Z840" s="4">
        <v>102</v>
      </c>
      <c r="AA840" s="4">
        <f>=ROUNDDOWN({0},0)</f>
      </c>
      <c r="AB840" s="5"/>
      <c r="AC840" s="2" t="s">
        <v>2503</v>
      </c>
      <c r="AD840" s="4">
        <v>103</v>
      </c>
      <c r="AE840" s="4">
        <v>241</v>
      </c>
      <c r="AF840" s="6">
        <v>77</v>
      </c>
      <c r="AG840" s="6"/>
      <c r="AH840" s="7">
        <v>1</v>
      </c>
      <c r="AI840" s="4"/>
      <c r="AJ840" s="4">
        <f>=ROUNDDOWN({0},0)</f>
      </c>
      <c r="AK840" s="5"/>
      <c r="AL840" s="2" t="s">
        <v>235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235</v>
      </c>
      <c r="AW840" s="8" t="s">
        <v>235</v>
      </c>
      <c r="AX840" s="4" t="s">
        <v>235</v>
      </c>
      <c r="AY840" s="8" t="s">
        <v>235</v>
      </c>
      <c r="AZ840" s="7" t="s">
        <v>235</v>
      </c>
      <c r="BA840" s="7" t="s">
        <v>235</v>
      </c>
      <c r="BB840" s="7"/>
      <c r="BC840" s="4" t="s">
        <v>235</v>
      </c>
      <c r="BD840" s="8" t="s">
        <v>235</v>
      </c>
      <c r="BE840" s="4" t="s">
        <v>235</v>
      </c>
      <c r="BF840" s="8" t="s">
        <v>235</v>
      </c>
      <c r="BG840" s="7" t="s">
        <v>235</v>
      </c>
      <c r="BH840" s="7" t="s">
        <v>235</v>
      </c>
      <c r="BI840" s="7"/>
      <c r="BJ840" s="4"/>
      <c r="BK840" s="8"/>
      <c r="BL840" s="2" t="s">
        <v>235</v>
      </c>
      <c r="BM840" s="7"/>
      <c r="BN840" s="7"/>
      <c r="BO840" s="4"/>
      <c r="BP840" s="8"/>
      <c r="BQ840" s="4"/>
      <c r="BR840" s="8"/>
      <c r="BS840" s="7"/>
      <c r="BT840" s="7"/>
      <c r="BU840" s="2" t="s">
        <v>3318</v>
      </c>
      <c r="BV840" s="2" t="s">
        <v>235</v>
      </c>
      <c r="BW840" s="2" t="s">
        <v>235</v>
      </c>
      <c r="BX840" s="2" t="s">
        <v>244</v>
      </c>
      <c r="BY840" s="2" t="s">
        <v>245</v>
      </c>
      <c r="BZ840" s="2" t="s">
        <v>232</v>
      </c>
      <c r="CA840" s="2" t="s">
        <v>235</v>
      </c>
      <c r="CB840" s="2" t="s">
        <v>235</v>
      </c>
      <c r="CC840" s="2" t="s">
        <v>248</v>
      </c>
      <c r="CD840" s="2" t="s">
        <v>248</v>
      </c>
      <c r="CE840" s="2" t="s">
        <v>235</v>
      </c>
      <c r="CF840" s="4">
        <v>102</v>
      </c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>
        <v>103</v>
      </c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>
        <v>68</v>
      </c>
      <c r="EI840" s="4"/>
      <c r="EJ840" s="4"/>
      <c r="EK840" s="4"/>
      <c r="EL840" s="4">
        <v>70</v>
      </c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>
        <v>102</v>
      </c>
      <c r="GE840" s="4">
        <v>88</v>
      </c>
      <c r="GF840" s="4">
        <v>187</v>
      </c>
      <c r="GG840" s="4">
        <v>181</v>
      </c>
      <c r="GH840" s="4">
        <v>174</v>
      </c>
      <c r="GI840" s="4">
        <v>163</v>
      </c>
      <c r="GJ840" s="4">
        <v>140</v>
      </c>
      <c r="GK840" s="4">
        <v>127</v>
      </c>
      <c r="GL840" s="4">
        <v>115</v>
      </c>
      <c r="GM840" s="4">
        <v>174</v>
      </c>
      <c r="GN840" s="4">
        <v>230</v>
      </c>
      <c r="GO840" s="4">
        <v>213</v>
      </c>
      <c r="GP840" s="4">
        <v>191</v>
      </c>
      <c r="GQ840" s="4">
        <v>152</v>
      </c>
      <c r="GR840" s="4">
        <v>133</v>
      </c>
      <c r="GS840" s="4">
        <v>114</v>
      </c>
      <c r="GT840" s="4">
        <v>101</v>
      </c>
      <c r="GU840" s="4">
        <v>91</v>
      </c>
      <c r="GV840" s="4">
        <v>80</v>
      </c>
      <c r="GW840" s="4">
        <v>71</v>
      </c>
      <c r="GX840" s="4">
        <v>64</v>
      </c>
      <c r="GY840" s="4">
        <v>58</v>
      </c>
      <c r="GZ840" s="4">
        <v>52</v>
      </c>
      <c r="HA840" s="4">
        <v>46</v>
      </c>
      <c r="HB840" s="4">
        <v>56</v>
      </c>
      <c r="HC840" s="4">
        <v>50</v>
      </c>
      <c r="HD840" s="19">
        <v>12.8</v>
      </c>
      <c r="HE840" s="19">
        <v>12.6</v>
      </c>
      <c r="HF840" s="19">
        <v>15.6</v>
      </c>
      <c r="HG840" s="19">
        <v>12.9</v>
      </c>
      <c r="HH840" s="19">
        <v>11.6</v>
      </c>
      <c r="HI840" s="19">
        <v>11.6</v>
      </c>
      <c r="HJ840" s="19">
        <v>11.7</v>
      </c>
      <c r="HK840" s="19">
        <v>9.8</v>
      </c>
      <c r="HL840" s="19">
        <v>7.2</v>
      </c>
      <c r="HM840" s="19">
        <v>7.6</v>
      </c>
      <c r="HN840" s="19">
        <v>9.6</v>
      </c>
      <c r="HO840" s="19">
        <v>8.5</v>
      </c>
      <c r="HP840" s="19">
        <v>8.7</v>
      </c>
      <c r="HQ840" s="19">
        <v>10.1</v>
      </c>
      <c r="HR840" s="19">
        <v>10.2</v>
      </c>
      <c r="HS840" s="19">
        <v>10.4</v>
      </c>
      <c r="HT840" s="19">
        <v>11.2</v>
      </c>
      <c r="HU840" s="19">
        <v>11.4</v>
      </c>
      <c r="HV840" s="19">
        <v>11.4</v>
      </c>
      <c r="HW840" s="19">
        <v>11.8</v>
      </c>
      <c r="HX840" s="19">
        <v>10.7</v>
      </c>
      <c r="HY840" s="19">
        <v>9.7</v>
      </c>
      <c r="HZ840" s="19">
        <v>8.7</v>
      </c>
      <c r="IA840" s="19">
        <v>7.7</v>
      </c>
      <c r="IB840" s="19">
        <v>11.2</v>
      </c>
      <c r="IC840" s="19">
        <v>12.5</v>
      </c>
    </row>
    <row r="841">
      <c r="A841" s="2" t="s">
        <v>3460</v>
      </c>
      <c r="B841" s="2" t="s">
        <v>323</v>
      </c>
      <c r="C841" s="2" t="s">
        <v>1036</v>
      </c>
      <c r="D841" s="2" t="s">
        <v>257</v>
      </c>
      <c r="E841" s="2" t="s">
        <v>258</v>
      </c>
      <c r="F841" s="2" t="s">
        <v>3098</v>
      </c>
      <c r="G841" s="2" t="s">
        <v>3098</v>
      </c>
      <c r="H841" s="2" t="s">
        <v>3098</v>
      </c>
      <c r="I841" s="2" t="s">
        <v>2906</v>
      </c>
      <c r="J841" s="2" t="s">
        <v>394</v>
      </c>
      <c r="K841" s="2" t="s">
        <v>3461</v>
      </c>
      <c r="L841" s="3">
        <v>14.89</v>
      </c>
      <c r="M841" s="3">
        <v>15.63</v>
      </c>
      <c r="N841" s="3">
        <v>31.99</v>
      </c>
      <c r="O841" s="2" t="s">
        <v>232</v>
      </c>
      <c r="P841" s="2" t="s">
        <v>878</v>
      </c>
      <c r="Q841" s="2" t="s">
        <v>234</v>
      </c>
      <c r="R841" s="2" t="s">
        <v>235</v>
      </c>
      <c r="S841" s="2" t="s">
        <v>235</v>
      </c>
      <c r="T841" s="2" t="s">
        <v>2908</v>
      </c>
      <c r="U841" s="2" t="s">
        <v>552</v>
      </c>
      <c r="V841" s="2" t="s">
        <v>2182</v>
      </c>
      <c r="W841" s="2" t="s">
        <v>329</v>
      </c>
      <c r="X841" s="2" t="s">
        <v>235</v>
      </c>
      <c r="Y841" s="2" t="s">
        <v>235</v>
      </c>
      <c r="Z841" s="4"/>
      <c r="AA841" s="4">
        <f>=ROUNDDOWN({0},0)</f>
      </c>
      <c r="AB841" s="5"/>
      <c r="AC841" s="2" t="s">
        <v>235</v>
      </c>
      <c r="AD841" s="4"/>
      <c r="AE841" s="4"/>
      <c r="AF841" s="6">
        <v>77</v>
      </c>
      <c r="AG841" s="6"/>
      <c r="AH841" s="7"/>
      <c r="AI841" s="4"/>
      <c r="AJ841" s="4">
        <f>=ROUNDDOWN({0},0)</f>
      </c>
      <c r="AK841" s="5"/>
      <c r="AL841" s="2" t="s">
        <v>235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235</v>
      </c>
      <c r="AW841" s="8" t="s">
        <v>235</v>
      </c>
      <c r="AX841" s="4" t="s">
        <v>235</v>
      </c>
      <c r="AY841" s="8" t="s">
        <v>235</v>
      </c>
      <c r="AZ841" s="7" t="s">
        <v>235</v>
      </c>
      <c r="BA841" s="7" t="s">
        <v>235</v>
      </c>
      <c r="BB841" s="7"/>
      <c r="BC841" s="4" t="s">
        <v>235</v>
      </c>
      <c r="BD841" s="8" t="s">
        <v>235</v>
      </c>
      <c r="BE841" s="4" t="s">
        <v>235</v>
      </c>
      <c r="BF841" s="8" t="s">
        <v>235</v>
      </c>
      <c r="BG841" s="7" t="s">
        <v>235</v>
      </c>
      <c r="BH841" s="7" t="s">
        <v>235</v>
      </c>
      <c r="BI841" s="7"/>
      <c r="BJ841" s="4"/>
      <c r="BK841" s="8"/>
      <c r="BL841" s="2" t="s">
        <v>235</v>
      </c>
      <c r="BM841" s="7"/>
      <c r="BN841" s="7"/>
      <c r="BO841" s="4"/>
      <c r="BP841" s="8"/>
      <c r="BQ841" s="4"/>
      <c r="BR841" s="8"/>
      <c r="BS841" s="7"/>
      <c r="BT841" s="7"/>
      <c r="BU841" s="2" t="s">
        <v>330</v>
      </c>
      <c r="BV841" s="2" t="s">
        <v>235</v>
      </c>
      <c r="BW841" s="2" t="s">
        <v>235</v>
      </c>
      <c r="BX841" s="2" t="s">
        <v>330</v>
      </c>
      <c r="BY841" s="2" t="s">
        <v>331</v>
      </c>
      <c r="BZ841" s="2" t="s">
        <v>232</v>
      </c>
      <c r="CA841" s="2" t="s">
        <v>235</v>
      </c>
      <c r="CB841" s="2" t="s">
        <v>235</v>
      </c>
      <c r="CC841" s="2" t="s">
        <v>248</v>
      </c>
      <c r="CD841" s="2" t="s">
        <v>248</v>
      </c>
      <c r="CE841" s="2" t="s">
        <v>235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</row>
    <row r="842">
      <c r="A842" s="2" t="s">
        <v>3462</v>
      </c>
      <c r="B842" s="2" t="s">
        <v>323</v>
      </c>
      <c r="C842" s="2" t="s">
        <v>1036</v>
      </c>
      <c r="D842" s="2" t="s">
        <v>257</v>
      </c>
      <c r="E842" s="2" t="s">
        <v>258</v>
      </c>
      <c r="F842" s="2" t="s">
        <v>3098</v>
      </c>
      <c r="G842" s="2" t="s">
        <v>3098</v>
      </c>
      <c r="H842" s="2" t="s">
        <v>3098</v>
      </c>
      <c r="I842" s="2" t="s">
        <v>2906</v>
      </c>
      <c r="J842" s="2" t="s">
        <v>230</v>
      </c>
      <c r="K842" s="2" t="s">
        <v>3461</v>
      </c>
      <c r="L842" s="3">
        <v>16.16</v>
      </c>
      <c r="M842" s="3">
        <v>16.97</v>
      </c>
      <c r="N842" s="3">
        <v>34.99</v>
      </c>
      <c r="O842" s="2" t="s">
        <v>232</v>
      </c>
      <c r="P842" s="2" t="s">
        <v>878</v>
      </c>
      <c r="Q842" s="2" t="s">
        <v>234</v>
      </c>
      <c r="R842" s="2" t="s">
        <v>235</v>
      </c>
      <c r="S842" s="2" t="s">
        <v>235</v>
      </c>
      <c r="T842" s="2" t="s">
        <v>2908</v>
      </c>
      <c r="U842" s="2" t="s">
        <v>552</v>
      </c>
      <c r="V842" s="2" t="s">
        <v>2182</v>
      </c>
      <c r="W842" s="2" t="s">
        <v>329</v>
      </c>
      <c r="X842" s="2" t="s">
        <v>235</v>
      </c>
      <c r="Y842" s="2" t="s">
        <v>235</v>
      </c>
      <c r="Z842" s="4"/>
      <c r="AA842" s="4">
        <f>=ROUNDDOWN({0},0)</f>
      </c>
      <c r="AB842" s="5"/>
      <c r="AC842" s="2" t="s">
        <v>235</v>
      </c>
      <c r="AD842" s="4"/>
      <c r="AE842" s="4"/>
      <c r="AF842" s="6">
        <v>77</v>
      </c>
      <c r="AG842" s="6"/>
      <c r="AH842" s="7"/>
      <c r="AI842" s="4"/>
      <c r="AJ842" s="4">
        <f>=ROUNDDOWN({0},0)</f>
      </c>
      <c r="AK842" s="5"/>
      <c r="AL842" s="2" t="s">
        <v>235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235</v>
      </c>
      <c r="AW842" s="8" t="s">
        <v>235</v>
      </c>
      <c r="AX842" s="4" t="s">
        <v>235</v>
      </c>
      <c r="AY842" s="8" t="s">
        <v>235</v>
      </c>
      <c r="AZ842" s="7" t="s">
        <v>235</v>
      </c>
      <c r="BA842" s="7" t="s">
        <v>235</v>
      </c>
      <c r="BB842" s="7"/>
      <c r="BC842" s="4" t="s">
        <v>235</v>
      </c>
      <c r="BD842" s="8" t="s">
        <v>235</v>
      </c>
      <c r="BE842" s="4" t="s">
        <v>235</v>
      </c>
      <c r="BF842" s="8" t="s">
        <v>235</v>
      </c>
      <c r="BG842" s="7" t="s">
        <v>235</v>
      </c>
      <c r="BH842" s="7" t="s">
        <v>235</v>
      </c>
      <c r="BI842" s="7"/>
      <c r="BJ842" s="4"/>
      <c r="BK842" s="8"/>
      <c r="BL842" s="2" t="s">
        <v>235</v>
      </c>
      <c r="BM842" s="7"/>
      <c r="BN842" s="7"/>
      <c r="BO842" s="4"/>
      <c r="BP842" s="8"/>
      <c r="BQ842" s="4"/>
      <c r="BR842" s="8"/>
      <c r="BS842" s="7"/>
      <c r="BT842" s="7"/>
      <c r="BU842" s="2" t="s">
        <v>330</v>
      </c>
      <c r="BV842" s="2" t="s">
        <v>235</v>
      </c>
      <c r="BW842" s="2" t="s">
        <v>235</v>
      </c>
      <c r="BX842" s="2" t="s">
        <v>330</v>
      </c>
      <c r="BY842" s="2" t="s">
        <v>331</v>
      </c>
      <c r="BZ842" s="2" t="s">
        <v>232</v>
      </c>
      <c r="CA842" s="2" t="s">
        <v>235</v>
      </c>
      <c r="CB842" s="2" t="s">
        <v>235</v>
      </c>
      <c r="CC842" s="2" t="s">
        <v>248</v>
      </c>
      <c r="CD842" s="2" t="s">
        <v>248</v>
      </c>
      <c r="CE842" s="2" t="s">
        <v>235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</row>
    <row r="843">
      <c r="A843" s="2" t="s">
        <v>3463</v>
      </c>
      <c r="B843" s="2" t="s">
        <v>323</v>
      </c>
      <c r="C843" s="2" t="s">
        <v>1036</v>
      </c>
      <c r="D843" s="2" t="s">
        <v>257</v>
      </c>
      <c r="E843" s="2" t="s">
        <v>258</v>
      </c>
      <c r="F843" s="2" t="s">
        <v>3098</v>
      </c>
      <c r="G843" s="2" t="s">
        <v>3098</v>
      </c>
      <c r="H843" s="2" t="s">
        <v>3098</v>
      </c>
      <c r="I843" s="2" t="s">
        <v>2906</v>
      </c>
      <c r="J843" s="2" t="s">
        <v>250</v>
      </c>
      <c r="K843" s="2" t="s">
        <v>3461</v>
      </c>
      <c r="L843" s="3">
        <v>20.54</v>
      </c>
      <c r="M843" s="3">
        <v>21.57</v>
      </c>
      <c r="N843" s="3">
        <v>42.99</v>
      </c>
      <c r="O843" s="2" t="s">
        <v>232</v>
      </c>
      <c r="P843" s="2" t="s">
        <v>233</v>
      </c>
      <c r="Q843" s="2" t="s">
        <v>234</v>
      </c>
      <c r="R843" s="2" t="s">
        <v>235</v>
      </c>
      <c r="S843" s="2" t="s">
        <v>235</v>
      </c>
      <c r="T843" s="2" t="s">
        <v>2908</v>
      </c>
      <c r="U843" s="2" t="s">
        <v>264</v>
      </c>
      <c r="V843" s="2" t="s">
        <v>2182</v>
      </c>
      <c r="W843" s="2" t="s">
        <v>329</v>
      </c>
      <c r="X843" s="2" t="s">
        <v>235</v>
      </c>
      <c r="Y843" s="2" t="s">
        <v>235</v>
      </c>
      <c r="Z843" s="4"/>
      <c r="AA843" s="4">
        <f>=ROUNDDOWN({0},0)</f>
      </c>
      <c r="AB843" s="5">
        <v>8</v>
      </c>
      <c r="AC843" s="2" t="s">
        <v>235</v>
      </c>
      <c r="AD843" s="4"/>
      <c r="AE843" s="4"/>
      <c r="AF843" s="6">
        <v>77</v>
      </c>
      <c r="AG843" s="6"/>
      <c r="AH843" s="7"/>
      <c r="AI843" s="4"/>
      <c r="AJ843" s="4">
        <f>=ROUNDDOWN({0},0)</f>
      </c>
      <c r="AK843" s="5"/>
      <c r="AL843" s="2" t="s">
        <v>235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235</v>
      </c>
      <c r="AW843" s="8" t="s">
        <v>235</v>
      </c>
      <c r="AX843" s="4" t="s">
        <v>235</v>
      </c>
      <c r="AY843" s="8" t="s">
        <v>235</v>
      </c>
      <c r="AZ843" s="7" t="s">
        <v>235</v>
      </c>
      <c r="BA843" s="7" t="s">
        <v>235</v>
      </c>
      <c r="BB843" s="7"/>
      <c r="BC843" s="4" t="s">
        <v>235</v>
      </c>
      <c r="BD843" s="8" t="s">
        <v>235</v>
      </c>
      <c r="BE843" s="4" t="s">
        <v>235</v>
      </c>
      <c r="BF843" s="8" t="s">
        <v>235</v>
      </c>
      <c r="BG843" s="7" t="s">
        <v>235</v>
      </c>
      <c r="BH843" s="7" t="s">
        <v>235</v>
      </c>
      <c r="BI843" s="7"/>
      <c r="BJ843" s="4"/>
      <c r="BK843" s="8"/>
      <c r="BL843" s="2" t="s">
        <v>235</v>
      </c>
      <c r="BM843" s="7"/>
      <c r="BN843" s="7"/>
      <c r="BO843" s="4"/>
      <c r="BP843" s="8"/>
      <c r="BQ843" s="4"/>
      <c r="BR843" s="8"/>
      <c r="BS843" s="7"/>
      <c r="BT843" s="7"/>
      <c r="BU843" s="2" t="s">
        <v>330</v>
      </c>
      <c r="BV843" s="2" t="s">
        <v>235</v>
      </c>
      <c r="BW843" s="2" t="s">
        <v>235</v>
      </c>
      <c r="BX843" s="2" t="s">
        <v>330</v>
      </c>
      <c r="BY843" s="2" t="s">
        <v>331</v>
      </c>
      <c r="BZ843" s="2" t="s">
        <v>232</v>
      </c>
      <c r="CA843" s="2" t="s">
        <v>235</v>
      </c>
      <c r="CB843" s="2" t="s">
        <v>235</v>
      </c>
      <c r="CC843" s="2" t="s">
        <v>248</v>
      </c>
      <c r="CD843" s="2" t="s">
        <v>248</v>
      </c>
      <c r="CE843" s="2" t="s">
        <v>235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>
        <v>96</v>
      </c>
      <c r="HC843" s="4">
        <v>91</v>
      </c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20">
        <v>0</v>
      </c>
      <c r="HZ843" s="20">
        <v>0</v>
      </c>
      <c r="IA843" s="20">
        <v>0</v>
      </c>
      <c r="IB843" s="19">
        <v>24</v>
      </c>
      <c r="IC843" s="19">
        <v>30.3</v>
      </c>
    </row>
    <row r="844">
      <c r="A844" s="2" t="s">
        <v>3464</v>
      </c>
      <c r="B844" s="2" t="s">
        <v>323</v>
      </c>
      <c r="C844" s="2" t="s">
        <v>1036</v>
      </c>
      <c r="D844" s="2" t="s">
        <v>257</v>
      </c>
      <c r="E844" s="2" t="s">
        <v>258</v>
      </c>
      <c r="F844" s="2" t="s">
        <v>3098</v>
      </c>
      <c r="G844" s="2" t="s">
        <v>3098</v>
      </c>
      <c r="H844" s="2" t="s">
        <v>3098</v>
      </c>
      <c r="I844" s="2" t="s">
        <v>2906</v>
      </c>
      <c r="J844" s="2" t="s">
        <v>261</v>
      </c>
      <c r="K844" s="2" t="s">
        <v>3461</v>
      </c>
      <c r="L844" s="3">
        <v>23.32</v>
      </c>
      <c r="M844" s="3">
        <v>24.49</v>
      </c>
      <c r="N844" s="3">
        <v>47.99</v>
      </c>
      <c r="O844" s="2" t="s">
        <v>232</v>
      </c>
      <c r="P844" s="2" t="s">
        <v>336</v>
      </c>
      <c r="Q844" s="2" t="s">
        <v>234</v>
      </c>
      <c r="R844" s="2" t="s">
        <v>235</v>
      </c>
      <c r="S844" s="2" t="s">
        <v>235</v>
      </c>
      <c r="T844" s="2" t="s">
        <v>2908</v>
      </c>
      <c r="U844" s="2" t="s">
        <v>264</v>
      </c>
      <c r="V844" s="2" t="s">
        <v>2182</v>
      </c>
      <c r="W844" s="2" t="s">
        <v>329</v>
      </c>
      <c r="X844" s="2" t="s">
        <v>235</v>
      </c>
      <c r="Y844" s="2" t="s">
        <v>235</v>
      </c>
      <c r="Z844" s="4"/>
      <c r="AA844" s="4">
        <f>=ROUNDDOWN({0},0)</f>
      </c>
      <c r="AB844" s="5">
        <v>29</v>
      </c>
      <c r="AC844" s="2" t="s">
        <v>235</v>
      </c>
      <c r="AD844" s="4"/>
      <c r="AE844" s="4"/>
      <c r="AF844" s="6">
        <v>77</v>
      </c>
      <c r="AG844" s="6"/>
      <c r="AH844" s="7"/>
      <c r="AI844" s="4"/>
      <c r="AJ844" s="4">
        <f>=ROUNDDOWN({0},0)</f>
      </c>
      <c r="AK844" s="5"/>
      <c r="AL844" s="2" t="s">
        <v>235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235</v>
      </c>
      <c r="AW844" s="8" t="s">
        <v>235</v>
      </c>
      <c r="AX844" s="4" t="s">
        <v>235</v>
      </c>
      <c r="AY844" s="8" t="s">
        <v>235</v>
      </c>
      <c r="AZ844" s="7" t="s">
        <v>235</v>
      </c>
      <c r="BA844" s="7" t="s">
        <v>235</v>
      </c>
      <c r="BB844" s="7"/>
      <c r="BC844" s="4" t="s">
        <v>235</v>
      </c>
      <c r="BD844" s="8" t="s">
        <v>235</v>
      </c>
      <c r="BE844" s="4" t="s">
        <v>235</v>
      </c>
      <c r="BF844" s="8" t="s">
        <v>235</v>
      </c>
      <c r="BG844" s="7" t="s">
        <v>235</v>
      </c>
      <c r="BH844" s="7" t="s">
        <v>235</v>
      </c>
      <c r="BI844" s="7"/>
      <c r="BJ844" s="4"/>
      <c r="BK844" s="8"/>
      <c r="BL844" s="2" t="s">
        <v>235</v>
      </c>
      <c r="BM844" s="7"/>
      <c r="BN844" s="7"/>
      <c r="BO844" s="4"/>
      <c r="BP844" s="8"/>
      <c r="BQ844" s="4"/>
      <c r="BR844" s="8"/>
      <c r="BS844" s="7"/>
      <c r="BT844" s="7"/>
      <c r="BU844" s="2" t="s">
        <v>330</v>
      </c>
      <c r="BV844" s="2" t="s">
        <v>235</v>
      </c>
      <c r="BW844" s="2" t="s">
        <v>235</v>
      </c>
      <c r="BX844" s="2" t="s">
        <v>330</v>
      </c>
      <c r="BY844" s="2" t="s">
        <v>331</v>
      </c>
      <c r="BZ844" s="2" t="s">
        <v>232</v>
      </c>
      <c r="CA844" s="2" t="s">
        <v>235</v>
      </c>
      <c r="CB844" s="2" t="s">
        <v>235</v>
      </c>
      <c r="CC844" s="2" t="s">
        <v>248</v>
      </c>
      <c r="CD844" s="2" t="s">
        <v>248</v>
      </c>
      <c r="CE844" s="2" t="s">
        <v>235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>
        <v>273</v>
      </c>
      <c r="HC844" s="4">
        <v>268</v>
      </c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19">
        <v>68.3</v>
      </c>
      <c r="IC844" s="19">
        <v>44.7</v>
      </c>
    </row>
    <row r="845">
      <c r="A845" s="2" t="s">
        <v>3465</v>
      </c>
      <c r="B845" s="2" t="s">
        <v>323</v>
      </c>
      <c r="C845" s="2" t="s">
        <v>1036</v>
      </c>
      <c r="D845" s="2" t="s">
        <v>257</v>
      </c>
      <c r="E845" s="2" t="s">
        <v>258</v>
      </c>
      <c r="F845" s="2" t="s">
        <v>3098</v>
      </c>
      <c r="G845" s="2" t="s">
        <v>3098</v>
      </c>
      <c r="H845" s="2" t="s">
        <v>3098</v>
      </c>
      <c r="I845" s="2" t="s">
        <v>2906</v>
      </c>
      <c r="J845" s="2" t="s">
        <v>270</v>
      </c>
      <c r="K845" s="2" t="s">
        <v>3461</v>
      </c>
      <c r="L845" s="3">
        <v>28.76</v>
      </c>
      <c r="M845" s="3">
        <v>30.2</v>
      </c>
      <c r="N845" s="3">
        <v>62.99</v>
      </c>
      <c r="O845" s="2" t="s">
        <v>232</v>
      </c>
      <c r="P845" s="2" t="s">
        <v>233</v>
      </c>
      <c r="Q845" s="2" t="s">
        <v>234</v>
      </c>
      <c r="R845" s="2" t="s">
        <v>235</v>
      </c>
      <c r="S845" s="2" t="s">
        <v>235</v>
      </c>
      <c r="T845" s="2" t="s">
        <v>2908</v>
      </c>
      <c r="U845" s="2" t="s">
        <v>264</v>
      </c>
      <c r="V845" s="2" t="s">
        <v>2182</v>
      </c>
      <c r="W845" s="2" t="s">
        <v>329</v>
      </c>
      <c r="X845" s="2" t="s">
        <v>235</v>
      </c>
      <c r="Y845" s="2" t="s">
        <v>737</v>
      </c>
      <c r="Z845" s="4">
        <v>245</v>
      </c>
      <c r="AA845" s="4">
        <f>=ROUNDDOWN(14.4117647058824,0)</f>
      </c>
      <c r="AB845" s="5">
        <v>17</v>
      </c>
      <c r="AC845" s="2" t="s">
        <v>2503</v>
      </c>
      <c r="AD845" s="4">
        <v>302</v>
      </c>
      <c r="AE845" s="4">
        <v>302</v>
      </c>
      <c r="AF845" s="6">
        <v>77</v>
      </c>
      <c r="AG845" s="6"/>
      <c r="AH845" s="7"/>
      <c r="AI845" s="4"/>
      <c r="AJ845" s="4">
        <f>=ROUNDDOWN({0},0)</f>
      </c>
      <c r="AK845" s="5"/>
      <c r="AL845" s="2" t="s">
        <v>235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235</v>
      </c>
      <c r="AW845" s="8" t="s">
        <v>235</v>
      </c>
      <c r="AX845" s="4" t="s">
        <v>235</v>
      </c>
      <c r="AY845" s="8" t="s">
        <v>235</v>
      </c>
      <c r="AZ845" s="7" t="s">
        <v>235</v>
      </c>
      <c r="BA845" s="7" t="s">
        <v>235</v>
      </c>
      <c r="BB845" s="7"/>
      <c r="BC845" s="4" t="s">
        <v>235</v>
      </c>
      <c r="BD845" s="8" t="s">
        <v>235</v>
      </c>
      <c r="BE845" s="4" t="s">
        <v>235</v>
      </c>
      <c r="BF845" s="8" t="s">
        <v>235</v>
      </c>
      <c r="BG845" s="7" t="s">
        <v>235</v>
      </c>
      <c r="BH845" s="7" t="s">
        <v>235</v>
      </c>
      <c r="BI845" s="7"/>
      <c r="BJ845" s="4"/>
      <c r="BK845" s="8"/>
      <c r="BL845" s="2" t="s">
        <v>235</v>
      </c>
      <c r="BM845" s="7"/>
      <c r="BN845" s="7"/>
      <c r="BO845" s="4"/>
      <c r="BP845" s="8"/>
      <c r="BQ845" s="4"/>
      <c r="BR845" s="8"/>
      <c r="BS845" s="7"/>
      <c r="BT845" s="7"/>
      <c r="BU845" s="2" t="s">
        <v>3105</v>
      </c>
      <c r="BV845" s="2" t="s">
        <v>235</v>
      </c>
      <c r="BW845" s="2" t="s">
        <v>235</v>
      </c>
      <c r="BX845" s="2" t="s">
        <v>383</v>
      </c>
      <c r="BY845" s="2" t="s">
        <v>245</v>
      </c>
      <c r="BZ845" s="2" t="s">
        <v>232</v>
      </c>
      <c r="CA845" s="2" t="s">
        <v>235</v>
      </c>
      <c r="CB845" s="2" t="s">
        <v>235</v>
      </c>
      <c r="CC845" s="2" t="s">
        <v>248</v>
      </c>
      <c r="CD845" s="2" t="s">
        <v>248</v>
      </c>
      <c r="CE845" s="2" t="s">
        <v>235</v>
      </c>
      <c r="CF845" s="4">
        <v>245</v>
      </c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>
        <v>302</v>
      </c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>
        <v>245</v>
      </c>
      <c r="GE845" s="4">
        <v>238</v>
      </c>
      <c r="GF845" s="4">
        <v>532</v>
      </c>
      <c r="GG845" s="4">
        <v>522</v>
      </c>
      <c r="GH845" s="4">
        <v>512</v>
      </c>
      <c r="GI845" s="4">
        <v>493</v>
      </c>
      <c r="GJ845" s="4">
        <v>471</v>
      </c>
      <c r="GK845" s="4">
        <v>452</v>
      </c>
      <c r="GL845" s="4">
        <v>433</v>
      </c>
      <c r="GM845" s="4">
        <v>415</v>
      </c>
      <c r="GN845" s="4">
        <v>388</v>
      </c>
      <c r="GO845" s="4">
        <v>355</v>
      </c>
      <c r="GP845" s="4">
        <v>304</v>
      </c>
      <c r="GQ845" s="4">
        <v>204</v>
      </c>
      <c r="GR845" s="4">
        <v>157</v>
      </c>
      <c r="GS845" s="4">
        <v>111</v>
      </c>
      <c r="GT845" s="4">
        <v>81</v>
      </c>
      <c r="GU845" s="4">
        <v>59</v>
      </c>
      <c r="GV845" s="4">
        <v>37</v>
      </c>
      <c r="GW845" s="4">
        <v>21</v>
      </c>
      <c r="GX845" s="4">
        <v>8</v>
      </c>
      <c r="GY845" s="4"/>
      <c r="GZ845" s="4"/>
      <c r="HA845" s="4"/>
      <c r="HB845" s="4">
        <v>191</v>
      </c>
      <c r="HC845" s="4">
        <v>181</v>
      </c>
      <c r="HD845" s="19">
        <v>27.2</v>
      </c>
      <c r="HE845" s="19">
        <v>19.8</v>
      </c>
      <c r="HF845" s="19">
        <v>35.5</v>
      </c>
      <c r="HG845" s="19">
        <v>29</v>
      </c>
      <c r="HH845" s="19">
        <v>25.6</v>
      </c>
      <c r="HI845" s="19">
        <v>24.7</v>
      </c>
      <c r="HJ845" s="19">
        <v>22.4</v>
      </c>
      <c r="HK845" s="19">
        <v>18.8</v>
      </c>
      <c r="HL845" s="19">
        <v>13.5</v>
      </c>
      <c r="HM845" s="19">
        <v>7.8</v>
      </c>
      <c r="HN845" s="19">
        <v>6.7</v>
      </c>
      <c r="HO845" s="19">
        <v>5.8</v>
      </c>
      <c r="HP845" s="19">
        <v>5.4</v>
      </c>
      <c r="HQ845" s="19">
        <v>5.7</v>
      </c>
      <c r="HR845" s="19">
        <v>5.2</v>
      </c>
      <c r="HS845" s="19">
        <v>5</v>
      </c>
      <c r="HT845" s="19">
        <v>4.5</v>
      </c>
      <c r="HU845" s="19">
        <v>3.9</v>
      </c>
      <c r="HV845" s="19">
        <v>3.1</v>
      </c>
      <c r="HW845" s="19">
        <v>1.9</v>
      </c>
      <c r="HX845" s="19">
        <v>0.8</v>
      </c>
      <c r="HY845" s="20">
        <v>0</v>
      </c>
      <c r="HZ845" s="20">
        <v>0</v>
      </c>
      <c r="IA845" s="20">
        <v>0</v>
      </c>
      <c r="IB845" s="19">
        <v>27.3</v>
      </c>
      <c r="IC845" s="19">
        <v>30.2</v>
      </c>
    </row>
    <row r="846">
      <c r="A846" s="2" t="s">
        <v>3466</v>
      </c>
      <c r="B846" s="2" t="s">
        <v>323</v>
      </c>
      <c r="C846" s="2" t="s">
        <v>1036</v>
      </c>
      <c r="D846" s="2" t="s">
        <v>257</v>
      </c>
      <c r="E846" s="2" t="s">
        <v>258</v>
      </c>
      <c r="F846" s="2" t="s">
        <v>3098</v>
      </c>
      <c r="G846" s="2" t="s">
        <v>3098</v>
      </c>
      <c r="H846" s="2" t="s">
        <v>3098</v>
      </c>
      <c r="I846" s="2" t="s">
        <v>2906</v>
      </c>
      <c r="J846" s="2" t="s">
        <v>272</v>
      </c>
      <c r="K846" s="2" t="s">
        <v>3461</v>
      </c>
      <c r="L846" s="3">
        <v>28.76</v>
      </c>
      <c r="M846" s="3">
        <v>30.2</v>
      </c>
      <c r="N846" s="3">
        <v>62.99</v>
      </c>
      <c r="O846" s="2" t="s">
        <v>232</v>
      </c>
      <c r="P846" s="2" t="s">
        <v>233</v>
      </c>
      <c r="Q846" s="2" t="s">
        <v>234</v>
      </c>
      <c r="R846" s="2" t="s">
        <v>235</v>
      </c>
      <c r="S846" s="2" t="s">
        <v>235</v>
      </c>
      <c r="T846" s="2" t="s">
        <v>2908</v>
      </c>
      <c r="U846" s="2" t="s">
        <v>264</v>
      </c>
      <c r="V846" s="2" t="s">
        <v>2182</v>
      </c>
      <c r="W846" s="2" t="s">
        <v>329</v>
      </c>
      <c r="X846" s="2" t="s">
        <v>235</v>
      </c>
      <c r="Y846" s="2" t="s">
        <v>266</v>
      </c>
      <c r="Z846" s="4">
        <v>135</v>
      </c>
      <c r="AA846" s="4">
        <f>=ROUNDDOWN(16.875,0)</f>
      </c>
      <c r="AB846" s="5">
        <v>8</v>
      </c>
      <c r="AC846" s="2" t="s">
        <v>2503</v>
      </c>
      <c r="AD846" s="4">
        <v>159</v>
      </c>
      <c r="AE846" s="4">
        <v>159</v>
      </c>
      <c r="AF846" s="6">
        <v>77</v>
      </c>
      <c r="AG846" s="6"/>
      <c r="AH846" s="7"/>
      <c r="AI846" s="4"/>
      <c r="AJ846" s="4">
        <f>=ROUNDDOWN({0},0)</f>
      </c>
      <c r="AK846" s="5"/>
      <c r="AL846" s="2" t="s">
        <v>235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235</v>
      </c>
      <c r="AW846" s="8" t="s">
        <v>235</v>
      </c>
      <c r="AX846" s="4" t="s">
        <v>235</v>
      </c>
      <c r="AY846" s="8" t="s">
        <v>235</v>
      </c>
      <c r="AZ846" s="7" t="s">
        <v>235</v>
      </c>
      <c r="BA846" s="7" t="s">
        <v>235</v>
      </c>
      <c r="BB846" s="7"/>
      <c r="BC846" s="4" t="s">
        <v>235</v>
      </c>
      <c r="BD846" s="8" t="s">
        <v>235</v>
      </c>
      <c r="BE846" s="4" t="s">
        <v>235</v>
      </c>
      <c r="BF846" s="8" t="s">
        <v>235</v>
      </c>
      <c r="BG846" s="7" t="s">
        <v>235</v>
      </c>
      <c r="BH846" s="7" t="s">
        <v>235</v>
      </c>
      <c r="BI846" s="7"/>
      <c r="BJ846" s="4"/>
      <c r="BK846" s="8"/>
      <c r="BL846" s="2" t="s">
        <v>235</v>
      </c>
      <c r="BM846" s="7"/>
      <c r="BN846" s="7"/>
      <c r="BO846" s="4"/>
      <c r="BP846" s="8"/>
      <c r="BQ846" s="4"/>
      <c r="BR846" s="8"/>
      <c r="BS846" s="7"/>
      <c r="BT846" s="7"/>
      <c r="BU846" s="2" t="s">
        <v>3105</v>
      </c>
      <c r="BV846" s="2" t="s">
        <v>235</v>
      </c>
      <c r="BW846" s="2" t="s">
        <v>235</v>
      </c>
      <c r="BX846" s="2" t="s">
        <v>383</v>
      </c>
      <c r="BY846" s="2" t="s">
        <v>245</v>
      </c>
      <c r="BZ846" s="2" t="s">
        <v>232</v>
      </c>
      <c r="CA846" s="2" t="s">
        <v>235</v>
      </c>
      <c r="CB846" s="2" t="s">
        <v>235</v>
      </c>
      <c r="CC846" s="2" t="s">
        <v>248</v>
      </c>
      <c r="CD846" s="2" t="s">
        <v>248</v>
      </c>
      <c r="CE846" s="2" t="s">
        <v>235</v>
      </c>
      <c r="CF846" s="4">
        <v>135</v>
      </c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>
        <v>159</v>
      </c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>
        <v>135</v>
      </c>
      <c r="GE846" s="4">
        <v>135</v>
      </c>
      <c r="GF846" s="4">
        <v>290</v>
      </c>
      <c r="GG846" s="4">
        <v>286</v>
      </c>
      <c r="GH846" s="4">
        <v>282</v>
      </c>
      <c r="GI846" s="4">
        <v>274</v>
      </c>
      <c r="GJ846" s="4">
        <v>266</v>
      </c>
      <c r="GK846" s="4">
        <v>258</v>
      </c>
      <c r="GL846" s="4">
        <v>250</v>
      </c>
      <c r="GM846" s="4">
        <v>242</v>
      </c>
      <c r="GN846" s="4">
        <v>229</v>
      </c>
      <c r="GO846" s="4">
        <v>213</v>
      </c>
      <c r="GP846" s="4">
        <v>188</v>
      </c>
      <c r="GQ846" s="4">
        <v>138</v>
      </c>
      <c r="GR846" s="4">
        <v>115</v>
      </c>
      <c r="GS846" s="4">
        <v>93</v>
      </c>
      <c r="GT846" s="4">
        <v>79</v>
      </c>
      <c r="GU846" s="4">
        <v>69</v>
      </c>
      <c r="GV846" s="4">
        <v>59</v>
      </c>
      <c r="GW846" s="4">
        <v>51</v>
      </c>
      <c r="GX846" s="4">
        <v>45</v>
      </c>
      <c r="GY846" s="4">
        <v>40</v>
      </c>
      <c r="GZ846" s="4">
        <v>35</v>
      </c>
      <c r="HA846" s="4">
        <v>30</v>
      </c>
      <c r="HB846" s="4">
        <v>95</v>
      </c>
      <c r="HC846" s="4">
        <v>90</v>
      </c>
      <c r="HD846" s="19">
        <v>45</v>
      </c>
      <c r="HE846" s="19">
        <v>27</v>
      </c>
      <c r="HF846" s="19">
        <v>48.3</v>
      </c>
      <c r="HG846" s="19">
        <v>40.9</v>
      </c>
      <c r="HH846" s="19">
        <v>35.3</v>
      </c>
      <c r="HI846" s="19">
        <v>34.3</v>
      </c>
      <c r="HJ846" s="19">
        <v>29.6</v>
      </c>
      <c r="HK846" s="19">
        <v>23.5</v>
      </c>
      <c r="HL846" s="19">
        <v>15.6</v>
      </c>
      <c r="HM846" s="19">
        <v>9.3</v>
      </c>
      <c r="HN846" s="19">
        <v>8.2</v>
      </c>
      <c r="HO846" s="19">
        <v>7.1</v>
      </c>
      <c r="HP846" s="19">
        <v>7</v>
      </c>
      <c r="HQ846" s="19">
        <v>8.1</v>
      </c>
      <c r="HR846" s="19">
        <v>8.2</v>
      </c>
      <c r="HS846" s="19">
        <v>9.3</v>
      </c>
      <c r="HT846" s="19">
        <v>9.9</v>
      </c>
      <c r="HU846" s="19">
        <v>9.9</v>
      </c>
      <c r="HV846" s="19">
        <v>9.8</v>
      </c>
      <c r="HW846" s="19">
        <v>10.2</v>
      </c>
      <c r="HX846" s="19">
        <v>9</v>
      </c>
      <c r="HY846" s="19">
        <v>8</v>
      </c>
      <c r="HZ846" s="19">
        <v>8.8</v>
      </c>
      <c r="IA846" s="19">
        <v>7.5</v>
      </c>
      <c r="IB846" s="19">
        <v>23.8</v>
      </c>
      <c r="IC846" s="19">
        <v>30</v>
      </c>
    </row>
    <row r="847">
      <c r="A847" s="2" t="s">
        <v>3467</v>
      </c>
      <c r="B847" s="2" t="s">
        <v>323</v>
      </c>
      <c r="C847" s="2" t="s">
        <v>1036</v>
      </c>
      <c r="D847" s="2" t="s">
        <v>257</v>
      </c>
      <c r="E847" s="2" t="s">
        <v>258</v>
      </c>
      <c r="F847" s="2" t="s">
        <v>3098</v>
      </c>
      <c r="G847" s="2" t="s">
        <v>3098</v>
      </c>
      <c r="H847" s="2" t="s">
        <v>3098</v>
      </c>
      <c r="I847" s="2" t="s">
        <v>3099</v>
      </c>
      <c r="J847" s="2" t="s">
        <v>394</v>
      </c>
      <c r="K847" s="2" t="s">
        <v>3468</v>
      </c>
      <c r="L847" s="3">
        <v>14.89</v>
      </c>
      <c r="M847" s="3">
        <v>15.63</v>
      </c>
      <c r="N847" s="3">
        <v>36.99</v>
      </c>
      <c r="O847" s="2" t="s">
        <v>232</v>
      </c>
      <c r="P847" s="2" t="s">
        <v>233</v>
      </c>
      <c r="Q847" s="2" t="s">
        <v>234</v>
      </c>
      <c r="R847" s="2" t="s">
        <v>235</v>
      </c>
      <c r="S847" s="2" t="s">
        <v>3469</v>
      </c>
      <c r="T847" s="2" t="s">
        <v>2908</v>
      </c>
      <c r="U847" s="2" t="s">
        <v>552</v>
      </c>
      <c r="V847" s="2" t="s">
        <v>2919</v>
      </c>
      <c r="W847" s="2" t="s">
        <v>239</v>
      </c>
      <c r="X847" s="2" t="s">
        <v>1798</v>
      </c>
      <c r="Y847" s="2" t="s">
        <v>2992</v>
      </c>
      <c r="Z847" s="4">
        <v>1344</v>
      </c>
      <c r="AA847" s="4">
        <f>=ROUNDDOWN(168,0)</f>
      </c>
      <c r="AB847" s="5">
        <v>8</v>
      </c>
      <c r="AC847" s="2" t="s">
        <v>235</v>
      </c>
      <c r="AD847" s="4"/>
      <c r="AE847" s="4"/>
      <c r="AF847" s="6">
        <v>77</v>
      </c>
      <c r="AG847" s="6"/>
      <c r="AH847" s="7">
        <v>1</v>
      </c>
      <c r="AI847" s="4"/>
      <c r="AJ847" s="4">
        <f>=ROUNDDOWN({0},0)</f>
      </c>
      <c r="AK847" s="5"/>
      <c r="AL847" s="2" t="s">
        <v>235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235</v>
      </c>
      <c r="AW847" s="8" t="s">
        <v>235</v>
      </c>
      <c r="AX847" s="4" t="s">
        <v>235</v>
      </c>
      <c r="AY847" s="8" t="s">
        <v>235</v>
      </c>
      <c r="AZ847" s="7" t="s">
        <v>235</v>
      </c>
      <c r="BA847" s="7" t="s">
        <v>235</v>
      </c>
      <c r="BB847" s="7"/>
      <c r="BC847" s="4" t="s">
        <v>235</v>
      </c>
      <c r="BD847" s="8" t="s">
        <v>235</v>
      </c>
      <c r="BE847" s="4" t="s">
        <v>235</v>
      </c>
      <c r="BF847" s="8" t="s">
        <v>235</v>
      </c>
      <c r="BG847" s="7" t="s">
        <v>235</v>
      </c>
      <c r="BH847" s="7" t="s">
        <v>235</v>
      </c>
      <c r="BI847" s="7"/>
      <c r="BJ847" s="4">
        <v>8</v>
      </c>
      <c r="BK847" s="8">
        <v>145.49</v>
      </c>
      <c r="BL847" s="2" t="s">
        <v>3470</v>
      </c>
      <c r="BM847" s="7"/>
      <c r="BN847" s="7"/>
      <c r="BO847" s="4"/>
      <c r="BP847" s="8"/>
      <c r="BQ847" s="4"/>
      <c r="BR847" s="8"/>
      <c r="BS847" s="7"/>
      <c r="BT847" s="7"/>
      <c r="BU847" s="2" t="s">
        <v>3105</v>
      </c>
      <c r="BV847" s="2" t="s">
        <v>243</v>
      </c>
      <c r="BW847" s="2" t="s">
        <v>235</v>
      </c>
      <c r="BX847" s="2" t="s">
        <v>383</v>
      </c>
      <c r="BY847" s="2" t="s">
        <v>245</v>
      </c>
      <c r="BZ847" s="2" t="s">
        <v>232</v>
      </c>
      <c r="CA847" s="2" t="s">
        <v>2190</v>
      </c>
      <c r="CB847" s="2" t="s">
        <v>3219</v>
      </c>
      <c r="CC847" s="2" t="s">
        <v>248</v>
      </c>
      <c r="CD847" s="2" t="s">
        <v>248</v>
      </c>
      <c r="CE847" s="2" t="s">
        <v>235</v>
      </c>
      <c r="CF847" s="4">
        <v>1344</v>
      </c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>
        <v>1344</v>
      </c>
      <c r="GE847" s="4">
        <v>1342</v>
      </c>
      <c r="GF847" s="4">
        <v>1340</v>
      </c>
      <c r="GG847" s="4">
        <v>1333</v>
      </c>
      <c r="GH847" s="4">
        <v>1321</v>
      </c>
      <c r="GI847" s="4">
        <v>1297</v>
      </c>
      <c r="GJ847" s="4">
        <v>1258</v>
      </c>
      <c r="GK847" s="4">
        <v>1235</v>
      </c>
      <c r="GL847" s="4">
        <v>1213</v>
      </c>
      <c r="GM847" s="4">
        <v>1196</v>
      </c>
      <c r="GN847" s="4">
        <v>1176</v>
      </c>
      <c r="GO847" s="4">
        <v>1152</v>
      </c>
      <c r="GP847" s="4">
        <v>1121</v>
      </c>
      <c r="GQ847" s="4">
        <v>1067</v>
      </c>
      <c r="GR847" s="4">
        <v>1041</v>
      </c>
      <c r="GS847" s="4">
        <v>1015</v>
      </c>
      <c r="GT847" s="4">
        <v>997</v>
      </c>
      <c r="GU847" s="4">
        <v>983</v>
      </c>
      <c r="GV847" s="4">
        <v>967</v>
      </c>
      <c r="GW847" s="4">
        <v>955</v>
      </c>
      <c r="GX847" s="4">
        <v>946</v>
      </c>
      <c r="GY847" s="4">
        <v>938</v>
      </c>
      <c r="GZ847" s="4">
        <v>933</v>
      </c>
      <c r="HA847" s="4">
        <v>928</v>
      </c>
      <c r="HB847" s="4">
        <v>923</v>
      </c>
      <c r="HC847" s="4">
        <v>918</v>
      </c>
      <c r="HD847" s="19">
        <v>224</v>
      </c>
      <c r="HE847" s="19">
        <v>122</v>
      </c>
      <c r="HF847" s="19">
        <v>67</v>
      </c>
      <c r="HG847" s="19">
        <v>55.5</v>
      </c>
      <c r="HH847" s="19">
        <v>48.9</v>
      </c>
      <c r="HI847" s="19">
        <v>51.9</v>
      </c>
      <c r="HJ847" s="19">
        <v>62.9</v>
      </c>
      <c r="HK847" s="19">
        <v>58.8</v>
      </c>
      <c r="HL847" s="19">
        <v>52.7</v>
      </c>
      <c r="HM847" s="19">
        <v>37.4</v>
      </c>
      <c r="HN847" s="19">
        <v>34.6</v>
      </c>
      <c r="HO847" s="19">
        <v>33.9</v>
      </c>
      <c r="HP847" s="19">
        <v>36.2</v>
      </c>
      <c r="HQ847" s="19">
        <v>50.8</v>
      </c>
      <c r="HR847" s="19">
        <v>57.8</v>
      </c>
      <c r="HS847" s="19">
        <v>67.7</v>
      </c>
      <c r="HT847" s="19">
        <v>76.7</v>
      </c>
      <c r="HU847" s="19">
        <v>89.4</v>
      </c>
      <c r="HV847" s="19">
        <v>120.9</v>
      </c>
      <c r="HW847" s="19">
        <v>136.4</v>
      </c>
      <c r="HX847" s="19">
        <v>157.7</v>
      </c>
      <c r="HY847" s="19">
        <v>187.6</v>
      </c>
      <c r="HZ847" s="19">
        <v>186.6</v>
      </c>
      <c r="IA847" s="19">
        <v>185.6</v>
      </c>
      <c r="IB847" s="19">
        <v>184.6</v>
      </c>
      <c r="IC847" s="19">
        <v>229.5</v>
      </c>
    </row>
    <row r="848">
      <c r="A848" s="2" t="s">
        <v>3471</v>
      </c>
      <c r="B848" s="2" t="s">
        <v>323</v>
      </c>
      <c r="C848" s="2" t="s">
        <v>1036</v>
      </c>
      <c r="D848" s="2" t="s">
        <v>257</v>
      </c>
      <c r="E848" s="2" t="s">
        <v>258</v>
      </c>
      <c r="F848" s="2" t="s">
        <v>3098</v>
      </c>
      <c r="G848" s="2" t="s">
        <v>3098</v>
      </c>
      <c r="H848" s="2" t="s">
        <v>3098</v>
      </c>
      <c r="I848" s="2" t="s">
        <v>3099</v>
      </c>
      <c r="J848" s="2" t="s">
        <v>230</v>
      </c>
      <c r="K848" s="2" t="s">
        <v>3468</v>
      </c>
      <c r="L848" s="3">
        <v>16.16</v>
      </c>
      <c r="M848" s="3">
        <v>16.97</v>
      </c>
      <c r="N848" s="3">
        <v>39.99</v>
      </c>
      <c r="O848" s="2" t="s">
        <v>232</v>
      </c>
      <c r="P848" s="2" t="s">
        <v>233</v>
      </c>
      <c r="Q848" s="2" t="s">
        <v>234</v>
      </c>
      <c r="R848" s="2" t="s">
        <v>235</v>
      </c>
      <c r="S848" s="2" t="s">
        <v>3469</v>
      </c>
      <c r="T848" s="2" t="s">
        <v>2908</v>
      </c>
      <c r="U848" s="2" t="s">
        <v>552</v>
      </c>
      <c r="V848" s="2" t="s">
        <v>2919</v>
      </c>
      <c r="W848" s="2" t="s">
        <v>239</v>
      </c>
      <c r="X848" s="2" t="s">
        <v>1798</v>
      </c>
      <c r="Y848" s="2" t="s">
        <v>2992</v>
      </c>
      <c r="Z848" s="4">
        <v>1568</v>
      </c>
      <c r="AA848" s="4">
        <f>=ROUNDDOWN(196,0)</f>
      </c>
      <c r="AB848" s="5">
        <v>8</v>
      </c>
      <c r="AC848" s="2" t="s">
        <v>235</v>
      </c>
      <c r="AD848" s="4"/>
      <c r="AE848" s="4"/>
      <c r="AF848" s="6">
        <v>77</v>
      </c>
      <c r="AG848" s="6"/>
      <c r="AH848" s="7">
        <v>1</v>
      </c>
      <c r="AI848" s="4"/>
      <c r="AJ848" s="4">
        <f>=ROUNDDOWN({0},0)</f>
      </c>
      <c r="AK848" s="5"/>
      <c r="AL848" s="2" t="s">
        <v>235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235</v>
      </c>
      <c r="AW848" s="8" t="s">
        <v>235</v>
      </c>
      <c r="AX848" s="4" t="s">
        <v>235</v>
      </c>
      <c r="AY848" s="8" t="s">
        <v>235</v>
      </c>
      <c r="AZ848" s="7" t="s">
        <v>235</v>
      </c>
      <c r="BA848" s="7" t="s">
        <v>235</v>
      </c>
      <c r="BB848" s="7"/>
      <c r="BC848" s="4" t="s">
        <v>235</v>
      </c>
      <c r="BD848" s="8" t="s">
        <v>235</v>
      </c>
      <c r="BE848" s="4" t="s">
        <v>235</v>
      </c>
      <c r="BF848" s="8" t="s">
        <v>235</v>
      </c>
      <c r="BG848" s="7" t="s">
        <v>235</v>
      </c>
      <c r="BH848" s="7" t="s">
        <v>235</v>
      </c>
      <c r="BI848" s="7"/>
      <c r="BJ848" s="4">
        <v>3</v>
      </c>
      <c r="BK848" s="8">
        <v>55.82</v>
      </c>
      <c r="BL848" s="2" t="s">
        <v>602</v>
      </c>
      <c r="BM848" s="7"/>
      <c r="BN848" s="7"/>
      <c r="BO848" s="4"/>
      <c r="BP848" s="8"/>
      <c r="BQ848" s="4"/>
      <c r="BR848" s="8"/>
      <c r="BS848" s="7"/>
      <c r="BT848" s="7"/>
      <c r="BU848" s="2" t="s">
        <v>3105</v>
      </c>
      <c r="BV848" s="2" t="s">
        <v>243</v>
      </c>
      <c r="BW848" s="2" t="s">
        <v>235</v>
      </c>
      <c r="BX848" s="2" t="s">
        <v>383</v>
      </c>
      <c r="BY848" s="2" t="s">
        <v>245</v>
      </c>
      <c r="BZ848" s="2" t="s">
        <v>232</v>
      </c>
      <c r="CA848" s="2" t="s">
        <v>2190</v>
      </c>
      <c r="CB848" s="2" t="s">
        <v>235</v>
      </c>
      <c r="CC848" s="2" t="s">
        <v>248</v>
      </c>
      <c r="CD848" s="2" t="s">
        <v>248</v>
      </c>
      <c r="CE848" s="2" t="s">
        <v>235</v>
      </c>
      <c r="CF848" s="4">
        <v>1568</v>
      </c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>
        <v>1568</v>
      </c>
      <c r="GE848" s="4">
        <v>1566</v>
      </c>
      <c r="GF848" s="4">
        <v>1564</v>
      </c>
      <c r="GG848" s="4">
        <v>1557</v>
      </c>
      <c r="GH848" s="4">
        <v>1547</v>
      </c>
      <c r="GI848" s="4">
        <v>1531</v>
      </c>
      <c r="GJ848" s="4">
        <v>1502</v>
      </c>
      <c r="GK848" s="4">
        <v>1486</v>
      </c>
      <c r="GL848" s="4">
        <v>1471</v>
      </c>
      <c r="GM848" s="4">
        <v>1460</v>
      </c>
      <c r="GN848" s="4">
        <v>1449</v>
      </c>
      <c r="GO848" s="4">
        <v>1435</v>
      </c>
      <c r="GP848" s="4">
        <v>1419</v>
      </c>
      <c r="GQ848" s="4">
        <v>1391</v>
      </c>
      <c r="GR848" s="4">
        <v>1377</v>
      </c>
      <c r="GS848" s="4">
        <v>1363</v>
      </c>
      <c r="GT848" s="4">
        <v>1353</v>
      </c>
      <c r="GU848" s="4">
        <v>1345</v>
      </c>
      <c r="GV848" s="4">
        <v>1336</v>
      </c>
      <c r="GW848" s="4">
        <v>1330</v>
      </c>
      <c r="GX848" s="4">
        <v>1325</v>
      </c>
      <c r="GY848" s="4">
        <v>1321</v>
      </c>
      <c r="GZ848" s="4">
        <v>1316</v>
      </c>
      <c r="HA848" s="4">
        <v>1311</v>
      </c>
      <c r="HB848" s="4">
        <v>1306</v>
      </c>
      <c r="HC848" s="4">
        <v>1301</v>
      </c>
      <c r="HD848" s="19">
        <v>313.6</v>
      </c>
      <c r="HE848" s="19">
        <v>174</v>
      </c>
      <c r="HF848" s="19">
        <v>97.8</v>
      </c>
      <c r="HG848" s="19">
        <v>86.5</v>
      </c>
      <c r="HH848" s="19">
        <v>81.4</v>
      </c>
      <c r="HI848" s="19">
        <v>85.1</v>
      </c>
      <c r="HJ848" s="19">
        <v>115.5</v>
      </c>
      <c r="HK848" s="19">
        <v>114.3</v>
      </c>
      <c r="HL848" s="19">
        <v>113.2</v>
      </c>
      <c r="HM848" s="19">
        <v>85.9</v>
      </c>
      <c r="HN848" s="19">
        <v>80.5</v>
      </c>
      <c r="HO848" s="19">
        <v>79.7</v>
      </c>
      <c r="HP848" s="19">
        <v>88.7</v>
      </c>
      <c r="HQ848" s="19">
        <v>115.9</v>
      </c>
      <c r="HR848" s="19">
        <v>137.7</v>
      </c>
      <c r="HS848" s="19">
        <v>170.4</v>
      </c>
      <c r="HT848" s="19">
        <v>193.3</v>
      </c>
      <c r="HU848" s="19">
        <v>224.2</v>
      </c>
      <c r="HV848" s="19">
        <v>267.2</v>
      </c>
      <c r="HW848" s="19">
        <v>266</v>
      </c>
      <c r="HX848" s="19">
        <v>265</v>
      </c>
      <c r="HY848" s="19">
        <v>264.2</v>
      </c>
      <c r="HZ848" s="19">
        <v>263.2</v>
      </c>
      <c r="IA848" s="19">
        <v>327.8</v>
      </c>
      <c r="IB848" s="19">
        <v>326.5</v>
      </c>
      <c r="IC848" s="19">
        <v>325.3</v>
      </c>
    </row>
    <row r="849">
      <c r="A849" s="2" t="s">
        <v>3472</v>
      </c>
      <c r="B849" s="2" t="s">
        <v>323</v>
      </c>
      <c r="C849" s="2" t="s">
        <v>1036</v>
      </c>
      <c r="D849" s="2" t="s">
        <v>257</v>
      </c>
      <c r="E849" s="2" t="s">
        <v>258</v>
      </c>
      <c r="F849" s="2" t="s">
        <v>3098</v>
      </c>
      <c r="G849" s="2" t="s">
        <v>3098</v>
      </c>
      <c r="H849" s="2" t="s">
        <v>3098</v>
      </c>
      <c r="I849" s="2" t="s">
        <v>3099</v>
      </c>
      <c r="J849" s="2" t="s">
        <v>250</v>
      </c>
      <c r="K849" s="2" t="s">
        <v>3468</v>
      </c>
      <c r="L849" s="3">
        <v>19.57</v>
      </c>
      <c r="M849" s="3">
        <v>20.55</v>
      </c>
      <c r="N849" s="3">
        <v>47.99</v>
      </c>
      <c r="O849" s="2" t="s">
        <v>232</v>
      </c>
      <c r="P849" s="2" t="s">
        <v>233</v>
      </c>
      <c r="Q849" s="2" t="s">
        <v>234</v>
      </c>
      <c r="R849" s="2" t="s">
        <v>235</v>
      </c>
      <c r="S849" s="2" t="s">
        <v>3469</v>
      </c>
      <c r="T849" s="2" t="s">
        <v>2908</v>
      </c>
      <c r="U849" s="2" t="s">
        <v>264</v>
      </c>
      <c r="V849" s="2" t="s">
        <v>2919</v>
      </c>
      <c r="W849" s="2" t="s">
        <v>239</v>
      </c>
      <c r="X849" s="2" t="s">
        <v>1798</v>
      </c>
      <c r="Y849" s="2" t="s">
        <v>2992</v>
      </c>
      <c r="Z849" s="4">
        <v>1735</v>
      </c>
      <c r="AA849" s="4">
        <f>=ROUNDDOWN(216.875,0)</f>
      </c>
      <c r="AB849" s="5">
        <v>8</v>
      </c>
      <c r="AC849" s="2" t="s">
        <v>235</v>
      </c>
      <c r="AD849" s="4"/>
      <c r="AE849" s="4"/>
      <c r="AF849" s="6">
        <v>77</v>
      </c>
      <c r="AG849" s="6"/>
      <c r="AH849" s="7">
        <v>1</v>
      </c>
      <c r="AI849" s="4"/>
      <c r="AJ849" s="4">
        <f>=ROUNDDOWN({0},0)</f>
      </c>
      <c r="AK849" s="5"/>
      <c r="AL849" s="2" t="s">
        <v>235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235</v>
      </c>
      <c r="AW849" s="8" t="s">
        <v>235</v>
      </c>
      <c r="AX849" s="4" t="s">
        <v>235</v>
      </c>
      <c r="AY849" s="8" t="s">
        <v>235</v>
      </c>
      <c r="AZ849" s="7" t="s">
        <v>235</v>
      </c>
      <c r="BA849" s="7" t="s">
        <v>235</v>
      </c>
      <c r="BB849" s="7"/>
      <c r="BC849" s="4" t="s">
        <v>235</v>
      </c>
      <c r="BD849" s="8" t="s">
        <v>235</v>
      </c>
      <c r="BE849" s="4" t="s">
        <v>235</v>
      </c>
      <c r="BF849" s="8" t="s">
        <v>235</v>
      </c>
      <c r="BG849" s="7" t="s">
        <v>235</v>
      </c>
      <c r="BH849" s="7" t="s">
        <v>235</v>
      </c>
      <c r="BI849" s="7"/>
      <c r="BJ849" s="4">
        <v>5</v>
      </c>
      <c r="BK849" s="8">
        <v>116.13</v>
      </c>
      <c r="BL849" s="2" t="s">
        <v>3473</v>
      </c>
      <c r="BM849" s="7"/>
      <c r="BN849" s="7"/>
      <c r="BO849" s="4"/>
      <c r="BP849" s="8"/>
      <c r="BQ849" s="4"/>
      <c r="BR849" s="8"/>
      <c r="BS849" s="7"/>
      <c r="BT849" s="7"/>
      <c r="BU849" s="2" t="s">
        <v>3105</v>
      </c>
      <c r="BV849" s="2" t="s">
        <v>243</v>
      </c>
      <c r="BW849" s="2" t="s">
        <v>235</v>
      </c>
      <c r="BX849" s="2" t="s">
        <v>383</v>
      </c>
      <c r="BY849" s="2" t="s">
        <v>245</v>
      </c>
      <c r="BZ849" s="2" t="s">
        <v>232</v>
      </c>
      <c r="CA849" s="2" t="s">
        <v>2190</v>
      </c>
      <c r="CB849" s="2" t="s">
        <v>3474</v>
      </c>
      <c r="CC849" s="2" t="s">
        <v>248</v>
      </c>
      <c r="CD849" s="2" t="s">
        <v>248</v>
      </c>
      <c r="CE849" s="2" t="s">
        <v>235</v>
      </c>
      <c r="CF849" s="4">
        <v>1735</v>
      </c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>
        <v>1735</v>
      </c>
      <c r="GE849" s="4">
        <v>1732</v>
      </c>
      <c r="GF849" s="4">
        <v>1729</v>
      </c>
      <c r="GG849" s="4">
        <v>1726</v>
      </c>
      <c r="GH849" s="4">
        <v>1723</v>
      </c>
      <c r="GI849" s="4">
        <v>1718</v>
      </c>
      <c r="GJ849" s="4">
        <v>1713</v>
      </c>
      <c r="GK849" s="4">
        <v>1708</v>
      </c>
      <c r="GL849" s="4">
        <v>1698</v>
      </c>
      <c r="GM849" s="4">
        <v>1688</v>
      </c>
      <c r="GN849" s="4">
        <v>1676</v>
      </c>
      <c r="GO849" s="4">
        <v>1661</v>
      </c>
      <c r="GP849" s="4">
        <v>1642</v>
      </c>
      <c r="GQ849" s="4">
        <v>1609</v>
      </c>
      <c r="GR849" s="4">
        <v>1592</v>
      </c>
      <c r="GS849" s="4">
        <v>1576</v>
      </c>
      <c r="GT849" s="4">
        <v>1565</v>
      </c>
      <c r="GU849" s="4">
        <v>1556</v>
      </c>
      <c r="GV849" s="4">
        <v>1546</v>
      </c>
      <c r="GW849" s="4">
        <v>1538</v>
      </c>
      <c r="GX849" s="4">
        <v>1532</v>
      </c>
      <c r="GY849" s="4">
        <v>1527</v>
      </c>
      <c r="GZ849" s="4">
        <v>1521</v>
      </c>
      <c r="HA849" s="4">
        <v>1515</v>
      </c>
      <c r="HB849" s="4">
        <v>1509</v>
      </c>
      <c r="HC849" s="4">
        <v>1503</v>
      </c>
      <c r="HD849" s="19">
        <v>578.3</v>
      </c>
      <c r="HE849" s="19">
        <v>433</v>
      </c>
      <c r="HF849" s="19">
        <v>432.3</v>
      </c>
      <c r="HG849" s="19">
        <v>431.5</v>
      </c>
      <c r="HH849" s="19">
        <v>287.2</v>
      </c>
      <c r="HI849" s="19">
        <v>214.8</v>
      </c>
      <c r="HJ849" s="19">
        <v>190.3</v>
      </c>
      <c r="HK849" s="19">
        <v>142.3</v>
      </c>
      <c r="HL849" s="19">
        <v>121.3</v>
      </c>
      <c r="HM849" s="19">
        <v>84.4</v>
      </c>
      <c r="HN849" s="19">
        <v>79.8</v>
      </c>
      <c r="HO849" s="19">
        <v>79.1</v>
      </c>
      <c r="HP849" s="19">
        <v>86.4</v>
      </c>
      <c r="HQ849" s="19">
        <v>123.8</v>
      </c>
      <c r="HR849" s="19">
        <v>132.7</v>
      </c>
      <c r="HS849" s="19">
        <v>157.6</v>
      </c>
      <c r="HT849" s="19">
        <v>195.6</v>
      </c>
      <c r="HU849" s="19">
        <v>222.3</v>
      </c>
      <c r="HV849" s="19">
        <v>257.7</v>
      </c>
      <c r="HW849" s="19">
        <v>256.3</v>
      </c>
      <c r="HX849" s="19">
        <v>255.3</v>
      </c>
      <c r="HY849" s="19">
        <v>254.5</v>
      </c>
      <c r="HZ849" s="19">
        <v>253.5</v>
      </c>
      <c r="IA849" s="19">
        <v>252.5</v>
      </c>
      <c r="IB849" s="19">
        <v>301.8</v>
      </c>
      <c r="IC849" s="19">
        <v>375.8</v>
      </c>
    </row>
    <row r="850">
      <c r="A850" s="2" t="s">
        <v>3475</v>
      </c>
      <c r="B850" s="2" t="s">
        <v>323</v>
      </c>
      <c r="C850" s="2" t="s">
        <v>1036</v>
      </c>
      <c r="D850" s="2" t="s">
        <v>257</v>
      </c>
      <c r="E850" s="2" t="s">
        <v>258</v>
      </c>
      <c r="F850" s="2" t="s">
        <v>3098</v>
      </c>
      <c r="G850" s="2" t="s">
        <v>3098</v>
      </c>
      <c r="H850" s="2" t="s">
        <v>3098</v>
      </c>
      <c r="I850" s="2" t="s">
        <v>3099</v>
      </c>
      <c r="J850" s="2" t="s">
        <v>261</v>
      </c>
      <c r="K850" s="2" t="s">
        <v>3468</v>
      </c>
      <c r="L850" s="3">
        <v>22.21</v>
      </c>
      <c r="M850" s="3">
        <v>23.32</v>
      </c>
      <c r="N850" s="3">
        <v>52.99</v>
      </c>
      <c r="O850" s="2" t="s">
        <v>232</v>
      </c>
      <c r="P850" s="2" t="s">
        <v>233</v>
      </c>
      <c r="Q850" s="2" t="s">
        <v>234</v>
      </c>
      <c r="R850" s="2" t="s">
        <v>235</v>
      </c>
      <c r="S850" s="2" t="s">
        <v>3469</v>
      </c>
      <c r="T850" s="2" t="s">
        <v>2908</v>
      </c>
      <c r="U850" s="2" t="s">
        <v>264</v>
      </c>
      <c r="V850" s="2" t="s">
        <v>2919</v>
      </c>
      <c r="W850" s="2" t="s">
        <v>239</v>
      </c>
      <c r="X850" s="2" t="s">
        <v>1798</v>
      </c>
      <c r="Y850" s="2" t="s">
        <v>3476</v>
      </c>
      <c r="Z850" s="4">
        <v>4258</v>
      </c>
      <c r="AA850" s="4">
        <f>=ROUNDDOWN(250.470588235294,0)</f>
      </c>
      <c r="AB850" s="5">
        <v>17</v>
      </c>
      <c r="AC850" s="2" t="s">
        <v>235</v>
      </c>
      <c r="AD850" s="4"/>
      <c r="AE850" s="4"/>
      <c r="AF850" s="6">
        <v>77</v>
      </c>
      <c r="AG850" s="6"/>
      <c r="AH850" s="7">
        <v>1</v>
      </c>
      <c r="AI850" s="4"/>
      <c r="AJ850" s="4">
        <f>=ROUNDDOWN({0},0)</f>
      </c>
      <c r="AK850" s="5"/>
      <c r="AL850" s="2" t="s">
        <v>235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235</v>
      </c>
      <c r="AW850" s="8" t="s">
        <v>235</v>
      </c>
      <c r="AX850" s="4" t="s">
        <v>235</v>
      </c>
      <c r="AY850" s="8" t="s">
        <v>235</v>
      </c>
      <c r="AZ850" s="7" t="s">
        <v>235</v>
      </c>
      <c r="BA850" s="7" t="s">
        <v>235</v>
      </c>
      <c r="BB850" s="7"/>
      <c r="BC850" s="4" t="s">
        <v>235</v>
      </c>
      <c r="BD850" s="8" t="s">
        <v>235</v>
      </c>
      <c r="BE850" s="4" t="s">
        <v>235</v>
      </c>
      <c r="BF850" s="8" t="s">
        <v>235</v>
      </c>
      <c r="BG850" s="7" t="s">
        <v>235</v>
      </c>
      <c r="BH850" s="7" t="s">
        <v>235</v>
      </c>
      <c r="BI850" s="7"/>
      <c r="BJ850" s="4">
        <v>14</v>
      </c>
      <c r="BK850" s="8">
        <v>378.28</v>
      </c>
      <c r="BL850" s="2" t="s">
        <v>3477</v>
      </c>
      <c r="BM850" s="7"/>
      <c r="BN850" s="7"/>
      <c r="BO850" s="4"/>
      <c r="BP850" s="8"/>
      <c r="BQ850" s="4"/>
      <c r="BR850" s="8"/>
      <c r="BS850" s="7"/>
      <c r="BT850" s="7"/>
      <c r="BU850" s="2" t="s">
        <v>3105</v>
      </c>
      <c r="BV850" s="2" t="s">
        <v>243</v>
      </c>
      <c r="BW850" s="2" t="s">
        <v>235</v>
      </c>
      <c r="BX850" s="2" t="s">
        <v>383</v>
      </c>
      <c r="BY850" s="2" t="s">
        <v>245</v>
      </c>
      <c r="BZ850" s="2" t="s">
        <v>232</v>
      </c>
      <c r="CA850" s="2" t="s">
        <v>665</v>
      </c>
      <c r="CB850" s="2" t="s">
        <v>687</v>
      </c>
      <c r="CC850" s="2" t="s">
        <v>248</v>
      </c>
      <c r="CD850" s="2" t="s">
        <v>248</v>
      </c>
      <c r="CE850" s="2" t="s">
        <v>235</v>
      </c>
      <c r="CF850" s="4">
        <v>4256</v>
      </c>
      <c r="CG850" s="4"/>
      <c r="CH850" s="4"/>
      <c r="CI850" s="4"/>
      <c r="CJ850" s="4"/>
      <c r="CK850" s="4"/>
      <c r="CL850" s="4"/>
      <c r="CM850" s="4">
        <v>2</v>
      </c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>
        <v>4259</v>
      </c>
      <c r="GE850" s="4">
        <v>4252</v>
      </c>
      <c r="GF850" s="4">
        <v>4246</v>
      </c>
      <c r="GG850" s="4">
        <v>4240</v>
      </c>
      <c r="GH850" s="4">
        <v>4224</v>
      </c>
      <c r="GI850" s="4">
        <v>4184</v>
      </c>
      <c r="GJ850" s="4">
        <v>4116</v>
      </c>
      <c r="GK850" s="4">
        <v>4078</v>
      </c>
      <c r="GL850" s="4">
        <v>4041</v>
      </c>
      <c r="GM850" s="4">
        <v>4013</v>
      </c>
      <c r="GN850" s="4">
        <v>3982</v>
      </c>
      <c r="GO850" s="4">
        <v>3944</v>
      </c>
      <c r="GP850" s="4">
        <v>3897</v>
      </c>
      <c r="GQ850" s="4">
        <v>3816</v>
      </c>
      <c r="GR850" s="4">
        <v>3776</v>
      </c>
      <c r="GS850" s="4">
        <v>3738</v>
      </c>
      <c r="GT850" s="4">
        <v>3712</v>
      </c>
      <c r="GU850" s="4">
        <v>3692</v>
      </c>
      <c r="GV850" s="4">
        <v>3670</v>
      </c>
      <c r="GW850" s="4">
        <v>3654</v>
      </c>
      <c r="GX850" s="4">
        <v>3641</v>
      </c>
      <c r="GY850" s="4">
        <v>3631</v>
      </c>
      <c r="GZ850" s="4">
        <v>3620</v>
      </c>
      <c r="HA850" s="4">
        <v>3609</v>
      </c>
      <c r="HB850" s="4">
        <v>3598</v>
      </c>
      <c r="HC850" s="4">
        <v>3587</v>
      </c>
      <c r="HD850" s="19">
        <v>473.2</v>
      </c>
      <c r="HE850" s="19">
        <v>250.1</v>
      </c>
      <c r="HF850" s="19">
        <v>132.7</v>
      </c>
      <c r="HG850" s="19">
        <v>106</v>
      </c>
      <c r="HH850" s="19">
        <v>91.8</v>
      </c>
      <c r="HI850" s="19">
        <v>97.3</v>
      </c>
      <c r="HJ850" s="19">
        <v>121.1</v>
      </c>
      <c r="HK850" s="19">
        <v>119.9</v>
      </c>
      <c r="HL850" s="19">
        <v>112.3</v>
      </c>
      <c r="HM850" s="19">
        <v>81.9</v>
      </c>
      <c r="HN850" s="19">
        <v>76.6</v>
      </c>
      <c r="HO850" s="19">
        <v>75.8</v>
      </c>
      <c r="HP850" s="19">
        <v>84.7</v>
      </c>
      <c r="HQ850" s="19">
        <v>123.1</v>
      </c>
      <c r="HR850" s="19">
        <v>145.2</v>
      </c>
      <c r="HS850" s="19">
        <v>178</v>
      </c>
      <c r="HT850" s="19">
        <v>206.2</v>
      </c>
      <c r="HU850" s="19">
        <v>246.1</v>
      </c>
      <c r="HV850" s="19">
        <v>305.8</v>
      </c>
      <c r="HW850" s="19">
        <v>332.2</v>
      </c>
      <c r="HX850" s="19">
        <v>331</v>
      </c>
      <c r="HY850" s="19">
        <v>330.1</v>
      </c>
      <c r="HZ850" s="19">
        <v>362</v>
      </c>
      <c r="IA850" s="19">
        <v>360.9</v>
      </c>
      <c r="IB850" s="19">
        <v>399.8</v>
      </c>
      <c r="IC850" s="19">
        <v>448.4</v>
      </c>
    </row>
    <row r="851">
      <c r="A851" s="2" t="s">
        <v>3478</v>
      </c>
      <c r="B851" s="2" t="s">
        <v>323</v>
      </c>
      <c r="C851" s="2" t="s">
        <v>1036</v>
      </c>
      <c r="D851" s="2" t="s">
        <v>257</v>
      </c>
      <c r="E851" s="2" t="s">
        <v>258</v>
      </c>
      <c r="F851" s="2" t="s">
        <v>3098</v>
      </c>
      <c r="G851" s="2" t="s">
        <v>3098</v>
      </c>
      <c r="H851" s="2" t="s">
        <v>3098</v>
      </c>
      <c r="I851" s="2" t="s">
        <v>3099</v>
      </c>
      <c r="J851" s="2" t="s">
        <v>270</v>
      </c>
      <c r="K851" s="2" t="s">
        <v>3468</v>
      </c>
      <c r="L851" s="3">
        <v>27.39</v>
      </c>
      <c r="M851" s="3">
        <v>28.76</v>
      </c>
      <c r="N851" s="3">
        <v>67.99</v>
      </c>
      <c r="O851" s="2" t="s">
        <v>232</v>
      </c>
      <c r="P851" s="2" t="s">
        <v>233</v>
      </c>
      <c r="Q851" s="2" t="s">
        <v>234</v>
      </c>
      <c r="R851" s="2" t="s">
        <v>235</v>
      </c>
      <c r="S851" s="2" t="s">
        <v>3469</v>
      </c>
      <c r="T851" s="2" t="s">
        <v>2908</v>
      </c>
      <c r="U851" s="2" t="s">
        <v>264</v>
      </c>
      <c r="V851" s="2" t="s">
        <v>2919</v>
      </c>
      <c r="W851" s="2" t="s">
        <v>239</v>
      </c>
      <c r="X851" s="2" t="s">
        <v>1798</v>
      </c>
      <c r="Y851" s="2" t="s">
        <v>2992</v>
      </c>
      <c r="Z851" s="4">
        <v>1224</v>
      </c>
      <c r="AA851" s="4">
        <f>=ROUNDDOWN(174.857142857143,0)</f>
      </c>
      <c r="AB851" s="5">
        <v>7</v>
      </c>
      <c r="AC851" s="2" t="s">
        <v>235</v>
      </c>
      <c r="AD851" s="4"/>
      <c r="AE851" s="4"/>
      <c r="AF851" s="6">
        <v>77</v>
      </c>
      <c r="AG851" s="6"/>
      <c r="AH851" s="7">
        <v>1</v>
      </c>
      <c r="AI851" s="4"/>
      <c r="AJ851" s="4">
        <f>=ROUNDDOWN({0},0)</f>
      </c>
      <c r="AK851" s="5"/>
      <c r="AL851" s="2" t="s">
        <v>235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235</v>
      </c>
      <c r="AW851" s="8" t="s">
        <v>235</v>
      </c>
      <c r="AX851" s="4" t="s">
        <v>235</v>
      </c>
      <c r="AY851" s="8" t="s">
        <v>235</v>
      </c>
      <c r="AZ851" s="7" t="s">
        <v>235</v>
      </c>
      <c r="BA851" s="7" t="s">
        <v>235</v>
      </c>
      <c r="BB851" s="7"/>
      <c r="BC851" s="4" t="s">
        <v>235</v>
      </c>
      <c r="BD851" s="8" t="s">
        <v>235</v>
      </c>
      <c r="BE851" s="4" t="s">
        <v>235</v>
      </c>
      <c r="BF851" s="8" t="s">
        <v>235</v>
      </c>
      <c r="BG851" s="7" t="s">
        <v>235</v>
      </c>
      <c r="BH851" s="7" t="s">
        <v>235</v>
      </c>
      <c r="BI851" s="7"/>
      <c r="BJ851" s="4">
        <v>5</v>
      </c>
      <c r="BK851" s="8">
        <v>171.64</v>
      </c>
      <c r="BL851" s="2" t="s">
        <v>3479</v>
      </c>
      <c r="BM851" s="7"/>
      <c r="BN851" s="7"/>
      <c r="BO851" s="4"/>
      <c r="BP851" s="8"/>
      <c r="BQ851" s="4"/>
      <c r="BR851" s="8"/>
      <c r="BS851" s="7"/>
      <c r="BT851" s="7"/>
      <c r="BU851" s="2" t="s">
        <v>3105</v>
      </c>
      <c r="BV851" s="2" t="s">
        <v>243</v>
      </c>
      <c r="BW851" s="2" t="s">
        <v>235</v>
      </c>
      <c r="BX851" s="2" t="s">
        <v>383</v>
      </c>
      <c r="BY851" s="2" t="s">
        <v>245</v>
      </c>
      <c r="BZ851" s="2" t="s">
        <v>232</v>
      </c>
      <c r="CA851" s="2" t="s">
        <v>2190</v>
      </c>
      <c r="CB851" s="2" t="s">
        <v>3007</v>
      </c>
      <c r="CC851" s="2" t="s">
        <v>248</v>
      </c>
      <c r="CD851" s="2" t="s">
        <v>248</v>
      </c>
      <c r="CE851" s="2" t="s">
        <v>235</v>
      </c>
      <c r="CF851" s="4">
        <v>1224</v>
      </c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>
        <v>1224</v>
      </c>
      <c r="GE851" s="4">
        <v>1222</v>
      </c>
      <c r="GF851" s="4">
        <v>1220</v>
      </c>
      <c r="GG851" s="4">
        <v>1218</v>
      </c>
      <c r="GH851" s="4">
        <v>1216</v>
      </c>
      <c r="GI851" s="4">
        <v>1213</v>
      </c>
      <c r="GJ851" s="4">
        <v>1210</v>
      </c>
      <c r="GK851" s="4">
        <v>1207</v>
      </c>
      <c r="GL851" s="4">
        <v>1204</v>
      </c>
      <c r="GM851" s="4">
        <v>1194</v>
      </c>
      <c r="GN851" s="4">
        <v>1184</v>
      </c>
      <c r="GO851" s="4">
        <v>1172</v>
      </c>
      <c r="GP851" s="4">
        <v>1159</v>
      </c>
      <c r="GQ851" s="4">
        <v>1137</v>
      </c>
      <c r="GR851" s="4">
        <v>1126</v>
      </c>
      <c r="GS851" s="4">
        <v>1115</v>
      </c>
      <c r="GT851" s="4">
        <v>1107</v>
      </c>
      <c r="GU851" s="4">
        <v>1100</v>
      </c>
      <c r="GV851" s="4">
        <v>1092</v>
      </c>
      <c r="GW851" s="4">
        <v>1087</v>
      </c>
      <c r="GX851" s="4">
        <v>1083</v>
      </c>
      <c r="GY851" s="4">
        <v>1079</v>
      </c>
      <c r="GZ851" s="4">
        <v>1075</v>
      </c>
      <c r="HA851" s="4">
        <v>1071</v>
      </c>
      <c r="HB851" s="4">
        <v>1067</v>
      </c>
      <c r="HC851" s="4">
        <v>1063</v>
      </c>
      <c r="HD851" s="19">
        <v>612</v>
      </c>
      <c r="HE851" s="19">
        <v>611</v>
      </c>
      <c r="HF851" s="19">
        <v>610</v>
      </c>
      <c r="HG851" s="19">
        <v>406</v>
      </c>
      <c r="HH851" s="19">
        <v>405.3</v>
      </c>
      <c r="HI851" s="19">
        <v>242.6</v>
      </c>
      <c r="HJ851" s="19">
        <v>201.7</v>
      </c>
      <c r="HK851" s="19">
        <v>134.1</v>
      </c>
      <c r="HL851" s="19">
        <v>109.5</v>
      </c>
      <c r="HM851" s="19">
        <v>85.3</v>
      </c>
      <c r="HN851" s="19">
        <v>84.6</v>
      </c>
      <c r="HO851" s="19">
        <v>83.7</v>
      </c>
      <c r="HP851" s="19">
        <v>89.2</v>
      </c>
      <c r="HQ851" s="19">
        <v>126.3</v>
      </c>
      <c r="HR851" s="19">
        <v>140.8</v>
      </c>
      <c r="HS851" s="19">
        <v>159.3</v>
      </c>
      <c r="HT851" s="19">
        <v>184.5</v>
      </c>
      <c r="HU851" s="19">
        <v>220</v>
      </c>
      <c r="HV851" s="19">
        <v>273</v>
      </c>
      <c r="HW851" s="19">
        <v>271.8</v>
      </c>
      <c r="HX851" s="19">
        <v>270.8</v>
      </c>
      <c r="HY851" s="19">
        <v>269.8</v>
      </c>
      <c r="HZ851" s="19">
        <v>268.8</v>
      </c>
      <c r="IA851" s="19">
        <v>267.8</v>
      </c>
      <c r="IB851" s="19">
        <v>266.8</v>
      </c>
      <c r="IC851" s="19">
        <v>265.8</v>
      </c>
    </row>
    <row r="852">
      <c r="A852" s="2" t="s">
        <v>3480</v>
      </c>
      <c r="B852" s="2" t="s">
        <v>323</v>
      </c>
      <c r="C852" s="2" t="s">
        <v>1036</v>
      </c>
      <c r="D852" s="2" t="s">
        <v>257</v>
      </c>
      <c r="E852" s="2" t="s">
        <v>258</v>
      </c>
      <c r="F852" s="2" t="s">
        <v>3098</v>
      </c>
      <c r="G852" s="2" t="s">
        <v>3098</v>
      </c>
      <c r="H852" s="2" t="s">
        <v>3098</v>
      </c>
      <c r="I852" s="2" t="s">
        <v>3099</v>
      </c>
      <c r="J852" s="2" t="s">
        <v>272</v>
      </c>
      <c r="K852" s="2" t="s">
        <v>3468</v>
      </c>
      <c r="L852" s="3">
        <v>27.39</v>
      </c>
      <c r="M852" s="3">
        <v>28.76</v>
      </c>
      <c r="N852" s="3">
        <v>67.99</v>
      </c>
      <c r="O852" s="2" t="s">
        <v>232</v>
      </c>
      <c r="P852" s="2" t="s">
        <v>233</v>
      </c>
      <c r="Q852" s="2" t="s">
        <v>234</v>
      </c>
      <c r="R852" s="2" t="s">
        <v>235</v>
      </c>
      <c r="S852" s="2" t="s">
        <v>3469</v>
      </c>
      <c r="T852" s="2" t="s">
        <v>2908</v>
      </c>
      <c r="U852" s="2" t="s">
        <v>264</v>
      </c>
      <c r="V852" s="2" t="s">
        <v>2919</v>
      </c>
      <c r="W852" s="2" t="s">
        <v>239</v>
      </c>
      <c r="X852" s="2" t="s">
        <v>1798</v>
      </c>
      <c r="Y852" s="2" t="s">
        <v>3481</v>
      </c>
      <c r="Z852" s="4">
        <v>830</v>
      </c>
      <c r="AA852" s="4">
        <f>=ROUNDDOWN(488.235294117647,0)</f>
      </c>
      <c r="AB852" s="5">
        <v>1.7</v>
      </c>
      <c r="AC852" s="2" t="s">
        <v>235</v>
      </c>
      <c r="AD852" s="4"/>
      <c r="AE852" s="4"/>
      <c r="AF852" s="6">
        <v>77</v>
      </c>
      <c r="AG852" s="6"/>
      <c r="AH852" s="7">
        <v>1</v>
      </c>
      <c r="AI852" s="4"/>
      <c r="AJ852" s="4">
        <f>=ROUNDDOWN({0},0)</f>
      </c>
      <c r="AK852" s="5"/>
      <c r="AL852" s="2" t="s">
        <v>235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235</v>
      </c>
      <c r="AW852" s="8" t="s">
        <v>235</v>
      </c>
      <c r="AX852" s="4" t="s">
        <v>235</v>
      </c>
      <c r="AY852" s="8" t="s">
        <v>235</v>
      </c>
      <c r="AZ852" s="7" t="s">
        <v>235</v>
      </c>
      <c r="BA852" s="7" t="s">
        <v>235</v>
      </c>
      <c r="BB852" s="7"/>
      <c r="BC852" s="4" t="s">
        <v>235</v>
      </c>
      <c r="BD852" s="8" t="s">
        <v>235</v>
      </c>
      <c r="BE852" s="4" t="s">
        <v>235</v>
      </c>
      <c r="BF852" s="8" t="s">
        <v>235</v>
      </c>
      <c r="BG852" s="7" t="s">
        <v>235</v>
      </c>
      <c r="BH852" s="7" t="s">
        <v>235</v>
      </c>
      <c r="BI852" s="7"/>
      <c r="BJ852" s="4">
        <v>1</v>
      </c>
      <c r="BK852" s="8">
        <v>32.75</v>
      </c>
      <c r="BL852" s="2" t="s">
        <v>597</v>
      </c>
      <c r="BM852" s="7"/>
      <c r="BN852" s="7"/>
      <c r="BO852" s="4"/>
      <c r="BP852" s="8"/>
      <c r="BQ852" s="4"/>
      <c r="BR852" s="8"/>
      <c r="BS852" s="7"/>
      <c r="BT852" s="7"/>
      <c r="BU852" s="2" t="s">
        <v>3105</v>
      </c>
      <c r="BV852" s="2" t="s">
        <v>243</v>
      </c>
      <c r="BW852" s="2" t="s">
        <v>235</v>
      </c>
      <c r="BX852" s="2" t="s">
        <v>383</v>
      </c>
      <c r="BY852" s="2" t="s">
        <v>245</v>
      </c>
      <c r="BZ852" s="2" t="s">
        <v>232</v>
      </c>
      <c r="CA852" s="2" t="s">
        <v>1193</v>
      </c>
      <c r="CB852" s="2" t="s">
        <v>235</v>
      </c>
      <c r="CC852" s="2" t="s">
        <v>248</v>
      </c>
      <c r="CD852" s="2" t="s">
        <v>248</v>
      </c>
      <c r="CE852" s="2" t="s">
        <v>235</v>
      </c>
      <c r="CF852" s="4">
        <v>830</v>
      </c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>
        <v>833</v>
      </c>
      <c r="GE852" s="4">
        <v>830</v>
      </c>
      <c r="GF852" s="4">
        <v>829</v>
      </c>
      <c r="GG852" s="4">
        <v>828</v>
      </c>
      <c r="GH852" s="4">
        <v>827</v>
      </c>
      <c r="GI852" s="4">
        <v>823</v>
      </c>
      <c r="GJ852" s="4">
        <v>816</v>
      </c>
      <c r="GK852" s="4">
        <v>809</v>
      </c>
      <c r="GL852" s="4">
        <v>802</v>
      </c>
      <c r="GM852" s="4">
        <v>796</v>
      </c>
      <c r="GN852" s="4">
        <v>789</v>
      </c>
      <c r="GO852" s="4">
        <v>779</v>
      </c>
      <c r="GP852" s="4">
        <v>766</v>
      </c>
      <c r="GQ852" s="4">
        <v>740</v>
      </c>
      <c r="GR852" s="4">
        <v>727</v>
      </c>
      <c r="GS852" s="4">
        <v>715</v>
      </c>
      <c r="GT852" s="4">
        <v>707</v>
      </c>
      <c r="GU852" s="4">
        <v>701</v>
      </c>
      <c r="GV852" s="4">
        <v>694</v>
      </c>
      <c r="GW852" s="4">
        <v>689</v>
      </c>
      <c r="GX852" s="4">
        <v>685</v>
      </c>
      <c r="GY852" s="4">
        <v>682</v>
      </c>
      <c r="GZ852" s="4">
        <v>680</v>
      </c>
      <c r="HA852" s="4">
        <v>678</v>
      </c>
      <c r="HB852" s="4">
        <v>676</v>
      </c>
      <c r="HC852" s="4">
        <v>674</v>
      </c>
      <c r="HD852" s="19">
        <v>416.5</v>
      </c>
      <c r="HE852" s="19">
        <v>415</v>
      </c>
      <c r="HF852" s="19">
        <v>276.3</v>
      </c>
      <c r="HG852" s="19">
        <v>165.6</v>
      </c>
      <c r="HH852" s="19">
        <v>137.8</v>
      </c>
      <c r="HI852" s="19">
        <v>117.6</v>
      </c>
      <c r="HJ852" s="19">
        <v>116.6</v>
      </c>
      <c r="HK852" s="19">
        <v>101.1</v>
      </c>
      <c r="HL852" s="19">
        <v>89.1</v>
      </c>
      <c r="HM852" s="19">
        <v>56.9</v>
      </c>
      <c r="HN852" s="19">
        <v>49.3</v>
      </c>
      <c r="HO852" s="19">
        <v>48.7</v>
      </c>
      <c r="HP852" s="19">
        <v>51.1</v>
      </c>
      <c r="HQ852" s="19">
        <v>74</v>
      </c>
      <c r="HR852" s="19">
        <v>90.9</v>
      </c>
      <c r="HS852" s="19">
        <v>119.2</v>
      </c>
      <c r="HT852" s="19">
        <v>117.8</v>
      </c>
      <c r="HU852" s="19">
        <v>140.2</v>
      </c>
      <c r="HV852" s="19">
        <v>173.5</v>
      </c>
      <c r="HW852" s="19">
        <v>229.7</v>
      </c>
      <c r="HX852" s="19">
        <v>342.5</v>
      </c>
      <c r="HY852" s="19">
        <v>341</v>
      </c>
      <c r="HZ852" s="19">
        <v>340</v>
      </c>
      <c r="IA852" s="19">
        <v>339</v>
      </c>
      <c r="IB852" s="19">
        <v>338</v>
      </c>
      <c r="IC852" s="19">
        <v>337</v>
      </c>
    </row>
    <row r="853">
      <c r="A853" s="2" t="s">
        <v>3482</v>
      </c>
      <c r="B853" s="2" t="s">
        <v>323</v>
      </c>
      <c r="C853" s="2" t="s">
        <v>853</v>
      </c>
      <c r="D853" s="2" t="s">
        <v>257</v>
      </c>
      <c r="E853" s="2" t="s">
        <v>258</v>
      </c>
      <c r="F853" s="2" t="s">
        <v>3483</v>
      </c>
      <c r="G853" s="2" t="s">
        <v>3483</v>
      </c>
      <c r="H853" s="2" t="s">
        <v>3483</v>
      </c>
      <c r="I853" s="2" t="s">
        <v>3484</v>
      </c>
      <c r="J853" s="2" t="s">
        <v>394</v>
      </c>
      <c r="K853" s="2" t="s">
        <v>3485</v>
      </c>
      <c r="L853" s="3">
        <v>14.89</v>
      </c>
      <c r="M853" s="3">
        <v>15.63</v>
      </c>
      <c r="N853" s="3">
        <v>31.99</v>
      </c>
      <c r="O853" s="2" t="s">
        <v>232</v>
      </c>
      <c r="P853" s="2" t="s">
        <v>233</v>
      </c>
      <c r="Q853" s="2" t="s">
        <v>234</v>
      </c>
      <c r="R853" s="2" t="s">
        <v>235</v>
      </c>
      <c r="S853" s="2" t="s">
        <v>3486</v>
      </c>
      <c r="T853" s="2" t="s">
        <v>2908</v>
      </c>
      <c r="U853" s="2" t="s">
        <v>552</v>
      </c>
      <c r="V853" s="2" t="s">
        <v>2919</v>
      </c>
      <c r="W853" s="2" t="s">
        <v>239</v>
      </c>
      <c r="X853" s="2" t="s">
        <v>1157</v>
      </c>
      <c r="Y853" s="2" t="s">
        <v>3487</v>
      </c>
      <c r="Z853" s="4">
        <v>10</v>
      </c>
      <c r="AA853" s="4">
        <f>=ROUNDDOWN(0.4,0)</f>
      </c>
      <c r="AB853" s="5">
        <v>25</v>
      </c>
      <c r="AC853" s="2" t="s">
        <v>2503</v>
      </c>
      <c r="AD853" s="4">
        <v>499</v>
      </c>
      <c r="AE853" s="4">
        <v>864</v>
      </c>
      <c r="AF853" s="6">
        <v>73</v>
      </c>
      <c r="AG853" s="6"/>
      <c r="AH853" s="7">
        <v>1</v>
      </c>
      <c r="AI853" s="4"/>
      <c r="AJ853" s="4">
        <f>=ROUNDDOWN({0},0)</f>
      </c>
      <c r="AK853" s="5"/>
      <c r="AL853" s="2" t="s">
        <v>235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 t="s">
        <v>235</v>
      </c>
      <c r="BD853" s="8" t="s">
        <v>235</v>
      </c>
      <c r="BE853" s="4" t="s">
        <v>235</v>
      </c>
      <c r="BF853" s="8" t="s">
        <v>235</v>
      </c>
      <c r="BG853" s="7" t="s">
        <v>235</v>
      </c>
      <c r="BH853" s="7" t="s">
        <v>235</v>
      </c>
      <c r="BI853" s="7"/>
      <c r="BJ853" s="4">
        <v>74</v>
      </c>
      <c r="BK853" s="8">
        <v>1282.67</v>
      </c>
      <c r="BL853" s="2" t="s">
        <v>2310</v>
      </c>
      <c r="BM853" s="7"/>
      <c r="BN853" s="7"/>
      <c r="BO853" s="4"/>
      <c r="BP853" s="8"/>
      <c r="BQ853" s="4"/>
      <c r="BR853" s="8"/>
      <c r="BS853" s="7"/>
      <c r="BT853" s="7"/>
      <c r="BU853" s="2" t="s">
        <v>3488</v>
      </c>
      <c r="BV853" s="2" t="s">
        <v>243</v>
      </c>
      <c r="BW853" s="2" t="s">
        <v>235</v>
      </c>
      <c r="BX853" s="2" t="s">
        <v>244</v>
      </c>
      <c r="BY853" s="2" t="s">
        <v>245</v>
      </c>
      <c r="BZ853" s="2" t="s">
        <v>232</v>
      </c>
      <c r="CA853" s="2" t="s">
        <v>3489</v>
      </c>
      <c r="CB853" s="2" t="s">
        <v>1162</v>
      </c>
      <c r="CC853" s="2" t="s">
        <v>248</v>
      </c>
      <c r="CD853" s="2" t="s">
        <v>248</v>
      </c>
      <c r="CE853" s="2" t="s">
        <v>235</v>
      </c>
      <c r="CF853" s="4">
        <v>10</v>
      </c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>
        <v>499</v>
      </c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>
        <v>129</v>
      </c>
      <c r="EK853" s="4"/>
      <c r="EL853" s="4">
        <v>236</v>
      </c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>
        <v>100</v>
      </c>
      <c r="GE853" s="4"/>
      <c r="GF853" s="4">
        <v>499</v>
      </c>
      <c r="GG853" s="4">
        <v>496</v>
      </c>
      <c r="GH853" s="4">
        <v>485</v>
      </c>
      <c r="GI853" s="4">
        <v>418</v>
      </c>
      <c r="GJ853" s="4">
        <v>289</v>
      </c>
      <c r="GK853" s="4">
        <v>226</v>
      </c>
      <c r="GL853" s="4">
        <v>165</v>
      </c>
      <c r="GM853" s="4">
        <v>253</v>
      </c>
      <c r="GN853" s="4">
        <v>455</v>
      </c>
      <c r="GO853" s="4">
        <v>415</v>
      </c>
      <c r="GP853" s="4">
        <v>377</v>
      </c>
      <c r="GQ853" s="4">
        <v>330</v>
      </c>
      <c r="GR853" s="4">
        <v>303</v>
      </c>
      <c r="GS853" s="4">
        <v>275</v>
      </c>
      <c r="GT853" s="4">
        <v>252</v>
      </c>
      <c r="GU853" s="4">
        <v>231</v>
      </c>
      <c r="GV853" s="4">
        <v>209</v>
      </c>
      <c r="GW853" s="4">
        <v>193</v>
      </c>
      <c r="GX853" s="4">
        <v>334</v>
      </c>
      <c r="GY853" s="4">
        <v>321</v>
      </c>
      <c r="GZ853" s="4">
        <v>307</v>
      </c>
      <c r="HA853" s="4">
        <v>293</v>
      </c>
      <c r="HB853" s="4">
        <v>279</v>
      </c>
      <c r="HC853" s="4">
        <v>265</v>
      </c>
      <c r="HD853" s="19">
        <v>3.4</v>
      </c>
      <c r="HE853" s="20">
        <v>0</v>
      </c>
      <c r="HF853" s="19">
        <v>9.6</v>
      </c>
      <c r="HG853" s="19">
        <v>7.3</v>
      </c>
      <c r="HH853" s="19">
        <v>6.1</v>
      </c>
      <c r="HI853" s="19">
        <v>5.6</v>
      </c>
      <c r="HJ853" s="19">
        <v>5.8</v>
      </c>
      <c r="HK853" s="19">
        <v>5.1</v>
      </c>
      <c r="HL853" s="19">
        <v>4.3</v>
      </c>
      <c r="HM853" s="19">
        <v>6.3</v>
      </c>
      <c r="HN853" s="19">
        <v>12</v>
      </c>
      <c r="HO853" s="19">
        <v>11.9</v>
      </c>
      <c r="HP853" s="19">
        <v>12.2</v>
      </c>
      <c r="HQ853" s="19">
        <v>13.2</v>
      </c>
      <c r="HR853" s="19">
        <v>12.6</v>
      </c>
      <c r="HS853" s="19">
        <v>13.8</v>
      </c>
      <c r="HT853" s="19">
        <v>14</v>
      </c>
      <c r="HU853" s="19">
        <v>14.4</v>
      </c>
      <c r="HV853" s="19">
        <v>14.9</v>
      </c>
      <c r="HW853" s="19">
        <v>13.8</v>
      </c>
      <c r="HX853" s="19">
        <v>23.9</v>
      </c>
      <c r="HY853" s="19">
        <v>22.9</v>
      </c>
      <c r="HZ853" s="19">
        <v>21.9</v>
      </c>
      <c r="IA853" s="19">
        <v>20.9</v>
      </c>
      <c r="IB853" s="19">
        <v>21.5</v>
      </c>
      <c r="IC853" s="19">
        <v>22.1</v>
      </c>
    </row>
    <row r="854">
      <c r="A854" s="2" t="s">
        <v>3490</v>
      </c>
      <c r="B854" s="2" t="s">
        <v>323</v>
      </c>
      <c r="C854" s="2" t="s">
        <v>853</v>
      </c>
      <c r="D854" s="2" t="s">
        <v>257</v>
      </c>
      <c r="E854" s="2" t="s">
        <v>258</v>
      </c>
      <c r="F854" s="2" t="s">
        <v>3483</v>
      </c>
      <c r="G854" s="2" t="s">
        <v>3483</v>
      </c>
      <c r="H854" s="2" t="s">
        <v>3483</v>
      </c>
      <c r="I854" s="2" t="s">
        <v>3484</v>
      </c>
      <c r="J854" s="2" t="s">
        <v>230</v>
      </c>
      <c r="K854" s="2" t="s">
        <v>3491</v>
      </c>
      <c r="L854" s="3">
        <v>15.22</v>
      </c>
      <c r="M854" s="3">
        <v>15.98</v>
      </c>
      <c r="N854" s="3">
        <v>32.99</v>
      </c>
      <c r="O854" s="2" t="s">
        <v>232</v>
      </c>
      <c r="P854" s="2" t="s">
        <v>233</v>
      </c>
      <c r="Q854" s="2" t="s">
        <v>234</v>
      </c>
      <c r="R854" s="2" t="s">
        <v>235</v>
      </c>
      <c r="S854" s="2" t="s">
        <v>3492</v>
      </c>
      <c r="T854" s="2" t="s">
        <v>2908</v>
      </c>
      <c r="U854" s="2" t="s">
        <v>552</v>
      </c>
      <c r="V854" s="2" t="s">
        <v>1693</v>
      </c>
      <c r="W854" s="2" t="s">
        <v>239</v>
      </c>
      <c r="X854" s="2" t="s">
        <v>1157</v>
      </c>
      <c r="Y854" s="2" t="s">
        <v>3493</v>
      </c>
      <c r="Z854" s="4">
        <v>6</v>
      </c>
      <c r="AA854" s="4">
        <f>=ROUNDDOWN(0.5,0)</f>
      </c>
      <c r="AB854" s="5">
        <v>12</v>
      </c>
      <c r="AC854" s="2" t="s">
        <v>2503</v>
      </c>
      <c r="AD854" s="4">
        <v>148</v>
      </c>
      <c r="AE854" s="4">
        <v>408</v>
      </c>
      <c r="AF854" s="6">
        <v>73</v>
      </c>
      <c r="AG854" s="6"/>
      <c r="AH854" s="7">
        <v>0.9032</v>
      </c>
      <c r="AI854" s="4"/>
      <c r="AJ854" s="4">
        <f>=ROUNDDOWN({0},0)</f>
      </c>
      <c r="AK854" s="5"/>
      <c r="AL854" s="2" t="s">
        <v>235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235</v>
      </c>
      <c r="AW854" s="8" t="s">
        <v>235</v>
      </c>
      <c r="AX854" s="4" t="s">
        <v>235</v>
      </c>
      <c r="AY854" s="8" t="s">
        <v>235</v>
      </c>
      <c r="AZ854" s="7" t="s">
        <v>235</v>
      </c>
      <c r="BA854" s="7" t="s">
        <v>235</v>
      </c>
      <c r="BB854" s="7"/>
      <c r="BC854" s="4" t="s">
        <v>235</v>
      </c>
      <c r="BD854" s="8" t="s">
        <v>235</v>
      </c>
      <c r="BE854" s="4" t="s">
        <v>235</v>
      </c>
      <c r="BF854" s="8" t="s">
        <v>235</v>
      </c>
      <c r="BG854" s="7" t="s">
        <v>235</v>
      </c>
      <c r="BH854" s="7" t="s">
        <v>235</v>
      </c>
      <c r="BI854" s="7"/>
      <c r="BJ854" s="4">
        <v>74</v>
      </c>
      <c r="BK854" s="8">
        <v>1378.51</v>
      </c>
      <c r="BL854" s="2" t="s">
        <v>3494</v>
      </c>
      <c r="BM854" s="7"/>
      <c r="BN854" s="7"/>
      <c r="BO854" s="4"/>
      <c r="BP854" s="8"/>
      <c r="BQ854" s="4"/>
      <c r="BR854" s="8"/>
      <c r="BS854" s="7"/>
      <c r="BT854" s="7"/>
      <c r="BU854" s="2" t="s">
        <v>3488</v>
      </c>
      <c r="BV854" s="2" t="s">
        <v>243</v>
      </c>
      <c r="BW854" s="2" t="s">
        <v>235</v>
      </c>
      <c r="BX854" s="2" t="s">
        <v>244</v>
      </c>
      <c r="BY854" s="2" t="s">
        <v>245</v>
      </c>
      <c r="BZ854" s="2" t="s">
        <v>232</v>
      </c>
      <c r="CA854" s="2" t="s">
        <v>2366</v>
      </c>
      <c r="CB854" s="2" t="s">
        <v>3495</v>
      </c>
      <c r="CC854" s="2" t="s">
        <v>248</v>
      </c>
      <c r="CD854" s="2" t="s">
        <v>248</v>
      </c>
      <c r="CE854" s="2" t="s">
        <v>235</v>
      </c>
      <c r="CF854" s="4">
        <v>6</v>
      </c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>
        <v>148</v>
      </c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>
        <v>182</v>
      </c>
      <c r="ED854" s="4"/>
      <c r="EE854" s="4"/>
      <c r="EF854" s="4"/>
      <c r="EG854" s="4"/>
      <c r="EH854" s="4"/>
      <c r="EI854" s="4"/>
      <c r="EJ854" s="4">
        <v>78</v>
      </c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>
        <v>6</v>
      </c>
      <c r="GE854" s="4"/>
      <c r="GF854" s="4">
        <v>148</v>
      </c>
      <c r="GG854" s="4">
        <v>114</v>
      </c>
      <c r="GH854" s="4">
        <v>102</v>
      </c>
      <c r="GI854" s="4">
        <v>82</v>
      </c>
      <c r="GJ854" s="4">
        <v>49</v>
      </c>
      <c r="GK854" s="4">
        <v>211</v>
      </c>
      <c r="GL854" s="4">
        <v>192</v>
      </c>
      <c r="GM854" s="4">
        <v>255</v>
      </c>
      <c r="GN854" s="4">
        <v>237</v>
      </c>
      <c r="GO854" s="4">
        <v>215</v>
      </c>
      <c r="GP854" s="4">
        <v>186</v>
      </c>
      <c r="GQ854" s="4">
        <v>133</v>
      </c>
      <c r="GR854" s="4">
        <v>108</v>
      </c>
      <c r="GS854" s="4">
        <v>83</v>
      </c>
      <c r="GT854" s="4">
        <v>66</v>
      </c>
      <c r="GU854" s="4">
        <v>53</v>
      </c>
      <c r="GV854" s="4">
        <v>38</v>
      </c>
      <c r="GW854" s="4">
        <v>27</v>
      </c>
      <c r="GX854" s="4">
        <v>163</v>
      </c>
      <c r="GY854" s="4">
        <v>156</v>
      </c>
      <c r="GZ854" s="4">
        <v>148</v>
      </c>
      <c r="HA854" s="4">
        <v>140</v>
      </c>
      <c r="HB854" s="4">
        <v>132</v>
      </c>
      <c r="HC854" s="4">
        <v>124</v>
      </c>
      <c r="HD854" s="19">
        <v>0.4</v>
      </c>
      <c r="HE854" s="20">
        <v>0</v>
      </c>
      <c r="HF854" s="19">
        <v>5.9</v>
      </c>
      <c r="HG854" s="19">
        <v>5.4</v>
      </c>
      <c r="HH854" s="19">
        <v>4.4</v>
      </c>
      <c r="HI854" s="19">
        <v>3.7</v>
      </c>
      <c r="HJ854" s="19">
        <v>2.7</v>
      </c>
      <c r="HK854" s="19">
        <v>11.7</v>
      </c>
      <c r="HL854" s="19">
        <v>9.1</v>
      </c>
      <c r="HM854" s="19">
        <v>8.5</v>
      </c>
      <c r="HN854" s="19">
        <v>7.4</v>
      </c>
      <c r="HO854" s="19">
        <v>6.5</v>
      </c>
      <c r="HP854" s="19">
        <v>6.2</v>
      </c>
      <c r="HQ854" s="19">
        <v>6.7</v>
      </c>
      <c r="HR854" s="19">
        <v>6</v>
      </c>
      <c r="HS854" s="19">
        <v>5.9</v>
      </c>
      <c r="HT854" s="19">
        <v>5.5</v>
      </c>
      <c r="HU854" s="19">
        <v>5.3</v>
      </c>
      <c r="HV854" s="19">
        <v>4.8</v>
      </c>
      <c r="HW854" s="19">
        <v>3.4</v>
      </c>
      <c r="HX854" s="19">
        <v>20.4</v>
      </c>
      <c r="HY854" s="19">
        <v>19.5</v>
      </c>
      <c r="HZ854" s="19">
        <v>18.5</v>
      </c>
      <c r="IA854" s="19">
        <v>20</v>
      </c>
      <c r="IB854" s="19">
        <v>22</v>
      </c>
      <c r="IC854" s="19">
        <v>20.7</v>
      </c>
    </row>
    <row r="855">
      <c r="A855" s="2" t="s">
        <v>3496</v>
      </c>
      <c r="B855" s="2" t="s">
        <v>323</v>
      </c>
      <c r="C855" s="2" t="s">
        <v>853</v>
      </c>
      <c r="D855" s="2" t="s">
        <v>257</v>
      </c>
      <c r="E855" s="2" t="s">
        <v>258</v>
      </c>
      <c r="F855" s="2" t="s">
        <v>3483</v>
      </c>
      <c r="G855" s="2" t="s">
        <v>3483</v>
      </c>
      <c r="H855" s="2" t="s">
        <v>3483</v>
      </c>
      <c r="I855" s="2" t="s">
        <v>3484</v>
      </c>
      <c r="J855" s="2" t="s">
        <v>261</v>
      </c>
      <c r="K855" s="2" t="s">
        <v>3491</v>
      </c>
      <c r="L855" s="3">
        <v>21.27</v>
      </c>
      <c r="M855" s="3">
        <v>22.33</v>
      </c>
      <c r="N855" s="3">
        <v>47.99</v>
      </c>
      <c r="O855" s="2" t="s">
        <v>232</v>
      </c>
      <c r="P855" s="2" t="s">
        <v>233</v>
      </c>
      <c r="Q855" s="2" t="s">
        <v>234</v>
      </c>
      <c r="R855" s="2" t="s">
        <v>235</v>
      </c>
      <c r="S855" s="2" t="s">
        <v>3492</v>
      </c>
      <c r="T855" s="2" t="s">
        <v>2908</v>
      </c>
      <c r="U855" s="2" t="s">
        <v>264</v>
      </c>
      <c r="V855" s="2" t="s">
        <v>1693</v>
      </c>
      <c r="W855" s="2" t="s">
        <v>239</v>
      </c>
      <c r="X855" s="2" t="s">
        <v>1157</v>
      </c>
      <c r="Y855" s="2" t="s">
        <v>3493</v>
      </c>
      <c r="Z855" s="4">
        <v>82</v>
      </c>
      <c r="AA855" s="4">
        <f>=ROUNDDOWN(4.82352941176471,0)</f>
      </c>
      <c r="AB855" s="5">
        <v>17</v>
      </c>
      <c r="AC855" s="2" t="s">
        <v>2503</v>
      </c>
      <c r="AD855" s="4">
        <v>154</v>
      </c>
      <c r="AE855" s="4">
        <v>558</v>
      </c>
      <c r="AF855" s="6">
        <v>73</v>
      </c>
      <c r="AG855" s="6"/>
      <c r="AH855" s="7">
        <v>1</v>
      </c>
      <c r="AI855" s="4"/>
      <c r="AJ855" s="4">
        <f>=ROUNDDOWN({0},0)</f>
      </c>
      <c r="AK855" s="5"/>
      <c r="AL855" s="2" t="s">
        <v>235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235</v>
      </c>
      <c r="AW855" s="8" t="s">
        <v>235</v>
      </c>
      <c r="AX855" s="4" t="s">
        <v>235</v>
      </c>
      <c r="AY855" s="8" t="s">
        <v>235</v>
      </c>
      <c r="AZ855" s="7" t="s">
        <v>235</v>
      </c>
      <c r="BA855" s="7" t="s">
        <v>235</v>
      </c>
      <c r="BB855" s="7"/>
      <c r="BC855" s="4" t="s">
        <v>235</v>
      </c>
      <c r="BD855" s="8" t="s">
        <v>235</v>
      </c>
      <c r="BE855" s="4" t="s">
        <v>235</v>
      </c>
      <c r="BF855" s="8" t="s">
        <v>235</v>
      </c>
      <c r="BG855" s="7" t="s">
        <v>235</v>
      </c>
      <c r="BH855" s="7" t="s">
        <v>235</v>
      </c>
      <c r="BI855" s="7"/>
      <c r="BJ855" s="4">
        <v>21</v>
      </c>
      <c r="BK855" s="8">
        <v>504.74</v>
      </c>
      <c r="BL855" s="2" t="s">
        <v>3497</v>
      </c>
      <c r="BM855" s="7"/>
      <c r="BN855" s="7"/>
      <c r="BO855" s="4"/>
      <c r="BP855" s="8"/>
      <c r="BQ855" s="4"/>
      <c r="BR855" s="8"/>
      <c r="BS855" s="7"/>
      <c r="BT855" s="7"/>
      <c r="BU855" s="2" t="s">
        <v>3488</v>
      </c>
      <c r="BV855" s="2" t="s">
        <v>243</v>
      </c>
      <c r="BW855" s="2" t="s">
        <v>235</v>
      </c>
      <c r="BX855" s="2" t="s">
        <v>244</v>
      </c>
      <c r="BY855" s="2" t="s">
        <v>245</v>
      </c>
      <c r="BZ855" s="2" t="s">
        <v>232</v>
      </c>
      <c r="CA855" s="2" t="s">
        <v>2366</v>
      </c>
      <c r="CB855" s="2" t="s">
        <v>3498</v>
      </c>
      <c r="CC855" s="2" t="s">
        <v>248</v>
      </c>
      <c r="CD855" s="2" t="s">
        <v>248</v>
      </c>
      <c r="CE855" s="2" t="s">
        <v>235</v>
      </c>
      <c r="CF855" s="4">
        <v>82</v>
      </c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>
        <v>154</v>
      </c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>
        <v>286</v>
      </c>
      <c r="ED855" s="4"/>
      <c r="EE855" s="4"/>
      <c r="EF855" s="4"/>
      <c r="EG855" s="4"/>
      <c r="EH855" s="4"/>
      <c r="EI855" s="4"/>
      <c r="EJ855" s="4">
        <v>118</v>
      </c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>
        <v>86</v>
      </c>
      <c r="GE855" s="4">
        <v>58</v>
      </c>
      <c r="GF855" s="4">
        <v>202</v>
      </c>
      <c r="GG855" s="4">
        <v>190</v>
      </c>
      <c r="GH855" s="4">
        <v>177</v>
      </c>
      <c r="GI855" s="4">
        <v>154</v>
      </c>
      <c r="GJ855" s="4">
        <v>121</v>
      </c>
      <c r="GK855" s="4">
        <v>384</v>
      </c>
      <c r="GL855" s="4">
        <v>362</v>
      </c>
      <c r="GM855" s="4">
        <v>461</v>
      </c>
      <c r="GN855" s="4">
        <v>435</v>
      </c>
      <c r="GO855" s="4">
        <v>402</v>
      </c>
      <c r="GP855" s="4">
        <v>356</v>
      </c>
      <c r="GQ855" s="4">
        <v>267</v>
      </c>
      <c r="GR855" s="4">
        <v>224</v>
      </c>
      <c r="GS855" s="4">
        <v>183</v>
      </c>
      <c r="GT855" s="4">
        <v>156</v>
      </c>
      <c r="GU855" s="4">
        <v>136</v>
      </c>
      <c r="GV855" s="4">
        <v>113</v>
      </c>
      <c r="GW855" s="4">
        <v>96</v>
      </c>
      <c r="GX855" s="4">
        <v>236</v>
      </c>
      <c r="GY855" s="4">
        <v>226</v>
      </c>
      <c r="GZ855" s="4">
        <v>214</v>
      </c>
      <c r="HA855" s="4">
        <v>202</v>
      </c>
      <c r="HB855" s="4">
        <v>190</v>
      </c>
      <c r="HC855" s="4">
        <v>178</v>
      </c>
      <c r="HD855" s="19">
        <v>5.4</v>
      </c>
      <c r="HE855" s="19">
        <v>4.1</v>
      </c>
      <c r="HF855" s="19">
        <v>10.1</v>
      </c>
      <c r="HG855" s="19">
        <v>8.3</v>
      </c>
      <c r="HH855" s="19">
        <v>7.1</v>
      </c>
      <c r="HI855" s="19">
        <v>6.4</v>
      </c>
      <c r="HJ855" s="19">
        <v>5.5</v>
      </c>
      <c r="HK855" s="19">
        <v>15.4</v>
      </c>
      <c r="HL855" s="19">
        <v>11.7</v>
      </c>
      <c r="HM855" s="19">
        <v>9.6</v>
      </c>
      <c r="HN855" s="19">
        <v>8.2</v>
      </c>
      <c r="HO855" s="19">
        <v>7.3</v>
      </c>
      <c r="HP855" s="19">
        <v>7.1</v>
      </c>
      <c r="HQ855" s="19">
        <v>8.1</v>
      </c>
      <c r="HR855" s="19">
        <v>8</v>
      </c>
      <c r="HS855" s="19">
        <v>8.3</v>
      </c>
      <c r="HT855" s="19">
        <v>8.7</v>
      </c>
      <c r="HU855" s="19">
        <v>8.5</v>
      </c>
      <c r="HV855" s="19">
        <v>8.7</v>
      </c>
      <c r="HW855" s="19">
        <v>8</v>
      </c>
      <c r="HX855" s="19">
        <v>19.7</v>
      </c>
      <c r="HY855" s="19">
        <v>18.8</v>
      </c>
      <c r="HZ855" s="19">
        <v>19.5</v>
      </c>
      <c r="IA855" s="19">
        <v>20.2</v>
      </c>
      <c r="IB855" s="19">
        <v>19</v>
      </c>
      <c r="IC855" s="19">
        <v>22.3</v>
      </c>
    </row>
    <row r="856">
      <c r="A856" s="2" t="s">
        <v>3499</v>
      </c>
      <c r="B856" s="2" t="s">
        <v>323</v>
      </c>
      <c r="C856" s="2" t="s">
        <v>853</v>
      </c>
      <c r="D856" s="2" t="s">
        <v>257</v>
      </c>
      <c r="E856" s="2" t="s">
        <v>258</v>
      </c>
      <c r="F856" s="2" t="s">
        <v>3483</v>
      </c>
      <c r="G856" s="2" t="s">
        <v>3483</v>
      </c>
      <c r="H856" s="2" t="s">
        <v>3483</v>
      </c>
      <c r="I856" s="2" t="s">
        <v>3484</v>
      </c>
      <c r="J856" s="2" t="s">
        <v>250</v>
      </c>
      <c r="K856" s="2" t="s">
        <v>3500</v>
      </c>
      <c r="L856" s="3">
        <v>19.13</v>
      </c>
      <c r="M856" s="3">
        <v>20.09</v>
      </c>
      <c r="N856" s="3">
        <v>42.99</v>
      </c>
      <c r="O856" s="2" t="s">
        <v>232</v>
      </c>
      <c r="P856" s="2" t="s">
        <v>233</v>
      </c>
      <c r="Q856" s="2" t="s">
        <v>234</v>
      </c>
      <c r="R856" s="2" t="s">
        <v>235</v>
      </c>
      <c r="S856" s="2" t="s">
        <v>3501</v>
      </c>
      <c r="T856" s="2" t="s">
        <v>2908</v>
      </c>
      <c r="U856" s="2" t="s">
        <v>264</v>
      </c>
      <c r="V856" s="2" t="s">
        <v>2919</v>
      </c>
      <c r="W856" s="2" t="s">
        <v>239</v>
      </c>
      <c r="X856" s="2" t="s">
        <v>1157</v>
      </c>
      <c r="Y856" s="2" t="s">
        <v>3487</v>
      </c>
      <c r="Z856" s="4">
        <v>158</v>
      </c>
      <c r="AA856" s="4">
        <f>=ROUNDDOWN(11.2857142857143,0)</f>
      </c>
      <c r="AB856" s="5">
        <v>14</v>
      </c>
      <c r="AC856" s="2" t="s">
        <v>2503</v>
      </c>
      <c r="AD856" s="4">
        <v>121</v>
      </c>
      <c r="AE856" s="4">
        <v>392</v>
      </c>
      <c r="AF856" s="6">
        <v>73</v>
      </c>
      <c r="AG856" s="6"/>
      <c r="AH856" s="7">
        <v>1</v>
      </c>
      <c r="AI856" s="4"/>
      <c r="AJ856" s="4">
        <f>=ROUNDDOWN({0},0)</f>
      </c>
      <c r="AK856" s="5"/>
      <c r="AL856" s="2" t="s">
        <v>235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 t="s">
        <v>235</v>
      </c>
      <c r="BD856" s="8" t="s">
        <v>235</v>
      </c>
      <c r="BE856" s="4" t="s">
        <v>235</v>
      </c>
      <c r="BF856" s="8" t="s">
        <v>235</v>
      </c>
      <c r="BG856" s="7" t="s">
        <v>235</v>
      </c>
      <c r="BH856" s="7" t="s">
        <v>235</v>
      </c>
      <c r="BI856" s="7"/>
      <c r="BJ856" s="4">
        <v>27</v>
      </c>
      <c r="BK856" s="8">
        <v>596.2</v>
      </c>
      <c r="BL856" s="2" t="s">
        <v>3502</v>
      </c>
      <c r="BM856" s="7"/>
      <c r="BN856" s="7"/>
      <c r="BO856" s="4"/>
      <c r="BP856" s="8"/>
      <c r="BQ856" s="4"/>
      <c r="BR856" s="8"/>
      <c r="BS856" s="7"/>
      <c r="BT856" s="7"/>
      <c r="BU856" s="2" t="s">
        <v>3488</v>
      </c>
      <c r="BV856" s="2" t="s">
        <v>243</v>
      </c>
      <c r="BW856" s="2" t="s">
        <v>235</v>
      </c>
      <c r="BX856" s="2" t="s">
        <v>244</v>
      </c>
      <c r="BY856" s="2" t="s">
        <v>245</v>
      </c>
      <c r="BZ856" s="2" t="s">
        <v>232</v>
      </c>
      <c r="CA856" s="2" t="s">
        <v>3489</v>
      </c>
      <c r="CB856" s="2" t="s">
        <v>3503</v>
      </c>
      <c r="CC856" s="2" t="s">
        <v>248</v>
      </c>
      <c r="CD856" s="2" t="s">
        <v>248</v>
      </c>
      <c r="CE856" s="2" t="s">
        <v>235</v>
      </c>
      <c r="CF856" s="4">
        <v>158</v>
      </c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>
        <v>121</v>
      </c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>
        <v>186</v>
      </c>
      <c r="ED856" s="4"/>
      <c r="EE856" s="4"/>
      <c r="EF856" s="4"/>
      <c r="EG856" s="4"/>
      <c r="EH856" s="4"/>
      <c r="EI856" s="4"/>
      <c r="EJ856" s="4">
        <v>85</v>
      </c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>
        <v>159</v>
      </c>
      <c r="GE856" s="4">
        <v>111</v>
      </c>
      <c r="GF856" s="4">
        <v>221</v>
      </c>
      <c r="GG856" s="4">
        <v>206</v>
      </c>
      <c r="GH856" s="4">
        <v>188</v>
      </c>
      <c r="GI856" s="4">
        <v>159</v>
      </c>
      <c r="GJ856" s="4">
        <v>109</v>
      </c>
      <c r="GK856" s="4">
        <v>268</v>
      </c>
      <c r="GL856" s="4">
        <v>241</v>
      </c>
      <c r="GM856" s="4">
        <v>306</v>
      </c>
      <c r="GN856" s="4">
        <v>286</v>
      </c>
      <c r="GO856" s="4">
        <v>261</v>
      </c>
      <c r="GP856" s="4">
        <v>231</v>
      </c>
      <c r="GQ856" s="4">
        <v>182</v>
      </c>
      <c r="GR856" s="4">
        <v>158</v>
      </c>
      <c r="GS856" s="4">
        <v>133</v>
      </c>
      <c r="GT856" s="4">
        <v>115</v>
      </c>
      <c r="GU856" s="4">
        <v>101</v>
      </c>
      <c r="GV856" s="4">
        <v>85</v>
      </c>
      <c r="GW856" s="4">
        <v>73</v>
      </c>
      <c r="GX856" s="4">
        <v>238</v>
      </c>
      <c r="GY856" s="4">
        <v>230</v>
      </c>
      <c r="GZ856" s="4">
        <v>221</v>
      </c>
      <c r="HA856" s="4">
        <v>212</v>
      </c>
      <c r="HB856" s="4">
        <v>203</v>
      </c>
      <c r="HC856" s="4">
        <v>194</v>
      </c>
      <c r="HD856" s="19">
        <v>6.9</v>
      </c>
      <c r="HE856" s="19">
        <v>6.2</v>
      </c>
      <c r="HF856" s="19">
        <v>7.9</v>
      </c>
      <c r="HG856" s="19">
        <v>6.6</v>
      </c>
      <c r="HH856" s="19">
        <v>5.7</v>
      </c>
      <c r="HI856" s="19">
        <v>5.1</v>
      </c>
      <c r="HJ856" s="19">
        <v>4.5</v>
      </c>
      <c r="HK856" s="19">
        <v>11.7</v>
      </c>
      <c r="HL856" s="19">
        <v>10</v>
      </c>
      <c r="HM856" s="19">
        <v>9.9</v>
      </c>
      <c r="HN856" s="19">
        <v>8.9</v>
      </c>
      <c r="HO856" s="19">
        <v>8.2</v>
      </c>
      <c r="HP856" s="19">
        <v>8</v>
      </c>
      <c r="HQ856" s="19">
        <v>9.1</v>
      </c>
      <c r="HR856" s="19">
        <v>8.8</v>
      </c>
      <c r="HS856" s="19">
        <v>8.9</v>
      </c>
      <c r="HT856" s="19">
        <v>8.8</v>
      </c>
      <c r="HU856" s="19">
        <v>8.4</v>
      </c>
      <c r="HV856" s="19">
        <v>8.5</v>
      </c>
      <c r="HW856" s="19">
        <v>8.1</v>
      </c>
      <c r="HX856" s="19">
        <v>26.4</v>
      </c>
      <c r="HY856" s="19">
        <v>25.6</v>
      </c>
      <c r="HZ856" s="19">
        <v>24.6</v>
      </c>
      <c r="IA856" s="19">
        <v>26.5</v>
      </c>
      <c r="IB856" s="19">
        <v>25.4</v>
      </c>
      <c r="IC856" s="19">
        <v>24.3</v>
      </c>
    </row>
    <row r="857">
      <c r="A857" s="2" t="s">
        <v>3504</v>
      </c>
      <c r="B857" s="2" t="s">
        <v>323</v>
      </c>
      <c r="C857" s="2" t="s">
        <v>853</v>
      </c>
      <c r="D857" s="2" t="s">
        <v>257</v>
      </c>
      <c r="E857" s="2" t="s">
        <v>258</v>
      </c>
      <c r="F857" s="2" t="s">
        <v>3483</v>
      </c>
      <c r="G857" s="2" t="s">
        <v>3483</v>
      </c>
      <c r="H857" s="2" t="s">
        <v>3483</v>
      </c>
      <c r="I857" s="2" t="s">
        <v>3484</v>
      </c>
      <c r="J857" s="2" t="s">
        <v>261</v>
      </c>
      <c r="K857" s="2" t="s">
        <v>3505</v>
      </c>
      <c r="L857" s="3">
        <v>21.27</v>
      </c>
      <c r="M857" s="3">
        <v>22.33</v>
      </c>
      <c r="N857" s="3">
        <v>47.99</v>
      </c>
      <c r="O857" s="2" t="s">
        <v>232</v>
      </c>
      <c r="P857" s="2" t="s">
        <v>233</v>
      </c>
      <c r="Q857" s="2" t="s">
        <v>234</v>
      </c>
      <c r="R857" s="2" t="s">
        <v>235</v>
      </c>
      <c r="S857" s="2" t="s">
        <v>3506</v>
      </c>
      <c r="T857" s="2" t="s">
        <v>2908</v>
      </c>
      <c r="U857" s="2" t="s">
        <v>264</v>
      </c>
      <c r="V857" s="2" t="s">
        <v>2919</v>
      </c>
      <c r="W857" s="2" t="s">
        <v>239</v>
      </c>
      <c r="X857" s="2" t="s">
        <v>1157</v>
      </c>
      <c r="Y857" s="2" t="s">
        <v>3487</v>
      </c>
      <c r="Z857" s="4">
        <v>18</v>
      </c>
      <c r="AA857" s="4">
        <f>=ROUNDDOWN(1.125,0)</f>
      </c>
      <c r="AB857" s="5">
        <v>16</v>
      </c>
      <c r="AC857" s="2" t="s">
        <v>883</v>
      </c>
      <c r="AD857" s="4">
        <v>205</v>
      </c>
      <c r="AE857" s="4">
        <v>428</v>
      </c>
      <c r="AF857" s="6">
        <v>73</v>
      </c>
      <c r="AG857" s="6"/>
      <c r="AH857" s="7">
        <v>1</v>
      </c>
      <c r="AI857" s="4"/>
      <c r="AJ857" s="4">
        <f>=ROUNDDOWN({0},0)</f>
      </c>
      <c r="AK857" s="5"/>
      <c r="AL857" s="2" t="s">
        <v>235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235</v>
      </c>
      <c r="BD857" s="8" t="s">
        <v>235</v>
      </c>
      <c r="BE857" s="4" t="s">
        <v>235</v>
      </c>
      <c r="BF857" s="8" t="s">
        <v>235</v>
      </c>
      <c r="BG857" s="7" t="s">
        <v>235</v>
      </c>
      <c r="BH857" s="7" t="s">
        <v>235</v>
      </c>
      <c r="BI857" s="7"/>
      <c r="BJ857" s="4">
        <v>25</v>
      </c>
      <c r="BK857" s="8">
        <v>623.67</v>
      </c>
      <c r="BL857" s="2" t="s">
        <v>3507</v>
      </c>
      <c r="BM857" s="7"/>
      <c r="BN857" s="7"/>
      <c r="BO857" s="4"/>
      <c r="BP857" s="8"/>
      <c r="BQ857" s="4"/>
      <c r="BR857" s="8"/>
      <c r="BS857" s="7"/>
      <c r="BT857" s="7"/>
      <c r="BU857" s="2" t="s">
        <v>3488</v>
      </c>
      <c r="BV857" s="2" t="s">
        <v>243</v>
      </c>
      <c r="BW857" s="2" t="s">
        <v>235</v>
      </c>
      <c r="BX857" s="2" t="s">
        <v>244</v>
      </c>
      <c r="BY857" s="2" t="s">
        <v>245</v>
      </c>
      <c r="BZ857" s="2" t="s">
        <v>232</v>
      </c>
      <c r="CA857" s="2" t="s">
        <v>3489</v>
      </c>
      <c r="CB857" s="2" t="s">
        <v>3110</v>
      </c>
      <c r="CC857" s="2" t="s">
        <v>248</v>
      </c>
      <c r="CD857" s="2" t="s">
        <v>248</v>
      </c>
      <c r="CE857" s="2" t="s">
        <v>235</v>
      </c>
      <c r="CF857" s="4">
        <v>18</v>
      </c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>
        <v>205</v>
      </c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>
        <v>74</v>
      </c>
      <c r="EK857" s="4"/>
      <c r="EL857" s="4"/>
      <c r="EM857" s="4"/>
      <c r="EN857" s="4"/>
      <c r="EO857" s="4"/>
      <c r="EP857" s="4">
        <v>149</v>
      </c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>
        <v>43</v>
      </c>
      <c r="GE857" s="4">
        <v>219</v>
      </c>
      <c r="GF857" s="4">
        <v>214</v>
      </c>
      <c r="GG857" s="4">
        <v>208</v>
      </c>
      <c r="GH857" s="4">
        <v>189</v>
      </c>
      <c r="GI857" s="4">
        <v>158</v>
      </c>
      <c r="GJ857" s="4">
        <v>106</v>
      </c>
      <c r="GK857" s="4">
        <v>77</v>
      </c>
      <c r="GL857" s="4">
        <v>48</v>
      </c>
      <c r="GM857" s="4">
        <v>100</v>
      </c>
      <c r="GN857" s="4">
        <v>226</v>
      </c>
      <c r="GO857" s="4">
        <v>197</v>
      </c>
      <c r="GP857" s="4">
        <v>161</v>
      </c>
      <c r="GQ857" s="4">
        <v>99</v>
      </c>
      <c r="GR857" s="4">
        <v>69</v>
      </c>
      <c r="GS857" s="4">
        <v>39</v>
      </c>
      <c r="GT857" s="4">
        <v>18</v>
      </c>
      <c r="GU857" s="4">
        <v>1</v>
      </c>
      <c r="GV857" s="4"/>
      <c r="GW857" s="4"/>
      <c r="GX857" s="4">
        <v>240</v>
      </c>
      <c r="GY857" s="4">
        <v>218</v>
      </c>
      <c r="GZ857" s="4">
        <v>208</v>
      </c>
      <c r="HA857" s="4">
        <v>198</v>
      </c>
      <c r="HB857" s="4">
        <v>188</v>
      </c>
      <c r="HC857" s="4">
        <v>178</v>
      </c>
      <c r="HD857" s="19">
        <v>2.9</v>
      </c>
      <c r="HE857" s="19">
        <v>14.6</v>
      </c>
      <c r="HF857" s="19">
        <v>7.9</v>
      </c>
      <c r="HG857" s="19">
        <v>6.3</v>
      </c>
      <c r="HH857" s="19">
        <v>5.4</v>
      </c>
      <c r="HI857" s="19">
        <v>4.8</v>
      </c>
      <c r="HJ857" s="19">
        <v>4.1</v>
      </c>
      <c r="HK857" s="19">
        <v>3</v>
      </c>
      <c r="HL857" s="19">
        <v>1.7</v>
      </c>
      <c r="HM857" s="19">
        <v>2.6</v>
      </c>
      <c r="HN857" s="19">
        <v>5.8</v>
      </c>
      <c r="HO857" s="19">
        <v>4.9</v>
      </c>
      <c r="HP857" s="19">
        <v>4.5</v>
      </c>
      <c r="HQ857" s="19">
        <v>4.1</v>
      </c>
      <c r="HR857" s="19">
        <v>3.5</v>
      </c>
      <c r="HS857" s="19">
        <v>2.4</v>
      </c>
      <c r="HT857" s="19">
        <v>1.5</v>
      </c>
      <c r="HU857" s="19">
        <v>0.1</v>
      </c>
      <c r="HV857" s="20">
        <v>0</v>
      </c>
      <c r="HW857" s="20">
        <v>0</v>
      </c>
      <c r="HX857" s="19">
        <v>18.5</v>
      </c>
      <c r="HY857" s="19">
        <v>21.8</v>
      </c>
      <c r="HZ857" s="19">
        <v>20.8</v>
      </c>
      <c r="IA857" s="19">
        <v>19.8</v>
      </c>
      <c r="IB857" s="19">
        <v>20.9</v>
      </c>
      <c r="IC857" s="19">
        <v>22.3</v>
      </c>
    </row>
    <row r="858">
      <c r="A858" s="2" t="s">
        <v>3508</v>
      </c>
      <c r="B858" s="2" t="s">
        <v>323</v>
      </c>
      <c r="C858" s="2" t="s">
        <v>853</v>
      </c>
      <c r="D858" s="2" t="s">
        <v>257</v>
      </c>
      <c r="E858" s="2" t="s">
        <v>258</v>
      </c>
      <c r="F858" s="2" t="s">
        <v>3483</v>
      </c>
      <c r="G858" s="2" t="s">
        <v>3483</v>
      </c>
      <c r="H858" s="2" t="s">
        <v>3483</v>
      </c>
      <c r="I858" s="2" t="s">
        <v>3509</v>
      </c>
      <c r="J858" s="2" t="s">
        <v>394</v>
      </c>
      <c r="K858" s="2" t="s">
        <v>3510</v>
      </c>
      <c r="L858" s="3">
        <v>14.89</v>
      </c>
      <c r="M858" s="3">
        <v>15.63</v>
      </c>
      <c r="N858" s="3">
        <v>31.99</v>
      </c>
      <c r="O858" s="2" t="s">
        <v>232</v>
      </c>
      <c r="P858" s="2" t="s">
        <v>878</v>
      </c>
      <c r="Q858" s="2" t="s">
        <v>234</v>
      </c>
      <c r="R858" s="2" t="s">
        <v>235</v>
      </c>
      <c r="S858" s="2" t="s">
        <v>235</v>
      </c>
      <c r="T858" s="2" t="s">
        <v>2908</v>
      </c>
      <c r="U858" s="2" t="s">
        <v>552</v>
      </c>
      <c r="V858" s="2" t="s">
        <v>2182</v>
      </c>
      <c r="W858" s="2" t="s">
        <v>329</v>
      </c>
      <c r="X858" s="2" t="s">
        <v>235</v>
      </c>
      <c r="Y858" s="2" t="s">
        <v>1459</v>
      </c>
      <c r="Z858" s="4">
        <v>267</v>
      </c>
      <c r="AA858" s="4">
        <f>=ROUNDDOWN({0},0)</f>
      </c>
      <c r="AB858" s="5"/>
      <c r="AC858" s="2" t="s">
        <v>2503</v>
      </c>
      <c r="AD858" s="4">
        <v>199</v>
      </c>
      <c r="AE858" s="4">
        <v>644</v>
      </c>
      <c r="AF858" s="6">
        <v>77</v>
      </c>
      <c r="AG858" s="6"/>
      <c r="AH858" s="7">
        <v>1</v>
      </c>
      <c r="AI858" s="4"/>
      <c r="AJ858" s="4">
        <f>=ROUNDDOWN({0},0)</f>
      </c>
      <c r="AK858" s="5"/>
      <c r="AL858" s="2" t="s">
        <v>235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235</v>
      </c>
      <c r="AW858" s="8" t="s">
        <v>235</v>
      </c>
      <c r="AX858" s="4" t="s">
        <v>235</v>
      </c>
      <c r="AY858" s="8" t="s">
        <v>235</v>
      </c>
      <c r="AZ858" s="7" t="s">
        <v>235</v>
      </c>
      <c r="BA858" s="7" t="s">
        <v>235</v>
      </c>
      <c r="BB858" s="7"/>
      <c r="BC858" s="4" t="s">
        <v>235</v>
      </c>
      <c r="BD858" s="8" t="s">
        <v>235</v>
      </c>
      <c r="BE858" s="4" t="s">
        <v>235</v>
      </c>
      <c r="BF858" s="8" t="s">
        <v>235</v>
      </c>
      <c r="BG858" s="7" t="s">
        <v>235</v>
      </c>
      <c r="BH858" s="7" t="s">
        <v>235</v>
      </c>
      <c r="BI858" s="7"/>
      <c r="BJ858" s="4"/>
      <c r="BK858" s="8"/>
      <c r="BL858" s="2" t="s">
        <v>235</v>
      </c>
      <c r="BM858" s="7"/>
      <c r="BN858" s="7"/>
      <c r="BO858" s="4"/>
      <c r="BP858" s="8"/>
      <c r="BQ858" s="4"/>
      <c r="BR858" s="8"/>
      <c r="BS858" s="7"/>
      <c r="BT858" s="7"/>
      <c r="BU858" s="2" t="s">
        <v>3511</v>
      </c>
      <c r="BV858" s="2" t="s">
        <v>235</v>
      </c>
      <c r="BW858" s="2" t="s">
        <v>235</v>
      </c>
      <c r="BX858" s="2" t="s">
        <v>244</v>
      </c>
      <c r="BY858" s="2" t="s">
        <v>245</v>
      </c>
      <c r="BZ858" s="2" t="s">
        <v>232</v>
      </c>
      <c r="CA858" s="2" t="s">
        <v>235</v>
      </c>
      <c r="CB858" s="2" t="s">
        <v>235</v>
      </c>
      <c r="CC858" s="2" t="s">
        <v>248</v>
      </c>
      <c r="CD858" s="2" t="s">
        <v>248</v>
      </c>
      <c r="CE858" s="2" t="s">
        <v>235</v>
      </c>
      <c r="CF858" s="4">
        <v>267</v>
      </c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>
        <v>199</v>
      </c>
      <c r="DH858" s="4"/>
      <c r="DI858" s="4"/>
      <c r="DJ858" s="4"/>
      <c r="DK858" s="4"/>
      <c r="DL858" s="4"/>
      <c r="DM858" s="4">
        <v>79</v>
      </c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>
        <v>188</v>
      </c>
      <c r="ED858" s="4"/>
      <c r="EE858" s="4"/>
      <c r="EF858" s="4"/>
      <c r="EG858" s="4"/>
      <c r="EH858" s="4"/>
      <c r="EI858" s="4"/>
      <c r="EJ858" s="4">
        <v>178</v>
      </c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>
        <v>267</v>
      </c>
      <c r="GE858" s="4">
        <v>216</v>
      </c>
      <c r="GF858" s="4">
        <v>404</v>
      </c>
      <c r="GG858" s="4">
        <v>387</v>
      </c>
      <c r="GH858" s="4">
        <v>444</v>
      </c>
      <c r="GI858" s="4">
        <v>410</v>
      </c>
      <c r="GJ858" s="4">
        <v>339</v>
      </c>
      <c r="GK858" s="4">
        <v>489</v>
      </c>
      <c r="GL858" s="4">
        <v>452</v>
      </c>
      <c r="GM858" s="4">
        <v>603</v>
      </c>
      <c r="GN858" s="4">
        <v>569</v>
      </c>
      <c r="GO858" s="4">
        <v>528</v>
      </c>
      <c r="GP858" s="4">
        <v>477</v>
      </c>
      <c r="GQ858" s="4">
        <v>388</v>
      </c>
      <c r="GR858" s="4">
        <v>344</v>
      </c>
      <c r="GS858" s="4">
        <v>301</v>
      </c>
      <c r="GT858" s="4">
        <v>271</v>
      </c>
      <c r="GU858" s="4">
        <v>247</v>
      </c>
      <c r="GV858" s="4">
        <v>220</v>
      </c>
      <c r="GW858" s="4">
        <v>201</v>
      </c>
      <c r="GX858" s="4">
        <v>186</v>
      </c>
      <c r="GY858" s="4">
        <v>173</v>
      </c>
      <c r="GZ858" s="4">
        <v>159</v>
      </c>
      <c r="HA858" s="4">
        <v>145</v>
      </c>
      <c r="HB858" s="4">
        <v>131</v>
      </c>
      <c r="HC858" s="4">
        <v>117</v>
      </c>
      <c r="HD858" s="19">
        <v>10.7</v>
      </c>
      <c r="HE858" s="19">
        <v>10.3</v>
      </c>
      <c r="HF858" s="19">
        <v>11.2</v>
      </c>
      <c r="HG858" s="19">
        <v>9.4</v>
      </c>
      <c r="HH858" s="19">
        <v>9.9</v>
      </c>
      <c r="HI858" s="19">
        <v>9.5</v>
      </c>
      <c r="HJ858" s="19">
        <v>10</v>
      </c>
      <c r="HK858" s="19">
        <v>14</v>
      </c>
      <c r="HL858" s="19">
        <v>11.9</v>
      </c>
      <c r="HM858" s="19">
        <v>11.2</v>
      </c>
      <c r="HN858" s="19">
        <v>10.2</v>
      </c>
      <c r="HO858" s="19">
        <v>9.3</v>
      </c>
      <c r="HP858" s="19">
        <v>9.2</v>
      </c>
      <c r="HQ858" s="19">
        <v>11.1</v>
      </c>
      <c r="HR858" s="19">
        <v>11.1</v>
      </c>
      <c r="HS858" s="19">
        <v>12</v>
      </c>
      <c r="HT858" s="19">
        <v>12.9</v>
      </c>
      <c r="HU858" s="19">
        <v>13.7</v>
      </c>
      <c r="HV858" s="19">
        <v>14.7</v>
      </c>
      <c r="HW858" s="19">
        <v>14.4</v>
      </c>
      <c r="HX858" s="19">
        <v>13.3</v>
      </c>
      <c r="HY858" s="19">
        <v>12.4</v>
      </c>
      <c r="HZ858" s="19">
        <v>11.4</v>
      </c>
      <c r="IA858" s="19">
        <v>11.2</v>
      </c>
      <c r="IB858" s="19">
        <v>10.9</v>
      </c>
      <c r="IC858" s="19">
        <v>9.8</v>
      </c>
    </row>
    <row r="859">
      <c r="A859" s="2" t="s">
        <v>3512</v>
      </c>
      <c r="B859" s="2" t="s">
        <v>323</v>
      </c>
      <c r="C859" s="2" t="s">
        <v>853</v>
      </c>
      <c r="D859" s="2" t="s">
        <v>257</v>
      </c>
      <c r="E859" s="2" t="s">
        <v>258</v>
      </c>
      <c r="F859" s="2" t="s">
        <v>3483</v>
      </c>
      <c r="G859" s="2" t="s">
        <v>3483</v>
      </c>
      <c r="H859" s="2" t="s">
        <v>3483</v>
      </c>
      <c r="I859" s="2" t="s">
        <v>3509</v>
      </c>
      <c r="J859" s="2" t="s">
        <v>230</v>
      </c>
      <c r="K859" s="2" t="s">
        <v>3510</v>
      </c>
      <c r="L859" s="3">
        <v>15.22</v>
      </c>
      <c r="M859" s="3">
        <v>15.98</v>
      </c>
      <c r="N859" s="3">
        <v>31.99</v>
      </c>
      <c r="O859" s="2" t="s">
        <v>232</v>
      </c>
      <c r="P859" s="2" t="s">
        <v>878</v>
      </c>
      <c r="Q859" s="2" t="s">
        <v>234</v>
      </c>
      <c r="R859" s="2" t="s">
        <v>235</v>
      </c>
      <c r="S859" s="2" t="s">
        <v>235</v>
      </c>
      <c r="T859" s="2" t="s">
        <v>2908</v>
      </c>
      <c r="U859" s="2" t="s">
        <v>552</v>
      </c>
      <c r="V859" s="2" t="s">
        <v>2182</v>
      </c>
      <c r="W859" s="2" t="s">
        <v>329</v>
      </c>
      <c r="X859" s="2" t="s">
        <v>235</v>
      </c>
      <c r="Y859" s="2" t="s">
        <v>1459</v>
      </c>
      <c r="Z859" s="4">
        <v>123</v>
      </c>
      <c r="AA859" s="4">
        <f>=ROUNDDOWN({0},0)</f>
      </c>
      <c r="AB859" s="5"/>
      <c r="AC859" s="2" t="s">
        <v>2503</v>
      </c>
      <c r="AD859" s="4">
        <v>124</v>
      </c>
      <c r="AE859" s="4">
        <v>288</v>
      </c>
      <c r="AF859" s="6">
        <v>77</v>
      </c>
      <c r="AG859" s="6"/>
      <c r="AH859" s="7">
        <v>1</v>
      </c>
      <c r="AI859" s="4"/>
      <c r="AJ859" s="4">
        <f>=ROUNDDOWN({0},0)</f>
      </c>
      <c r="AK859" s="5"/>
      <c r="AL859" s="2" t="s">
        <v>235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235</v>
      </c>
      <c r="AW859" s="8" t="s">
        <v>235</v>
      </c>
      <c r="AX859" s="4" t="s">
        <v>235</v>
      </c>
      <c r="AY859" s="8" t="s">
        <v>235</v>
      </c>
      <c r="AZ859" s="7" t="s">
        <v>235</v>
      </c>
      <c r="BA859" s="7" t="s">
        <v>235</v>
      </c>
      <c r="BB859" s="7"/>
      <c r="BC859" s="4" t="s">
        <v>235</v>
      </c>
      <c r="BD859" s="8" t="s">
        <v>235</v>
      </c>
      <c r="BE859" s="4" t="s">
        <v>235</v>
      </c>
      <c r="BF859" s="8" t="s">
        <v>235</v>
      </c>
      <c r="BG859" s="7" t="s">
        <v>235</v>
      </c>
      <c r="BH859" s="7" t="s">
        <v>235</v>
      </c>
      <c r="BI859" s="7"/>
      <c r="BJ859" s="4"/>
      <c r="BK859" s="8"/>
      <c r="BL859" s="2" t="s">
        <v>235</v>
      </c>
      <c r="BM859" s="7"/>
      <c r="BN859" s="7"/>
      <c r="BO859" s="4"/>
      <c r="BP859" s="8"/>
      <c r="BQ859" s="4"/>
      <c r="BR859" s="8"/>
      <c r="BS859" s="7"/>
      <c r="BT859" s="7"/>
      <c r="BU859" s="2" t="s">
        <v>3513</v>
      </c>
      <c r="BV859" s="2" t="s">
        <v>235</v>
      </c>
      <c r="BW859" s="2" t="s">
        <v>235</v>
      </c>
      <c r="BX859" s="2" t="s">
        <v>244</v>
      </c>
      <c r="BY859" s="2" t="s">
        <v>245</v>
      </c>
      <c r="BZ859" s="2" t="s">
        <v>232</v>
      </c>
      <c r="CA859" s="2" t="s">
        <v>235</v>
      </c>
      <c r="CB859" s="2" t="s">
        <v>235</v>
      </c>
      <c r="CC859" s="2" t="s">
        <v>248</v>
      </c>
      <c r="CD859" s="2" t="s">
        <v>248</v>
      </c>
      <c r="CE859" s="2" t="s">
        <v>235</v>
      </c>
      <c r="CF859" s="4">
        <v>123</v>
      </c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>
        <v>124</v>
      </c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>
        <v>82</v>
      </c>
      <c r="ED859" s="4"/>
      <c r="EE859" s="4"/>
      <c r="EF859" s="4"/>
      <c r="EG859" s="4"/>
      <c r="EH859" s="4"/>
      <c r="EI859" s="4"/>
      <c r="EJ859" s="4">
        <v>82</v>
      </c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>
        <v>123</v>
      </c>
      <c r="GE859" s="4">
        <v>103</v>
      </c>
      <c r="GF859" s="4">
        <v>222</v>
      </c>
      <c r="GG859" s="4">
        <v>215</v>
      </c>
      <c r="GH859" s="4">
        <v>206</v>
      </c>
      <c r="GI859" s="4">
        <v>192</v>
      </c>
      <c r="GJ859" s="4">
        <v>163</v>
      </c>
      <c r="GK859" s="4">
        <v>229</v>
      </c>
      <c r="GL859" s="4">
        <v>214</v>
      </c>
      <c r="GM859" s="4">
        <v>285</v>
      </c>
      <c r="GN859" s="4">
        <v>270</v>
      </c>
      <c r="GO859" s="4">
        <v>252</v>
      </c>
      <c r="GP859" s="4">
        <v>229</v>
      </c>
      <c r="GQ859" s="4">
        <v>189</v>
      </c>
      <c r="GR859" s="4">
        <v>170</v>
      </c>
      <c r="GS859" s="4">
        <v>150</v>
      </c>
      <c r="GT859" s="4">
        <v>136</v>
      </c>
      <c r="GU859" s="4">
        <v>125</v>
      </c>
      <c r="GV859" s="4">
        <v>113</v>
      </c>
      <c r="GW859" s="4">
        <v>104</v>
      </c>
      <c r="GX859" s="4">
        <v>97</v>
      </c>
      <c r="GY859" s="4">
        <v>91</v>
      </c>
      <c r="GZ859" s="4">
        <v>85</v>
      </c>
      <c r="HA859" s="4">
        <v>79</v>
      </c>
      <c r="HB859" s="4">
        <v>73</v>
      </c>
      <c r="HC859" s="4">
        <v>67</v>
      </c>
      <c r="HD859" s="19">
        <v>12.3</v>
      </c>
      <c r="HE859" s="19">
        <v>11.4</v>
      </c>
      <c r="HF859" s="19">
        <v>14.8</v>
      </c>
      <c r="HG859" s="19">
        <v>12.6</v>
      </c>
      <c r="HH859" s="19">
        <v>11.4</v>
      </c>
      <c r="HI859" s="19">
        <v>10.7</v>
      </c>
      <c r="HJ859" s="19">
        <v>11.6</v>
      </c>
      <c r="HK859" s="19">
        <v>15.3</v>
      </c>
      <c r="HL859" s="19">
        <v>12.6</v>
      </c>
      <c r="HM859" s="19">
        <v>11.9</v>
      </c>
      <c r="HN859" s="19">
        <v>10.8</v>
      </c>
      <c r="HO859" s="19">
        <v>9.7</v>
      </c>
      <c r="HP859" s="19">
        <v>10</v>
      </c>
      <c r="HQ859" s="19">
        <v>11.8</v>
      </c>
      <c r="HR859" s="19">
        <v>12.1</v>
      </c>
      <c r="HS859" s="19">
        <v>12.5</v>
      </c>
      <c r="HT859" s="19">
        <v>13.6</v>
      </c>
      <c r="HU859" s="19">
        <v>15.6</v>
      </c>
      <c r="HV859" s="19">
        <v>16.1</v>
      </c>
      <c r="HW859" s="19">
        <v>17.3</v>
      </c>
      <c r="HX859" s="19">
        <v>16.2</v>
      </c>
      <c r="HY859" s="19">
        <v>15.2</v>
      </c>
      <c r="HZ859" s="19">
        <v>14.2</v>
      </c>
      <c r="IA859" s="19">
        <v>13.2</v>
      </c>
      <c r="IB859" s="19">
        <v>14.6</v>
      </c>
      <c r="IC859" s="19">
        <v>13.4</v>
      </c>
    </row>
    <row r="860">
      <c r="A860" s="2" t="s">
        <v>3514</v>
      </c>
      <c r="B860" s="2" t="s">
        <v>323</v>
      </c>
      <c r="C860" s="2" t="s">
        <v>853</v>
      </c>
      <c r="D860" s="2" t="s">
        <v>257</v>
      </c>
      <c r="E860" s="2" t="s">
        <v>258</v>
      </c>
      <c r="F860" s="2" t="s">
        <v>3483</v>
      </c>
      <c r="G860" s="2" t="s">
        <v>3483</v>
      </c>
      <c r="H860" s="2" t="s">
        <v>3483</v>
      </c>
      <c r="I860" s="2" t="s">
        <v>3509</v>
      </c>
      <c r="J860" s="2" t="s">
        <v>250</v>
      </c>
      <c r="K860" s="2" t="s">
        <v>3510</v>
      </c>
      <c r="L860" s="3">
        <v>19.13</v>
      </c>
      <c r="M860" s="3">
        <v>20.09</v>
      </c>
      <c r="N860" s="3">
        <v>42.99</v>
      </c>
      <c r="O860" s="2" t="s">
        <v>232</v>
      </c>
      <c r="P860" s="2" t="s">
        <v>878</v>
      </c>
      <c r="Q860" s="2" t="s">
        <v>234</v>
      </c>
      <c r="R860" s="2" t="s">
        <v>235</v>
      </c>
      <c r="S860" s="2" t="s">
        <v>235</v>
      </c>
      <c r="T860" s="2" t="s">
        <v>2908</v>
      </c>
      <c r="U860" s="2" t="s">
        <v>264</v>
      </c>
      <c r="V860" s="2" t="s">
        <v>2182</v>
      </c>
      <c r="W860" s="2" t="s">
        <v>329</v>
      </c>
      <c r="X860" s="2" t="s">
        <v>235</v>
      </c>
      <c r="Y860" s="2" t="s">
        <v>1459</v>
      </c>
      <c r="Z860" s="4">
        <v>155</v>
      </c>
      <c r="AA860" s="4">
        <f>=ROUNDDOWN({0},0)</f>
      </c>
      <c r="AB860" s="5"/>
      <c r="AC860" s="2" t="s">
        <v>3103</v>
      </c>
      <c r="AD860" s="4">
        <v>166</v>
      </c>
      <c r="AE860" s="4">
        <v>384</v>
      </c>
      <c r="AF860" s="6">
        <v>77</v>
      </c>
      <c r="AG860" s="6"/>
      <c r="AH860" s="7">
        <v>1</v>
      </c>
      <c r="AI860" s="4"/>
      <c r="AJ860" s="4">
        <f>=ROUNDDOWN({0},0)</f>
      </c>
      <c r="AK860" s="5"/>
      <c r="AL860" s="2" t="s">
        <v>235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235</v>
      </c>
      <c r="AW860" s="8" t="s">
        <v>235</v>
      </c>
      <c r="AX860" s="4" t="s">
        <v>235</v>
      </c>
      <c r="AY860" s="8" t="s">
        <v>235</v>
      </c>
      <c r="AZ860" s="7" t="s">
        <v>235</v>
      </c>
      <c r="BA860" s="7" t="s">
        <v>235</v>
      </c>
      <c r="BB860" s="7"/>
      <c r="BC860" s="4" t="s">
        <v>235</v>
      </c>
      <c r="BD860" s="8" t="s">
        <v>235</v>
      </c>
      <c r="BE860" s="4" t="s">
        <v>235</v>
      </c>
      <c r="BF860" s="8" t="s">
        <v>235</v>
      </c>
      <c r="BG860" s="7" t="s">
        <v>235</v>
      </c>
      <c r="BH860" s="7" t="s">
        <v>235</v>
      </c>
      <c r="BI860" s="7"/>
      <c r="BJ860" s="4"/>
      <c r="BK860" s="8"/>
      <c r="BL860" s="2" t="s">
        <v>235</v>
      </c>
      <c r="BM860" s="7"/>
      <c r="BN860" s="7"/>
      <c r="BO860" s="4"/>
      <c r="BP860" s="8"/>
      <c r="BQ860" s="4"/>
      <c r="BR860" s="8"/>
      <c r="BS860" s="7"/>
      <c r="BT860" s="7"/>
      <c r="BU860" s="2" t="s">
        <v>3515</v>
      </c>
      <c r="BV860" s="2" t="s">
        <v>235</v>
      </c>
      <c r="BW860" s="2" t="s">
        <v>235</v>
      </c>
      <c r="BX860" s="2" t="s">
        <v>244</v>
      </c>
      <c r="BY860" s="2" t="s">
        <v>245</v>
      </c>
      <c r="BZ860" s="2" t="s">
        <v>232</v>
      </c>
      <c r="CA860" s="2" t="s">
        <v>235</v>
      </c>
      <c r="CB860" s="2" t="s">
        <v>235</v>
      </c>
      <c r="CC860" s="2" t="s">
        <v>248</v>
      </c>
      <c r="CD860" s="2" t="s">
        <v>248</v>
      </c>
      <c r="CE860" s="2" t="s">
        <v>235</v>
      </c>
      <c r="CF860" s="4">
        <v>155</v>
      </c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>
        <v>166</v>
      </c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>
        <v>114</v>
      </c>
      <c r="ED860" s="4"/>
      <c r="EE860" s="4"/>
      <c r="EF860" s="4"/>
      <c r="EG860" s="4"/>
      <c r="EH860" s="4"/>
      <c r="EI860" s="4"/>
      <c r="EJ860" s="4">
        <v>104</v>
      </c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>
        <v>155</v>
      </c>
      <c r="GE860" s="4">
        <v>124</v>
      </c>
      <c r="GF860" s="4">
        <v>117</v>
      </c>
      <c r="GG860" s="4">
        <v>106</v>
      </c>
      <c r="GH860" s="4">
        <v>259</v>
      </c>
      <c r="GI860" s="4">
        <v>238</v>
      </c>
      <c r="GJ860" s="4">
        <v>195</v>
      </c>
      <c r="GK860" s="4">
        <v>286</v>
      </c>
      <c r="GL860" s="4">
        <v>263</v>
      </c>
      <c r="GM860" s="4">
        <v>350</v>
      </c>
      <c r="GN860" s="4">
        <v>329</v>
      </c>
      <c r="GO860" s="4">
        <v>304</v>
      </c>
      <c r="GP860" s="4">
        <v>272</v>
      </c>
      <c r="GQ860" s="4">
        <v>217</v>
      </c>
      <c r="GR860" s="4">
        <v>190</v>
      </c>
      <c r="GS860" s="4">
        <v>164</v>
      </c>
      <c r="GT860" s="4">
        <v>146</v>
      </c>
      <c r="GU860" s="4">
        <v>132</v>
      </c>
      <c r="GV860" s="4">
        <v>116</v>
      </c>
      <c r="GW860" s="4">
        <v>104</v>
      </c>
      <c r="GX860" s="4">
        <v>95</v>
      </c>
      <c r="GY860" s="4">
        <v>87</v>
      </c>
      <c r="GZ860" s="4">
        <v>78</v>
      </c>
      <c r="HA860" s="4">
        <v>69</v>
      </c>
      <c r="HB860" s="4">
        <v>60</v>
      </c>
      <c r="HC860" s="4">
        <v>51</v>
      </c>
      <c r="HD860" s="19">
        <v>9.7</v>
      </c>
      <c r="HE860" s="19">
        <v>9.5</v>
      </c>
      <c r="HF860" s="19">
        <v>5.3</v>
      </c>
      <c r="HG860" s="19">
        <v>4.2</v>
      </c>
      <c r="HH860" s="19">
        <v>9.3</v>
      </c>
      <c r="HI860" s="19">
        <v>9.2</v>
      </c>
      <c r="HJ860" s="19">
        <v>9.3</v>
      </c>
      <c r="HK860" s="19">
        <v>13</v>
      </c>
      <c r="HL860" s="19">
        <v>11</v>
      </c>
      <c r="HM860" s="19">
        <v>10.6</v>
      </c>
      <c r="HN860" s="19">
        <v>9.4</v>
      </c>
      <c r="HO860" s="19">
        <v>8.7</v>
      </c>
      <c r="HP860" s="19">
        <v>8.5</v>
      </c>
      <c r="HQ860" s="19">
        <v>10.3</v>
      </c>
      <c r="HR860" s="19">
        <v>10.6</v>
      </c>
      <c r="HS860" s="19">
        <v>10.9</v>
      </c>
      <c r="HT860" s="19">
        <v>11.2</v>
      </c>
      <c r="HU860" s="19">
        <v>12</v>
      </c>
      <c r="HV860" s="19">
        <v>11.6</v>
      </c>
      <c r="HW860" s="19">
        <v>11.6</v>
      </c>
      <c r="HX860" s="19">
        <v>10.6</v>
      </c>
      <c r="HY860" s="19">
        <v>9.7</v>
      </c>
      <c r="HZ860" s="19">
        <v>9.8</v>
      </c>
      <c r="IA860" s="19">
        <v>8.6</v>
      </c>
      <c r="IB860" s="19">
        <v>8.6</v>
      </c>
      <c r="IC860" s="19">
        <v>8.5</v>
      </c>
    </row>
    <row r="861">
      <c r="A861" s="2" t="s">
        <v>3516</v>
      </c>
      <c r="B861" s="2" t="s">
        <v>323</v>
      </c>
      <c r="C861" s="2" t="s">
        <v>853</v>
      </c>
      <c r="D861" s="2" t="s">
        <v>257</v>
      </c>
      <c r="E861" s="2" t="s">
        <v>258</v>
      </c>
      <c r="F861" s="2" t="s">
        <v>3483</v>
      </c>
      <c r="G861" s="2" t="s">
        <v>3483</v>
      </c>
      <c r="H861" s="2" t="s">
        <v>3483</v>
      </c>
      <c r="I861" s="2" t="s">
        <v>3509</v>
      </c>
      <c r="J861" s="2" t="s">
        <v>261</v>
      </c>
      <c r="K861" s="2" t="s">
        <v>3510</v>
      </c>
      <c r="L861" s="3">
        <v>21.27</v>
      </c>
      <c r="M861" s="3">
        <v>22.33</v>
      </c>
      <c r="N861" s="3">
        <v>47.99</v>
      </c>
      <c r="O861" s="2" t="s">
        <v>232</v>
      </c>
      <c r="P861" s="2" t="s">
        <v>878</v>
      </c>
      <c r="Q861" s="2" t="s">
        <v>234</v>
      </c>
      <c r="R861" s="2" t="s">
        <v>235</v>
      </c>
      <c r="S861" s="2" t="s">
        <v>235</v>
      </c>
      <c r="T861" s="2" t="s">
        <v>2908</v>
      </c>
      <c r="U861" s="2" t="s">
        <v>264</v>
      </c>
      <c r="V861" s="2" t="s">
        <v>2182</v>
      </c>
      <c r="W861" s="2" t="s">
        <v>329</v>
      </c>
      <c r="X861" s="2" t="s">
        <v>235</v>
      </c>
      <c r="Y861" s="2" t="s">
        <v>1459</v>
      </c>
      <c r="Z861" s="4">
        <v>156</v>
      </c>
      <c r="AA861" s="4">
        <f>=ROUNDDOWN({0},0)</f>
      </c>
      <c r="AB861" s="5"/>
      <c r="AC861" s="2" t="s">
        <v>3103</v>
      </c>
      <c r="AD861" s="4">
        <v>175</v>
      </c>
      <c r="AE861" s="4">
        <v>405</v>
      </c>
      <c r="AF861" s="6">
        <v>77</v>
      </c>
      <c r="AG861" s="6"/>
      <c r="AH861" s="7">
        <v>1</v>
      </c>
      <c r="AI861" s="4"/>
      <c r="AJ861" s="4">
        <f>=ROUNDDOWN({0},0)</f>
      </c>
      <c r="AK861" s="5"/>
      <c r="AL861" s="2" t="s">
        <v>235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235</v>
      </c>
      <c r="AW861" s="8" t="s">
        <v>235</v>
      </c>
      <c r="AX861" s="4" t="s">
        <v>235</v>
      </c>
      <c r="AY861" s="8" t="s">
        <v>235</v>
      </c>
      <c r="AZ861" s="7" t="s">
        <v>235</v>
      </c>
      <c r="BA861" s="7" t="s">
        <v>235</v>
      </c>
      <c r="BB861" s="7"/>
      <c r="BC861" s="4" t="s">
        <v>235</v>
      </c>
      <c r="BD861" s="8" t="s">
        <v>235</v>
      </c>
      <c r="BE861" s="4" t="s">
        <v>235</v>
      </c>
      <c r="BF861" s="8" t="s">
        <v>235</v>
      </c>
      <c r="BG861" s="7" t="s">
        <v>235</v>
      </c>
      <c r="BH861" s="7" t="s">
        <v>235</v>
      </c>
      <c r="BI861" s="7"/>
      <c r="BJ861" s="4"/>
      <c r="BK861" s="8"/>
      <c r="BL861" s="2" t="s">
        <v>235</v>
      </c>
      <c r="BM861" s="7"/>
      <c r="BN861" s="7"/>
      <c r="BO861" s="4"/>
      <c r="BP861" s="8"/>
      <c r="BQ861" s="4"/>
      <c r="BR861" s="8"/>
      <c r="BS861" s="7"/>
      <c r="BT861" s="7"/>
      <c r="BU861" s="2" t="s">
        <v>3517</v>
      </c>
      <c r="BV861" s="2" t="s">
        <v>235</v>
      </c>
      <c r="BW861" s="2" t="s">
        <v>235</v>
      </c>
      <c r="BX861" s="2" t="s">
        <v>244</v>
      </c>
      <c r="BY861" s="2" t="s">
        <v>245</v>
      </c>
      <c r="BZ861" s="2" t="s">
        <v>232</v>
      </c>
      <c r="CA861" s="2" t="s">
        <v>235</v>
      </c>
      <c r="CB861" s="2" t="s">
        <v>235</v>
      </c>
      <c r="CC861" s="2" t="s">
        <v>248</v>
      </c>
      <c r="CD861" s="2" t="s">
        <v>248</v>
      </c>
      <c r="CE861" s="2" t="s">
        <v>235</v>
      </c>
      <c r="CF861" s="4">
        <v>156</v>
      </c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>
        <v>175</v>
      </c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>
        <v>120</v>
      </c>
      <c r="ED861" s="4"/>
      <c r="EE861" s="4"/>
      <c r="EF861" s="4"/>
      <c r="EG861" s="4"/>
      <c r="EH861" s="4"/>
      <c r="EI861" s="4"/>
      <c r="EJ861" s="4">
        <v>110</v>
      </c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>
        <v>156</v>
      </c>
      <c r="GE861" s="4">
        <v>125</v>
      </c>
      <c r="GF861" s="4">
        <v>118</v>
      </c>
      <c r="GG861" s="4">
        <v>107</v>
      </c>
      <c r="GH861" s="4">
        <v>269</v>
      </c>
      <c r="GI861" s="4">
        <v>248</v>
      </c>
      <c r="GJ861" s="4">
        <v>205</v>
      </c>
      <c r="GK861" s="4">
        <v>302</v>
      </c>
      <c r="GL861" s="4">
        <v>279</v>
      </c>
      <c r="GM861" s="4">
        <v>372</v>
      </c>
      <c r="GN861" s="4">
        <v>351</v>
      </c>
      <c r="GO861" s="4">
        <v>326</v>
      </c>
      <c r="GP861" s="4">
        <v>294</v>
      </c>
      <c r="GQ861" s="4">
        <v>239</v>
      </c>
      <c r="GR861" s="4">
        <v>212</v>
      </c>
      <c r="GS861" s="4">
        <v>186</v>
      </c>
      <c r="GT861" s="4">
        <v>168</v>
      </c>
      <c r="GU861" s="4">
        <v>154</v>
      </c>
      <c r="GV861" s="4">
        <v>138</v>
      </c>
      <c r="GW861" s="4">
        <v>126</v>
      </c>
      <c r="GX861" s="4">
        <v>117</v>
      </c>
      <c r="GY861" s="4">
        <v>109</v>
      </c>
      <c r="GZ861" s="4">
        <v>100</v>
      </c>
      <c r="HA861" s="4">
        <v>91</v>
      </c>
      <c r="HB861" s="4">
        <v>82</v>
      </c>
      <c r="HC861" s="4">
        <v>73</v>
      </c>
      <c r="HD861" s="19">
        <v>9.8</v>
      </c>
      <c r="HE861" s="19">
        <v>9.6</v>
      </c>
      <c r="HF861" s="19">
        <v>5.4</v>
      </c>
      <c r="HG861" s="19">
        <v>4.3</v>
      </c>
      <c r="HH861" s="19">
        <v>9.6</v>
      </c>
      <c r="HI861" s="19">
        <v>9.5</v>
      </c>
      <c r="HJ861" s="19">
        <v>9.8</v>
      </c>
      <c r="HK861" s="19">
        <v>13.7</v>
      </c>
      <c r="HL861" s="19">
        <v>11.6</v>
      </c>
      <c r="HM861" s="19">
        <v>11.3</v>
      </c>
      <c r="HN861" s="19">
        <v>10</v>
      </c>
      <c r="HO861" s="19">
        <v>9.3</v>
      </c>
      <c r="HP861" s="19">
        <v>9.2</v>
      </c>
      <c r="HQ861" s="19">
        <v>11.4</v>
      </c>
      <c r="HR861" s="19">
        <v>11.8</v>
      </c>
      <c r="HS861" s="19">
        <v>12.4</v>
      </c>
      <c r="HT861" s="19">
        <v>12.9</v>
      </c>
      <c r="HU861" s="19">
        <v>14</v>
      </c>
      <c r="HV861" s="19">
        <v>13.8</v>
      </c>
      <c r="HW861" s="19">
        <v>14</v>
      </c>
      <c r="HX861" s="19">
        <v>13</v>
      </c>
      <c r="HY861" s="19">
        <v>12.1</v>
      </c>
      <c r="HZ861" s="19">
        <v>12.5</v>
      </c>
      <c r="IA861" s="19">
        <v>11.4</v>
      </c>
      <c r="IB861" s="19">
        <v>11.7</v>
      </c>
      <c r="IC861" s="19">
        <v>12.2</v>
      </c>
    </row>
    <row r="862">
      <c r="A862" s="2" t="s">
        <v>3518</v>
      </c>
      <c r="B862" s="2" t="s">
        <v>323</v>
      </c>
      <c r="C862" s="2" t="s">
        <v>853</v>
      </c>
      <c r="D862" s="2" t="s">
        <v>257</v>
      </c>
      <c r="E862" s="2" t="s">
        <v>258</v>
      </c>
      <c r="F862" s="2" t="s">
        <v>3483</v>
      </c>
      <c r="G862" s="2" t="s">
        <v>3483</v>
      </c>
      <c r="H862" s="2" t="s">
        <v>3483</v>
      </c>
      <c r="I862" s="2" t="s">
        <v>3509</v>
      </c>
      <c r="J862" s="2" t="s">
        <v>394</v>
      </c>
      <c r="K862" s="2" t="s">
        <v>3519</v>
      </c>
      <c r="L862" s="3">
        <v>14.89</v>
      </c>
      <c r="M862" s="3">
        <v>15.63</v>
      </c>
      <c r="N862" s="3">
        <v>31.99</v>
      </c>
      <c r="O862" s="2" t="s">
        <v>232</v>
      </c>
      <c r="P862" s="2" t="s">
        <v>878</v>
      </c>
      <c r="Q862" s="2" t="s">
        <v>234</v>
      </c>
      <c r="R862" s="2" t="s">
        <v>235</v>
      </c>
      <c r="S862" s="2" t="s">
        <v>235</v>
      </c>
      <c r="T862" s="2" t="s">
        <v>2908</v>
      </c>
      <c r="U862" s="2" t="s">
        <v>552</v>
      </c>
      <c r="V862" s="2" t="s">
        <v>2182</v>
      </c>
      <c r="W862" s="2" t="s">
        <v>329</v>
      </c>
      <c r="X862" s="2" t="s">
        <v>235</v>
      </c>
      <c r="Y862" s="2" t="s">
        <v>1459</v>
      </c>
      <c r="Z862" s="4">
        <v>212</v>
      </c>
      <c r="AA862" s="4">
        <f>=ROUNDDOWN({0},0)</f>
      </c>
      <c r="AB862" s="5"/>
      <c r="AC862" s="2" t="s">
        <v>3103</v>
      </c>
      <c r="AD862" s="4">
        <v>223</v>
      </c>
      <c r="AE862" s="4">
        <v>517</v>
      </c>
      <c r="AF862" s="6">
        <v>77</v>
      </c>
      <c r="AG862" s="6"/>
      <c r="AH862" s="7">
        <v>1</v>
      </c>
      <c r="AI862" s="4"/>
      <c r="AJ862" s="4">
        <f>=ROUNDDOWN({0},0)</f>
      </c>
      <c r="AK862" s="5"/>
      <c r="AL862" s="2" t="s">
        <v>235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235</v>
      </c>
      <c r="AW862" s="8" t="s">
        <v>235</v>
      </c>
      <c r="AX862" s="4" t="s">
        <v>235</v>
      </c>
      <c r="AY862" s="8" t="s">
        <v>235</v>
      </c>
      <c r="AZ862" s="7" t="s">
        <v>235</v>
      </c>
      <c r="BA862" s="7" t="s">
        <v>235</v>
      </c>
      <c r="BB862" s="7"/>
      <c r="BC862" s="4" t="s">
        <v>235</v>
      </c>
      <c r="BD862" s="8" t="s">
        <v>235</v>
      </c>
      <c r="BE862" s="4" t="s">
        <v>235</v>
      </c>
      <c r="BF862" s="8" t="s">
        <v>235</v>
      </c>
      <c r="BG862" s="7" t="s">
        <v>235</v>
      </c>
      <c r="BH862" s="7" t="s">
        <v>235</v>
      </c>
      <c r="BI862" s="7"/>
      <c r="BJ862" s="4"/>
      <c r="BK862" s="8"/>
      <c r="BL862" s="2" t="s">
        <v>235</v>
      </c>
      <c r="BM862" s="7"/>
      <c r="BN862" s="7"/>
      <c r="BO862" s="4"/>
      <c r="BP862" s="8"/>
      <c r="BQ862" s="4"/>
      <c r="BR862" s="8"/>
      <c r="BS862" s="7"/>
      <c r="BT862" s="7"/>
      <c r="BU862" s="2" t="s">
        <v>3520</v>
      </c>
      <c r="BV862" s="2" t="s">
        <v>235</v>
      </c>
      <c r="BW862" s="2" t="s">
        <v>235</v>
      </c>
      <c r="BX862" s="2" t="s">
        <v>244</v>
      </c>
      <c r="BY862" s="2" t="s">
        <v>245</v>
      </c>
      <c r="BZ862" s="2" t="s">
        <v>232</v>
      </c>
      <c r="CA862" s="2" t="s">
        <v>235</v>
      </c>
      <c r="CB862" s="2" t="s">
        <v>235</v>
      </c>
      <c r="CC862" s="2" t="s">
        <v>248</v>
      </c>
      <c r="CD862" s="2" t="s">
        <v>248</v>
      </c>
      <c r="CE862" s="2" t="s">
        <v>235</v>
      </c>
      <c r="CF862" s="4">
        <v>212</v>
      </c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>
        <v>223</v>
      </c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>
        <v>152</v>
      </c>
      <c r="ED862" s="4"/>
      <c r="EE862" s="4"/>
      <c r="EF862" s="4"/>
      <c r="EG862" s="4"/>
      <c r="EH862" s="4"/>
      <c r="EI862" s="4"/>
      <c r="EJ862" s="4">
        <v>142</v>
      </c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>
        <v>212</v>
      </c>
      <c r="GE862" s="4">
        <v>173</v>
      </c>
      <c r="GF862" s="4">
        <v>164</v>
      </c>
      <c r="GG862" s="4">
        <v>150</v>
      </c>
      <c r="GH862" s="4">
        <v>356</v>
      </c>
      <c r="GI862" s="4">
        <v>328</v>
      </c>
      <c r="GJ862" s="4">
        <v>271</v>
      </c>
      <c r="GK862" s="4">
        <v>393</v>
      </c>
      <c r="GL862" s="4">
        <v>364</v>
      </c>
      <c r="GM862" s="4">
        <v>485</v>
      </c>
      <c r="GN862" s="4">
        <v>459</v>
      </c>
      <c r="GO862" s="4">
        <v>427</v>
      </c>
      <c r="GP862" s="4">
        <v>387</v>
      </c>
      <c r="GQ862" s="4">
        <v>319</v>
      </c>
      <c r="GR862" s="4">
        <v>285</v>
      </c>
      <c r="GS862" s="4">
        <v>251</v>
      </c>
      <c r="GT862" s="4">
        <v>227</v>
      </c>
      <c r="GU862" s="4">
        <v>208</v>
      </c>
      <c r="GV862" s="4">
        <v>187</v>
      </c>
      <c r="GW862" s="4">
        <v>172</v>
      </c>
      <c r="GX862" s="4">
        <v>160</v>
      </c>
      <c r="GY862" s="4">
        <v>150</v>
      </c>
      <c r="GZ862" s="4">
        <v>139</v>
      </c>
      <c r="HA862" s="4">
        <v>128</v>
      </c>
      <c r="HB862" s="4">
        <v>117</v>
      </c>
      <c r="HC862" s="4">
        <v>106</v>
      </c>
      <c r="HD862" s="19">
        <v>10.6</v>
      </c>
      <c r="HE862" s="19">
        <v>10.2</v>
      </c>
      <c r="HF862" s="19">
        <v>5.7</v>
      </c>
      <c r="HG862" s="19">
        <v>4.5</v>
      </c>
      <c r="HH862" s="19">
        <v>9.9</v>
      </c>
      <c r="HI862" s="19">
        <v>9.6</v>
      </c>
      <c r="HJ862" s="19">
        <v>10.4</v>
      </c>
      <c r="HK862" s="19">
        <v>14.6</v>
      </c>
      <c r="HL862" s="19">
        <v>12.1</v>
      </c>
      <c r="HM862" s="19">
        <v>11.5</v>
      </c>
      <c r="HN862" s="19">
        <v>10.4</v>
      </c>
      <c r="HO862" s="19">
        <v>9.7</v>
      </c>
      <c r="HP862" s="19">
        <v>9.7</v>
      </c>
      <c r="HQ862" s="19">
        <v>11.4</v>
      </c>
      <c r="HR862" s="19">
        <v>11.9</v>
      </c>
      <c r="HS862" s="19">
        <v>12.6</v>
      </c>
      <c r="HT862" s="19">
        <v>13.4</v>
      </c>
      <c r="HU862" s="19">
        <v>14.9</v>
      </c>
      <c r="HV862" s="19">
        <v>15.6</v>
      </c>
      <c r="HW862" s="19">
        <v>15.6</v>
      </c>
      <c r="HX862" s="19">
        <v>14.5</v>
      </c>
      <c r="HY862" s="19">
        <v>13.6</v>
      </c>
      <c r="HZ862" s="19">
        <v>13.9</v>
      </c>
      <c r="IA862" s="19">
        <v>12.8</v>
      </c>
      <c r="IB862" s="19">
        <v>13</v>
      </c>
      <c r="IC862" s="19">
        <v>13.3</v>
      </c>
    </row>
    <row r="863">
      <c r="A863" s="2" t="s">
        <v>3521</v>
      </c>
      <c r="B863" s="2" t="s">
        <v>323</v>
      </c>
      <c r="C863" s="2" t="s">
        <v>853</v>
      </c>
      <c r="D863" s="2" t="s">
        <v>257</v>
      </c>
      <c r="E863" s="2" t="s">
        <v>258</v>
      </c>
      <c r="F863" s="2" t="s">
        <v>3483</v>
      </c>
      <c r="G863" s="2" t="s">
        <v>3483</v>
      </c>
      <c r="H863" s="2" t="s">
        <v>3483</v>
      </c>
      <c r="I863" s="2" t="s">
        <v>3509</v>
      </c>
      <c r="J863" s="2" t="s">
        <v>230</v>
      </c>
      <c r="K863" s="2" t="s">
        <v>3519</v>
      </c>
      <c r="L863" s="3">
        <v>15.22</v>
      </c>
      <c r="M863" s="3">
        <v>15.98</v>
      </c>
      <c r="N863" s="3">
        <v>31.99</v>
      </c>
      <c r="O863" s="2" t="s">
        <v>232</v>
      </c>
      <c r="P863" s="2" t="s">
        <v>878</v>
      </c>
      <c r="Q863" s="2" t="s">
        <v>234</v>
      </c>
      <c r="R863" s="2" t="s">
        <v>235</v>
      </c>
      <c r="S863" s="2" t="s">
        <v>235</v>
      </c>
      <c r="T863" s="2" t="s">
        <v>2908</v>
      </c>
      <c r="U863" s="2" t="s">
        <v>552</v>
      </c>
      <c r="V863" s="2" t="s">
        <v>2182</v>
      </c>
      <c r="W863" s="2" t="s">
        <v>329</v>
      </c>
      <c r="X863" s="2" t="s">
        <v>235</v>
      </c>
      <c r="Y863" s="2" t="s">
        <v>1459</v>
      </c>
      <c r="Z863" s="4">
        <v>99</v>
      </c>
      <c r="AA863" s="4">
        <f>=ROUNDDOWN({0},0)</f>
      </c>
      <c r="AB863" s="5"/>
      <c r="AC863" s="2" t="s">
        <v>3103</v>
      </c>
      <c r="AD863" s="4">
        <v>108</v>
      </c>
      <c r="AE863" s="4">
        <v>238</v>
      </c>
      <c r="AF863" s="6">
        <v>77</v>
      </c>
      <c r="AG863" s="6"/>
      <c r="AH863" s="7">
        <v>1</v>
      </c>
      <c r="AI863" s="4"/>
      <c r="AJ863" s="4">
        <f>=ROUNDDOWN({0},0)</f>
      </c>
      <c r="AK863" s="5"/>
      <c r="AL863" s="2" t="s">
        <v>235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235</v>
      </c>
      <c r="AW863" s="8" t="s">
        <v>235</v>
      </c>
      <c r="AX863" s="4" t="s">
        <v>235</v>
      </c>
      <c r="AY863" s="8" t="s">
        <v>235</v>
      </c>
      <c r="AZ863" s="7" t="s">
        <v>235</v>
      </c>
      <c r="BA863" s="7" t="s">
        <v>235</v>
      </c>
      <c r="BB863" s="7"/>
      <c r="BC863" s="4" t="s">
        <v>235</v>
      </c>
      <c r="BD863" s="8" t="s">
        <v>235</v>
      </c>
      <c r="BE863" s="4" t="s">
        <v>235</v>
      </c>
      <c r="BF863" s="8" t="s">
        <v>235</v>
      </c>
      <c r="BG863" s="7" t="s">
        <v>235</v>
      </c>
      <c r="BH863" s="7" t="s">
        <v>235</v>
      </c>
      <c r="BI863" s="7"/>
      <c r="BJ863" s="4"/>
      <c r="BK863" s="8"/>
      <c r="BL863" s="2" t="s">
        <v>235</v>
      </c>
      <c r="BM863" s="7"/>
      <c r="BN863" s="7"/>
      <c r="BO863" s="4"/>
      <c r="BP863" s="8"/>
      <c r="BQ863" s="4"/>
      <c r="BR863" s="8"/>
      <c r="BS863" s="7"/>
      <c r="BT863" s="7"/>
      <c r="BU863" s="2" t="s">
        <v>3522</v>
      </c>
      <c r="BV863" s="2" t="s">
        <v>235</v>
      </c>
      <c r="BW863" s="2" t="s">
        <v>235</v>
      </c>
      <c r="BX863" s="2" t="s">
        <v>244</v>
      </c>
      <c r="BY863" s="2" t="s">
        <v>245</v>
      </c>
      <c r="BZ863" s="2" t="s">
        <v>232</v>
      </c>
      <c r="CA863" s="2" t="s">
        <v>235</v>
      </c>
      <c r="CB863" s="2" t="s">
        <v>235</v>
      </c>
      <c r="CC863" s="2" t="s">
        <v>248</v>
      </c>
      <c r="CD863" s="2" t="s">
        <v>248</v>
      </c>
      <c r="CE863" s="2" t="s">
        <v>235</v>
      </c>
      <c r="CF863" s="4">
        <v>99</v>
      </c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>
        <v>108</v>
      </c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>
        <v>65</v>
      </c>
      <c r="ED863" s="4"/>
      <c r="EE863" s="4"/>
      <c r="EF863" s="4"/>
      <c r="EG863" s="4"/>
      <c r="EH863" s="4"/>
      <c r="EI863" s="4"/>
      <c r="EJ863" s="4">
        <v>65</v>
      </c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>
        <v>99</v>
      </c>
      <c r="GE863" s="4">
        <v>85</v>
      </c>
      <c r="GF863" s="4">
        <v>82</v>
      </c>
      <c r="GG863" s="4">
        <v>77</v>
      </c>
      <c r="GH863" s="4">
        <v>178</v>
      </c>
      <c r="GI863" s="4">
        <v>168</v>
      </c>
      <c r="GJ863" s="4">
        <v>146</v>
      </c>
      <c r="GK863" s="4">
        <v>199</v>
      </c>
      <c r="GL863" s="4">
        <v>188</v>
      </c>
      <c r="GM863" s="4">
        <v>245</v>
      </c>
      <c r="GN863" s="4">
        <v>233</v>
      </c>
      <c r="GO863" s="4">
        <v>218</v>
      </c>
      <c r="GP863" s="4">
        <v>199</v>
      </c>
      <c r="GQ863" s="4">
        <v>166</v>
      </c>
      <c r="GR863" s="4">
        <v>149</v>
      </c>
      <c r="GS863" s="4">
        <v>133</v>
      </c>
      <c r="GT863" s="4">
        <v>122</v>
      </c>
      <c r="GU863" s="4">
        <v>113</v>
      </c>
      <c r="GV863" s="4">
        <v>103</v>
      </c>
      <c r="GW863" s="4">
        <v>95</v>
      </c>
      <c r="GX863" s="4">
        <v>89</v>
      </c>
      <c r="GY863" s="4">
        <v>84</v>
      </c>
      <c r="GZ863" s="4">
        <v>78</v>
      </c>
      <c r="HA863" s="4">
        <v>72</v>
      </c>
      <c r="HB863" s="4">
        <v>66</v>
      </c>
      <c r="HC863" s="4">
        <v>60</v>
      </c>
      <c r="HD863" s="19">
        <v>14.1</v>
      </c>
      <c r="HE863" s="19">
        <v>14.2</v>
      </c>
      <c r="HF863" s="19">
        <v>7.5</v>
      </c>
      <c r="HG863" s="19">
        <v>5.9</v>
      </c>
      <c r="HH863" s="19">
        <v>12.7</v>
      </c>
      <c r="HI863" s="19">
        <v>12.9</v>
      </c>
      <c r="HJ863" s="19">
        <v>13.3</v>
      </c>
      <c r="HK863" s="19">
        <v>16.6</v>
      </c>
      <c r="HL863" s="19">
        <v>13.4</v>
      </c>
      <c r="HM863" s="19">
        <v>12.3</v>
      </c>
      <c r="HN863" s="19">
        <v>11.1</v>
      </c>
      <c r="HO863" s="19">
        <v>10.4</v>
      </c>
      <c r="HP863" s="19">
        <v>10.5</v>
      </c>
      <c r="HQ863" s="19">
        <v>12.8</v>
      </c>
      <c r="HR863" s="19">
        <v>12.4</v>
      </c>
      <c r="HS863" s="19">
        <v>13.3</v>
      </c>
      <c r="HT863" s="19">
        <v>15.3</v>
      </c>
      <c r="HU863" s="19">
        <v>16.1</v>
      </c>
      <c r="HV863" s="19">
        <v>17.2</v>
      </c>
      <c r="HW863" s="19">
        <v>15.8</v>
      </c>
      <c r="HX863" s="19">
        <v>14.8</v>
      </c>
      <c r="HY863" s="19">
        <v>14</v>
      </c>
      <c r="HZ863" s="19">
        <v>13</v>
      </c>
      <c r="IA863" s="19">
        <v>12</v>
      </c>
      <c r="IB863" s="19">
        <v>13.2</v>
      </c>
      <c r="IC863" s="19">
        <v>15</v>
      </c>
    </row>
    <row r="864">
      <c r="A864" s="2" t="s">
        <v>3523</v>
      </c>
      <c r="B864" s="2" t="s">
        <v>323</v>
      </c>
      <c r="C864" s="2" t="s">
        <v>853</v>
      </c>
      <c r="D864" s="2" t="s">
        <v>257</v>
      </c>
      <c r="E864" s="2" t="s">
        <v>258</v>
      </c>
      <c r="F864" s="2" t="s">
        <v>3483</v>
      </c>
      <c r="G864" s="2" t="s">
        <v>3483</v>
      </c>
      <c r="H864" s="2" t="s">
        <v>3483</v>
      </c>
      <c r="I864" s="2" t="s">
        <v>3509</v>
      </c>
      <c r="J864" s="2" t="s">
        <v>250</v>
      </c>
      <c r="K864" s="2" t="s">
        <v>3519</v>
      </c>
      <c r="L864" s="3">
        <v>19.13</v>
      </c>
      <c r="M864" s="3">
        <v>20.09</v>
      </c>
      <c r="N864" s="3">
        <v>42.99</v>
      </c>
      <c r="O864" s="2" t="s">
        <v>232</v>
      </c>
      <c r="P864" s="2" t="s">
        <v>878</v>
      </c>
      <c r="Q864" s="2" t="s">
        <v>234</v>
      </c>
      <c r="R864" s="2" t="s">
        <v>235</v>
      </c>
      <c r="S864" s="2" t="s">
        <v>235</v>
      </c>
      <c r="T864" s="2" t="s">
        <v>2908</v>
      </c>
      <c r="U864" s="2" t="s">
        <v>264</v>
      </c>
      <c r="V864" s="2" t="s">
        <v>2182</v>
      </c>
      <c r="W864" s="2" t="s">
        <v>329</v>
      </c>
      <c r="X864" s="2" t="s">
        <v>235</v>
      </c>
      <c r="Y864" s="2" t="s">
        <v>1459</v>
      </c>
      <c r="Z864" s="4">
        <v>123</v>
      </c>
      <c r="AA864" s="4">
        <f>=ROUNDDOWN({0},0)</f>
      </c>
      <c r="AB864" s="5"/>
      <c r="AC864" s="2" t="s">
        <v>3103</v>
      </c>
      <c r="AD864" s="4">
        <v>134</v>
      </c>
      <c r="AE864" s="4">
        <v>298</v>
      </c>
      <c r="AF864" s="6">
        <v>77</v>
      </c>
      <c r="AG864" s="6"/>
      <c r="AH864" s="7">
        <v>1</v>
      </c>
      <c r="AI864" s="4"/>
      <c r="AJ864" s="4">
        <f>=ROUNDDOWN({0},0)</f>
      </c>
      <c r="AK864" s="5"/>
      <c r="AL864" s="2" t="s">
        <v>235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235</v>
      </c>
      <c r="AW864" s="8" t="s">
        <v>235</v>
      </c>
      <c r="AX864" s="4" t="s">
        <v>235</v>
      </c>
      <c r="AY864" s="8" t="s">
        <v>235</v>
      </c>
      <c r="AZ864" s="7" t="s">
        <v>235</v>
      </c>
      <c r="BA864" s="7" t="s">
        <v>235</v>
      </c>
      <c r="BB864" s="7"/>
      <c r="BC864" s="4" t="s">
        <v>235</v>
      </c>
      <c r="BD864" s="8" t="s">
        <v>235</v>
      </c>
      <c r="BE864" s="4" t="s">
        <v>235</v>
      </c>
      <c r="BF864" s="8" t="s">
        <v>235</v>
      </c>
      <c r="BG864" s="7" t="s">
        <v>235</v>
      </c>
      <c r="BH864" s="7" t="s">
        <v>235</v>
      </c>
      <c r="BI864" s="7"/>
      <c r="BJ864" s="4"/>
      <c r="BK864" s="8"/>
      <c r="BL864" s="2" t="s">
        <v>235</v>
      </c>
      <c r="BM864" s="7"/>
      <c r="BN864" s="7"/>
      <c r="BO864" s="4"/>
      <c r="BP864" s="8"/>
      <c r="BQ864" s="4"/>
      <c r="BR864" s="8"/>
      <c r="BS864" s="7"/>
      <c r="BT864" s="7"/>
      <c r="BU864" s="2" t="s">
        <v>3524</v>
      </c>
      <c r="BV864" s="2" t="s">
        <v>235</v>
      </c>
      <c r="BW864" s="2" t="s">
        <v>235</v>
      </c>
      <c r="BX864" s="2" t="s">
        <v>244</v>
      </c>
      <c r="BY864" s="2" t="s">
        <v>245</v>
      </c>
      <c r="BZ864" s="2" t="s">
        <v>232</v>
      </c>
      <c r="CA864" s="2" t="s">
        <v>235</v>
      </c>
      <c r="CB864" s="2" t="s">
        <v>235</v>
      </c>
      <c r="CC864" s="2" t="s">
        <v>248</v>
      </c>
      <c r="CD864" s="2" t="s">
        <v>248</v>
      </c>
      <c r="CE864" s="2" t="s">
        <v>235</v>
      </c>
      <c r="CF864" s="4">
        <v>123</v>
      </c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>
        <v>134</v>
      </c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>
        <v>82</v>
      </c>
      <c r="ED864" s="4"/>
      <c r="EE864" s="4"/>
      <c r="EF864" s="4"/>
      <c r="EG864" s="4"/>
      <c r="EH864" s="4"/>
      <c r="EI864" s="4"/>
      <c r="EJ864" s="4">
        <v>82</v>
      </c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>
        <v>123</v>
      </c>
      <c r="GE864" s="4">
        <v>103</v>
      </c>
      <c r="GF864" s="4">
        <v>98</v>
      </c>
      <c r="GG864" s="4">
        <v>91</v>
      </c>
      <c r="GH864" s="4">
        <v>216</v>
      </c>
      <c r="GI864" s="4">
        <v>202</v>
      </c>
      <c r="GJ864" s="4">
        <v>173</v>
      </c>
      <c r="GK864" s="4">
        <v>239</v>
      </c>
      <c r="GL864" s="4">
        <v>224</v>
      </c>
      <c r="GM864" s="4">
        <v>295</v>
      </c>
      <c r="GN864" s="4">
        <v>280</v>
      </c>
      <c r="GO864" s="4">
        <v>262</v>
      </c>
      <c r="GP864" s="4">
        <v>239</v>
      </c>
      <c r="GQ864" s="4">
        <v>199</v>
      </c>
      <c r="GR864" s="4">
        <v>180</v>
      </c>
      <c r="GS864" s="4">
        <v>160</v>
      </c>
      <c r="GT864" s="4">
        <v>146</v>
      </c>
      <c r="GU864" s="4">
        <v>135</v>
      </c>
      <c r="GV864" s="4">
        <v>123</v>
      </c>
      <c r="GW864" s="4">
        <v>114</v>
      </c>
      <c r="GX864" s="4">
        <v>107</v>
      </c>
      <c r="GY864" s="4">
        <v>101</v>
      </c>
      <c r="GZ864" s="4">
        <v>95</v>
      </c>
      <c r="HA864" s="4">
        <v>89</v>
      </c>
      <c r="HB864" s="4">
        <v>83</v>
      </c>
      <c r="HC864" s="4">
        <v>77</v>
      </c>
      <c r="HD864" s="19">
        <v>12.3</v>
      </c>
      <c r="HE864" s="19">
        <v>11.4</v>
      </c>
      <c r="HF864" s="19">
        <v>6.5</v>
      </c>
      <c r="HG864" s="19">
        <v>5.4</v>
      </c>
      <c r="HH864" s="19">
        <v>12</v>
      </c>
      <c r="HI864" s="19">
        <v>11.2</v>
      </c>
      <c r="HJ864" s="19">
        <v>12.4</v>
      </c>
      <c r="HK864" s="19">
        <v>15.9</v>
      </c>
      <c r="HL864" s="19">
        <v>13.2</v>
      </c>
      <c r="HM864" s="19">
        <v>12.3</v>
      </c>
      <c r="HN864" s="19">
        <v>11.2</v>
      </c>
      <c r="HO864" s="19">
        <v>10.1</v>
      </c>
      <c r="HP864" s="19">
        <v>10.4</v>
      </c>
      <c r="HQ864" s="19">
        <v>12.4</v>
      </c>
      <c r="HR864" s="19">
        <v>12.9</v>
      </c>
      <c r="HS864" s="19">
        <v>13.3</v>
      </c>
      <c r="HT864" s="19">
        <v>14.6</v>
      </c>
      <c r="HU864" s="19">
        <v>16.9</v>
      </c>
      <c r="HV864" s="19">
        <v>17.6</v>
      </c>
      <c r="HW864" s="19">
        <v>19</v>
      </c>
      <c r="HX864" s="19">
        <v>17.8</v>
      </c>
      <c r="HY864" s="19">
        <v>16.8</v>
      </c>
      <c r="HZ864" s="19">
        <v>15.8</v>
      </c>
      <c r="IA864" s="19">
        <v>14.8</v>
      </c>
      <c r="IB864" s="19">
        <v>16.6</v>
      </c>
      <c r="IC864" s="19">
        <v>15.4</v>
      </c>
    </row>
    <row r="865">
      <c r="A865" s="2" t="s">
        <v>3525</v>
      </c>
      <c r="B865" s="2" t="s">
        <v>323</v>
      </c>
      <c r="C865" s="2" t="s">
        <v>853</v>
      </c>
      <c r="D865" s="2" t="s">
        <v>257</v>
      </c>
      <c r="E865" s="2" t="s">
        <v>258</v>
      </c>
      <c r="F865" s="2" t="s">
        <v>3483</v>
      </c>
      <c r="G865" s="2" t="s">
        <v>3483</v>
      </c>
      <c r="H865" s="2" t="s">
        <v>3483</v>
      </c>
      <c r="I865" s="2" t="s">
        <v>3509</v>
      </c>
      <c r="J865" s="2" t="s">
        <v>261</v>
      </c>
      <c r="K865" s="2" t="s">
        <v>3519</v>
      </c>
      <c r="L865" s="3">
        <v>21.27</v>
      </c>
      <c r="M865" s="3">
        <v>22.33</v>
      </c>
      <c r="N865" s="3">
        <v>47.99</v>
      </c>
      <c r="O865" s="2" t="s">
        <v>232</v>
      </c>
      <c r="P865" s="2" t="s">
        <v>878</v>
      </c>
      <c r="Q865" s="2" t="s">
        <v>234</v>
      </c>
      <c r="R865" s="2" t="s">
        <v>235</v>
      </c>
      <c r="S865" s="2" t="s">
        <v>235</v>
      </c>
      <c r="T865" s="2" t="s">
        <v>2908</v>
      </c>
      <c r="U865" s="2" t="s">
        <v>264</v>
      </c>
      <c r="V865" s="2" t="s">
        <v>2182</v>
      </c>
      <c r="W865" s="2" t="s">
        <v>329</v>
      </c>
      <c r="X865" s="2" t="s">
        <v>235</v>
      </c>
      <c r="Y865" s="2" t="s">
        <v>1459</v>
      </c>
      <c r="Z865" s="4">
        <v>123</v>
      </c>
      <c r="AA865" s="4">
        <f>=ROUNDDOWN({0},0)</f>
      </c>
      <c r="AB865" s="5"/>
      <c r="AC865" s="2" t="s">
        <v>3103</v>
      </c>
      <c r="AD865" s="4">
        <v>141</v>
      </c>
      <c r="AE865" s="4">
        <v>315</v>
      </c>
      <c r="AF865" s="6">
        <v>77</v>
      </c>
      <c r="AG865" s="6"/>
      <c r="AH865" s="7">
        <v>1</v>
      </c>
      <c r="AI865" s="4"/>
      <c r="AJ865" s="4">
        <f>=ROUNDDOWN({0},0)</f>
      </c>
      <c r="AK865" s="5"/>
      <c r="AL865" s="2" t="s">
        <v>235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235</v>
      </c>
      <c r="AW865" s="8" t="s">
        <v>235</v>
      </c>
      <c r="AX865" s="4" t="s">
        <v>235</v>
      </c>
      <c r="AY865" s="8" t="s">
        <v>235</v>
      </c>
      <c r="AZ865" s="7" t="s">
        <v>235</v>
      </c>
      <c r="BA865" s="7" t="s">
        <v>235</v>
      </c>
      <c r="BB865" s="7"/>
      <c r="BC865" s="4" t="s">
        <v>235</v>
      </c>
      <c r="BD865" s="8" t="s">
        <v>235</v>
      </c>
      <c r="BE865" s="4" t="s">
        <v>235</v>
      </c>
      <c r="BF865" s="8" t="s">
        <v>235</v>
      </c>
      <c r="BG865" s="7" t="s">
        <v>235</v>
      </c>
      <c r="BH865" s="7" t="s">
        <v>235</v>
      </c>
      <c r="BI865" s="7"/>
      <c r="BJ865" s="4"/>
      <c r="BK865" s="8"/>
      <c r="BL865" s="2" t="s">
        <v>235</v>
      </c>
      <c r="BM865" s="7"/>
      <c r="BN865" s="7"/>
      <c r="BO865" s="4"/>
      <c r="BP865" s="8"/>
      <c r="BQ865" s="4"/>
      <c r="BR865" s="8"/>
      <c r="BS865" s="7"/>
      <c r="BT865" s="7"/>
      <c r="BU865" s="2" t="s">
        <v>3526</v>
      </c>
      <c r="BV865" s="2" t="s">
        <v>235</v>
      </c>
      <c r="BW865" s="2" t="s">
        <v>235</v>
      </c>
      <c r="BX865" s="2" t="s">
        <v>244</v>
      </c>
      <c r="BY865" s="2" t="s">
        <v>245</v>
      </c>
      <c r="BZ865" s="2" t="s">
        <v>232</v>
      </c>
      <c r="CA865" s="2" t="s">
        <v>235</v>
      </c>
      <c r="CB865" s="2" t="s">
        <v>235</v>
      </c>
      <c r="CC865" s="2" t="s">
        <v>248</v>
      </c>
      <c r="CD865" s="2" t="s">
        <v>248</v>
      </c>
      <c r="CE865" s="2" t="s">
        <v>235</v>
      </c>
      <c r="CF865" s="4">
        <v>123</v>
      </c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>
        <v>141</v>
      </c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>
        <v>87</v>
      </c>
      <c r="ED865" s="4"/>
      <c r="EE865" s="4"/>
      <c r="EF865" s="4"/>
      <c r="EG865" s="4"/>
      <c r="EH865" s="4"/>
      <c r="EI865" s="4"/>
      <c r="EJ865" s="4">
        <v>87</v>
      </c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>
        <v>123</v>
      </c>
      <c r="GE865" s="4">
        <v>99</v>
      </c>
      <c r="GF865" s="4">
        <v>93</v>
      </c>
      <c r="GG865" s="4">
        <v>84</v>
      </c>
      <c r="GH865" s="4">
        <v>214</v>
      </c>
      <c r="GI865" s="4">
        <v>196</v>
      </c>
      <c r="GJ865" s="4">
        <v>161</v>
      </c>
      <c r="GK865" s="4">
        <v>229</v>
      </c>
      <c r="GL865" s="4">
        <v>211</v>
      </c>
      <c r="GM865" s="4">
        <v>285</v>
      </c>
      <c r="GN865" s="4">
        <v>268</v>
      </c>
      <c r="GO865" s="4">
        <v>248</v>
      </c>
      <c r="GP865" s="4">
        <v>223</v>
      </c>
      <c r="GQ865" s="4">
        <v>182</v>
      </c>
      <c r="GR865" s="4">
        <v>162</v>
      </c>
      <c r="GS865" s="4">
        <v>141</v>
      </c>
      <c r="GT865" s="4">
        <v>126</v>
      </c>
      <c r="GU865" s="4">
        <v>114</v>
      </c>
      <c r="GV865" s="4">
        <v>101</v>
      </c>
      <c r="GW865" s="4">
        <v>91</v>
      </c>
      <c r="GX865" s="4">
        <v>83</v>
      </c>
      <c r="GY865" s="4">
        <v>76</v>
      </c>
      <c r="GZ865" s="4">
        <v>69</v>
      </c>
      <c r="HA865" s="4">
        <v>62</v>
      </c>
      <c r="HB865" s="4">
        <v>55</v>
      </c>
      <c r="HC865" s="4">
        <v>48</v>
      </c>
      <c r="HD865" s="19">
        <v>10.3</v>
      </c>
      <c r="HE865" s="19">
        <v>9</v>
      </c>
      <c r="HF865" s="19">
        <v>5.2</v>
      </c>
      <c r="HG865" s="19">
        <v>4</v>
      </c>
      <c r="HH865" s="19">
        <v>9.7</v>
      </c>
      <c r="HI865" s="19">
        <v>9.3</v>
      </c>
      <c r="HJ865" s="19">
        <v>9.5</v>
      </c>
      <c r="HK865" s="19">
        <v>13.5</v>
      </c>
      <c r="HL865" s="19">
        <v>11.1</v>
      </c>
      <c r="HM865" s="19">
        <v>11</v>
      </c>
      <c r="HN865" s="19">
        <v>10.3</v>
      </c>
      <c r="HO865" s="19">
        <v>9.2</v>
      </c>
      <c r="HP865" s="19">
        <v>9.3</v>
      </c>
      <c r="HQ865" s="19">
        <v>10.7</v>
      </c>
      <c r="HR865" s="19">
        <v>10.8</v>
      </c>
      <c r="HS865" s="19">
        <v>11.8</v>
      </c>
      <c r="HT865" s="19">
        <v>11.5</v>
      </c>
      <c r="HU865" s="19">
        <v>11.4</v>
      </c>
      <c r="HV865" s="19">
        <v>12.6</v>
      </c>
      <c r="HW865" s="19">
        <v>13</v>
      </c>
      <c r="HX865" s="19">
        <v>11.9</v>
      </c>
      <c r="HY865" s="19">
        <v>10.9</v>
      </c>
      <c r="HZ865" s="19">
        <v>9.9</v>
      </c>
      <c r="IA865" s="19">
        <v>10.3</v>
      </c>
      <c r="IB865" s="19">
        <v>9.2</v>
      </c>
      <c r="IC865" s="19">
        <v>8</v>
      </c>
    </row>
    <row r="866">
      <c r="A866" s="2" t="s">
        <v>3527</v>
      </c>
      <c r="B866" s="2" t="s">
        <v>323</v>
      </c>
      <c r="C866" s="2" t="s">
        <v>853</v>
      </c>
      <c r="D866" s="2" t="s">
        <v>257</v>
      </c>
      <c r="E866" s="2" t="s">
        <v>258</v>
      </c>
      <c r="F866" s="2" t="s">
        <v>3483</v>
      </c>
      <c r="G866" s="2" t="s">
        <v>3483</v>
      </c>
      <c r="H866" s="2" t="s">
        <v>3483</v>
      </c>
      <c r="I866" s="2" t="s">
        <v>3484</v>
      </c>
      <c r="J866" s="2" t="s">
        <v>230</v>
      </c>
      <c r="K866" s="2" t="s">
        <v>3528</v>
      </c>
      <c r="L866" s="3">
        <v>15.22</v>
      </c>
      <c r="M866" s="3">
        <v>15.98</v>
      </c>
      <c r="N866" s="3">
        <v>32.99</v>
      </c>
      <c r="O866" s="2" t="s">
        <v>232</v>
      </c>
      <c r="P866" s="2" t="s">
        <v>233</v>
      </c>
      <c r="Q866" s="2" t="s">
        <v>234</v>
      </c>
      <c r="R866" s="2" t="s">
        <v>235</v>
      </c>
      <c r="S866" s="2" t="s">
        <v>3529</v>
      </c>
      <c r="T866" s="2" t="s">
        <v>2908</v>
      </c>
      <c r="U866" s="2" t="s">
        <v>552</v>
      </c>
      <c r="V866" s="2" t="s">
        <v>2919</v>
      </c>
      <c r="W866" s="2" t="s">
        <v>239</v>
      </c>
      <c r="X866" s="2" t="s">
        <v>1157</v>
      </c>
      <c r="Y866" s="2" t="s">
        <v>3487</v>
      </c>
      <c r="Z866" s="4">
        <v>35</v>
      </c>
      <c r="AA866" s="4">
        <f>=ROUNDDOWN(3.5,0)</f>
      </c>
      <c r="AB866" s="5">
        <v>10</v>
      </c>
      <c r="AC866" s="2" t="s">
        <v>883</v>
      </c>
      <c r="AD866" s="4">
        <v>131</v>
      </c>
      <c r="AE866" s="4">
        <v>369</v>
      </c>
      <c r="AF866" s="6">
        <v>73</v>
      </c>
      <c r="AG866" s="6"/>
      <c r="AH866" s="7">
        <v>1</v>
      </c>
      <c r="AI866" s="4"/>
      <c r="AJ866" s="4">
        <f>=ROUNDDOWN({0},0)</f>
      </c>
      <c r="AK866" s="5"/>
      <c r="AL866" s="2" t="s">
        <v>235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235</v>
      </c>
      <c r="BD866" s="8" t="s">
        <v>235</v>
      </c>
      <c r="BE866" s="4" t="s">
        <v>235</v>
      </c>
      <c r="BF866" s="8" t="s">
        <v>235</v>
      </c>
      <c r="BG866" s="7" t="s">
        <v>235</v>
      </c>
      <c r="BH866" s="7" t="s">
        <v>235</v>
      </c>
      <c r="BI866" s="7"/>
      <c r="BJ866" s="4">
        <v>25</v>
      </c>
      <c r="BK866" s="8">
        <v>476.9</v>
      </c>
      <c r="BL866" s="2" t="s">
        <v>3530</v>
      </c>
      <c r="BM866" s="7"/>
      <c r="BN866" s="7"/>
      <c r="BO866" s="4"/>
      <c r="BP866" s="8"/>
      <c r="BQ866" s="4"/>
      <c r="BR866" s="8"/>
      <c r="BS866" s="7"/>
      <c r="BT866" s="7"/>
      <c r="BU866" s="2" t="s">
        <v>3488</v>
      </c>
      <c r="BV866" s="2" t="s">
        <v>243</v>
      </c>
      <c r="BW866" s="2" t="s">
        <v>235</v>
      </c>
      <c r="BX866" s="2" t="s">
        <v>244</v>
      </c>
      <c r="BY866" s="2" t="s">
        <v>245</v>
      </c>
      <c r="BZ866" s="2" t="s">
        <v>232</v>
      </c>
      <c r="CA866" s="2" t="s">
        <v>3489</v>
      </c>
      <c r="CB866" s="2" t="s">
        <v>3531</v>
      </c>
      <c r="CC866" s="2" t="s">
        <v>248</v>
      </c>
      <c r="CD866" s="2" t="s">
        <v>248</v>
      </c>
      <c r="CE866" s="2" t="s">
        <v>235</v>
      </c>
      <c r="CF866" s="4">
        <v>35</v>
      </c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>
        <v>131</v>
      </c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>
        <v>167</v>
      </c>
      <c r="ED866" s="4"/>
      <c r="EE866" s="4"/>
      <c r="EF866" s="4"/>
      <c r="EG866" s="4"/>
      <c r="EH866" s="4"/>
      <c r="EI866" s="4"/>
      <c r="EJ866" s="4">
        <v>71</v>
      </c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>
        <v>38</v>
      </c>
      <c r="GE866" s="4">
        <v>141</v>
      </c>
      <c r="GF866" s="4">
        <v>134</v>
      </c>
      <c r="GG866" s="4">
        <v>125</v>
      </c>
      <c r="GH866" s="4">
        <v>114</v>
      </c>
      <c r="GI866" s="4">
        <v>96</v>
      </c>
      <c r="GJ866" s="4">
        <v>65</v>
      </c>
      <c r="GK866" s="4">
        <v>214</v>
      </c>
      <c r="GL866" s="4">
        <v>197</v>
      </c>
      <c r="GM866" s="4">
        <v>255</v>
      </c>
      <c r="GN866" s="4">
        <v>240</v>
      </c>
      <c r="GO866" s="4">
        <v>222</v>
      </c>
      <c r="GP866" s="4">
        <v>199</v>
      </c>
      <c r="GQ866" s="4">
        <v>159</v>
      </c>
      <c r="GR866" s="4">
        <v>140</v>
      </c>
      <c r="GS866" s="4">
        <v>120</v>
      </c>
      <c r="GT866" s="4">
        <v>106</v>
      </c>
      <c r="GU866" s="4">
        <v>95</v>
      </c>
      <c r="GV866" s="4">
        <v>83</v>
      </c>
      <c r="GW866" s="4">
        <v>74</v>
      </c>
      <c r="GX866" s="4">
        <v>135</v>
      </c>
      <c r="GY866" s="4">
        <v>129</v>
      </c>
      <c r="GZ866" s="4">
        <v>123</v>
      </c>
      <c r="HA866" s="4">
        <v>117</v>
      </c>
      <c r="HB866" s="4">
        <v>111</v>
      </c>
      <c r="HC866" s="4">
        <v>105</v>
      </c>
      <c r="HD866" s="19">
        <v>2.7</v>
      </c>
      <c r="HE866" s="19">
        <v>12.8</v>
      </c>
      <c r="HF866" s="19">
        <v>7.9</v>
      </c>
      <c r="HG866" s="19">
        <v>6.3</v>
      </c>
      <c r="HH866" s="19">
        <v>5.4</v>
      </c>
      <c r="HI866" s="19">
        <v>4.8</v>
      </c>
      <c r="HJ866" s="19">
        <v>4.1</v>
      </c>
      <c r="HK866" s="19">
        <v>13.4</v>
      </c>
      <c r="HL866" s="19">
        <v>11.6</v>
      </c>
      <c r="HM866" s="19">
        <v>10.6</v>
      </c>
      <c r="HN866" s="19">
        <v>9.6</v>
      </c>
      <c r="HO866" s="19">
        <v>8.5</v>
      </c>
      <c r="HP866" s="19">
        <v>8.7</v>
      </c>
      <c r="HQ866" s="19">
        <v>9.9</v>
      </c>
      <c r="HR866" s="19">
        <v>10</v>
      </c>
      <c r="HS866" s="19">
        <v>10</v>
      </c>
      <c r="HT866" s="19">
        <v>10.6</v>
      </c>
      <c r="HU866" s="19">
        <v>11.9</v>
      </c>
      <c r="HV866" s="19">
        <v>11.9</v>
      </c>
      <c r="HW866" s="19">
        <v>12.3</v>
      </c>
      <c r="HX866" s="19">
        <v>22.5</v>
      </c>
      <c r="HY866" s="19">
        <v>21.5</v>
      </c>
      <c r="HZ866" s="19">
        <v>20.5</v>
      </c>
      <c r="IA866" s="19">
        <v>19.5</v>
      </c>
      <c r="IB866" s="19">
        <v>22.2</v>
      </c>
      <c r="IC866" s="19">
        <v>21</v>
      </c>
    </row>
    <row r="867">
      <c r="A867" s="2" t="s">
        <v>3532</v>
      </c>
      <c r="B867" s="2" t="s">
        <v>323</v>
      </c>
      <c r="C867" s="2" t="s">
        <v>853</v>
      </c>
      <c r="D867" s="2" t="s">
        <v>257</v>
      </c>
      <c r="E867" s="2" t="s">
        <v>258</v>
      </c>
      <c r="F867" s="2" t="s">
        <v>3483</v>
      </c>
      <c r="G867" s="2" t="s">
        <v>3483</v>
      </c>
      <c r="H867" s="2" t="s">
        <v>3483</v>
      </c>
      <c r="I867" s="2" t="s">
        <v>3484</v>
      </c>
      <c r="J867" s="2" t="s">
        <v>250</v>
      </c>
      <c r="K867" s="2" t="s">
        <v>3533</v>
      </c>
      <c r="L867" s="3">
        <v>19.13</v>
      </c>
      <c r="M867" s="3">
        <v>20.09</v>
      </c>
      <c r="N867" s="3">
        <v>42.99</v>
      </c>
      <c r="O867" s="2" t="s">
        <v>232</v>
      </c>
      <c r="P867" s="2" t="s">
        <v>408</v>
      </c>
      <c r="Q867" s="2" t="s">
        <v>234</v>
      </c>
      <c r="R867" s="2" t="s">
        <v>235</v>
      </c>
      <c r="S867" s="2" t="s">
        <v>3534</v>
      </c>
      <c r="T867" s="2" t="s">
        <v>2908</v>
      </c>
      <c r="U867" s="2" t="s">
        <v>264</v>
      </c>
      <c r="V867" s="2" t="s">
        <v>2182</v>
      </c>
      <c r="W867" s="2" t="s">
        <v>239</v>
      </c>
      <c r="X867" s="2" t="s">
        <v>1157</v>
      </c>
      <c r="Y867" s="2" t="s">
        <v>3135</v>
      </c>
      <c r="Z867" s="4">
        <v>22</v>
      </c>
      <c r="AA867" s="4">
        <f>=ROUNDDOWN(2.75,0)</f>
      </c>
      <c r="AB867" s="5">
        <v>8</v>
      </c>
      <c r="AC867" s="2" t="s">
        <v>235</v>
      </c>
      <c r="AD867" s="4"/>
      <c r="AE867" s="4"/>
      <c r="AF867" s="6">
        <v>73</v>
      </c>
      <c r="AG867" s="6"/>
      <c r="AH867" s="7">
        <v>1</v>
      </c>
      <c r="AI867" s="4"/>
      <c r="AJ867" s="4">
        <f>=ROUNDDOWN({0},0)</f>
      </c>
      <c r="AK867" s="5"/>
      <c r="AL867" s="2" t="s">
        <v>235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235</v>
      </c>
      <c r="BD867" s="8" t="s">
        <v>235</v>
      </c>
      <c r="BE867" s="4" t="s">
        <v>235</v>
      </c>
      <c r="BF867" s="8" t="s">
        <v>235</v>
      </c>
      <c r="BG867" s="7" t="s">
        <v>235</v>
      </c>
      <c r="BH867" s="7" t="s">
        <v>235</v>
      </c>
      <c r="BI867" s="7"/>
      <c r="BJ867" s="4">
        <v>96</v>
      </c>
      <c r="BK867" s="8">
        <v>2128.17</v>
      </c>
      <c r="BL867" s="2" t="s">
        <v>3136</v>
      </c>
      <c r="BM867" s="7"/>
      <c r="BN867" s="7"/>
      <c r="BO867" s="4"/>
      <c r="BP867" s="8"/>
      <c r="BQ867" s="4"/>
      <c r="BR867" s="8"/>
      <c r="BS867" s="7"/>
      <c r="BT867" s="7"/>
      <c r="BU867" s="2" t="s">
        <v>3488</v>
      </c>
      <c r="BV867" s="2" t="s">
        <v>243</v>
      </c>
      <c r="BW867" s="2" t="s">
        <v>235</v>
      </c>
      <c r="BX867" s="2" t="s">
        <v>244</v>
      </c>
      <c r="BY867" s="2" t="s">
        <v>245</v>
      </c>
      <c r="BZ867" s="2" t="s">
        <v>232</v>
      </c>
      <c r="CA867" s="2" t="s">
        <v>675</v>
      </c>
      <c r="CB867" s="2" t="s">
        <v>3137</v>
      </c>
      <c r="CC867" s="2" t="s">
        <v>248</v>
      </c>
      <c r="CD867" s="2" t="s">
        <v>248</v>
      </c>
      <c r="CE867" s="2" t="s">
        <v>235</v>
      </c>
      <c r="CF867" s="4">
        <v>22</v>
      </c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>
        <v>38</v>
      </c>
      <c r="GE867" s="4">
        <v>23</v>
      </c>
      <c r="GF867" s="4">
        <v>1</v>
      </c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19">
        <v>3.8</v>
      </c>
      <c r="HE867" s="19">
        <v>2.9</v>
      </c>
      <c r="HF867" s="19">
        <v>0.3</v>
      </c>
      <c r="HG867" s="20">
        <v>0</v>
      </c>
      <c r="HH867" s="20">
        <v>0</v>
      </c>
      <c r="HI867" s="20">
        <v>0</v>
      </c>
      <c r="HJ867" s="20">
        <v>0</v>
      </c>
      <c r="HK867" s="20">
        <v>0</v>
      </c>
      <c r="HL867" s="20">
        <v>0</v>
      </c>
      <c r="HM867" s="20">
        <v>0</v>
      </c>
      <c r="HN867" s="20">
        <v>0</v>
      </c>
      <c r="HO867" s="20">
        <v>0</v>
      </c>
      <c r="HP867" s="20">
        <v>0</v>
      </c>
      <c r="HQ867" s="20">
        <v>0</v>
      </c>
      <c r="HR867" s="20">
        <v>0</v>
      </c>
      <c r="HS867" s="20">
        <v>0</v>
      </c>
      <c r="HT867" s="20">
        <v>0</v>
      </c>
      <c r="HU867" s="20">
        <v>0</v>
      </c>
      <c r="HV867" s="20">
        <v>0</v>
      </c>
      <c r="HW867" s="20">
        <v>0</v>
      </c>
      <c r="HX867" s="20">
        <v>0</v>
      </c>
      <c r="HY867" s="20">
        <v>0</v>
      </c>
      <c r="HZ867" s="20">
        <v>0</v>
      </c>
      <c r="IA867" s="20">
        <v>0</v>
      </c>
      <c r="IB867" s="20">
        <v>0</v>
      </c>
      <c r="IC867" s="20">
        <v>0</v>
      </c>
    </row>
    <row r="868">
      <c r="A868" s="2" t="s">
        <v>3535</v>
      </c>
      <c r="B868" s="2" t="s">
        <v>323</v>
      </c>
      <c r="C868" s="2" t="s">
        <v>853</v>
      </c>
      <c r="D868" s="2" t="s">
        <v>257</v>
      </c>
      <c r="E868" s="2" t="s">
        <v>258</v>
      </c>
      <c r="F868" s="2" t="s">
        <v>3483</v>
      </c>
      <c r="G868" s="2" t="s">
        <v>3483</v>
      </c>
      <c r="H868" s="2" t="s">
        <v>3483</v>
      </c>
      <c r="I868" s="2" t="s">
        <v>3484</v>
      </c>
      <c r="J868" s="2" t="s">
        <v>230</v>
      </c>
      <c r="K868" s="2" t="s">
        <v>3536</v>
      </c>
      <c r="L868" s="3">
        <v>15.22</v>
      </c>
      <c r="M868" s="3">
        <v>15.98</v>
      </c>
      <c r="N868" s="3">
        <v>32.99</v>
      </c>
      <c r="O868" s="2" t="s">
        <v>232</v>
      </c>
      <c r="P868" s="2" t="s">
        <v>233</v>
      </c>
      <c r="Q868" s="2" t="s">
        <v>234</v>
      </c>
      <c r="R868" s="2" t="s">
        <v>235</v>
      </c>
      <c r="S868" s="2" t="s">
        <v>3537</v>
      </c>
      <c r="T868" s="2" t="s">
        <v>2908</v>
      </c>
      <c r="U868" s="2" t="s">
        <v>552</v>
      </c>
      <c r="V868" s="2" t="s">
        <v>2919</v>
      </c>
      <c r="W868" s="2" t="s">
        <v>239</v>
      </c>
      <c r="X868" s="2" t="s">
        <v>1157</v>
      </c>
      <c r="Y868" s="2" t="s">
        <v>3487</v>
      </c>
      <c r="Z868" s="4">
        <v>87</v>
      </c>
      <c r="AA868" s="4">
        <f>=ROUNDDOWN(5.11764705882353,0)</f>
      </c>
      <c r="AB868" s="5">
        <v>17</v>
      </c>
      <c r="AC868" s="2" t="s">
        <v>883</v>
      </c>
      <c r="AD868" s="4">
        <v>292</v>
      </c>
      <c r="AE868" s="4">
        <v>575</v>
      </c>
      <c r="AF868" s="6">
        <v>73</v>
      </c>
      <c r="AG868" s="6"/>
      <c r="AH868" s="7">
        <v>1</v>
      </c>
      <c r="AI868" s="4"/>
      <c r="AJ868" s="4">
        <f>=ROUNDDOWN({0},0)</f>
      </c>
      <c r="AK868" s="5"/>
      <c r="AL868" s="2" t="s">
        <v>235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235</v>
      </c>
      <c r="AW868" s="8" t="s">
        <v>235</v>
      </c>
      <c r="AX868" s="4" t="s">
        <v>235</v>
      </c>
      <c r="AY868" s="8" t="s">
        <v>235</v>
      </c>
      <c r="AZ868" s="7" t="s">
        <v>235</v>
      </c>
      <c r="BA868" s="7" t="s">
        <v>235</v>
      </c>
      <c r="BB868" s="7"/>
      <c r="BC868" s="4" t="s">
        <v>235</v>
      </c>
      <c r="BD868" s="8" t="s">
        <v>235</v>
      </c>
      <c r="BE868" s="4" t="s">
        <v>235</v>
      </c>
      <c r="BF868" s="8" t="s">
        <v>235</v>
      </c>
      <c r="BG868" s="7" t="s">
        <v>235</v>
      </c>
      <c r="BH868" s="7" t="s">
        <v>235</v>
      </c>
      <c r="BI868" s="7"/>
      <c r="BJ868" s="4">
        <v>47</v>
      </c>
      <c r="BK868" s="8">
        <v>866.42</v>
      </c>
      <c r="BL868" s="2" t="s">
        <v>3538</v>
      </c>
      <c r="BM868" s="7"/>
      <c r="BN868" s="7"/>
      <c r="BO868" s="4"/>
      <c r="BP868" s="8"/>
      <c r="BQ868" s="4"/>
      <c r="BR868" s="8"/>
      <c r="BS868" s="7"/>
      <c r="BT868" s="7"/>
      <c r="BU868" s="2" t="s">
        <v>3488</v>
      </c>
      <c r="BV868" s="2" t="s">
        <v>243</v>
      </c>
      <c r="BW868" s="2" t="s">
        <v>235</v>
      </c>
      <c r="BX868" s="2" t="s">
        <v>244</v>
      </c>
      <c r="BY868" s="2" t="s">
        <v>245</v>
      </c>
      <c r="BZ868" s="2" t="s">
        <v>232</v>
      </c>
      <c r="CA868" s="2" t="s">
        <v>3489</v>
      </c>
      <c r="CB868" s="2" t="s">
        <v>3539</v>
      </c>
      <c r="CC868" s="2" t="s">
        <v>248</v>
      </c>
      <c r="CD868" s="2" t="s">
        <v>248</v>
      </c>
      <c r="CE868" s="2" t="s">
        <v>235</v>
      </c>
      <c r="CF868" s="4">
        <v>87</v>
      </c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>
        <v>292</v>
      </c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>
        <v>93</v>
      </c>
      <c r="EK868" s="4"/>
      <c r="EL868" s="4">
        <v>190</v>
      </c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>
        <v>118</v>
      </c>
      <c r="GE868" s="4">
        <v>370</v>
      </c>
      <c r="GF868" s="4">
        <v>367</v>
      </c>
      <c r="GG868" s="4">
        <v>352</v>
      </c>
      <c r="GH868" s="4">
        <v>327</v>
      </c>
      <c r="GI868" s="4">
        <v>287</v>
      </c>
      <c r="GJ868" s="4">
        <v>213</v>
      </c>
      <c r="GK868" s="4">
        <v>175</v>
      </c>
      <c r="GL868" s="4">
        <v>138</v>
      </c>
      <c r="GM868" s="4">
        <v>205</v>
      </c>
      <c r="GN868" s="4">
        <v>371</v>
      </c>
      <c r="GO868" s="4">
        <v>342</v>
      </c>
      <c r="GP868" s="4">
        <v>311</v>
      </c>
      <c r="GQ868" s="4">
        <v>265</v>
      </c>
      <c r="GR868" s="4">
        <v>241</v>
      </c>
      <c r="GS868" s="4">
        <v>216</v>
      </c>
      <c r="GT868" s="4">
        <v>197</v>
      </c>
      <c r="GU868" s="4">
        <v>181</v>
      </c>
      <c r="GV868" s="4">
        <v>164</v>
      </c>
      <c r="GW868" s="4">
        <v>151</v>
      </c>
      <c r="GX868" s="4">
        <v>140</v>
      </c>
      <c r="GY868" s="4">
        <v>130</v>
      </c>
      <c r="GZ868" s="4">
        <v>120</v>
      </c>
      <c r="HA868" s="4">
        <v>110</v>
      </c>
      <c r="HB868" s="4">
        <v>100</v>
      </c>
      <c r="HC868" s="4">
        <v>90</v>
      </c>
      <c r="HD868" s="19">
        <v>5.6</v>
      </c>
      <c r="HE868" s="19">
        <v>17.6</v>
      </c>
      <c r="HF868" s="19">
        <v>9.7</v>
      </c>
      <c r="HG868" s="19">
        <v>8</v>
      </c>
      <c r="HH868" s="19">
        <v>7</v>
      </c>
      <c r="HI868" s="19">
        <v>6.5</v>
      </c>
      <c r="HJ868" s="19">
        <v>6.9</v>
      </c>
      <c r="HK868" s="19">
        <v>6</v>
      </c>
      <c r="HL868" s="19">
        <v>4.9</v>
      </c>
      <c r="HM868" s="19">
        <v>6.4</v>
      </c>
      <c r="HN868" s="19">
        <v>11.6</v>
      </c>
      <c r="HO868" s="19">
        <v>10.7</v>
      </c>
      <c r="HP868" s="19">
        <v>11.1</v>
      </c>
      <c r="HQ868" s="19">
        <v>12.6</v>
      </c>
      <c r="HR868" s="19">
        <v>12.7</v>
      </c>
      <c r="HS868" s="19">
        <v>13.5</v>
      </c>
      <c r="HT868" s="19">
        <v>14.1</v>
      </c>
      <c r="HU868" s="19">
        <v>13.9</v>
      </c>
      <c r="HV868" s="19">
        <v>14.9</v>
      </c>
      <c r="HW868" s="19">
        <v>15.1</v>
      </c>
      <c r="HX868" s="19">
        <v>14</v>
      </c>
      <c r="HY868" s="19">
        <v>13</v>
      </c>
      <c r="HZ868" s="19">
        <v>12</v>
      </c>
      <c r="IA868" s="19">
        <v>11</v>
      </c>
      <c r="IB868" s="19">
        <v>11.1</v>
      </c>
      <c r="IC868" s="19">
        <v>11.3</v>
      </c>
    </row>
    <row r="869">
      <c r="A869" s="2" t="s">
        <v>3540</v>
      </c>
      <c r="B869" s="2" t="s">
        <v>323</v>
      </c>
      <c r="C869" s="2" t="s">
        <v>853</v>
      </c>
      <c r="D869" s="2" t="s">
        <v>257</v>
      </c>
      <c r="E869" s="2" t="s">
        <v>258</v>
      </c>
      <c r="F869" s="2" t="s">
        <v>3483</v>
      </c>
      <c r="G869" s="2" t="s">
        <v>3483</v>
      </c>
      <c r="H869" s="2" t="s">
        <v>3483</v>
      </c>
      <c r="I869" s="2" t="s">
        <v>3484</v>
      </c>
      <c r="J869" s="2" t="s">
        <v>250</v>
      </c>
      <c r="K869" s="2" t="s">
        <v>3536</v>
      </c>
      <c r="L869" s="3">
        <v>19.13</v>
      </c>
      <c r="M869" s="3">
        <v>20.09</v>
      </c>
      <c r="N869" s="3">
        <v>42.99</v>
      </c>
      <c r="O869" s="2" t="s">
        <v>232</v>
      </c>
      <c r="P869" s="2" t="s">
        <v>233</v>
      </c>
      <c r="Q869" s="2" t="s">
        <v>234</v>
      </c>
      <c r="R869" s="2" t="s">
        <v>235</v>
      </c>
      <c r="S869" s="2" t="s">
        <v>3537</v>
      </c>
      <c r="T869" s="2" t="s">
        <v>2908</v>
      </c>
      <c r="U869" s="2" t="s">
        <v>264</v>
      </c>
      <c r="V869" s="2" t="s">
        <v>2919</v>
      </c>
      <c r="W869" s="2" t="s">
        <v>239</v>
      </c>
      <c r="X869" s="2" t="s">
        <v>1157</v>
      </c>
      <c r="Y869" s="2" t="s">
        <v>3487</v>
      </c>
      <c r="Z869" s="4">
        <v>14</v>
      </c>
      <c r="AA869" s="4">
        <f>=ROUNDDOWN(0.875,0)</f>
      </c>
      <c r="AB869" s="5">
        <v>16</v>
      </c>
      <c r="AC869" s="2" t="s">
        <v>883</v>
      </c>
      <c r="AD869" s="4">
        <v>234</v>
      </c>
      <c r="AE869" s="4">
        <v>526</v>
      </c>
      <c r="AF869" s="6">
        <v>73</v>
      </c>
      <c r="AG869" s="6"/>
      <c r="AH869" s="7">
        <v>1</v>
      </c>
      <c r="AI869" s="4"/>
      <c r="AJ869" s="4">
        <f>=ROUNDDOWN({0},0)</f>
      </c>
      <c r="AK869" s="5"/>
      <c r="AL869" s="2" t="s">
        <v>235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235</v>
      </c>
      <c r="AW869" s="8" t="s">
        <v>235</v>
      </c>
      <c r="AX869" s="4" t="s">
        <v>235</v>
      </c>
      <c r="AY869" s="8" t="s">
        <v>235</v>
      </c>
      <c r="AZ869" s="7" t="s">
        <v>235</v>
      </c>
      <c r="BA869" s="7" t="s">
        <v>235</v>
      </c>
      <c r="BB869" s="7"/>
      <c r="BC869" s="4" t="s">
        <v>235</v>
      </c>
      <c r="BD869" s="8" t="s">
        <v>235</v>
      </c>
      <c r="BE869" s="4" t="s">
        <v>235</v>
      </c>
      <c r="BF869" s="8" t="s">
        <v>235</v>
      </c>
      <c r="BG869" s="7" t="s">
        <v>235</v>
      </c>
      <c r="BH869" s="7" t="s">
        <v>235</v>
      </c>
      <c r="BI869" s="7"/>
      <c r="BJ869" s="4">
        <v>70</v>
      </c>
      <c r="BK869" s="8">
        <v>1583.93</v>
      </c>
      <c r="BL869" s="2" t="s">
        <v>3541</v>
      </c>
      <c r="BM869" s="7"/>
      <c r="BN869" s="7"/>
      <c r="BO869" s="4"/>
      <c r="BP869" s="8"/>
      <c r="BQ869" s="4"/>
      <c r="BR869" s="8"/>
      <c r="BS869" s="7"/>
      <c r="BT869" s="7"/>
      <c r="BU869" s="2" t="s">
        <v>3488</v>
      </c>
      <c r="BV869" s="2" t="s">
        <v>243</v>
      </c>
      <c r="BW869" s="2" t="s">
        <v>235</v>
      </c>
      <c r="BX869" s="2" t="s">
        <v>244</v>
      </c>
      <c r="BY869" s="2" t="s">
        <v>245</v>
      </c>
      <c r="BZ869" s="2" t="s">
        <v>232</v>
      </c>
      <c r="CA869" s="2" t="s">
        <v>3489</v>
      </c>
      <c r="CB869" s="2" t="s">
        <v>3335</v>
      </c>
      <c r="CC869" s="2" t="s">
        <v>248</v>
      </c>
      <c r="CD869" s="2" t="s">
        <v>248</v>
      </c>
      <c r="CE869" s="2" t="s">
        <v>235</v>
      </c>
      <c r="CF869" s="4">
        <v>14</v>
      </c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>
        <v>234</v>
      </c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>
        <v>200</v>
      </c>
      <c r="ED869" s="4"/>
      <c r="EE869" s="4"/>
      <c r="EF869" s="4"/>
      <c r="EG869" s="4"/>
      <c r="EH869" s="4"/>
      <c r="EI869" s="4"/>
      <c r="EJ869" s="4">
        <v>92</v>
      </c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>
        <v>37</v>
      </c>
      <c r="GE869" s="4">
        <v>254</v>
      </c>
      <c r="GF869" s="4">
        <v>250</v>
      </c>
      <c r="GG869" s="4">
        <v>246</v>
      </c>
      <c r="GH869" s="4">
        <v>242</v>
      </c>
      <c r="GI869" s="4">
        <v>215</v>
      </c>
      <c r="GJ869" s="4">
        <v>157</v>
      </c>
      <c r="GK869" s="4">
        <v>326</v>
      </c>
      <c r="GL869" s="4">
        <v>296</v>
      </c>
      <c r="GM869" s="4">
        <v>366</v>
      </c>
      <c r="GN869" s="4">
        <v>343</v>
      </c>
      <c r="GO869" s="4">
        <v>315</v>
      </c>
      <c r="GP869" s="4">
        <v>281</v>
      </c>
      <c r="GQ869" s="4">
        <v>225</v>
      </c>
      <c r="GR869" s="4">
        <v>197</v>
      </c>
      <c r="GS869" s="4">
        <v>169</v>
      </c>
      <c r="GT869" s="4">
        <v>149</v>
      </c>
      <c r="GU869" s="4">
        <v>133</v>
      </c>
      <c r="GV869" s="4">
        <v>115</v>
      </c>
      <c r="GW869" s="4">
        <v>102</v>
      </c>
      <c r="GX869" s="4">
        <v>92</v>
      </c>
      <c r="GY869" s="4">
        <v>83</v>
      </c>
      <c r="GZ869" s="4">
        <v>73</v>
      </c>
      <c r="HA869" s="4">
        <v>63</v>
      </c>
      <c r="HB869" s="4">
        <v>53</v>
      </c>
      <c r="HC869" s="4">
        <v>43</v>
      </c>
      <c r="HD869" s="19">
        <v>5.3</v>
      </c>
      <c r="HE869" s="19">
        <v>25.4</v>
      </c>
      <c r="HF869" s="19">
        <v>10.9</v>
      </c>
      <c r="HG869" s="19">
        <v>8.2</v>
      </c>
      <c r="HH869" s="19">
        <v>6.7</v>
      </c>
      <c r="HI869" s="19">
        <v>6.1</v>
      </c>
      <c r="HJ869" s="19">
        <v>6</v>
      </c>
      <c r="HK869" s="19">
        <v>12.5</v>
      </c>
      <c r="HL869" s="19">
        <v>11</v>
      </c>
      <c r="HM869" s="19">
        <v>10.5</v>
      </c>
      <c r="HN869" s="19">
        <v>9.5</v>
      </c>
      <c r="HO869" s="19">
        <v>8.8</v>
      </c>
      <c r="HP869" s="19">
        <v>8.5</v>
      </c>
      <c r="HQ869" s="19">
        <v>9.8</v>
      </c>
      <c r="HR869" s="19">
        <v>9.9</v>
      </c>
      <c r="HS869" s="19">
        <v>9.9</v>
      </c>
      <c r="HT869" s="19">
        <v>10.6</v>
      </c>
      <c r="HU869" s="19">
        <v>11.1</v>
      </c>
      <c r="HV869" s="19">
        <v>11.5</v>
      </c>
      <c r="HW869" s="19">
        <v>10.2</v>
      </c>
      <c r="HX869" s="19">
        <v>9.2</v>
      </c>
      <c r="HY869" s="19">
        <v>8.3</v>
      </c>
      <c r="HZ869" s="19">
        <v>7.3</v>
      </c>
      <c r="IA869" s="19">
        <v>7</v>
      </c>
      <c r="IB869" s="19">
        <v>6.6</v>
      </c>
      <c r="IC869" s="19">
        <v>5.4</v>
      </c>
    </row>
    <row r="870">
      <c r="A870" s="2" t="s">
        <v>3542</v>
      </c>
      <c r="B870" s="2" t="s">
        <v>323</v>
      </c>
      <c r="C870" s="2" t="s">
        <v>853</v>
      </c>
      <c r="D870" s="2" t="s">
        <v>257</v>
      </c>
      <c r="E870" s="2" t="s">
        <v>258</v>
      </c>
      <c r="F870" s="2" t="s">
        <v>3483</v>
      </c>
      <c r="G870" s="2" t="s">
        <v>3483</v>
      </c>
      <c r="H870" s="2" t="s">
        <v>3483</v>
      </c>
      <c r="I870" s="2" t="s">
        <v>3509</v>
      </c>
      <c r="J870" s="2" t="s">
        <v>394</v>
      </c>
      <c r="K870" s="2" t="s">
        <v>3543</v>
      </c>
      <c r="L870" s="3">
        <v>14.89</v>
      </c>
      <c r="M870" s="3">
        <v>15.63</v>
      </c>
      <c r="N870" s="3">
        <v>31.99</v>
      </c>
      <c r="O870" s="2" t="s">
        <v>232</v>
      </c>
      <c r="P870" s="2" t="s">
        <v>878</v>
      </c>
      <c r="Q870" s="2" t="s">
        <v>234</v>
      </c>
      <c r="R870" s="2" t="s">
        <v>235</v>
      </c>
      <c r="S870" s="2" t="s">
        <v>235</v>
      </c>
      <c r="T870" s="2" t="s">
        <v>2908</v>
      </c>
      <c r="U870" s="2" t="s">
        <v>552</v>
      </c>
      <c r="V870" s="2" t="s">
        <v>2182</v>
      </c>
      <c r="W870" s="2" t="s">
        <v>329</v>
      </c>
      <c r="X870" s="2" t="s">
        <v>235</v>
      </c>
      <c r="Y870" s="2" t="s">
        <v>3320</v>
      </c>
      <c r="Z870" s="4">
        <v>394</v>
      </c>
      <c r="AA870" s="4">
        <f>=ROUNDDOWN({0},0)</f>
      </c>
      <c r="AB870" s="5"/>
      <c r="AC870" s="2" t="s">
        <v>2503</v>
      </c>
      <c r="AD870" s="4">
        <v>394</v>
      </c>
      <c r="AE870" s="4">
        <v>928</v>
      </c>
      <c r="AF870" s="6">
        <v>77</v>
      </c>
      <c r="AG870" s="6"/>
      <c r="AH870" s="7">
        <v>1</v>
      </c>
      <c r="AI870" s="4"/>
      <c r="AJ870" s="4">
        <f>=ROUNDDOWN({0},0)</f>
      </c>
      <c r="AK870" s="5"/>
      <c r="AL870" s="2" t="s">
        <v>235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235</v>
      </c>
      <c r="AW870" s="8" t="s">
        <v>235</v>
      </c>
      <c r="AX870" s="4" t="s">
        <v>235</v>
      </c>
      <c r="AY870" s="8" t="s">
        <v>235</v>
      </c>
      <c r="AZ870" s="7" t="s">
        <v>235</v>
      </c>
      <c r="BA870" s="7" t="s">
        <v>235</v>
      </c>
      <c r="BB870" s="7"/>
      <c r="BC870" s="4" t="s">
        <v>235</v>
      </c>
      <c r="BD870" s="8" t="s">
        <v>235</v>
      </c>
      <c r="BE870" s="4" t="s">
        <v>235</v>
      </c>
      <c r="BF870" s="8" t="s">
        <v>235</v>
      </c>
      <c r="BG870" s="7" t="s">
        <v>235</v>
      </c>
      <c r="BH870" s="7" t="s">
        <v>235</v>
      </c>
      <c r="BI870" s="7"/>
      <c r="BJ870" s="4"/>
      <c r="BK870" s="8"/>
      <c r="BL870" s="2" t="s">
        <v>235</v>
      </c>
      <c r="BM870" s="7"/>
      <c r="BN870" s="7"/>
      <c r="BO870" s="4"/>
      <c r="BP870" s="8"/>
      <c r="BQ870" s="4"/>
      <c r="BR870" s="8"/>
      <c r="BS870" s="7"/>
      <c r="BT870" s="7"/>
      <c r="BU870" s="2" t="s">
        <v>3544</v>
      </c>
      <c r="BV870" s="2" t="s">
        <v>235</v>
      </c>
      <c r="BW870" s="2" t="s">
        <v>235</v>
      </c>
      <c r="BX870" s="2" t="s">
        <v>244</v>
      </c>
      <c r="BY870" s="2" t="s">
        <v>245</v>
      </c>
      <c r="BZ870" s="2" t="s">
        <v>232</v>
      </c>
      <c r="CA870" s="2" t="s">
        <v>235</v>
      </c>
      <c r="CB870" s="2" t="s">
        <v>235</v>
      </c>
      <c r="CC870" s="2" t="s">
        <v>248</v>
      </c>
      <c r="CD870" s="2" t="s">
        <v>248</v>
      </c>
      <c r="CE870" s="2" t="s">
        <v>235</v>
      </c>
      <c r="CF870" s="4">
        <v>394</v>
      </c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>
        <v>394</v>
      </c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>
        <v>272</v>
      </c>
      <c r="ED870" s="4"/>
      <c r="EE870" s="4"/>
      <c r="EF870" s="4"/>
      <c r="EG870" s="4"/>
      <c r="EH870" s="4"/>
      <c r="EI870" s="4"/>
      <c r="EJ870" s="4">
        <v>262</v>
      </c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>
        <v>394</v>
      </c>
      <c r="GE870" s="4">
        <v>309</v>
      </c>
      <c r="GF870" s="4">
        <v>684</v>
      </c>
      <c r="GG870" s="4">
        <v>655</v>
      </c>
      <c r="GH870" s="4">
        <v>619</v>
      </c>
      <c r="GI870" s="4">
        <v>561</v>
      </c>
      <c r="GJ870" s="4">
        <v>444</v>
      </c>
      <c r="GK870" s="4">
        <v>655</v>
      </c>
      <c r="GL870" s="4">
        <v>595</v>
      </c>
      <c r="GM870" s="4">
        <v>814</v>
      </c>
      <c r="GN870" s="4">
        <v>763</v>
      </c>
      <c r="GO870" s="4">
        <v>701</v>
      </c>
      <c r="GP870" s="4">
        <v>626</v>
      </c>
      <c r="GQ870" s="4">
        <v>500</v>
      </c>
      <c r="GR870" s="4">
        <v>438</v>
      </c>
      <c r="GS870" s="4">
        <v>376</v>
      </c>
      <c r="GT870" s="4">
        <v>332</v>
      </c>
      <c r="GU870" s="4">
        <v>297</v>
      </c>
      <c r="GV870" s="4">
        <v>258</v>
      </c>
      <c r="GW870" s="4">
        <v>229</v>
      </c>
      <c r="GX870" s="4">
        <v>206</v>
      </c>
      <c r="GY870" s="4">
        <v>186</v>
      </c>
      <c r="GZ870" s="4">
        <v>164</v>
      </c>
      <c r="HA870" s="4">
        <v>142</v>
      </c>
      <c r="HB870" s="4">
        <v>120</v>
      </c>
      <c r="HC870" s="4">
        <v>98</v>
      </c>
      <c r="HD870" s="19">
        <v>9.4</v>
      </c>
      <c r="HE870" s="19">
        <v>8.6</v>
      </c>
      <c r="HF870" s="19">
        <v>11.4</v>
      </c>
      <c r="HG870" s="19">
        <v>9.6</v>
      </c>
      <c r="HH870" s="19">
        <v>8.4</v>
      </c>
      <c r="HI870" s="19">
        <v>8</v>
      </c>
      <c r="HJ870" s="19">
        <v>8.2</v>
      </c>
      <c r="HK870" s="19">
        <v>12.1</v>
      </c>
      <c r="HL870" s="19">
        <v>10.3</v>
      </c>
      <c r="HM870" s="19">
        <v>10.4</v>
      </c>
      <c r="HN870" s="19">
        <v>9.4</v>
      </c>
      <c r="HO870" s="19">
        <v>8.7</v>
      </c>
      <c r="HP870" s="19">
        <v>8.5</v>
      </c>
      <c r="HQ870" s="19">
        <v>9.8</v>
      </c>
      <c r="HR870" s="19">
        <v>9.7</v>
      </c>
      <c r="HS870" s="19">
        <v>10.2</v>
      </c>
      <c r="HT870" s="19">
        <v>10.4</v>
      </c>
      <c r="HU870" s="19">
        <v>10.6</v>
      </c>
      <c r="HV870" s="19">
        <v>10.8</v>
      </c>
      <c r="HW870" s="19">
        <v>10.4</v>
      </c>
      <c r="HX870" s="19">
        <v>9.4</v>
      </c>
      <c r="HY870" s="19">
        <v>8.5</v>
      </c>
      <c r="HZ870" s="19">
        <v>7.8</v>
      </c>
      <c r="IA870" s="19">
        <v>7.1</v>
      </c>
      <c r="IB870" s="19">
        <v>6.7</v>
      </c>
      <c r="IC870" s="19">
        <v>5.8</v>
      </c>
    </row>
    <row r="871">
      <c r="A871" s="2" t="s">
        <v>3545</v>
      </c>
      <c r="B871" s="2" t="s">
        <v>323</v>
      </c>
      <c r="C871" s="2" t="s">
        <v>853</v>
      </c>
      <c r="D871" s="2" t="s">
        <v>257</v>
      </c>
      <c r="E871" s="2" t="s">
        <v>258</v>
      </c>
      <c r="F871" s="2" t="s">
        <v>3483</v>
      </c>
      <c r="G871" s="2" t="s">
        <v>3483</v>
      </c>
      <c r="H871" s="2" t="s">
        <v>3483</v>
      </c>
      <c r="I871" s="2" t="s">
        <v>3509</v>
      </c>
      <c r="J871" s="2" t="s">
        <v>230</v>
      </c>
      <c r="K871" s="2" t="s">
        <v>3543</v>
      </c>
      <c r="L871" s="3">
        <v>15.22</v>
      </c>
      <c r="M871" s="3">
        <v>15.98</v>
      </c>
      <c r="N871" s="3">
        <v>31.99</v>
      </c>
      <c r="O871" s="2" t="s">
        <v>232</v>
      </c>
      <c r="P871" s="2" t="s">
        <v>878</v>
      </c>
      <c r="Q871" s="2" t="s">
        <v>234</v>
      </c>
      <c r="R871" s="2" t="s">
        <v>235</v>
      </c>
      <c r="S871" s="2" t="s">
        <v>235</v>
      </c>
      <c r="T871" s="2" t="s">
        <v>2908</v>
      </c>
      <c r="U871" s="2" t="s">
        <v>552</v>
      </c>
      <c r="V871" s="2" t="s">
        <v>2182</v>
      </c>
      <c r="W871" s="2" t="s">
        <v>329</v>
      </c>
      <c r="X871" s="2" t="s">
        <v>235</v>
      </c>
      <c r="Y871" s="2" t="s">
        <v>1459</v>
      </c>
      <c r="Z871" s="4">
        <v>118</v>
      </c>
      <c r="AA871" s="4">
        <f>=ROUNDDOWN({0},0)</f>
      </c>
      <c r="AB871" s="5"/>
      <c r="AC871" s="2" t="s">
        <v>2503</v>
      </c>
      <c r="AD871" s="4">
        <v>118</v>
      </c>
      <c r="AE871" s="4">
        <v>276</v>
      </c>
      <c r="AF871" s="6">
        <v>77</v>
      </c>
      <c r="AG871" s="6"/>
      <c r="AH871" s="7">
        <v>1</v>
      </c>
      <c r="AI871" s="4"/>
      <c r="AJ871" s="4">
        <f>=ROUNDDOWN({0},0)</f>
      </c>
      <c r="AK871" s="5"/>
      <c r="AL871" s="2" t="s">
        <v>235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235</v>
      </c>
      <c r="AW871" s="8" t="s">
        <v>235</v>
      </c>
      <c r="AX871" s="4" t="s">
        <v>235</v>
      </c>
      <c r="AY871" s="8" t="s">
        <v>235</v>
      </c>
      <c r="AZ871" s="7" t="s">
        <v>235</v>
      </c>
      <c r="BA871" s="7" t="s">
        <v>235</v>
      </c>
      <c r="BB871" s="7"/>
      <c r="BC871" s="4" t="s">
        <v>235</v>
      </c>
      <c r="BD871" s="8" t="s">
        <v>235</v>
      </c>
      <c r="BE871" s="4" t="s">
        <v>235</v>
      </c>
      <c r="BF871" s="8" t="s">
        <v>235</v>
      </c>
      <c r="BG871" s="7" t="s">
        <v>235</v>
      </c>
      <c r="BH871" s="7" t="s">
        <v>235</v>
      </c>
      <c r="BI871" s="7"/>
      <c r="BJ871" s="4"/>
      <c r="BK871" s="8"/>
      <c r="BL871" s="2" t="s">
        <v>235</v>
      </c>
      <c r="BM871" s="7"/>
      <c r="BN871" s="7"/>
      <c r="BO871" s="4"/>
      <c r="BP871" s="8"/>
      <c r="BQ871" s="4"/>
      <c r="BR871" s="8"/>
      <c r="BS871" s="7"/>
      <c r="BT871" s="7"/>
      <c r="BU871" s="2" t="s">
        <v>3546</v>
      </c>
      <c r="BV871" s="2" t="s">
        <v>235</v>
      </c>
      <c r="BW871" s="2" t="s">
        <v>235</v>
      </c>
      <c r="BX871" s="2" t="s">
        <v>244</v>
      </c>
      <c r="BY871" s="2" t="s">
        <v>245</v>
      </c>
      <c r="BZ871" s="2" t="s">
        <v>232</v>
      </c>
      <c r="CA871" s="2" t="s">
        <v>235</v>
      </c>
      <c r="CB871" s="2" t="s">
        <v>235</v>
      </c>
      <c r="CC871" s="2" t="s">
        <v>248</v>
      </c>
      <c r="CD871" s="2" t="s">
        <v>248</v>
      </c>
      <c r="CE871" s="2" t="s">
        <v>235</v>
      </c>
      <c r="CF871" s="4">
        <v>118</v>
      </c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>
        <v>118</v>
      </c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>
        <v>79</v>
      </c>
      <c r="ED871" s="4"/>
      <c r="EE871" s="4"/>
      <c r="EF871" s="4"/>
      <c r="EG871" s="4"/>
      <c r="EH871" s="4"/>
      <c r="EI871" s="4"/>
      <c r="EJ871" s="4">
        <v>79</v>
      </c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>
        <v>118</v>
      </c>
      <c r="GE871" s="4">
        <v>104</v>
      </c>
      <c r="GF871" s="4">
        <v>218</v>
      </c>
      <c r="GG871" s="4">
        <v>212</v>
      </c>
      <c r="GH871" s="4">
        <v>205</v>
      </c>
      <c r="GI871" s="4">
        <v>194</v>
      </c>
      <c r="GJ871" s="4">
        <v>171</v>
      </c>
      <c r="GK871" s="4">
        <v>237</v>
      </c>
      <c r="GL871" s="4">
        <v>225</v>
      </c>
      <c r="GM871" s="4">
        <v>295</v>
      </c>
      <c r="GN871" s="4">
        <v>281</v>
      </c>
      <c r="GO871" s="4">
        <v>264</v>
      </c>
      <c r="GP871" s="4">
        <v>242</v>
      </c>
      <c r="GQ871" s="4">
        <v>203</v>
      </c>
      <c r="GR871" s="4">
        <v>184</v>
      </c>
      <c r="GS871" s="4">
        <v>165</v>
      </c>
      <c r="GT871" s="4">
        <v>152</v>
      </c>
      <c r="GU871" s="4">
        <v>142</v>
      </c>
      <c r="GV871" s="4">
        <v>131</v>
      </c>
      <c r="GW871" s="4">
        <v>122</v>
      </c>
      <c r="GX871" s="4">
        <v>115</v>
      </c>
      <c r="GY871" s="4">
        <v>109</v>
      </c>
      <c r="GZ871" s="4">
        <v>103</v>
      </c>
      <c r="HA871" s="4">
        <v>97</v>
      </c>
      <c r="HB871" s="4">
        <v>91</v>
      </c>
      <c r="HC871" s="4">
        <v>85</v>
      </c>
      <c r="HD871" s="19">
        <v>14.8</v>
      </c>
      <c r="HE871" s="19">
        <v>14.9</v>
      </c>
      <c r="HF871" s="19">
        <v>18.2</v>
      </c>
      <c r="HG871" s="19">
        <v>15.1</v>
      </c>
      <c r="HH871" s="19">
        <v>13.7</v>
      </c>
      <c r="HI871" s="19">
        <v>13.9</v>
      </c>
      <c r="HJ871" s="19">
        <v>14.3</v>
      </c>
      <c r="HK871" s="19">
        <v>18.2</v>
      </c>
      <c r="HL871" s="19">
        <v>14.1</v>
      </c>
      <c r="HM871" s="19">
        <v>12.8</v>
      </c>
      <c r="HN871" s="19">
        <v>11.7</v>
      </c>
      <c r="HO871" s="19">
        <v>10.6</v>
      </c>
      <c r="HP871" s="19">
        <v>11</v>
      </c>
      <c r="HQ871" s="19">
        <v>13.5</v>
      </c>
      <c r="HR871" s="19">
        <v>14.2</v>
      </c>
      <c r="HS871" s="19">
        <v>15</v>
      </c>
      <c r="HT871" s="19">
        <v>16.9</v>
      </c>
      <c r="HU871" s="19">
        <v>17.8</v>
      </c>
      <c r="HV871" s="19">
        <v>18.7</v>
      </c>
      <c r="HW871" s="19">
        <v>20.3</v>
      </c>
      <c r="HX871" s="19">
        <v>19.2</v>
      </c>
      <c r="HY871" s="19">
        <v>18.2</v>
      </c>
      <c r="HZ871" s="19">
        <v>17.2</v>
      </c>
      <c r="IA871" s="19">
        <v>16.2</v>
      </c>
      <c r="IB871" s="19">
        <v>18.2</v>
      </c>
      <c r="IC871" s="19">
        <v>21.3</v>
      </c>
    </row>
    <row r="872">
      <c r="A872" s="2" t="s">
        <v>3547</v>
      </c>
      <c r="B872" s="2" t="s">
        <v>323</v>
      </c>
      <c r="C872" s="2" t="s">
        <v>853</v>
      </c>
      <c r="D872" s="2" t="s">
        <v>257</v>
      </c>
      <c r="E872" s="2" t="s">
        <v>258</v>
      </c>
      <c r="F872" s="2" t="s">
        <v>3483</v>
      </c>
      <c r="G872" s="2" t="s">
        <v>3483</v>
      </c>
      <c r="H872" s="2" t="s">
        <v>3483</v>
      </c>
      <c r="I872" s="2" t="s">
        <v>3509</v>
      </c>
      <c r="J872" s="2" t="s">
        <v>250</v>
      </c>
      <c r="K872" s="2" t="s">
        <v>3543</v>
      </c>
      <c r="L872" s="3">
        <v>19.13</v>
      </c>
      <c r="M872" s="3">
        <v>20.09</v>
      </c>
      <c r="N872" s="3">
        <v>42.99</v>
      </c>
      <c r="O872" s="2" t="s">
        <v>232</v>
      </c>
      <c r="P872" s="2" t="s">
        <v>878</v>
      </c>
      <c r="Q872" s="2" t="s">
        <v>234</v>
      </c>
      <c r="R872" s="2" t="s">
        <v>235</v>
      </c>
      <c r="S872" s="2" t="s">
        <v>235</v>
      </c>
      <c r="T872" s="2" t="s">
        <v>2908</v>
      </c>
      <c r="U872" s="2" t="s">
        <v>264</v>
      </c>
      <c r="V872" s="2" t="s">
        <v>2182</v>
      </c>
      <c r="W872" s="2" t="s">
        <v>329</v>
      </c>
      <c r="X872" s="2" t="s">
        <v>235</v>
      </c>
      <c r="Y872" s="2" t="s">
        <v>1459</v>
      </c>
      <c r="Z872" s="4">
        <v>248</v>
      </c>
      <c r="AA872" s="4">
        <f>=ROUNDDOWN({0},0)</f>
      </c>
      <c r="AB872" s="5"/>
      <c r="AC872" s="2" t="s">
        <v>2503</v>
      </c>
      <c r="AD872" s="4">
        <v>247</v>
      </c>
      <c r="AE872" s="4">
        <v>587</v>
      </c>
      <c r="AF872" s="6">
        <v>77</v>
      </c>
      <c r="AG872" s="6"/>
      <c r="AH872" s="7">
        <v>1</v>
      </c>
      <c r="AI872" s="4"/>
      <c r="AJ872" s="4">
        <f>=ROUNDDOWN({0},0)</f>
      </c>
      <c r="AK872" s="5"/>
      <c r="AL872" s="2" t="s">
        <v>235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235</v>
      </c>
      <c r="AW872" s="8" t="s">
        <v>235</v>
      </c>
      <c r="AX872" s="4" t="s">
        <v>235</v>
      </c>
      <c r="AY872" s="8" t="s">
        <v>235</v>
      </c>
      <c r="AZ872" s="7" t="s">
        <v>235</v>
      </c>
      <c r="BA872" s="7" t="s">
        <v>235</v>
      </c>
      <c r="BB872" s="7"/>
      <c r="BC872" s="4" t="s">
        <v>235</v>
      </c>
      <c r="BD872" s="8" t="s">
        <v>235</v>
      </c>
      <c r="BE872" s="4" t="s">
        <v>235</v>
      </c>
      <c r="BF872" s="8" t="s">
        <v>235</v>
      </c>
      <c r="BG872" s="7" t="s">
        <v>235</v>
      </c>
      <c r="BH872" s="7" t="s">
        <v>235</v>
      </c>
      <c r="BI872" s="7"/>
      <c r="BJ872" s="4"/>
      <c r="BK872" s="8"/>
      <c r="BL872" s="2" t="s">
        <v>235</v>
      </c>
      <c r="BM872" s="7"/>
      <c r="BN872" s="7"/>
      <c r="BO872" s="4"/>
      <c r="BP872" s="8"/>
      <c r="BQ872" s="4"/>
      <c r="BR872" s="8"/>
      <c r="BS872" s="7"/>
      <c r="BT872" s="7"/>
      <c r="BU872" s="2" t="s">
        <v>3548</v>
      </c>
      <c r="BV872" s="2" t="s">
        <v>235</v>
      </c>
      <c r="BW872" s="2" t="s">
        <v>235</v>
      </c>
      <c r="BX872" s="2" t="s">
        <v>244</v>
      </c>
      <c r="BY872" s="2" t="s">
        <v>245</v>
      </c>
      <c r="BZ872" s="2" t="s">
        <v>232</v>
      </c>
      <c r="CA872" s="2" t="s">
        <v>235</v>
      </c>
      <c r="CB872" s="2" t="s">
        <v>235</v>
      </c>
      <c r="CC872" s="2" t="s">
        <v>248</v>
      </c>
      <c r="CD872" s="2" t="s">
        <v>248</v>
      </c>
      <c r="CE872" s="2" t="s">
        <v>235</v>
      </c>
      <c r="CF872" s="4">
        <v>248</v>
      </c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>
        <v>247</v>
      </c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>
        <v>175</v>
      </c>
      <c r="ED872" s="4"/>
      <c r="EE872" s="4"/>
      <c r="EF872" s="4"/>
      <c r="EG872" s="4"/>
      <c r="EH872" s="4"/>
      <c r="EI872" s="4"/>
      <c r="EJ872" s="4">
        <v>165</v>
      </c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>
        <v>248</v>
      </c>
      <c r="GE872" s="4">
        <v>211</v>
      </c>
      <c r="GF872" s="4">
        <v>450</v>
      </c>
      <c r="GG872" s="4">
        <v>438</v>
      </c>
      <c r="GH872" s="4">
        <v>422</v>
      </c>
      <c r="GI872" s="4">
        <v>396</v>
      </c>
      <c r="GJ872" s="4">
        <v>343</v>
      </c>
      <c r="GK872" s="4">
        <v>488</v>
      </c>
      <c r="GL872" s="4">
        <v>458</v>
      </c>
      <c r="GM872" s="4">
        <v>600</v>
      </c>
      <c r="GN872" s="4">
        <v>567</v>
      </c>
      <c r="GO872" s="4">
        <v>526</v>
      </c>
      <c r="GP872" s="4">
        <v>471</v>
      </c>
      <c r="GQ872" s="4">
        <v>372</v>
      </c>
      <c r="GR872" s="4">
        <v>324</v>
      </c>
      <c r="GS872" s="4">
        <v>277</v>
      </c>
      <c r="GT872" s="4">
        <v>245</v>
      </c>
      <c r="GU872" s="4">
        <v>220</v>
      </c>
      <c r="GV872" s="4">
        <v>192</v>
      </c>
      <c r="GW872" s="4">
        <v>171</v>
      </c>
      <c r="GX872" s="4">
        <v>155</v>
      </c>
      <c r="GY872" s="4">
        <v>142</v>
      </c>
      <c r="GZ872" s="4">
        <v>127</v>
      </c>
      <c r="HA872" s="4">
        <v>112</v>
      </c>
      <c r="HB872" s="4">
        <v>97</v>
      </c>
      <c r="HC872" s="4">
        <v>82</v>
      </c>
      <c r="HD872" s="19">
        <v>13.8</v>
      </c>
      <c r="HE872" s="19">
        <v>13.2</v>
      </c>
      <c r="HF872" s="19">
        <v>16.7</v>
      </c>
      <c r="HG872" s="19">
        <v>14.1</v>
      </c>
      <c r="HH872" s="19">
        <v>12.1</v>
      </c>
      <c r="HI872" s="19">
        <v>11.6</v>
      </c>
      <c r="HJ872" s="19">
        <v>11.8</v>
      </c>
      <c r="HK872" s="19">
        <v>15.3</v>
      </c>
      <c r="HL872" s="19">
        <v>12.1</v>
      </c>
      <c r="HM872" s="19">
        <v>10.5</v>
      </c>
      <c r="HN872" s="19">
        <v>9.3</v>
      </c>
      <c r="HO872" s="19">
        <v>8.5</v>
      </c>
      <c r="HP872" s="19">
        <v>8.4</v>
      </c>
      <c r="HQ872" s="19">
        <v>9.8</v>
      </c>
      <c r="HR872" s="19">
        <v>9.8</v>
      </c>
      <c r="HS872" s="19">
        <v>10.7</v>
      </c>
      <c r="HT872" s="19">
        <v>11.1</v>
      </c>
      <c r="HU872" s="19">
        <v>11</v>
      </c>
      <c r="HV872" s="19">
        <v>12</v>
      </c>
      <c r="HW872" s="19">
        <v>11.4</v>
      </c>
      <c r="HX872" s="19">
        <v>11.1</v>
      </c>
      <c r="HY872" s="19">
        <v>9.5</v>
      </c>
      <c r="HZ872" s="19">
        <v>9.1</v>
      </c>
      <c r="IA872" s="19">
        <v>8</v>
      </c>
      <c r="IB872" s="19">
        <v>8.1</v>
      </c>
      <c r="IC872" s="19">
        <v>6.8</v>
      </c>
    </row>
    <row r="873">
      <c r="A873" s="2" t="s">
        <v>3549</v>
      </c>
      <c r="B873" s="2" t="s">
        <v>323</v>
      </c>
      <c r="C873" s="2" t="s">
        <v>853</v>
      </c>
      <c r="D873" s="2" t="s">
        <v>257</v>
      </c>
      <c r="E873" s="2" t="s">
        <v>258</v>
      </c>
      <c r="F873" s="2" t="s">
        <v>3483</v>
      </c>
      <c r="G873" s="2" t="s">
        <v>3483</v>
      </c>
      <c r="H873" s="2" t="s">
        <v>3483</v>
      </c>
      <c r="I873" s="2" t="s">
        <v>3509</v>
      </c>
      <c r="J873" s="2" t="s">
        <v>261</v>
      </c>
      <c r="K873" s="2" t="s">
        <v>3543</v>
      </c>
      <c r="L873" s="3">
        <v>21.27</v>
      </c>
      <c r="M873" s="3">
        <v>22.33</v>
      </c>
      <c r="N873" s="3">
        <v>47.99</v>
      </c>
      <c r="O873" s="2" t="s">
        <v>232</v>
      </c>
      <c r="P873" s="2" t="s">
        <v>878</v>
      </c>
      <c r="Q873" s="2" t="s">
        <v>234</v>
      </c>
      <c r="R873" s="2" t="s">
        <v>235</v>
      </c>
      <c r="S873" s="2" t="s">
        <v>235</v>
      </c>
      <c r="T873" s="2" t="s">
        <v>2908</v>
      </c>
      <c r="U873" s="2" t="s">
        <v>264</v>
      </c>
      <c r="V873" s="2" t="s">
        <v>2182</v>
      </c>
      <c r="W873" s="2" t="s">
        <v>329</v>
      </c>
      <c r="X873" s="2" t="s">
        <v>235</v>
      </c>
      <c r="Y873" s="2" t="s">
        <v>1459</v>
      </c>
      <c r="Z873" s="4">
        <v>264</v>
      </c>
      <c r="AA873" s="4">
        <f>=ROUNDDOWN({0},0)</f>
      </c>
      <c r="AB873" s="5"/>
      <c r="AC873" s="2" t="s">
        <v>2503</v>
      </c>
      <c r="AD873" s="4">
        <v>258</v>
      </c>
      <c r="AE873" s="4">
        <v>612</v>
      </c>
      <c r="AF873" s="6">
        <v>77</v>
      </c>
      <c r="AG873" s="6"/>
      <c r="AH873" s="7">
        <v>1</v>
      </c>
      <c r="AI873" s="4"/>
      <c r="AJ873" s="4">
        <f>=ROUNDDOWN({0},0)</f>
      </c>
      <c r="AK873" s="5"/>
      <c r="AL873" s="2" t="s">
        <v>235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235</v>
      </c>
      <c r="AW873" s="8" t="s">
        <v>235</v>
      </c>
      <c r="AX873" s="4" t="s">
        <v>235</v>
      </c>
      <c r="AY873" s="8" t="s">
        <v>235</v>
      </c>
      <c r="AZ873" s="7" t="s">
        <v>235</v>
      </c>
      <c r="BA873" s="7" t="s">
        <v>235</v>
      </c>
      <c r="BB873" s="7"/>
      <c r="BC873" s="4" t="s">
        <v>235</v>
      </c>
      <c r="BD873" s="8" t="s">
        <v>235</v>
      </c>
      <c r="BE873" s="4" t="s">
        <v>235</v>
      </c>
      <c r="BF873" s="8" t="s">
        <v>235</v>
      </c>
      <c r="BG873" s="7" t="s">
        <v>235</v>
      </c>
      <c r="BH873" s="7" t="s">
        <v>235</v>
      </c>
      <c r="BI873" s="7"/>
      <c r="BJ873" s="4"/>
      <c r="BK873" s="8"/>
      <c r="BL873" s="2" t="s">
        <v>235</v>
      </c>
      <c r="BM873" s="7"/>
      <c r="BN873" s="7"/>
      <c r="BO873" s="4"/>
      <c r="BP873" s="8"/>
      <c r="BQ873" s="4"/>
      <c r="BR873" s="8"/>
      <c r="BS873" s="7"/>
      <c r="BT873" s="7"/>
      <c r="BU873" s="2" t="s">
        <v>3550</v>
      </c>
      <c r="BV873" s="2" t="s">
        <v>235</v>
      </c>
      <c r="BW873" s="2" t="s">
        <v>235</v>
      </c>
      <c r="BX873" s="2" t="s">
        <v>244</v>
      </c>
      <c r="BY873" s="2" t="s">
        <v>245</v>
      </c>
      <c r="BZ873" s="2" t="s">
        <v>232</v>
      </c>
      <c r="CA873" s="2" t="s">
        <v>235</v>
      </c>
      <c r="CB873" s="2" t="s">
        <v>235</v>
      </c>
      <c r="CC873" s="2" t="s">
        <v>248</v>
      </c>
      <c r="CD873" s="2" t="s">
        <v>248</v>
      </c>
      <c r="CE873" s="2" t="s">
        <v>235</v>
      </c>
      <c r="CF873" s="4">
        <v>264</v>
      </c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>
        <v>258</v>
      </c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>
        <v>182</v>
      </c>
      <c r="ED873" s="4"/>
      <c r="EE873" s="4"/>
      <c r="EF873" s="4"/>
      <c r="EG873" s="4"/>
      <c r="EH873" s="4"/>
      <c r="EI873" s="4"/>
      <c r="EJ873" s="4">
        <v>172</v>
      </c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>
        <v>264</v>
      </c>
      <c r="GE873" s="4">
        <v>209</v>
      </c>
      <c r="GF873" s="4">
        <v>455</v>
      </c>
      <c r="GG873" s="4">
        <v>436</v>
      </c>
      <c r="GH873" s="4">
        <v>412</v>
      </c>
      <c r="GI873" s="4">
        <v>375</v>
      </c>
      <c r="GJ873" s="4">
        <v>299</v>
      </c>
      <c r="GK873" s="4">
        <v>441</v>
      </c>
      <c r="GL873" s="4">
        <v>402</v>
      </c>
      <c r="GM873" s="4">
        <v>546</v>
      </c>
      <c r="GN873" s="4">
        <v>513</v>
      </c>
      <c r="GO873" s="4">
        <v>472</v>
      </c>
      <c r="GP873" s="4">
        <v>423</v>
      </c>
      <c r="GQ873" s="4">
        <v>340</v>
      </c>
      <c r="GR873" s="4">
        <v>298</v>
      </c>
      <c r="GS873" s="4">
        <v>256</v>
      </c>
      <c r="GT873" s="4">
        <v>226</v>
      </c>
      <c r="GU873" s="4">
        <v>202</v>
      </c>
      <c r="GV873" s="4">
        <v>176</v>
      </c>
      <c r="GW873" s="4">
        <v>157</v>
      </c>
      <c r="GX873" s="4">
        <v>141</v>
      </c>
      <c r="GY873" s="4">
        <v>128</v>
      </c>
      <c r="GZ873" s="4">
        <v>114</v>
      </c>
      <c r="HA873" s="4">
        <v>100</v>
      </c>
      <c r="HB873" s="4">
        <v>86</v>
      </c>
      <c r="HC873" s="4">
        <v>72</v>
      </c>
      <c r="HD873" s="19">
        <v>9.4</v>
      </c>
      <c r="HE873" s="19">
        <v>9.1</v>
      </c>
      <c r="HF873" s="19">
        <v>11.7</v>
      </c>
      <c r="HG873" s="19">
        <v>9.9</v>
      </c>
      <c r="HH873" s="19">
        <v>8.6</v>
      </c>
      <c r="HI873" s="19">
        <v>8.2</v>
      </c>
      <c r="HJ873" s="19">
        <v>8.5</v>
      </c>
      <c r="HK873" s="19">
        <v>12.6</v>
      </c>
      <c r="HL873" s="19">
        <v>10.6</v>
      </c>
      <c r="HM873" s="19">
        <v>10.5</v>
      </c>
      <c r="HN873" s="19">
        <v>9.5</v>
      </c>
      <c r="HO873" s="19">
        <v>8.7</v>
      </c>
      <c r="HP873" s="19">
        <v>8.6</v>
      </c>
      <c r="HQ873" s="19">
        <v>10</v>
      </c>
      <c r="HR873" s="19">
        <v>9.9</v>
      </c>
      <c r="HS873" s="19">
        <v>10.2</v>
      </c>
      <c r="HT873" s="19">
        <v>10.8</v>
      </c>
      <c r="HU873" s="19">
        <v>11.2</v>
      </c>
      <c r="HV873" s="19">
        <v>11</v>
      </c>
      <c r="HW873" s="19">
        <v>11.2</v>
      </c>
      <c r="HX873" s="19">
        <v>10.1</v>
      </c>
      <c r="HY873" s="19">
        <v>9.1</v>
      </c>
      <c r="HZ873" s="19">
        <v>8.1</v>
      </c>
      <c r="IA873" s="19">
        <v>7.7</v>
      </c>
      <c r="IB873" s="19">
        <v>7.2</v>
      </c>
      <c r="IC873" s="19">
        <v>6.5</v>
      </c>
    </row>
    <row r="874">
      <c r="A874" s="2" t="s">
        <v>3551</v>
      </c>
      <c r="B874" s="2" t="s">
        <v>323</v>
      </c>
      <c r="C874" s="2" t="s">
        <v>853</v>
      </c>
      <c r="D874" s="2" t="s">
        <v>257</v>
      </c>
      <c r="E874" s="2" t="s">
        <v>258</v>
      </c>
      <c r="F874" s="2" t="s">
        <v>3483</v>
      </c>
      <c r="G874" s="2" t="s">
        <v>3483</v>
      </c>
      <c r="H874" s="2" t="s">
        <v>3483</v>
      </c>
      <c r="I874" s="2" t="s">
        <v>3484</v>
      </c>
      <c r="J874" s="2" t="s">
        <v>250</v>
      </c>
      <c r="K874" s="2" t="s">
        <v>3552</v>
      </c>
      <c r="L874" s="3">
        <v>19.13</v>
      </c>
      <c r="M874" s="3">
        <v>20.09</v>
      </c>
      <c r="N874" s="3">
        <v>42.99</v>
      </c>
      <c r="O874" s="2" t="s">
        <v>232</v>
      </c>
      <c r="P874" s="2" t="s">
        <v>233</v>
      </c>
      <c r="Q874" s="2" t="s">
        <v>234</v>
      </c>
      <c r="R874" s="2" t="s">
        <v>235</v>
      </c>
      <c r="S874" s="2" t="s">
        <v>3553</v>
      </c>
      <c r="T874" s="2" t="s">
        <v>2908</v>
      </c>
      <c r="U874" s="2" t="s">
        <v>264</v>
      </c>
      <c r="V874" s="2" t="s">
        <v>2919</v>
      </c>
      <c r="W874" s="2" t="s">
        <v>239</v>
      </c>
      <c r="X874" s="2" t="s">
        <v>1157</v>
      </c>
      <c r="Y874" s="2" t="s">
        <v>3554</v>
      </c>
      <c r="Z874" s="4">
        <v>152</v>
      </c>
      <c r="AA874" s="4">
        <f>=ROUNDDOWN(5.84615384615385,0)</f>
      </c>
      <c r="AB874" s="5">
        <v>26</v>
      </c>
      <c r="AC874" s="2" t="s">
        <v>2503</v>
      </c>
      <c r="AD874" s="4">
        <v>286</v>
      </c>
      <c r="AE874" s="4">
        <v>833</v>
      </c>
      <c r="AF874" s="6">
        <v>78</v>
      </c>
      <c r="AG874" s="6"/>
      <c r="AH874" s="7">
        <v>1</v>
      </c>
      <c r="AI874" s="4"/>
      <c r="AJ874" s="4">
        <f>=ROUNDDOWN({0},0)</f>
      </c>
      <c r="AK874" s="5"/>
      <c r="AL874" s="2" t="s">
        <v>235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235</v>
      </c>
      <c r="AW874" s="8" t="s">
        <v>235</v>
      </c>
      <c r="AX874" s="4" t="s">
        <v>235</v>
      </c>
      <c r="AY874" s="8" t="s">
        <v>235</v>
      </c>
      <c r="AZ874" s="7" t="s">
        <v>235</v>
      </c>
      <c r="BA874" s="7" t="s">
        <v>235</v>
      </c>
      <c r="BB874" s="7"/>
      <c r="BC874" s="4" t="s">
        <v>235</v>
      </c>
      <c r="BD874" s="8" t="s">
        <v>235</v>
      </c>
      <c r="BE874" s="4" t="s">
        <v>235</v>
      </c>
      <c r="BF874" s="8" t="s">
        <v>235</v>
      </c>
      <c r="BG874" s="7" t="s">
        <v>235</v>
      </c>
      <c r="BH874" s="7" t="s">
        <v>235</v>
      </c>
      <c r="BI874" s="7"/>
      <c r="BJ874" s="4">
        <v>5</v>
      </c>
      <c r="BK874" s="8">
        <v>104.39</v>
      </c>
      <c r="BL874" s="2" t="s">
        <v>2751</v>
      </c>
      <c r="BM874" s="7"/>
      <c r="BN874" s="7"/>
      <c r="BO874" s="4"/>
      <c r="BP874" s="8"/>
      <c r="BQ874" s="4"/>
      <c r="BR874" s="8"/>
      <c r="BS874" s="7"/>
      <c r="BT874" s="7"/>
      <c r="BU874" s="2" t="s">
        <v>3488</v>
      </c>
      <c r="BV874" s="2" t="s">
        <v>243</v>
      </c>
      <c r="BW874" s="2" t="s">
        <v>235</v>
      </c>
      <c r="BX874" s="2" t="s">
        <v>244</v>
      </c>
      <c r="BY874" s="2" t="s">
        <v>245</v>
      </c>
      <c r="BZ874" s="2" t="s">
        <v>232</v>
      </c>
      <c r="CA874" s="2" t="s">
        <v>1198</v>
      </c>
      <c r="CB874" s="2" t="s">
        <v>1034</v>
      </c>
      <c r="CC874" s="2" t="s">
        <v>248</v>
      </c>
      <c r="CD874" s="2" t="s">
        <v>248</v>
      </c>
      <c r="CE874" s="2" t="s">
        <v>235</v>
      </c>
      <c r="CF874" s="4">
        <v>152</v>
      </c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>
        <v>286</v>
      </c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>
        <v>165</v>
      </c>
      <c r="EK874" s="4"/>
      <c r="EL874" s="4">
        <v>382</v>
      </c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>
        <v>155</v>
      </c>
      <c r="GE874" s="4">
        <v>143</v>
      </c>
      <c r="GF874" s="4">
        <v>420</v>
      </c>
      <c r="GG874" s="4">
        <v>411</v>
      </c>
      <c r="GH874" s="4">
        <v>390</v>
      </c>
      <c r="GI874" s="4">
        <v>347</v>
      </c>
      <c r="GJ874" s="4">
        <v>279</v>
      </c>
      <c r="GK874" s="4">
        <v>238</v>
      </c>
      <c r="GL874" s="4">
        <v>198</v>
      </c>
      <c r="GM874" s="4">
        <v>331</v>
      </c>
      <c r="GN874" s="4">
        <v>674</v>
      </c>
      <c r="GO874" s="4">
        <v>626</v>
      </c>
      <c r="GP874" s="4">
        <v>561</v>
      </c>
      <c r="GQ874" s="4">
        <v>443</v>
      </c>
      <c r="GR874" s="4">
        <v>386</v>
      </c>
      <c r="GS874" s="4">
        <v>330</v>
      </c>
      <c r="GT874" s="4">
        <v>292</v>
      </c>
      <c r="GU874" s="4">
        <v>263</v>
      </c>
      <c r="GV874" s="4">
        <v>230</v>
      </c>
      <c r="GW874" s="4">
        <v>206</v>
      </c>
      <c r="GX874" s="4">
        <v>188</v>
      </c>
      <c r="GY874" s="4">
        <v>173</v>
      </c>
      <c r="GZ874" s="4">
        <v>156</v>
      </c>
      <c r="HA874" s="4">
        <v>139</v>
      </c>
      <c r="HB874" s="4">
        <v>122</v>
      </c>
      <c r="HC874" s="4">
        <v>105</v>
      </c>
      <c r="HD874" s="19">
        <v>11.9</v>
      </c>
      <c r="HE874" s="19">
        <v>7.2</v>
      </c>
      <c r="HF874" s="19">
        <v>12</v>
      </c>
      <c r="HG874" s="19">
        <v>9.6</v>
      </c>
      <c r="HH874" s="19">
        <v>8.1</v>
      </c>
      <c r="HI874" s="19">
        <v>7.7</v>
      </c>
      <c r="HJ874" s="19">
        <v>7.3</v>
      </c>
      <c r="HK874" s="19">
        <v>6</v>
      </c>
      <c r="HL874" s="19">
        <v>4.3</v>
      </c>
      <c r="HM874" s="19">
        <v>4.9</v>
      </c>
      <c r="HN874" s="19">
        <v>9.4</v>
      </c>
      <c r="HO874" s="19">
        <v>8.5</v>
      </c>
      <c r="HP874" s="19">
        <v>8.4</v>
      </c>
      <c r="HQ874" s="19">
        <v>9.8</v>
      </c>
      <c r="HR874" s="19">
        <v>9.9</v>
      </c>
      <c r="HS874" s="19">
        <v>10.6</v>
      </c>
      <c r="HT874" s="19">
        <v>11.2</v>
      </c>
      <c r="HU874" s="19">
        <v>12</v>
      </c>
      <c r="HV874" s="19">
        <v>12.8</v>
      </c>
      <c r="HW874" s="19">
        <v>12.1</v>
      </c>
      <c r="HX874" s="19">
        <v>11.8</v>
      </c>
      <c r="HY874" s="19">
        <v>10.2</v>
      </c>
      <c r="HZ874" s="19">
        <v>9.8</v>
      </c>
      <c r="IA874" s="19">
        <v>9.3</v>
      </c>
      <c r="IB874" s="19">
        <v>8.7</v>
      </c>
      <c r="IC874" s="19">
        <v>8.8</v>
      </c>
    </row>
    <row r="875">
      <c r="A875" s="2" t="s">
        <v>3555</v>
      </c>
      <c r="B875" s="2" t="s">
        <v>323</v>
      </c>
      <c r="C875" s="2" t="s">
        <v>853</v>
      </c>
      <c r="D875" s="2" t="s">
        <v>257</v>
      </c>
      <c r="E875" s="2" t="s">
        <v>258</v>
      </c>
      <c r="F875" s="2" t="s">
        <v>3483</v>
      </c>
      <c r="G875" s="2" t="s">
        <v>3483</v>
      </c>
      <c r="H875" s="2" t="s">
        <v>3483</v>
      </c>
      <c r="I875" s="2" t="s">
        <v>3484</v>
      </c>
      <c r="J875" s="2" t="s">
        <v>261</v>
      </c>
      <c r="K875" s="2" t="s">
        <v>3552</v>
      </c>
      <c r="L875" s="3">
        <v>21.27</v>
      </c>
      <c r="M875" s="3">
        <v>22.33</v>
      </c>
      <c r="N875" s="3">
        <v>47.99</v>
      </c>
      <c r="O875" s="2" t="s">
        <v>232</v>
      </c>
      <c r="P875" s="2" t="s">
        <v>233</v>
      </c>
      <c r="Q875" s="2" t="s">
        <v>234</v>
      </c>
      <c r="R875" s="2" t="s">
        <v>235</v>
      </c>
      <c r="S875" s="2" t="s">
        <v>3553</v>
      </c>
      <c r="T875" s="2" t="s">
        <v>2908</v>
      </c>
      <c r="U875" s="2" t="s">
        <v>264</v>
      </c>
      <c r="V875" s="2" t="s">
        <v>2919</v>
      </c>
      <c r="W875" s="2" t="s">
        <v>239</v>
      </c>
      <c r="X875" s="2" t="s">
        <v>1157</v>
      </c>
      <c r="Y875" s="2" t="s">
        <v>3554</v>
      </c>
      <c r="Z875" s="4">
        <v>73</v>
      </c>
      <c r="AA875" s="4">
        <f>=ROUNDDOWN(2.80769230769231,0)</f>
      </c>
      <c r="AB875" s="5">
        <v>26</v>
      </c>
      <c r="AC875" s="2" t="s">
        <v>2503</v>
      </c>
      <c r="AD875" s="4">
        <v>373</v>
      </c>
      <c r="AE875" s="4">
        <v>878</v>
      </c>
      <c r="AF875" s="6">
        <v>78</v>
      </c>
      <c r="AG875" s="6"/>
      <c r="AH875" s="7">
        <v>1</v>
      </c>
      <c r="AI875" s="4"/>
      <c r="AJ875" s="4">
        <f>=ROUNDDOWN({0},0)</f>
      </c>
      <c r="AK875" s="5"/>
      <c r="AL875" s="2" t="s">
        <v>235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235</v>
      </c>
      <c r="AW875" s="8" t="s">
        <v>235</v>
      </c>
      <c r="AX875" s="4" t="s">
        <v>235</v>
      </c>
      <c r="AY875" s="8" t="s">
        <v>235</v>
      </c>
      <c r="AZ875" s="7" t="s">
        <v>235</v>
      </c>
      <c r="BA875" s="7" t="s">
        <v>235</v>
      </c>
      <c r="BB875" s="7"/>
      <c r="BC875" s="4" t="s">
        <v>235</v>
      </c>
      <c r="BD875" s="8" t="s">
        <v>235</v>
      </c>
      <c r="BE875" s="4" t="s">
        <v>235</v>
      </c>
      <c r="BF875" s="8" t="s">
        <v>235</v>
      </c>
      <c r="BG875" s="7" t="s">
        <v>235</v>
      </c>
      <c r="BH875" s="7" t="s">
        <v>235</v>
      </c>
      <c r="BI875" s="7"/>
      <c r="BJ875" s="4">
        <v>82</v>
      </c>
      <c r="BK875" s="8">
        <v>2004.77</v>
      </c>
      <c r="BL875" s="2" t="s">
        <v>3556</v>
      </c>
      <c r="BM875" s="7"/>
      <c r="BN875" s="7"/>
      <c r="BO875" s="4"/>
      <c r="BP875" s="8"/>
      <c r="BQ875" s="4"/>
      <c r="BR875" s="8"/>
      <c r="BS875" s="7"/>
      <c r="BT875" s="7"/>
      <c r="BU875" s="2" t="s">
        <v>3488</v>
      </c>
      <c r="BV875" s="2" t="s">
        <v>243</v>
      </c>
      <c r="BW875" s="2" t="s">
        <v>235</v>
      </c>
      <c r="BX875" s="2" t="s">
        <v>244</v>
      </c>
      <c r="BY875" s="2" t="s">
        <v>245</v>
      </c>
      <c r="BZ875" s="2" t="s">
        <v>232</v>
      </c>
      <c r="CA875" s="2" t="s">
        <v>1198</v>
      </c>
      <c r="CB875" s="2" t="s">
        <v>642</v>
      </c>
      <c r="CC875" s="2" t="s">
        <v>248</v>
      </c>
      <c r="CD875" s="2" t="s">
        <v>248</v>
      </c>
      <c r="CE875" s="2" t="s">
        <v>235</v>
      </c>
      <c r="CF875" s="4">
        <v>73</v>
      </c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>
        <v>373</v>
      </c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>
        <v>159</v>
      </c>
      <c r="EK875" s="4"/>
      <c r="EL875" s="4">
        <v>346</v>
      </c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>
        <v>107</v>
      </c>
      <c r="GE875" s="4">
        <v>51</v>
      </c>
      <c r="GF875" s="4">
        <v>417</v>
      </c>
      <c r="GG875" s="4">
        <v>410</v>
      </c>
      <c r="GH875" s="4">
        <v>403</v>
      </c>
      <c r="GI875" s="4">
        <v>369</v>
      </c>
      <c r="GJ875" s="4">
        <v>281</v>
      </c>
      <c r="GK875" s="4">
        <v>232</v>
      </c>
      <c r="GL875" s="4">
        <v>184</v>
      </c>
      <c r="GM875" s="4">
        <v>307</v>
      </c>
      <c r="GN875" s="4">
        <v>615</v>
      </c>
      <c r="GO875" s="4">
        <v>569</v>
      </c>
      <c r="GP875" s="4">
        <v>513</v>
      </c>
      <c r="GQ875" s="4">
        <v>416</v>
      </c>
      <c r="GR875" s="4">
        <v>368</v>
      </c>
      <c r="GS875" s="4">
        <v>321</v>
      </c>
      <c r="GT875" s="4">
        <v>288</v>
      </c>
      <c r="GU875" s="4">
        <v>262</v>
      </c>
      <c r="GV875" s="4">
        <v>233</v>
      </c>
      <c r="GW875" s="4">
        <v>212</v>
      </c>
      <c r="GX875" s="4">
        <v>195</v>
      </c>
      <c r="GY875" s="4">
        <v>181</v>
      </c>
      <c r="GZ875" s="4">
        <v>165</v>
      </c>
      <c r="HA875" s="4">
        <v>149</v>
      </c>
      <c r="HB875" s="4">
        <v>133</v>
      </c>
      <c r="HC875" s="4">
        <v>117</v>
      </c>
      <c r="HD875" s="19">
        <v>5.6</v>
      </c>
      <c r="HE875" s="19">
        <v>3.6</v>
      </c>
      <c r="HF875" s="19">
        <v>12.3</v>
      </c>
      <c r="HG875" s="19">
        <v>9.3</v>
      </c>
      <c r="HH875" s="19">
        <v>7.3</v>
      </c>
      <c r="HI875" s="19">
        <v>6.7</v>
      </c>
      <c r="HJ875" s="19">
        <v>6.5</v>
      </c>
      <c r="HK875" s="19">
        <v>5.5</v>
      </c>
      <c r="HL875" s="19">
        <v>4.2</v>
      </c>
      <c r="HM875" s="19">
        <v>5.2</v>
      </c>
      <c r="HN875" s="19">
        <v>9.9</v>
      </c>
      <c r="HO875" s="19">
        <v>9.2</v>
      </c>
      <c r="HP875" s="19">
        <v>9.2</v>
      </c>
      <c r="HQ875" s="19">
        <v>10.9</v>
      </c>
      <c r="HR875" s="19">
        <v>10.8</v>
      </c>
      <c r="HS875" s="19">
        <v>11.9</v>
      </c>
      <c r="HT875" s="19">
        <v>12.5</v>
      </c>
      <c r="HU875" s="19">
        <v>13.1</v>
      </c>
      <c r="HV875" s="19">
        <v>13.7</v>
      </c>
      <c r="HW875" s="19">
        <v>13.3</v>
      </c>
      <c r="HX875" s="19">
        <v>12.2</v>
      </c>
      <c r="HY875" s="19">
        <v>11.3</v>
      </c>
      <c r="HZ875" s="19">
        <v>11</v>
      </c>
      <c r="IA875" s="19">
        <v>10.6</v>
      </c>
      <c r="IB875" s="19">
        <v>9.5</v>
      </c>
      <c r="IC875" s="19">
        <v>9.8</v>
      </c>
    </row>
    <row r="876">
      <c r="A876" s="2" t="s">
        <v>3557</v>
      </c>
      <c r="B876" s="2" t="s">
        <v>1071</v>
      </c>
      <c r="C876" s="2" t="s">
        <v>893</v>
      </c>
      <c r="D876" s="2" t="s">
        <v>1086</v>
      </c>
      <c r="E876" s="2" t="s">
        <v>1868</v>
      </c>
      <c r="F876" s="2" t="s">
        <v>3558</v>
      </c>
      <c r="G876" s="2" t="s">
        <v>3558</v>
      </c>
      <c r="H876" s="2" t="s">
        <v>3558</v>
      </c>
      <c r="I876" s="2" t="s">
        <v>1087</v>
      </c>
      <c r="J876" s="2" t="s">
        <v>806</v>
      </c>
      <c r="K876" s="2" t="s">
        <v>231</v>
      </c>
      <c r="L876" s="3">
        <v>261</v>
      </c>
      <c r="M876" s="3">
        <v>274.05</v>
      </c>
      <c r="N876" s="3">
        <v>549</v>
      </c>
      <c r="O876" s="2" t="s">
        <v>407</v>
      </c>
      <c r="P876" s="2" t="s">
        <v>408</v>
      </c>
      <c r="Q876" s="2" t="s">
        <v>234</v>
      </c>
      <c r="R876" s="2" t="s">
        <v>235</v>
      </c>
      <c r="S876" s="2" t="s">
        <v>3559</v>
      </c>
      <c r="T876" s="2" t="s">
        <v>235</v>
      </c>
      <c r="U876" s="2" t="s">
        <v>235</v>
      </c>
      <c r="V876" s="2" t="s">
        <v>238</v>
      </c>
      <c r="W876" s="2" t="s">
        <v>809</v>
      </c>
      <c r="X876" s="2" t="s">
        <v>235</v>
      </c>
      <c r="Y876" s="2" t="s">
        <v>3560</v>
      </c>
      <c r="Z876" s="4"/>
      <c r="AA876" s="4">
        <f>=ROUNDDOWN({0},0)</f>
      </c>
      <c r="AB876" s="5">
        <v>1.4</v>
      </c>
      <c r="AC876" s="2" t="s">
        <v>235</v>
      </c>
      <c r="AD876" s="4"/>
      <c r="AE876" s="4"/>
      <c r="AF876" s="6">
        <v>69</v>
      </c>
      <c r="AG876" s="6"/>
      <c r="AH876" s="7">
        <v>0.3871</v>
      </c>
      <c r="AI876" s="4"/>
      <c r="AJ876" s="4">
        <f>=ROUNDDOWN({0},0)</f>
      </c>
      <c r="AK876" s="5"/>
      <c r="AL876" s="2" t="s">
        <v>235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>
        <v>3</v>
      </c>
      <c r="BK876" s="8">
        <v>822.15</v>
      </c>
      <c r="BL876" s="2" t="s">
        <v>3561</v>
      </c>
      <c r="BM876" s="7"/>
      <c r="BN876" s="7"/>
      <c r="BO876" s="4"/>
      <c r="BP876" s="8"/>
      <c r="BQ876" s="4"/>
      <c r="BR876" s="8"/>
      <c r="BS876" s="7"/>
      <c r="BT876" s="7"/>
      <c r="BU876" s="2" t="s">
        <v>3562</v>
      </c>
      <c r="BV876" s="2" t="s">
        <v>1424</v>
      </c>
      <c r="BW876" s="2" t="s">
        <v>235</v>
      </c>
      <c r="BX876" s="2" t="s">
        <v>414</v>
      </c>
      <c r="BY876" s="2" t="s">
        <v>245</v>
      </c>
      <c r="BZ876" s="2" t="s">
        <v>232</v>
      </c>
      <c r="CA876" s="2" t="s">
        <v>252</v>
      </c>
      <c r="CB876" s="2" t="s">
        <v>3563</v>
      </c>
      <c r="CC876" s="2" t="s">
        <v>248</v>
      </c>
      <c r="CD876" s="2" t="s">
        <v>248</v>
      </c>
      <c r="CE876" s="2" t="s">
        <v>235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>
        <v>12</v>
      </c>
      <c r="GE876" s="4">
        <v>11</v>
      </c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19">
        <v>3</v>
      </c>
      <c r="HE876" s="19">
        <v>2.8</v>
      </c>
      <c r="HF876" s="20">
        <v>0</v>
      </c>
      <c r="HG876" s="20">
        <v>0</v>
      </c>
      <c r="HH876" s="20">
        <v>0</v>
      </c>
      <c r="HI876" s="20">
        <v>0</v>
      </c>
      <c r="HJ876" s="20">
        <v>0</v>
      </c>
      <c r="HK876" s="20">
        <v>0</v>
      </c>
      <c r="HL876" s="20">
        <v>0</v>
      </c>
      <c r="HM876" s="20">
        <v>0</v>
      </c>
      <c r="HN876" s="20">
        <v>0</v>
      </c>
      <c r="HO876" s="20">
        <v>0</v>
      </c>
      <c r="HP876" s="20">
        <v>0</v>
      </c>
      <c r="HQ876" s="20">
        <v>0</v>
      </c>
      <c r="HR876" s="20">
        <v>0</v>
      </c>
      <c r="HS876" s="20">
        <v>0</v>
      </c>
      <c r="HT876" s="9"/>
      <c r="HU876" s="20">
        <v>0</v>
      </c>
      <c r="HV876" s="20">
        <v>0</v>
      </c>
      <c r="HW876" s="20">
        <v>0</v>
      </c>
      <c r="HX876" s="20">
        <v>0</v>
      </c>
      <c r="HY876" s="20">
        <v>0</v>
      </c>
      <c r="HZ876" s="20">
        <v>0</v>
      </c>
      <c r="IA876" s="20">
        <v>0</v>
      </c>
      <c r="IB876" s="20">
        <v>0</v>
      </c>
      <c r="IC876" s="20">
        <v>0</v>
      </c>
    </row>
    <row r="877">
      <c r="A877" s="2" t="s">
        <v>3564</v>
      </c>
      <c r="B877" s="2" t="s">
        <v>800</v>
      </c>
      <c r="C877" s="2" t="s">
        <v>893</v>
      </c>
      <c r="D877" s="2" t="s">
        <v>802</v>
      </c>
      <c r="E877" s="2" t="s">
        <v>803</v>
      </c>
      <c r="F877" s="2" t="s">
        <v>3565</v>
      </c>
      <c r="G877" s="2" t="s">
        <v>3565</v>
      </c>
      <c r="H877" s="2" t="s">
        <v>3565</v>
      </c>
      <c r="I877" s="2" t="s">
        <v>3566</v>
      </c>
      <c r="J877" s="2" t="s">
        <v>897</v>
      </c>
      <c r="K877" s="2" t="s">
        <v>964</v>
      </c>
      <c r="L877" s="3">
        <v>136</v>
      </c>
      <c r="M877" s="3">
        <v>142.8</v>
      </c>
      <c r="N877" s="3">
        <v>279.99</v>
      </c>
      <c r="O877" s="2" t="s">
        <v>232</v>
      </c>
      <c r="P877" s="2" t="s">
        <v>965</v>
      </c>
      <c r="Q877" s="2" t="s">
        <v>234</v>
      </c>
      <c r="R877" s="2" t="s">
        <v>235</v>
      </c>
      <c r="S877" s="2" t="s">
        <v>235</v>
      </c>
      <c r="T877" s="2" t="s">
        <v>235</v>
      </c>
      <c r="U877" s="2" t="s">
        <v>807</v>
      </c>
      <c r="V877" s="2" t="s">
        <v>808</v>
      </c>
      <c r="W877" s="2" t="s">
        <v>1157</v>
      </c>
      <c r="X877" s="2" t="s">
        <v>682</v>
      </c>
      <c r="Y877" s="2" t="s">
        <v>2845</v>
      </c>
      <c r="Z877" s="4">
        <v>115</v>
      </c>
      <c r="AA877" s="4">
        <f>=ROUNDDOWN(115,0)</f>
      </c>
      <c r="AB877" s="5">
        <v>1</v>
      </c>
      <c r="AC877" s="2" t="s">
        <v>235</v>
      </c>
      <c r="AD877" s="4"/>
      <c r="AE877" s="4"/>
      <c r="AF877" s="6">
        <v>72</v>
      </c>
      <c r="AG877" s="6"/>
      <c r="AH877" s="7">
        <v>1</v>
      </c>
      <c r="AI877" s="4"/>
      <c r="AJ877" s="4">
        <f>=ROUNDDOWN({0},0)</f>
      </c>
      <c r="AK877" s="5"/>
      <c r="AL877" s="2" t="s">
        <v>235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235</v>
      </c>
      <c r="BM877" s="7"/>
      <c r="BN877" s="7"/>
      <c r="BO877" s="4"/>
      <c r="BP877" s="8"/>
      <c r="BQ877" s="4"/>
      <c r="BR877" s="8"/>
      <c r="BS877" s="7"/>
      <c r="BT877" s="7"/>
      <c r="BU877" s="2" t="s">
        <v>3567</v>
      </c>
      <c r="BV877" s="2" t="s">
        <v>813</v>
      </c>
      <c r="BW877" s="2" t="s">
        <v>235</v>
      </c>
      <c r="BX877" s="2" t="s">
        <v>244</v>
      </c>
      <c r="BY877" s="2" t="s">
        <v>245</v>
      </c>
      <c r="BZ877" s="2" t="s">
        <v>232</v>
      </c>
      <c r="CA877" s="2" t="s">
        <v>1193</v>
      </c>
      <c r="CB877" s="2" t="s">
        <v>1997</v>
      </c>
      <c r="CC877" s="2" t="s">
        <v>248</v>
      </c>
      <c r="CD877" s="2" t="s">
        <v>248</v>
      </c>
      <c r="CE877" s="2" t="s">
        <v>235</v>
      </c>
      <c r="CF877" s="4"/>
      <c r="CG877" s="4">
        <v>115</v>
      </c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>
        <v>115</v>
      </c>
      <c r="GE877" s="4">
        <v>114</v>
      </c>
      <c r="GF877" s="4">
        <v>113</v>
      </c>
      <c r="GG877" s="4">
        <v>112</v>
      </c>
      <c r="GH877" s="4">
        <v>111</v>
      </c>
      <c r="GI877" s="4">
        <v>110</v>
      </c>
      <c r="GJ877" s="4">
        <v>109</v>
      </c>
      <c r="GK877" s="4">
        <v>108</v>
      </c>
      <c r="GL877" s="4">
        <v>107</v>
      </c>
      <c r="GM877" s="4">
        <v>106</v>
      </c>
      <c r="GN877" s="4">
        <v>105</v>
      </c>
      <c r="GO877" s="4">
        <v>104</v>
      </c>
      <c r="GP877" s="4">
        <v>103</v>
      </c>
      <c r="GQ877" s="4">
        <v>102</v>
      </c>
      <c r="GR877" s="4">
        <v>101</v>
      </c>
      <c r="GS877" s="4">
        <v>100</v>
      </c>
      <c r="GT877" s="4">
        <v>99</v>
      </c>
      <c r="GU877" s="4">
        <v>98</v>
      </c>
      <c r="GV877" s="4">
        <v>97</v>
      </c>
      <c r="GW877" s="4">
        <v>96</v>
      </c>
      <c r="GX877" s="4">
        <v>95</v>
      </c>
      <c r="GY877" s="4">
        <v>94</v>
      </c>
      <c r="GZ877" s="4">
        <v>93</v>
      </c>
      <c r="HA877" s="4">
        <v>92</v>
      </c>
      <c r="HB877" s="4">
        <v>91</v>
      </c>
      <c r="HC877" s="4">
        <v>90</v>
      </c>
      <c r="HD877" s="19">
        <v>115</v>
      </c>
      <c r="HE877" s="19">
        <v>114</v>
      </c>
      <c r="HF877" s="19">
        <v>113</v>
      </c>
      <c r="HG877" s="19">
        <v>112</v>
      </c>
      <c r="HH877" s="19">
        <v>111</v>
      </c>
      <c r="HI877" s="19">
        <v>110</v>
      </c>
      <c r="HJ877" s="19">
        <v>109</v>
      </c>
      <c r="HK877" s="19">
        <v>108</v>
      </c>
      <c r="HL877" s="19">
        <v>107</v>
      </c>
      <c r="HM877" s="19">
        <v>106</v>
      </c>
      <c r="HN877" s="19">
        <v>105</v>
      </c>
      <c r="HO877" s="19">
        <v>104</v>
      </c>
      <c r="HP877" s="19">
        <v>103</v>
      </c>
      <c r="HQ877" s="19">
        <v>102</v>
      </c>
      <c r="HR877" s="19">
        <v>101</v>
      </c>
      <c r="HS877" s="19">
        <v>100</v>
      </c>
      <c r="HT877" s="19">
        <v>99</v>
      </c>
      <c r="HU877" s="19">
        <v>98</v>
      </c>
      <c r="HV877" s="19">
        <v>97</v>
      </c>
      <c r="HW877" s="19">
        <v>96</v>
      </c>
      <c r="HX877" s="19">
        <v>95</v>
      </c>
      <c r="HY877" s="19">
        <v>94</v>
      </c>
      <c r="HZ877" s="19">
        <v>93</v>
      </c>
      <c r="IA877" s="19">
        <v>92</v>
      </c>
      <c r="IB877" s="19">
        <v>91</v>
      </c>
      <c r="IC877" s="19">
        <v>90</v>
      </c>
    </row>
    <row r="878">
      <c r="A878" s="2" t="s">
        <v>3568</v>
      </c>
      <c r="B878" s="2" t="s">
        <v>1071</v>
      </c>
      <c r="C878" s="2" t="s">
        <v>893</v>
      </c>
      <c r="D878" s="2" t="s">
        <v>1417</v>
      </c>
      <c r="E878" s="2" t="s">
        <v>1530</v>
      </c>
      <c r="F878" s="2" t="s">
        <v>1850</v>
      </c>
      <c r="G878" s="2" t="s">
        <v>1850</v>
      </c>
      <c r="H878" s="2" t="s">
        <v>1850</v>
      </c>
      <c r="I878" s="2" t="s">
        <v>2218</v>
      </c>
      <c r="J878" s="2" t="s">
        <v>897</v>
      </c>
      <c r="K878" s="2" t="s">
        <v>612</v>
      </c>
      <c r="L878" s="3">
        <v>240</v>
      </c>
      <c r="M878" s="3">
        <v>252</v>
      </c>
      <c r="N878" s="3">
        <v>499</v>
      </c>
      <c r="O878" s="2" t="s">
        <v>232</v>
      </c>
      <c r="P878" s="2" t="s">
        <v>878</v>
      </c>
      <c r="Q878" s="2" t="s">
        <v>234</v>
      </c>
      <c r="R878" s="2" t="s">
        <v>235</v>
      </c>
      <c r="S878" s="2" t="s">
        <v>235</v>
      </c>
      <c r="T878" s="2" t="s">
        <v>235</v>
      </c>
      <c r="U878" s="2" t="s">
        <v>235</v>
      </c>
      <c r="V878" s="2" t="s">
        <v>330</v>
      </c>
      <c r="W878" s="2" t="s">
        <v>1029</v>
      </c>
      <c r="X878" s="2" t="s">
        <v>682</v>
      </c>
      <c r="Y878" s="2" t="s">
        <v>3569</v>
      </c>
      <c r="Z878" s="4">
        <v>252</v>
      </c>
      <c r="AA878" s="4">
        <f>=ROUNDDOWN(252,0)</f>
      </c>
      <c r="AB878" s="5">
        <v>1</v>
      </c>
      <c r="AC878" s="2" t="s">
        <v>204</v>
      </c>
      <c r="AD878" s="4">
        <v>60</v>
      </c>
      <c r="AE878" s="4">
        <v>60</v>
      </c>
      <c r="AF878" s="6">
        <v>74</v>
      </c>
      <c r="AG878" s="6">
        <v>60</v>
      </c>
      <c r="AH878" s="7">
        <v>1</v>
      </c>
      <c r="AI878" s="4"/>
      <c r="AJ878" s="4">
        <f>=ROUNDDOWN({0},0)</f>
      </c>
      <c r="AK878" s="5"/>
      <c r="AL878" s="2" t="s">
        <v>235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 t="s">
        <v>235</v>
      </c>
      <c r="BD878" s="8" t="s">
        <v>235</v>
      </c>
      <c r="BE878" s="4" t="s">
        <v>235</v>
      </c>
      <c r="BF878" s="8" t="s">
        <v>235</v>
      </c>
      <c r="BG878" s="7" t="s">
        <v>235</v>
      </c>
      <c r="BH878" s="7" t="s">
        <v>235</v>
      </c>
      <c r="BI878" s="7"/>
      <c r="BJ878" s="4">
        <v>2</v>
      </c>
      <c r="BK878" s="8">
        <v>478.8</v>
      </c>
      <c r="BL878" s="2" t="s">
        <v>900</v>
      </c>
      <c r="BM878" s="7"/>
      <c r="BN878" s="7"/>
      <c r="BO878" s="4"/>
      <c r="BP878" s="8"/>
      <c r="BQ878" s="4"/>
      <c r="BR878" s="8"/>
      <c r="BS878" s="7"/>
      <c r="BT878" s="7"/>
      <c r="BU878" s="2" t="s">
        <v>3570</v>
      </c>
      <c r="BV878" s="2" t="s">
        <v>235</v>
      </c>
      <c r="BW878" s="2" t="s">
        <v>235</v>
      </c>
      <c r="BX878" s="2" t="s">
        <v>244</v>
      </c>
      <c r="BY878" s="2" t="s">
        <v>245</v>
      </c>
      <c r="BZ878" s="2" t="s">
        <v>232</v>
      </c>
      <c r="CA878" s="2" t="s">
        <v>235</v>
      </c>
      <c r="CB878" s="2" t="s">
        <v>235</v>
      </c>
      <c r="CC878" s="2" t="s">
        <v>248</v>
      </c>
      <c r="CD878" s="2" t="s">
        <v>248</v>
      </c>
      <c r="CE878" s="2" t="s">
        <v>235</v>
      </c>
      <c r="CF878" s="4"/>
      <c r="CG878" s="4">
        <v>252</v>
      </c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>
        <v>60</v>
      </c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>
        <v>252</v>
      </c>
      <c r="GE878" s="4">
        <v>251</v>
      </c>
      <c r="GF878" s="4">
        <v>250</v>
      </c>
      <c r="GG878" s="4">
        <v>249</v>
      </c>
      <c r="GH878" s="4">
        <v>248</v>
      </c>
      <c r="GI878" s="4">
        <v>247</v>
      </c>
      <c r="GJ878" s="4">
        <v>246</v>
      </c>
      <c r="GK878" s="4">
        <v>245</v>
      </c>
      <c r="GL878" s="4">
        <v>244</v>
      </c>
      <c r="GM878" s="4">
        <v>243</v>
      </c>
      <c r="GN878" s="4">
        <v>242</v>
      </c>
      <c r="GO878" s="4">
        <v>241</v>
      </c>
      <c r="GP878" s="4">
        <v>240</v>
      </c>
      <c r="GQ878" s="4">
        <v>238</v>
      </c>
      <c r="GR878" s="4">
        <v>236</v>
      </c>
      <c r="GS878" s="4">
        <v>295</v>
      </c>
      <c r="GT878" s="4">
        <v>294</v>
      </c>
      <c r="GU878" s="4">
        <v>293</v>
      </c>
      <c r="GV878" s="4">
        <v>292</v>
      </c>
      <c r="GW878" s="4">
        <v>291</v>
      </c>
      <c r="GX878" s="4">
        <v>290</v>
      </c>
      <c r="GY878" s="4">
        <v>289</v>
      </c>
      <c r="GZ878" s="4">
        <v>288</v>
      </c>
      <c r="HA878" s="4">
        <v>287</v>
      </c>
      <c r="HB878" s="4">
        <v>286</v>
      </c>
      <c r="HC878" s="4">
        <v>285</v>
      </c>
      <c r="HD878" s="19">
        <v>126</v>
      </c>
      <c r="HE878" s="19">
        <v>125.5</v>
      </c>
      <c r="HF878" s="19">
        <v>125</v>
      </c>
      <c r="HG878" s="19">
        <v>124.5</v>
      </c>
      <c r="HH878" s="19">
        <v>124</v>
      </c>
      <c r="HI878" s="19">
        <v>123.5</v>
      </c>
      <c r="HJ878" s="19">
        <v>123</v>
      </c>
      <c r="HK878" s="19">
        <v>122.5</v>
      </c>
      <c r="HL878" s="19">
        <v>122</v>
      </c>
      <c r="HM878" s="19">
        <v>121.5</v>
      </c>
      <c r="HN878" s="19">
        <v>60.5</v>
      </c>
      <c r="HO878" s="19">
        <v>60.3</v>
      </c>
      <c r="HP878" s="19">
        <v>60</v>
      </c>
      <c r="HQ878" s="19">
        <v>119</v>
      </c>
      <c r="HR878" s="19">
        <v>118</v>
      </c>
      <c r="HS878" s="19">
        <v>147.5</v>
      </c>
      <c r="HT878" s="19">
        <v>147</v>
      </c>
      <c r="HU878" s="19">
        <v>146.5</v>
      </c>
      <c r="HV878" s="19">
        <v>146</v>
      </c>
      <c r="HW878" s="19">
        <v>145.5</v>
      </c>
      <c r="HX878" s="19">
        <v>145</v>
      </c>
      <c r="HY878" s="19">
        <v>144.5</v>
      </c>
      <c r="HZ878" s="19">
        <v>144</v>
      </c>
      <c r="IA878" s="19">
        <v>143.5</v>
      </c>
      <c r="IB878" s="19">
        <v>143</v>
      </c>
      <c r="IC878" s="19">
        <v>142.5</v>
      </c>
    </row>
    <row r="879">
      <c r="A879" s="2" t="s">
        <v>3571</v>
      </c>
      <c r="B879" s="2" t="s">
        <v>1071</v>
      </c>
      <c r="C879" s="2" t="s">
        <v>893</v>
      </c>
      <c r="D879" s="2" t="s">
        <v>1417</v>
      </c>
      <c r="E879" s="2" t="s">
        <v>1530</v>
      </c>
      <c r="F879" s="2" t="s">
        <v>1850</v>
      </c>
      <c r="G879" s="2" t="s">
        <v>1850</v>
      </c>
      <c r="H879" s="2" t="s">
        <v>1850</v>
      </c>
      <c r="I879" s="2" t="s">
        <v>2218</v>
      </c>
      <c r="J879" s="2" t="s">
        <v>897</v>
      </c>
      <c r="K879" s="2" t="s">
        <v>231</v>
      </c>
      <c r="L879" s="3">
        <v>240</v>
      </c>
      <c r="M879" s="3">
        <v>252</v>
      </c>
      <c r="N879" s="3">
        <v>499</v>
      </c>
      <c r="O879" s="2" t="s">
        <v>232</v>
      </c>
      <c r="P879" s="2" t="s">
        <v>878</v>
      </c>
      <c r="Q879" s="2" t="s">
        <v>234</v>
      </c>
      <c r="R879" s="2" t="s">
        <v>235</v>
      </c>
      <c r="S879" s="2" t="s">
        <v>235</v>
      </c>
      <c r="T879" s="2" t="s">
        <v>235</v>
      </c>
      <c r="U879" s="2" t="s">
        <v>235</v>
      </c>
      <c r="V879" s="2" t="s">
        <v>330</v>
      </c>
      <c r="W879" s="2" t="s">
        <v>1029</v>
      </c>
      <c r="X879" s="2" t="s">
        <v>682</v>
      </c>
      <c r="Y879" s="2" t="s">
        <v>235</v>
      </c>
      <c r="Z879" s="4"/>
      <c r="AA879" s="4">
        <f>=ROUNDDOWN({0},0)</f>
      </c>
      <c r="AB879" s="5"/>
      <c r="AC879" s="2" t="s">
        <v>267</v>
      </c>
      <c r="AD879" s="4">
        <v>80</v>
      </c>
      <c r="AE879" s="4">
        <v>140</v>
      </c>
      <c r="AF879" s="6">
        <v>74</v>
      </c>
      <c r="AG879" s="6"/>
      <c r="AH879" s="7"/>
      <c r="AI879" s="4"/>
      <c r="AJ879" s="4">
        <f>=ROUNDDOWN({0},0)</f>
      </c>
      <c r="AK879" s="5"/>
      <c r="AL879" s="2" t="s">
        <v>235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235</v>
      </c>
      <c r="BD879" s="8" t="s">
        <v>235</v>
      </c>
      <c r="BE879" s="4" t="s">
        <v>235</v>
      </c>
      <c r="BF879" s="8" t="s">
        <v>235</v>
      </c>
      <c r="BG879" s="7" t="s">
        <v>235</v>
      </c>
      <c r="BH879" s="7" t="s">
        <v>235</v>
      </c>
      <c r="BI879" s="7"/>
      <c r="BJ879" s="4"/>
      <c r="BK879" s="8"/>
      <c r="BL879" s="2" t="s">
        <v>235</v>
      </c>
      <c r="BM879" s="7"/>
      <c r="BN879" s="7"/>
      <c r="BO879" s="4"/>
      <c r="BP879" s="8"/>
      <c r="BQ879" s="4"/>
      <c r="BR879" s="8"/>
      <c r="BS879" s="7"/>
      <c r="BT879" s="7"/>
      <c r="BU879" s="2" t="s">
        <v>3570</v>
      </c>
      <c r="BV879" s="2" t="s">
        <v>235</v>
      </c>
      <c r="BW879" s="2" t="s">
        <v>235</v>
      </c>
      <c r="BX879" s="2" t="s">
        <v>244</v>
      </c>
      <c r="BY879" s="2" t="s">
        <v>245</v>
      </c>
      <c r="BZ879" s="2" t="s">
        <v>232</v>
      </c>
      <c r="CA879" s="2" t="s">
        <v>235</v>
      </c>
      <c r="CB879" s="2" t="s">
        <v>235</v>
      </c>
      <c r="CC879" s="2" t="s">
        <v>248</v>
      </c>
      <c r="CD879" s="2" t="s">
        <v>248</v>
      </c>
      <c r="CE879" s="2" t="s">
        <v>235</v>
      </c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>
        <v>80</v>
      </c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>
        <v>60</v>
      </c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>
        <v>80</v>
      </c>
      <c r="GI879" s="4">
        <v>80</v>
      </c>
      <c r="GJ879" s="4">
        <v>78</v>
      </c>
      <c r="GK879" s="4">
        <v>74</v>
      </c>
      <c r="GL879" s="4">
        <v>70</v>
      </c>
      <c r="GM879" s="4">
        <v>65</v>
      </c>
      <c r="GN879" s="4">
        <v>121</v>
      </c>
      <c r="GO879" s="4">
        <v>115</v>
      </c>
      <c r="GP879" s="4">
        <v>111</v>
      </c>
      <c r="GQ879" s="4">
        <v>102</v>
      </c>
      <c r="GR879" s="4">
        <v>95</v>
      </c>
      <c r="GS879" s="4">
        <v>91</v>
      </c>
      <c r="GT879" s="4">
        <v>88</v>
      </c>
      <c r="GU879" s="4">
        <v>85</v>
      </c>
      <c r="GV879" s="4">
        <v>80</v>
      </c>
      <c r="GW879" s="4">
        <v>76</v>
      </c>
      <c r="GX879" s="4">
        <v>71</v>
      </c>
      <c r="GY879" s="4">
        <v>67</v>
      </c>
      <c r="GZ879" s="4">
        <v>62</v>
      </c>
      <c r="HA879" s="4">
        <v>57</v>
      </c>
      <c r="HB879" s="4">
        <v>52</v>
      </c>
      <c r="HC879" s="4">
        <v>46</v>
      </c>
      <c r="HD879" s="9"/>
      <c r="HE879" s="9"/>
      <c r="HF879" s="9"/>
      <c r="HG879" s="9"/>
      <c r="HH879" s="19">
        <v>40</v>
      </c>
      <c r="HI879" s="19">
        <v>20</v>
      </c>
      <c r="HJ879" s="19">
        <v>19.5</v>
      </c>
      <c r="HK879" s="19">
        <v>14.8</v>
      </c>
      <c r="HL879" s="19">
        <v>14</v>
      </c>
      <c r="HM879" s="19">
        <v>10.8</v>
      </c>
      <c r="HN879" s="19">
        <v>20.2</v>
      </c>
      <c r="HO879" s="19">
        <v>19.2</v>
      </c>
      <c r="HP879" s="19">
        <v>18.5</v>
      </c>
      <c r="HQ879" s="19">
        <v>25.5</v>
      </c>
      <c r="HR879" s="19">
        <v>23.8</v>
      </c>
      <c r="HS879" s="19">
        <v>22.8</v>
      </c>
      <c r="HT879" s="19">
        <v>22</v>
      </c>
      <c r="HU879" s="19">
        <v>21.3</v>
      </c>
      <c r="HV879" s="19">
        <v>20</v>
      </c>
      <c r="HW879" s="19">
        <v>15.2</v>
      </c>
      <c r="HX879" s="19">
        <v>14.2</v>
      </c>
      <c r="HY879" s="19">
        <v>13.4</v>
      </c>
      <c r="HZ879" s="19">
        <v>12.4</v>
      </c>
      <c r="IA879" s="19">
        <v>9.5</v>
      </c>
      <c r="IB879" s="19">
        <v>8.7</v>
      </c>
      <c r="IC879" s="19">
        <v>7.7</v>
      </c>
    </row>
    <row r="880">
      <c r="A880" s="2" t="s">
        <v>3572</v>
      </c>
      <c r="B880" s="2" t="s">
        <v>1071</v>
      </c>
      <c r="C880" s="2" t="s">
        <v>893</v>
      </c>
      <c r="D880" s="2" t="s">
        <v>1417</v>
      </c>
      <c r="E880" s="2" t="s">
        <v>1530</v>
      </c>
      <c r="F880" s="2" t="s">
        <v>1850</v>
      </c>
      <c r="G880" s="2" t="s">
        <v>1850</v>
      </c>
      <c r="H880" s="2" t="s">
        <v>1850</v>
      </c>
      <c r="I880" s="2" t="s">
        <v>2218</v>
      </c>
      <c r="J880" s="2" t="s">
        <v>897</v>
      </c>
      <c r="K880" s="2" t="s">
        <v>292</v>
      </c>
      <c r="L880" s="3">
        <v>240</v>
      </c>
      <c r="M880" s="3">
        <v>252</v>
      </c>
      <c r="N880" s="3">
        <v>499</v>
      </c>
      <c r="O880" s="2" t="s">
        <v>232</v>
      </c>
      <c r="P880" s="2" t="s">
        <v>878</v>
      </c>
      <c r="Q880" s="2" t="s">
        <v>234</v>
      </c>
      <c r="R880" s="2" t="s">
        <v>235</v>
      </c>
      <c r="S880" s="2" t="s">
        <v>235</v>
      </c>
      <c r="T880" s="2" t="s">
        <v>235</v>
      </c>
      <c r="U880" s="2" t="s">
        <v>235</v>
      </c>
      <c r="V880" s="2" t="s">
        <v>330</v>
      </c>
      <c r="W880" s="2" t="s">
        <v>1029</v>
      </c>
      <c r="X880" s="2" t="s">
        <v>682</v>
      </c>
      <c r="Y880" s="2" t="s">
        <v>235</v>
      </c>
      <c r="Z880" s="4"/>
      <c r="AA880" s="4">
        <f>=ROUNDDOWN({0},0)</f>
      </c>
      <c r="AB880" s="5"/>
      <c r="AC880" s="2" t="s">
        <v>267</v>
      </c>
      <c r="AD880" s="4">
        <v>100</v>
      </c>
      <c r="AE880" s="4">
        <v>180</v>
      </c>
      <c r="AF880" s="6">
        <v>74</v>
      </c>
      <c r="AG880" s="6"/>
      <c r="AH880" s="7"/>
      <c r="AI880" s="4"/>
      <c r="AJ880" s="4">
        <f>=ROUNDDOWN({0},0)</f>
      </c>
      <c r="AK880" s="5"/>
      <c r="AL880" s="2" t="s">
        <v>235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235</v>
      </c>
      <c r="BD880" s="8" t="s">
        <v>235</v>
      </c>
      <c r="BE880" s="4" t="s">
        <v>235</v>
      </c>
      <c r="BF880" s="8" t="s">
        <v>235</v>
      </c>
      <c r="BG880" s="7" t="s">
        <v>235</v>
      </c>
      <c r="BH880" s="7" t="s">
        <v>235</v>
      </c>
      <c r="BI880" s="7"/>
      <c r="BJ880" s="4"/>
      <c r="BK880" s="8"/>
      <c r="BL880" s="2" t="s">
        <v>235</v>
      </c>
      <c r="BM880" s="7"/>
      <c r="BN880" s="7"/>
      <c r="BO880" s="4"/>
      <c r="BP880" s="8"/>
      <c r="BQ880" s="4"/>
      <c r="BR880" s="8"/>
      <c r="BS880" s="7"/>
      <c r="BT880" s="7"/>
      <c r="BU880" s="2" t="s">
        <v>3570</v>
      </c>
      <c r="BV880" s="2" t="s">
        <v>235</v>
      </c>
      <c r="BW880" s="2" t="s">
        <v>235</v>
      </c>
      <c r="BX880" s="2" t="s">
        <v>244</v>
      </c>
      <c r="BY880" s="2" t="s">
        <v>245</v>
      </c>
      <c r="BZ880" s="2" t="s">
        <v>232</v>
      </c>
      <c r="CA880" s="2" t="s">
        <v>235</v>
      </c>
      <c r="CB880" s="2" t="s">
        <v>235</v>
      </c>
      <c r="CC880" s="2" t="s">
        <v>248</v>
      </c>
      <c r="CD880" s="2" t="s">
        <v>248</v>
      </c>
      <c r="CE880" s="2" t="s">
        <v>235</v>
      </c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>
        <v>100</v>
      </c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>
        <v>80</v>
      </c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>
        <v>100</v>
      </c>
      <c r="GI880" s="4">
        <v>100</v>
      </c>
      <c r="GJ880" s="4">
        <v>98</v>
      </c>
      <c r="GK880" s="4">
        <v>92</v>
      </c>
      <c r="GL880" s="4">
        <v>86</v>
      </c>
      <c r="GM880" s="4">
        <v>80</v>
      </c>
      <c r="GN880" s="4">
        <v>155</v>
      </c>
      <c r="GO880" s="4">
        <v>147</v>
      </c>
      <c r="GP880" s="4">
        <v>141</v>
      </c>
      <c r="GQ880" s="4">
        <v>128</v>
      </c>
      <c r="GR880" s="4">
        <v>118</v>
      </c>
      <c r="GS880" s="4">
        <v>112</v>
      </c>
      <c r="GT880" s="4">
        <v>108</v>
      </c>
      <c r="GU880" s="4">
        <v>104</v>
      </c>
      <c r="GV880" s="4">
        <v>98</v>
      </c>
      <c r="GW880" s="4">
        <v>93</v>
      </c>
      <c r="GX880" s="4">
        <v>87</v>
      </c>
      <c r="GY880" s="4">
        <v>82</v>
      </c>
      <c r="GZ880" s="4">
        <v>75</v>
      </c>
      <c r="HA880" s="4">
        <v>68</v>
      </c>
      <c r="HB880" s="4">
        <v>61</v>
      </c>
      <c r="HC880" s="4">
        <v>53</v>
      </c>
      <c r="HD880" s="9"/>
      <c r="HE880" s="9"/>
      <c r="HF880" s="9"/>
      <c r="HG880" s="9"/>
      <c r="HH880" s="19">
        <v>25</v>
      </c>
      <c r="HI880" s="19">
        <v>20</v>
      </c>
      <c r="HJ880" s="19">
        <v>16.3</v>
      </c>
      <c r="HK880" s="19">
        <v>15.3</v>
      </c>
      <c r="HL880" s="19">
        <v>14.3</v>
      </c>
      <c r="HM880" s="19">
        <v>10</v>
      </c>
      <c r="HN880" s="19">
        <v>17.2</v>
      </c>
      <c r="HO880" s="19">
        <v>16.3</v>
      </c>
      <c r="HP880" s="19">
        <v>17.6</v>
      </c>
      <c r="HQ880" s="19">
        <v>21.3</v>
      </c>
      <c r="HR880" s="19">
        <v>23.6</v>
      </c>
      <c r="HS880" s="19">
        <v>22.4</v>
      </c>
      <c r="HT880" s="19">
        <v>21.6</v>
      </c>
      <c r="HU880" s="19">
        <v>17.3</v>
      </c>
      <c r="HV880" s="19">
        <v>16.3</v>
      </c>
      <c r="HW880" s="19">
        <v>15.5</v>
      </c>
      <c r="HX880" s="19">
        <v>14.5</v>
      </c>
      <c r="HY880" s="19">
        <v>11.7</v>
      </c>
      <c r="HZ880" s="19">
        <v>10.7</v>
      </c>
      <c r="IA880" s="19">
        <v>8.5</v>
      </c>
      <c r="IB880" s="19">
        <v>7.6</v>
      </c>
      <c r="IC880" s="19">
        <v>6.6</v>
      </c>
    </row>
    <row r="881">
      <c r="A881" s="2" t="s">
        <v>3573</v>
      </c>
      <c r="B881" s="2" t="s">
        <v>871</v>
      </c>
      <c r="C881" s="2" t="s">
        <v>324</v>
      </c>
      <c r="D881" s="2" t="s">
        <v>361</v>
      </c>
      <c r="E881" s="2" t="s">
        <v>872</v>
      </c>
      <c r="F881" s="2" t="s">
        <v>3574</v>
      </c>
      <c r="G881" s="2" t="s">
        <v>3575</v>
      </c>
      <c r="H881" s="2" t="s">
        <v>3576</v>
      </c>
      <c r="I881" s="2" t="s">
        <v>3577</v>
      </c>
      <c r="J881" s="2" t="s">
        <v>272</v>
      </c>
      <c r="K881" s="2" t="s">
        <v>1196</v>
      </c>
      <c r="L881" s="3">
        <v>83.39</v>
      </c>
      <c r="M881" s="3">
        <v>87.56</v>
      </c>
      <c r="N881" s="3">
        <v>174.99</v>
      </c>
      <c r="O881" s="2" t="s">
        <v>232</v>
      </c>
      <c r="P881" s="2" t="s">
        <v>233</v>
      </c>
      <c r="Q881" s="2" t="s">
        <v>234</v>
      </c>
      <c r="R881" s="2" t="s">
        <v>235</v>
      </c>
      <c r="S881" s="2" t="s">
        <v>3578</v>
      </c>
      <c r="T881" s="2" t="s">
        <v>3579</v>
      </c>
      <c r="U881" s="2" t="s">
        <v>742</v>
      </c>
      <c r="V881" s="2" t="s">
        <v>420</v>
      </c>
      <c r="W881" s="2" t="s">
        <v>1029</v>
      </c>
      <c r="X881" s="2" t="s">
        <v>1864</v>
      </c>
      <c r="Y881" s="2" t="s">
        <v>3476</v>
      </c>
      <c r="Z881" s="4">
        <v>135</v>
      </c>
      <c r="AA881" s="4">
        <f>=ROUNDDOWN(71.0526315789474,0)</f>
      </c>
      <c r="AB881" s="5">
        <v>1.9</v>
      </c>
      <c r="AC881" s="2" t="s">
        <v>235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235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>
        <v>4</v>
      </c>
      <c r="BK881" s="8">
        <v>375.21</v>
      </c>
      <c r="BL881" s="2" t="s">
        <v>2388</v>
      </c>
      <c r="BM881" s="7"/>
      <c r="BN881" s="7"/>
      <c r="BO881" s="4"/>
      <c r="BP881" s="8"/>
      <c r="BQ881" s="4"/>
      <c r="BR881" s="8"/>
      <c r="BS881" s="7"/>
      <c r="BT881" s="7"/>
      <c r="BU881" s="2" t="s">
        <v>3580</v>
      </c>
      <c r="BV881" s="2" t="s">
        <v>243</v>
      </c>
      <c r="BW881" s="2" t="s">
        <v>235</v>
      </c>
      <c r="BX881" s="2" t="s">
        <v>383</v>
      </c>
      <c r="BY881" s="2" t="s">
        <v>245</v>
      </c>
      <c r="BZ881" s="2" t="s">
        <v>232</v>
      </c>
      <c r="CA881" s="2" t="s">
        <v>3581</v>
      </c>
      <c r="CB881" s="2" t="s">
        <v>2986</v>
      </c>
      <c r="CC881" s="2" t="s">
        <v>248</v>
      </c>
      <c r="CD881" s="2" t="s">
        <v>248</v>
      </c>
      <c r="CE881" s="2" t="s">
        <v>235</v>
      </c>
      <c r="CF881" s="4">
        <v>30</v>
      </c>
      <c r="CG881" s="4">
        <v>105</v>
      </c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>
        <v>135</v>
      </c>
      <c r="GE881" s="4">
        <v>133</v>
      </c>
      <c r="GF881" s="4">
        <v>131</v>
      </c>
      <c r="GG881" s="4">
        <v>131</v>
      </c>
      <c r="GH881" s="4">
        <v>130</v>
      </c>
      <c r="GI881" s="4">
        <v>129</v>
      </c>
      <c r="GJ881" s="4">
        <v>125</v>
      </c>
      <c r="GK881" s="4">
        <v>123</v>
      </c>
      <c r="GL881" s="4">
        <v>120</v>
      </c>
      <c r="GM881" s="4">
        <v>116</v>
      </c>
      <c r="GN881" s="4">
        <v>113</v>
      </c>
      <c r="GO881" s="4">
        <v>109</v>
      </c>
      <c r="GP881" s="4">
        <v>105</v>
      </c>
      <c r="GQ881" s="4">
        <v>100</v>
      </c>
      <c r="GR881" s="4">
        <v>93</v>
      </c>
      <c r="GS881" s="4">
        <v>89</v>
      </c>
      <c r="GT881" s="4">
        <v>85</v>
      </c>
      <c r="GU881" s="4">
        <v>82</v>
      </c>
      <c r="GV881" s="4">
        <v>80</v>
      </c>
      <c r="GW881" s="4">
        <v>77</v>
      </c>
      <c r="GX881" s="4">
        <v>76</v>
      </c>
      <c r="GY881" s="4">
        <v>75</v>
      </c>
      <c r="GZ881" s="4">
        <v>73</v>
      </c>
      <c r="HA881" s="4">
        <v>71</v>
      </c>
      <c r="HB881" s="4">
        <v>70</v>
      </c>
      <c r="HC881" s="4">
        <v>70</v>
      </c>
      <c r="HD881" s="19">
        <v>135</v>
      </c>
      <c r="HE881" s="19">
        <v>133</v>
      </c>
      <c r="HF881" s="19">
        <v>65.5</v>
      </c>
      <c r="HG881" s="19">
        <v>65.5</v>
      </c>
      <c r="HH881" s="19">
        <v>65</v>
      </c>
      <c r="HI881" s="19">
        <v>43</v>
      </c>
      <c r="HJ881" s="19">
        <v>41.7</v>
      </c>
      <c r="HK881" s="19">
        <v>30.8</v>
      </c>
      <c r="HL881" s="19">
        <v>30</v>
      </c>
      <c r="HM881" s="19">
        <v>29</v>
      </c>
      <c r="HN881" s="19">
        <v>22.6</v>
      </c>
      <c r="HO881" s="19">
        <v>21.8</v>
      </c>
      <c r="HP881" s="19">
        <v>21</v>
      </c>
      <c r="HQ881" s="19">
        <v>25</v>
      </c>
      <c r="HR881" s="19">
        <v>31</v>
      </c>
      <c r="HS881" s="19">
        <v>29.7</v>
      </c>
      <c r="HT881" s="19">
        <v>42.5</v>
      </c>
      <c r="HU881" s="19">
        <v>41</v>
      </c>
      <c r="HV881" s="19">
        <v>40</v>
      </c>
      <c r="HW881" s="19">
        <v>38.5</v>
      </c>
      <c r="HX881" s="19">
        <v>38</v>
      </c>
      <c r="HY881" s="19">
        <v>75</v>
      </c>
      <c r="HZ881" s="19">
        <v>73</v>
      </c>
      <c r="IA881" s="19">
        <v>71</v>
      </c>
      <c r="IB881" s="9"/>
      <c r="IC881" s="19">
        <v>70</v>
      </c>
    </row>
    <row r="882">
      <c r="A882" s="2" t="s">
        <v>3582</v>
      </c>
      <c r="B882" s="2" t="s">
        <v>1071</v>
      </c>
      <c r="C882" s="2" t="s">
        <v>943</v>
      </c>
      <c r="D882" s="2" t="s">
        <v>1086</v>
      </c>
      <c r="E882" s="2" t="s">
        <v>1868</v>
      </c>
      <c r="F882" s="2" t="s">
        <v>3583</v>
      </c>
      <c r="G882" s="2" t="s">
        <v>3583</v>
      </c>
      <c r="H882" s="2" t="s">
        <v>3583</v>
      </c>
      <c r="I882" s="2" t="s">
        <v>3584</v>
      </c>
      <c r="J882" s="2" t="s">
        <v>806</v>
      </c>
      <c r="K882" s="2" t="s">
        <v>1232</v>
      </c>
      <c r="L882" s="3">
        <v>112.1</v>
      </c>
      <c r="M882" s="3">
        <v>117.7</v>
      </c>
      <c r="N882" s="3">
        <v>239</v>
      </c>
      <c r="O882" s="2" t="s">
        <v>407</v>
      </c>
      <c r="P882" s="2" t="s">
        <v>408</v>
      </c>
      <c r="Q882" s="2" t="s">
        <v>234</v>
      </c>
      <c r="R882" s="2" t="s">
        <v>235</v>
      </c>
      <c r="S882" s="2" t="s">
        <v>235</v>
      </c>
      <c r="T882" s="2" t="s">
        <v>235</v>
      </c>
      <c r="U882" s="2" t="s">
        <v>807</v>
      </c>
      <c r="V882" s="2" t="s">
        <v>808</v>
      </c>
      <c r="W882" s="2" t="s">
        <v>1157</v>
      </c>
      <c r="X882" s="2" t="s">
        <v>682</v>
      </c>
      <c r="Y882" s="2" t="s">
        <v>3585</v>
      </c>
      <c r="Z882" s="4">
        <v>119</v>
      </c>
      <c r="AA882" s="4">
        <f>=ROUNDDOWN(19.1935483870968,0)</f>
      </c>
      <c r="AB882" s="5">
        <v>6.2</v>
      </c>
      <c r="AC882" s="2" t="s">
        <v>235</v>
      </c>
      <c r="AD882" s="4"/>
      <c r="AE882" s="4"/>
      <c r="AF882" s="6">
        <v>76</v>
      </c>
      <c r="AG882" s="6"/>
      <c r="AH882" s="7">
        <v>1</v>
      </c>
      <c r="AI882" s="4"/>
      <c r="AJ882" s="4">
        <f>=ROUNDDOWN({0},0)</f>
      </c>
      <c r="AK882" s="5"/>
      <c r="AL882" s="2" t="s">
        <v>235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>
        <v>32</v>
      </c>
      <c r="BK882" s="8">
        <v>4290.44</v>
      </c>
      <c r="BL882" s="2" t="s">
        <v>3586</v>
      </c>
      <c r="BM882" s="7"/>
      <c r="BN882" s="7"/>
      <c r="BO882" s="4"/>
      <c r="BP882" s="8"/>
      <c r="BQ882" s="4"/>
      <c r="BR882" s="8"/>
      <c r="BS882" s="7"/>
      <c r="BT882" s="7"/>
      <c r="BU882" s="2" t="s">
        <v>3587</v>
      </c>
      <c r="BV882" s="2" t="s">
        <v>1424</v>
      </c>
      <c r="BW882" s="2" t="s">
        <v>235</v>
      </c>
      <c r="BX882" s="2" t="s">
        <v>414</v>
      </c>
      <c r="BY882" s="2" t="s">
        <v>245</v>
      </c>
      <c r="BZ882" s="2" t="s">
        <v>232</v>
      </c>
      <c r="CA882" s="2" t="s">
        <v>415</v>
      </c>
      <c r="CB882" s="2" t="s">
        <v>3588</v>
      </c>
      <c r="CC882" s="2" t="s">
        <v>248</v>
      </c>
      <c r="CD882" s="2" t="s">
        <v>248</v>
      </c>
      <c r="CE882" s="2" t="s">
        <v>235</v>
      </c>
      <c r="CF882" s="4"/>
      <c r="CG882" s="4">
        <v>119</v>
      </c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>
        <v>126</v>
      </c>
      <c r="GE882" s="4">
        <v>114</v>
      </c>
      <c r="GF882" s="4">
        <v>109</v>
      </c>
      <c r="GG882" s="4">
        <v>103</v>
      </c>
      <c r="GH882" s="4">
        <v>97</v>
      </c>
      <c r="GI882" s="4">
        <v>91</v>
      </c>
      <c r="GJ882" s="4">
        <v>85</v>
      </c>
      <c r="GK882" s="4">
        <v>79</v>
      </c>
      <c r="GL882" s="4">
        <v>73</v>
      </c>
      <c r="GM882" s="4">
        <v>67</v>
      </c>
      <c r="GN882" s="4">
        <v>60</v>
      </c>
      <c r="GO882" s="4">
        <v>52</v>
      </c>
      <c r="GP882" s="4">
        <v>45</v>
      </c>
      <c r="GQ882" s="4">
        <v>34</v>
      </c>
      <c r="GR882" s="4">
        <v>26</v>
      </c>
      <c r="GS882" s="4">
        <v>21</v>
      </c>
      <c r="GT882" s="4">
        <v>17</v>
      </c>
      <c r="GU882" s="4">
        <v>13</v>
      </c>
      <c r="GV882" s="4">
        <v>8</v>
      </c>
      <c r="GW882" s="4">
        <v>4</v>
      </c>
      <c r="GX882" s="4"/>
      <c r="GY882" s="4"/>
      <c r="GZ882" s="4"/>
      <c r="HA882" s="4"/>
      <c r="HB882" s="4"/>
      <c r="HC882" s="4"/>
      <c r="HD882" s="19">
        <v>18</v>
      </c>
      <c r="HE882" s="19">
        <v>19</v>
      </c>
      <c r="HF882" s="19">
        <v>18.2</v>
      </c>
      <c r="HG882" s="19">
        <v>17.2</v>
      </c>
      <c r="HH882" s="19">
        <v>16.2</v>
      </c>
      <c r="HI882" s="19">
        <v>15.2</v>
      </c>
      <c r="HJ882" s="19">
        <v>14.2</v>
      </c>
      <c r="HK882" s="19">
        <v>11.3</v>
      </c>
      <c r="HL882" s="19">
        <v>10.4</v>
      </c>
      <c r="HM882" s="19">
        <v>8.4</v>
      </c>
      <c r="HN882" s="19">
        <v>7.5</v>
      </c>
      <c r="HO882" s="19">
        <v>6.5</v>
      </c>
      <c r="HP882" s="19">
        <v>6.4</v>
      </c>
      <c r="HQ882" s="19">
        <v>6.8</v>
      </c>
      <c r="HR882" s="19">
        <v>6.5</v>
      </c>
      <c r="HS882" s="19">
        <v>5.3</v>
      </c>
      <c r="HT882" s="19">
        <v>4.3</v>
      </c>
      <c r="HU882" s="19">
        <v>3.3</v>
      </c>
      <c r="HV882" s="19">
        <v>1.6</v>
      </c>
      <c r="HW882" s="19">
        <v>0.7</v>
      </c>
      <c r="HX882" s="20">
        <v>0</v>
      </c>
      <c r="HY882" s="20">
        <v>0</v>
      </c>
      <c r="HZ882" s="20">
        <v>0</v>
      </c>
      <c r="IA882" s="20">
        <v>0</v>
      </c>
      <c r="IB882" s="20">
        <v>0</v>
      </c>
      <c r="IC882" s="20">
        <v>0</v>
      </c>
    </row>
    <row r="883">
      <c r="A883" s="2" t="s">
        <v>3589</v>
      </c>
      <c r="B883" s="2" t="s">
        <v>1071</v>
      </c>
      <c r="C883" s="2" t="s">
        <v>324</v>
      </c>
      <c r="D883" s="2" t="s">
        <v>3590</v>
      </c>
      <c r="E883" s="2" t="s">
        <v>3591</v>
      </c>
      <c r="F883" s="2" t="s">
        <v>3592</v>
      </c>
      <c r="G883" s="2" t="s">
        <v>3593</v>
      </c>
      <c r="H883" s="2" t="s">
        <v>3594</v>
      </c>
      <c r="I883" s="2" t="s">
        <v>3595</v>
      </c>
      <c r="J883" s="2" t="s">
        <v>806</v>
      </c>
      <c r="K883" s="2" t="s">
        <v>292</v>
      </c>
      <c r="L883" s="3">
        <v>239</v>
      </c>
      <c r="M883" s="3">
        <v>250.95</v>
      </c>
      <c r="N883" s="3">
        <v>499</v>
      </c>
      <c r="O883" s="2" t="s">
        <v>485</v>
      </c>
      <c r="P883" s="2" t="s">
        <v>408</v>
      </c>
      <c r="Q883" s="2" t="s">
        <v>234</v>
      </c>
      <c r="R883" s="2" t="s">
        <v>235</v>
      </c>
      <c r="S883" s="2" t="s">
        <v>235</v>
      </c>
      <c r="T883" s="2" t="s">
        <v>235</v>
      </c>
      <c r="U883" s="2" t="s">
        <v>235</v>
      </c>
      <c r="V883" s="2" t="s">
        <v>808</v>
      </c>
      <c r="W883" s="2" t="s">
        <v>1157</v>
      </c>
      <c r="X883" s="2" t="s">
        <v>3596</v>
      </c>
      <c r="Y883" s="2" t="s">
        <v>3597</v>
      </c>
      <c r="Z883" s="4">
        <v>26</v>
      </c>
      <c r="AA883" s="4">
        <f>=ROUNDDOWN(43.3333333333333,0)</f>
      </c>
      <c r="AB883" s="5">
        <v>0.6</v>
      </c>
      <c r="AC883" s="2" t="s">
        <v>235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235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/>
      <c r="BD883" s="8"/>
      <c r="BE883" s="4"/>
      <c r="BF883" s="8"/>
      <c r="BG883" s="7"/>
      <c r="BH883" s="7"/>
      <c r="BI883" s="7"/>
      <c r="BJ883" s="4">
        <v>4</v>
      </c>
      <c r="BK883" s="8">
        <v>774.23</v>
      </c>
      <c r="BL883" s="2" t="s">
        <v>811</v>
      </c>
      <c r="BM883" s="7"/>
      <c r="BN883" s="7"/>
      <c r="BO883" s="4"/>
      <c r="BP883" s="8"/>
      <c r="BQ883" s="4"/>
      <c r="BR883" s="8"/>
      <c r="BS883" s="7"/>
      <c r="BT883" s="7"/>
      <c r="BU883" s="2" t="s">
        <v>3598</v>
      </c>
      <c r="BV883" s="2" t="s">
        <v>3599</v>
      </c>
      <c r="BW883" s="2" t="s">
        <v>235</v>
      </c>
      <c r="BX883" s="2" t="s">
        <v>414</v>
      </c>
      <c r="BY883" s="2" t="s">
        <v>245</v>
      </c>
      <c r="BZ883" s="2" t="s">
        <v>232</v>
      </c>
      <c r="CA883" s="2" t="s">
        <v>3600</v>
      </c>
      <c r="CB883" s="2" t="s">
        <v>3601</v>
      </c>
      <c r="CC883" s="2" t="s">
        <v>248</v>
      </c>
      <c r="CD883" s="2" t="s">
        <v>248</v>
      </c>
      <c r="CE883" s="2" t="s">
        <v>235</v>
      </c>
      <c r="CF883" s="4"/>
      <c r="CG883" s="4">
        <v>26</v>
      </c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>
        <v>26</v>
      </c>
      <c r="GE883" s="4">
        <v>25</v>
      </c>
      <c r="GF883" s="4">
        <v>24</v>
      </c>
      <c r="GG883" s="4">
        <v>23</v>
      </c>
      <c r="GH883" s="4">
        <v>22</v>
      </c>
      <c r="GI883" s="4">
        <v>21</v>
      </c>
      <c r="GJ883" s="4">
        <v>20</v>
      </c>
      <c r="GK883" s="4">
        <v>19</v>
      </c>
      <c r="GL883" s="4">
        <v>18</v>
      </c>
      <c r="GM883" s="4">
        <v>17</v>
      </c>
      <c r="GN883" s="4">
        <v>17</v>
      </c>
      <c r="GO883" s="4">
        <v>16</v>
      </c>
      <c r="GP883" s="4">
        <v>15</v>
      </c>
      <c r="GQ883" s="4">
        <v>13</v>
      </c>
      <c r="GR883" s="4">
        <v>11</v>
      </c>
      <c r="GS883" s="4">
        <v>9</v>
      </c>
      <c r="GT883" s="4">
        <v>8</v>
      </c>
      <c r="GU883" s="4">
        <v>7</v>
      </c>
      <c r="GV883" s="4">
        <v>6</v>
      </c>
      <c r="GW883" s="4">
        <v>5</v>
      </c>
      <c r="GX883" s="4">
        <v>4</v>
      </c>
      <c r="GY883" s="4">
        <v>3</v>
      </c>
      <c r="GZ883" s="4">
        <v>2</v>
      </c>
      <c r="HA883" s="4">
        <v>1</v>
      </c>
      <c r="HB883" s="4"/>
      <c r="HC883" s="4"/>
      <c r="HD883" s="19">
        <v>26</v>
      </c>
      <c r="HE883" s="19">
        <v>25</v>
      </c>
      <c r="HF883" s="19">
        <v>24</v>
      </c>
      <c r="HG883" s="19">
        <v>23</v>
      </c>
      <c r="HH883" s="19">
        <v>22</v>
      </c>
      <c r="HI883" s="19">
        <v>21</v>
      </c>
      <c r="HJ883" s="19">
        <v>20</v>
      </c>
      <c r="HK883" s="19">
        <v>19</v>
      </c>
      <c r="HL883" s="19">
        <v>18</v>
      </c>
      <c r="HM883" s="19">
        <v>17</v>
      </c>
      <c r="HN883" s="19">
        <v>8.5</v>
      </c>
      <c r="HO883" s="19">
        <v>8</v>
      </c>
      <c r="HP883" s="19">
        <v>7.5</v>
      </c>
      <c r="HQ883" s="19">
        <v>6.5</v>
      </c>
      <c r="HR883" s="19">
        <v>11</v>
      </c>
      <c r="HS883" s="19">
        <v>9</v>
      </c>
      <c r="HT883" s="19">
        <v>8</v>
      </c>
      <c r="HU883" s="19">
        <v>7</v>
      </c>
      <c r="HV883" s="19">
        <v>6</v>
      </c>
      <c r="HW883" s="19">
        <v>5</v>
      </c>
      <c r="HX883" s="19">
        <v>4</v>
      </c>
      <c r="HY883" s="19">
        <v>3</v>
      </c>
      <c r="HZ883" s="19">
        <v>2</v>
      </c>
      <c r="IA883" s="19">
        <v>1</v>
      </c>
      <c r="IB883" s="20">
        <v>0</v>
      </c>
      <c r="IC883" s="20">
        <v>0</v>
      </c>
    </row>
    <row r="884">
      <c r="A884" s="2" t="s">
        <v>3602</v>
      </c>
      <c r="B884" s="2" t="s">
        <v>871</v>
      </c>
      <c r="C884" s="2" t="s">
        <v>853</v>
      </c>
      <c r="D884" s="2" t="s">
        <v>361</v>
      </c>
      <c r="E884" s="2" t="s">
        <v>872</v>
      </c>
      <c r="F884" s="2" t="s">
        <v>3603</v>
      </c>
      <c r="G884" s="2" t="s">
        <v>2511</v>
      </c>
      <c r="H884" s="2" t="s">
        <v>3604</v>
      </c>
      <c r="I884" s="2" t="s">
        <v>3605</v>
      </c>
      <c r="J884" s="2" t="s">
        <v>877</v>
      </c>
      <c r="K884" s="2" t="s">
        <v>292</v>
      </c>
      <c r="L884" s="3">
        <v>34.74</v>
      </c>
      <c r="M884" s="3">
        <v>36.48</v>
      </c>
      <c r="N884" s="3">
        <v>79.99</v>
      </c>
      <c r="O884" s="2" t="s">
        <v>407</v>
      </c>
      <c r="P884" s="2" t="s">
        <v>408</v>
      </c>
      <c r="Q884" s="2" t="s">
        <v>234</v>
      </c>
      <c r="R884" s="2" t="s">
        <v>235</v>
      </c>
      <c r="S884" s="2" t="s">
        <v>3606</v>
      </c>
      <c r="T884" s="2" t="s">
        <v>501</v>
      </c>
      <c r="U884" s="2" t="s">
        <v>264</v>
      </c>
      <c r="V884" s="2" t="s">
        <v>1222</v>
      </c>
      <c r="W884" s="2" t="s">
        <v>239</v>
      </c>
      <c r="X884" s="2" t="s">
        <v>1798</v>
      </c>
      <c r="Y884" s="2" t="s">
        <v>240</v>
      </c>
      <c r="Z884" s="4">
        <v>573</v>
      </c>
      <c r="AA884" s="4">
        <f>=ROUNDDOWN(127.333333333333,0)</f>
      </c>
      <c r="AB884" s="5">
        <v>4.5</v>
      </c>
      <c r="AC884" s="2" t="s">
        <v>235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235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235</v>
      </c>
      <c r="AW884" s="8" t="s">
        <v>235</v>
      </c>
      <c r="AX884" s="4" t="s">
        <v>235</v>
      </c>
      <c r="AY884" s="8" t="s">
        <v>235</v>
      </c>
      <c r="AZ884" s="7" t="s">
        <v>235</v>
      </c>
      <c r="BA884" s="7" t="s">
        <v>235</v>
      </c>
      <c r="BB884" s="7"/>
      <c r="BC884" s="4" t="s">
        <v>235</v>
      </c>
      <c r="BD884" s="8" t="s">
        <v>235</v>
      </c>
      <c r="BE884" s="4" t="s">
        <v>235</v>
      </c>
      <c r="BF884" s="8" t="s">
        <v>235</v>
      </c>
      <c r="BG884" s="7" t="s">
        <v>235</v>
      </c>
      <c r="BH884" s="7" t="s">
        <v>235</v>
      </c>
      <c r="BI884" s="7"/>
      <c r="BJ884" s="4">
        <v>32</v>
      </c>
      <c r="BK884" s="8">
        <v>1197.59</v>
      </c>
      <c r="BL884" s="2" t="s">
        <v>3607</v>
      </c>
      <c r="BM884" s="7"/>
      <c r="BN884" s="7"/>
      <c r="BO884" s="4"/>
      <c r="BP884" s="8"/>
      <c r="BQ884" s="4"/>
      <c r="BR884" s="8"/>
      <c r="BS884" s="7"/>
      <c r="BT884" s="7"/>
      <c r="BU884" s="2" t="s">
        <v>3608</v>
      </c>
      <c r="BV884" s="2" t="s">
        <v>243</v>
      </c>
      <c r="BW884" s="2" t="s">
        <v>235</v>
      </c>
      <c r="BX884" s="2" t="s">
        <v>244</v>
      </c>
      <c r="BY884" s="2" t="s">
        <v>245</v>
      </c>
      <c r="BZ884" s="2" t="s">
        <v>232</v>
      </c>
      <c r="CA884" s="2" t="s">
        <v>252</v>
      </c>
      <c r="CB884" s="2" t="s">
        <v>2045</v>
      </c>
      <c r="CC884" s="2" t="s">
        <v>248</v>
      </c>
      <c r="CD884" s="2" t="s">
        <v>248</v>
      </c>
      <c r="CE884" s="2" t="s">
        <v>235</v>
      </c>
      <c r="CF884" s="4">
        <v>573</v>
      </c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>
        <v>575</v>
      </c>
      <c r="GE884" s="4">
        <v>561</v>
      </c>
      <c r="GF884" s="4">
        <v>558</v>
      </c>
      <c r="GG884" s="4">
        <v>555</v>
      </c>
      <c r="GH884" s="4">
        <v>552</v>
      </c>
      <c r="GI884" s="4">
        <v>549</v>
      </c>
      <c r="GJ884" s="4">
        <v>544</v>
      </c>
      <c r="GK884" s="4">
        <v>540</v>
      </c>
      <c r="GL884" s="4">
        <v>537</v>
      </c>
      <c r="GM884" s="4">
        <v>533</v>
      </c>
      <c r="GN884" s="4">
        <v>531</v>
      </c>
      <c r="GO884" s="4">
        <v>528</v>
      </c>
      <c r="GP884" s="4">
        <v>524</v>
      </c>
      <c r="GQ884" s="4">
        <v>520</v>
      </c>
      <c r="GR884" s="4">
        <v>516</v>
      </c>
      <c r="GS884" s="4">
        <v>512</v>
      </c>
      <c r="GT884" s="4">
        <v>508</v>
      </c>
      <c r="GU884" s="4">
        <v>505</v>
      </c>
      <c r="GV884" s="4">
        <v>499</v>
      </c>
      <c r="GW884" s="4">
        <v>496</v>
      </c>
      <c r="GX884" s="4">
        <v>494</v>
      </c>
      <c r="GY884" s="4">
        <v>492</v>
      </c>
      <c r="GZ884" s="4">
        <v>487</v>
      </c>
      <c r="HA884" s="4">
        <v>484</v>
      </c>
      <c r="HB884" s="4">
        <v>481</v>
      </c>
      <c r="HC884" s="4">
        <v>477</v>
      </c>
      <c r="HD884" s="19">
        <v>95.8</v>
      </c>
      <c r="HE884" s="19">
        <v>187</v>
      </c>
      <c r="HF884" s="19">
        <v>139.5</v>
      </c>
      <c r="HG884" s="19">
        <v>138.8</v>
      </c>
      <c r="HH884" s="19">
        <v>138</v>
      </c>
      <c r="HI884" s="19">
        <v>137.3</v>
      </c>
      <c r="HJ884" s="19">
        <v>181.3</v>
      </c>
      <c r="HK884" s="19">
        <v>180</v>
      </c>
      <c r="HL884" s="19">
        <v>179</v>
      </c>
      <c r="HM884" s="19">
        <v>177.7</v>
      </c>
      <c r="HN884" s="19">
        <v>132.8</v>
      </c>
      <c r="HO884" s="19">
        <v>132</v>
      </c>
      <c r="HP884" s="19">
        <v>131</v>
      </c>
      <c r="HQ884" s="19">
        <v>130</v>
      </c>
      <c r="HR884" s="19">
        <v>129</v>
      </c>
      <c r="HS884" s="19">
        <v>128</v>
      </c>
      <c r="HT884" s="19">
        <v>127</v>
      </c>
      <c r="HU884" s="19">
        <v>168.3</v>
      </c>
      <c r="HV884" s="19">
        <v>166.3</v>
      </c>
      <c r="HW884" s="19">
        <v>165.3</v>
      </c>
      <c r="HX884" s="19">
        <v>164.7</v>
      </c>
      <c r="HY884" s="19">
        <v>123</v>
      </c>
      <c r="HZ884" s="19">
        <v>121.8</v>
      </c>
      <c r="IA884" s="19">
        <v>121</v>
      </c>
      <c r="IB884" s="19">
        <v>120.3</v>
      </c>
      <c r="IC884" s="19">
        <v>119.3</v>
      </c>
    </row>
    <row r="885">
      <c r="A885" s="2" t="s">
        <v>3609</v>
      </c>
      <c r="B885" s="2" t="s">
        <v>871</v>
      </c>
      <c r="C885" s="2" t="s">
        <v>853</v>
      </c>
      <c r="D885" s="2" t="s">
        <v>361</v>
      </c>
      <c r="E885" s="2" t="s">
        <v>872</v>
      </c>
      <c r="F885" s="2" t="s">
        <v>3603</v>
      </c>
      <c r="G885" s="2" t="s">
        <v>2511</v>
      </c>
      <c r="H885" s="2" t="s">
        <v>3604</v>
      </c>
      <c r="I885" s="2" t="s">
        <v>3605</v>
      </c>
      <c r="J885" s="2" t="s">
        <v>372</v>
      </c>
      <c r="K885" s="2" t="s">
        <v>292</v>
      </c>
      <c r="L885" s="3">
        <v>46.6</v>
      </c>
      <c r="M885" s="3">
        <v>48.93</v>
      </c>
      <c r="N885" s="3">
        <v>99.99</v>
      </c>
      <c r="O885" s="2" t="s">
        <v>407</v>
      </c>
      <c r="P885" s="2" t="s">
        <v>408</v>
      </c>
      <c r="Q885" s="2" t="s">
        <v>234</v>
      </c>
      <c r="R885" s="2" t="s">
        <v>235</v>
      </c>
      <c r="S885" s="2" t="s">
        <v>3606</v>
      </c>
      <c r="T885" s="2" t="s">
        <v>501</v>
      </c>
      <c r="U885" s="2" t="s">
        <v>282</v>
      </c>
      <c r="V885" s="2" t="s">
        <v>1222</v>
      </c>
      <c r="W885" s="2" t="s">
        <v>239</v>
      </c>
      <c r="X885" s="2" t="s">
        <v>1798</v>
      </c>
      <c r="Y885" s="2" t="s">
        <v>240</v>
      </c>
      <c r="Z885" s="4">
        <v>110</v>
      </c>
      <c r="AA885" s="4">
        <f>=ROUNDDOWN(37.9310344827586,0)</f>
      </c>
      <c r="AB885" s="5">
        <v>2.9</v>
      </c>
      <c r="AC885" s="2" t="s">
        <v>235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235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235</v>
      </c>
      <c r="AW885" s="8" t="s">
        <v>235</v>
      </c>
      <c r="AX885" s="4" t="s">
        <v>235</v>
      </c>
      <c r="AY885" s="8" t="s">
        <v>235</v>
      </c>
      <c r="AZ885" s="7" t="s">
        <v>235</v>
      </c>
      <c r="BA885" s="7" t="s">
        <v>235</v>
      </c>
      <c r="BB885" s="7"/>
      <c r="BC885" s="4" t="s">
        <v>235</v>
      </c>
      <c r="BD885" s="8" t="s">
        <v>235</v>
      </c>
      <c r="BE885" s="4" t="s">
        <v>235</v>
      </c>
      <c r="BF885" s="8" t="s">
        <v>235</v>
      </c>
      <c r="BG885" s="7" t="s">
        <v>235</v>
      </c>
      <c r="BH885" s="7" t="s">
        <v>235</v>
      </c>
      <c r="BI885" s="7"/>
      <c r="BJ885" s="4">
        <v>9</v>
      </c>
      <c r="BK885" s="8">
        <v>445.08</v>
      </c>
      <c r="BL885" s="2" t="s">
        <v>3610</v>
      </c>
      <c r="BM885" s="7"/>
      <c r="BN885" s="7"/>
      <c r="BO885" s="4"/>
      <c r="BP885" s="8"/>
      <c r="BQ885" s="4"/>
      <c r="BR885" s="8"/>
      <c r="BS885" s="7"/>
      <c r="BT885" s="7"/>
      <c r="BU885" s="2" t="s">
        <v>3608</v>
      </c>
      <c r="BV885" s="2" t="s">
        <v>243</v>
      </c>
      <c r="BW885" s="2" t="s">
        <v>235</v>
      </c>
      <c r="BX885" s="2" t="s">
        <v>244</v>
      </c>
      <c r="BY885" s="2" t="s">
        <v>245</v>
      </c>
      <c r="BZ885" s="2" t="s">
        <v>232</v>
      </c>
      <c r="CA885" s="2" t="s">
        <v>252</v>
      </c>
      <c r="CB885" s="2" t="s">
        <v>3611</v>
      </c>
      <c r="CC885" s="2" t="s">
        <v>248</v>
      </c>
      <c r="CD885" s="2" t="s">
        <v>248</v>
      </c>
      <c r="CE885" s="2" t="s">
        <v>235</v>
      </c>
      <c r="CF885" s="4">
        <v>110</v>
      </c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>
        <v>110</v>
      </c>
      <c r="GE885" s="4">
        <v>107</v>
      </c>
      <c r="GF885" s="4">
        <v>105</v>
      </c>
      <c r="GG885" s="4">
        <v>101</v>
      </c>
      <c r="GH885" s="4">
        <v>99</v>
      </c>
      <c r="GI885" s="4">
        <v>97</v>
      </c>
      <c r="GJ885" s="4">
        <v>92</v>
      </c>
      <c r="GK885" s="4">
        <v>90</v>
      </c>
      <c r="GL885" s="4">
        <v>87</v>
      </c>
      <c r="GM885" s="4">
        <v>85</v>
      </c>
      <c r="GN885" s="4">
        <v>81</v>
      </c>
      <c r="GO885" s="4">
        <v>77</v>
      </c>
      <c r="GP885" s="4">
        <v>73</v>
      </c>
      <c r="GQ885" s="4">
        <v>67</v>
      </c>
      <c r="GR885" s="4">
        <v>60</v>
      </c>
      <c r="GS885" s="4">
        <v>55</v>
      </c>
      <c r="GT885" s="4">
        <v>52</v>
      </c>
      <c r="GU885" s="4">
        <v>50</v>
      </c>
      <c r="GV885" s="4">
        <v>44</v>
      </c>
      <c r="GW885" s="4">
        <v>42</v>
      </c>
      <c r="GX885" s="4">
        <v>41</v>
      </c>
      <c r="GY885" s="4">
        <v>40</v>
      </c>
      <c r="GZ885" s="4">
        <v>36</v>
      </c>
      <c r="HA885" s="4">
        <v>32</v>
      </c>
      <c r="HB885" s="4">
        <v>31</v>
      </c>
      <c r="HC885" s="4">
        <v>28</v>
      </c>
      <c r="HD885" s="19">
        <v>36.7</v>
      </c>
      <c r="HE885" s="19">
        <v>53.5</v>
      </c>
      <c r="HF885" s="19">
        <v>35</v>
      </c>
      <c r="HG885" s="19">
        <v>33.7</v>
      </c>
      <c r="HH885" s="19">
        <v>33</v>
      </c>
      <c r="HI885" s="19">
        <v>32.3</v>
      </c>
      <c r="HJ885" s="19">
        <v>30.7</v>
      </c>
      <c r="HK885" s="19">
        <v>30</v>
      </c>
      <c r="HL885" s="19">
        <v>21.8</v>
      </c>
      <c r="HM885" s="19">
        <v>21.3</v>
      </c>
      <c r="HN885" s="19">
        <v>16.2</v>
      </c>
      <c r="HO885" s="19">
        <v>12.8</v>
      </c>
      <c r="HP885" s="19">
        <v>14.6</v>
      </c>
      <c r="HQ885" s="19">
        <v>16.8</v>
      </c>
      <c r="HR885" s="19">
        <v>15</v>
      </c>
      <c r="HS885" s="19">
        <v>18.3</v>
      </c>
      <c r="HT885" s="19">
        <v>17.3</v>
      </c>
      <c r="HU885" s="19">
        <v>25</v>
      </c>
      <c r="HV885" s="19">
        <v>22</v>
      </c>
      <c r="HW885" s="19">
        <v>21</v>
      </c>
      <c r="HX885" s="19">
        <v>20.5</v>
      </c>
      <c r="HY885" s="19">
        <v>13.3</v>
      </c>
      <c r="HZ885" s="19">
        <v>12</v>
      </c>
      <c r="IA885" s="19">
        <v>16</v>
      </c>
      <c r="IB885" s="19">
        <v>10.3</v>
      </c>
      <c r="IC885" s="19">
        <v>9.3</v>
      </c>
    </row>
    <row r="886">
      <c r="A886" s="2" t="s">
        <v>3612</v>
      </c>
      <c r="B886" s="2" t="s">
        <v>871</v>
      </c>
      <c r="C886" s="2" t="s">
        <v>324</v>
      </c>
      <c r="D886" s="2" t="s">
        <v>361</v>
      </c>
      <c r="E886" s="2" t="s">
        <v>872</v>
      </c>
      <c r="F886" s="2" t="s">
        <v>3613</v>
      </c>
      <c r="G886" s="2" t="s">
        <v>3614</v>
      </c>
      <c r="H886" s="2" t="s">
        <v>3615</v>
      </c>
      <c r="I886" s="2" t="s">
        <v>3616</v>
      </c>
      <c r="J886" s="2" t="s">
        <v>272</v>
      </c>
      <c r="K886" s="2" t="s">
        <v>1167</v>
      </c>
      <c r="L886" s="3">
        <v>95.51</v>
      </c>
      <c r="M886" s="3">
        <v>100.29</v>
      </c>
      <c r="N886" s="3">
        <v>169.99</v>
      </c>
      <c r="O886" s="2" t="s">
        <v>232</v>
      </c>
      <c r="P886" s="2" t="s">
        <v>336</v>
      </c>
      <c r="Q886" s="2" t="s">
        <v>234</v>
      </c>
      <c r="R886" s="2" t="s">
        <v>235</v>
      </c>
      <c r="S886" s="2" t="s">
        <v>3617</v>
      </c>
      <c r="T886" s="2" t="s">
        <v>3618</v>
      </c>
      <c r="U886" s="2" t="s">
        <v>3619</v>
      </c>
      <c r="V886" s="2" t="s">
        <v>880</v>
      </c>
      <c r="W886" s="2" t="s">
        <v>881</v>
      </c>
      <c r="X886" s="2" t="s">
        <v>3620</v>
      </c>
      <c r="Y886" s="2" t="s">
        <v>240</v>
      </c>
      <c r="Z886" s="4">
        <v>47</v>
      </c>
      <c r="AA886" s="4">
        <f>=ROUNDDOWN(23.5,0)</f>
      </c>
      <c r="AB886" s="5">
        <v>2</v>
      </c>
      <c r="AC886" s="2" t="s">
        <v>235</v>
      </c>
      <c r="AD886" s="4"/>
      <c r="AE886" s="4"/>
      <c r="AF886" s="6">
        <v>78</v>
      </c>
      <c r="AG886" s="6"/>
      <c r="AH886" s="7">
        <v>1</v>
      </c>
      <c r="AI886" s="4"/>
      <c r="AJ886" s="4">
        <f>=ROUNDDOWN({0},0)</f>
      </c>
      <c r="AK886" s="5"/>
      <c r="AL886" s="2" t="s">
        <v>235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235</v>
      </c>
      <c r="BD886" s="8" t="s">
        <v>235</v>
      </c>
      <c r="BE886" s="4" t="s">
        <v>235</v>
      </c>
      <c r="BF886" s="8" t="s">
        <v>235</v>
      </c>
      <c r="BG886" s="7" t="s">
        <v>235</v>
      </c>
      <c r="BH886" s="7" t="s">
        <v>235</v>
      </c>
      <c r="BI886" s="7"/>
      <c r="BJ886" s="4">
        <v>5</v>
      </c>
      <c r="BK886" s="8">
        <v>521.01</v>
      </c>
      <c r="BL886" s="2" t="s">
        <v>3621</v>
      </c>
      <c r="BM886" s="7"/>
      <c r="BN886" s="7"/>
      <c r="BO886" s="4"/>
      <c r="BP886" s="8"/>
      <c r="BQ886" s="4"/>
      <c r="BR886" s="8"/>
      <c r="BS886" s="7"/>
      <c r="BT886" s="7"/>
      <c r="BU886" s="2" t="s">
        <v>3622</v>
      </c>
      <c r="BV886" s="2" t="s">
        <v>243</v>
      </c>
      <c r="BW886" s="2" t="s">
        <v>235</v>
      </c>
      <c r="BX886" s="2" t="s">
        <v>383</v>
      </c>
      <c r="BY886" s="2" t="s">
        <v>245</v>
      </c>
      <c r="BZ886" s="2" t="s">
        <v>232</v>
      </c>
      <c r="CA886" s="2" t="s">
        <v>252</v>
      </c>
      <c r="CB886" s="2" t="s">
        <v>1338</v>
      </c>
      <c r="CC886" s="2" t="s">
        <v>248</v>
      </c>
      <c r="CD886" s="2" t="s">
        <v>248</v>
      </c>
      <c r="CE886" s="2" t="s">
        <v>235</v>
      </c>
      <c r="CF886" s="4">
        <v>33</v>
      </c>
      <c r="CG886" s="4">
        <v>3</v>
      </c>
      <c r="CH886" s="4"/>
      <c r="CI886" s="4">
        <v>11</v>
      </c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>
        <v>49</v>
      </c>
      <c r="GE886" s="4">
        <v>45</v>
      </c>
      <c r="GF886" s="4">
        <v>43</v>
      </c>
      <c r="GG886" s="4">
        <v>41</v>
      </c>
      <c r="GH886" s="4">
        <v>38</v>
      </c>
      <c r="GI886" s="4">
        <v>35</v>
      </c>
      <c r="GJ886" s="4">
        <v>31</v>
      </c>
      <c r="GK886" s="4">
        <v>28</v>
      </c>
      <c r="GL886" s="4">
        <v>25</v>
      </c>
      <c r="GM886" s="4">
        <v>23</v>
      </c>
      <c r="GN886" s="4">
        <v>21</v>
      </c>
      <c r="GO886" s="4">
        <v>18</v>
      </c>
      <c r="GP886" s="4">
        <v>15</v>
      </c>
      <c r="GQ886" s="4">
        <v>11</v>
      </c>
      <c r="GR886" s="4">
        <v>8</v>
      </c>
      <c r="GS886" s="4">
        <v>5</v>
      </c>
      <c r="GT886" s="4">
        <v>3</v>
      </c>
      <c r="GU886" s="4">
        <v>1</v>
      </c>
      <c r="GV886" s="4"/>
      <c r="GW886" s="4"/>
      <c r="GX886" s="4"/>
      <c r="GY886" s="4">
        <v>59</v>
      </c>
      <c r="GZ886" s="4">
        <v>53</v>
      </c>
      <c r="HA886" s="4">
        <v>51</v>
      </c>
      <c r="HB886" s="4">
        <v>49</v>
      </c>
      <c r="HC886" s="4">
        <v>47</v>
      </c>
      <c r="HD886" s="19">
        <v>16.3</v>
      </c>
      <c r="HE886" s="19">
        <v>22.5</v>
      </c>
      <c r="HF886" s="19">
        <v>14.3</v>
      </c>
      <c r="HG886" s="19">
        <v>13.7</v>
      </c>
      <c r="HH886" s="19">
        <v>12.7</v>
      </c>
      <c r="HI886" s="19">
        <v>11.7</v>
      </c>
      <c r="HJ886" s="19">
        <v>15.5</v>
      </c>
      <c r="HK886" s="19">
        <v>14</v>
      </c>
      <c r="HL886" s="19">
        <v>12.5</v>
      </c>
      <c r="HM886" s="19">
        <v>7.7</v>
      </c>
      <c r="HN886" s="19">
        <v>7</v>
      </c>
      <c r="HO886" s="19">
        <v>6</v>
      </c>
      <c r="HP886" s="19">
        <v>5</v>
      </c>
      <c r="HQ886" s="19">
        <v>5.5</v>
      </c>
      <c r="HR886" s="19">
        <v>4</v>
      </c>
      <c r="HS886" s="19">
        <v>2.5</v>
      </c>
      <c r="HT886" s="19">
        <v>3</v>
      </c>
      <c r="HU886" s="19">
        <v>1</v>
      </c>
      <c r="HV886" s="20">
        <v>0</v>
      </c>
      <c r="HW886" s="20">
        <v>0</v>
      </c>
      <c r="HX886" s="20">
        <v>0</v>
      </c>
      <c r="HY886" s="19">
        <v>19.7</v>
      </c>
      <c r="HZ886" s="19">
        <v>26.5</v>
      </c>
      <c r="IA886" s="19">
        <v>25.5</v>
      </c>
      <c r="IB886" s="19">
        <v>24.5</v>
      </c>
      <c r="IC886" s="19">
        <v>23.5</v>
      </c>
    </row>
    <row r="887">
      <c r="A887" s="2" t="s">
        <v>3623</v>
      </c>
      <c r="B887" s="2" t="s">
        <v>871</v>
      </c>
      <c r="C887" s="2" t="s">
        <v>324</v>
      </c>
      <c r="D887" s="2" t="s">
        <v>1452</v>
      </c>
      <c r="E887" s="2" t="s">
        <v>2263</v>
      </c>
      <c r="F887" s="2" t="s">
        <v>3613</v>
      </c>
      <c r="G887" s="2" t="s">
        <v>3614</v>
      </c>
      <c r="H887" s="2" t="s">
        <v>3615</v>
      </c>
      <c r="I887" s="2" t="s">
        <v>3624</v>
      </c>
      <c r="J887" s="2" t="s">
        <v>365</v>
      </c>
      <c r="K887" s="2" t="s">
        <v>1172</v>
      </c>
      <c r="L887" s="3">
        <v>63.7</v>
      </c>
      <c r="M887" s="3">
        <v>66.88</v>
      </c>
      <c r="N887" s="3">
        <v>129.99</v>
      </c>
      <c r="O887" s="2" t="s">
        <v>232</v>
      </c>
      <c r="P887" s="2" t="s">
        <v>233</v>
      </c>
      <c r="Q887" s="2" t="s">
        <v>234</v>
      </c>
      <c r="R887" s="2" t="s">
        <v>235</v>
      </c>
      <c r="S887" s="2" t="s">
        <v>3625</v>
      </c>
      <c r="T887" s="2" t="s">
        <v>3618</v>
      </c>
      <c r="U887" s="2" t="s">
        <v>614</v>
      </c>
      <c r="V887" s="2" t="s">
        <v>880</v>
      </c>
      <c r="W887" s="2" t="s">
        <v>881</v>
      </c>
      <c r="X887" s="2" t="s">
        <v>235</v>
      </c>
      <c r="Y887" s="2" t="s">
        <v>3626</v>
      </c>
      <c r="Z887" s="4">
        <v>755</v>
      </c>
      <c r="AA887" s="4">
        <f>=ROUNDDOWN(39.7368421052632,0)</f>
      </c>
      <c r="AB887" s="5">
        <v>19</v>
      </c>
      <c r="AC887" s="2" t="s">
        <v>235</v>
      </c>
      <c r="AD887" s="4"/>
      <c r="AE887" s="4"/>
      <c r="AF887" s="6">
        <v>78</v>
      </c>
      <c r="AG887" s="6"/>
      <c r="AH887" s="7">
        <v>1</v>
      </c>
      <c r="AI887" s="4"/>
      <c r="AJ887" s="4">
        <f>=ROUNDDOWN({0},0)</f>
      </c>
      <c r="AK887" s="5"/>
      <c r="AL887" s="2" t="s">
        <v>235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235</v>
      </c>
      <c r="AW887" s="8" t="s">
        <v>235</v>
      </c>
      <c r="AX887" s="4" t="s">
        <v>235</v>
      </c>
      <c r="AY887" s="8" t="s">
        <v>235</v>
      </c>
      <c r="AZ887" s="7" t="s">
        <v>235</v>
      </c>
      <c r="BA887" s="7" t="s">
        <v>235</v>
      </c>
      <c r="BB887" s="7"/>
      <c r="BC887" s="4" t="s">
        <v>235</v>
      </c>
      <c r="BD887" s="8" t="s">
        <v>235</v>
      </c>
      <c r="BE887" s="4" t="s">
        <v>235</v>
      </c>
      <c r="BF887" s="8" t="s">
        <v>235</v>
      </c>
      <c r="BG887" s="7" t="s">
        <v>235</v>
      </c>
      <c r="BH887" s="7" t="s">
        <v>235</v>
      </c>
      <c r="BI887" s="7"/>
      <c r="BJ887" s="4">
        <v>52</v>
      </c>
      <c r="BK887" s="8">
        <v>3278.27</v>
      </c>
      <c r="BL887" s="2" t="s">
        <v>2496</v>
      </c>
      <c r="BM887" s="7"/>
      <c r="BN887" s="7"/>
      <c r="BO887" s="4"/>
      <c r="BP887" s="8"/>
      <c r="BQ887" s="4"/>
      <c r="BR887" s="8"/>
      <c r="BS887" s="7"/>
      <c r="BT887" s="7"/>
      <c r="BU887" s="2" t="s">
        <v>3627</v>
      </c>
      <c r="BV887" s="2" t="s">
        <v>243</v>
      </c>
      <c r="BW887" s="2" t="s">
        <v>235</v>
      </c>
      <c r="BX887" s="2" t="s">
        <v>244</v>
      </c>
      <c r="BY887" s="2" t="s">
        <v>245</v>
      </c>
      <c r="BZ887" s="2" t="s">
        <v>232</v>
      </c>
      <c r="CA887" s="2" t="s">
        <v>2105</v>
      </c>
      <c r="CB887" s="2" t="s">
        <v>3628</v>
      </c>
      <c r="CC887" s="2" t="s">
        <v>248</v>
      </c>
      <c r="CD887" s="2" t="s">
        <v>248</v>
      </c>
      <c r="CE887" s="2" t="s">
        <v>235</v>
      </c>
      <c r="CF887" s="4">
        <v>755</v>
      </c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>
        <v>757</v>
      </c>
      <c r="GE887" s="4">
        <v>714</v>
      </c>
      <c r="GF887" s="4">
        <v>695</v>
      </c>
      <c r="GG887" s="4">
        <v>675</v>
      </c>
      <c r="GH887" s="4">
        <v>654</v>
      </c>
      <c r="GI887" s="4">
        <v>633</v>
      </c>
      <c r="GJ887" s="4">
        <v>605</v>
      </c>
      <c r="GK887" s="4">
        <v>582</v>
      </c>
      <c r="GL887" s="4">
        <v>559</v>
      </c>
      <c r="GM887" s="4">
        <v>538</v>
      </c>
      <c r="GN887" s="4">
        <v>517</v>
      </c>
      <c r="GO887" s="4">
        <v>490</v>
      </c>
      <c r="GP887" s="4">
        <v>460</v>
      </c>
      <c r="GQ887" s="4">
        <v>406</v>
      </c>
      <c r="GR887" s="4">
        <v>376</v>
      </c>
      <c r="GS887" s="4">
        <v>349</v>
      </c>
      <c r="GT887" s="4">
        <v>332</v>
      </c>
      <c r="GU887" s="4">
        <v>318</v>
      </c>
      <c r="GV887" s="4">
        <v>297</v>
      </c>
      <c r="GW887" s="4">
        <v>278</v>
      </c>
      <c r="GX887" s="4">
        <v>259</v>
      </c>
      <c r="GY887" s="4">
        <v>240</v>
      </c>
      <c r="GZ887" s="4">
        <v>221</v>
      </c>
      <c r="HA887" s="4">
        <v>202</v>
      </c>
      <c r="HB887" s="4">
        <v>183</v>
      </c>
      <c r="HC887" s="4">
        <v>162</v>
      </c>
      <c r="HD887" s="19">
        <v>29.1</v>
      </c>
      <c r="HE887" s="19">
        <v>35.7</v>
      </c>
      <c r="HF887" s="19">
        <v>31.6</v>
      </c>
      <c r="HG887" s="19">
        <v>29.3</v>
      </c>
      <c r="HH887" s="19">
        <v>27.3</v>
      </c>
      <c r="HI887" s="19">
        <v>26.4</v>
      </c>
      <c r="HJ887" s="19">
        <v>27.5</v>
      </c>
      <c r="HK887" s="19">
        <v>25.3</v>
      </c>
      <c r="HL887" s="19">
        <v>22.4</v>
      </c>
      <c r="HM887" s="19">
        <v>16.3</v>
      </c>
      <c r="HN887" s="19">
        <v>14.8</v>
      </c>
      <c r="HO887" s="19">
        <v>14</v>
      </c>
      <c r="HP887" s="19">
        <v>14.4</v>
      </c>
      <c r="HQ887" s="19">
        <v>18.5</v>
      </c>
      <c r="HR887" s="19">
        <v>18.8</v>
      </c>
      <c r="HS887" s="19">
        <v>19.4</v>
      </c>
      <c r="HT887" s="19">
        <v>18.4</v>
      </c>
      <c r="HU887" s="19">
        <v>15.9</v>
      </c>
      <c r="HV887" s="19">
        <v>15.6</v>
      </c>
      <c r="HW887" s="19">
        <v>14.6</v>
      </c>
      <c r="HX887" s="19">
        <v>13.6</v>
      </c>
      <c r="HY887" s="19">
        <v>12</v>
      </c>
      <c r="HZ887" s="19">
        <v>11.1</v>
      </c>
      <c r="IA887" s="19">
        <v>10.1</v>
      </c>
      <c r="IB887" s="19">
        <v>9.2</v>
      </c>
      <c r="IC887" s="19">
        <v>8.5</v>
      </c>
    </row>
    <row r="888">
      <c r="A888" s="2" t="s">
        <v>3629</v>
      </c>
      <c r="B888" s="2" t="s">
        <v>871</v>
      </c>
      <c r="C888" s="2" t="s">
        <v>324</v>
      </c>
      <c r="D888" s="2" t="s">
        <v>361</v>
      </c>
      <c r="E888" s="2" t="s">
        <v>872</v>
      </c>
      <c r="F888" s="2" t="s">
        <v>3613</v>
      </c>
      <c r="G888" s="2" t="s">
        <v>3614</v>
      </c>
      <c r="H888" s="2" t="s">
        <v>3615</v>
      </c>
      <c r="I888" s="2" t="s">
        <v>3616</v>
      </c>
      <c r="J888" s="2" t="s">
        <v>270</v>
      </c>
      <c r="K888" s="2" t="s">
        <v>1172</v>
      </c>
      <c r="L888" s="3">
        <v>95.51</v>
      </c>
      <c r="M888" s="3">
        <v>100.29</v>
      </c>
      <c r="N888" s="3">
        <v>169.99</v>
      </c>
      <c r="O888" s="2" t="s">
        <v>232</v>
      </c>
      <c r="P888" s="2" t="s">
        <v>233</v>
      </c>
      <c r="Q888" s="2" t="s">
        <v>234</v>
      </c>
      <c r="R888" s="2" t="s">
        <v>235</v>
      </c>
      <c r="S888" s="2" t="s">
        <v>3625</v>
      </c>
      <c r="T888" s="2" t="s">
        <v>3618</v>
      </c>
      <c r="U888" s="2" t="s">
        <v>3619</v>
      </c>
      <c r="V888" s="2" t="s">
        <v>880</v>
      </c>
      <c r="W888" s="2" t="s">
        <v>881</v>
      </c>
      <c r="X888" s="2" t="s">
        <v>235</v>
      </c>
      <c r="Y888" s="2" t="s">
        <v>3626</v>
      </c>
      <c r="Z888" s="4">
        <v>1289</v>
      </c>
      <c r="AA888" s="4">
        <f>=ROUNDDOWN(477.407407407407,0)</f>
      </c>
      <c r="AB888" s="5">
        <v>2.7</v>
      </c>
      <c r="AC888" s="2" t="s">
        <v>3630</v>
      </c>
      <c r="AD888" s="4">
        <v>446</v>
      </c>
      <c r="AE888" s="4">
        <v>446</v>
      </c>
      <c r="AF888" s="6">
        <v>78</v>
      </c>
      <c r="AG888" s="6"/>
      <c r="AH888" s="7">
        <v>1</v>
      </c>
      <c r="AI888" s="4"/>
      <c r="AJ888" s="4">
        <f>=ROUNDDOWN({0},0)</f>
      </c>
      <c r="AK888" s="5"/>
      <c r="AL888" s="2" t="s">
        <v>235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235</v>
      </c>
      <c r="AW888" s="8" t="s">
        <v>235</v>
      </c>
      <c r="AX888" s="4" t="s">
        <v>235</v>
      </c>
      <c r="AY888" s="8" t="s">
        <v>235</v>
      </c>
      <c r="AZ888" s="7" t="s">
        <v>235</v>
      </c>
      <c r="BA888" s="7" t="s">
        <v>235</v>
      </c>
      <c r="BB888" s="7"/>
      <c r="BC888" s="4" t="s">
        <v>235</v>
      </c>
      <c r="BD888" s="8" t="s">
        <v>235</v>
      </c>
      <c r="BE888" s="4" t="s">
        <v>235</v>
      </c>
      <c r="BF888" s="8" t="s">
        <v>235</v>
      </c>
      <c r="BG888" s="7" t="s">
        <v>235</v>
      </c>
      <c r="BH888" s="7" t="s">
        <v>235</v>
      </c>
      <c r="BI888" s="7"/>
      <c r="BJ888" s="4">
        <v>12</v>
      </c>
      <c r="BK888" s="8">
        <v>1261.66</v>
      </c>
      <c r="BL888" s="2" t="s">
        <v>1625</v>
      </c>
      <c r="BM888" s="7"/>
      <c r="BN888" s="7"/>
      <c r="BO888" s="4"/>
      <c r="BP888" s="8"/>
      <c r="BQ888" s="4"/>
      <c r="BR888" s="8"/>
      <c r="BS888" s="7"/>
      <c r="BT888" s="7"/>
      <c r="BU888" s="2" t="s">
        <v>3622</v>
      </c>
      <c r="BV888" s="2" t="s">
        <v>243</v>
      </c>
      <c r="BW888" s="2" t="s">
        <v>235</v>
      </c>
      <c r="BX888" s="2" t="s">
        <v>383</v>
      </c>
      <c r="BY888" s="2" t="s">
        <v>245</v>
      </c>
      <c r="BZ888" s="2" t="s">
        <v>232</v>
      </c>
      <c r="CA888" s="2" t="s">
        <v>3631</v>
      </c>
      <c r="CB888" s="2" t="s">
        <v>3632</v>
      </c>
      <c r="CC888" s="2" t="s">
        <v>248</v>
      </c>
      <c r="CD888" s="2" t="s">
        <v>248</v>
      </c>
      <c r="CE888" s="2" t="s">
        <v>235</v>
      </c>
      <c r="CF888" s="4">
        <v>1289</v>
      </c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>
        <v>446</v>
      </c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>
        <v>1289</v>
      </c>
      <c r="GE888" s="4">
        <v>1279</v>
      </c>
      <c r="GF888" s="4">
        <v>1276</v>
      </c>
      <c r="GG888" s="4">
        <v>1273</v>
      </c>
      <c r="GH888" s="4">
        <v>1270</v>
      </c>
      <c r="GI888" s="4">
        <v>1267</v>
      </c>
      <c r="GJ888" s="4">
        <v>1263</v>
      </c>
      <c r="GK888" s="4">
        <v>1259</v>
      </c>
      <c r="GL888" s="4">
        <v>1256</v>
      </c>
      <c r="GM888" s="4">
        <v>1253</v>
      </c>
      <c r="GN888" s="4">
        <v>1250</v>
      </c>
      <c r="GO888" s="4">
        <v>1247</v>
      </c>
      <c r="GP888" s="4">
        <v>1244</v>
      </c>
      <c r="GQ888" s="4">
        <v>1239</v>
      </c>
      <c r="GR888" s="4">
        <v>1681</v>
      </c>
      <c r="GS888" s="4">
        <v>1677</v>
      </c>
      <c r="GT888" s="4">
        <v>1674</v>
      </c>
      <c r="GU888" s="4">
        <v>1672</v>
      </c>
      <c r="GV888" s="4">
        <v>1669</v>
      </c>
      <c r="GW888" s="4">
        <v>1666</v>
      </c>
      <c r="GX888" s="4">
        <v>1663</v>
      </c>
      <c r="GY888" s="4">
        <v>1660</v>
      </c>
      <c r="GZ888" s="4">
        <v>1657</v>
      </c>
      <c r="HA888" s="4">
        <v>1654</v>
      </c>
      <c r="HB888" s="4">
        <v>1651</v>
      </c>
      <c r="HC888" s="4">
        <v>1648</v>
      </c>
      <c r="HD888" s="19">
        <v>257.8</v>
      </c>
      <c r="HE888" s="19">
        <v>426.3</v>
      </c>
      <c r="HF888" s="19">
        <v>425.3</v>
      </c>
      <c r="HG888" s="19">
        <v>318.3</v>
      </c>
      <c r="HH888" s="19">
        <v>317.5</v>
      </c>
      <c r="HI888" s="19">
        <v>316.8</v>
      </c>
      <c r="HJ888" s="19">
        <v>421</v>
      </c>
      <c r="HK888" s="19">
        <v>419.7</v>
      </c>
      <c r="HL888" s="19">
        <v>418.7</v>
      </c>
      <c r="HM888" s="19">
        <v>313.3</v>
      </c>
      <c r="HN888" s="19">
        <v>312.5</v>
      </c>
      <c r="HO888" s="19">
        <v>311.8</v>
      </c>
      <c r="HP888" s="19">
        <v>311</v>
      </c>
      <c r="HQ888" s="19">
        <v>413</v>
      </c>
      <c r="HR888" s="19">
        <v>560.3</v>
      </c>
      <c r="HS888" s="19">
        <v>559</v>
      </c>
      <c r="HT888" s="19">
        <v>558</v>
      </c>
      <c r="HU888" s="19">
        <v>557.3</v>
      </c>
      <c r="HV888" s="19">
        <v>556.3</v>
      </c>
      <c r="HW888" s="19">
        <v>555.3</v>
      </c>
      <c r="HX888" s="19">
        <v>554.3</v>
      </c>
      <c r="HY888" s="19">
        <v>553.3</v>
      </c>
      <c r="HZ888" s="19">
        <v>552.3</v>
      </c>
      <c r="IA888" s="19">
        <v>551.3</v>
      </c>
      <c r="IB888" s="19">
        <v>550.3</v>
      </c>
      <c r="IC888" s="19">
        <v>549.3</v>
      </c>
    </row>
    <row r="889">
      <c r="A889" s="2" t="s">
        <v>3633</v>
      </c>
      <c r="B889" s="2" t="s">
        <v>871</v>
      </c>
      <c r="C889" s="2" t="s">
        <v>324</v>
      </c>
      <c r="D889" s="2" t="s">
        <v>1452</v>
      </c>
      <c r="E889" s="2" t="s">
        <v>2263</v>
      </c>
      <c r="F889" s="2" t="s">
        <v>3613</v>
      </c>
      <c r="G889" s="2" t="s">
        <v>3614</v>
      </c>
      <c r="H889" s="2" t="s">
        <v>3615</v>
      </c>
      <c r="I889" s="2" t="s">
        <v>3624</v>
      </c>
      <c r="J889" s="2" t="s">
        <v>372</v>
      </c>
      <c r="K889" s="2" t="s">
        <v>1172</v>
      </c>
      <c r="L889" s="3">
        <v>68.6</v>
      </c>
      <c r="M889" s="3">
        <v>72.02</v>
      </c>
      <c r="N889" s="3">
        <v>139.99</v>
      </c>
      <c r="O889" s="2" t="s">
        <v>232</v>
      </c>
      <c r="P889" s="2" t="s">
        <v>233</v>
      </c>
      <c r="Q889" s="2" t="s">
        <v>234</v>
      </c>
      <c r="R889" s="2" t="s">
        <v>235</v>
      </c>
      <c r="S889" s="2" t="s">
        <v>3625</v>
      </c>
      <c r="T889" s="2" t="s">
        <v>3618</v>
      </c>
      <c r="U889" s="2" t="s">
        <v>614</v>
      </c>
      <c r="V889" s="2" t="s">
        <v>880</v>
      </c>
      <c r="W889" s="2" t="s">
        <v>881</v>
      </c>
      <c r="X889" s="2" t="s">
        <v>235</v>
      </c>
      <c r="Y889" s="2" t="s">
        <v>3626</v>
      </c>
      <c r="Z889" s="4">
        <v>782</v>
      </c>
      <c r="AA889" s="4">
        <f>=ROUNDDOWN(46,0)</f>
      </c>
      <c r="AB889" s="5">
        <v>17</v>
      </c>
      <c r="AC889" s="2" t="s">
        <v>235</v>
      </c>
      <c r="AD889" s="4"/>
      <c r="AE889" s="4"/>
      <c r="AF889" s="6">
        <v>78</v>
      </c>
      <c r="AG889" s="6"/>
      <c r="AH889" s="7">
        <v>0.1935</v>
      </c>
      <c r="AI889" s="4"/>
      <c r="AJ889" s="4">
        <f>=ROUNDDOWN({0},0)</f>
      </c>
      <c r="AK889" s="5"/>
      <c r="AL889" s="2" t="s">
        <v>235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235</v>
      </c>
      <c r="AW889" s="8" t="s">
        <v>235</v>
      </c>
      <c r="AX889" s="4" t="s">
        <v>235</v>
      </c>
      <c r="AY889" s="8" t="s">
        <v>235</v>
      </c>
      <c r="AZ889" s="7" t="s">
        <v>235</v>
      </c>
      <c r="BA889" s="7" t="s">
        <v>235</v>
      </c>
      <c r="BB889" s="7"/>
      <c r="BC889" s="4" t="s">
        <v>235</v>
      </c>
      <c r="BD889" s="8" t="s">
        <v>235</v>
      </c>
      <c r="BE889" s="4" t="s">
        <v>235</v>
      </c>
      <c r="BF889" s="8" t="s">
        <v>235</v>
      </c>
      <c r="BG889" s="7" t="s">
        <v>235</v>
      </c>
      <c r="BH889" s="7" t="s">
        <v>235</v>
      </c>
      <c r="BI889" s="7"/>
      <c r="BJ889" s="4">
        <v>24</v>
      </c>
      <c r="BK889" s="8">
        <v>1865.56</v>
      </c>
      <c r="BL889" s="2" t="s">
        <v>3634</v>
      </c>
      <c r="BM889" s="7"/>
      <c r="BN889" s="7"/>
      <c r="BO889" s="4"/>
      <c r="BP889" s="8"/>
      <c r="BQ889" s="4"/>
      <c r="BR889" s="8"/>
      <c r="BS889" s="7"/>
      <c r="BT889" s="7"/>
      <c r="BU889" s="2" t="s">
        <v>3627</v>
      </c>
      <c r="BV889" s="2" t="s">
        <v>243</v>
      </c>
      <c r="BW889" s="2" t="s">
        <v>235</v>
      </c>
      <c r="BX889" s="2" t="s">
        <v>244</v>
      </c>
      <c r="BY889" s="2" t="s">
        <v>245</v>
      </c>
      <c r="BZ889" s="2" t="s">
        <v>232</v>
      </c>
      <c r="CA889" s="2" t="s">
        <v>2105</v>
      </c>
      <c r="CB889" s="2" t="s">
        <v>3628</v>
      </c>
      <c r="CC889" s="2" t="s">
        <v>248</v>
      </c>
      <c r="CD889" s="2" t="s">
        <v>248</v>
      </c>
      <c r="CE889" s="2" t="s">
        <v>235</v>
      </c>
      <c r="CF889" s="4">
        <v>782</v>
      </c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>
        <v>792</v>
      </c>
      <c r="GE889" s="4">
        <v>769</v>
      </c>
      <c r="GF889" s="4">
        <v>752</v>
      </c>
      <c r="GG889" s="4">
        <v>735</v>
      </c>
      <c r="GH889" s="4">
        <v>717</v>
      </c>
      <c r="GI889" s="4">
        <v>699</v>
      </c>
      <c r="GJ889" s="4">
        <v>676</v>
      </c>
      <c r="GK889" s="4">
        <v>656</v>
      </c>
      <c r="GL889" s="4">
        <v>636</v>
      </c>
      <c r="GM889" s="4">
        <v>617</v>
      </c>
      <c r="GN889" s="4">
        <v>598</v>
      </c>
      <c r="GO889" s="4">
        <v>573</v>
      </c>
      <c r="GP889" s="4">
        <v>545</v>
      </c>
      <c r="GQ889" s="4">
        <v>495</v>
      </c>
      <c r="GR889" s="4">
        <v>467</v>
      </c>
      <c r="GS889" s="4">
        <v>442</v>
      </c>
      <c r="GT889" s="4">
        <v>426</v>
      </c>
      <c r="GU889" s="4">
        <v>413</v>
      </c>
      <c r="GV889" s="4">
        <v>394</v>
      </c>
      <c r="GW889" s="4">
        <v>377</v>
      </c>
      <c r="GX889" s="4">
        <v>360</v>
      </c>
      <c r="GY889" s="4">
        <v>343</v>
      </c>
      <c r="GZ889" s="4">
        <v>326</v>
      </c>
      <c r="HA889" s="4">
        <v>309</v>
      </c>
      <c r="HB889" s="4">
        <v>292</v>
      </c>
      <c r="HC889" s="4">
        <v>273</v>
      </c>
      <c r="HD889" s="19">
        <v>41.7</v>
      </c>
      <c r="HE889" s="19">
        <v>42.7</v>
      </c>
      <c r="HF889" s="19">
        <v>39.6</v>
      </c>
      <c r="HG889" s="19">
        <v>36.8</v>
      </c>
      <c r="HH889" s="19">
        <v>35.9</v>
      </c>
      <c r="HI889" s="19">
        <v>35</v>
      </c>
      <c r="HJ889" s="19">
        <v>33.8</v>
      </c>
      <c r="HK889" s="19">
        <v>31.2</v>
      </c>
      <c r="HL889" s="19">
        <v>27.7</v>
      </c>
      <c r="HM889" s="19">
        <v>20.6</v>
      </c>
      <c r="HN889" s="19">
        <v>18.1</v>
      </c>
      <c r="HO889" s="19">
        <v>17.4</v>
      </c>
      <c r="HP889" s="19">
        <v>18.2</v>
      </c>
      <c r="HQ889" s="19">
        <v>24.8</v>
      </c>
      <c r="HR889" s="19">
        <v>25.9</v>
      </c>
      <c r="HS889" s="19">
        <v>27.6</v>
      </c>
      <c r="HT889" s="19">
        <v>26.6</v>
      </c>
      <c r="HU889" s="19">
        <v>22.9</v>
      </c>
      <c r="HV889" s="19">
        <v>23.2</v>
      </c>
      <c r="HW889" s="19">
        <v>22.2</v>
      </c>
      <c r="HX889" s="19">
        <v>21.2</v>
      </c>
      <c r="HY889" s="19">
        <v>19.1</v>
      </c>
      <c r="HZ889" s="19">
        <v>18.1</v>
      </c>
      <c r="IA889" s="19">
        <v>17.2</v>
      </c>
      <c r="IB889" s="19">
        <v>16.2</v>
      </c>
      <c r="IC889" s="19">
        <v>16.1</v>
      </c>
    </row>
    <row r="890">
      <c r="A890" s="2" t="s">
        <v>3635</v>
      </c>
      <c r="B890" s="2" t="s">
        <v>800</v>
      </c>
      <c r="C890" s="2" t="s">
        <v>943</v>
      </c>
      <c r="D890" s="2" t="s">
        <v>802</v>
      </c>
      <c r="E890" s="2" t="s">
        <v>803</v>
      </c>
      <c r="F890" s="2" t="s">
        <v>3636</v>
      </c>
      <c r="G890" s="2" t="s">
        <v>3636</v>
      </c>
      <c r="H890" s="2" t="s">
        <v>3636</v>
      </c>
      <c r="I890" s="2" t="s">
        <v>3637</v>
      </c>
      <c r="J890" s="2" t="s">
        <v>806</v>
      </c>
      <c r="K890" s="2" t="s">
        <v>378</v>
      </c>
      <c r="L890" s="3">
        <v>58.88</v>
      </c>
      <c r="M890" s="3">
        <v>61.82</v>
      </c>
      <c r="N890" s="3">
        <v>139.99</v>
      </c>
      <c r="O890" s="2" t="s">
        <v>485</v>
      </c>
      <c r="P890" s="2" t="s">
        <v>408</v>
      </c>
      <c r="Q890" s="2" t="s">
        <v>234</v>
      </c>
      <c r="R890" s="2" t="s">
        <v>235</v>
      </c>
      <c r="S890" s="2" t="s">
        <v>235</v>
      </c>
      <c r="T890" s="2" t="s">
        <v>235</v>
      </c>
      <c r="U890" s="2" t="s">
        <v>807</v>
      </c>
      <c r="V890" s="2" t="s">
        <v>808</v>
      </c>
      <c r="W890" s="2" t="s">
        <v>682</v>
      </c>
      <c r="X890" s="2" t="s">
        <v>1157</v>
      </c>
      <c r="Y890" s="2" t="s">
        <v>3638</v>
      </c>
      <c r="Z890" s="4">
        <v>47</v>
      </c>
      <c r="AA890" s="4">
        <f>=ROUNDDOWN(235,0)</f>
      </c>
      <c r="AB890" s="5">
        <v>0.2</v>
      </c>
      <c r="AC890" s="2" t="s">
        <v>235</v>
      </c>
      <c r="AD890" s="4"/>
      <c r="AE890" s="4"/>
      <c r="AF890" s="6">
        <v>63</v>
      </c>
      <c r="AG890" s="6"/>
      <c r="AH890" s="7">
        <v>1</v>
      </c>
      <c r="AI890" s="4"/>
      <c r="AJ890" s="4">
        <f>=ROUNDDOWN({0},0)</f>
      </c>
      <c r="AK890" s="5"/>
      <c r="AL890" s="2" t="s">
        <v>235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/>
      <c r="BD890" s="8"/>
      <c r="BE890" s="4"/>
      <c r="BF890" s="8"/>
      <c r="BG890" s="7"/>
      <c r="BH890" s="7"/>
      <c r="BI890" s="7"/>
      <c r="BJ890" s="4">
        <v>2</v>
      </c>
      <c r="BK890" s="8">
        <v>176.22</v>
      </c>
      <c r="BL890" s="2" t="s">
        <v>3639</v>
      </c>
      <c r="BM890" s="7"/>
      <c r="BN890" s="7"/>
      <c r="BO890" s="4"/>
      <c r="BP890" s="8"/>
      <c r="BQ890" s="4"/>
      <c r="BR890" s="8"/>
      <c r="BS890" s="7"/>
      <c r="BT890" s="7"/>
      <c r="BU890" s="2" t="s">
        <v>3640</v>
      </c>
      <c r="BV890" s="2" t="s">
        <v>813</v>
      </c>
      <c r="BW890" s="2" t="s">
        <v>235</v>
      </c>
      <c r="BX890" s="2" t="s">
        <v>414</v>
      </c>
      <c r="BY890" s="2" t="s">
        <v>245</v>
      </c>
      <c r="BZ890" s="2" t="s">
        <v>232</v>
      </c>
      <c r="CA890" s="2" t="s">
        <v>835</v>
      </c>
      <c r="CB890" s="2" t="s">
        <v>3641</v>
      </c>
      <c r="CC890" s="2" t="s">
        <v>248</v>
      </c>
      <c r="CD890" s="2" t="s">
        <v>248</v>
      </c>
      <c r="CE890" s="2" t="s">
        <v>235</v>
      </c>
      <c r="CF890" s="4"/>
      <c r="CG890" s="4">
        <v>47</v>
      </c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>
        <v>47</v>
      </c>
      <c r="GE890" s="4">
        <v>47</v>
      </c>
      <c r="GF890" s="4">
        <v>47</v>
      </c>
      <c r="GG890" s="4">
        <v>47</v>
      </c>
      <c r="GH890" s="4">
        <v>47</v>
      </c>
      <c r="GI890" s="4">
        <v>47</v>
      </c>
      <c r="GJ890" s="4">
        <v>47</v>
      </c>
      <c r="GK890" s="4">
        <v>47</v>
      </c>
      <c r="GL890" s="4">
        <v>47</v>
      </c>
      <c r="GM890" s="4">
        <v>47</v>
      </c>
      <c r="GN890" s="4">
        <v>47</v>
      </c>
      <c r="GO890" s="4">
        <v>47</v>
      </c>
      <c r="GP890" s="4">
        <v>47</v>
      </c>
      <c r="GQ890" s="4">
        <v>47</v>
      </c>
      <c r="GR890" s="4">
        <v>47</v>
      </c>
      <c r="GS890" s="4">
        <v>47</v>
      </c>
      <c r="GT890" s="4">
        <v>47</v>
      </c>
      <c r="GU890" s="4">
        <v>47</v>
      </c>
      <c r="GV890" s="4">
        <v>47</v>
      </c>
      <c r="GW890" s="4">
        <v>47</v>
      </c>
      <c r="GX890" s="4">
        <v>47</v>
      </c>
      <c r="GY890" s="4">
        <v>47</v>
      </c>
      <c r="GZ890" s="4">
        <v>47</v>
      </c>
      <c r="HA890" s="4">
        <v>47</v>
      </c>
      <c r="HB890" s="4">
        <v>47</v>
      </c>
      <c r="HC890" s="4">
        <v>47</v>
      </c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</row>
    <row r="891">
      <c r="A891" s="2" t="s">
        <v>3642</v>
      </c>
      <c r="B891" s="2" t="s">
        <v>605</v>
      </c>
      <c r="C891" s="2" t="s">
        <v>324</v>
      </c>
      <c r="D891" s="2" t="s">
        <v>607</v>
      </c>
      <c r="E891" s="2" t="s">
        <v>608</v>
      </c>
      <c r="F891" s="2" t="s">
        <v>3643</v>
      </c>
      <c r="G891" s="2" t="s">
        <v>3643</v>
      </c>
      <c r="H891" s="2" t="s">
        <v>3643</v>
      </c>
      <c r="I891" s="2" t="s">
        <v>3644</v>
      </c>
      <c r="J891" s="2" t="s">
        <v>611</v>
      </c>
      <c r="K891" s="2" t="s">
        <v>612</v>
      </c>
      <c r="L891" s="3">
        <v>23</v>
      </c>
      <c r="M891" s="3">
        <v>24.15</v>
      </c>
      <c r="N891" s="3">
        <v>45.99</v>
      </c>
      <c r="O891" s="2" t="s">
        <v>232</v>
      </c>
      <c r="P891" s="2" t="s">
        <v>262</v>
      </c>
      <c r="Q891" s="2" t="s">
        <v>234</v>
      </c>
      <c r="R891" s="2" t="s">
        <v>235</v>
      </c>
      <c r="S891" s="2" t="s">
        <v>3645</v>
      </c>
      <c r="T891" s="2" t="s">
        <v>263</v>
      </c>
      <c r="U891" s="2" t="s">
        <v>614</v>
      </c>
      <c r="V891" s="2" t="s">
        <v>863</v>
      </c>
      <c r="W891" s="2" t="s">
        <v>235</v>
      </c>
      <c r="X891" s="2" t="s">
        <v>235</v>
      </c>
      <c r="Y891" s="2" t="s">
        <v>3646</v>
      </c>
      <c r="Z891" s="4">
        <v>2</v>
      </c>
      <c r="AA891" s="4">
        <f>=ROUNDDOWN({0},0)</f>
      </c>
      <c r="AB891" s="5"/>
      <c r="AC891" s="2" t="s">
        <v>164</v>
      </c>
      <c r="AD891" s="4">
        <v>601</v>
      </c>
      <c r="AE891" s="4">
        <v>601</v>
      </c>
      <c r="AF891" s="6">
        <v>77</v>
      </c>
      <c r="AG891" s="6"/>
      <c r="AH891" s="7"/>
      <c r="AI891" s="4"/>
      <c r="AJ891" s="4">
        <f>=ROUNDDOWN({0},0)</f>
      </c>
      <c r="AK891" s="5"/>
      <c r="AL891" s="2" t="s">
        <v>235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235</v>
      </c>
      <c r="AW891" s="8" t="s">
        <v>235</v>
      </c>
      <c r="AX891" s="4" t="s">
        <v>235</v>
      </c>
      <c r="AY891" s="8" t="s">
        <v>235</v>
      </c>
      <c r="AZ891" s="7" t="s">
        <v>235</v>
      </c>
      <c r="BA891" s="7" t="s">
        <v>235</v>
      </c>
      <c r="BB891" s="7" t="s">
        <v>235</v>
      </c>
      <c r="BC891" s="4" t="s">
        <v>235</v>
      </c>
      <c r="BD891" s="8" t="s">
        <v>235</v>
      </c>
      <c r="BE891" s="4" t="s">
        <v>235</v>
      </c>
      <c r="BF891" s="8" t="s">
        <v>235</v>
      </c>
      <c r="BG891" s="7" t="s">
        <v>235</v>
      </c>
      <c r="BH891" s="7" t="s">
        <v>235</v>
      </c>
      <c r="BI891" s="7"/>
      <c r="BJ891" s="4"/>
      <c r="BK891" s="8"/>
      <c r="BL891" s="2" t="s">
        <v>235</v>
      </c>
      <c r="BM891" s="7"/>
      <c r="BN891" s="7"/>
      <c r="BO891" s="4"/>
      <c r="BP891" s="8"/>
      <c r="BQ891" s="4"/>
      <c r="BR891" s="8"/>
      <c r="BS891" s="7"/>
      <c r="BT891" s="7"/>
      <c r="BU891" s="2" t="s">
        <v>330</v>
      </c>
      <c r="BV891" s="2" t="s">
        <v>235</v>
      </c>
      <c r="BW891" s="2" t="s">
        <v>235</v>
      </c>
      <c r="BX891" s="2" t="s">
        <v>330</v>
      </c>
      <c r="BY891" s="2" t="s">
        <v>331</v>
      </c>
      <c r="BZ891" s="2" t="s">
        <v>232</v>
      </c>
      <c r="CA891" s="2" t="s">
        <v>235</v>
      </c>
      <c r="CB891" s="2" t="s">
        <v>235</v>
      </c>
      <c r="CC891" s="2" t="s">
        <v>248</v>
      </c>
      <c r="CD891" s="2" t="s">
        <v>248</v>
      </c>
      <c r="CE891" s="2" t="s">
        <v>235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>
        <v>2</v>
      </c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>
        <v>601</v>
      </c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>
        <v>601</v>
      </c>
      <c r="GL891" s="4">
        <v>578</v>
      </c>
      <c r="GM891" s="4">
        <v>569</v>
      </c>
      <c r="GN891" s="4">
        <v>561</v>
      </c>
      <c r="GO891" s="4">
        <v>551</v>
      </c>
      <c r="GP891" s="4">
        <v>539</v>
      </c>
      <c r="GQ891" s="4">
        <v>521</v>
      </c>
      <c r="GR891" s="4">
        <v>501</v>
      </c>
      <c r="GS891" s="4">
        <v>474</v>
      </c>
      <c r="GT891" s="4">
        <v>452</v>
      </c>
      <c r="GU891" s="4">
        <v>437</v>
      </c>
      <c r="GV891" s="4">
        <v>422</v>
      </c>
      <c r="GW891" s="4">
        <v>402</v>
      </c>
      <c r="GX891" s="4">
        <v>382</v>
      </c>
      <c r="GY891" s="4">
        <v>362</v>
      </c>
      <c r="GZ891" s="4">
        <v>339</v>
      </c>
      <c r="HA891" s="4">
        <v>316</v>
      </c>
      <c r="HB891" s="4">
        <v>293</v>
      </c>
      <c r="HC891" s="4">
        <v>270</v>
      </c>
      <c r="HD891" s="9"/>
      <c r="HE891" s="9"/>
      <c r="HF891" s="9"/>
      <c r="HG891" s="9"/>
      <c r="HH891" s="9"/>
      <c r="HI891" s="9"/>
      <c r="HJ891" s="9"/>
      <c r="HK891" s="19">
        <v>50.1</v>
      </c>
      <c r="HL891" s="19">
        <v>57.8</v>
      </c>
      <c r="HM891" s="19">
        <v>47.4</v>
      </c>
      <c r="HN891" s="19">
        <v>37.4</v>
      </c>
      <c r="HO891" s="19">
        <v>29</v>
      </c>
      <c r="HP891" s="19">
        <v>24.5</v>
      </c>
      <c r="HQ891" s="19">
        <v>24.8</v>
      </c>
      <c r="HR891" s="19">
        <v>25.1</v>
      </c>
      <c r="HS891" s="19">
        <v>26.3</v>
      </c>
      <c r="HT891" s="19">
        <v>25.1</v>
      </c>
      <c r="HU891" s="19">
        <v>23</v>
      </c>
      <c r="HV891" s="19">
        <v>20.1</v>
      </c>
      <c r="HW891" s="19">
        <v>18.3</v>
      </c>
      <c r="HX891" s="19">
        <v>17.4</v>
      </c>
      <c r="HY891" s="19">
        <v>15.7</v>
      </c>
      <c r="HZ891" s="19">
        <v>14.7</v>
      </c>
      <c r="IA891" s="19">
        <v>13.7</v>
      </c>
      <c r="IB891" s="19">
        <v>12.2</v>
      </c>
      <c r="IC891" s="19">
        <v>11.3</v>
      </c>
    </row>
    <row r="892">
      <c r="A892" s="2" t="s">
        <v>3647</v>
      </c>
      <c r="B892" s="2" t="s">
        <v>605</v>
      </c>
      <c r="C892" s="2" t="s">
        <v>324</v>
      </c>
      <c r="D892" s="2" t="s">
        <v>607</v>
      </c>
      <c r="E892" s="2" t="s">
        <v>608</v>
      </c>
      <c r="F892" s="2" t="s">
        <v>3643</v>
      </c>
      <c r="G892" s="2" t="s">
        <v>3643</v>
      </c>
      <c r="H892" s="2" t="s">
        <v>3643</v>
      </c>
      <c r="I892" s="2" t="s">
        <v>3648</v>
      </c>
      <c r="J892" s="2" t="s">
        <v>611</v>
      </c>
      <c r="K892" s="2" t="s">
        <v>612</v>
      </c>
      <c r="L892" s="3">
        <v>8.5</v>
      </c>
      <c r="M892" s="3">
        <v>8.93</v>
      </c>
      <c r="N892" s="3">
        <v>14.99</v>
      </c>
      <c r="O892" s="2" t="s">
        <v>232</v>
      </c>
      <c r="P892" s="2" t="s">
        <v>262</v>
      </c>
      <c r="Q892" s="2" t="s">
        <v>234</v>
      </c>
      <c r="R892" s="2" t="s">
        <v>235</v>
      </c>
      <c r="S892" s="2" t="s">
        <v>3645</v>
      </c>
      <c r="T892" s="2" t="s">
        <v>263</v>
      </c>
      <c r="U892" s="2" t="s">
        <v>614</v>
      </c>
      <c r="V892" s="2" t="s">
        <v>863</v>
      </c>
      <c r="W892" s="2" t="s">
        <v>235</v>
      </c>
      <c r="X892" s="2" t="s">
        <v>235</v>
      </c>
      <c r="Y892" s="2" t="s">
        <v>235</v>
      </c>
      <c r="Z892" s="4"/>
      <c r="AA892" s="4">
        <f>=ROUNDDOWN({0},0)</f>
      </c>
      <c r="AB892" s="5"/>
      <c r="AC892" s="2" t="s">
        <v>164</v>
      </c>
      <c r="AD892" s="4">
        <v>126</v>
      </c>
      <c r="AE892" s="4">
        <v>126</v>
      </c>
      <c r="AF892" s="6">
        <v>77</v>
      </c>
      <c r="AG892" s="6"/>
      <c r="AH892" s="7"/>
      <c r="AI892" s="4"/>
      <c r="AJ892" s="4">
        <f>=ROUNDDOWN({0},0)</f>
      </c>
      <c r="AK892" s="5"/>
      <c r="AL892" s="2" t="s">
        <v>235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235</v>
      </c>
      <c r="AW892" s="8" t="s">
        <v>235</v>
      </c>
      <c r="AX892" s="4" t="s">
        <v>235</v>
      </c>
      <c r="AY892" s="8" t="s">
        <v>235</v>
      </c>
      <c r="AZ892" s="7" t="s">
        <v>235</v>
      </c>
      <c r="BA892" s="7" t="s">
        <v>235</v>
      </c>
      <c r="BB892" s="7" t="s">
        <v>235</v>
      </c>
      <c r="BC892" s="4" t="s">
        <v>235</v>
      </c>
      <c r="BD892" s="8" t="s">
        <v>235</v>
      </c>
      <c r="BE892" s="4" t="s">
        <v>235</v>
      </c>
      <c r="BF892" s="8" t="s">
        <v>235</v>
      </c>
      <c r="BG892" s="7" t="s">
        <v>235</v>
      </c>
      <c r="BH892" s="7" t="s">
        <v>235</v>
      </c>
      <c r="BI892" s="7"/>
      <c r="BJ892" s="4"/>
      <c r="BK892" s="8"/>
      <c r="BL892" s="2" t="s">
        <v>235</v>
      </c>
      <c r="BM892" s="7"/>
      <c r="BN892" s="7"/>
      <c r="BO892" s="4"/>
      <c r="BP892" s="8"/>
      <c r="BQ892" s="4"/>
      <c r="BR892" s="8"/>
      <c r="BS892" s="7"/>
      <c r="BT892" s="7"/>
      <c r="BU892" s="2" t="s">
        <v>330</v>
      </c>
      <c r="BV892" s="2" t="s">
        <v>235</v>
      </c>
      <c r="BW892" s="2" t="s">
        <v>235</v>
      </c>
      <c r="BX892" s="2" t="s">
        <v>330</v>
      </c>
      <c r="BY892" s="2" t="s">
        <v>331</v>
      </c>
      <c r="BZ892" s="2" t="s">
        <v>232</v>
      </c>
      <c r="CA892" s="2" t="s">
        <v>235</v>
      </c>
      <c r="CB892" s="2" t="s">
        <v>235</v>
      </c>
      <c r="CC892" s="2" t="s">
        <v>248</v>
      </c>
      <c r="CD892" s="2" t="s">
        <v>248</v>
      </c>
      <c r="CE892" s="2" t="s">
        <v>235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>
        <v>126</v>
      </c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>
        <v>126</v>
      </c>
      <c r="GL892" s="4">
        <v>122</v>
      </c>
      <c r="GM892" s="4">
        <v>120</v>
      </c>
      <c r="GN892" s="4">
        <v>118</v>
      </c>
      <c r="GO892" s="4">
        <v>116</v>
      </c>
      <c r="GP892" s="4">
        <v>113</v>
      </c>
      <c r="GQ892" s="4">
        <v>109</v>
      </c>
      <c r="GR892" s="4">
        <v>104</v>
      </c>
      <c r="GS892" s="4">
        <v>97</v>
      </c>
      <c r="GT892" s="4">
        <v>91</v>
      </c>
      <c r="GU892" s="4">
        <v>87</v>
      </c>
      <c r="GV892" s="4">
        <v>83</v>
      </c>
      <c r="GW892" s="4">
        <v>78</v>
      </c>
      <c r="GX892" s="4">
        <v>73</v>
      </c>
      <c r="GY892" s="4">
        <v>68</v>
      </c>
      <c r="GZ892" s="4">
        <v>62</v>
      </c>
      <c r="HA892" s="4">
        <v>56</v>
      </c>
      <c r="HB892" s="4">
        <v>50</v>
      </c>
      <c r="HC892" s="4">
        <v>44</v>
      </c>
      <c r="HD892" s="9"/>
      <c r="HE892" s="9"/>
      <c r="HF892" s="9"/>
      <c r="HG892" s="9"/>
      <c r="HH892" s="9"/>
      <c r="HI892" s="9"/>
      <c r="HJ892" s="9"/>
      <c r="HK892" s="19">
        <v>63</v>
      </c>
      <c r="HL892" s="19">
        <v>61</v>
      </c>
      <c r="HM892" s="19">
        <v>40</v>
      </c>
      <c r="HN892" s="19">
        <v>29.5</v>
      </c>
      <c r="HO892" s="19">
        <v>23.2</v>
      </c>
      <c r="HP892" s="19">
        <v>18.8</v>
      </c>
      <c r="HQ892" s="19">
        <v>18.2</v>
      </c>
      <c r="HR892" s="19">
        <v>20.8</v>
      </c>
      <c r="HS892" s="19">
        <v>19.4</v>
      </c>
      <c r="HT892" s="19">
        <v>22.8</v>
      </c>
      <c r="HU892" s="19">
        <v>17.4</v>
      </c>
      <c r="HV892" s="19">
        <v>16.6</v>
      </c>
      <c r="HW892" s="19">
        <v>13</v>
      </c>
      <c r="HX892" s="19">
        <v>12.2</v>
      </c>
      <c r="HY892" s="19">
        <v>11.3</v>
      </c>
      <c r="HZ892" s="19">
        <v>10.3</v>
      </c>
      <c r="IA892" s="19">
        <v>9.3</v>
      </c>
      <c r="IB892" s="19">
        <v>8.3</v>
      </c>
      <c r="IC892" s="19">
        <v>7.3</v>
      </c>
    </row>
    <row r="893">
      <c r="A893" s="2" t="s">
        <v>3649</v>
      </c>
      <c r="B893" s="2" t="s">
        <v>605</v>
      </c>
      <c r="C893" s="2" t="s">
        <v>324</v>
      </c>
      <c r="D893" s="2" t="s">
        <v>607</v>
      </c>
      <c r="E893" s="2" t="s">
        <v>608</v>
      </c>
      <c r="F893" s="2" t="s">
        <v>3643</v>
      </c>
      <c r="G893" s="2" t="s">
        <v>3643</v>
      </c>
      <c r="H893" s="2" t="s">
        <v>3643</v>
      </c>
      <c r="I893" s="2" t="s">
        <v>3650</v>
      </c>
      <c r="J893" s="2" t="s">
        <v>630</v>
      </c>
      <c r="K893" s="2" t="s">
        <v>612</v>
      </c>
      <c r="L893" s="3">
        <v>12</v>
      </c>
      <c r="M893" s="3">
        <v>12.6</v>
      </c>
      <c r="N893" s="3">
        <v>21.99</v>
      </c>
      <c r="O893" s="2" t="s">
        <v>232</v>
      </c>
      <c r="P893" s="2" t="s">
        <v>262</v>
      </c>
      <c r="Q893" s="2" t="s">
        <v>234</v>
      </c>
      <c r="R893" s="2" t="s">
        <v>235</v>
      </c>
      <c r="S893" s="2" t="s">
        <v>3645</v>
      </c>
      <c r="T893" s="2" t="s">
        <v>263</v>
      </c>
      <c r="U893" s="2" t="s">
        <v>264</v>
      </c>
      <c r="V893" s="2" t="s">
        <v>863</v>
      </c>
      <c r="W893" s="2" t="s">
        <v>235</v>
      </c>
      <c r="X893" s="2" t="s">
        <v>235</v>
      </c>
      <c r="Y893" s="2" t="s">
        <v>235</v>
      </c>
      <c r="Z893" s="4"/>
      <c r="AA893" s="4">
        <f>=ROUNDDOWN({0},0)</f>
      </c>
      <c r="AB893" s="5"/>
      <c r="AC893" s="2" t="s">
        <v>164</v>
      </c>
      <c r="AD893" s="4">
        <v>233</v>
      </c>
      <c r="AE893" s="4">
        <v>233</v>
      </c>
      <c r="AF893" s="6">
        <v>77</v>
      </c>
      <c r="AG893" s="6"/>
      <c r="AH893" s="7"/>
      <c r="AI893" s="4"/>
      <c r="AJ893" s="4">
        <f>=ROUNDDOWN({0},0)</f>
      </c>
      <c r="AK893" s="5"/>
      <c r="AL893" s="2" t="s">
        <v>235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235</v>
      </c>
      <c r="AW893" s="8" t="s">
        <v>235</v>
      </c>
      <c r="AX893" s="4" t="s">
        <v>235</v>
      </c>
      <c r="AY893" s="8" t="s">
        <v>235</v>
      </c>
      <c r="AZ893" s="7" t="s">
        <v>235</v>
      </c>
      <c r="BA893" s="7" t="s">
        <v>235</v>
      </c>
      <c r="BB893" s="7" t="s">
        <v>235</v>
      </c>
      <c r="BC893" s="4" t="s">
        <v>235</v>
      </c>
      <c r="BD893" s="8" t="s">
        <v>235</v>
      </c>
      <c r="BE893" s="4" t="s">
        <v>235</v>
      </c>
      <c r="BF893" s="8" t="s">
        <v>235</v>
      </c>
      <c r="BG893" s="7" t="s">
        <v>235</v>
      </c>
      <c r="BH893" s="7" t="s">
        <v>235</v>
      </c>
      <c r="BI893" s="7"/>
      <c r="BJ893" s="4"/>
      <c r="BK893" s="8"/>
      <c r="BL893" s="2" t="s">
        <v>235</v>
      </c>
      <c r="BM893" s="7"/>
      <c r="BN893" s="7"/>
      <c r="BO893" s="4"/>
      <c r="BP893" s="8"/>
      <c r="BQ893" s="4"/>
      <c r="BR893" s="8"/>
      <c r="BS893" s="7"/>
      <c r="BT893" s="7"/>
      <c r="BU893" s="2" t="s">
        <v>330</v>
      </c>
      <c r="BV893" s="2" t="s">
        <v>235</v>
      </c>
      <c r="BW893" s="2" t="s">
        <v>235</v>
      </c>
      <c r="BX893" s="2" t="s">
        <v>330</v>
      </c>
      <c r="BY893" s="2" t="s">
        <v>331</v>
      </c>
      <c r="BZ893" s="2" t="s">
        <v>232</v>
      </c>
      <c r="CA893" s="2" t="s">
        <v>235</v>
      </c>
      <c r="CB893" s="2" t="s">
        <v>235</v>
      </c>
      <c r="CC893" s="2" t="s">
        <v>248</v>
      </c>
      <c r="CD893" s="2" t="s">
        <v>248</v>
      </c>
      <c r="CE893" s="2" t="s">
        <v>235</v>
      </c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>
        <v>233</v>
      </c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>
        <v>233</v>
      </c>
      <c r="GL893" s="4">
        <v>226</v>
      </c>
      <c r="GM893" s="4">
        <v>223</v>
      </c>
      <c r="GN893" s="4">
        <v>220</v>
      </c>
      <c r="GO893" s="4">
        <v>216</v>
      </c>
      <c r="GP893" s="4">
        <v>211</v>
      </c>
      <c r="GQ893" s="4">
        <v>204</v>
      </c>
      <c r="GR893" s="4">
        <v>196</v>
      </c>
      <c r="GS893" s="4">
        <v>184</v>
      </c>
      <c r="GT893" s="4">
        <v>174</v>
      </c>
      <c r="GU893" s="4">
        <v>168</v>
      </c>
      <c r="GV893" s="4">
        <v>162</v>
      </c>
      <c r="GW893" s="4">
        <v>154</v>
      </c>
      <c r="GX893" s="4">
        <v>146</v>
      </c>
      <c r="GY893" s="4">
        <v>138</v>
      </c>
      <c r="GZ893" s="4">
        <v>128</v>
      </c>
      <c r="HA893" s="4">
        <v>118</v>
      </c>
      <c r="HB893" s="4">
        <v>108</v>
      </c>
      <c r="HC893" s="4">
        <v>98</v>
      </c>
      <c r="HD893" s="9"/>
      <c r="HE893" s="9"/>
      <c r="HF893" s="9"/>
      <c r="HG893" s="9"/>
      <c r="HH893" s="9"/>
      <c r="HI893" s="9"/>
      <c r="HJ893" s="9"/>
      <c r="HK893" s="19">
        <v>58.3</v>
      </c>
      <c r="HL893" s="19">
        <v>56.5</v>
      </c>
      <c r="HM893" s="19">
        <v>44.6</v>
      </c>
      <c r="HN893" s="19">
        <v>36.7</v>
      </c>
      <c r="HO893" s="19">
        <v>27</v>
      </c>
      <c r="HP893" s="19">
        <v>23.4</v>
      </c>
      <c r="HQ893" s="19">
        <v>22.7</v>
      </c>
      <c r="HR893" s="19">
        <v>24.5</v>
      </c>
      <c r="HS893" s="19">
        <v>23</v>
      </c>
      <c r="HT893" s="19">
        <v>24.9</v>
      </c>
      <c r="HU893" s="19">
        <v>21</v>
      </c>
      <c r="HV893" s="19">
        <v>20.3</v>
      </c>
      <c r="HW893" s="19">
        <v>17.1</v>
      </c>
      <c r="HX893" s="19">
        <v>14.6</v>
      </c>
      <c r="HY893" s="19">
        <v>13.8</v>
      </c>
      <c r="HZ893" s="19">
        <v>12.8</v>
      </c>
      <c r="IA893" s="19">
        <v>11.8</v>
      </c>
      <c r="IB893" s="19">
        <v>10.8</v>
      </c>
      <c r="IC893" s="19">
        <v>9.8</v>
      </c>
    </row>
    <row r="894">
      <c r="A894" s="2" t="s">
        <v>3651</v>
      </c>
      <c r="B894" s="2" t="s">
        <v>605</v>
      </c>
      <c r="C894" s="2" t="s">
        <v>324</v>
      </c>
      <c r="D894" s="2" t="s">
        <v>607</v>
      </c>
      <c r="E894" s="2" t="s">
        <v>608</v>
      </c>
      <c r="F894" s="2" t="s">
        <v>3643</v>
      </c>
      <c r="G894" s="2" t="s">
        <v>3643</v>
      </c>
      <c r="H894" s="2" t="s">
        <v>3643</v>
      </c>
      <c r="I894" s="2" t="s">
        <v>3652</v>
      </c>
      <c r="J894" s="2" t="s">
        <v>630</v>
      </c>
      <c r="K894" s="2" t="s">
        <v>612</v>
      </c>
      <c r="L894" s="3">
        <v>29</v>
      </c>
      <c r="M894" s="3">
        <v>30.45</v>
      </c>
      <c r="N894" s="3">
        <v>59.99</v>
      </c>
      <c r="O894" s="2" t="s">
        <v>232</v>
      </c>
      <c r="P894" s="2" t="s">
        <v>262</v>
      </c>
      <c r="Q894" s="2" t="s">
        <v>234</v>
      </c>
      <c r="R894" s="2" t="s">
        <v>235</v>
      </c>
      <c r="S894" s="2" t="s">
        <v>3645</v>
      </c>
      <c r="T894" s="2" t="s">
        <v>263</v>
      </c>
      <c r="U894" s="2" t="s">
        <v>264</v>
      </c>
      <c r="V894" s="2" t="s">
        <v>863</v>
      </c>
      <c r="W894" s="2" t="s">
        <v>235</v>
      </c>
      <c r="X894" s="2" t="s">
        <v>235</v>
      </c>
      <c r="Y894" s="2" t="s">
        <v>235</v>
      </c>
      <c r="Z894" s="4"/>
      <c r="AA894" s="4">
        <f>=ROUNDDOWN({0},0)</f>
      </c>
      <c r="AB894" s="5"/>
      <c r="AC894" s="2" t="s">
        <v>164</v>
      </c>
      <c r="AD894" s="4">
        <v>144</v>
      </c>
      <c r="AE894" s="4">
        <v>144</v>
      </c>
      <c r="AF894" s="6">
        <v>77</v>
      </c>
      <c r="AG894" s="6"/>
      <c r="AH894" s="7"/>
      <c r="AI894" s="4"/>
      <c r="AJ894" s="4">
        <f>=ROUNDDOWN({0},0)</f>
      </c>
      <c r="AK894" s="5"/>
      <c r="AL894" s="2" t="s">
        <v>235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235</v>
      </c>
      <c r="AW894" s="8" t="s">
        <v>235</v>
      </c>
      <c r="AX894" s="4" t="s">
        <v>235</v>
      </c>
      <c r="AY894" s="8" t="s">
        <v>235</v>
      </c>
      <c r="AZ894" s="7" t="s">
        <v>235</v>
      </c>
      <c r="BA894" s="7" t="s">
        <v>235</v>
      </c>
      <c r="BB894" s="7" t="s">
        <v>235</v>
      </c>
      <c r="BC894" s="4" t="s">
        <v>235</v>
      </c>
      <c r="BD894" s="8" t="s">
        <v>235</v>
      </c>
      <c r="BE894" s="4" t="s">
        <v>235</v>
      </c>
      <c r="BF894" s="8" t="s">
        <v>235</v>
      </c>
      <c r="BG894" s="7" t="s">
        <v>235</v>
      </c>
      <c r="BH894" s="7" t="s">
        <v>235</v>
      </c>
      <c r="BI894" s="7"/>
      <c r="BJ894" s="4"/>
      <c r="BK894" s="8"/>
      <c r="BL894" s="2" t="s">
        <v>235</v>
      </c>
      <c r="BM894" s="7"/>
      <c r="BN894" s="7"/>
      <c r="BO894" s="4"/>
      <c r="BP894" s="8"/>
      <c r="BQ894" s="4"/>
      <c r="BR894" s="8"/>
      <c r="BS894" s="7"/>
      <c r="BT894" s="7"/>
      <c r="BU894" s="2" t="s">
        <v>330</v>
      </c>
      <c r="BV894" s="2" t="s">
        <v>235</v>
      </c>
      <c r="BW894" s="2" t="s">
        <v>235</v>
      </c>
      <c r="BX894" s="2" t="s">
        <v>330</v>
      </c>
      <c r="BY894" s="2" t="s">
        <v>331</v>
      </c>
      <c r="BZ894" s="2" t="s">
        <v>232</v>
      </c>
      <c r="CA894" s="2" t="s">
        <v>235</v>
      </c>
      <c r="CB894" s="2" t="s">
        <v>235</v>
      </c>
      <c r="CC894" s="2" t="s">
        <v>248</v>
      </c>
      <c r="CD894" s="2" t="s">
        <v>248</v>
      </c>
      <c r="CE894" s="2" t="s">
        <v>235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>
        <v>144</v>
      </c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>
        <v>144</v>
      </c>
      <c r="GL894" s="4">
        <v>138</v>
      </c>
      <c r="GM894" s="4">
        <v>136</v>
      </c>
      <c r="GN894" s="4">
        <v>134</v>
      </c>
      <c r="GO894" s="4">
        <v>131</v>
      </c>
      <c r="GP894" s="4">
        <v>128</v>
      </c>
      <c r="GQ894" s="4">
        <v>123</v>
      </c>
      <c r="GR894" s="4">
        <v>118</v>
      </c>
      <c r="GS894" s="4">
        <v>111</v>
      </c>
      <c r="GT894" s="4">
        <v>105</v>
      </c>
      <c r="GU894" s="4">
        <v>101</v>
      </c>
      <c r="GV894" s="4">
        <v>97</v>
      </c>
      <c r="GW894" s="4">
        <v>92</v>
      </c>
      <c r="GX894" s="4">
        <v>87</v>
      </c>
      <c r="GY894" s="4">
        <v>82</v>
      </c>
      <c r="GZ894" s="4">
        <v>76</v>
      </c>
      <c r="HA894" s="4">
        <v>70</v>
      </c>
      <c r="HB894" s="4">
        <v>64</v>
      </c>
      <c r="HC894" s="4">
        <v>58</v>
      </c>
      <c r="HD894" s="9"/>
      <c r="HE894" s="9"/>
      <c r="HF894" s="9"/>
      <c r="HG894" s="9"/>
      <c r="HH894" s="9"/>
      <c r="HI894" s="9"/>
      <c r="HJ894" s="9"/>
      <c r="HK894" s="19">
        <v>48</v>
      </c>
      <c r="HL894" s="19">
        <v>69</v>
      </c>
      <c r="HM894" s="19">
        <v>45.3</v>
      </c>
      <c r="HN894" s="19">
        <v>33.5</v>
      </c>
      <c r="HO894" s="19">
        <v>26.2</v>
      </c>
      <c r="HP894" s="19">
        <v>21.3</v>
      </c>
      <c r="HQ894" s="19">
        <v>20.5</v>
      </c>
      <c r="HR894" s="19">
        <v>23.6</v>
      </c>
      <c r="HS894" s="19">
        <v>22.2</v>
      </c>
      <c r="HT894" s="19">
        <v>26.3</v>
      </c>
      <c r="HU894" s="19">
        <v>20.2</v>
      </c>
      <c r="HV894" s="19">
        <v>19.4</v>
      </c>
      <c r="HW894" s="19">
        <v>15.3</v>
      </c>
      <c r="HX894" s="19">
        <v>14.5</v>
      </c>
      <c r="HY894" s="19">
        <v>13.7</v>
      </c>
      <c r="HZ894" s="19">
        <v>12.7</v>
      </c>
      <c r="IA894" s="19">
        <v>11.7</v>
      </c>
      <c r="IB894" s="19">
        <v>10.7</v>
      </c>
      <c r="IC894" s="19">
        <v>9.7</v>
      </c>
    </row>
    <row r="895">
      <c r="A895" s="2" t="s">
        <v>3653</v>
      </c>
      <c r="B895" s="2" t="s">
        <v>605</v>
      </c>
      <c r="C895" s="2" t="s">
        <v>324</v>
      </c>
      <c r="D895" s="2" t="s">
        <v>607</v>
      </c>
      <c r="E895" s="2" t="s">
        <v>608</v>
      </c>
      <c r="F895" s="2" t="s">
        <v>3643</v>
      </c>
      <c r="G895" s="2" t="s">
        <v>3643</v>
      </c>
      <c r="H895" s="2" t="s">
        <v>3643</v>
      </c>
      <c r="I895" s="2" t="s">
        <v>3644</v>
      </c>
      <c r="J895" s="2" t="s">
        <v>611</v>
      </c>
      <c r="K895" s="2" t="s">
        <v>292</v>
      </c>
      <c r="L895" s="3">
        <v>23</v>
      </c>
      <c r="M895" s="3">
        <v>24.15</v>
      </c>
      <c r="N895" s="3">
        <v>45.99</v>
      </c>
      <c r="O895" s="2" t="s">
        <v>232</v>
      </c>
      <c r="P895" s="2" t="s">
        <v>262</v>
      </c>
      <c r="Q895" s="2" t="s">
        <v>234</v>
      </c>
      <c r="R895" s="2" t="s">
        <v>235</v>
      </c>
      <c r="S895" s="2" t="s">
        <v>3645</v>
      </c>
      <c r="T895" s="2" t="s">
        <v>263</v>
      </c>
      <c r="U895" s="2" t="s">
        <v>614</v>
      </c>
      <c r="V895" s="2" t="s">
        <v>863</v>
      </c>
      <c r="W895" s="2" t="s">
        <v>235</v>
      </c>
      <c r="X895" s="2" t="s">
        <v>235</v>
      </c>
      <c r="Y895" s="2" t="s">
        <v>3646</v>
      </c>
      <c r="Z895" s="4">
        <v>2</v>
      </c>
      <c r="AA895" s="4">
        <f>=ROUNDDOWN({0},0)</f>
      </c>
      <c r="AB895" s="5"/>
      <c r="AC895" s="2" t="s">
        <v>164</v>
      </c>
      <c r="AD895" s="4">
        <v>731</v>
      </c>
      <c r="AE895" s="4">
        <v>731</v>
      </c>
      <c r="AF895" s="6">
        <v>77</v>
      </c>
      <c r="AG895" s="6"/>
      <c r="AH895" s="7"/>
      <c r="AI895" s="4"/>
      <c r="AJ895" s="4">
        <f>=ROUNDDOWN({0},0)</f>
      </c>
      <c r="AK895" s="5"/>
      <c r="AL895" s="2" t="s">
        <v>235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235</v>
      </c>
      <c r="AW895" s="8" t="s">
        <v>235</v>
      </c>
      <c r="AX895" s="4" t="s">
        <v>235</v>
      </c>
      <c r="AY895" s="8" t="s">
        <v>235</v>
      </c>
      <c r="AZ895" s="7" t="s">
        <v>235</v>
      </c>
      <c r="BA895" s="7" t="s">
        <v>235</v>
      </c>
      <c r="BB895" s="7" t="s">
        <v>235</v>
      </c>
      <c r="BC895" s="4" t="s">
        <v>235</v>
      </c>
      <c r="BD895" s="8" t="s">
        <v>235</v>
      </c>
      <c r="BE895" s="4" t="s">
        <v>235</v>
      </c>
      <c r="BF895" s="8" t="s">
        <v>235</v>
      </c>
      <c r="BG895" s="7" t="s">
        <v>235</v>
      </c>
      <c r="BH895" s="7" t="s">
        <v>235</v>
      </c>
      <c r="BI895" s="7"/>
      <c r="BJ895" s="4"/>
      <c r="BK895" s="8"/>
      <c r="BL895" s="2" t="s">
        <v>235</v>
      </c>
      <c r="BM895" s="7"/>
      <c r="BN895" s="7"/>
      <c r="BO895" s="4"/>
      <c r="BP895" s="8"/>
      <c r="BQ895" s="4"/>
      <c r="BR895" s="8"/>
      <c r="BS895" s="7"/>
      <c r="BT895" s="7"/>
      <c r="BU895" s="2" t="s">
        <v>330</v>
      </c>
      <c r="BV895" s="2" t="s">
        <v>235</v>
      </c>
      <c r="BW895" s="2" t="s">
        <v>235</v>
      </c>
      <c r="BX895" s="2" t="s">
        <v>330</v>
      </c>
      <c r="BY895" s="2" t="s">
        <v>331</v>
      </c>
      <c r="BZ895" s="2" t="s">
        <v>232</v>
      </c>
      <c r="CA895" s="2" t="s">
        <v>235</v>
      </c>
      <c r="CB895" s="2" t="s">
        <v>235</v>
      </c>
      <c r="CC895" s="2" t="s">
        <v>248</v>
      </c>
      <c r="CD895" s="2" t="s">
        <v>248</v>
      </c>
      <c r="CE895" s="2" t="s">
        <v>235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>
        <v>2</v>
      </c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>
        <v>731</v>
      </c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>
        <v>731</v>
      </c>
      <c r="GL895" s="4">
        <v>716</v>
      </c>
      <c r="GM895" s="4">
        <v>709</v>
      </c>
      <c r="GN895" s="4">
        <v>703</v>
      </c>
      <c r="GO895" s="4">
        <v>695</v>
      </c>
      <c r="GP895" s="4">
        <v>683</v>
      </c>
      <c r="GQ895" s="4">
        <v>662</v>
      </c>
      <c r="GR895" s="4">
        <v>638</v>
      </c>
      <c r="GS895" s="4">
        <v>601</v>
      </c>
      <c r="GT895" s="4">
        <v>572</v>
      </c>
      <c r="GU895" s="4">
        <v>554</v>
      </c>
      <c r="GV895" s="4">
        <v>536</v>
      </c>
      <c r="GW895" s="4">
        <v>511</v>
      </c>
      <c r="GX895" s="4">
        <v>486</v>
      </c>
      <c r="GY895" s="4">
        <v>461</v>
      </c>
      <c r="GZ895" s="4">
        <v>431</v>
      </c>
      <c r="HA895" s="4">
        <v>401</v>
      </c>
      <c r="HB895" s="4">
        <v>371</v>
      </c>
      <c r="HC895" s="4">
        <v>341</v>
      </c>
      <c r="HD895" s="9"/>
      <c r="HE895" s="9"/>
      <c r="HF895" s="9"/>
      <c r="HG895" s="9"/>
      <c r="HH895" s="9"/>
      <c r="HI895" s="9"/>
      <c r="HJ895" s="9"/>
      <c r="HK895" s="19">
        <v>81.2</v>
      </c>
      <c r="HL895" s="19">
        <v>89.5</v>
      </c>
      <c r="HM895" s="19">
        <v>59.1</v>
      </c>
      <c r="HN895" s="19">
        <v>43.9</v>
      </c>
      <c r="HO895" s="19">
        <v>29</v>
      </c>
      <c r="HP895" s="19">
        <v>24.4</v>
      </c>
      <c r="HQ895" s="19">
        <v>24.5</v>
      </c>
      <c r="HR895" s="19">
        <v>24.5</v>
      </c>
      <c r="HS895" s="19">
        <v>27.3</v>
      </c>
      <c r="HT895" s="19">
        <v>26</v>
      </c>
      <c r="HU895" s="19">
        <v>24.1</v>
      </c>
      <c r="HV895" s="19">
        <v>20.6</v>
      </c>
      <c r="HW895" s="19">
        <v>18.3</v>
      </c>
      <c r="HX895" s="19">
        <v>16.8</v>
      </c>
      <c r="HY895" s="19">
        <v>15.4</v>
      </c>
      <c r="HZ895" s="19">
        <v>14.4</v>
      </c>
      <c r="IA895" s="19">
        <v>13.4</v>
      </c>
      <c r="IB895" s="19">
        <v>12.4</v>
      </c>
      <c r="IC895" s="19">
        <v>11.4</v>
      </c>
    </row>
    <row r="896">
      <c r="A896" s="2" t="s">
        <v>3654</v>
      </c>
      <c r="B896" s="2" t="s">
        <v>605</v>
      </c>
      <c r="C896" s="2" t="s">
        <v>324</v>
      </c>
      <c r="D896" s="2" t="s">
        <v>607</v>
      </c>
      <c r="E896" s="2" t="s">
        <v>608</v>
      </c>
      <c r="F896" s="2" t="s">
        <v>3643</v>
      </c>
      <c r="G896" s="2" t="s">
        <v>3643</v>
      </c>
      <c r="H896" s="2" t="s">
        <v>3643</v>
      </c>
      <c r="I896" s="2" t="s">
        <v>3648</v>
      </c>
      <c r="J896" s="2" t="s">
        <v>611</v>
      </c>
      <c r="K896" s="2" t="s">
        <v>292</v>
      </c>
      <c r="L896" s="3">
        <v>8.5</v>
      </c>
      <c r="M896" s="3">
        <v>8.93</v>
      </c>
      <c r="N896" s="3">
        <v>14.99</v>
      </c>
      <c r="O896" s="2" t="s">
        <v>232</v>
      </c>
      <c r="P896" s="2" t="s">
        <v>262</v>
      </c>
      <c r="Q896" s="2" t="s">
        <v>234</v>
      </c>
      <c r="R896" s="2" t="s">
        <v>235</v>
      </c>
      <c r="S896" s="2" t="s">
        <v>3645</v>
      </c>
      <c r="T896" s="2" t="s">
        <v>263</v>
      </c>
      <c r="U896" s="2" t="s">
        <v>614</v>
      </c>
      <c r="V896" s="2" t="s">
        <v>863</v>
      </c>
      <c r="W896" s="2" t="s">
        <v>235</v>
      </c>
      <c r="X896" s="2" t="s">
        <v>235</v>
      </c>
      <c r="Y896" s="2" t="s">
        <v>235</v>
      </c>
      <c r="Z896" s="4"/>
      <c r="AA896" s="4">
        <f>=ROUNDDOWN({0},0)</f>
      </c>
      <c r="AB896" s="5"/>
      <c r="AC896" s="2" t="s">
        <v>164</v>
      </c>
      <c r="AD896" s="4">
        <v>142</v>
      </c>
      <c r="AE896" s="4">
        <v>142</v>
      </c>
      <c r="AF896" s="6">
        <v>77</v>
      </c>
      <c r="AG896" s="6"/>
      <c r="AH896" s="7"/>
      <c r="AI896" s="4"/>
      <c r="AJ896" s="4">
        <f>=ROUNDDOWN({0},0)</f>
      </c>
      <c r="AK896" s="5"/>
      <c r="AL896" s="2" t="s">
        <v>235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235</v>
      </c>
      <c r="AW896" s="8" t="s">
        <v>235</v>
      </c>
      <c r="AX896" s="4" t="s">
        <v>235</v>
      </c>
      <c r="AY896" s="8" t="s">
        <v>235</v>
      </c>
      <c r="AZ896" s="7" t="s">
        <v>235</v>
      </c>
      <c r="BA896" s="7" t="s">
        <v>235</v>
      </c>
      <c r="BB896" s="7" t="s">
        <v>235</v>
      </c>
      <c r="BC896" s="4" t="s">
        <v>235</v>
      </c>
      <c r="BD896" s="8" t="s">
        <v>235</v>
      </c>
      <c r="BE896" s="4" t="s">
        <v>235</v>
      </c>
      <c r="BF896" s="8" t="s">
        <v>235</v>
      </c>
      <c r="BG896" s="7" t="s">
        <v>235</v>
      </c>
      <c r="BH896" s="7" t="s">
        <v>235</v>
      </c>
      <c r="BI896" s="7"/>
      <c r="BJ896" s="4"/>
      <c r="BK896" s="8"/>
      <c r="BL896" s="2" t="s">
        <v>235</v>
      </c>
      <c r="BM896" s="7"/>
      <c r="BN896" s="7"/>
      <c r="BO896" s="4"/>
      <c r="BP896" s="8"/>
      <c r="BQ896" s="4"/>
      <c r="BR896" s="8"/>
      <c r="BS896" s="7"/>
      <c r="BT896" s="7"/>
      <c r="BU896" s="2" t="s">
        <v>330</v>
      </c>
      <c r="BV896" s="2" t="s">
        <v>235</v>
      </c>
      <c r="BW896" s="2" t="s">
        <v>235</v>
      </c>
      <c r="BX896" s="2" t="s">
        <v>330</v>
      </c>
      <c r="BY896" s="2" t="s">
        <v>331</v>
      </c>
      <c r="BZ896" s="2" t="s">
        <v>232</v>
      </c>
      <c r="CA896" s="2" t="s">
        <v>235</v>
      </c>
      <c r="CB896" s="2" t="s">
        <v>235</v>
      </c>
      <c r="CC896" s="2" t="s">
        <v>248</v>
      </c>
      <c r="CD896" s="2" t="s">
        <v>248</v>
      </c>
      <c r="CE896" s="2" t="s">
        <v>235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>
        <v>142</v>
      </c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>
        <v>142</v>
      </c>
      <c r="GL896" s="4">
        <v>138</v>
      </c>
      <c r="GM896" s="4">
        <v>136</v>
      </c>
      <c r="GN896" s="4">
        <v>134</v>
      </c>
      <c r="GO896" s="4">
        <v>132</v>
      </c>
      <c r="GP896" s="4">
        <v>129</v>
      </c>
      <c r="GQ896" s="4">
        <v>124</v>
      </c>
      <c r="GR896" s="4">
        <v>118</v>
      </c>
      <c r="GS896" s="4">
        <v>109</v>
      </c>
      <c r="GT896" s="4">
        <v>102</v>
      </c>
      <c r="GU896" s="4">
        <v>98</v>
      </c>
      <c r="GV896" s="4">
        <v>94</v>
      </c>
      <c r="GW896" s="4">
        <v>88</v>
      </c>
      <c r="GX896" s="4">
        <v>82</v>
      </c>
      <c r="GY896" s="4">
        <v>76</v>
      </c>
      <c r="GZ896" s="4">
        <v>69</v>
      </c>
      <c r="HA896" s="4">
        <v>62</v>
      </c>
      <c r="HB896" s="4">
        <v>55</v>
      </c>
      <c r="HC896" s="4">
        <v>48</v>
      </c>
      <c r="HD896" s="9"/>
      <c r="HE896" s="9"/>
      <c r="HF896" s="9"/>
      <c r="HG896" s="9"/>
      <c r="HH896" s="9"/>
      <c r="HI896" s="9"/>
      <c r="HJ896" s="9"/>
      <c r="HK896" s="19">
        <v>71</v>
      </c>
      <c r="HL896" s="19">
        <v>69</v>
      </c>
      <c r="HM896" s="19">
        <v>45.3</v>
      </c>
      <c r="HN896" s="19">
        <v>33.5</v>
      </c>
      <c r="HO896" s="19">
        <v>22</v>
      </c>
      <c r="HP896" s="19">
        <v>18.4</v>
      </c>
      <c r="HQ896" s="19">
        <v>20.7</v>
      </c>
      <c r="HR896" s="19">
        <v>19.7</v>
      </c>
      <c r="HS896" s="19">
        <v>21.8</v>
      </c>
      <c r="HT896" s="19">
        <v>20.4</v>
      </c>
      <c r="HU896" s="19">
        <v>16.3</v>
      </c>
      <c r="HV896" s="19">
        <v>15.7</v>
      </c>
      <c r="HW896" s="19">
        <v>14.7</v>
      </c>
      <c r="HX896" s="19">
        <v>11.7</v>
      </c>
      <c r="HY896" s="19">
        <v>10.9</v>
      </c>
      <c r="HZ896" s="19">
        <v>9.9</v>
      </c>
      <c r="IA896" s="19">
        <v>8.9</v>
      </c>
      <c r="IB896" s="19">
        <v>7.9</v>
      </c>
      <c r="IC896" s="19">
        <v>6.9</v>
      </c>
    </row>
    <row r="897">
      <c r="A897" s="2" t="s">
        <v>3655</v>
      </c>
      <c r="B897" s="2" t="s">
        <v>605</v>
      </c>
      <c r="C897" s="2" t="s">
        <v>324</v>
      </c>
      <c r="D897" s="2" t="s">
        <v>607</v>
      </c>
      <c r="E897" s="2" t="s">
        <v>608</v>
      </c>
      <c r="F897" s="2" t="s">
        <v>3643</v>
      </c>
      <c r="G897" s="2" t="s">
        <v>3643</v>
      </c>
      <c r="H897" s="2" t="s">
        <v>3643</v>
      </c>
      <c r="I897" s="2" t="s">
        <v>3650</v>
      </c>
      <c r="J897" s="2" t="s">
        <v>630</v>
      </c>
      <c r="K897" s="2" t="s">
        <v>292</v>
      </c>
      <c r="L897" s="3">
        <v>12</v>
      </c>
      <c r="M897" s="3">
        <v>12.6</v>
      </c>
      <c r="N897" s="3">
        <v>21.99</v>
      </c>
      <c r="O897" s="2" t="s">
        <v>232</v>
      </c>
      <c r="P897" s="2" t="s">
        <v>262</v>
      </c>
      <c r="Q897" s="2" t="s">
        <v>234</v>
      </c>
      <c r="R897" s="2" t="s">
        <v>235</v>
      </c>
      <c r="S897" s="2" t="s">
        <v>3645</v>
      </c>
      <c r="T897" s="2" t="s">
        <v>263</v>
      </c>
      <c r="U897" s="2" t="s">
        <v>264</v>
      </c>
      <c r="V897" s="2" t="s">
        <v>863</v>
      </c>
      <c r="W897" s="2" t="s">
        <v>235</v>
      </c>
      <c r="X897" s="2" t="s">
        <v>235</v>
      </c>
      <c r="Y897" s="2" t="s">
        <v>235</v>
      </c>
      <c r="Z897" s="4"/>
      <c r="AA897" s="4">
        <f>=ROUNDDOWN({0},0)</f>
      </c>
      <c r="AB897" s="5"/>
      <c r="AC897" s="2" t="s">
        <v>164</v>
      </c>
      <c r="AD897" s="4">
        <v>302</v>
      </c>
      <c r="AE897" s="4">
        <v>302</v>
      </c>
      <c r="AF897" s="6">
        <v>77</v>
      </c>
      <c r="AG897" s="6"/>
      <c r="AH897" s="7"/>
      <c r="AI897" s="4"/>
      <c r="AJ897" s="4">
        <f>=ROUNDDOWN({0},0)</f>
      </c>
      <c r="AK897" s="5"/>
      <c r="AL897" s="2" t="s">
        <v>235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235</v>
      </c>
      <c r="AW897" s="8" t="s">
        <v>235</v>
      </c>
      <c r="AX897" s="4" t="s">
        <v>235</v>
      </c>
      <c r="AY897" s="8" t="s">
        <v>235</v>
      </c>
      <c r="AZ897" s="7" t="s">
        <v>235</v>
      </c>
      <c r="BA897" s="7" t="s">
        <v>235</v>
      </c>
      <c r="BB897" s="7" t="s">
        <v>235</v>
      </c>
      <c r="BC897" s="4" t="s">
        <v>235</v>
      </c>
      <c r="BD897" s="8" t="s">
        <v>235</v>
      </c>
      <c r="BE897" s="4" t="s">
        <v>235</v>
      </c>
      <c r="BF897" s="8" t="s">
        <v>235</v>
      </c>
      <c r="BG897" s="7" t="s">
        <v>235</v>
      </c>
      <c r="BH897" s="7" t="s">
        <v>235</v>
      </c>
      <c r="BI897" s="7"/>
      <c r="BJ897" s="4"/>
      <c r="BK897" s="8"/>
      <c r="BL897" s="2" t="s">
        <v>235</v>
      </c>
      <c r="BM897" s="7"/>
      <c r="BN897" s="7"/>
      <c r="BO897" s="4"/>
      <c r="BP897" s="8"/>
      <c r="BQ897" s="4"/>
      <c r="BR897" s="8"/>
      <c r="BS897" s="7"/>
      <c r="BT897" s="7"/>
      <c r="BU897" s="2" t="s">
        <v>330</v>
      </c>
      <c r="BV897" s="2" t="s">
        <v>235</v>
      </c>
      <c r="BW897" s="2" t="s">
        <v>235</v>
      </c>
      <c r="BX897" s="2" t="s">
        <v>330</v>
      </c>
      <c r="BY897" s="2" t="s">
        <v>331</v>
      </c>
      <c r="BZ897" s="2" t="s">
        <v>232</v>
      </c>
      <c r="CA897" s="2" t="s">
        <v>235</v>
      </c>
      <c r="CB897" s="2" t="s">
        <v>235</v>
      </c>
      <c r="CC897" s="2" t="s">
        <v>248</v>
      </c>
      <c r="CD897" s="2" t="s">
        <v>248</v>
      </c>
      <c r="CE897" s="2" t="s">
        <v>235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>
        <v>302</v>
      </c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>
        <v>302</v>
      </c>
      <c r="GL897" s="4">
        <v>297</v>
      </c>
      <c r="GM897" s="4">
        <v>295</v>
      </c>
      <c r="GN897" s="4">
        <v>293</v>
      </c>
      <c r="GO897" s="4">
        <v>290</v>
      </c>
      <c r="GP897" s="4">
        <v>285</v>
      </c>
      <c r="GQ897" s="4">
        <v>277</v>
      </c>
      <c r="GR897" s="4">
        <v>268</v>
      </c>
      <c r="GS897" s="4">
        <v>253</v>
      </c>
      <c r="GT897" s="4">
        <v>241</v>
      </c>
      <c r="GU897" s="4">
        <v>234</v>
      </c>
      <c r="GV897" s="4">
        <v>227</v>
      </c>
      <c r="GW897" s="4">
        <v>217</v>
      </c>
      <c r="GX897" s="4">
        <v>207</v>
      </c>
      <c r="GY897" s="4">
        <v>197</v>
      </c>
      <c r="GZ897" s="4">
        <v>185</v>
      </c>
      <c r="HA897" s="4">
        <v>173</v>
      </c>
      <c r="HB897" s="4">
        <v>161</v>
      </c>
      <c r="HC897" s="4">
        <v>149</v>
      </c>
      <c r="HD897" s="9"/>
      <c r="HE897" s="9"/>
      <c r="HF897" s="9"/>
      <c r="HG897" s="9"/>
      <c r="HH897" s="9"/>
      <c r="HI897" s="9"/>
      <c r="HJ897" s="9"/>
      <c r="HK897" s="19">
        <v>100.7</v>
      </c>
      <c r="HL897" s="19">
        <v>99</v>
      </c>
      <c r="HM897" s="19">
        <v>73.8</v>
      </c>
      <c r="HN897" s="19">
        <v>48.8</v>
      </c>
      <c r="HO897" s="19">
        <v>32.2</v>
      </c>
      <c r="HP897" s="19">
        <v>25.9</v>
      </c>
      <c r="HQ897" s="19">
        <v>25.2</v>
      </c>
      <c r="HR897" s="19">
        <v>26.8</v>
      </c>
      <c r="HS897" s="19">
        <v>28.1</v>
      </c>
      <c r="HT897" s="19">
        <v>30.1</v>
      </c>
      <c r="HU897" s="19">
        <v>26</v>
      </c>
      <c r="HV897" s="19">
        <v>22.7</v>
      </c>
      <c r="HW897" s="19">
        <v>19.7</v>
      </c>
      <c r="HX897" s="19">
        <v>17.3</v>
      </c>
      <c r="HY897" s="19">
        <v>16.4</v>
      </c>
      <c r="HZ897" s="19">
        <v>15.4</v>
      </c>
      <c r="IA897" s="19">
        <v>14.4</v>
      </c>
      <c r="IB897" s="19">
        <v>13.4</v>
      </c>
      <c r="IC897" s="19">
        <v>12.4</v>
      </c>
    </row>
    <row r="898">
      <c r="A898" s="2" t="s">
        <v>3656</v>
      </c>
      <c r="B898" s="2" t="s">
        <v>605</v>
      </c>
      <c r="C898" s="2" t="s">
        <v>324</v>
      </c>
      <c r="D898" s="2" t="s">
        <v>607</v>
      </c>
      <c r="E898" s="2" t="s">
        <v>608</v>
      </c>
      <c r="F898" s="2" t="s">
        <v>3643</v>
      </c>
      <c r="G898" s="2" t="s">
        <v>3643</v>
      </c>
      <c r="H898" s="2" t="s">
        <v>3643</v>
      </c>
      <c r="I898" s="2" t="s">
        <v>3652</v>
      </c>
      <c r="J898" s="2" t="s">
        <v>630</v>
      </c>
      <c r="K898" s="2" t="s">
        <v>292</v>
      </c>
      <c r="L898" s="3">
        <v>29</v>
      </c>
      <c r="M898" s="3">
        <v>30.45</v>
      </c>
      <c r="N898" s="3">
        <v>59.99</v>
      </c>
      <c r="O898" s="2" t="s">
        <v>232</v>
      </c>
      <c r="P898" s="2" t="s">
        <v>262</v>
      </c>
      <c r="Q898" s="2" t="s">
        <v>234</v>
      </c>
      <c r="R898" s="2" t="s">
        <v>235</v>
      </c>
      <c r="S898" s="2" t="s">
        <v>3645</v>
      </c>
      <c r="T898" s="2" t="s">
        <v>263</v>
      </c>
      <c r="U898" s="2" t="s">
        <v>264</v>
      </c>
      <c r="V898" s="2" t="s">
        <v>863</v>
      </c>
      <c r="W898" s="2" t="s">
        <v>235</v>
      </c>
      <c r="X898" s="2" t="s">
        <v>235</v>
      </c>
      <c r="Y898" s="2" t="s">
        <v>235</v>
      </c>
      <c r="Z898" s="4"/>
      <c r="AA898" s="4">
        <f>=ROUNDDOWN({0},0)</f>
      </c>
      <c r="AB898" s="5"/>
      <c r="AC898" s="2" t="s">
        <v>164</v>
      </c>
      <c r="AD898" s="4">
        <v>131</v>
      </c>
      <c r="AE898" s="4">
        <v>131</v>
      </c>
      <c r="AF898" s="6">
        <v>77</v>
      </c>
      <c r="AG898" s="6"/>
      <c r="AH898" s="7"/>
      <c r="AI898" s="4"/>
      <c r="AJ898" s="4">
        <f>=ROUNDDOWN({0},0)</f>
      </c>
      <c r="AK898" s="5"/>
      <c r="AL898" s="2" t="s">
        <v>235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235</v>
      </c>
      <c r="AW898" s="8" t="s">
        <v>235</v>
      </c>
      <c r="AX898" s="4" t="s">
        <v>235</v>
      </c>
      <c r="AY898" s="8" t="s">
        <v>235</v>
      </c>
      <c r="AZ898" s="7" t="s">
        <v>235</v>
      </c>
      <c r="BA898" s="7" t="s">
        <v>235</v>
      </c>
      <c r="BB898" s="7" t="s">
        <v>235</v>
      </c>
      <c r="BC898" s="4" t="s">
        <v>235</v>
      </c>
      <c r="BD898" s="8" t="s">
        <v>235</v>
      </c>
      <c r="BE898" s="4" t="s">
        <v>235</v>
      </c>
      <c r="BF898" s="8" t="s">
        <v>235</v>
      </c>
      <c r="BG898" s="7" t="s">
        <v>235</v>
      </c>
      <c r="BH898" s="7" t="s">
        <v>235</v>
      </c>
      <c r="BI898" s="7"/>
      <c r="BJ898" s="4"/>
      <c r="BK898" s="8"/>
      <c r="BL898" s="2" t="s">
        <v>235</v>
      </c>
      <c r="BM898" s="7"/>
      <c r="BN898" s="7"/>
      <c r="BO898" s="4"/>
      <c r="BP898" s="8"/>
      <c r="BQ898" s="4"/>
      <c r="BR898" s="8"/>
      <c r="BS898" s="7"/>
      <c r="BT898" s="7"/>
      <c r="BU898" s="2" t="s">
        <v>330</v>
      </c>
      <c r="BV898" s="2" t="s">
        <v>235</v>
      </c>
      <c r="BW898" s="2" t="s">
        <v>235</v>
      </c>
      <c r="BX898" s="2" t="s">
        <v>330</v>
      </c>
      <c r="BY898" s="2" t="s">
        <v>331</v>
      </c>
      <c r="BZ898" s="2" t="s">
        <v>232</v>
      </c>
      <c r="CA898" s="2" t="s">
        <v>235</v>
      </c>
      <c r="CB898" s="2" t="s">
        <v>235</v>
      </c>
      <c r="CC898" s="2" t="s">
        <v>248</v>
      </c>
      <c r="CD898" s="2" t="s">
        <v>248</v>
      </c>
      <c r="CE898" s="2" t="s">
        <v>235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>
        <v>131</v>
      </c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>
        <v>131</v>
      </c>
      <c r="GL898" s="4">
        <v>127</v>
      </c>
      <c r="GM898" s="4">
        <v>125</v>
      </c>
      <c r="GN898" s="4">
        <v>123</v>
      </c>
      <c r="GO898" s="4">
        <v>121</v>
      </c>
      <c r="GP898" s="4">
        <v>118</v>
      </c>
      <c r="GQ898" s="4">
        <v>114</v>
      </c>
      <c r="GR898" s="4">
        <v>109</v>
      </c>
      <c r="GS898" s="4">
        <v>102</v>
      </c>
      <c r="GT898" s="4">
        <v>96</v>
      </c>
      <c r="GU898" s="4">
        <v>92</v>
      </c>
      <c r="GV898" s="4">
        <v>88</v>
      </c>
      <c r="GW898" s="4">
        <v>83</v>
      </c>
      <c r="GX898" s="4">
        <v>78</v>
      </c>
      <c r="GY898" s="4">
        <v>73</v>
      </c>
      <c r="GZ898" s="4">
        <v>67</v>
      </c>
      <c r="HA898" s="4">
        <v>61</v>
      </c>
      <c r="HB898" s="4">
        <v>55</v>
      </c>
      <c r="HC898" s="4">
        <v>49</v>
      </c>
      <c r="HD898" s="9"/>
      <c r="HE898" s="9"/>
      <c r="HF898" s="9"/>
      <c r="HG898" s="9"/>
      <c r="HH898" s="9"/>
      <c r="HI898" s="9"/>
      <c r="HJ898" s="9"/>
      <c r="HK898" s="19">
        <v>65.5</v>
      </c>
      <c r="HL898" s="19">
        <v>63.5</v>
      </c>
      <c r="HM898" s="19">
        <v>41.7</v>
      </c>
      <c r="HN898" s="19">
        <v>30.8</v>
      </c>
      <c r="HO898" s="19">
        <v>24.2</v>
      </c>
      <c r="HP898" s="19">
        <v>19.7</v>
      </c>
      <c r="HQ898" s="19">
        <v>19</v>
      </c>
      <c r="HR898" s="19">
        <v>21.8</v>
      </c>
      <c r="HS898" s="19">
        <v>20.4</v>
      </c>
      <c r="HT898" s="19">
        <v>24</v>
      </c>
      <c r="HU898" s="19">
        <v>18.4</v>
      </c>
      <c r="HV898" s="19">
        <v>17.6</v>
      </c>
      <c r="HW898" s="19">
        <v>13.8</v>
      </c>
      <c r="HX898" s="19">
        <v>13</v>
      </c>
      <c r="HY898" s="19">
        <v>12.2</v>
      </c>
      <c r="HZ898" s="19">
        <v>11.2</v>
      </c>
      <c r="IA898" s="19">
        <v>10.2</v>
      </c>
      <c r="IB898" s="19">
        <v>9.2</v>
      </c>
      <c r="IC898" s="19">
        <v>8.2</v>
      </c>
    </row>
    <row r="899">
      <c r="A899" s="2" t="s">
        <v>3657</v>
      </c>
      <c r="B899" s="2" t="s">
        <v>605</v>
      </c>
      <c r="C899" s="2" t="s">
        <v>324</v>
      </c>
      <c r="D899" s="2" t="s">
        <v>607</v>
      </c>
      <c r="E899" s="2" t="s">
        <v>608</v>
      </c>
      <c r="F899" s="2" t="s">
        <v>3643</v>
      </c>
      <c r="G899" s="2" t="s">
        <v>3643</v>
      </c>
      <c r="H899" s="2" t="s">
        <v>3643</v>
      </c>
      <c r="I899" s="2" t="s">
        <v>3644</v>
      </c>
      <c r="J899" s="2" t="s">
        <v>611</v>
      </c>
      <c r="K899" s="2" t="s">
        <v>600</v>
      </c>
      <c r="L899" s="3">
        <v>23</v>
      </c>
      <c r="M899" s="3">
        <v>24.15</v>
      </c>
      <c r="N899" s="3">
        <v>45.99</v>
      </c>
      <c r="O899" s="2" t="s">
        <v>232</v>
      </c>
      <c r="P899" s="2" t="s">
        <v>262</v>
      </c>
      <c r="Q899" s="2" t="s">
        <v>234</v>
      </c>
      <c r="R899" s="2" t="s">
        <v>235</v>
      </c>
      <c r="S899" s="2" t="s">
        <v>3645</v>
      </c>
      <c r="T899" s="2" t="s">
        <v>263</v>
      </c>
      <c r="U899" s="2" t="s">
        <v>614</v>
      </c>
      <c r="V899" s="2" t="s">
        <v>863</v>
      </c>
      <c r="W899" s="2" t="s">
        <v>235</v>
      </c>
      <c r="X899" s="2" t="s">
        <v>235</v>
      </c>
      <c r="Y899" s="2" t="s">
        <v>3646</v>
      </c>
      <c r="Z899" s="4">
        <v>1</v>
      </c>
      <c r="AA899" s="4">
        <f>=ROUNDDOWN({0},0)</f>
      </c>
      <c r="AB899" s="5"/>
      <c r="AC899" s="2" t="s">
        <v>164</v>
      </c>
      <c r="AD899" s="4">
        <v>471</v>
      </c>
      <c r="AE899" s="4">
        <v>471</v>
      </c>
      <c r="AF899" s="6">
        <v>77</v>
      </c>
      <c r="AG899" s="6"/>
      <c r="AH899" s="7"/>
      <c r="AI899" s="4"/>
      <c r="AJ899" s="4">
        <f>=ROUNDDOWN({0},0)</f>
      </c>
      <c r="AK899" s="5"/>
      <c r="AL899" s="2" t="s">
        <v>235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235</v>
      </c>
      <c r="AW899" s="8" t="s">
        <v>235</v>
      </c>
      <c r="AX899" s="4" t="s">
        <v>235</v>
      </c>
      <c r="AY899" s="8" t="s">
        <v>235</v>
      </c>
      <c r="AZ899" s="7" t="s">
        <v>235</v>
      </c>
      <c r="BA899" s="7" t="s">
        <v>235</v>
      </c>
      <c r="BB899" s="7" t="s">
        <v>235</v>
      </c>
      <c r="BC899" s="4" t="s">
        <v>235</v>
      </c>
      <c r="BD899" s="8" t="s">
        <v>235</v>
      </c>
      <c r="BE899" s="4" t="s">
        <v>235</v>
      </c>
      <c r="BF899" s="8" t="s">
        <v>235</v>
      </c>
      <c r="BG899" s="7" t="s">
        <v>235</v>
      </c>
      <c r="BH899" s="7" t="s">
        <v>235</v>
      </c>
      <c r="BI899" s="7"/>
      <c r="BJ899" s="4"/>
      <c r="BK899" s="8"/>
      <c r="BL899" s="2" t="s">
        <v>235</v>
      </c>
      <c r="BM899" s="7"/>
      <c r="BN899" s="7"/>
      <c r="BO899" s="4"/>
      <c r="BP899" s="8"/>
      <c r="BQ899" s="4"/>
      <c r="BR899" s="8"/>
      <c r="BS899" s="7"/>
      <c r="BT899" s="7"/>
      <c r="BU899" s="2" t="s">
        <v>330</v>
      </c>
      <c r="BV899" s="2" t="s">
        <v>235</v>
      </c>
      <c r="BW899" s="2" t="s">
        <v>235</v>
      </c>
      <c r="BX899" s="2" t="s">
        <v>330</v>
      </c>
      <c r="BY899" s="2" t="s">
        <v>331</v>
      </c>
      <c r="BZ899" s="2" t="s">
        <v>232</v>
      </c>
      <c r="CA899" s="2" t="s">
        <v>235</v>
      </c>
      <c r="CB899" s="2" t="s">
        <v>235</v>
      </c>
      <c r="CC899" s="2" t="s">
        <v>248</v>
      </c>
      <c r="CD899" s="2" t="s">
        <v>248</v>
      </c>
      <c r="CE899" s="2" t="s">
        <v>235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>
        <v>1</v>
      </c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>
        <v>471</v>
      </c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>
        <v>471</v>
      </c>
      <c r="GL899" s="4">
        <v>457</v>
      </c>
      <c r="GM899" s="4">
        <v>451</v>
      </c>
      <c r="GN899" s="4">
        <v>446</v>
      </c>
      <c r="GO899" s="4">
        <v>440</v>
      </c>
      <c r="GP899" s="4">
        <v>432</v>
      </c>
      <c r="GQ899" s="4">
        <v>417</v>
      </c>
      <c r="GR899" s="4">
        <v>401</v>
      </c>
      <c r="GS899" s="4">
        <v>377</v>
      </c>
      <c r="GT899" s="4">
        <v>357</v>
      </c>
      <c r="GU899" s="4">
        <v>344</v>
      </c>
      <c r="GV899" s="4">
        <v>331</v>
      </c>
      <c r="GW899" s="4">
        <v>314</v>
      </c>
      <c r="GX899" s="4">
        <v>297</v>
      </c>
      <c r="GY899" s="4">
        <v>280</v>
      </c>
      <c r="GZ899" s="4">
        <v>260</v>
      </c>
      <c r="HA899" s="4">
        <v>240</v>
      </c>
      <c r="HB899" s="4">
        <v>220</v>
      </c>
      <c r="HC899" s="4">
        <v>200</v>
      </c>
      <c r="HD899" s="9"/>
      <c r="HE899" s="9"/>
      <c r="HF899" s="9"/>
      <c r="HG899" s="9"/>
      <c r="HH899" s="9"/>
      <c r="HI899" s="9"/>
      <c r="HJ899" s="9"/>
      <c r="HK899" s="19">
        <v>58.9</v>
      </c>
      <c r="HL899" s="19">
        <v>76.2</v>
      </c>
      <c r="HM899" s="19">
        <v>56.4</v>
      </c>
      <c r="HN899" s="19">
        <v>40.5</v>
      </c>
      <c r="HO899" s="19">
        <v>27.5</v>
      </c>
      <c r="HP899" s="19">
        <v>22.7</v>
      </c>
      <c r="HQ899" s="19">
        <v>23.2</v>
      </c>
      <c r="HR899" s="19">
        <v>22.3</v>
      </c>
      <c r="HS899" s="19">
        <v>23.6</v>
      </c>
      <c r="HT899" s="19">
        <v>23.8</v>
      </c>
      <c r="HU899" s="19">
        <v>21.5</v>
      </c>
      <c r="HV899" s="19">
        <v>18.4</v>
      </c>
      <c r="HW899" s="19">
        <v>17.4</v>
      </c>
      <c r="HX899" s="19">
        <v>15.6</v>
      </c>
      <c r="HY899" s="19">
        <v>14</v>
      </c>
      <c r="HZ899" s="19">
        <v>13</v>
      </c>
      <c r="IA899" s="19">
        <v>12</v>
      </c>
      <c r="IB899" s="19">
        <v>11</v>
      </c>
      <c r="IC899" s="19">
        <v>10</v>
      </c>
    </row>
    <row r="900">
      <c r="A900" s="2" t="s">
        <v>3658</v>
      </c>
      <c r="B900" s="2" t="s">
        <v>605</v>
      </c>
      <c r="C900" s="2" t="s">
        <v>324</v>
      </c>
      <c r="D900" s="2" t="s">
        <v>607</v>
      </c>
      <c r="E900" s="2" t="s">
        <v>608</v>
      </c>
      <c r="F900" s="2" t="s">
        <v>3643</v>
      </c>
      <c r="G900" s="2" t="s">
        <v>3643</v>
      </c>
      <c r="H900" s="2" t="s">
        <v>3643</v>
      </c>
      <c r="I900" s="2" t="s">
        <v>3648</v>
      </c>
      <c r="J900" s="2" t="s">
        <v>611</v>
      </c>
      <c r="K900" s="2" t="s">
        <v>600</v>
      </c>
      <c r="L900" s="3">
        <v>8.5</v>
      </c>
      <c r="M900" s="3">
        <v>8.93</v>
      </c>
      <c r="N900" s="3">
        <v>14.99</v>
      </c>
      <c r="O900" s="2" t="s">
        <v>232</v>
      </c>
      <c r="P900" s="2" t="s">
        <v>262</v>
      </c>
      <c r="Q900" s="2" t="s">
        <v>234</v>
      </c>
      <c r="R900" s="2" t="s">
        <v>235</v>
      </c>
      <c r="S900" s="2" t="s">
        <v>3645</v>
      </c>
      <c r="T900" s="2" t="s">
        <v>263</v>
      </c>
      <c r="U900" s="2" t="s">
        <v>614</v>
      </c>
      <c r="V900" s="2" t="s">
        <v>863</v>
      </c>
      <c r="W900" s="2" t="s">
        <v>235</v>
      </c>
      <c r="X900" s="2" t="s">
        <v>235</v>
      </c>
      <c r="Y900" s="2" t="s">
        <v>235</v>
      </c>
      <c r="Z900" s="4"/>
      <c r="AA900" s="4">
        <f>=ROUNDDOWN({0},0)</f>
      </c>
      <c r="AB900" s="5"/>
      <c r="AC900" s="2" t="s">
        <v>164</v>
      </c>
      <c r="AD900" s="4">
        <v>106</v>
      </c>
      <c r="AE900" s="4">
        <v>106</v>
      </c>
      <c r="AF900" s="6">
        <v>77</v>
      </c>
      <c r="AG900" s="6"/>
      <c r="AH900" s="7"/>
      <c r="AI900" s="4"/>
      <c r="AJ900" s="4">
        <f>=ROUNDDOWN({0},0)</f>
      </c>
      <c r="AK900" s="5"/>
      <c r="AL900" s="2" t="s">
        <v>235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235</v>
      </c>
      <c r="AW900" s="8" t="s">
        <v>235</v>
      </c>
      <c r="AX900" s="4" t="s">
        <v>235</v>
      </c>
      <c r="AY900" s="8" t="s">
        <v>235</v>
      </c>
      <c r="AZ900" s="7" t="s">
        <v>235</v>
      </c>
      <c r="BA900" s="7" t="s">
        <v>235</v>
      </c>
      <c r="BB900" s="7" t="s">
        <v>235</v>
      </c>
      <c r="BC900" s="4" t="s">
        <v>235</v>
      </c>
      <c r="BD900" s="8" t="s">
        <v>235</v>
      </c>
      <c r="BE900" s="4" t="s">
        <v>235</v>
      </c>
      <c r="BF900" s="8" t="s">
        <v>235</v>
      </c>
      <c r="BG900" s="7" t="s">
        <v>235</v>
      </c>
      <c r="BH900" s="7" t="s">
        <v>235</v>
      </c>
      <c r="BI900" s="7"/>
      <c r="BJ900" s="4"/>
      <c r="BK900" s="8"/>
      <c r="BL900" s="2" t="s">
        <v>235</v>
      </c>
      <c r="BM900" s="7"/>
      <c r="BN900" s="7"/>
      <c r="BO900" s="4"/>
      <c r="BP900" s="8"/>
      <c r="BQ900" s="4"/>
      <c r="BR900" s="8"/>
      <c r="BS900" s="7"/>
      <c r="BT900" s="7"/>
      <c r="BU900" s="2" t="s">
        <v>330</v>
      </c>
      <c r="BV900" s="2" t="s">
        <v>235</v>
      </c>
      <c r="BW900" s="2" t="s">
        <v>235</v>
      </c>
      <c r="BX900" s="2" t="s">
        <v>330</v>
      </c>
      <c r="BY900" s="2" t="s">
        <v>331</v>
      </c>
      <c r="BZ900" s="2" t="s">
        <v>232</v>
      </c>
      <c r="CA900" s="2" t="s">
        <v>235</v>
      </c>
      <c r="CB900" s="2" t="s">
        <v>235</v>
      </c>
      <c r="CC900" s="2" t="s">
        <v>248</v>
      </c>
      <c r="CD900" s="2" t="s">
        <v>248</v>
      </c>
      <c r="CE900" s="2" t="s">
        <v>235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>
        <v>106</v>
      </c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>
        <v>106</v>
      </c>
      <c r="GL900" s="4">
        <v>102</v>
      </c>
      <c r="GM900" s="4">
        <v>101</v>
      </c>
      <c r="GN900" s="4">
        <v>100</v>
      </c>
      <c r="GO900" s="4">
        <v>98</v>
      </c>
      <c r="GP900" s="4">
        <v>96</v>
      </c>
      <c r="GQ900" s="4">
        <v>92</v>
      </c>
      <c r="GR900" s="4">
        <v>88</v>
      </c>
      <c r="GS900" s="4">
        <v>82</v>
      </c>
      <c r="GT900" s="4">
        <v>77</v>
      </c>
      <c r="GU900" s="4">
        <v>74</v>
      </c>
      <c r="GV900" s="4">
        <v>71</v>
      </c>
      <c r="GW900" s="4">
        <v>67</v>
      </c>
      <c r="GX900" s="4">
        <v>63</v>
      </c>
      <c r="GY900" s="4">
        <v>59</v>
      </c>
      <c r="GZ900" s="4">
        <v>54</v>
      </c>
      <c r="HA900" s="4">
        <v>49</v>
      </c>
      <c r="HB900" s="4">
        <v>44</v>
      </c>
      <c r="HC900" s="4">
        <v>39</v>
      </c>
      <c r="HD900" s="9"/>
      <c r="HE900" s="9"/>
      <c r="HF900" s="9"/>
      <c r="HG900" s="9"/>
      <c r="HH900" s="9"/>
      <c r="HI900" s="9"/>
      <c r="HJ900" s="9"/>
      <c r="HK900" s="19">
        <v>53</v>
      </c>
      <c r="HL900" s="19">
        <v>51</v>
      </c>
      <c r="HM900" s="19">
        <v>50.5</v>
      </c>
      <c r="HN900" s="19">
        <v>33.3</v>
      </c>
      <c r="HO900" s="19">
        <v>24.5</v>
      </c>
      <c r="HP900" s="19">
        <v>19.2</v>
      </c>
      <c r="HQ900" s="19">
        <v>23</v>
      </c>
      <c r="HR900" s="19">
        <v>22</v>
      </c>
      <c r="HS900" s="19">
        <v>20.5</v>
      </c>
      <c r="HT900" s="19">
        <v>19.3</v>
      </c>
      <c r="HU900" s="19">
        <v>18.5</v>
      </c>
      <c r="HV900" s="19">
        <v>17.8</v>
      </c>
      <c r="HW900" s="19">
        <v>16.8</v>
      </c>
      <c r="HX900" s="19">
        <v>12.6</v>
      </c>
      <c r="HY900" s="19">
        <v>11.8</v>
      </c>
      <c r="HZ900" s="19">
        <v>10.8</v>
      </c>
      <c r="IA900" s="19">
        <v>9.8</v>
      </c>
      <c r="IB900" s="19">
        <v>8.8</v>
      </c>
      <c r="IC900" s="19">
        <v>7.8</v>
      </c>
    </row>
    <row r="901">
      <c r="A901" s="2" t="s">
        <v>3659</v>
      </c>
      <c r="B901" s="2" t="s">
        <v>605</v>
      </c>
      <c r="C901" s="2" t="s">
        <v>324</v>
      </c>
      <c r="D901" s="2" t="s">
        <v>607</v>
      </c>
      <c r="E901" s="2" t="s">
        <v>608</v>
      </c>
      <c r="F901" s="2" t="s">
        <v>3643</v>
      </c>
      <c r="G901" s="2" t="s">
        <v>3643</v>
      </c>
      <c r="H901" s="2" t="s">
        <v>3643</v>
      </c>
      <c r="I901" s="2" t="s">
        <v>3650</v>
      </c>
      <c r="J901" s="2" t="s">
        <v>630</v>
      </c>
      <c r="K901" s="2" t="s">
        <v>600</v>
      </c>
      <c r="L901" s="3">
        <v>12</v>
      </c>
      <c r="M901" s="3">
        <v>12.6</v>
      </c>
      <c r="N901" s="3">
        <v>21.99</v>
      </c>
      <c r="O901" s="2" t="s">
        <v>232</v>
      </c>
      <c r="P901" s="2" t="s">
        <v>262</v>
      </c>
      <c r="Q901" s="2" t="s">
        <v>234</v>
      </c>
      <c r="R901" s="2" t="s">
        <v>235</v>
      </c>
      <c r="S901" s="2" t="s">
        <v>3645</v>
      </c>
      <c r="T901" s="2" t="s">
        <v>263</v>
      </c>
      <c r="U901" s="2" t="s">
        <v>264</v>
      </c>
      <c r="V901" s="2" t="s">
        <v>863</v>
      </c>
      <c r="W901" s="2" t="s">
        <v>235</v>
      </c>
      <c r="X901" s="2" t="s">
        <v>235</v>
      </c>
      <c r="Y901" s="2" t="s">
        <v>235</v>
      </c>
      <c r="Z901" s="4"/>
      <c r="AA901" s="4">
        <f>=ROUNDDOWN({0},0)</f>
      </c>
      <c r="AB901" s="5"/>
      <c r="AC901" s="2" t="s">
        <v>164</v>
      </c>
      <c r="AD901" s="4">
        <v>187</v>
      </c>
      <c r="AE901" s="4">
        <v>187</v>
      </c>
      <c r="AF901" s="6">
        <v>77</v>
      </c>
      <c r="AG901" s="6"/>
      <c r="AH901" s="7"/>
      <c r="AI901" s="4"/>
      <c r="AJ901" s="4">
        <f>=ROUNDDOWN({0},0)</f>
      </c>
      <c r="AK901" s="5"/>
      <c r="AL901" s="2" t="s">
        <v>235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235</v>
      </c>
      <c r="AW901" s="8" t="s">
        <v>235</v>
      </c>
      <c r="AX901" s="4" t="s">
        <v>235</v>
      </c>
      <c r="AY901" s="8" t="s">
        <v>235</v>
      </c>
      <c r="AZ901" s="7" t="s">
        <v>235</v>
      </c>
      <c r="BA901" s="7" t="s">
        <v>235</v>
      </c>
      <c r="BB901" s="7" t="s">
        <v>235</v>
      </c>
      <c r="BC901" s="4" t="s">
        <v>235</v>
      </c>
      <c r="BD901" s="8" t="s">
        <v>235</v>
      </c>
      <c r="BE901" s="4" t="s">
        <v>235</v>
      </c>
      <c r="BF901" s="8" t="s">
        <v>235</v>
      </c>
      <c r="BG901" s="7" t="s">
        <v>235</v>
      </c>
      <c r="BH901" s="7" t="s">
        <v>235</v>
      </c>
      <c r="BI901" s="7"/>
      <c r="BJ901" s="4"/>
      <c r="BK901" s="8"/>
      <c r="BL901" s="2" t="s">
        <v>235</v>
      </c>
      <c r="BM901" s="7"/>
      <c r="BN901" s="7"/>
      <c r="BO901" s="4"/>
      <c r="BP901" s="8"/>
      <c r="BQ901" s="4"/>
      <c r="BR901" s="8"/>
      <c r="BS901" s="7"/>
      <c r="BT901" s="7"/>
      <c r="BU901" s="2" t="s">
        <v>330</v>
      </c>
      <c r="BV901" s="2" t="s">
        <v>235</v>
      </c>
      <c r="BW901" s="2" t="s">
        <v>235</v>
      </c>
      <c r="BX901" s="2" t="s">
        <v>330</v>
      </c>
      <c r="BY901" s="2" t="s">
        <v>331</v>
      </c>
      <c r="BZ901" s="2" t="s">
        <v>232</v>
      </c>
      <c r="CA901" s="2" t="s">
        <v>235</v>
      </c>
      <c r="CB901" s="2" t="s">
        <v>235</v>
      </c>
      <c r="CC901" s="2" t="s">
        <v>248</v>
      </c>
      <c r="CD901" s="2" t="s">
        <v>248</v>
      </c>
      <c r="CE901" s="2" t="s">
        <v>235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>
        <v>187</v>
      </c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>
        <v>187</v>
      </c>
      <c r="GL901" s="4">
        <v>183</v>
      </c>
      <c r="GM901" s="4">
        <v>181</v>
      </c>
      <c r="GN901" s="4">
        <v>179</v>
      </c>
      <c r="GO901" s="4">
        <v>177</v>
      </c>
      <c r="GP901" s="4">
        <v>174</v>
      </c>
      <c r="GQ901" s="4">
        <v>168</v>
      </c>
      <c r="GR901" s="4">
        <v>162</v>
      </c>
      <c r="GS901" s="4">
        <v>152</v>
      </c>
      <c r="GT901" s="4">
        <v>144</v>
      </c>
      <c r="GU901" s="4">
        <v>139</v>
      </c>
      <c r="GV901" s="4">
        <v>134</v>
      </c>
      <c r="GW901" s="4">
        <v>127</v>
      </c>
      <c r="GX901" s="4">
        <v>120</v>
      </c>
      <c r="GY901" s="4">
        <v>113</v>
      </c>
      <c r="GZ901" s="4">
        <v>105</v>
      </c>
      <c r="HA901" s="4">
        <v>97</v>
      </c>
      <c r="HB901" s="4">
        <v>89</v>
      </c>
      <c r="HC901" s="4">
        <v>81</v>
      </c>
      <c r="HD901" s="9"/>
      <c r="HE901" s="9"/>
      <c r="HF901" s="9"/>
      <c r="HG901" s="9"/>
      <c r="HH901" s="9"/>
      <c r="HI901" s="9"/>
      <c r="HJ901" s="9"/>
      <c r="HK901" s="19">
        <v>93.5</v>
      </c>
      <c r="HL901" s="19">
        <v>91.5</v>
      </c>
      <c r="HM901" s="19">
        <v>60.3</v>
      </c>
      <c r="HN901" s="19">
        <v>44.8</v>
      </c>
      <c r="HO901" s="19">
        <v>29.5</v>
      </c>
      <c r="HP901" s="19">
        <v>21.8</v>
      </c>
      <c r="HQ901" s="19">
        <v>24</v>
      </c>
      <c r="HR901" s="19">
        <v>23.1</v>
      </c>
      <c r="HS901" s="19">
        <v>25.3</v>
      </c>
      <c r="HT901" s="19">
        <v>24</v>
      </c>
      <c r="HU901" s="19">
        <v>23.2</v>
      </c>
      <c r="HV901" s="19">
        <v>19.1</v>
      </c>
      <c r="HW901" s="19">
        <v>15.9</v>
      </c>
      <c r="HX901" s="19">
        <v>15</v>
      </c>
      <c r="HY901" s="19">
        <v>14.1</v>
      </c>
      <c r="HZ901" s="19">
        <v>13.1</v>
      </c>
      <c r="IA901" s="19">
        <v>12.1</v>
      </c>
      <c r="IB901" s="19">
        <v>11.1</v>
      </c>
      <c r="IC901" s="19">
        <v>10.1</v>
      </c>
    </row>
    <row r="902">
      <c r="A902" s="2" t="s">
        <v>3660</v>
      </c>
      <c r="B902" s="2" t="s">
        <v>605</v>
      </c>
      <c r="C902" s="2" t="s">
        <v>324</v>
      </c>
      <c r="D902" s="2" t="s">
        <v>607</v>
      </c>
      <c r="E902" s="2" t="s">
        <v>608</v>
      </c>
      <c r="F902" s="2" t="s">
        <v>3643</v>
      </c>
      <c r="G902" s="2" t="s">
        <v>3643</v>
      </c>
      <c r="H902" s="2" t="s">
        <v>3643</v>
      </c>
      <c r="I902" s="2" t="s">
        <v>3652</v>
      </c>
      <c r="J902" s="2" t="s">
        <v>630</v>
      </c>
      <c r="K902" s="2" t="s">
        <v>600</v>
      </c>
      <c r="L902" s="3">
        <v>29</v>
      </c>
      <c r="M902" s="3">
        <v>30.45</v>
      </c>
      <c r="N902" s="3">
        <v>59.99</v>
      </c>
      <c r="O902" s="2" t="s">
        <v>232</v>
      </c>
      <c r="P902" s="2" t="s">
        <v>262</v>
      </c>
      <c r="Q902" s="2" t="s">
        <v>234</v>
      </c>
      <c r="R902" s="2" t="s">
        <v>235</v>
      </c>
      <c r="S902" s="2" t="s">
        <v>3645</v>
      </c>
      <c r="T902" s="2" t="s">
        <v>263</v>
      </c>
      <c r="U902" s="2" t="s">
        <v>264</v>
      </c>
      <c r="V902" s="2" t="s">
        <v>863</v>
      </c>
      <c r="W902" s="2" t="s">
        <v>235</v>
      </c>
      <c r="X902" s="2" t="s">
        <v>235</v>
      </c>
      <c r="Y902" s="2" t="s">
        <v>235</v>
      </c>
      <c r="Z902" s="4"/>
      <c r="AA902" s="4">
        <f>=ROUNDDOWN({0},0)</f>
      </c>
      <c r="AB902" s="5"/>
      <c r="AC902" s="2" t="s">
        <v>164</v>
      </c>
      <c r="AD902" s="4">
        <v>97</v>
      </c>
      <c r="AE902" s="4">
        <v>97</v>
      </c>
      <c r="AF902" s="6">
        <v>77</v>
      </c>
      <c r="AG902" s="6"/>
      <c r="AH902" s="7"/>
      <c r="AI902" s="4"/>
      <c r="AJ902" s="4">
        <f>=ROUNDDOWN({0},0)</f>
      </c>
      <c r="AK902" s="5"/>
      <c r="AL902" s="2" t="s">
        <v>235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235</v>
      </c>
      <c r="AW902" s="8" t="s">
        <v>235</v>
      </c>
      <c r="AX902" s="4" t="s">
        <v>235</v>
      </c>
      <c r="AY902" s="8" t="s">
        <v>235</v>
      </c>
      <c r="AZ902" s="7" t="s">
        <v>235</v>
      </c>
      <c r="BA902" s="7" t="s">
        <v>235</v>
      </c>
      <c r="BB902" s="7" t="s">
        <v>235</v>
      </c>
      <c r="BC902" s="4" t="s">
        <v>235</v>
      </c>
      <c r="BD902" s="8" t="s">
        <v>235</v>
      </c>
      <c r="BE902" s="4" t="s">
        <v>235</v>
      </c>
      <c r="BF902" s="8" t="s">
        <v>235</v>
      </c>
      <c r="BG902" s="7" t="s">
        <v>235</v>
      </c>
      <c r="BH902" s="7" t="s">
        <v>235</v>
      </c>
      <c r="BI902" s="7"/>
      <c r="BJ902" s="4"/>
      <c r="BK902" s="8"/>
      <c r="BL902" s="2" t="s">
        <v>235</v>
      </c>
      <c r="BM902" s="7"/>
      <c r="BN902" s="7"/>
      <c r="BO902" s="4"/>
      <c r="BP902" s="8"/>
      <c r="BQ902" s="4"/>
      <c r="BR902" s="8"/>
      <c r="BS902" s="7"/>
      <c r="BT902" s="7"/>
      <c r="BU902" s="2" t="s">
        <v>330</v>
      </c>
      <c r="BV902" s="2" t="s">
        <v>235</v>
      </c>
      <c r="BW902" s="2" t="s">
        <v>235</v>
      </c>
      <c r="BX902" s="2" t="s">
        <v>330</v>
      </c>
      <c r="BY902" s="2" t="s">
        <v>331</v>
      </c>
      <c r="BZ902" s="2" t="s">
        <v>232</v>
      </c>
      <c r="CA902" s="2" t="s">
        <v>235</v>
      </c>
      <c r="CB902" s="2" t="s">
        <v>235</v>
      </c>
      <c r="CC902" s="2" t="s">
        <v>248</v>
      </c>
      <c r="CD902" s="2" t="s">
        <v>248</v>
      </c>
      <c r="CE902" s="2" t="s">
        <v>235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>
        <v>97</v>
      </c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>
        <v>97</v>
      </c>
      <c r="GL902" s="4">
        <v>93</v>
      </c>
      <c r="GM902" s="4">
        <v>92</v>
      </c>
      <c r="GN902" s="4">
        <v>91</v>
      </c>
      <c r="GO902" s="4">
        <v>89</v>
      </c>
      <c r="GP902" s="4">
        <v>87</v>
      </c>
      <c r="GQ902" s="4">
        <v>84</v>
      </c>
      <c r="GR902" s="4">
        <v>81</v>
      </c>
      <c r="GS902" s="4">
        <v>76</v>
      </c>
      <c r="GT902" s="4">
        <v>72</v>
      </c>
      <c r="GU902" s="4">
        <v>69</v>
      </c>
      <c r="GV902" s="4">
        <v>66</v>
      </c>
      <c r="GW902" s="4">
        <v>63</v>
      </c>
      <c r="GX902" s="4">
        <v>60</v>
      </c>
      <c r="GY902" s="4">
        <v>57</v>
      </c>
      <c r="GZ902" s="4">
        <v>53</v>
      </c>
      <c r="HA902" s="4">
        <v>49</v>
      </c>
      <c r="HB902" s="4">
        <v>45</v>
      </c>
      <c r="HC902" s="4">
        <v>41</v>
      </c>
      <c r="HD902" s="9"/>
      <c r="HE902" s="9"/>
      <c r="HF902" s="9"/>
      <c r="HG902" s="9"/>
      <c r="HH902" s="9"/>
      <c r="HI902" s="9"/>
      <c r="HJ902" s="9"/>
      <c r="HK902" s="19">
        <v>48.5</v>
      </c>
      <c r="HL902" s="19">
        <v>46.5</v>
      </c>
      <c r="HM902" s="19">
        <v>46</v>
      </c>
      <c r="HN902" s="19">
        <v>45.5</v>
      </c>
      <c r="HO902" s="19">
        <v>29.7</v>
      </c>
      <c r="HP902" s="19">
        <v>21.8</v>
      </c>
      <c r="HQ902" s="19">
        <v>21</v>
      </c>
      <c r="HR902" s="19">
        <v>20.3</v>
      </c>
      <c r="HS902" s="19">
        <v>25.3</v>
      </c>
      <c r="HT902" s="19">
        <v>24</v>
      </c>
      <c r="HU902" s="19">
        <v>23</v>
      </c>
      <c r="HV902" s="19">
        <v>22</v>
      </c>
      <c r="HW902" s="19">
        <v>15.8</v>
      </c>
      <c r="HX902" s="19">
        <v>15</v>
      </c>
      <c r="HY902" s="19">
        <v>14.3</v>
      </c>
      <c r="HZ902" s="19">
        <v>13.3</v>
      </c>
      <c r="IA902" s="19">
        <v>12.3</v>
      </c>
      <c r="IB902" s="19">
        <v>11.3</v>
      </c>
      <c r="IC902" s="19">
        <v>10.3</v>
      </c>
    </row>
    <row r="903">
      <c r="A903" s="2" t="s">
        <v>3661</v>
      </c>
      <c r="B903" s="2" t="s">
        <v>605</v>
      </c>
      <c r="C903" s="2" t="s">
        <v>324</v>
      </c>
      <c r="D903" s="2" t="s">
        <v>607</v>
      </c>
      <c r="E903" s="2" t="s">
        <v>608</v>
      </c>
      <c r="F903" s="2" t="s">
        <v>3643</v>
      </c>
      <c r="G903" s="2" t="s">
        <v>3643</v>
      </c>
      <c r="H903" s="2" t="s">
        <v>3643</v>
      </c>
      <c r="I903" s="2" t="s">
        <v>3644</v>
      </c>
      <c r="J903" s="2" t="s">
        <v>611</v>
      </c>
      <c r="K903" s="2" t="s">
        <v>889</v>
      </c>
      <c r="L903" s="3">
        <v>23</v>
      </c>
      <c r="M903" s="3">
        <v>24.15</v>
      </c>
      <c r="N903" s="3">
        <v>45.99</v>
      </c>
      <c r="O903" s="2" t="s">
        <v>232</v>
      </c>
      <c r="P903" s="2" t="s">
        <v>262</v>
      </c>
      <c r="Q903" s="2" t="s">
        <v>234</v>
      </c>
      <c r="R903" s="2" t="s">
        <v>235</v>
      </c>
      <c r="S903" s="2" t="s">
        <v>3645</v>
      </c>
      <c r="T903" s="2" t="s">
        <v>263</v>
      </c>
      <c r="U903" s="2" t="s">
        <v>614</v>
      </c>
      <c r="V903" s="2" t="s">
        <v>863</v>
      </c>
      <c r="W903" s="2" t="s">
        <v>235</v>
      </c>
      <c r="X903" s="2" t="s">
        <v>235</v>
      </c>
      <c r="Y903" s="2" t="s">
        <v>235</v>
      </c>
      <c r="Z903" s="4"/>
      <c r="AA903" s="4">
        <f>=ROUNDDOWN({0},0)</f>
      </c>
      <c r="AB903" s="5"/>
      <c r="AC903" s="2" t="s">
        <v>164</v>
      </c>
      <c r="AD903" s="4">
        <v>303</v>
      </c>
      <c r="AE903" s="4">
        <v>303</v>
      </c>
      <c r="AF903" s="6">
        <v>77</v>
      </c>
      <c r="AG903" s="6"/>
      <c r="AH903" s="7"/>
      <c r="AI903" s="4"/>
      <c r="AJ903" s="4">
        <f>=ROUNDDOWN({0},0)</f>
      </c>
      <c r="AK903" s="5"/>
      <c r="AL903" s="2" t="s">
        <v>235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235</v>
      </c>
      <c r="AW903" s="8" t="s">
        <v>235</v>
      </c>
      <c r="AX903" s="4" t="s">
        <v>235</v>
      </c>
      <c r="AY903" s="8" t="s">
        <v>235</v>
      </c>
      <c r="AZ903" s="7" t="s">
        <v>235</v>
      </c>
      <c r="BA903" s="7" t="s">
        <v>235</v>
      </c>
      <c r="BB903" s="7" t="s">
        <v>235</v>
      </c>
      <c r="BC903" s="4" t="s">
        <v>235</v>
      </c>
      <c r="BD903" s="8" t="s">
        <v>235</v>
      </c>
      <c r="BE903" s="4" t="s">
        <v>235</v>
      </c>
      <c r="BF903" s="8" t="s">
        <v>235</v>
      </c>
      <c r="BG903" s="7" t="s">
        <v>235</v>
      </c>
      <c r="BH903" s="7" t="s">
        <v>235</v>
      </c>
      <c r="BI903" s="7"/>
      <c r="BJ903" s="4"/>
      <c r="BK903" s="8"/>
      <c r="BL903" s="2" t="s">
        <v>235</v>
      </c>
      <c r="BM903" s="7"/>
      <c r="BN903" s="7"/>
      <c r="BO903" s="4"/>
      <c r="BP903" s="8"/>
      <c r="BQ903" s="4"/>
      <c r="BR903" s="8"/>
      <c r="BS903" s="7"/>
      <c r="BT903" s="7"/>
      <c r="BU903" s="2" t="s">
        <v>330</v>
      </c>
      <c r="BV903" s="2" t="s">
        <v>235</v>
      </c>
      <c r="BW903" s="2" t="s">
        <v>235</v>
      </c>
      <c r="BX903" s="2" t="s">
        <v>330</v>
      </c>
      <c r="BY903" s="2" t="s">
        <v>331</v>
      </c>
      <c r="BZ903" s="2" t="s">
        <v>232</v>
      </c>
      <c r="CA903" s="2" t="s">
        <v>235</v>
      </c>
      <c r="CB903" s="2" t="s">
        <v>235</v>
      </c>
      <c r="CC903" s="2" t="s">
        <v>248</v>
      </c>
      <c r="CD903" s="2" t="s">
        <v>248</v>
      </c>
      <c r="CE903" s="2" t="s">
        <v>235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>
        <v>303</v>
      </c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>
        <v>303</v>
      </c>
      <c r="GL903" s="4">
        <v>292</v>
      </c>
      <c r="GM903" s="4">
        <v>288</v>
      </c>
      <c r="GN903" s="4">
        <v>285</v>
      </c>
      <c r="GO903" s="4">
        <v>281</v>
      </c>
      <c r="GP903" s="4">
        <v>276</v>
      </c>
      <c r="GQ903" s="4">
        <v>266</v>
      </c>
      <c r="GR903" s="4">
        <v>255</v>
      </c>
      <c r="GS903" s="4">
        <v>239</v>
      </c>
      <c r="GT903" s="4">
        <v>226</v>
      </c>
      <c r="GU903" s="4">
        <v>217</v>
      </c>
      <c r="GV903" s="4">
        <v>208</v>
      </c>
      <c r="GW903" s="4">
        <v>197</v>
      </c>
      <c r="GX903" s="4">
        <v>186</v>
      </c>
      <c r="GY903" s="4">
        <v>175</v>
      </c>
      <c r="GZ903" s="4">
        <v>162</v>
      </c>
      <c r="HA903" s="4">
        <v>149</v>
      </c>
      <c r="HB903" s="4">
        <v>136</v>
      </c>
      <c r="HC903" s="4">
        <v>123</v>
      </c>
      <c r="HD903" s="9"/>
      <c r="HE903" s="9"/>
      <c r="HF903" s="9"/>
      <c r="HG903" s="9"/>
      <c r="HH903" s="9"/>
      <c r="HI903" s="9"/>
      <c r="HJ903" s="9"/>
      <c r="HK903" s="19">
        <v>50.5</v>
      </c>
      <c r="HL903" s="19">
        <v>73</v>
      </c>
      <c r="HM903" s="19">
        <v>48</v>
      </c>
      <c r="HN903" s="19">
        <v>35.6</v>
      </c>
      <c r="HO903" s="19">
        <v>28.1</v>
      </c>
      <c r="HP903" s="19">
        <v>23</v>
      </c>
      <c r="HQ903" s="19">
        <v>22.2</v>
      </c>
      <c r="HR903" s="19">
        <v>21.3</v>
      </c>
      <c r="HS903" s="19">
        <v>23.9</v>
      </c>
      <c r="HT903" s="19">
        <v>22.6</v>
      </c>
      <c r="HU903" s="19">
        <v>21.7</v>
      </c>
      <c r="HV903" s="19">
        <v>17.3</v>
      </c>
      <c r="HW903" s="19">
        <v>16.4</v>
      </c>
      <c r="HX903" s="19">
        <v>15.5</v>
      </c>
      <c r="HY903" s="19">
        <v>13.5</v>
      </c>
      <c r="HZ903" s="19">
        <v>12.5</v>
      </c>
      <c r="IA903" s="19">
        <v>11.5</v>
      </c>
      <c r="IB903" s="19">
        <v>10.5</v>
      </c>
      <c r="IC903" s="19">
        <v>9.5</v>
      </c>
    </row>
    <row r="904">
      <c r="A904" s="2" t="s">
        <v>3662</v>
      </c>
      <c r="B904" s="2" t="s">
        <v>605</v>
      </c>
      <c r="C904" s="2" t="s">
        <v>324</v>
      </c>
      <c r="D904" s="2" t="s">
        <v>607</v>
      </c>
      <c r="E904" s="2" t="s">
        <v>608</v>
      </c>
      <c r="F904" s="2" t="s">
        <v>3643</v>
      </c>
      <c r="G904" s="2" t="s">
        <v>3643</v>
      </c>
      <c r="H904" s="2" t="s">
        <v>3643</v>
      </c>
      <c r="I904" s="2" t="s">
        <v>3648</v>
      </c>
      <c r="J904" s="2" t="s">
        <v>611</v>
      </c>
      <c r="K904" s="2" t="s">
        <v>889</v>
      </c>
      <c r="L904" s="3">
        <v>8.5</v>
      </c>
      <c r="M904" s="3">
        <v>8.93</v>
      </c>
      <c r="N904" s="3">
        <v>14.99</v>
      </c>
      <c r="O904" s="2" t="s">
        <v>232</v>
      </c>
      <c r="P904" s="2" t="s">
        <v>262</v>
      </c>
      <c r="Q904" s="2" t="s">
        <v>234</v>
      </c>
      <c r="R904" s="2" t="s">
        <v>235</v>
      </c>
      <c r="S904" s="2" t="s">
        <v>3645</v>
      </c>
      <c r="T904" s="2" t="s">
        <v>263</v>
      </c>
      <c r="U904" s="2" t="s">
        <v>614</v>
      </c>
      <c r="V904" s="2" t="s">
        <v>863</v>
      </c>
      <c r="W904" s="2" t="s">
        <v>235</v>
      </c>
      <c r="X904" s="2" t="s">
        <v>235</v>
      </c>
      <c r="Y904" s="2" t="s">
        <v>235</v>
      </c>
      <c r="Z904" s="4"/>
      <c r="AA904" s="4">
        <f>=ROUNDDOWN({0},0)</f>
      </c>
      <c r="AB904" s="5"/>
      <c r="AC904" s="2" t="s">
        <v>164</v>
      </c>
      <c r="AD904" s="4">
        <v>73</v>
      </c>
      <c r="AE904" s="4">
        <v>73</v>
      </c>
      <c r="AF904" s="6">
        <v>77</v>
      </c>
      <c r="AG904" s="6"/>
      <c r="AH904" s="7"/>
      <c r="AI904" s="4"/>
      <c r="AJ904" s="4">
        <f>=ROUNDDOWN({0},0)</f>
      </c>
      <c r="AK904" s="5"/>
      <c r="AL904" s="2" t="s">
        <v>235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235</v>
      </c>
      <c r="AW904" s="8" t="s">
        <v>235</v>
      </c>
      <c r="AX904" s="4" t="s">
        <v>235</v>
      </c>
      <c r="AY904" s="8" t="s">
        <v>235</v>
      </c>
      <c r="AZ904" s="7" t="s">
        <v>235</v>
      </c>
      <c r="BA904" s="7" t="s">
        <v>235</v>
      </c>
      <c r="BB904" s="7" t="s">
        <v>235</v>
      </c>
      <c r="BC904" s="4" t="s">
        <v>235</v>
      </c>
      <c r="BD904" s="8" t="s">
        <v>235</v>
      </c>
      <c r="BE904" s="4" t="s">
        <v>235</v>
      </c>
      <c r="BF904" s="8" t="s">
        <v>235</v>
      </c>
      <c r="BG904" s="7" t="s">
        <v>235</v>
      </c>
      <c r="BH904" s="7" t="s">
        <v>235</v>
      </c>
      <c r="BI904" s="7"/>
      <c r="BJ904" s="4"/>
      <c r="BK904" s="8"/>
      <c r="BL904" s="2" t="s">
        <v>235</v>
      </c>
      <c r="BM904" s="7"/>
      <c r="BN904" s="7"/>
      <c r="BO904" s="4"/>
      <c r="BP904" s="8"/>
      <c r="BQ904" s="4"/>
      <c r="BR904" s="8"/>
      <c r="BS904" s="7"/>
      <c r="BT904" s="7"/>
      <c r="BU904" s="2" t="s">
        <v>330</v>
      </c>
      <c r="BV904" s="2" t="s">
        <v>235</v>
      </c>
      <c r="BW904" s="2" t="s">
        <v>235</v>
      </c>
      <c r="BX904" s="2" t="s">
        <v>330</v>
      </c>
      <c r="BY904" s="2" t="s">
        <v>331</v>
      </c>
      <c r="BZ904" s="2" t="s">
        <v>232</v>
      </c>
      <c r="CA904" s="2" t="s">
        <v>235</v>
      </c>
      <c r="CB904" s="2" t="s">
        <v>235</v>
      </c>
      <c r="CC904" s="2" t="s">
        <v>248</v>
      </c>
      <c r="CD904" s="2" t="s">
        <v>248</v>
      </c>
      <c r="CE904" s="2" t="s">
        <v>235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>
        <v>73</v>
      </c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>
        <v>73</v>
      </c>
      <c r="GL904" s="4">
        <v>69</v>
      </c>
      <c r="GM904" s="4">
        <v>68</v>
      </c>
      <c r="GN904" s="4">
        <v>67</v>
      </c>
      <c r="GO904" s="4">
        <v>65</v>
      </c>
      <c r="GP904" s="4">
        <v>63</v>
      </c>
      <c r="GQ904" s="4">
        <v>60</v>
      </c>
      <c r="GR904" s="4">
        <v>57</v>
      </c>
      <c r="GS904" s="4">
        <v>52</v>
      </c>
      <c r="GT904" s="4">
        <v>48</v>
      </c>
      <c r="GU904" s="4">
        <v>45</v>
      </c>
      <c r="GV904" s="4">
        <v>42</v>
      </c>
      <c r="GW904" s="4">
        <v>39</v>
      </c>
      <c r="GX904" s="4">
        <v>36</v>
      </c>
      <c r="GY904" s="4">
        <v>33</v>
      </c>
      <c r="GZ904" s="4">
        <v>29</v>
      </c>
      <c r="HA904" s="4">
        <v>25</v>
      </c>
      <c r="HB904" s="4">
        <v>21</v>
      </c>
      <c r="HC904" s="4">
        <v>17</v>
      </c>
      <c r="HD904" s="9"/>
      <c r="HE904" s="9"/>
      <c r="HF904" s="9"/>
      <c r="HG904" s="9"/>
      <c r="HH904" s="9"/>
      <c r="HI904" s="9"/>
      <c r="HJ904" s="9"/>
      <c r="HK904" s="19">
        <v>36.5</v>
      </c>
      <c r="HL904" s="19">
        <v>34.5</v>
      </c>
      <c r="HM904" s="19">
        <v>34</v>
      </c>
      <c r="HN904" s="19">
        <v>33.5</v>
      </c>
      <c r="HO904" s="19">
        <v>21.7</v>
      </c>
      <c r="HP904" s="19">
        <v>15.8</v>
      </c>
      <c r="HQ904" s="19">
        <v>15</v>
      </c>
      <c r="HR904" s="19">
        <v>14.3</v>
      </c>
      <c r="HS904" s="19">
        <v>17.3</v>
      </c>
      <c r="HT904" s="19">
        <v>16</v>
      </c>
      <c r="HU904" s="19">
        <v>15</v>
      </c>
      <c r="HV904" s="19">
        <v>14</v>
      </c>
      <c r="HW904" s="19">
        <v>9.8</v>
      </c>
      <c r="HX904" s="19">
        <v>9</v>
      </c>
      <c r="HY904" s="19">
        <v>8.3</v>
      </c>
      <c r="HZ904" s="19">
        <v>7.3</v>
      </c>
      <c r="IA904" s="19">
        <v>6.3</v>
      </c>
      <c r="IB904" s="19">
        <v>5.3</v>
      </c>
      <c r="IC904" s="19">
        <v>4.3</v>
      </c>
    </row>
    <row r="905">
      <c r="A905" s="2" t="s">
        <v>3663</v>
      </c>
      <c r="B905" s="2" t="s">
        <v>605</v>
      </c>
      <c r="C905" s="2" t="s">
        <v>324</v>
      </c>
      <c r="D905" s="2" t="s">
        <v>607</v>
      </c>
      <c r="E905" s="2" t="s">
        <v>608</v>
      </c>
      <c r="F905" s="2" t="s">
        <v>3643</v>
      </c>
      <c r="G905" s="2" t="s">
        <v>3643</v>
      </c>
      <c r="H905" s="2" t="s">
        <v>3643</v>
      </c>
      <c r="I905" s="2" t="s">
        <v>3650</v>
      </c>
      <c r="J905" s="2" t="s">
        <v>630</v>
      </c>
      <c r="K905" s="2" t="s">
        <v>889</v>
      </c>
      <c r="L905" s="3">
        <v>12</v>
      </c>
      <c r="M905" s="3">
        <v>12.6</v>
      </c>
      <c r="N905" s="3">
        <v>21.99</v>
      </c>
      <c r="O905" s="2" t="s">
        <v>232</v>
      </c>
      <c r="P905" s="2" t="s">
        <v>262</v>
      </c>
      <c r="Q905" s="2" t="s">
        <v>234</v>
      </c>
      <c r="R905" s="2" t="s">
        <v>235</v>
      </c>
      <c r="S905" s="2" t="s">
        <v>3645</v>
      </c>
      <c r="T905" s="2" t="s">
        <v>263</v>
      </c>
      <c r="U905" s="2" t="s">
        <v>264</v>
      </c>
      <c r="V905" s="2" t="s">
        <v>863</v>
      </c>
      <c r="W905" s="2" t="s">
        <v>235</v>
      </c>
      <c r="X905" s="2" t="s">
        <v>235</v>
      </c>
      <c r="Y905" s="2" t="s">
        <v>235</v>
      </c>
      <c r="Z905" s="4"/>
      <c r="AA905" s="4">
        <f>=ROUNDDOWN({0},0)</f>
      </c>
      <c r="AB905" s="5"/>
      <c r="AC905" s="2" t="s">
        <v>164</v>
      </c>
      <c r="AD905" s="4">
        <v>112</v>
      </c>
      <c r="AE905" s="4">
        <v>112</v>
      </c>
      <c r="AF905" s="6">
        <v>77</v>
      </c>
      <c r="AG905" s="6"/>
      <c r="AH905" s="7"/>
      <c r="AI905" s="4"/>
      <c r="AJ905" s="4">
        <f>=ROUNDDOWN({0},0)</f>
      </c>
      <c r="AK905" s="5"/>
      <c r="AL905" s="2" t="s">
        <v>235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235</v>
      </c>
      <c r="AW905" s="8" t="s">
        <v>235</v>
      </c>
      <c r="AX905" s="4" t="s">
        <v>235</v>
      </c>
      <c r="AY905" s="8" t="s">
        <v>235</v>
      </c>
      <c r="AZ905" s="7" t="s">
        <v>235</v>
      </c>
      <c r="BA905" s="7" t="s">
        <v>235</v>
      </c>
      <c r="BB905" s="7" t="s">
        <v>235</v>
      </c>
      <c r="BC905" s="4" t="s">
        <v>235</v>
      </c>
      <c r="BD905" s="8" t="s">
        <v>235</v>
      </c>
      <c r="BE905" s="4" t="s">
        <v>235</v>
      </c>
      <c r="BF905" s="8" t="s">
        <v>235</v>
      </c>
      <c r="BG905" s="7" t="s">
        <v>235</v>
      </c>
      <c r="BH905" s="7" t="s">
        <v>235</v>
      </c>
      <c r="BI905" s="7"/>
      <c r="BJ905" s="4"/>
      <c r="BK905" s="8"/>
      <c r="BL905" s="2" t="s">
        <v>235</v>
      </c>
      <c r="BM905" s="7"/>
      <c r="BN905" s="7"/>
      <c r="BO905" s="4"/>
      <c r="BP905" s="8"/>
      <c r="BQ905" s="4"/>
      <c r="BR905" s="8"/>
      <c r="BS905" s="7"/>
      <c r="BT905" s="7"/>
      <c r="BU905" s="2" t="s">
        <v>330</v>
      </c>
      <c r="BV905" s="2" t="s">
        <v>235</v>
      </c>
      <c r="BW905" s="2" t="s">
        <v>235</v>
      </c>
      <c r="BX905" s="2" t="s">
        <v>330</v>
      </c>
      <c r="BY905" s="2" t="s">
        <v>331</v>
      </c>
      <c r="BZ905" s="2" t="s">
        <v>232</v>
      </c>
      <c r="CA905" s="2" t="s">
        <v>235</v>
      </c>
      <c r="CB905" s="2" t="s">
        <v>235</v>
      </c>
      <c r="CC905" s="2" t="s">
        <v>248</v>
      </c>
      <c r="CD905" s="2" t="s">
        <v>248</v>
      </c>
      <c r="CE905" s="2" t="s">
        <v>235</v>
      </c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>
        <v>112</v>
      </c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>
        <v>112</v>
      </c>
      <c r="GL905" s="4">
        <v>108</v>
      </c>
      <c r="GM905" s="4">
        <v>107</v>
      </c>
      <c r="GN905" s="4">
        <v>106</v>
      </c>
      <c r="GO905" s="4">
        <v>104</v>
      </c>
      <c r="GP905" s="4">
        <v>102</v>
      </c>
      <c r="GQ905" s="4">
        <v>98</v>
      </c>
      <c r="GR905" s="4">
        <v>94</v>
      </c>
      <c r="GS905" s="4">
        <v>88</v>
      </c>
      <c r="GT905" s="4">
        <v>83</v>
      </c>
      <c r="GU905" s="4">
        <v>80</v>
      </c>
      <c r="GV905" s="4">
        <v>77</v>
      </c>
      <c r="GW905" s="4">
        <v>73</v>
      </c>
      <c r="GX905" s="4">
        <v>69</v>
      </c>
      <c r="GY905" s="4">
        <v>65</v>
      </c>
      <c r="GZ905" s="4">
        <v>60</v>
      </c>
      <c r="HA905" s="4">
        <v>55</v>
      </c>
      <c r="HB905" s="4">
        <v>50</v>
      </c>
      <c r="HC905" s="4">
        <v>45</v>
      </c>
      <c r="HD905" s="9"/>
      <c r="HE905" s="9"/>
      <c r="HF905" s="9"/>
      <c r="HG905" s="9"/>
      <c r="HH905" s="9"/>
      <c r="HI905" s="9"/>
      <c r="HJ905" s="9"/>
      <c r="HK905" s="19">
        <v>56</v>
      </c>
      <c r="HL905" s="19">
        <v>54</v>
      </c>
      <c r="HM905" s="19">
        <v>53.5</v>
      </c>
      <c r="HN905" s="19">
        <v>35.3</v>
      </c>
      <c r="HO905" s="19">
        <v>26</v>
      </c>
      <c r="HP905" s="19">
        <v>20.4</v>
      </c>
      <c r="HQ905" s="19">
        <v>24.5</v>
      </c>
      <c r="HR905" s="19">
        <v>23.5</v>
      </c>
      <c r="HS905" s="19">
        <v>22</v>
      </c>
      <c r="HT905" s="19">
        <v>20.8</v>
      </c>
      <c r="HU905" s="19">
        <v>20</v>
      </c>
      <c r="HV905" s="19">
        <v>19.3</v>
      </c>
      <c r="HW905" s="19">
        <v>18.3</v>
      </c>
      <c r="HX905" s="19">
        <v>13.8</v>
      </c>
      <c r="HY905" s="19">
        <v>13</v>
      </c>
      <c r="HZ905" s="19">
        <v>12</v>
      </c>
      <c r="IA905" s="19">
        <v>11</v>
      </c>
      <c r="IB905" s="19">
        <v>10</v>
      </c>
      <c r="IC905" s="19">
        <v>9</v>
      </c>
    </row>
    <row r="906">
      <c r="A906" s="2" t="s">
        <v>3664</v>
      </c>
      <c r="B906" s="2" t="s">
        <v>605</v>
      </c>
      <c r="C906" s="2" t="s">
        <v>324</v>
      </c>
      <c r="D906" s="2" t="s">
        <v>607</v>
      </c>
      <c r="E906" s="2" t="s">
        <v>608</v>
      </c>
      <c r="F906" s="2" t="s">
        <v>3643</v>
      </c>
      <c r="G906" s="2" t="s">
        <v>3643</v>
      </c>
      <c r="H906" s="2" t="s">
        <v>3643</v>
      </c>
      <c r="I906" s="2" t="s">
        <v>3652</v>
      </c>
      <c r="J906" s="2" t="s">
        <v>630</v>
      </c>
      <c r="K906" s="2" t="s">
        <v>889</v>
      </c>
      <c r="L906" s="3">
        <v>29</v>
      </c>
      <c r="M906" s="3">
        <v>30.45</v>
      </c>
      <c r="N906" s="3">
        <v>59.99</v>
      </c>
      <c r="O906" s="2" t="s">
        <v>232</v>
      </c>
      <c r="P906" s="2" t="s">
        <v>262</v>
      </c>
      <c r="Q906" s="2" t="s">
        <v>234</v>
      </c>
      <c r="R906" s="2" t="s">
        <v>235</v>
      </c>
      <c r="S906" s="2" t="s">
        <v>3645</v>
      </c>
      <c r="T906" s="2" t="s">
        <v>263</v>
      </c>
      <c r="U906" s="2" t="s">
        <v>264</v>
      </c>
      <c r="V906" s="2" t="s">
        <v>863</v>
      </c>
      <c r="W906" s="2" t="s">
        <v>235</v>
      </c>
      <c r="X906" s="2" t="s">
        <v>235</v>
      </c>
      <c r="Y906" s="2" t="s">
        <v>235</v>
      </c>
      <c r="Z906" s="4"/>
      <c r="AA906" s="4">
        <f>=ROUNDDOWN({0},0)</f>
      </c>
      <c r="AB906" s="5"/>
      <c r="AC906" s="2" t="s">
        <v>164</v>
      </c>
      <c r="AD906" s="4">
        <v>64</v>
      </c>
      <c r="AE906" s="4">
        <v>64</v>
      </c>
      <c r="AF906" s="6">
        <v>77</v>
      </c>
      <c r="AG906" s="6"/>
      <c r="AH906" s="7"/>
      <c r="AI906" s="4"/>
      <c r="AJ906" s="4">
        <f>=ROUNDDOWN({0},0)</f>
      </c>
      <c r="AK906" s="5"/>
      <c r="AL906" s="2" t="s">
        <v>235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235</v>
      </c>
      <c r="AW906" s="8" t="s">
        <v>235</v>
      </c>
      <c r="AX906" s="4" t="s">
        <v>235</v>
      </c>
      <c r="AY906" s="8" t="s">
        <v>235</v>
      </c>
      <c r="AZ906" s="7" t="s">
        <v>235</v>
      </c>
      <c r="BA906" s="7" t="s">
        <v>235</v>
      </c>
      <c r="BB906" s="7" t="s">
        <v>235</v>
      </c>
      <c r="BC906" s="4" t="s">
        <v>235</v>
      </c>
      <c r="BD906" s="8" t="s">
        <v>235</v>
      </c>
      <c r="BE906" s="4" t="s">
        <v>235</v>
      </c>
      <c r="BF906" s="8" t="s">
        <v>235</v>
      </c>
      <c r="BG906" s="7" t="s">
        <v>235</v>
      </c>
      <c r="BH906" s="7" t="s">
        <v>235</v>
      </c>
      <c r="BI906" s="7"/>
      <c r="BJ906" s="4"/>
      <c r="BK906" s="8"/>
      <c r="BL906" s="2" t="s">
        <v>235</v>
      </c>
      <c r="BM906" s="7"/>
      <c r="BN906" s="7"/>
      <c r="BO906" s="4"/>
      <c r="BP906" s="8"/>
      <c r="BQ906" s="4"/>
      <c r="BR906" s="8"/>
      <c r="BS906" s="7"/>
      <c r="BT906" s="7"/>
      <c r="BU906" s="2" t="s">
        <v>330</v>
      </c>
      <c r="BV906" s="2" t="s">
        <v>235</v>
      </c>
      <c r="BW906" s="2" t="s">
        <v>235</v>
      </c>
      <c r="BX906" s="2" t="s">
        <v>330</v>
      </c>
      <c r="BY906" s="2" t="s">
        <v>331</v>
      </c>
      <c r="BZ906" s="2" t="s">
        <v>232</v>
      </c>
      <c r="CA906" s="2" t="s">
        <v>235</v>
      </c>
      <c r="CB906" s="2" t="s">
        <v>235</v>
      </c>
      <c r="CC906" s="2" t="s">
        <v>248</v>
      </c>
      <c r="CD906" s="2" t="s">
        <v>248</v>
      </c>
      <c r="CE906" s="2" t="s">
        <v>235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>
        <v>64</v>
      </c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>
        <v>64</v>
      </c>
      <c r="GL906" s="4">
        <v>60</v>
      </c>
      <c r="GM906" s="4">
        <v>59</v>
      </c>
      <c r="GN906" s="4">
        <v>58</v>
      </c>
      <c r="GO906" s="4">
        <v>57</v>
      </c>
      <c r="GP906" s="4">
        <v>55</v>
      </c>
      <c r="GQ906" s="4">
        <v>53</v>
      </c>
      <c r="GR906" s="4">
        <v>50</v>
      </c>
      <c r="GS906" s="4">
        <v>46</v>
      </c>
      <c r="GT906" s="4">
        <v>43</v>
      </c>
      <c r="GU906" s="4">
        <v>41</v>
      </c>
      <c r="GV906" s="4">
        <v>39</v>
      </c>
      <c r="GW906" s="4">
        <v>36</v>
      </c>
      <c r="GX906" s="4">
        <v>33</v>
      </c>
      <c r="GY906" s="4">
        <v>30</v>
      </c>
      <c r="GZ906" s="4">
        <v>27</v>
      </c>
      <c r="HA906" s="4">
        <v>24</v>
      </c>
      <c r="HB906" s="4">
        <v>21</v>
      </c>
      <c r="HC906" s="4">
        <v>18</v>
      </c>
      <c r="HD906" s="9"/>
      <c r="HE906" s="9"/>
      <c r="HF906" s="9"/>
      <c r="HG906" s="9"/>
      <c r="HH906" s="9"/>
      <c r="HI906" s="9"/>
      <c r="HJ906" s="9"/>
      <c r="HK906" s="19">
        <v>32</v>
      </c>
      <c r="HL906" s="19">
        <v>60</v>
      </c>
      <c r="HM906" s="19">
        <v>29.5</v>
      </c>
      <c r="HN906" s="19">
        <v>29</v>
      </c>
      <c r="HO906" s="19">
        <v>19</v>
      </c>
      <c r="HP906" s="19">
        <v>18.3</v>
      </c>
      <c r="HQ906" s="19">
        <v>17.7</v>
      </c>
      <c r="HR906" s="19">
        <v>16.7</v>
      </c>
      <c r="HS906" s="19">
        <v>23</v>
      </c>
      <c r="HT906" s="19">
        <v>21.5</v>
      </c>
      <c r="HU906" s="19">
        <v>13.7</v>
      </c>
      <c r="HV906" s="19">
        <v>13</v>
      </c>
      <c r="HW906" s="19">
        <v>12</v>
      </c>
      <c r="HX906" s="19">
        <v>11</v>
      </c>
      <c r="HY906" s="19">
        <v>10</v>
      </c>
      <c r="HZ906" s="19">
        <v>9</v>
      </c>
      <c r="IA906" s="19">
        <v>8</v>
      </c>
      <c r="IB906" s="19">
        <v>7</v>
      </c>
      <c r="IC906" s="19">
        <v>6</v>
      </c>
    </row>
    <row r="907">
      <c r="A907" s="2" t="s">
        <v>3665</v>
      </c>
      <c r="B907" s="2" t="s">
        <v>605</v>
      </c>
      <c r="C907" s="2" t="s">
        <v>324</v>
      </c>
      <c r="D907" s="2" t="s">
        <v>607</v>
      </c>
      <c r="E907" s="2" t="s">
        <v>608</v>
      </c>
      <c r="F907" s="2" t="s">
        <v>3643</v>
      </c>
      <c r="G907" s="2" t="s">
        <v>3643</v>
      </c>
      <c r="H907" s="2" t="s">
        <v>3643</v>
      </c>
      <c r="I907" s="2" t="s">
        <v>3644</v>
      </c>
      <c r="J907" s="2" t="s">
        <v>611</v>
      </c>
      <c r="K907" s="2" t="s">
        <v>3666</v>
      </c>
      <c r="L907" s="3">
        <v>23</v>
      </c>
      <c r="M907" s="3">
        <v>24.15</v>
      </c>
      <c r="N907" s="3">
        <v>45.99</v>
      </c>
      <c r="O907" s="2" t="s">
        <v>232</v>
      </c>
      <c r="P907" s="2" t="s">
        <v>262</v>
      </c>
      <c r="Q907" s="2" t="s">
        <v>234</v>
      </c>
      <c r="R907" s="2" t="s">
        <v>235</v>
      </c>
      <c r="S907" s="2" t="s">
        <v>3645</v>
      </c>
      <c r="T907" s="2" t="s">
        <v>263</v>
      </c>
      <c r="U907" s="2" t="s">
        <v>614</v>
      </c>
      <c r="V907" s="2" t="s">
        <v>863</v>
      </c>
      <c r="W907" s="2" t="s">
        <v>235</v>
      </c>
      <c r="X907" s="2" t="s">
        <v>235</v>
      </c>
      <c r="Y907" s="2" t="s">
        <v>3646</v>
      </c>
      <c r="Z907" s="4">
        <v>1</v>
      </c>
      <c r="AA907" s="4">
        <f>=ROUNDDOWN({0},0)</f>
      </c>
      <c r="AB907" s="5"/>
      <c r="AC907" s="2" t="s">
        <v>164</v>
      </c>
      <c r="AD907" s="4">
        <v>474</v>
      </c>
      <c r="AE907" s="4">
        <v>474</v>
      </c>
      <c r="AF907" s="6">
        <v>77</v>
      </c>
      <c r="AG907" s="6"/>
      <c r="AH907" s="7"/>
      <c r="AI907" s="4"/>
      <c r="AJ907" s="4">
        <f>=ROUNDDOWN({0},0)</f>
      </c>
      <c r="AK907" s="5"/>
      <c r="AL907" s="2" t="s">
        <v>235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235</v>
      </c>
      <c r="AW907" s="8" t="s">
        <v>235</v>
      </c>
      <c r="AX907" s="4" t="s">
        <v>235</v>
      </c>
      <c r="AY907" s="8" t="s">
        <v>235</v>
      </c>
      <c r="AZ907" s="7" t="s">
        <v>235</v>
      </c>
      <c r="BA907" s="7" t="s">
        <v>235</v>
      </c>
      <c r="BB907" s="7" t="s">
        <v>235</v>
      </c>
      <c r="BC907" s="4" t="s">
        <v>235</v>
      </c>
      <c r="BD907" s="8" t="s">
        <v>235</v>
      </c>
      <c r="BE907" s="4" t="s">
        <v>235</v>
      </c>
      <c r="BF907" s="8" t="s">
        <v>235</v>
      </c>
      <c r="BG907" s="7" t="s">
        <v>235</v>
      </c>
      <c r="BH907" s="7" t="s">
        <v>235</v>
      </c>
      <c r="BI907" s="7"/>
      <c r="BJ907" s="4"/>
      <c r="BK907" s="8"/>
      <c r="BL907" s="2" t="s">
        <v>235</v>
      </c>
      <c r="BM907" s="7"/>
      <c r="BN907" s="7"/>
      <c r="BO907" s="4"/>
      <c r="BP907" s="8"/>
      <c r="BQ907" s="4"/>
      <c r="BR907" s="8"/>
      <c r="BS907" s="7"/>
      <c r="BT907" s="7"/>
      <c r="BU907" s="2" t="s">
        <v>330</v>
      </c>
      <c r="BV907" s="2" t="s">
        <v>235</v>
      </c>
      <c r="BW907" s="2" t="s">
        <v>235</v>
      </c>
      <c r="BX907" s="2" t="s">
        <v>330</v>
      </c>
      <c r="BY907" s="2" t="s">
        <v>331</v>
      </c>
      <c r="BZ907" s="2" t="s">
        <v>232</v>
      </c>
      <c r="CA907" s="2" t="s">
        <v>235</v>
      </c>
      <c r="CB907" s="2" t="s">
        <v>235</v>
      </c>
      <c r="CC907" s="2" t="s">
        <v>248</v>
      </c>
      <c r="CD907" s="2" t="s">
        <v>248</v>
      </c>
      <c r="CE907" s="2" t="s">
        <v>235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>
        <v>1</v>
      </c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>
        <v>474</v>
      </c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>
        <v>474</v>
      </c>
      <c r="GL907" s="4">
        <v>451</v>
      </c>
      <c r="GM907" s="4">
        <v>442</v>
      </c>
      <c r="GN907" s="4">
        <v>434</v>
      </c>
      <c r="GO907" s="4">
        <v>425</v>
      </c>
      <c r="GP907" s="4">
        <v>415</v>
      </c>
      <c r="GQ907" s="4">
        <v>399</v>
      </c>
      <c r="GR907" s="4">
        <v>382</v>
      </c>
      <c r="GS907" s="4">
        <v>360</v>
      </c>
      <c r="GT907" s="4">
        <v>341</v>
      </c>
      <c r="GU907" s="4">
        <v>328</v>
      </c>
      <c r="GV907" s="4">
        <v>315</v>
      </c>
      <c r="GW907" s="4">
        <v>299</v>
      </c>
      <c r="GX907" s="4">
        <v>283</v>
      </c>
      <c r="GY907" s="4">
        <v>267</v>
      </c>
      <c r="GZ907" s="4">
        <v>248</v>
      </c>
      <c r="HA907" s="4">
        <v>229</v>
      </c>
      <c r="HB907" s="4">
        <v>210</v>
      </c>
      <c r="HC907" s="4">
        <v>191</v>
      </c>
      <c r="HD907" s="9"/>
      <c r="HE907" s="9"/>
      <c r="HF907" s="9"/>
      <c r="HG907" s="9"/>
      <c r="HH907" s="9"/>
      <c r="HI907" s="9"/>
      <c r="HJ907" s="9"/>
      <c r="HK907" s="19">
        <v>39.5</v>
      </c>
      <c r="HL907" s="19">
        <v>50.1</v>
      </c>
      <c r="HM907" s="19">
        <v>40.2</v>
      </c>
      <c r="HN907" s="19">
        <v>33.4</v>
      </c>
      <c r="HO907" s="19">
        <v>26.6</v>
      </c>
      <c r="HP907" s="19">
        <v>23.1</v>
      </c>
      <c r="HQ907" s="19">
        <v>22.2</v>
      </c>
      <c r="HR907" s="19">
        <v>22.5</v>
      </c>
      <c r="HS907" s="19">
        <v>24</v>
      </c>
      <c r="HT907" s="19">
        <v>24.4</v>
      </c>
      <c r="HU907" s="19">
        <v>21.9</v>
      </c>
      <c r="HV907" s="19">
        <v>18.5</v>
      </c>
      <c r="HW907" s="19">
        <v>16.6</v>
      </c>
      <c r="HX907" s="19">
        <v>15.7</v>
      </c>
      <c r="HY907" s="19">
        <v>14.1</v>
      </c>
      <c r="HZ907" s="19">
        <v>13.1</v>
      </c>
      <c r="IA907" s="19">
        <v>12.1</v>
      </c>
      <c r="IB907" s="19">
        <v>10.5</v>
      </c>
      <c r="IC907" s="19">
        <v>9.6</v>
      </c>
    </row>
    <row r="908">
      <c r="A908" s="2" t="s">
        <v>3667</v>
      </c>
      <c r="B908" s="2" t="s">
        <v>605</v>
      </c>
      <c r="C908" s="2" t="s">
        <v>324</v>
      </c>
      <c r="D908" s="2" t="s">
        <v>607</v>
      </c>
      <c r="E908" s="2" t="s">
        <v>608</v>
      </c>
      <c r="F908" s="2" t="s">
        <v>3643</v>
      </c>
      <c r="G908" s="2" t="s">
        <v>3643</v>
      </c>
      <c r="H908" s="2" t="s">
        <v>3643</v>
      </c>
      <c r="I908" s="2" t="s">
        <v>3648</v>
      </c>
      <c r="J908" s="2" t="s">
        <v>611</v>
      </c>
      <c r="K908" s="2" t="s">
        <v>3666</v>
      </c>
      <c r="L908" s="3">
        <v>8.5</v>
      </c>
      <c r="M908" s="3">
        <v>8.93</v>
      </c>
      <c r="N908" s="3">
        <v>14.99</v>
      </c>
      <c r="O908" s="2" t="s">
        <v>232</v>
      </c>
      <c r="P908" s="2" t="s">
        <v>262</v>
      </c>
      <c r="Q908" s="2" t="s">
        <v>234</v>
      </c>
      <c r="R908" s="2" t="s">
        <v>235</v>
      </c>
      <c r="S908" s="2" t="s">
        <v>3645</v>
      </c>
      <c r="T908" s="2" t="s">
        <v>263</v>
      </c>
      <c r="U908" s="2" t="s">
        <v>614</v>
      </c>
      <c r="V908" s="2" t="s">
        <v>863</v>
      </c>
      <c r="W908" s="2" t="s">
        <v>235</v>
      </c>
      <c r="X908" s="2" t="s">
        <v>235</v>
      </c>
      <c r="Y908" s="2" t="s">
        <v>235</v>
      </c>
      <c r="Z908" s="4"/>
      <c r="AA908" s="4">
        <f>=ROUNDDOWN({0},0)</f>
      </c>
      <c r="AB908" s="5"/>
      <c r="AC908" s="2" t="s">
        <v>164</v>
      </c>
      <c r="AD908" s="4">
        <v>104</v>
      </c>
      <c r="AE908" s="4">
        <v>104</v>
      </c>
      <c r="AF908" s="6">
        <v>77</v>
      </c>
      <c r="AG908" s="6"/>
      <c r="AH908" s="7"/>
      <c r="AI908" s="4"/>
      <c r="AJ908" s="4">
        <f>=ROUNDDOWN({0},0)</f>
      </c>
      <c r="AK908" s="5"/>
      <c r="AL908" s="2" t="s">
        <v>235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235</v>
      </c>
      <c r="AW908" s="8" t="s">
        <v>235</v>
      </c>
      <c r="AX908" s="4" t="s">
        <v>235</v>
      </c>
      <c r="AY908" s="8" t="s">
        <v>235</v>
      </c>
      <c r="AZ908" s="7" t="s">
        <v>235</v>
      </c>
      <c r="BA908" s="7" t="s">
        <v>235</v>
      </c>
      <c r="BB908" s="7" t="s">
        <v>235</v>
      </c>
      <c r="BC908" s="4" t="s">
        <v>235</v>
      </c>
      <c r="BD908" s="8" t="s">
        <v>235</v>
      </c>
      <c r="BE908" s="4" t="s">
        <v>235</v>
      </c>
      <c r="BF908" s="8" t="s">
        <v>235</v>
      </c>
      <c r="BG908" s="7" t="s">
        <v>235</v>
      </c>
      <c r="BH908" s="7" t="s">
        <v>235</v>
      </c>
      <c r="BI908" s="7"/>
      <c r="BJ908" s="4"/>
      <c r="BK908" s="8"/>
      <c r="BL908" s="2" t="s">
        <v>235</v>
      </c>
      <c r="BM908" s="7"/>
      <c r="BN908" s="7"/>
      <c r="BO908" s="4"/>
      <c r="BP908" s="8"/>
      <c r="BQ908" s="4"/>
      <c r="BR908" s="8"/>
      <c r="BS908" s="7"/>
      <c r="BT908" s="7"/>
      <c r="BU908" s="2" t="s">
        <v>330</v>
      </c>
      <c r="BV908" s="2" t="s">
        <v>235</v>
      </c>
      <c r="BW908" s="2" t="s">
        <v>235</v>
      </c>
      <c r="BX908" s="2" t="s">
        <v>330</v>
      </c>
      <c r="BY908" s="2" t="s">
        <v>331</v>
      </c>
      <c r="BZ908" s="2" t="s">
        <v>232</v>
      </c>
      <c r="CA908" s="2" t="s">
        <v>235</v>
      </c>
      <c r="CB908" s="2" t="s">
        <v>235</v>
      </c>
      <c r="CC908" s="2" t="s">
        <v>248</v>
      </c>
      <c r="CD908" s="2" t="s">
        <v>248</v>
      </c>
      <c r="CE908" s="2" t="s">
        <v>235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>
        <v>104</v>
      </c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>
        <v>104</v>
      </c>
      <c r="GL908" s="4">
        <v>100</v>
      </c>
      <c r="GM908" s="4">
        <v>99</v>
      </c>
      <c r="GN908" s="4">
        <v>98</v>
      </c>
      <c r="GO908" s="4">
        <v>96</v>
      </c>
      <c r="GP908" s="4">
        <v>94</v>
      </c>
      <c r="GQ908" s="4">
        <v>90</v>
      </c>
      <c r="GR908" s="4">
        <v>86</v>
      </c>
      <c r="GS908" s="4">
        <v>80</v>
      </c>
      <c r="GT908" s="4">
        <v>75</v>
      </c>
      <c r="GU908" s="4">
        <v>72</v>
      </c>
      <c r="GV908" s="4">
        <v>69</v>
      </c>
      <c r="GW908" s="4">
        <v>65</v>
      </c>
      <c r="GX908" s="4">
        <v>61</v>
      </c>
      <c r="GY908" s="4">
        <v>57</v>
      </c>
      <c r="GZ908" s="4">
        <v>52</v>
      </c>
      <c r="HA908" s="4">
        <v>47</v>
      </c>
      <c r="HB908" s="4">
        <v>42</v>
      </c>
      <c r="HC908" s="4">
        <v>37</v>
      </c>
      <c r="HD908" s="9"/>
      <c r="HE908" s="9"/>
      <c r="HF908" s="9"/>
      <c r="HG908" s="9"/>
      <c r="HH908" s="9"/>
      <c r="HI908" s="9"/>
      <c r="HJ908" s="9"/>
      <c r="HK908" s="19">
        <v>52</v>
      </c>
      <c r="HL908" s="19">
        <v>50</v>
      </c>
      <c r="HM908" s="19">
        <v>49.5</v>
      </c>
      <c r="HN908" s="19">
        <v>32.7</v>
      </c>
      <c r="HO908" s="19">
        <v>24</v>
      </c>
      <c r="HP908" s="19">
        <v>18.8</v>
      </c>
      <c r="HQ908" s="19">
        <v>22.5</v>
      </c>
      <c r="HR908" s="19">
        <v>21.5</v>
      </c>
      <c r="HS908" s="19">
        <v>20</v>
      </c>
      <c r="HT908" s="19">
        <v>18.8</v>
      </c>
      <c r="HU908" s="19">
        <v>18</v>
      </c>
      <c r="HV908" s="19">
        <v>17.3</v>
      </c>
      <c r="HW908" s="19">
        <v>16.3</v>
      </c>
      <c r="HX908" s="19">
        <v>12.2</v>
      </c>
      <c r="HY908" s="19">
        <v>11.4</v>
      </c>
      <c r="HZ908" s="19">
        <v>10.4</v>
      </c>
      <c r="IA908" s="19">
        <v>9.4</v>
      </c>
      <c r="IB908" s="19">
        <v>8.4</v>
      </c>
      <c r="IC908" s="19">
        <v>7.4</v>
      </c>
    </row>
    <row r="909">
      <c r="A909" s="2" t="s">
        <v>3668</v>
      </c>
      <c r="B909" s="2" t="s">
        <v>605</v>
      </c>
      <c r="C909" s="2" t="s">
        <v>324</v>
      </c>
      <c r="D909" s="2" t="s">
        <v>607</v>
      </c>
      <c r="E909" s="2" t="s">
        <v>608</v>
      </c>
      <c r="F909" s="2" t="s">
        <v>3643</v>
      </c>
      <c r="G909" s="2" t="s">
        <v>3643</v>
      </c>
      <c r="H909" s="2" t="s">
        <v>3643</v>
      </c>
      <c r="I909" s="2" t="s">
        <v>3650</v>
      </c>
      <c r="J909" s="2" t="s">
        <v>630</v>
      </c>
      <c r="K909" s="2" t="s">
        <v>3666</v>
      </c>
      <c r="L909" s="3">
        <v>12</v>
      </c>
      <c r="M909" s="3">
        <v>12.6</v>
      </c>
      <c r="N909" s="3">
        <v>21.99</v>
      </c>
      <c r="O909" s="2" t="s">
        <v>232</v>
      </c>
      <c r="P909" s="2" t="s">
        <v>262</v>
      </c>
      <c r="Q909" s="2" t="s">
        <v>234</v>
      </c>
      <c r="R909" s="2" t="s">
        <v>235</v>
      </c>
      <c r="S909" s="2" t="s">
        <v>3645</v>
      </c>
      <c r="T909" s="2" t="s">
        <v>263</v>
      </c>
      <c r="U909" s="2" t="s">
        <v>264</v>
      </c>
      <c r="V909" s="2" t="s">
        <v>863</v>
      </c>
      <c r="W909" s="2" t="s">
        <v>235</v>
      </c>
      <c r="X909" s="2" t="s">
        <v>235</v>
      </c>
      <c r="Y909" s="2" t="s">
        <v>235</v>
      </c>
      <c r="Z909" s="4"/>
      <c r="AA909" s="4">
        <f>=ROUNDDOWN({0},0)</f>
      </c>
      <c r="AB909" s="5"/>
      <c r="AC909" s="2" t="s">
        <v>164</v>
      </c>
      <c r="AD909" s="4">
        <v>185</v>
      </c>
      <c r="AE909" s="4">
        <v>185</v>
      </c>
      <c r="AF909" s="6">
        <v>77</v>
      </c>
      <c r="AG909" s="6"/>
      <c r="AH909" s="7"/>
      <c r="AI909" s="4"/>
      <c r="AJ909" s="4">
        <f>=ROUNDDOWN({0},0)</f>
      </c>
      <c r="AK909" s="5"/>
      <c r="AL909" s="2" t="s">
        <v>235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235</v>
      </c>
      <c r="AW909" s="8" t="s">
        <v>235</v>
      </c>
      <c r="AX909" s="4" t="s">
        <v>235</v>
      </c>
      <c r="AY909" s="8" t="s">
        <v>235</v>
      </c>
      <c r="AZ909" s="7" t="s">
        <v>235</v>
      </c>
      <c r="BA909" s="7" t="s">
        <v>235</v>
      </c>
      <c r="BB909" s="7" t="s">
        <v>235</v>
      </c>
      <c r="BC909" s="4" t="s">
        <v>235</v>
      </c>
      <c r="BD909" s="8" t="s">
        <v>235</v>
      </c>
      <c r="BE909" s="4" t="s">
        <v>235</v>
      </c>
      <c r="BF909" s="8" t="s">
        <v>235</v>
      </c>
      <c r="BG909" s="7" t="s">
        <v>235</v>
      </c>
      <c r="BH909" s="7" t="s">
        <v>235</v>
      </c>
      <c r="BI909" s="7"/>
      <c r="BJ909" s="4"/>
      <c r="BK909" s="8"/>
      <c r="BL909" s="2" t="s">
        <v>235</v>
      </c>
      <c r="BM909" s="7"/>
      <c r="BN909" s="7"/>
      <c r="BO909" s="4"/>
      <c r="BP909" s="8"/>
      <c r="BQ909" s="4"/>
      <c r="BR909" s="8"/>
      <c r="BS909" s="7"/>
      <c r="BT909" s="7"/>
      <c r="BU909" s="2" t="s">
        <v>330</v>
      </c>
      <c r="BV909" s="2" t="s">
        <v>235</v>
      </c>
      <c r="BW909" s="2" t="s">
        <v>235</v>
      </c>
      <c r="BX909" s="2" t="s">
        <v>330</v>
      </c>
      <c r="BY909" s="2" t="s">
        <v>331</v>
      </c>
      <c r="BZ909" s="2" t="s">
        <v>232</v>
      </c>
      <c r="CA909" s="2" t="s">
        <v>235</v>
      </c>
      <c r="CB909" s="2" t="s">
        <v>235</v>
      </c>
      <c r="CC909" s="2" t="s">
        <v>248</v>
      </c>
      <c r="CD909" s="2" t="s">
        <v>248</v>
      </c>
      <c r="CE909" s="2" t="s">
        <v>235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>
        <v>185</v>
      </c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>
        <v>185</v>
      </c>
      <c r="GL909" s="4">
        <v>179</v>
      </c>
      <c r="GM909" s="4">
        <v>176</v>
      </c>
      <c r="GN909" s="4">
        <v>173</v>
      </c>
      <c r="GO909" s="4">
        <v>170</v>
      </c>
      <c r="GP909" s="4">
        <v>166</v>
      </c>
      <c r="GQ909" s="4">
        <v>160</v>
      </c>
      <c r="GR909" s="4">
        <v>153</v>
      </c>
      <c r="GS909" s="4">
        <v>143</v>
      </c>
      <c r="GT909" s="4">
        <v>135</v>
      </c>
      <c r="GU909" s="4">
        <v>130</v>
      </c>
      <c r="GV909" s="4">
        <v>125</v>
      </c>
      <c r="GW909" s="4">
        <v>118</v>
      </c>
      <c r="GX909" s="4">
        <v>111</v>
      </c>
      <c r="GY909" s="4">
        <v>104</v>
      </c>
      <c r="GZ909" s="4">
        <v>96</v>
      </c>
      <c r="HA909" s="4">
        <v>88</v>
      </c>
      <c r="HB909" s="4">
        <v>80</v>
      </c>
      <c r="HC909" s="4">
        <v>72</v>
      </c>
      <c r="HD909" s="9"/>
      <c r="HE909" s="9"/>
      <c r="HF909" s="9"/>
      <c r="HG909" s="9"/>
      <c r="HH909" s="9"/>
      <c r="HI909" s="9"/>
      <c r="HJ909" s="9"/>
      <c r="HK909" s="19">
        <v>46.3</v>
      </c>
      <c r="HL909" s="19">
        <v>59.7</v>
      </c>
      <c r="HM909" s="19">
        <v>44</v>
      </c>
      <c r="HN909" s="19">
        <v>34.6</v>
      </c>
      <c r="HO909" s="19">
        <v>24.3</v>
      </c>
      <c r="HP909" s="19">
        <v>20.8</v>
      </c>
      <c r="HQ909" s="19">
        <v>20</v>
      </c>
      <c r="HR909" s="19">
        <v>21.9</v>
      </c>
      <c r="HS909" s="19">
        <v>23.8</v>
      </c>
      <c r="HT909" s="19">
        <v>22.5</v>
      </c>
      <c r="HU909" s="19">
        <v>21.7</v>
      </c>
      <c r="HV909" s="19">
        <v>17.9</v>
      </c>
      <c r="HW909" s="19">
        <v>14.8</v>
      </c>
      <c r="HX909" s="19">
        <v>13.9</v>
      </c>
      <c r="HY909" s="19">
        <v>13</v>
      </c>
      <c r="HZ909" s="19">
        <v>12</v>
      </c>
      <c r="IA909" s="19">
        <v>11</v>
      </c>
      <c r="IB909" s="19">
        <v>10</v>
      </c>
      <c r="IC909" s="19">
        <v>9</v>
      </c>
    </row>
    <row r="910">
      <c r="A910" s="2" t="s">
        <v>3669</v>
      </c>
      <c r="B910" s="2" t="s">
        <v>605</v>
      </c>
      <c r="C910" s="2" t="s">
        <v>324</v>
      </c>
      <c r="D910" s="2" t="s">
        <v>607</v>
      </c>
      <c r="E910" s="2" t="s">
        <v>608</v>
      </c>
      <c r="F910" s="2" t="s">
        <v>3643</v>
      </c>
      <c r="G910" s="2" t="s">
        <v>3643</v>
      </c>
      <c r="H910" s="2" t="s">
        <v>3643</v>
      </c>
      <c r="I910" s="2" t="s">
        <v>3652</v>
      </c>
      <c r="J910" s="2" t="s">
        <v>630</v>
      </c>
      <c r="K910" s="2" t="s">
        <v>3666</v>
      </c>
      <c r="L910" s="3">
        <v>29</v>
      </c>
      <c r="M910" s="3">
        <v>30.45</v>
      </c>
      <c r="N910" s="3">
        <v>59.99</v>
      </c>
      <c r="O910" s="2" t="s">
        <v>232</v>
      </c>
      <c r="P910" s="2" t="s">
        <v>262</v>
      </c>
      <c r="Q910" s="2" t="s">
        <v>234</v>
      </c>
      <c r="R910" s="2" t="s">
        <v>235</v>
      </c>
      <c r="S910" s="2" t="s">
        <v>3645</v>
      </c>
      <c r="T910" s="2" t="s">
        <v>263</v>
      </c>
      <c r="U910" s="2" t="s">
        <v>264</v>
      </c>
      <c r="V910" s="2" t="s">
        <v>863</v>
      </c>
      <c r="W910" s="2" t="s">
        <v>235</v>
      </c>
      <c r="X910" s="2" t="s">
        <v>235</v>
      </c>
      <c r="Y910" s="2" t="s">
        <v>235</v>
      </c>
      <c r="Z910" s="4"/>
      <c r="AA910" s="4">
        <f>=ROUNDDOWN({0},0)</f>
      </c>
      <c r="AB910" s="5"/>
      <c r="AC910" s="2" t="s">
        <v>164</v>
      </c>
      <c r="AD910" s="4">
        <v>110</v>
      </c>
      <c r="AE910" s="4">
        <v>110</v>
      </c>
      <c r="AF910" s="6">
        <v>77</v>
      </c>
      <c r="AG910" s="6"/>
      <c r="AH910" s="7"/>
      <c r="AI910" s="4"/>
      <c r="AJ910" s="4">
        <f>=ROUNDDOWN({0},0)</f>
      </c>
      <c r="AK910" s="5"/>
      <c r="AL910" s="2" t="s">
        <v>235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235</v>
      </c>
      <c r="AW910" s="8" t="s">
        <v>235</v>
      </c>
      <c r="AX910" s="4" t="s">
        <v>235</v>
      </c>
      <c r="AY910" s="8" t="s">
        <v>235</v>
      </c>
      <c r="AZ910" s="7" t="s">
        <v>235</v>
      </c>
      <c r="BA910" s="7" t="s">
        <v>235</v>
      </c>
      <c r="BB910" s="7" t="s">
        <v>235</v>
      </c>
      <c r="BC910" s="4" t="s">
        <v>235</v>
      </c>
      <c r="BD910" s="8" t="s">
        <v>235</v>
      </c>
      <c r="BE910" s="4" t="s">
        <v>235</v>
      </c>
      <c r="BF910" s="8" t="s">
        <v>235</v>
      </c>
      <c r="BG910" s="7" t="s">
        <v>235</v>
      </c>
      <c r="BH910" s="7" t="s">
        <v>235</v>
      </c>
      <c r="BI910" s="7"/>
      <c r="BJ910" s="4"/>
      <c r="BK910" s="8"/>
      <c r="BL910" s="2" t="s">
        <v>235</v>
      </c>
      <c r="BM910" s="7"/>
      <c r="BN910" s="7"/>
      <c r="BO910" s="4"/>
      <c r="BP910" s="8"/>
      <c r="BQ910" s="4"/>
      <c r="BR910" s="8"/>
      <c r="BS910" s="7"/>
      <c r="BT910" s="7"/>
      <c r="BU910" s="2" t="s">
        <v>330</v>
      </c>
      <c r="BV910" s="2" t="s">
        <v>235</v>
      </c>
      <c r="BW910" s="2" t="s">
        <v>235</v>
      </c>
      <c r="BX910" s="2" t="s">
        <v>330</v>
      </c>
      <c r="BY910" s="2" t="s">
        <v>331</v>
      </c>
      <c r="BZ910" s="2" t="s">
        <v>232</v>
      </c>
      <c r="CA910" s="2" t="s">
        <v>235</v>
      </c>
      <c r="CB910" s="2" t="s">
        <v>235</v>
      </c>
      <c r="CC910" s="2" t="s">
        <v>248</v>
      </c>
      <c r="CD910" s="2" t="s">
        <v>248</v>
      </c>
      <c r="CE910" s="2" t="s">
        <v>235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>
        <v>110</v>
      </c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>
        <v>110</v>
      </c>
      <c r="GL910" s="4">
        <v>104</v>
      </c>
      <c r="GM910" s="4">
        <v>102</v>
      </c>
      <c r="GN910" s="4">
        <v>100</v>
      </c>
      <c r="GO910" s="4">
        <v>97</v>
      </c>
      <c r="GP910" s="4">
        <v>94</v>
      </c>
      <c r="GQ910" s="4">
        <v>90</v>
      </c>
      <c r="GR910" s="4">
        <v>86</v>
      </c>
      <c r="GS910" s="4">
        <v>80</v>
      </c>
      <c r="GT910" s="4">
        <v>75</v>
      </c>
      <c r="GU910" s="4">
        <v>71</v>
      </c>
      <c r="GV910" s="4">
        <v>67</v>
      </c>
      <c r="GW910" s="4">
        <v>63</v>
      </c>
      <c r="GX910" s="4">
        <v>59</v>
      </c>
      <c r="GY910" s="4">
        <v>55</v>
      </c>
      <c r="GZ910" s="4">
        <v>50</v>
      </c>
      <c r="HA910" s="4">
        <v>45</v>
      </c>
      <c r="HB910" s="4">
        <v>40</v>
      </c>
      <c r="HC910" s="4">
        <v>35</v>
      </c>
      <c r="HD910" s="9"/>
      <c r="HE910" s="9"/>
      <c r="HF910" s="9"/>
      <c r="HG910" s="9"/>
      <c r="HH910" s="9"/>
      <c r="HI910" s="9"/>
      <c r="HJ910" s="9"/>
      <c r="HK910" s="19">
        <v>36.7</v>
      </c>
      <c r="HL910" s="19">
        <v>52</v>
      </c>
      <c r="HM910" s="19">
        <v>34</v>
      </c>
      <c r="HN910" s="19">
        <v>25</v>
      </c>
      <c r="HO910" s="19">
        <v>24.3</v>
      </c>
      <c r="HP910" s="19">
        <v>18.8</v>
      </c>
      <c r="HQ910" s="19">
        <v>18</v>
      </c>
      <c r="HR910" s="19">
        <v>17.2</v>
      </c>
      <c r="HS910" s="19">
        <v>20</v>
      </c>
      <c r="HT910" s="19">
        <v>18.8</v>
      </c>
      <c r="HU910" s="19">
        <v>17.8</v>
      </c>
      <c r="HV910" s="19">
        <v>16.8</v>
      </c>
      <c r="HW910" s="19">
        <v>15.8</v>
      </c>
      <c r="HX910" s="19">
        <v>11.8</v>
      </c>
      <c r="HY910" s="19">
        <v>11</v>
      </c>
      <c r="HZ910" s="19">
        <v>10</v>
      </c>
      <c r="IA910" s="19">
        <v>9</v>
      </c>
      <c r="IB910" s="19">
        <v>8</v>
      </c>
      <c r="IC910" s="19">
        <v>7</v>
      </c>
    </row>
    <row r="911">
      <c r="A911" s="2" t="s">
        <v>3670</v>
      </c>
      <c r="B911" s="2" t="s">
        <v>605</v>
      </c>
      <c r="C911" s="2" t="s">
        <v>324</v>
      </c>
      <c r="D911" s="2" t="s">
        <v>607</v>
      </c>
      <c r="E911" s="2" t="s">
        <v>608</v>
      </c>
      <c r="F911" s="2" t="s">
        <v>3643</v>
      </c>
      <c r="G911" s="2" t="s">
        <v>3643</v>
      </c>
      <c r="H911" s="2" t="s">
        <v>3643</v>
      </c>
      <c r="I911" s="2" t="s">
        <v>3644</v>
      </c>
      <c r="J911" s="2" t="s">
        <v>611</v>
      </c>
      <c r="K911" s="2" t="s">
        <v>316</v>
      </c>
      <c r="L911" s="3">
        <v>23</v>
      </c>
      <c r="M911" s="3">
        <v>24.15</v>
      </c>
      <c r="N911" s="3">
        <v>45.99</v>
      </c>
      <c r="O911" s="2" t="s">
        <v>232</v>
      </c>
      <c r="P911" s="2" t="s">
        <v>262</v>
      </c>
      <c r="Q911" s="2" t="s">
        <v>234</v>
      </c>
      <c r="R911" s="2" t="s">
        <v>235</v>
      </c>
      <c r="S911" s="2" t="s">
        <v>3645</v>
      </c>
      <c r="T911" s="2" t="s">
        <v>263</v>
      </c>
      <c r="U911" s="2" t="s">
        <v>614</v>
      </c>
      <c r="V911" s="2" t="s">
        <v>863</v>
      </c>
      <c r="W911" s="2" t="s">
        <v>235</v>
      </c>
      <c r="X911" s="2" t="s">
        <v>235</v>
      </c>
      <c r="Y911" s="2" t="s">
        <v>3646</v>
      </c>
      <c r="Z911" s="4">
        <v>2</v>
      </c>
      <c r="AA911" s="4">
        <f>=ROUNDDOWN({0},0)</f>
      </c>
      <c r="AB911" s="5"/>
      <c r="AC911" s="2" t="s">
        <v>164</v>
      </c>
      <c r="AD911" s="4">
        <v>675</v>
      </c>
      <c r="AE911" s="4">
        <v>675</v>
      </c>
      <c r="AF911" s="6">
        <v>77</v>
      </c>
      <c r="AG911" s="6"/>
      <c r="AH911" s="7"/>
      <c r="AI911" s="4"/>
      <c r="AJ911" s="4">
        <f>=ROUNDDOWN({0},0)</f>
      </c>
      <c r="AK911" s="5"/>
      <c r="AL911" s="2" t="s">
        <v>235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235</v>
      </c>
      <c r="AW911" s="8" t="s">
        <v>235</v>
      </c>
      <c r="AX911" s="4" t="s">
        <v>235</v>
      </c>
      <c r="AY911" s="8" t="s">
        <v>235</v>
      </c>
      <c r="AZ911" s="7" t="s">
        <v>235</v>
      </c>
      <c r="BA911" s="7" t="s">
        <v>235</v>
      </c>
      <c r="BB911" s="7" t="s">
        <v>235</v>
      </c>
      <c r="BC911" s="4" t="s">
        <v>235</v>
      </c>
      <c r="BD911" s="8" t="s">
        <v>235</v>
      </c>
      <c r="BE911" s="4" t="s">
        <v>235</v>
      </c>
      <c r="BF911" s="8" t="s">
        <v>235</v>
      </c>
      <c r="BG911" s="7" t="s">
        <v>235</v>
      </c>
      <c r="BH911" s="7" t="s">
        <v>235</v>
      </c>
      <c r="BI911" s="7"/>
      <c r="BJ911" s="4"/>
      <c r="BK911" s="8"/>
      <c r="BL911" s="2" t="s">
        <v>235</v>
      </c>
      <c r="BM911" s="7"/>
      <c r="BN911" s="7"/>
      <c r="BO911" s="4"/>
      <c r="BP911" s="8"/>
      <c r="BQ911" s="4"/>
      <c r="BR911" s="8"/>
      <c r="BS911" s="7"/>
      <c r="BT911" s="7"/>
      <c r="BU911" s="2" t="s">
        <v>330</v>
      </c>
      <c r="BV911" s="2" t="s">
        <v>235</v>
      </c>
      <c r="BW911" s="2" t="s">
        <v>235</v>
      </c>
      <c r="BX911" s="2" t="s">
        <v>330</v>
      </c>
      <c r="BY911" s="2" t="s">
        <v>331</v>
      </c>
      <c r="BZ911" s="2" t="s">
        <v>232</v>
      </c>
      <c r="CA911" s="2" t="s">
        <v>235</v>
      </c>
      <c r="CB911" s="2" t="s">
        <v>235</v>
      </c>
      <c r="CC911" s="2" t="s">
        <v>248</v>
      </c>
      <c r="CD911" s="2" t="s">
        <v>248</v>
      </c>
      <c r="CE911" s="2" t="s">
        <v>235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>
        <v>2</v>
      </c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>
        <v>675</v>
      </c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>
        <v>675</v>
      </c>
      <c r="GL911" s="4">
        <v>655</v>
      </c>
      <c r="GM911" s="4">
        <v>646</v>
      </c>
      <c r="GN911" s="4">
        <v>638</v>
      </c>
      <c r="GO911" s="4">
        <v>629</v>
      </c>
      <c r="GP911" s="4">
        <v>617</v>
      </c>
      <c r="GQ911" s="4">
        <v>597</v>
      </c>
      <c r="GR911" s="4">
        <v>575</v>
      </c>
      <c r="GS911" s="4">
        <v>544</v>
      </c>
      <c r="GT911" s="4">
        <v>519</v>
      </c>
      <c r="GU911" s="4">
        <v>502</v>
      </c>
      <c r="GV911" s="4">
        <v>485</v>
      </c>
      <c r="GW911" s="4">
        <v>463</v>
      </c>
      <c r="GX911" s="4">
        <v>441</v>
      </c>
      <c r="GY911" s="4">
        <v>419</v>
      </c>
      <c r="GZ911" s="4">
        <v>393</v>
      </c>
      <c r="HA911" s="4">
        <v>367</v>
      </c>
      <c r="HB911" s="4">
        <v>341</v>
      </c>
      <c r="HC911" s="4">
        <v>315</v>
      </c>
      <c r="HD911" s="9"/>
      <c r="HE911" s="9"/>
      <c r="HF911" s="9"/>
      <c r="HG911" s="9"/>
      <c r="HH911" s="9"/>
      <c r="HI911" s="9"/>
      <c r="HJ911" s="9"/>
      <c r="HK911" s="19">
        <v>56.3</v>
      </c>
      <c r="HL911" s="19">
        <v>65.5</v>
      </c>
      <c r="HM911" s="19">
        <v>53.8</v>
      </c>
      <c r="HN911" s="19">
        <v>39.9</v>
      </c>
      <c r="HO911" s="19">
        <v>30</v>
      </c>
      <c r="HP911" s="19">
        <v>25.7</v>
      </c>
      <c r="HQ911" s="19">
        <v>24.9</v>
      </c>
      <c r="HR911" s="19">
        <v>26.1</v>
      </c>
      <c r="HS911" s="19">
        <v>27.2</v>
      </c>
      <c r="HT911" s="19">
        <v>26</v>
      </c>
      <c r="HU911" s="19">
        <v>23.9</v>
      </c>
      <c r="HV911" s="19">
        <v>21.1</v>
      </c>
      <c r="HW911" s="19">
        <v>19.3</v>
      </c>
      <c r="HX911" s="19">
        <v>17.6</v>
      </c>
      <c r="HY911" s="19">
        <v>16.1</v>
      </c>
      <c r="HZ911" s="19">
        <v>15.1</v>
      </c>
      <c r="IA911" s="19">
        <v>14.1</v>
      </c>
      <c r="IB911" s="19">
        <v>12.6</v>
      </c>
      <c r="IC911" s="19">
        <v>11.7</v>
      </c>
    </row>
    <row r="912">
      <c r="A912" s="2" t="s">
        <v>3671</v>
      </c>
      <c r="B912" s="2" t="s">
        <v>605</v>
      </c>
      <c r="C912" s="2" t="s">
        <v>324</v>
      </c>
      <c r="D912" s="2" t="s">
        <v>607</v>
      </c>
      <c r="E912" s="2" t="s">
        <v>608</v>
      </c>
      <c r="F912" s="2" t="s">
        <v>3643</v>
      </c>
      <c r="G912" s="2" t="s">
        <v>3643</v>
      </c>
      <c r="H912" s="2" t="s">
        <v>3643</v>
      </c>
      <c r="I912" s="2" t="s">
        <v>3648</v>
      </c>
      <c r="J912" s="2" t="s">
        <v>611</v>
      </c>
      <c r="K912" s="2" t="s">
        <v>316</v>
      </c>
      <c r="L912" s="3">
        <v>8.5</v>
      </c>
      <c r="M912" s="3">
        <v>8.93</v>
      </c>
      <c r="N912" s="3">
        <v>14.99</v>
      </c>
      <c r="O912" s="2" t="s">
        <v>232</v>
      </c>
      <c r="P912" s="2" t="s">
        <v>262</v>
      </c>
      <c r="Q912" s="2" t="s">
        <v>234</v>
      </c>
      <c r="R912" s="2" t="s">
        <v>235</v>
      </c>
      <c r="S912" s="2" t="s">
        <v>3645</v>
      </c>
      <c r="T912" s="2" t="s">
        <v>263</v>
      </c>
      <c r="U912" s="2" t="s">
        <v>614</v>
      </c>
      <c r="V912" s="2" t="s">
        <v>863</v>
      </c>
      <c r="W912" s="2" t="s">
        <v>235</v>
      </c>
      <c r="X912" s="2" t="s">
        <v>235</v>
      </c>
      <c r="Y912" s="2" t="s">
        <v>235</v>
      </c>
      <c r="Z912" s="4"/>
      <c r="AA912" s="4">
        <f>=ROUNDDOWN({0},0)</f>
      </c>
      <c r="AB912" s="5"/>
      <c r="AC912" s="2" t="s">
        <v>164</v>
      </c>
      <c r="AD912" s="4">
        <v>128</v>
      </c>
      <c r="AE912" s="4">
        <v>128</v>
      </c>
      <c r="AF912" s="6">
        <v>77</v>
      </c>
      <c r="AG912" s="6"/>
      <c r="AH912" s="7"/>
      <c r="AI912" s="4"/>
      <c r="AJ912" s="4">
        <f>=ROUNDDOWN({0},0)</f>
      </c>
      <c r="AK912" s="5"/>
      <c r="AL912" s="2" t="s">
        <v>235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235</v>
      </c>
      <c r="AW912" s="8" t="s">
        <v>235</v>
      </c>
      <c r="AX912" s="4" t="s">
        <v>235</v>
      </c>
      <c r="AY912" s="8" t="s">
        <v>235</v>
      </c>
      <c r="AZ912" s="7" t="s">
        <v>235</v>
      </c>
      <c r="BA912" s="7" t="s">
        <v>235</v>
      </c>
      <c r="BB912" s="7" t="s">
        <v>235</v>
      </c>
      <c r="BC912" s="4" t="s">
        <v>235</v>
      </c>
      <c r="BD912" s="8" t="s">
        <v>235</v>
      </c>
      <c r="BE912" s="4" t="s">
        <v>235</v>
      </c>
      <c r="BF912" s="8" t="s">
        <v>235</v>
      </c>
      <c r="BG912" s="7" t="s">
        <v>235</v>
      </c>
      <c r="BH912" s="7" t="s">
        <v>235</v>
      </c>
      <c r="BI912" s="7"/>
      <c r="BJ912" s="4"/>
      <c r="BK912" s="8"/>
      <c r="BL912" s="2" t="s">
        <v>235</v>
      </c>
      <c r="BM912" s="7"/>
      <c r="BN912" s="7"/>
      <c r="BO912" s="4"/>
      <c r="BP912" s="8"/>
      <c r="BQ912" s="4"/>
      <c r="BR912" s="8"/>
      <c r="BS912" s="7"/>
      <c r="BT912" s="7"/>
      <c r="BU912" s="2" t="s">
        <v>330</v>
      </c>
      <c r="BV912" s="2" t="s">
        <v>235</v>
      </c>
      <c r="BW912" s="2" t="s">
        <v>235</v>
      </c>
      <c r="BX912" s="2" t="s">
        <v>330</v>
      </c>
      <c r="BY912" s="2" t="s">
        <v>331</v>
      </c>
      <c r="BZ912" s="2" t="s">
        <v>232</v>
      </c>
      <c r="CA912" s="2" t="s">
        <v>235</v>
      </c>
      <c r="CB912" s="2" t="s">
        <v>235</v>
      </c>
      <c r="CC912" s="2" t="s">
        <v>248</v>
      </c>
      <c r="CD912" s="2" t="s">
        <v>248</v>
      </c>
      <c r="CE912" s="2" t="s">
        <v>235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>
        <v>128</v>
      </c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>
        <v>128</v>
      </c>
      <c r="GL912" s="4">
        <v>124</v>
      </c>
      <c r="GM912" s="4">
        <v>122</v>
      </c>
      <c r="GN912" s="4">
        <v>120</v>
      </c>
      <c r="GO912" s="4">
        <v>118</v>
      </c>
      <c r="GP912" s="4">
        <v>115</v>
      </c>
      <c r="GQ912" s="4">
        <v>111</v>
      </c>
      <c r="GR912" s="4">
        <v>106</v>
      </c>
      <c r="GS912" s="4">
        <v>99</v>
      </c>
      <c r="GT912" s="4">
        <v>93</v>
      </c>
      <c r="GU912" s="4">
        <v>89</v>
      </c>
      <c r="GV912" s="4">
        <v>85</v>
      </c>
      <c r="GW912" s="4">
        <v>80</v>
      </c>
      <c r="GX912" s="4">
        <v>75</v>
      </c>
      <c r="GY912" s="4">
        <v>70</v>
      </c>
      <c r="GZ912" s="4">
        <v>64</v>
      </c>
      <c r="HA912" s="4">
        <v>58</v>
      </c>
      <c r="HB912" s="4">
        <v>52</v>
      </c>
      <c r="HC912" s="4">
        <v>46</v>
      </c>
      <c r="HD912" s="9"/>
      <c r="HE912" s="9"/>
      <c r="HF912" s="9"/>
      <c r="HG912" s="9"/>
      <c r="HH912" s="9"/>
      <c r="HI912" s="9"/>
      <c r="HJ912" s="9"/>
      <c r="HK912" s="19">
        <v>64</v>
      </c>
      <c r="HL912" s="19">
        <v>62</v>
      </c>
      <c r="HM912" s="19">
        <v>40.7</v>
      </c>
      <c r="HN912" s="19">
        <v>30</v>
      </c>
      <c r="HO912" s="19">
        <v>23.6</v>
      </c>
      <c r="HP912" s="19">
        <v>19.2</v>
      </c>
      <c r="HQ912" s="19">
        <v>18.5</v>
      </c>
      <c r="HR912" s="19">
        <v>21.2</v>
      </c>
      <c r="HS912" s="19">
        <v>19.8</v>
      </c>
      <c r="HT912" s="19">
        <v>23.3</v>
      </c>
      <c r="HU912" s="19">
        <v>17.8</v>
      </c>
      <c r="HV912" s="19">
        <v>17</v>
      </c>
      <c r="HW912" s="19">
        <v>13.3</v>
      </c>
      <c r="HX912" s="19">
        <v>12.5</v>
      </c>
      <c r="HY912" s="19">
        <v>11.7</v>
      </c>
      <c r="HZ912" s="19">
        <v>10.7</v>
      </c>
      <c r="IA912" s="19">
        <v>9.7</v>
      </c>
      <c r="IB912" s="19">
        <v>8.7</v>
      </c>
      <c r="IC912" s="19">
        <v>7.7</v>
      </c>
    </row>
    <row r="913">
      <c r="A913" s="2" t="s">
        <v>3672</v>
      </c>
      <c r="B913" s="2" t="s">
        <v>605</v>
      </c>
      <c r="C913" s="2" t="s">
        <v>324</v>
      </c>
      <c r="D913" s="2" t="s">
        <v>607</v>
      </c>
      <c r="E913" s="2" t="s">
        <v>608</v>
      </c>
      <c r="F913" s="2" t="s">
        <v>3643</v>
      </c>
      <c r="G913" s="2" t="s">
        <v>3643</v>
      </c>
      <c r="H913" s="2" t="s">
        <v>3643</v>
      </c>
      <c r="I913" s="2" t="s">
        <v>3650</v>
      </c>
      <c r="J913" s="2" t="s">
        <v>630</v>
      </c>
      <c r="K913" s="2" t="s">
        <v>316</v>
      </c>
      <c r="L913" s="3">
        <v>12</v>
      </c>
      <c r="M913" s="3">
        <v>12.6</v>
      </c>
      <c r="N913" s="3">
        <v>21.99</v>
      </c>
      <c r="O913" s="2" t="s">
        <v>232</v>
      </c>
      <c r="P913" s="2" t="s">
        <v>262</v>
      </c>
      <c r="Q913" s="2" t="s">
        <v>234</v>
      </c>
      <c r="R913" s="2" t="s">
        <v>235</v>
      </c>
      <c r="S913" s="2" t="s">
        <v>3645</v>
      </c>
      <c r="T913" s="2" t="s">
        <v>263</v>
      </c>
      <c r="U913" s="2" t="s">
        <v>264</v>
      </c>
      <c r="V913" s="2" t="s">
        <v>863</v>
      </c>
      <c r="W913" s="2" t="s">
        <v>235</v>
      </c>
      <c r="X913" s="2" t="s">
        <v>235</v>
      </c>
      <c r="Y913" s="2" t="s">
        <v>235</v>
      </c>
      <c r="Z913" s="4"/>
      <c r="AA913" s="4">
        <f>=ROUNDDOWN({0},0)</f>
      </c>
      <c r="AB913" s="5"/>
      <c r="AC913" s="2" t="s">
        <v>164</v>
      </c>
      <c r="AD913" s="4">
        <v>277</v>
      </c>
      <c r="AE913" s="4">
        <v>277</v>
      </c>
      <c r="AF913" s="6">
        <v>77</v>
      </c>
      <c r="AG913" s="6"/>
      <c r="AH913" s="7"/>
      <c r="AI913" s="4"/>
      <c r="AJ913" s="4">
        <f>=ROUNDDOWN({0},0)</f>
      </c>
      <c r="AK913" s="5"/>
      <c r="AL913" s="2" t="s">
        <v>235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235</v>
      </c>
      <c r="AW913" s="8" t="s">
        <v>235</v>
      </c>
      <c r="AX913" s="4" t="s">
        <v>235</v>
      </c>
      <c r="AY913" s="8" t="s">
        <v>235</v>
      </c>
      <c r="AZ913" s="7" t="s">
        <v>235</v>
      </c>
      <c r="BA913" s="7" t="s">
        <v>235</v>
      </c>
      <c r="BB913" s="7" t="s">
        <v>235</v>
      </c>
      <c r="BC913" s="4" t="s">
        <v>235</v>
      </c>
      <c r="BD913" s="8" t="s">
        <v>235</v>
      </c>
      <c r="BE913" s="4" t="s">
        <v>235</v>
      </c>
      <c r="BF913" s="8" t="s">
        <v>235</v>
      </c>
      <c r="BG913" s="7" t="s">
        <v>235</v>
      </c>
      <c r="BH913" s="7" t="s">
        <v>235</v>
      </c>
      <c r="BI913" s="7"/>
      <c r="BJ913" s="4"/>
      <c r="BK913" s="8"/>
      <c r="BL913" s="2" t="s">
        <v>235</v>
      </c>
      <c r="BM913" s="7"/>
      <c r="BN913" s="7"/>
      <c r="BO913" s="4"/>
      <c r="BP913" s="8"/>
      <c r="BQ913" s="4"/>
      <c r="BR913" s="8"/>
      <c r="BS913" s="7"/>
      <c r="BT913" s="7"/>
      <c r="BU913" s="2" t="s">
        <v>330</v>
      </c>
      <c r="BV913" s="2" t="s">
        <v>235</v>
      </c>
      <c r="BW913" s="2" t="s">
        <v>235</v>
      </c>
      <c r="BX913" s="2" t="s">
        <v>330</v>
      </c>
      <c r="BY913" s="2" t="s">
        <v>331</v>
      </c>
      <c r="BZ913" s="2" t="s">
        <v>232</v>
      </c>
      <c r="CA913" s="2" t="s">
        <v>235</v>
      </c>
      <c r="CB913" s="2" t="s">
        <v>235</v>
      </c>
      <c r="CC913" s="2" t="s">
        <v>248</v>
      </c>
      <c r="CD913" s="2" t="s">
        <v>248</v>
      </c>
      <c r="CE913" s="2" t="s">
        <v>235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>
        <v>277</v>
      </c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>
        <v>277</v>
      </c>
      <c r="GL913" s="4">
        <v>270</v>
      </c>
      <c r="GM913" s="4">
        <v>267</v>
      </c>
      <c r="GN913" s="4">
        <v>264</v>
      </c>
      <c r="GO913" s="4">
        <v>260</v>
      </c>
      <c r="GP913" s="4">
        <v>255</v>
      </c>
      <c r="GQ913" s="4">
        <v>247</v>
      </c>
      <c r="GR913" s="4">
        <v>238</v>
      </c>
      <c r="GS913" s="4">
        <v>225</v>
      </c>
      <c r="GT913" s="4">
        <v>214</v>
      </c>
      <c r="GU913" s="4">
        <v>207</v>
      </c>
      <c r="GV913" s="4">
        <v>200</v>
      </c>
      <c r="GW913" s="4">
        <v>191</v>
      </c>
      <c r="GX913" s="4">
        <v>182</v>
      </c>
      <c r="GY913" s="4">
        <v>173</v>
      </c>
      <c r="GZ913" s="4">
        <v>162</v>
      </c>
      <c r="HA913" s="4">
        <v>151</v>
      </c>
      <c r="HB913" s="4">
        <v>140</v>
      </c>
      <c r="HC913" s="4">
        <v>129</v>
      </c>
      <c r="HD913" s="9"/>
      <c r="HE913" s="9"/>
      <c r="HF913" s="9"/>
      <c r="HG913" s="9"/>
      <c r="HH913" s="9"/>
      <c r="HI913" s="9"/>
      <c r="HJ913" s="9"/>
      <c r="HK913" s="19">
        <v>69.3</v>
      </c>
      <c r="HL913" s="19">
        <v>67.5</v>
      </c>
      <c r="HM913" s="19">
        <v>53.4</v>
      </c>
      <c r="HN913" s="19">
        <v>44</v>
      </c>
      <c r="HO913" s="19">
        <v>28.9</v>
      </c>
      <c r="HP913" s="19">
        <v>25.5</v>
      </c>
      <c r="HQ913" s="19">
        <v>24.7</v>
      </c>
      <c r="HR913" s="19">
        <v>23.8</v>
      </c>
      <c r="HS913" s="19">
        <v>28.1</v>
      </c>
      <c r="HT913" s="19">
        <v>26.8</v>
      </c>
      <c r="HU913" s="19">
        <v>25.9</v>
      </c>
      <c r="HV913" s="19">
        <v>20</v>
      </c>
      <c r="HW913" s="19">
        <v>19.1</v>
      </c>
      <c r="HX913" s="19">
        <v>18.2</v>
      </c>
      <c r="HY913" s="19">
        <v>15.7</v>
      </c>
      <c r="HZ913" s="19">
        <v>14.7</v>
      </c>
      <c r="IA913" s="19">
        <v>13.7</v>
      </c>
      <c r="IB913" s="19">
        <v>12.7</v>
      </c>
      <c r="IC913" s="19">
        <v>11.7</v>
      </c>
    </row>
    <row r="914">
      <c r="A914" s="2" t="s">
        <v>3673</v>
      </c>
      <c r="B914" s="2" t="s">
        <v>605</v>
      </c>
      <c r="C914" s="2" t="s">
        <v>324</v>
      </c>
      <c r="D914" s="2" t="s">
        <v>607</v>
      </c>
      <c r="E914" s="2" t="s">
        <v>608</v>
      </c>
      <c r="F914" s="2" t="s">
        <v>3643</v>
      </c>
      <c r="G914" s="2" t="s">
        <v>3643</v>
      </c>
      <c r="H914" s="2" t="s">
        <v>3643</v>
      </c>
      <c r="I914" s="2" t="s">
        <v>3652</v>
      </c>
      <c r="J914" s="2" t="s">
        <v>630</v>
      </c>
      <c r="K914" s="2" t="s">
        <v>316</v>
      </c>
      <c r="L914" s="3">
        <v>29</v>
      </c>
      <c r="M914" s="3">
        <v>30.45</v>
      </c>
      <c r="N914" s="3">
        <v>59.99</v>
      </c>
      <c r="O914" s="2" t="s">
        <v>232</v>
      </c>
      <c r="P914" s="2" t="s">
        <v>262</v>
      </c>
      <c r="Q914" s="2" t="s">
        <v>234</v>
      </c>
      <c r="R914" s="2" t="s">
        <v>235</v>
      </c>
      <c r="S914" s="2" t="s">
        <v>3645</v>
      </c>
      <c r="T914" s="2" t="s">
        <v>263</v>
      </c>
      <c r="U914" s="2" t="s">
        <v>264</v>
      </c>
      <c r="V914" s="2" t="s">
        <v>863</v>
      </c>
      <c r="W914" s="2" t="s">
        <v>235</v>
      </c>
      <c r="X914" s="2" t="s">
        <v>235</v>
      </c>
      <c r="Y914" s="2" t="s">
        <v>235</v>
      </c>
      <c r="Z914" s="4"/>
      <c r="AA914" s="4">
        <f>=ROUNDDOWN({0},0)</f>
      </c>
      <c r="AB914" s="5"/>
      <c r="AC914" s="2" t="s">
        <v>164</v>
      </c>
      <c r="AD914" s="4">
        <v>136</v>
      </c>
      <c r="AE914" s="4">
        <v>136</v>
      </c>
      <c r="AF914" s="6">
        <v>77</v>
      </c>
      <c r="AG914" s="6"/>
      <c r="AH914" s="7"/>
      <c r="AI914" s="4"/>
      <c r="AJ914" s="4">
        <f>=ROUNDDOWN({0},0)</f>
      </c>
      <c r="AK914" s="5"/>
      <c r="AL914" s="2" t="s">
        <v>235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235</v>
      </c>
      <c r="AW914" s="8" t="s">
        <v>235</v>
      </c>
      <c r="AX914" s="4" t="s">
        <v>235</v>
      </c>
      <c r="AY914" s="8" t="s">
        <v>235</v>
      </c>
      <c r="AZ914" s="7" t="s">
        <v>235</v>
      </c>
      <c r="BA914" s="7" t="s">
        <v>235</v>
      </c>
      <c r="BB914" s="7" t="s">
        <v>235</v>
      </c>
      <c r="BC914" s="4" t="s">
        <v>235</v>
      </c>
      <c r="BD914" s="8" t="s">
        <v>235</v>
      </c>
      <c r="BE914" s="4" t="s">
        <v>235</v>
      </c>
      <c r="BF914" s="8" t="s">
        <v>235</v>
      </c>
      <c r="BG914" s="7" t="s">
        <v>235</v>
      </c>
      <c r="BH914" s="7" t="s">
        <v>235</v>
      </c>
      <c r="BI914" s="7"/>
      <c r="BJ914" s="4"/>
      <c r="BK914" s="8"/>
      <c r="BL914" s="2" t="s">
        <v>235</v>
      </c>
      <c r="BM914" s="7"/>
      <c r="BN914" s="7"/>
      <c r="BO914" s="4"/>
      <c r="BP914" s="8"/>
      <c r="BQ914" s="4"/>
      <c r="BR914" s="8"/>
      <c r="BS914" s="7"/>
      <c r="BT914" s="7"/>
      <c r="BU914" s="2" t="s">
        <v>330</v>
      </c>
      <c r="BV914" s="2" t="s">
        <v>235</v>
      </c>
      <c r="BW914" s="2" t="s">
        <v>235</v>
      </c>
      <c r="BX914" s="2" t="s">
        <v>330</v>
      </c>
      <c r="BY914" s="2" t="s">
        <v>331</v>
      </c>
      <c r="BZ914" s="2" t="s">
        <v>232</v>
      </c>
      <c r="CA914" s="2" t="s">
        <v>235</v>
      </c>
      <c r="CB914" s="2" t="s">
        <v>235</v>
      </c>
      <c r="CC914" s="2" t="s">
        <v>248</v>
      </c>
      <c r="CD914" s="2" t="s">
        <v>248</v>
      </c>
      <c r="CE914" s="2" t="s">
        <v>235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>
        <v>136</v>
      </c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>
        <v>136</v>
      </c>
      <c r="GL914" s="4">
        <v>130</v>
      </c>
      <c r="GM914" s="4">
        <v>128</v>
      </c>
      <c r="GN914" s="4">
        <v>126</v>
      </c>
      <c r="GO914" s="4">
        <v>123</v>
      </c>
      <c r="GP914" s="4">
        <v>120</v>
      </c>
      <c r="GQ914" s="4">
        <v>115</v>
      </c>
      <c r="GR914" s="4">
        <v>110</v>
      </c>
      <c r="GS914" s="4">
        <v>103</v>
      </c>
      <c r="GT914" s="4">
        <v>97</v>
      </c>
      <c r="GU914" s="4">
        <v>93</v>
      </c>
      <c r="GV914" s="4">
        <v>89</v>
      </c>
      <c r="GW914" s="4">
        <v>84</v>
      </c>
      <c r="GX914" s="4">
        <v>79</v>
      </c>
      <c r="GY914" s="4">
        <v>74</v>
      </c>
      <c r="GZ914" s="4">
        <v>68</v>
      </c>
      <c r="HA914" s="4">
        <v>62</v>
      </c>
      <c r="HB914" s="4">
        <v>56</v>
      </c>
      <c r="HC914" s="4">
        <v>50</v>
      </c>
      <c r="HD914" s="9"/>
      <c r="HE914" s="9"/>
      <c r="HF914" s="9"/>
      <c r="HG914" s="9"/>
      <c r="HH914" s="9"/>
      <c r="HI914" s="9"/>
      <c r="HJ914" s="9"/>
      <c r="HK914" s="19">
        <v>45.3</v>
      </c>
      <c r="HL914" s="19">
        <v>65</v>
      </c>
      <c r="HM914" s="19">
        <v>42.7</v>
      </c>
      <c r="HN914" s="19">
        <v>31.5</v>
      </c>
      <c r="HO914" s="19">
        <v>24.6</v>
      </c>
      <c r="HP914" s="19">
        <v>20</v>
      </c>
      <c r="HQ914" s="19">
        <v>19.2</v>
      </c>
      <c r="HR914" s="19">
        <v>22</v>
      </c>
      <c r="HS914" s="19">
        <v>20.6</v>
      </c>
      <c r="HT914" s="19">
        <v>24.3</v>
      </c>
      <c r="HU914" s="19">
        <v>18.6</v>
      </c>
      <c r="HV914" s="19">
        <v>17.8</v>
      </c>
      <c r="HW914" s="19">
        <v>14</v>
      </c>
      <c r="HX914" s="19">
        <v>13.2</v>
      </c>
      <c r="HY914" s="19">
        <v>12.3</v>
      </c>
      <c r="HZ914" s="19">
        <v>11.3</v>
      </c>
      <c r="IA914" s="19">
        <v>10.3</v>
      </c>
      <c r="IB914" s="19">
        <v>9.3</v>
      </c>
      <c r="IC914" s="19">
        <v>8.3</v>
      </c>
    </row>
    <row r="915">
      <c r="A915" s="2" t="s">
        <v>3674</v>
      </c>
      <c r="B915" s="2" t="s">
        <v>224</v>
      </c>
      <c r="C915" s="2" t="s">
        <v>853</v>
      </c>
      <c r="D915" s="2" t="s">
        <v>361</v>
      </c>
      <c r="E915" s="2" t="s">
        <v>924</v>
      </c>
      <c r="F915" s="2" t="s">
        <v>3675</v>
      </c>
      <c r="G915" s="2" t="s">
        <v>3675</v>
      </c>
      <c r="H915" s="2" t="s">
        <v>3675</v>
      </c>
      <c r="I915" s="2" t="s">
        <v>3676</v>
      </c>
      <c r="J915" s="2" t="s">
        <v>394</v>
      </c>
      <c r="K915" s="2" t="s">
        <v>292</v>
      </c>
      <c r="L915" s="3">
        <v>37.16</v>
      </c>
      <c r="M915" s="3">
        <v>39.02</v>
      </c>
      <c r="N915" s="3">
        <v>79.99</v>
      </c>
      <c r="O915" s="2" t="s">
        <v>407</v>
      </c>
      <c r="P915" s="2" t="s">
        <v>408</v>
      </c>
      <c r="Q915" s="2" t="s">
        <v>234</v>
      </c>
      <c r="R915" s="2" t="s">
        <v>235</v>
      </c>
      <c r="S915" s="2" t="s">
        <v>3677</v>
      </c>
      <c r="T915" s="2" t="s">
        <v>501</v>
      </c>
      <c r="U915" s="2" t="s">
        <v>278</v>
      </c>
      <c r="V915" s="2" t="s">
        <v>238</v>
      </c>
      <c r="W915" s="2" t="s">
        <v>239</v>
      </c>
      <c r="X915" s="2" t="s">
        <v>235</v>
      </c>
      <c r="Y915" s="2" t="s">
        <v>3678</v>
      </c>
      <c r="Z915" s="4">
        <v>356</v>
      </c>
      <c r="AA915" s="4">
        <f>=ROUNDDOWN(356,0)</f>
      </c>
      <c r="AB915" s="5">
        <v>1</v>
      </c>
      <c r="AC915" s="2" t="s">
        <v>235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235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235</v>
      </c>
      <c r="BD915" s="8" t="s">
        <v>235</v>
      </c>
      <c r="BE915" s="4" t="s">
        <v>235</v>
      </c>
      <c r="BF915" s="8" t="s">
        <v>235</v>
      </c>
      <c r="BG915" s="7" t="s">
        <v>235</v>
      </c>
      <c r="BH915" s="7" t="s">
        <v>235</v>
      </c>
      <c r="BI915" s="7"/>
      <c r="BJ915" s="4">
        <v>13</v>
      </c>
      <c r="BK915" s="8">
        <v>538.72</v>
      </c>
      <c r="BL915" s="2" t="s">
        <v>1206</v>
      </c>
      <c r="BM915" s="7"/>
      <c r="BN915" s="7"/>
      <c r="BO915" s="4"/>
      <c r="BP915" s="8"/>
      <c r="BQ915" s="4"/>
      <c r="BR915" s="8"/>
      <c r="BS915" s="7"/>
      <c r="BT915" s="7"/>
      <c r="BU915" s="2" t="s">
        <v>3679</v>
      </c>
      <c r="BV915" s="2" t="s">
        <v>243</v>
      </c>
      <c r="BW915" s="2" t="s">
        <v>235</v>
      </c>
      <c r="BX915" s="2" t="s">
        <v>414</v>
      </c>
      <c r="BY915" s="2" t="s">
        <v>245</v>
      </c>
      <c r="BZ915" s="2" t="s">
        <v>232</v>
      </c>
      <c r="CA915" s="2" t="s">
        <v>1536</v>
      </c>
      <c r="CB915" s="2" t="s">
        <v>235</v>
      </c>
      <c r="CC915" s="2" t="s">
        <v>248</v>
      </c>
      <c r="CD915" s="2" t="s">
        <v>248</v>
      </c>
      <c r="CE915" s="2" t="s">
        <v>235</v>
      </c>
      <c r="CF915" s="4">
        <v>356</v>
      </c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>
        <v>356</v>
      </c>
      <c r="GE915" s="4">
        <v>355</v>
      </c>
      <c r="GF915" s="4">
        <v>354</v>
      </c>
      <c r="GG915" s="4">
        <v>353</v>
      </c>
      <c r="GH915" s="4">
        <v>352</v>
      </c>
      <c r="GI915" s="4">
        <v>351</v>
      </c>
      <c r="GJ915" s="4">
        <v>350</v>
      </c>
      <c r="GK915" s="4">
        <v>349</v>
      </c>
      <c r="GL915" s="4">
        <v>348</v>
      </c>
      <c r="GM915" s="4">
        <v>347</v>
      </c>
      <c r="GN915" s="4">
        <v>345</v>
      </c>
      <c r="GO915" s="4">
        <v>342</v>
      </c>
      <c r="GP915" s="4">
        <v>339</v>
      </c>
      <c r="GQ915" s="4">
        <v>334</v>
      </c>
      <c r="GR915" s="4">
        <v>331</v>
      </c>
      <c r="GS915" s="4">
        <v>328</v>
      </c>
      <c r="GT915" s="4">
        <v>326</v>
      </c>
      <c r="GU915" s="4">
        <v>325</v>
      </c>
      <c r="GV915" s="4">
        <v>324</v>
      </c>
      <c r="GW915" s="4">
        <v>323</v>
      </c>
      <c r="GX915" s="4">
        <v>322</v>
      </c>
      <c r="GY915" s="4">
        <v>321</v>
      </c>
      <c r="GZ915" s="4">
        <v>320</v>
      </c>
      <c r="HA915" s="4">
        <v>319</v>
      </c>
      <c r="HB915" s="4">
        <v>318</v>
      </c>
      <c r="HC915" s="4">
        <v>317</v>
      </c>
      <c r="HD915" s="19">
        <v>356</v>
      </c>
      <c r="HE915" s="19">
        <v>355</v>
      </c>
      <c r="HF915" s="19">
        <v>354</v>
      </c>
      <c r="HG915" s="19">
        <v>353</v>
      </c>
      <c r="HH915" s="19">
        <v>352</v>
      </c>
      <c r="HI915" s="19">
        <v>351</v>
      </c>
      <c r="HJ915" s="19">
        <v>350</v>
      </c>
      <c r="HK915" s="19">
        <v>174.5</v>
      </c>
      <c r="HL915" s="19">
        <v>174</v>
      </c>
      <c r="HM915" s="19">
        <v>115.7</v>
      </c>
      <c r="HN915" s="19">
        <v>86.3</v>
      </c>
      <c r="HO915" s="19">
        <v>85.5</v>
      </c>
      <c r="HP915" s="19">
        <v>113</v>
      </c>
      <c r="HQ915" s="19">
        <v>167</v>
      </c>
      <c r="HR915" s="19">
        <v>165.5</v>
      </c>
      <c r="HS915" s="19">
        <v>328</v>
      </c>
      <c r="HT915" s="19">
        <v>326</v>
      </c>
      <c r="HU915" s="19">
        <v>325</v>
      </c>
      <c r="HV915" s="19">
        <v>324</v>
      </c>
      <c r="HW915" s="19">
        <v>323</v>
      </c>
      <c r="HX915" s="19">
        <v>322</v>
      </c>
      <c r="HY915" s="19">
        <v>321</v>
      </c>
      <c r="HZ915" s="19">
        <v>320</v>
      </c>
      <c r="IA915" s="19">
        <v>319</v>
      </c>
      <c r="IB915" s="19">
        <v>318</v>
      </c>
      <c r="IC915" s="19">
        <v>317</v>
      </c>
    </row>
    <row r="916">
      <c r="A916" s="2" t="s">
        <v>3680</v>
      </c>
      <c r="B916" s="2" t="s">
        <v>224</v>
      </c>
      <c r="C916" s="2" t="s">
        <v>853</v>
      </c>
      <c r="D916" s="2" t="s">
        <v>361</v>
      </c>
      <c r="E916" s="2" t="s">
        <v>924</v>
      </c>
      <c r="F916" s="2" t="s">
        <v>3675</v>
      </c>
      <c r="G916" s="2" t="s">
        <v>3675</v>
      </c>
      <c r="H916" s="2" t="s">
        <v>3675</v>
      </c>
      <c r="I916" s="2" t="s">
        <v>3676</v>
      </c>
      <c r="J916" s="2" t="s">
        <v>394</v>
      </c>
      <c r="K916" s="2" t="s">
        <v>3681</v>
      </c>
      <c r="L916" s="3">
        <v>37.16</v>
      </c>
      <c r="M916" s="3">
        <v>39.02</v>
      </c>
      <c r="N916" s="3">
        <v>79.99</v>
      </c>
      <c r="O916" s="2" t="s">
        <v>407</v>
      </c>
      <c r="P916" s="2" t="s">
        <v>408</v>
      </c>
      <c r="Q916" s="2" t="s">
        <v>234</v>
      </c>
      <c r="R916" s="2" t="s">
        <v>235</v>
      </c>
      <c r="S916" s="2" t="s">
        <v>3682</v>
      </c>
      <c r="T916" s="2" t="s">
        <v>501</v>
      </c>
      <c r="U916" s="2" t="s">
        <v>278</v>
      </c>
      <c r="V916" s="2" t="s">
        <v>238</v>
      </c>
      <c r="W916" s="2" t="s">
        <v>239</v>
      </c>
      <c r="X916" s="2" t="s">
        <v>235</v>
      </c>
      <c r="Y916" s="2" t="s">
        <v>3678</v>
      </c>
      <c r="Z916" s="4">
        <v>277</v>
      </c>
      <c r="AA916" s="4">
        <f>=ROUNDDOWN(131.904761904762,0)</f>
      </c>
      <c r="AB916" s="5">
        <v>2.1</v>
      </c>
      <c r="AC916" s="2" t="s">
        <v>235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235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 t="s">
        <v>235</v>
      </c>
      <c r="BD916" s="8" t="s">
        <v>235</v>
      </c>
      <c r="BE916" s="4" t="s">
        <v>235</v>
      </c>
      <c r="BF916" s="8" t="s">
        <v>235</v>
      </c>
      <c r="BG916" s="7" t="s">
        <v>235</v>
      </c>
      <c r="BH916" s="7" t="s">
        <v>235</v>
      </c>
      <c r="BI916" s="7"/>
      <c r="BJ916" s="4">
        <v>22</v>
      </c>
      <c r="BK916" s="8">
        <v>911.68</v>
      </c>
      <c r="BL916" s="2" t="s">
        <v>1206</v>
      </c>
      <c r="BM916" s="7"/>
      <c r="BN916" s="7"/>
      <c r="BO916" s="4"/>
      <c r="BP916" s="8"/>
      <c r="BQ916" s="4"/>
      <c r="BR916" s="8"/>
      <c r="BS916" s="7"/>
      <c r="BT916" s="7"/>
      <c r="BU916" s="2" t="s">
        <v>3679</v>
      </c>
      <c r="BV916" s="2" t="s">
        <v>243</v>
      </c>
      <c r="BW916" s="2" t="s">
        <v>235</v>
      </c>
      <c r="BX916" s="2" t="s">
        <v>414</v>
      </c>
      <c r="BY916" s="2" t="s">
        <v>245</v>
      </c>
      <c r="BZ916" s="2" t="s">
        <v>232</v>
      </c>
      <c r="CA916" s="2" t="s">
        <v>1536</v>
      </c>
      <c r="CB916" s="2" t="s">
        <v>1320</v>
      </c>
      <c r="CC916" s="2" t="s">
        <v>248</v>
      </c>
      <c r="CD916" s="2" t="s">
        <v>248</v>
      </c>
      <c r="CE916" s="2" t="s">
        <v>235</v>
      </c>
      <c r="CF916" s="4">
        <v>277</v>
      </c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>
        <v>277</v>
      </c>
      <c r="GE916" s="4">
        <v>275</v>
      </c>
      <c r="GF916" s="4">
        <v>273</v>
      </c>
      <c r="GG916" s="4">
        <v>271</v>
      </c>
      <c r="GH916" s="4">
        <v>269</v>
      </c>
      <c r="GI916" s="4">
        <v>266</v>
      </c>
      <c r="GJ916" s="4">
        <v>263</v>
      </c>
      <c r="GK916" s="4">
        <v>260</v>
      </c>
      <c r="GL916" s="4">
        <v>257</v>
      </c>
      <c r="GM916" s="4">
        <v>254</v>
      </c>
      <c r="GN916" s="4">
        <v>251</v>
      </c>
      <c r="GO916" s="4">
        <v>246</v>
      </c>
      <c r="GP916" s="4">
        <v>241</v>
      </c>
      <c r="GQ916" s="4">
        <v>230</v>
      </c>
      <c r="GR916" s="4">
        <v>224</v>
      </c>
      <c r="GS916" s="4">
        <v>219</v>
      </c>
      <c r="GT916" s="4">
        <v>216</v>
      </c>
      <c r="GU916" s="4">
        <v>214</v>
      </c>
      <c r="GV916" s="4">
        <v>212</v>
      </c>
      <c r="GW916" s="4">
        <v>211</v>
      </c>
      <c r="GX916" s="4">
        <v>210</v>
      </c>
      <c r="GY916" s="4">
        <v>209</v>
      </c>
      <c r="GZ916" s="4">
        <v>208</v>
      </c>
      <c r="HA916" s="4">
        <v>206</v>
      </c>
      <c r="HB916" s="4">
        <v>204</v>
      </c>
      <c r="HC916" s="4">
        <v>202</v>
      </c>
      <c r="HD916" s="19">
        <v>138.5</v>
      </c>
      <c r="HE916" s="19">
        <v>137.5</v>
      </c>
      <c r="HF916" s="19">
        <v>136.5</v>
      </c>
      <c r="HG916" s="19">
        <v>90.3</v>
      </c>
      <c r="HH916" s="19">
        <v>89.7</v>
      </c>
      <c r="HI916" s="19">
        <v>88.7</v>
      </c>
      <c r="HJ916" s="19">
        <v>87.7</v>
      </c>
      <c r="HK916" s="19">
        <v>65</v>
      </c>
      <c r="HL916" s="19">
        <v>64.3</v>
      </c>
      <c r="HM916" s="19">
        <v>42.3</v>
      </c>
      <c r="HN916" s="19">
        <v>35.9</v>
      </c>
      <c r="HO916" s="19">
        <v>35.1</v>
      </c>
      <c r="HP916" s="19">
        <v>40.2</v>
      </c>
      <c r="HQ916" s="19">
        <v>57.5</v>
      </c>
      <c r="HR916" s="19">
        <v>74.7</v>
      </c>
      <c r="HS916" s="19">
        <v>109.5</v>
      </c>
      <c r="HT916" s="19">
        <v>108</v>
      </c>
      <c r="HU916" s="19">
        <v>214</v>
      </c>
      <c r="HV916" s="19">
        <v>212</v>
      </c>
      <c r="HW916" s="19">
        <v>211</v>
      </c>
      <c r="HX916" s="19">
        <v>105</v>
      </c>
      <c r="HY916" s="19">
        <v>104.5</v>
      </c>
      <c r="HZ916" s="19">
        <v>104</v>
      </c>
      <c r="IA916" s="19">
        <v>103</v>
      </c>
      <c r="IB916" s="19">
        <v>102</v>
      </c>
      <c r="IC916" s="19">
        <v>67.3</v>
      </c>
    </row>
    <row r="917">
      <c r="A917" s="2" t="s">
        <v>3683</v>
      </c>
      <c r="B917" s="2" t="s">
        <v>224</v>
      </c>
      <c r="C917" s="2" t="s">
        <v>853</v>
      </c>
      <c r="D917" s="2" t="s">
        <v>226</v>
      </c>
      <c r="E917" s="2" t="s">
        <v>3684</v>
      </c>
      <c r="F917" s="2" t="s">
        <v>3675</v>
      </c>
      <c r="G917" s="2" t="s">
        <v>3675</v>
      </c>
      <c r="H917" s="2" t="s">
        <v>3675</v>
      </c>
      <c r="I917" s="2" t="s">
        <v>3685</v>
      </c>
      <c r="J917" s="2" t="s">
        <v>250</v>
      </c>
      <c r="K917" s="2" t="s">
        <v>316</v>
      </c>
      <c r="L917" s="3">
        <v>26.54</v>
      </c>
      <c r="M917" s="3">
        <v>27.87</v>
      </c>
      <c r="N917" s="3">
        <v>54.99</v>
      </c>
      <c r="O917" s="2" t="s">
        <v>232</v>
      </c>
      <c r="P917" s="2" t="s">
        <v>878</v>
      </c>
      <c r="Q917" s="2" t="s">
        <v>234</v>
      </c>
      <c r="R917" s="2" t="s">
        <v>235</v>
      </c>
      <c r="S917" s="2" t="s">
        <v>3686</v>
      </c>
      <c r="T917" s="2" t="s">
        <v>879</v>
      </c>
      <c r="U917" s="2" t="s">
        <v>807</v>
      </c>
      <c r="V917" s="2" t="s">
        <v>238</v>
      </c>
      <c r="W917" s="2" t="s">
        <v>239</v>
      </c>
      <c r="X917" s="2" t="s">
        <v>235</v>
      </c>
      <c r="Y917" s="2" t="s">
        <v>2409</v>
      </c>
      <c r="Z917" s="4">
        <v>344</v>
      </c>
      <c r="AA917" s="4">
        <f>=ROUNDDOWN(34.4,0)</f>
      </c>
      <c r="AB917" s="5">
        <v>10</v>
      </c>
      <c r="AC917" s="2" t="s">
        <v>186</v>
      </c>
      <c r="AD917" s="4">
        <v>40</v>
      </c>
      <c r="AE917" s="4">
        <v>40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235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235</v>
      </c>
      <c r="BD917" s="8" t="s">
        <v>235</v>
      </c>
      <c r="BE917" s="4" t="s">
        <v>235</v>
      </c>
      <c r="BF917" s="8" t="s">
        <v>235</v>
      </c>
      <c r="BG917" s="7" t="s">
        <v>235</v>
      </c>
      <c r="BH917" s="7" t="s">
        <v>235</v>
      </c>
      <c r="BI917" s="7"/>
      <c r="BJ917" s="4">
        <v>39</v>
      </c>
      <c r="BK917" s="8">
        <v>1156.77</v>
      </c>
      <c r="BL917" s="2" t="s">
        <v>3687</v>
      </c>
      <c r="BM917" s="7"/>
      <c r="BN917" s="7"/>
      <c r="BO917" s="4"/>
      <c r="BP917" s="8"/>
      <c r="BQ917" s="4"/>
      <c r="BR917" s="8"/>
      <c r="BS917" s="7"/>
      <c r="BT917" s="7"/>
      <c r="BU917" s="2" t="s">
        <v>3688</v>
      </c>
      <c r="BV917" s="2" t="s">
        <v>243</v>
      </c>
      <c r="BW917" s="2" t="s">
        <v>235</v>
      </c>
      <c r="BX917" s="2" t="s">
        <v>244</v>
      </c>
      <c r="BY917" s="2" t="s">
        <v>245</v>
      </c>
      <c r="BZ917" s="2" t="s">
        <v>232</v>
      </c>
      <c r="CA917" s="2" t="s">
        <v>2327</v>
      </c>
      <c r="CB917" s="2" t="s">
        <v>3689</v>
      </c>
      <c r="CC917" s="2" t="s">
        <v>248</v>
      </c>
      <c r="CD917" s="2" t="s">
        <v>248</v>
      </c>
      <c r="CE917" s="2" t="s">
        <v>235</v>
      </c>
      <c r="CF917" s="4">
        <v>344</v>
      </c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>
        <v>40</v>
      </c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>
        <v>347</v>
      </c>
      <c r="GE917" s="4">
        <v>331</v>
      </c>
      <c r="GF917" s="4">
        <v>319</v>
      </c>
      <c r="GG917" s="4">
        <v>307</v>
      </c>
      <c r="GH917" s="4">
        <v>295</v>
      </c>
      <c r="GI917" s="4">
        <v>283</v>
      </c>
      <c r="GJ917" s="4">
        <v>271</v>
      </c>
      <c r="GK917" s="4">
        <v>259</v>
      </c>
      <c r="GL917" s="4">
        <v>247</v>
      </c>
      <c r="GM917" s="4">
        <v>235</v>
      </c>
      <c r="GN917" s="4">
        <v>224</v>
      </c>
      <c r="GO917" s="4">
        <v>249</v>
      </c>
      <c r="GP917" s="4">
        <v>236</v>
      </c>
      <c r="GQ917" s="4">
        <v>213</v>
      </c>
      <c r="GR917" s="4">
        <v>196</v>
      </c>
      <c r="GS917" s="4">
        <v>178</v>
      </c>
      <c r="GT917" s="4">
        <v>168</v>
      </c>
      <c r="GU917" s="4">
        <v>162</v>
      </c>
      <c r="GV917" s="4">
        <v>153</v>
      </c>
      <c r="GW917" s="4">
        <v>144</v>
      </c>
      <c r="GX917" s="4">
        <v>135</v>
      </c>
      <c r="GY917" s="4">
        <v>126</v>
      </c>
      <c r="GZ917" s="4">
        <v>117</v>
      </c>
      <c r="HA917" s="4">
        <v>108</v>
      </c>
      <c r="HB917" s="4">
        <v>99</v>
      </c>
      <c r="HC917" s="4">
        <v>139</v>
      </c>
      <c r="HD917" s="19">
        <v>26.7</v>
      </c>
      <c r="HE917" s="19">
        <v>27.6</v>
      </c>
      <c r="HF917" s="19">
        <v>26.6</v>
      </c>
      <c r="HG917" s="19">
        <v>25.6</v>
      </c>
      <c r="HH917" s="19">
        <v>24.6</v>
      </c>
      <c r="HI917" s="19">
        <v>23.6</v>
      </c>
      <c r="HJ917" s="19">
        <v>22.6</v>
      </c>
      <c r="HK917" s="19">
        <v>21.6</v>
      </c>
      <c r="HL917" s="19">
        <v>19</v>
      </c>
      <c r="HM917" s="19">
        <v>14.7</v>
      </c>
      <c r="HN917" s="19">
        <v>13.2</v>
      </c>
      <c r="HO917" s="19">
        <v>13.8</v>
      </c>
      <c r="HP917" s="19">
        <v>13.9</v>
      </c>
      <c r="HQ917" s="19">
        <v>16.4</v>
      </c>
      <c r="HR917" s="19">
        <v>17.8</v>
      </c>
      <c r="HS917" s="19">
        <v>22.3</v>
      </c>
      <c r="HT917" s="19">
        <v>21</v>
      </c>
      <c r="HU917" s="19">
        <v>18</v>
      </c>
      <c r="HV917" s="19">
        <v>17</v>
      </c>
      <c r="HW917" s="19">
        <v>16</v>
      </c>
      <c r="HX917" s="19">
        <v>15</v>
      </c>
      <c r="HY917" s="19">
        <v>14</v>
      </c>
      <c r="HZ917" s="19">
        <v>13</v>
      </c>
      <c r="IA917" s="19">
        <v>10.8</v>
      </c>
      <c r="IB917" s="19">
        <v>9.9</v>
      </c>
      <c r="IC917" s="19">
        <v>13.9</v>
      </c>
    </row>
    <row r="918">
      <c r="A918" s="2" t="s">
        <v>3690</v>
      </c>
      <c r="B918" s="2" t="s">
        <v>905</v>
      </c>
      <c r="C918" s="2" t="s">
        <v>324</v>
      </c>
      <c r="D918" s="2" t="s">
        <v>981</v>
      </c>
      <c r="E918" s="2" t="s">
        <v>982</v>
      </c>
      <c r="F918" s="2" t="s">
        <v>3691</v>
      </c>
      <c r="G918" s="2" t="s">
        <v>3691</v>
      </c>
      <c r="H918" s="2" t="s">
        <v>3691</v>
      </c>
      <c r="I918" s="2" t="s">
        <v>982</v>
      </c>
      <c r="J918" s="2" t="s">
        <v>394</v>
      </c>
      <c r="K918" s="2" t="s">
        <v>292</v>
      </c>
      <c r="L918" s="3">
        <v>18.3</v>
      </c>
      <c r="M918" s="3">
        <v>19.22</v>
      </c>
      <c r="N918" s="3">
        <v>39.99</v>
      </c>
      <c r="O918" s="2" t="s">
        <v>232</v>
      </c>
      <c r="P918" s="2" t="s">
        <v>233</v>
      </c>
      <c r="Q918" s="2" t="s">
        <v>234</v>
      </c>
      <c r="R918" s="2" t="s">
        <v>235</v>
      </c>
      <c r="S918" s="2" t="s">
        <v>3692</v>
      </c>
      <c r="T918" s="2" t="s">
        <v>879</v>
      </c>
      <c r="U918" s="2" t="s">
        <v>807</v>
      </c>
      <c r="V918" s="2" t="s">
        <v>238</v>
      </c>
      <c r="W918" s="2" t="s">
        <v>239</v>
      </c>
      <c r="X918" s="2" t="s">
        <v>235</v>
      </c>
      <c r="Y918" s="2" t="s">
        <v>3585</v>
      </c>
      <c r="Z918" s="4">
        <v>130</v>
      </c>
      <c r="AA918" s="4">
        <f>=ROUNDDOWN(86.6666666666667,0)</f>
      </c>
      <c r="AB918" s="5">
        <v>1.5</v>
      </c>
      <c r="AC918" s="2" t="s">
        <v>235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235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235</v>
      </c>
      <c r="AW918" s="8" t="s">
        <v>235</v>
      </c>
      <c r="AX918" s="4" t="s">
        <v>235</v>
      </c>
      <c r="AY918" s="8" t="s">
        <v>235</v>
      </c>
      <c r="AZ918" s="7" t="s">
        <v>235</v>
      </c>
      <c r="BA918" s="7" t="s">
        <v>235</v>
      </c>
      <c r="BB918" s="7"/>
      <c r="BC918" s="4" t="s">
        <v>235</v>
      </c>
      <c r="BD918" s="8" t="s">
        <v>235</v>
      </c>
      <c r="BE918" s="4" t="s">
        <v>235</v>
      </c>
      <c r="BF918" s="8" t="s">
        <v>235</v>
      </c>
      <c r="BG918" s="7" t="s">
        <v>235</v>
      </c>
      <c r="BH918" s="7" t="s">
        <v>235</v>
      </c>
      <c r="BI918" s="7"/>
      <c r="BJ918" s="4">
        <v>9</v>
      </c>
      <c r="BK918" s="8">
        <v>187.93</v>
      </c>
      <c r="BL918" s="2" t="s">
        <v>3693</v>
      </c>
      <c r="BM918" s="7"/>
      <c r="BN918" s="7"/>
      <c r="BO918" s="4"/>
      <c r="BP918" s="8"/>
      <c r="BQ918" s="4"/>
      <c r="BR918" s="8"/>
      <c r="BS918" s="7"/>
      <c r="BT918" s="7"/>
      <c r="BU918" s="2" t="s">
        <v>3694</v>
      </c>
      <c r="BV918" s="2" t="s">
        <v>243</v>
      </c>
      <c r="BW918" s="2" t="s">
        <v>235</v>
      </c>
      <c r="BX918" s="2" t="s">
        <v>244</v>
      </c>
      <c r="BY918" s="2" t="s">
        <v>245</v>
      </c>
      <c r="BZ918" s="2" t="s">
        <v>232</v>
      </c>
      <c r="CA918" s="2" t="s">
        <v>2743</v>
      </c>
      <c r="CB918" s="2" t="s">
        <v>1372</v>
      </c>
      <c r="CC918" s="2" t="s">
        <v>248</v>
      </c>
      <c r="CD918" s="2" t="s">
        <v>248</v>
      </c>
      <c r="CE918" s="2" t="s">
        <v>235</v>
      </c>
      <c r="CF918" s="4">
        <v>130</v>
      </c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>
        <v>132</v>
      </c>
      <c r="GE918" s="4">
        <v>129</v>
      </c>
      <c r="GF918" s="4">
        <v>128</v>
      </c>
      <c r="GG918" s="4">
        <v>127</v>
      </c>
      <c r="GH918" s="4">
        <v>126</v>
      </c>
      <c r="GI918" s="4">
        <v>125</v>
      </c>
      <c r="GJ918" s="4">
        <v>124</v>
      </c>
      <c r="GK918" s="4">
        <v>123</v>
      </c>
      <c r="GL918" s="4">
        <v>122</v>
      </c>
      <c r="GM918" s="4">
        <v>121</v>
      </c>
      <c r="GN918" s="4">
        <v>119</v>
      </c>
      <c r="GO918" s="4">
        <v>116</v>
      </c>
      <c r="GP918" s="4">
        <v>114</v>
      </c>
      <c r="GQ918" s="4">
        <v>110</v>
      </c>
      <c r="GR918" s="4">
        <v>108</v>
      </c>
      <c r="GS918" s="4">
        <v>105</v>
      </c>
      <c r="GT918" s="4">
        <v>104</v>
      </c>
      <c r="GU918" s="4">
        <v>103</v>
      </c>
      <c r="GV918" s="4">
        <v>102</v>
      </c>
      <c r="GW918" s="4">
        <v>101</v>
      </c>
      <c r="GX918" s="4">
        <v>100</v>
      </c>
      <c r="GY918" s="4">
        <v>99</v>
      </c>
      <c r="GZ918" s="4">
        <v>98</v>
      </c>
      <c r="HA918" s="4">
        <v>97</v>
      </c>
      <c r="HB918" s="4">
        <v>96</v>
      </c>
      <c r="HC918" s="4">
        <v>95</v>
      </c>
      <c r="HD918" s="19">
        <v>66</v>
      </c>
      <c r="HE918" s="19">
        <v>129</v>
      </c>
      <c r="HF918" s="19">
        <v>128</v>
      </c>
      <c r="HG918" s="19">
        <v>127</v>
      </c>
      <c r="HH918" s="19">
        <v>126</v>
      </c>
      <c r="HI918" s="19">
        <v>125</v>
      </c>
      <c r="HJ918" s="19">
        <v>124</v>
      </c>
      <c r="HK918" s="19">
        <v>61.5</v>
      </c>
      <c r="HL918" s="19">
        <v>61</v>
      </c>
      <c r="HM918" s="19">
        <v>40.3</v>
      </c>
      <c r="HN918" s="19">
        <v>39.7</v>
      </c>
      <c r="HO918" s="19">
        <v>38.7</v>
      </c>
      <c r="HP918" s="19">
        <v>57</v>
      </c>
      <c r="HQ918" s="19">
        <v>55</v>
      </c>
      <c r="HR918" s="19">
        <v>54</v>
      </c>
      <c r="HS918" s="19">
        <v>105</v>
      </c>
      <c r="HT918" s="19">
        <v>104</v>
      </c>
      <c r="HU918" s="19">
        <v>103</v>
      </c>
      <c r="HV918" s="19">
        <v>102</v>
      </c>
      <c r="HW918" s="19">
        <v>101</v>
      </c>
      <c r="HX918" s="19">
        <v>100</v>
      </c>
      <c r="HY918" s="19">
        <v>99</v>
      </c>
      <c r="HZ918" s="19">
        <v>98</v>
      </c>
      <c r="IA918" s="19">
        <v>97</v>
      </c>
      <c r="IB918" s="19">
        <v>96</v>
      </c>
      <c r="IC918" s="19">
        <v>95</v>
      </c>
    </row>
    <row r="919">
      <c r="A919" s="2" t="s">
        <v>3695</v>
      </c>
      <c r="B919" s="2" t="s">
        <v>905</v>
      </c>
      <c r="C919" s="2" t="s">
        <v>324</v>
      </c>
      <c r="D919" s="2" t="s">
        <v>981</v>
      </c>
      <c r="E919" s="2" t="s">
        <v>982</v>
      </c>
      <c r="F919" s="2" t="s">
        <v>3691</v>
      </c>
      <c r="G919" s="2" t="s">
        <v>3691</v>
      </c>
      <c r="H919" s="2" t="s">
        <v>3691</v>
      </c>
      <c r="I919" s="2" t="s">
        <v>982</v>
      </c>
      <c r="J919" s="2" t="s">
        <v>365</v>
      </c>
      <c r="K919" s="2" t="s">
        <v>292</v>
      </c>
      <c r="L919" s="3">
        <v>21.76</v>
      </c>
      <c r="M919" s="3">
        <v>22.85</v>
      </c>
      <c r="N919" s="3">
        <v>44.99</v>
      </c>
      <c r="O919" s="2" t="s">
        <v>232</v>
      </c>
      <c r="P919" s="2" t="s">
        <v>233</v>
      </c>
      <c r="Q919" s="2" t="s">
        <v>234</v>
      </c>
      <c r="R919" s="2" t="s">
        <v>235</v>
      </c>
      <c r="S919" s="2" t="s">
        <v>3692</v>
      </c>
      <c r="T919" s="2" t="s">
        <v>879</v>
      </c>
      <c r="U919" s="2" t="s">
        <v>807</v>
      </c>
      <c r="V919" s="2" t="s">
        <v>238</v>
      </c>
      <c r="W919" s="2" t="s">
        <v>239</v>
      </c>
      <c r="X919" s="2" t="s">
        <v>235</v>
      </c>
      <c r="Y919" s="2" t="s">
        <v>3585</v>
      </c>
      <c r="Z919" s="4">
        <v>417</v>
      </c>
      <c r="AA919" s="4">
        <f>=ROUNDDOWN(71.8965517241379,0)</f>
      </c>
      <c r="AB919" s="5">
        <v>5.8</v>
      </c>
      <c r="AC919" s="2" t="s">
        <v>235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235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235</v>
      </c>
      <c r="AW919" s="8" t="s">
        <v>235</v>
      </c>
      <c r="AX919" s="4" t="s">
        <v>235</v>
      </c>
      <c r="AY919" s="8" t="s">
        <v>235</v>
      </c>
      <c r="AZ919" s="7" t="s">
        <v>235</v>
      </c>
      <c r="BA919" s="7" t="s">
        <v>235</v>
      </c>
      <c r="BB919" s="7"/>
      <c r="BC919" s="4" t="s">
        <v>235</v>
      </c>
      <c r="BD919" s="8" t="s">
        <v>235</v>
      </c>
      <c r="BE919" s="4" t="s">
        <v>235</v>
      </c>
      <c r="BF919" s="8" t="s">
        <v>235</v>
      </c>
      <c r="BG919" s="7" t="s">
        <v>235</v>
      </c>
      <c r="BH919" s="7" t="s">
        <v>235</v>
      </c>
      <c r="BI919" s="7"/>
      <c r="BJ919" s="4">
        <v>15</v>
      </c>
      <c r="BK919" s="8">
        <v>377.71</v>
      </c>
      <c r="BL919" s="2" t="s">
        <v>3696</v>
      </c>
      <c r="BM919" s="7"/>
      <c r="BN919" s="7"/>
      <c r="BO919" s="4"/>
      <c r="BP919" s="8"/>
      <c r="BQ919" s="4"/>
      <c r="BR919" s="8"/>
      <c r="BS919" s="7"/>
      <c r="BT919" s="7"/>
      <c r="BU919" s="2" t="s">
        <v>3694</v>
      </c>
      <c r="BV919" s="2" t="s">
        <v>243</v>
      </c>
      <c r="BW919" s="2" t="s">
        <v>235</v>
      </c>
      <c r="BX919" s="2" t="s">
        <v>244</v>
      </c>
      <c r="BY919" s="2" t="s">
        <v>245</v>
      </c>
      <c r="BZ919" s="2" t="s">
        <v>232</v>
      </c>
      <c r="CA919" s="2" t="s">
        <v>2743</v>
      </c>
      <c r="CB919" s="2" t="s">
        <v>798</v>
      </c>
      <c r="CC919" s="2" t="s">
        <v>248</v>
      </c>
      <c r="CD919" s="2" t="s">
        <v>248</v>
      </c>
      <c r="CE919" s="2" t="s">
        <v>235</v>
      </c>
      <c r="CF919" s="4">
        <v>417</v>
      </c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>
        <v>419</v>
      </c>
      <c r="GE919" s="4">
        <v>410</v>
      </c>
      <c r="GF919" s="4">
        <v>403</v>
      </c>
      <c r="GG919" s="4">
        <v>396</v>
      </c>
      <c r="GH919" s="4">
        <v>389</v>
      </c>
      <c r="GI919" s="4">
        <v>380</v>
      </c>
      <c r="GJ919" s="4">
        <v>371</v>
      </c>
      <c r="GK919" s="4">
        <v>362</v>
      </c>
      <c r="GL919" s="4">
        <v>353</v>
      </c>
      <c r="GM919" s="4">
        <v>344</v>
      </c>
      <c r="GN919" s="4">
        <v>334</v>
      </c>
      <c r="GO919" s="4">
        <v>317</v>
      </c>
      <c r="GP919" s="4">
        <v>304</v>
      </c>
      <c r="GQ919" s="4">
        <v>273</v>
      </c>
      <c r="GR919" s="4">
        <v>260</v>
      </c>
      <c r="GS919" s="4">
        <v>241</v>
      </c>
      <c r="GT919" s="4">
        <v>232</v>
      </c>
      <c r="GU919" s="4">
        <v>229</v>
      </c>
      <c r="GV919" s="4">
        <v>224</v>
      </c>
      <c r="GW919" s="4">
        <v>219</v>
      </c>
      <c r="GX919" s="4">
        <v>214</v>
      </c>
      <c r="GY919" s="4">
        <v>209</v>
      </c>
      <c r="GZ919" s="4">
        <v>204</v>
      </c>
      <c r="HA919" s="4">
        <v>200</v>
      </c>
      <c r="HB919" s="4">
        <v>196</v>
      </c>
      <c r="HC919" s="4">
        <v>191</v>
      </c>
      <c r="HD919" s="19">
        <v>52.4</v>
      </c>
      <c r="HE919" s="19">
        <v>51.3</v>
      </c>
      <c r="HF919" s="19">
        <v>50.4</v>
      </c>
      <c r="HG919" s="19">
        <v>49.5</v>
      </c>
      <c r="HH919" s="19">
        <v>43.2</v>
      </c>
      <c r="HI919" s="19">
        <v>42.2</v>
      </c>
      <c r="HJ919" s="19">
        <v>41.2</v>
      </c>
      <c r="HK919" s="19">
        <v>32.9</v>
      </c>
      <c r="HL919" s="19">
        <v>29.4</v>
      </c>
      <c r="HM919" s="19">
        <v>19.1</v>
      </c>
      <c r="HN919" s="19">
        <v>18.6</v>
      </c>
      <c r="HO919" s="19">
        <v>16.7</v>
      </c>
      <c r="HP919" s="19">
        <v>16.9</v>
      </c>
      <c r="HQ919" s="19">
        <v>24.8</v>
      </c>
      <c r="HR919" s="19">
        <v>28.9</v>
      </c>
      <c r="HS919" s="19">
        <v>40.2</v>
      </c>
      <c r="HT919" s="19">
        <v>58</v>
      </c>
      <c r="HU919" s="19">
        <v>45.8</v>
      </c>
      <c r="HV919" s="19">
        <v>44.8</v>
      </c>
      <c r="HW919" s="19">
        <v>43.8</v>
      </c>
      <c r="HX919" s="19">
        <v>53.5</v>
      </c>
      <c r="HY919" s="19">
        <v>52.3</v>
      </c>
      <c r="HZ919" s="19">
        <v>51</v>
      </c>
      <c r="IA919" s="19">
        <v>50</v>
      </c>
      <c r="IB919" s="19">
        <v>39.2</v>
      </c>
      <c r="IC919" s="19">
        <v>38.2</v>
      </c>
    </row>
    <row r="920">
      <c r="A920" s="2" t="s">
        <v>3697</v>
      </c>
      <c r="B920" s="2" t="s">
        <v>905</v>
      </c>
      <c r="C920" s="2" t="s">
        <v>324</v>
      </c>
      <c r="D920" s="2" t="s">
        <v>981</v>
      </c>
      <c r="E920" s="2" t="s">
        <v>982</v>
      </c>
      <c r="F920" s="2" t="s">
        <v>3691</v>
      </c>
      <c r="G920" s="2" t="s">
        <v>3691</v>
      </c>
      <c r="H920" s="2" t="s">
        <v>3691</v>
      </c>
      <c r="I920" s="2" t="s">
        <v>982</v>
      </c>
      <c r="J920" s="2" t="s">
        <v>270</v>
      </c>
      <c r="K920" s="2" t="s">
        <v>292</v>
      </c>
      <c r="L920" s="3">
        <v>24.9</v>
      </c>
      <c r="M920" s="3">
        <v>26.14</v>
      </c>
      <c r="N920" s="3">
        <v>49.99</v>
      </c>
      <c r="O920" s="2" t="s">
        <v>232</v>
      </c>
      <c r="P920" s="2" t="s">
        <v>233</v>
      </c>
      <c r="Q920" s="2" t="s">
        <v>234</v>
      </c>
      <c r="R920" s="2" t="s">
        <v>235</v>
      </c>
      <c r="S920" s="2" t="s">
        <v>3692</v>
      </c>
      <c r="T920" s="2" t="s">
        <v>879</v>
      </c>
      <c r="U920" s="2" t="s">
        <v>807</v>
      </c>
      <c r="V920" s="2" t="s">
        <v>238</v>
      </c>
      <c r="W920" s="2" t="s">
        <v>239</v>
      </c>
      <c r="X920" s="2" t="s">
        <v>235</v>
      </c>
      <c r="Y920" s="2" t="s">
        <v>3585</v>
      </c>
      <c r="Z920" s="4">
        <v>336</v>
      </c>
      <c r="AA920" s="4">
        <f>=ROUNDDOWN(48,0)</f>
      </c>
      <c r="AB920" s="5">
        <v>7</v>
      </c>
      <c r="AC920" s="2" t="s">
        <v>235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235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235</v>
      </c>
      <c r="AW920" s="8" t="s">
        <v>235</v>
      </c>
      <c r="AX920" s="4" t="s">
        <v>235</v>
      </c>
      <c r="AY920" s="8" t="s">
        <v>235</v>
      </c>
      <c r="AZ920" s="7" t="s">
        <v>235</v>
      </c>
      <c r="BA920" s="7" t="s">
        <v>235</v>
      </c>
      <c r="BB920" s="7"/>
      <c r="BC920" s="4" t="s">
        <v>235</v>
      </c>
      <c r="BD920" s="8" t="s">
        <v>235</v>
      </c>
      <c r="BE920" s="4" t="s">
        <v>235</v>
      </c>
      <c r="BF920" s="8" t="s">
        <v>235</v>
      </c>
      <c r="BG920" s="7" t="s">
        <v>235</v>
      </c>
      <c r="BH920" s="7" t="s">
        <v>235</v>
      </c>
      <c r="BI920" s="7"/>
      <c r="BJ920" s="4">
        <v>9</v>
      </c>
      <c r="BK920" s="8">
        <v>252.23</v>
      </c>
      <c r="BL920" s="2" t="s">
        <v>529</v>
      </c>
      <c r="BM920" s="7"/>
      <c r="BN920" s="7"/>
      <c r="BO920" s="4"/>
      <c r="BP920" s="8"/>
      <c r="BQ920" s="4"/>
      <c r="BR920" s="8"/>
      <c r="BS920" s="7"/>
      <c r="BT920" s="7"/>
      <c r="BU920" s="2" t="s">
        <v>3694</v>
      </c>
      <c r="BV920" s="2" t="s">
        <v>243</v>
      </c>
      <c r="BW920" s="2" t="s">
        <v>235</v>
      </c>
      <c r="BX920" s="2" t="s">
        <v>244</v>
      </c>
      <c r="BY920" s="2" t="s">
        <v>245</v>
      </c>
      <c r="BZ920" s="2" t="s">
        <v>232</v>
      </c>
      <c r="CA920" s="2" t="s">
        <v>2743</v>
      </c>
      <c r="CB920" s="2" t="s">
        <v>3698</v>
      </c>
      <c r="CC920" s="2" t="s">
        <v>248</v>
      </c>
      <c r="CD920" s="2" t="s">
        <v>248</v>
      </c>
      <c r="CE920" s="2" t="s">
        <v>235</v>
      </c>
      <c r="CF920" s="4">
        <v>336</v>
      </c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>
        <v>338</v>
      </c>
      <c r="GE920" s="4">
        <v>330</v>
      </c>
      <c r="GF920" s="4">
        <v>322</v>
      </c>
      <c r="GG920" s="4">
        <v>314</v>
      </c>
      <c r="GH920" s="4">
        <v>306</v>
      </c>
      <c r="GI920" s="4">
        <v>296</v>
      </c>
      <c r="GJ920" s="4">
        <v>286</v>
      </c>
      <c r="GK920" s="4">
        <v>276</v>
      </c>
      <c r="GL920" s="4">
        <v>266</v>
      </c>
      <c r="GM920" s="4">
        <v>256</v>
      </c>
      <c r="GN920" s="4">
        <v>244</v>
      </c>
      <c r="GO920" s="4">
        <v>225</v>
      </c>
      <c r="GP920" s="4">
        <v>205</v>
      </c>
      <c r="GQ920" s="4">
        <v>169</v>
      </c>
      <c r="GR920" s="4">
        <v>151</v>
      </c>
      <c r="GS920" s="4">
        <v>130</v>
      </c>
      <c r="GT920" s="4">
        <v>123</v>
      </c>
      <c r="GU920" s="4">
        <v>121</v>
      </c>
      <c r="GV920" s="4">
        <v>115</v>
      </c>
      <c r="GW920" s="4">
        <v>109</v>
      </c>
      <c r="GX920" s="4">
        <v>103</v>
      </c>
      <c r="GY920" s="4">
        <v>97</v>
      </c>
      <c r="GZ920" s="4">
        <v>91</v>
      </c>
      <c r="HA920" s="4">
        <v>85</v>
      </c>
      <c r="HB920" s="4">
        <v>79</v>
      </c>
      <c r="HC920" s="4">
        <v>72</v>
      </c>
      <c r="HD920" s="19">
        <v>42.3</v>
      </c>
      <c r="HE920" s="19">
        <v>41.3</v>
      </c>
      <c r="HF920" s="19">
        <v>35.8</v>
      </c>
      <c r="HG920" s="19">
        <v>31.4</v>
      </c>
      <c r="HH920" s="19">
        <v>30.6</v>
      </c>
      <c r="HI920" s="19">
        <v>29.6</v>
      </c>
      <c r="HJ920" s="19">
        <v>28.6</v>
      </c>
      <c r="HK920" s="19">
        <v>21.2</v>
      </c>
      <c r="HL920" s="19">
        <v>17.7</v>
      </c>
      <c r="HM920" s="19">
        <v>11.6</v>
      </c>
      <c r="HN920" s="19">
        <v>10.6</v>
      </c>
      <c r="HO920" s="19">
        <v>9.4</v>
      </c>
      <c r="HP920" s="19">
        <v>10.3</v>
      </c>
      <c r="HQ920" s="19">
        <v>14.1</v>
      </c>
      <c r="HR920" s="19">
        <v>16.8</v>
      </c>
      <c r="HS920" s="19">
        <v>26</v>
      </c>
      <c r="HT920" s="19">
        <v>24.6</v>
      </c>
      <c r="HU920" s="19">
        <v>20.2</v>
      </c>
      <c r="HV920" s="19">
        <v>19.2</v>
      </c>
      <c r="HW920" s="19">
        <v>18.2</v>
      </c>
      <c r="HX920" s="19">
        <v>17.2</v>
      </c>
      <c r="HY920" s="19">
        <v>16.2</v>
      </c>
      <c r="HZ920" s="19">
        <v>15.2</v>
      </c>
      <c r="IA920" s="19">
        <v>14.2</v>
      </c>
      <c r="IB920" s="19">
        <v>11.3</v>
      </c>
      <c r="IC920" s="19">
        <v>10.3</v>
      </c>
    </row>
    <row r="921">
      <c r="A921" s="2" t="s">
        <v>3699</v>
      </c>
      <c r="B921" s="2" t="s">
        <v>905</v>
      </c>
      <c r="C921" s="2" t="s">
        <v>324</v>
      </c>
      <c r="D921" s="2" t="s">
        <v>981</v>
      </c>
      <c r="E921" s="2" t="s">
        <v>982</v>
      </c>
      <c r="F921" s="2" t="s">
        <v>3691</v>
      </c>
      <c r="G921" s="2" t="s">
        <v>3691</v>
      </c>
      <c r="H921" s="2" t="s">
        <v>3691</v>
      </c>
      <c r="I921" s="2" t="s">
        <v>982</v>
      </c>
      <c r="J921" s="2" t="s">
        <v>394</v>
      </c>
      <c r="K921" s="2" t="s">
        <v>3700</v>
      </c>
      <c r="L921" s="3">
        <v>18.3</v>
      </c>
      <c r="M921" s="3">
        <v>19.22</v>
      </c>
      <c r="N921" s="3">
        <v>39.99</v>
      </c>
      <c r="O921" s="2" t="s">
        <v>232</v>
      </c>
      <c r="P921" s="2" t="s">
        <v>233</v>
      </c>
      <c r="Q921" s="2" t="s">
        <v>234</v>
      </c>
      <c r="R921" s="2" t="s">
        <v>235</v>
      </c>
      <c r="S921" s="2" t="s">
        <v>3701</v>
      </c>
      <c r="T921" s="2" t="s">
        <v>879</v>
      </c>
      <c r="U921" s="2" t="s">
        <v>807</v>
      </c>
      <c r="V921" s="2" t="s">
        <v>238</v>
      </c>
      <c r="W921" s="2" t="s">
        <v>239</v>
      </c>
      <c r="X921" s="2" t="s">
        <v>235</v>
      </c>
      <c r="Y921" s="2" t="s">
        <v>3585</v>
      </c>
      <c r="Z921" s="4">
        <v>166</v>
      </c>
      <c r="AA921" s="4">
        <f>=ROUNDDOWN(42.5641025641026,0)</f>
      </c>
      <c r="AB921" s="5">
        <v>3.9</v>
      </c>
      <c r="AC921" s="2" t="s">
        <v>235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235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235</v>
      </c>
      <c r="AW921" s="8" t="s">
        <v>235</v>
      </c>
      <c r="AX921" s="4" t="s">
        <v>235</v>
      </c>
      <c r="AY921" s="8" t="s">
        <v>235</v>
      </c>
      <c r="AZ921" s="7" t="s">
        <v>235</v>
      </c>
      <c r="BA921" s="7" t="s">
        <v>235</v>
      </c>
      <c r="BB921" s="7"/>
      <c r="BC921" s="4" t="s">
        <v>235</v>
      </c>
      <c r="BD921" s="8" t="s">
        <v>235</v>
      </c>
      <c r="BE921" s="4" t="s">
        <v>235</v>
      </c>
      <c r="BF921" s="8" t="s">
        <v>235</v>
      </c>
      <c r="BG921" s="7" t="s">
        <v>235</v>
      </c>
      <c r="BH921" s="7" t="s">
        <v>235</v>
      </c>
      <c r="BI921" s="7"/>
      <c r="BJ921" s="4">
        <v>21</v>
      </c>
      <c r="BK921" s="8">
        <v>447.38</v>
      </c>
      <c r="BL921" s="2" t="s">
        <v>3702</v>
      </c>
      <c r="BM921" s="7"/>
      <c r="BN921" s="7"/>
      <c r="BO921" s="4"/>
      <c r="BP921" s="8"/>
      <c r="BQ921" s="4"/>
      <c r="BR921" s="8"/>
      <c r="BS921" s="7"/>
      <c r="BT921" s="7"/>
      <c r="BU921" s="2" t="s">
        <v>3694</v>
      </c>
      <c r="BV921" s="2" t="s">
        <v>243</v>
      </c>
      <c r="BW921" s="2" t="s">
        <v>235</v>
      </c>
      <c r="BX921" s="2" t="s">
        <v>244</v>
      </c>
      <c r="BY921" s="2" t="s">
        <v>245</v>
      </c>
      <c r="BZ921" s="2" t="s">
        <v>232</v>
      </c>
      <c r="CA921" s="2" t="s">
        <v>2743</v>
      </c>
      <c r="CB921" s="2" t="s">
        <v>1873</v>
      </c>
      <c r="CC921" s="2" t="s">
        <v>248</v>
      </c>
      <c r="CD921" s="2" t="s">
        <v>248</v>
      </c>
      <c r="CE921" s="2" t="s">
        <v>235</v>
      </c>
      <c r="CF921" s="4">
        <v>166</v>
      </c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>
        <v>166</v>
      </c>
      <c r="GE921" s="4">
        <v>162</v>
      </c>
      <c r="GF921" s="4">
        <v>158</v>
      </c>
      <c r="GG921" s="4">
        <v>154</v>
      </c>
      <c r="GH921" s="4">
        <v>150</v>
      </c>
      <c r="GI921" s="4">
        <v>145</v>
      </c>
      <c r="GJ921" s="4">
        <v>140</v>
      </c>
      <c r="GK921" s="4">
        <v>135</v>
      </c>
      <c r="GL921" s="4">
        <v>130</v>
      </c>
      <c r="GM921" s="4">
        <v>125</v>
      </c>
      <c r="GN921" s="4">
        <v>119</v>
      </c>
      <c r="GO921" s="4">
        <v>109</v>
      </c>
      <c r="GP921" s="4">
        <v>101</v>
      </c>
      <c r="GQ921" s="4">
        <v>85</v>
      </c>
      <c r="GR921" s="4">
        <v>76</v>
      </c>
      <c r="GS921" s="4">
        <v>66</v>
      </c>
      <c r="GT921" s="4">
        <v>63</v>
      </c>
      <c r="GU921" s="4">
        <v>61</v>
      </c>
      <c r="GV921" s="4">
        <v>57</v>
      </c>
      <c r="GW921" s="4">
        <v>54</v>
      </c>
      <c r="GX921" s="4">
        <v>51</v>
      </c>
      <c r="GY921" s="4">
        <v>48</v>
      </c>
      <c r="GZ921" s="4">
        <v>45</v>
      </c>
      <c r="HA921" s="4">
        <v>41</v>
      </c>
      <c r="HB921" s="4">
        <v>37</v>
      </c>
      <c r="HC921" s="4">
        <v>33</v>
      </c>
      <c r="HD921" s="19">
        <v>41.5</v>
      </c>
      <c r="HE921" s="19">
        <v>40.5</v>
      </c>
      <c r="HF921" s="19">
        <v>39.5</v>
      </c>
      <c r="HG921" s="19">
        <v>30.8</v>
      </c>
      <c r="HH921" s="19">
        <v>30</v>
      </c>
      <c r="HI921" s="19">
        <v>29</v>
      </c>
      <c r="HJ921" s="19">
        <v>28</v>
      </c>
      <c r="HK921" s="19">
        <v>22.5</v>
      </c>
      <c r="HL921" s="19">
        <v>18.6</v>
      </c>
      <c r="HM921" s="19">
        <v>12.5</v>
      </c>
      <c r="HN921" s="19">
        <v>10.8</v>
      </c>
      <c r="HO921" s="19">
        <v>9.9</v>
      </c>
      <c r="HP921" s="19">
        <v>10.1</v>
      </c>
      <c r="HQ921" s="19">
        <v>14.2</v>
      </c>
      <c r="HR921" s="19">
        <v>15.2</v>
      </c>
      <c r="HS921" s="19">
        <v>22</v>
      </c>
      <c r="HT921" s="19">
        <v>21</v>
      </c>
      <c r="HU921" s="19">
        <v>20.3</v>
      </c>
      <c r="HV921" s="19">
        <v>19</v>
      </c>
      <c r="HW921" s="19">
        <v>18</v>
      </c>
      <c r="HX921" s="19">
        <v>12.8</v>
      </c>
      <c r="HY921" s="19">
        <v>12</v>
      </c>
      <c r="HZ921" s="19">
        <v>11.3</v>
      </c>
      <c r="IA921" s="19">
        <v>10.3</v>
      </c>
      <c r="IB921" s="19">
        <v>9.3</v>
      </c>
      <c r="IC921" s="19">
        <v>8.3</v>
      </c>
    </row>
    <row r="922">
      <c r="A922" s="2" t="s">
        <v>3703</v>
      </c>
      <c r="B922" s="2" t="s">
        <v>905</v>
      </c>
      <c r="C922" s="2" t="s">
        <v>324</v>
      </c>
      <c r="D922" s="2" t="s">
        <v>981</v>
      </c>
      <c r="E922" s="2" t="s">
        <v>982</v>
      </c>
      <c r="F922" s="2" t="s">
        <v>3691</v>
      </c>
      <c r="G922" s="2" t="s">
        <v>3691</v>
      </c>
      <c r="H922" s="2" t="s">
        <v>3691</v>
      </c>
      <c r="I922" s="2" t="s">
        <v>982</v>
      </c>
      <c r="J922" s="2" t="s">
        <v>365</v>
      </c>
      <c r="K922" s="2" t="s">
        <v>3700</v>
      </c>
      <c r="L922" s="3">
        <v>21.76</v>
      </c>
      <c r="M922" s="3">
        <v>22.85</v>
      </c>
      <c r="N922" s="3">
        <v>44.99</v>
      </c>
      <c r="O922" s="2" t="s">
        <v>232</v>
      </c>
      <c r="P922" s="2" t="s">
        <v>233</v>
      </c>
      <c r="Q922" s="2" t="s">
        <v>234</v>
      </c>
      <c r="R922" s="2" t="s">
        <v>235</v>
      </c>
      <c r="S922" s="2" t="s">
        <v>3701</v>
      </c>
      <c r="T922" s="2" t="s">
        <v>879</v>
      </c>
      <c r="U922" s="2" t="s">
        <v>807</v>
      </c>
      <c r="V922" s="2" t="s">
        <v>238</v>
      </c>
      <c r="W922" s="2" t="s">
        <v>239</v>
      </c>
      <c r="X922" s="2" t="s">
        <v>235</v>
      </c>
      <c r="Y922" s="2" t="s">
        <v>3585</v>
      </c>
      <c r="Z922" s="4">
        <v>589</v>
      </c>
      <c r="AA922" s="4">
        <f>=ROUNDDOWN(111.132075471698,0)</f>
      </c>
      <c r="AB922" s="5">
        <v>5.3</v>
      </c>
      <c r="AC922" s="2" t="s">
        <v>235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235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235</v>
      </c>
      <c r="AW922" s="8" t="s">
        <v>235</v>
      </c>
      <c r="AX922" s="4" t="s">
        <v>235</v>
      </c>
      <c r="AY922" s="8" t="s">
        <v>235</v>
      </c>
      <c r="AZ922" s="7" t="s">
        <v>235</v>
      </c>
      <c r="BA922" s="7" t="s">
        <v>235</v>
      </c>
      <c r="BB922" s="7"/>
      <c r="BC922" s="4" t="s">
        <v>235</v>
      </c>
      <c r="BD922" s="8" t="s">
        <v>235</v>
      </c>
      <c r="BE922" s="4" t="s">
        <v>235</v>
      </c>
      <c r="BF922" s="8" t="s">
        <v>235</v>
      </c>
      <c r="BG922" s="7" t="s">
        <v>235</v>
      </c>
      <c r="BH922" s="7" t="s">
        <v>235</v>
      </c>
      <c r="BI922" s="7"/>
      <c r="BJ922" s="4">
        <v>24</v>
      </c>
      <c r="BK922" s="8">
        <v>607.99</v>
      </c>
      <c r="BL922" s="2" t="s">
        <v>3704</v>
      </c>
      <c r="BM922" s="7"/>
      <c r="BN922" s="7"/>
      <c r="BO922" s="4"/>
      <c r="BP922" s="8"/>
      <c r="BQ922" s="4"/>
      <c r="BR922" s="8"/>
      <c r="BS922" s="7"/>
      <c r="BT922" s="7"/>
      <c r="BU922" s="2" t="s">
        <v>3694</v>
      </c>
      <c r="BV922" s="2" t="s">
        <v>243</v>
      </c>
      <c r="BW922" s="2" t="s">
        <v>235</v>
      </c>
      <c r="BX922" s="2" t="s">
        <v>244</v>
      </c>
      <c r="BY922" s="2" t="s">
        <v>245</v>
      </c>
      <c r="BZ922" s="2" t="s">
        <v>232</v>
      </c>
      <c r="CA922" s="2" t="s">
        <v>2743</v>
      </c>
      <c r="CB922" s="2" t="s">
        <v>3705</v>
      </c>
      <c r="CC922" s="2" t="s">
        <v>248</v>
      </c>
      <c r="CD922" s="2" t="s">
        <v>248</v>
      </c>
      <c r="CE922" s="2" t="s">
        <v>235</v>
      </c>
      <c r="CF922" s="4">
        <v>589</v>
      </c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>
        <v>590</v>
      </c>
      <c r="GE922" s="4">
        <v>583</v>
      </c>
      <c r="GF922" s="4">
        <v>576</v>
      </c>
      <c r="GG922" s="4">
        <v>569</v>
      </c>
      <c r="GH922" s="4">
        <v>562</v>
      </c>
      <c r="GI922" s="4">
        <v>553</v>
      </c>
      <c r="GJ922" s="4">
        <v>544</v>
      </c>
      <c r="GK922" s="4">
        <v>535</v>
      </c>
      <c r="GL922" s="4">
        <v>526</v>
      </c>
      <c r="GM922" s="4">
        <v>517</v>
      </c>
      <c r="GN922" s="4">
        <v>507</v>
      </c>
      <c r="GO922" s="4">
        <v>490</v>
      </c>
      <c r="GP922" s="4">
        <v>477</v>
      </c>
      <c r="GQ922" s="4">
        <v>446</v>
      </c>
      <c r="GR922" s="4">
        <v>433</v>
      </c>
      <c r="GS922" s="4">
        <v>414</v>
      </c>
      <c r="GT922" s="4">
        <v>405</v>
      </c>
      <c r="GU922" s="4">
        <v>402</v>
      </c>
      <c r="GV922" s="4">
        <v>397</v>
      </c>
      <c r="GW922" s="4">
        <v>392</v>
      </c>
      <c r="GX922" s="4">
        <v>387</v>
      </c>
      <c r="GY922" s="4">
        <v>382</v>
      </c>
      <c r="GZ922" s="4">
        <v>377</v>
      </c>
      <c r="HA922" s="4">
        <v>373</v>
      </c>
      <c r="HB922" s="4">
        <v>369</v>
      </c>
      <c r="HC922" s="4">
        <v>364</v>
      </c>
      <c r="HD922" s="19">
        <v>84.3</v>
      </c>
      <c r="HE922" s="19">
        <v>72.9</v>
      </c>
      <c r="HF922" s="19">
        <v>72</v>
      </c>
      <c r="HG922" s="19">
        <v>71.1</v>
      </c>
      <c r="HH922" s="19">
        <v>62.4</v>
      </c>
      <c r="HI922" s="19">
        <v>61.4</v>
      </c>
      <c r="HJ922" s="19">
        <v>60.4</v>
      </c>
      <c r="HK922" s="19">
        <v>48.6</v>
      </c>
      <c r="HL922" s="19">
        <v>43.8</v>
      </c>
      <c r="HM922" s="19">
        <v>28.7</v>
      </c>
      <c r="HN922" s="19">
        <v>28.2</v>
      </c>
      <c r="HO922" s="19">
        <v>25.8</v>
      </c>
      <c r="HP922" s="19">
        <v>26.5</v>
      </c>
      <c r="HQ922" s="19">
        <v>40.5</v>
      </c>
      <c r="HR922" s="19">
        <v>48.1</v>
      </c>
      <c r="HS922" s="19">
        <v>69</v>
      </c>
      <c r="HT922" s="19">
        <v>101.3</v>
      </c>
      <c r="HU922" s="19">
        <v>80.4</v>
      </c>
      <c r="HV922" s="19">
        <v>79.4</v>
      </c>
      <c r="HW922" s="19">
        <v>78.4</v>
      </c>
      <c r="HX922" s="19">
        <v>96.8</v>
      </c>
      <c r="HY922" s="19">
        <v>95.5</v>
      </c>
      <c r="HZ922" s="19">
        <v>94.3</v>
      </c>
      <c r="IA922" s="19">
        <v>93.3</v>
      </c>
      <c r="IB922" s="19">
        <v>73.8</v>
      </c>
      <c r="IC922" s="19">
        <v>72.8</v>
      </c>
    </row>
    <row r="923">
      <c r="A923" s="2" t="s">
        <v>3706</v>
      </c>
      <c r="B923" s="2" t="s">
        <v>905</v>
      </c>
      <c r="C923" s="2" t="s">
        <v>324</v>
      </c>
      <c r="D923" s="2" t="s">
        <v>981</v>
      </c>
      <c r="E923" s="2" t="s">
        <v>982</v>
      </c>
      <c r="F923" s="2" t="s">
        <v>3691</v>
      </c>
      <c r="G923" s="2" t="s">
        <v>3691</v>
      </c>
      <c r="H923" s="2" t="s">
        <v>3691</v>
      </c>
      <c r="I923" s="2" t="s">
        <v>982</v>
      </c>
      <c r="J923" s="2" t="s">
        <v>270</v>
      </c>
      <c r="K923" s="2" t="s">
        <v>3700</v>
      </c>
      <c r="L923" s="3">
        <v>24.9</v>
      </c>
      <c r="M923" s="3">
        <v>26.14</v>
      </c>
      <c r="N923" s="3">
        <v>49.99</v>
      </c>
      <c r="O923" s="2" t="s">
        <v>232</v>
      </c>
      <c r="P923" s="2" t="s">
        <v>233</v>
      </c>
      <c r="Q923" s="2" t="s">
        <v>234</v>
      </c>
      <c r="R923" s="2" t="s">
        <v>235</v>
      </c>
      <c r="S923" s="2" t="s">
        <v>3701</v>
      </c>
      <c r="T923" s="2" t="s">
        <v>879</v>
      </c>
      <c r="U923" s="2" t="s">
        <v>807</v>
      </c>
      <c r="V923" s="2" t="s">
        <v>238</v>
      </c>
      <c r="W923" s="2" t="s">
        <v>239</v>
      </c>
      <c r="X923" s="2" t="s">
        <v>235</v>
      </c>
      <c r="Y923" s="2" t="s">
        <v>3585</v>
      </c>
      <c r="Z923" s="4">
        <v>426</v>
      </c>
      <c r="AA923" s="4">
        <f>=ROUNDDOWN(71,0)</f>
      </c>
      <c r="AB923" s="5">
        <v>6</v>
      </c>
      <c r="AC923" s="2" t="s">
        <v>235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235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235</v>
      </c>
      <c r="AW923" s="8" t="s">
        <v>235</v>
      </c>
      <c r="AX923" s="4" t="s">
        <v>235</v>
      </c>
      <c r="AY923" s="8" t="s">
        <v>235</v>
      </c>
      <c r="AZ923" s="7" t="s">
        <v>235</v>
      </c>
      <c r="BA923" s="7" t="s">
        <v>235</v>
      </c>
      <c r="BB923" s="7"/>
      <c r="BC923" s="4" t="s">
        <v>235</v>
      </c>
      <c r="BD923" s="8" t="s">
        <v>235</v>
      </c>
      <c r="BE923" s="4" t="s">
        <v>235</v>
      </c>
      <c r="BF923" s="8" t="s">
        <v>235</v>
      </c>
      <c r="BG923" s="7" t="s">
        <v>235</v>
      </c>
      <c r="BH923" s="7" t="s">
        <v>235</v>
      </c>
      <c r="BI923" s="7"/>
      <c r="BJ923" s="4">
        <v>18</v>
      </c>
      <c r="BK923" s="8">
        <v>509.52</v>
      </c>
      <c r="BL923" s="2" t="s">
        <v>3707</v>
      </c>
      <c r="BM923" s="7"/>
      <c r="BN923" s="7"/>
      <c r="BO923" s="4"/>
      <c r="BP923" s="8"/>
      <c r="BQ923" s="4"/>
      <c r="BR923" s="8"/>
      <c r="BS923" s="7"/>
      <c r="BT923" s="7"/>
      <c r="BU923" s="2" t="s">
        <v>3694</v>
      </c>
      <c r="BV923" s="2" t="s">
        <v>243</v>
      </c>
      <c r="BW923" s="2" t="s">
        <v>235</v>
      </c>
      <c r="BX923" s="2" t="s">
        <v>244</v>
      </c>
      <c r="BY923" s="2" t="s">
        <v>245</v>
      </c>
      <c r="BZ923" s="2" t="s">
        <v>232</v>
      </c>
      <c r="CA923" s="2" t="s">
        <v>2743</v>
      </c>
      <c r="CB923" s="2" t="s">
        <v>1034</v>
      </c>
      <c r="CC923" s="2" t="s">
        <v>248</v>
      </c>
      <c r="CD923" s="2" t="s">
        <v>248</v>
      </c>
      <c r="CE923" s="2" t="s">
        <v>235</v>
      </c>
      <c r="CF923" s="4">
        <v>426</v>
      </c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>
        <v>430</v>
      </c>
      <c r="GE923" s="4">
        <v>406</v>
      </c>
      <c r="GF923" s="4">
        <v>400</v>
      </c>
      <c r="GG923" s="4">
        <v>394</v>
      </c>
      <c r="GH923" s="4">
        <v>388</v>
      </c>
      <c r="GI923" s="4">
        <v>380</v>
      </c>
      <c r="GJ923" s="4">
        <v>371</v>
      </c>
      <c r="GK923" s="4">
        <v>362</v>
      </c>
      <c r="GL923" s="4">
        <v>353</v>
      </c>
      <c r="GM923" s="4">
        <v>344</v>
      </c>
      <c r="GN923" s="4">
        <v>335</v>
      </c>
      <c r="GO923" s="4">
        <v>322</v>
      </c>
      <c r="GP923" s="4">
        <v>309</v>
      </c>
      <c r="GQ923" s="4">
        <v>287</v>
      </c>
      <c r="GR923" s="4">
        <v>275</v>
      </c>
      <c r="GS923" s="4">
        <v>261</v>
      </c>
      <c r="GT923" s="4">
        <v>255</v>
      </c>
      <c r="GU923" s="4">
        <v>252</v>
      </c>
      <c r="GV923" s="4">
        <v>246</v>
      </c>
      <c r="GW923" s="4">
        <v>241</v>
      </c>
      <c r="GX923" s="4">
        <v>236</v>
      </c>
      <c r="GY923" s="4">
        <v>231</v>
      </c>
      <c r="GZ923" s="4">
        <v>226</v>
      </c>
      <c r="HA923" s="4">
        <v>220</v>
      </c>
      <c r="HB923" s="4">
        <v>214</v>
      </c>
      <c r="HC923" s="4">
        <v>208</v>
      </c>
      <c r="HD923" s="19">
        <v>43</v>
      </c>
      <c r="HE923" s="19">
        <v>67.7</v>
      </c>
      <c r="HF923" s="19">
        <v>57.1</v>
      </c>
      <c r="HG923" s="19">
        <v>49.3</v>
      </c>
      <c r="HH923" s="19">
        <v>43.1</v>
      </c>
      <c r="HI923" s="19">
        <v>42.2</v>
      </c>
      <c r="HJ923" s="19">
        <v>41.2</v>
      </c>
      <c r="HK923" s="19">
        <v>36.2</v>
      </c>
      <c r="HL923" s="19">
        <v>32.1</v>
      </c>
      <c r="HM923" s="19">
        <v>24.6</v>
      </c>
      <c r="HN923" s="19">
        <v>22.3</v>
      </c>
      <c r="HO923" s="19">
        <v>21.5</v>
      </c>
      <c r="HP923" s="19">
        <v>22.1</v>
      </c>
      <c r="HQ923" s="19">
        <v>31.9</v>
      </c>
      <c r="HR923" s="19">
        <v>39.3</v>
      </c>
      <c r="HS923" s="19">
        <v>52.2</v>
      </c>
      <c r="HT923" s="19">
        <v>51</v>
      </c>
      <c r="HU923" s="19">
        <v>50.4</v>
      </c>
      <c r="HV923" s="19">
        <v>49.2</v>
      </c>
      <c r="HW923" s="19">
        <v>48.2</v>
      </c>
      <c r="HX923" s="19">
        <v>39.3</v>
      </c>
      <c r="HY923" s="19">
        <v>38.5</v>
      </c>
      <c r="HZ923" s="19">
        <v>37.7</v>
      </c>
      <c r="IA923" s="19">
        <v>36.7</v>
      </c>
      <c r="IB923" s="19">
        <v>35.7</v>
      </c>
      <c r="IC923" s="19">
        <v>29.7</v>
      </c>
    </row>
    <row r="924">
      <c r="A924" s="2" t="s">
        <v>3708</v>
      </c>
      <c r="B924" s="2" t="s">
        <v>905</v>
      </c>
      <c r="C924" s="2" t="s">
        <v>324</v>
      </c>
      <c r="D924" s="2" t="s">
        <v>981</v>
      </c>
      <c r="E924" s="2" t="s">
        <v>982</v>
      </c>
      <c r="F924" s="2" t="s">
        <v>3691</v>
      </c>
      <c r="G924" s="2" t="s">
        <v>3691</v>
      </c>
      <c r="H924" s="2" t="s">
        <v>3691</v>
      </c>
      <c r="I924" s="2" t="s">
        <v>982</v>
      </c>
      <c r="J924" s="2" t="s">
        <v>365</v>
      </c>
      <c r="K924" s="2" t="s">
        <v>2029</v>
      </c>
      <c r="L924" s="3">
        <v>21.76</v>
      </c>
      <c r="M924" s="3">
        <v>22.85</v>
      </c>
      <c r="N924" s="3">
        <v>44.99</v>
      </c>
      <c r="O924" s="2" t="s">
        <v>232</v>
      </c>
      <c r="P924" s="2" t="s">
        <v>233</v>
      </c>
      <c r="Q924" s="2" t="s">
        <v>234</v>
      </c>
      <c r="R924" s="2" t="s">
        <v>235</v>
      </c>
      <c r="S924" s="2" t="s">
        <v>3709</v>
      </c>
      <c r="T924" s="2" t="s">
        <v>879</v>
      </c>
      <c r="U924" s="2" t="s">
        <v>807</v>
      </c>
      <c r="V924" s="2" t="s">
        <v>238</v>
      </c>
      <c r="W924" s="2" t="s">
        <v>239</v>
      </c>
      <c r="X924" s="2" t="s">
        <v>235</v>
      </c>
      <c r="Y924" s="2" t="s">
        <v>2740</v>
      </c>
      <c r="Z924" s="4">
        <v>470</v>
      </c>
      <c r="AA924" s="4">
        <f>=ROUNDDOWN(60.2564102564103,0)</f>
      </c>
      <c r="AB924" s="5">
        <v>7.8</v>
      </c>
      <c r="AC924" s="2" t="s">
        <v>235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235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235</v>
      </c>
      <c r="AW924" s="8" t="s">
        <v>235</v>
      </c>
      <c r="AX924" s="4" t="s">
        <v>235</v>
      </c>
      <c r="AY924" s="8" t="s">
        <v>235</v>
      </c>
      <c r="AZ924" s="7" t="s">
        <v>235</v>
      </c>
      <c r="BA924" s="7" t="s">
        <v>235</v>
      </c>
      <c r="BB924" s="7"/>
      <c r="BC924" s="4" t="s">
        <v>235</v>
      </c>
      <c r="BD924" s="8" t="s">
        <v>235</v>
      </c>
      <c r="BE924" s="4" t="s">
        <v>235</v>
      </c>
      <c r="BF924" s="8" t="s">
        <v>235</v>
      </c>
      <c r="BG924" s="7" t="s">
        <v>235</v>
      </c>
      <c r="BH924" s="7" t="s">
        <v>235</v>
      </c>
      <c r="BI924" s="7"/>
      <c r="BJ924" s="4">
        <v>25</v>
      </c>
      <c r="BK924" s="8">
        <v>623.57</v>
      </c>
      <c r="BL924" s="2" t="s">
        <v>3710</v>
      </c>
      <c r="BM924" s="7"/>
      <c r="BN924" s="7"/>
      <c r="BO924" s="4"/>
      <c r="BP924" s="8"/>
      <c r="BQ924" s="4"/>
      <c r="BR924" s="8"/>
      <c r="BS924" s="7"/>
      <c r="BT924" s="7"/>
      <c r="BU924" s="2" t="s">
        <v>3694</v>
      </c>
      <c r="BV924" s="2" t="s">
        <v>243</v>
      </c>
      <c r="BW924" s="2" t="s">
        <v>235</v>
      </c>
      <c r="BX924" s="2" t="s">
        <v>244</v>
      </c>
      <c r="BY924" s="2" t="s">
        <v>245</v>
      </c>
      <c r="BZ924" s="2" t="s">
        <v>232</v>
      </c>
      <c r="CA924" s="2" t="s">
        <v>2743</v>
      </c>
      <c r="CB924" s="2" t="s">
        <v>3705</v>
      </c>
      <c r="CC924" s="2" t="s">
        <v>248</v>
      </c>
      <c r="CD924" s="2" t="s">
        <v>248</v>
      </c>
      <c r="CE924" s="2" t="s">
        <v>235</v>
      </c>
      <c r="CF924" s="4">
        <v>470</v>
      </c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>
        <v>471</v>
      </c>
      <c r="GE924" s="4">
        <v>461</v>
      </c>
      <c r="GF924" s="4">
        <v>451</v>
      </c>
      <c r="GG924" s="4">
        <v>441</v>
      </c>
      <c r="GH924" s="4">
        <v>431</v>
      </c>
      <c r="GI924" s="4">
        <v>418</v>
      </c>
      <c r="GJ924" s="4">
        <v>404</v>
      </c>
      <c r="GK924" s="4">
        <v>391</v>
      </c>
      <c r="GL924" s="4">
        <v>377</v>
      </c>
      <c r="GM924" s="4">
        <v>364</v>
      </c>
      <c r="GN924" s="4">
        <v>350</v>
      </c>
      <c r="GO924" s="4">
        <v>326</v>
      </c>
      <c r="GP924" s="4">
        <v>307</v>
      </c>
      <c r="GQ924" s="4">
        <v>263</v>
      </c>
      <c r="GR924" s="4">
        <v>244</v>
      </c>
      <c r="GS924" s="4">
        <v>216</v>
      </c>
      <c r="GT924" s="4">
        <v>203</v>
      </c>
      <c r="GU924" s="4">
        <v>198</v>
      </c>
      <c r="GV924" s="4">
        <v>190</v>
      </c>
      <c r="GW924" s="4">
        <v>183</v>
      </c>
      <c r="GX924" s="4">
        <v>176</v>
      </c>
      <c r="GY924" s="4">
        <v>169</v>
      </c>
      <c r="GZ924" s="4">
        <v>162</v>
      </c>
      <c r="HA924" s="4">
        <v>155</v>
      </c>
      <c r="HB924" s="4">
        <v>148</v>
      </c>
      <c r="HC924" s="4">
        <v>141</v>
      </c>
      <c r="HD924" s="19">
        <v>47.1</v>
      </c>
      <c r="HE924" s="19">
        <v>41.9</v>
      </c>
      <c r="HF924" s="19">
        <v>37.6</v>
      </c>
      <c r="HG924" s="19">
        <v>36.8</v>
      </c>
      <c r="HH924" s="19">
        <v>30.8</v>
      </c>
      <c r="HI924" s="19">
        <v>29.9</v>
      </c>
      <c r="HJ924" s="19">
        <v>28.9</v>
      </c>
      <c r="HK924" s="19">
        <v>24.4</v>
      </c>
      <c r="HL924" s="19">
        <v>20.9</v>
      </c>
      <c r="HM924" s="19">
        <v>14.6</v>
      </c>
      <c r="HN924" s="19">
        <v>13.5</v>
      </c>
      <c r="HO924" s="19">
        <v>11.6</v>
      </c>
      <c r="HP924" s="19">
        <v>11.8</v>
      </c>
      <c r="HQ924" s="19">
        <v>16.4</v>
      </c>
      <c r="HR924" s="19">
        <v>17.4</v>
      </c>
      <c r="HS924" s="19">
        <v>27</v>
      </c>
      <c r="HT924" s="19">
        <v>29</v>
      </c>
      <c r="HU924" s="19">
        <v>28.3</v>
      </c>
      <c r="HV924" s="19">
        <v>27.1</v>
      </c>
      <c r="HW924" s="19">
        <v>26.1</v>
      </c>
      <c r="HX924" s="19">
        <v>25.1</v>
      </c>
      <c r="HY924" s="19">
        <v>24.1</v>
      </c>
      <c r="HZ924" s="19">
        <v>23.1</v>
      </c>
      <c r="IA924" s="19">
        <v>19.4</v>
      </c>
      <c r="IB924" s="19">
        <v>18.5</v>
      </c>
      <c r="IC924" s="19">
        <v>17.6</v>
      </c>
    </row>
    <row r="925">
      <c r="A925" s="2" t="s">
        <v>3711</v>
      </c>
      <c r="B925" s="2" t="s">
        <v>905</v>
      </c>
      <c r="C925" s="2" t="s">
        <v>324</v>
      </c>
      <c r="D925" s="2" t="s">
        <v>981</v>
      </c>
      <c r="E925" s="2" t="s">
        <v>982</v>
      </c>
      <c r="F925" s="2" t="s">
        <v>3691</v>
      </c>
      <c r="G925" s="2" t="s">
        <v>3691</v>
      </c>
      <c r="H925" s="2" t="s">
        <v>3691</v>
      </c>
      <c r="I925" s="2" t="s">
        <v>982</v>
      </c>
      <c r="J925" s="2" t="s">
        <v>270</v>
      </c>
      <c r="K925" s="2" t="s">
        <v>2029</v>
      </c>
      <c r="L925" s="3">
        <v>24.9</v>
      </c>
      <c r="M925" s="3">
        <v>26.14</v>
      </c>
      <c r="N925" s="3">
        <v>49.99</v>
      </c>
      <c r="O925" s="2" t="s">
        <v>232</v>
      </c>
      <c r="P925" s="2" t="s">
        <v>233</v>
      </c>
      <c r="Q925" s="2" t="s">
        <v>234</v>
      </c>
      <c r="R925" s="2" t="s">
        <v>235</v>
      </c>
      <c r="S925" s="2" t="s">
        <v>3709</v>
      </c>
      <c r="T925" s="2" t="s">
        <v>879</v>
      </c>
      <c r="U925" s="2" t="s">
        <v>807</v>
      </c>
      <c r="V925" s="2" t="s">
        <v>238</v>
      </c>
      <c r="W925" s="2" t="s">
        <v>239</v>
      </c>
      <c r="X925" s="2" t="s">
        <v>235</v>
      </c>
      <c r="Y925" s="2" t="s">
        <v>3585</v>
      </c>
      <c r="Z925" s="4">
        <v>388</v>
      </c>
      <c r="AA925" s="4">
        <f>=ROUNDDOWN(50.3896103896104,0)</f>
      </c>
      <c r="AB925" s="5">
        <v>7.7</v>
      </c>
      <c r="AC925" s="2" t="s">
        <v>235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235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235</v>
      </c>
      <c r="AW925" s="8" t="s">
        <v>235</v>
      </c>
      <c r="AX925" s="4" t="s">
        <v>235</v>
      </c>
      <c r="AY925" s="8" t="s">
        <v>235</v>
      </c>
      <c r="AZ925" s="7" t="s">
        <v>235</v>
      </c>
      <c r="BA925" s="7" t="s">
        <v>235</v>
      </c>
      <c r="BB925" s="7"/>
      <c r="BC925" s="4" t="s">
        <v>235</v>
      </c>
      <c r="BD925" s="8" t="s">
        <v>235</v>
      </c>
      <c r="BE925" s="4" t="s">
        <v>235</v>
      </c>
      <c r="BF925" s="8" t="s">
        <v>235</v>
      </c>
      <c r="BG925" s="7" t="s">
        <v>235</v>
      </c>
      <c r="BH925" s="7" t="s">
        <v>235</v>
      </c>
      <c r="BI925" s="7"/>
      <c r="BJ925" s="4">
        <v>25</v>
      </c>
      <c r="BK925" s="8">
        <v>738.84</v>
      </c>
      <c r="BL925" s="2" t="s">
        <v>3712</v>
      </c>
      <c r="BM925" s="7"/>
      <c r="BN925" s="7"/>
      <c r="BO925" s="4"/>
      <c r="BP925" s="8"/>
      <c r="BQ925" s="4"/>
      <c r="BR925" s="8"/>
      <c r="BS925" s="7"/>
      <c r="BT925" s="7"/>
      <c r="BU925" s="2" t="s">
        <v>3694</v>
      </c>
      <c r="BV925" s="2" t="s">
        <v>243</v>
      </c>
      <c r="BW925" s="2" t="s">
        <v>235</v>
      </c>
      <c r="BX925" s="2" t="s">
        <v>244</v>
      </c>
      <c r="BY925" s="2" t="s">
        <v>245</v>
      </c>
      <c r="BZ925" s="2" t="s">
        <v>232</v>
      </c>
      <c r="CA925" s="2" t="s">
        <v>2743</v>
      </c>
      <c r="CB925" s="2" t="s">
        <v>3713</v>
      </c>
      <c r="CC925" s="2" t="s">
        <v>248</v>
      </c>
      <c r="CD925" s="2" t="s">
        <v>248</v>
      </c>
      <c r="CE925" s="2" t="s">
        <v>235</v>
      </c>
      <c r="CF925" s="4">
        <v>388</v>
      </c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>
        <v>391</v>
      </c>
      <c r="GE925" s="4">
        <v>368</v>
      </c>
      <c r="GF925" s="4">
        <v>360</v>
      </c>
      <c r="GG925" s="4">
        <v>352</v>
      </c>
      <c r="GH925" s="4">
        <v>344</v>
      </c>
      <c r="GI925" s="4">
        <v>335</v>
      </c>
      <c r="GJ925" s="4">
        <v>325</v>
      </c>
      <c r="GK925" s="4">
        <v>315</v>
      </c>
      <c r="GL925" s="4">
        <v>305</v>
      </c>
      <c r="GM925" s="4">
        <v>295</v>
      </c>
      <c r="GN925" s="4">
        <v>284</v>
      </c>
      <c r="GO925" s="4">
        <v>268</v>
      </c>
      <c r="GP925" s="4">
        <v>252</v>
      </c>
      <c r="GQ925" s="4">
        <v>224</v>
      </c>
      <c r="GR925" s="4">
        <v>209</v>
      </c>
      <c r="GS925" s="4">
        <v>192</v>
      </c>
      <c r="GT925" s="4">
        <v>185</v>
      </c>
      <c r="GU925" s="4">
        <v>181</v>
      </c>
      <c r="GV925" s="4">
        <v>174</v>
      </c>
      <c r="GW925" s="4">
        <v>168</v>
      </c>
      <c r="GX925" s="4">
        <v>162</v>
      </c>
      <c r="GY925" s="4">
        <v>156</v>
      </c>
      <c r="GZ925" s="4">
        <v>150</v>
      </c>
      <c r="HA925" s="4">
        <v>143</v>
      </c>
      <c r="HB925" s="4">
        <v>136</v>
      </c>
      <c r="HC925" s="4">
        <v>129</v>
      </c>
      <c r="HD925" s="19">
        <v>32.6</v>
      </c>
      <c r="HE925" s="19">
        <v>46</v>
      </c>
      <c r="HF925" s="19">
        <v>40</v>
      </c>
      <c r="HG925" s="19">
        <v>39.1</v>
      </c>
      <c r="HH925" s="19">
        <v>34.4</v>
      </c>
      <c r="HI925" s="19">
        <v>33.5</v>
      </c>
      <c r="HJ925" s="19">
        <v>32.5</v>
      </c>
      <c r="HK925" s="19">
        <v>26.3</v>
      </c>
      <c r="HL925" s="19">
        <v>23.5</v>
      </c>
      <c r="HM925" s="19">
        <v>16.4</v>
      </c>
      <c r="HN925" s="19">
        <v>14.9</v>
      </c>
      <c r="HO925" s="19">
        <v>14.1</v>
      </c>
      <c r="HP925" s="19">
        <v>14.8</v>
      </c>
      <c r="HQ925" s="19">
        <v>20.4</v>
      </c>
      <c r="HR925" s="19">
        <v>23.2</v>
      </c>
      <c r="HS925" s="19">
        <v>32</v>
      </c>
      <c r="HT925" s="19">
        <v>30.8</v>
      </c>
      <c r="HU925" s="19">
        <v>30.2</v>
      </c>
      <c r="HV925" s="19">
        <v>29</v>
      </c>
      <c r="HW925" s="19">
        <v>28</v>
      </c>
      <c r="HX925" s="19">
        <v>27</v>
      </c>
      <c r="HY925" s="19">
        <v>22.3</v>
      </c>
      <c r="HZ925" s="19">
        <v>21.4</v>
      </c>
      <c r="IA925" s="19">
        <v>20.4</v>
      </c>
      <c r="IB925" s="19">
        <v>17</v>
      </c>
      <c r="IC925" s="19">
        <v>16.1</v>
      </c>
    </row>
    <row r="926">
      <c r="A926" s="2" t="s">
        <v>3714</v>
      </c>
      <c r="B926" s="2" t="s">
        <v>905</v>
      </c>
      <c r="C926" s="2" t="s">
        <v>324</v>
      </c>
      <c r="D926" s="2" t="s">
        <v>981</v>
      </c>
      <c r="E926" s="2" t="s">
        <v>982</v>
      </c>
      <c r="F926" s="2" t="s">
        <v>3691</v>
      </c>
      <c r="G926" s="2" t="s">
        <v>3691</v>
      </c>
      <c r="H926" s="2" t="s">
        <v>3691</v>
      </c>
      <c r="I926" s="2" t="s">
        <v>982</v>
      </c>
      <c r="J926" s="2" t="s">
        <v>394</v>
      </c>
      <c r="K926" s="2" t="s">
        <v>316</v>
      </c>
      <c r="L926" s="3">
        <v>18.3</v>
      </c>
      <c r="M926" s="3">
        <v>19.22</v>
      </c>
      <c r="N926" s="3">
        <v>39.99</v>
      </c>
      <c r="O926" s="2" t="s">
        <v>232</v>
      </c>
      <c r="P926" s="2" t="s">
        <v>233</v>
      </c>
      <c r="Q926" s="2" t="s">
        <v>234</v>
      </c>
      <c r="R926" s="2" t="s">
        <v>235</v>
      </c>
      <c r="S926" s="2" t="s">
        <v>3715</v>
      </c>
      <c r="T926" s="2" t="s">
        <v>879</v>
      </c>
      <c r="U926" s="2" t="s">
        <v>807</v>
      </c>
      <c r="V926" s="2" t="s">
        <v>238</v>
      </c>
      <c r="W926" s="2" t="s">
        <v>239</v>
      </c>
      <c r="X926" s="2" t="s">
        <v>235</v>
      </c>
      <c r="Y926" s="2" t="s">
        <v>2740</v>
      </c>
      <c r="Z926" s="4">
        <v>97</v>
      </c>
      <c r="AA926" s="4">
        <f>=ROUNDDOWN(44.0909090909091,0)</f>
      </c>
      <c r="AB926" s="5">
        <v>2.2</v>
      </c>
      <c r="AC926" s="2" t="s">
        <v>235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235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235</v>
      </c>
      <c r="AW926" s="8" t="s">
        <v>235</v>
      </c>
      <c r="AX926" s="4" t="s">
        <v>235</v>
      </c>
      <c r="AY926" s="8" t="s">
        <v>235</v>
      </c>
      <c r="AZ926" s="7" t="s">
        <v>235</v>
      </c>
      <c r="BA926" s="7" t="s">
        <v>235</v>
      </c>
      <c r="BB926" s="7"/>
      <c r="BC926" s="4" t="s">
        <v>235</v>
      </c>
      <c r="BD926" s="8" t="s">
        <v>235</v>
      </c>
      <c r="BE926" s="4" t="s">
        <v>235</v>
      </c>
      <c r="BF926" s="8" t="s">
        <v>235</v>
      </c>
      <c r="BG926" s="7" t="s">
        <v>235</v>
      </c>
      <c r="BH926" s="7" t="s">
        <v>235</v>
      </c>
      <c r="BI926" s="7"/>
      <c r="BJ926" s="4">
        <v>12</v>
      </c>
      <c r="BK926" s="8">
        <v>250.21</v>
      </c>
      <c r="BL926" s="2" t="s">
        <v>3716</v>
      </c>
      <c r="BM926" s="7"/>
      <c r="BN926" s="7"/>
      <c r="BO926" s="4"/>
      <c r="BP926" s="8"/>
      <c r="BQ926" s="4"/>
      <c r="BR926" s="8"/>
      <c r="BS926" s="7"/>
      <c r="BT926" s="7"/>
      <c r="BU926" s="2" t="s">
        <v>3694</v>
      </c>
      <c r="BV926" s="2" t="s">
        <v>243</v>
      </c>
      <c r="BW926" s="2" t="s">
        <v>235</v>
      </c>
      <c r="BX926" s="2" t="s">
        <v>244</v>
      </c>
      <c r="BY926" s="2" t="s">
        <v>245</v>
      </c>
      <c r="BZ926" s="2" t="s">
        <v>232</v>
      </c>
      <c r="CA926" s="2" t="s">
        <v>2743</v>
      </c>
      <c r="CB926" s="2" t="s">
        <v>2822</v>
      </c>
      <c r="CC926" s="2" t="s">
        <v>248</v>
      </c>
      <c r="CD926" s="2" t="s">
        <v>248</v>
      </c>
      <c r="CE926" s="2" t="s">
        <v>235</v>
      </c>
      <c r="CF926" s="4">
        <v>97</v>
      </c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>
        <v>99</v>
      </c>
      <c r="GE926" s="4">
        <v>95</v>
      </c>
      <c r="GF926" s="4">
        <v>93</v>
      </c>
      <c r="GG926" s="4">
        <v>91</v>
      </c>
      <c r="GH926" s="4">
        <v>89</v>
      </c>
      <c r="GI926" s="4">
        <v>87</v>
      </c>
      <c r="GJ926" s="4">
        <v>85</v>
      </c>
      <c r="GK926" s="4">
        <v>83</v>
      </c>
      <c r="GL926" s="4">
        <v>81</v>
      </c>
      <c r="GM926" s="4">
        <v>79</v>
      </c>
      <c r="GN926" s="4">
        <v>76</v>
      </c>
      <c r="GO926" s="4">
        <v>71</v>
      </c>
      <c r="GP926" s="4">
        <v>67</v>
      </c>
      <c r="GQ926" s="4">
        <v>59</v>
      </c>
      <c r="GR926" s="4">
        <v>55</v>
      </c>
      <c r="GS926" s="4">
        <v>50</v>
      </c>
      <c r="GT926" s="4">
        <v>48</v>
      </c>
      <c r="GU926" s="4">
        <v>47</v>
      </c>
      <c r="GV926" s="4">
        <v>45</v>
      </c>
      <c r="GW926" s="4">
        <v>43</v>
      </c>
      <c r="GX926" s="4">
        <v>41</v>
      </c>
      <c r="GY926" s="4">
        <v>39</v>
      </c>
      <c r="GZ926" s="4">
        <v>37</v>
      </c>
      <c r="HA926" s="4">
        <v>35</v>
      </c>
      <c r="HB926" s="4">
        <v>33</v>
      </c>
      <c r="HC926" s="4">
        <v>31</v>
      </c>
      <c r="HD926" s="19">
        <v>49.5</v>
      </c>
      <c r="HE926" s="19">
        <v>47.5</v>
      </c>
      <c r="HF926" s="19">
        <v>46.5</v>
      </c>
      <c r="HG926" s="19">
        <v>45.5</v>
      </c>
      <c r="HH926" s="19">
        <v>44.5</v>
      </c>
      <c r="HI926" s="19">
        <v>43.5</v>
      </c>
      <c r="HJ926" s="19">
        <v>42.5</v>
      </c>
      <c r="HK926" s="19">
        <v>27.7</v>
      </c>
      <c r="HL926" s="19">
        <v>20.3</v>
      </c>
      <c r="HM926" s="19">
        <v>15.8</v>
      </c>
      <c r="HN926" s="19">
        <v>15.2</v>
      </c>
      <c r="HO926" s="19">
        <v>14.2</v>
      </c>
      <c r="HP926" s="19">
        <v>13.4</v>
      </c>
      <c r="HQ926" s="19">
        <v>19.7</v>
      </c>
      <c r="HR926" s="19">
        <v>27.5</v>
      </c>
      <c r="HS926" s="19">
        <v>25</v>
      </c>
      <c r="HT926" s="19">
        <v>24</v>
      </c>
      <c r="HU926" s="19">
        <v>23.5</v>
      </c>
      <c r="HV926" s="19">
        <v>22.5</v>
      </c>
      <c r="HW926" s="19">
        <v>21.5</v>
      </c>
      <c r="HX926" s="19">
        <v>20.5</v>
      </c>
      <c r="HY926" s="19">
        <v>19.5</v>
      </c>
      <c r="HZ926" s="19">
        <v>18.5</v>
      </c>
      <c r="IA926" s="19">
        <v>17.5</v>
      </c>
      <c r="IB926" s="19">
        <v>16.5</v>
      </c>
      <c r="IC926" s="19">
        <v>15.5</v>
      </c>
    </row>
    <row r="927">
      <c r="A927" s="2" t="s">
        <v>3717</v>
      </c>
      <c r="B927" s="2" t="s">
        <v>905</v>
      </c>
      <c r="C927" s="2" t="s">
        <v>324</v>
      </c>
      <c r="D927" s="2" t="s">
        <v>981</v>
      </c>
      <c r="E927" s="2" t="s">
        <v>982</v>
      </c>
      <c r="F927" s="2" t="s">
        <v>3691</v>
      </c>
      <c r="G927" s="2" t="s">
        <v>3691</v>
      </c>
      <c r="H927" s="2" t="s">
        <v>3691</v>
      </c>
      <c r="I927" s="2" t="s">
        <v>982</v>
      </c>
      <c r="J927" s="2" t="s">
        <v>365</v>
      </c>
      <c r="K927" s="2" t="s">
        <v>316</v>
      </c>
      <c r="L927" s="3">
        <v>21.76</v>
      </c>
      <c r="M927" s="3">
        <v>22.85</v>
      </c>
      <c r="N927" s="3">
        <v>44.99</v>
      </c>
      <c r="O927" s="2" t="s">
        <v>232</v>
      </c>
      <c r="P927" s="2" t="s">
        <v>233</v>
      </c>
      <c r="Q927" s="2" t="s">
        <v>234</v>
      </c>
      <c r="R927" s="2" t="s">
        <v>235</v>
      </c>
      <c r="S927" s="2" t="s">
        <v>3715</v>
      </c>
      <c r="T927" s="2" t="s">
        <v>879</v>
      </c>
      <c r="U927" s="2" t="s">
        <v>807</v>
      </c>
      <c r="V927" s="2" t="s">
        <v>238</v>
      </c>
      <c r="W927" s="2" t="s">
        <v>239</v>
      </c>
      <c r="X927" s="2" t="s">
        <v>235</v>
      </c>
      <c r="Y927" s="2" t="s">
        <v>2740</v>
      </c>
      <c r="Z927" s="4">
        <v>385</v>
      </c>
      <c r="AA927" s="4">
        <f>=ROUNDDOWN(101.315789473684,0)</f>
      </c>
      <c r="AB927" s="5">
        <v>3.8</v>
      </c>
      <c r="AC927" s="2" t="s">
        <v>235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235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235</v>
      </c>
      <c r="AW927" s="8" t="s">
        <v>235</v>
      </c>
      <c r="AX927" s="4" t="s">
        <v>235</v>
      </c>
      <c r="AY927" s="8" t="s">
        <v>235</v>
      </c>
      <c r="AZ927" s="7" t="s">
        <v>235</v>
      </c>
      <c r="BA927" s="7" t="s">
        <v>235</v>
      </c>
      <c r="BB927" s="7"/>
      <c r="BC927" s="4" t="s">
        <v>235</v>
      </c>
      <c r="BD927" s="8" t="s">
        <v>235</v>
      </c>
      <c r="BE927" s="4" t="s">
        <v>235</v>
      </c>
      <c r="BF927" s="8" t="s">
        <v>235</v>
      </c>
      <c r="BG927" s="7" t="s">
        <v>235</v>
      </c>
      <c r="BH927" s="7" t="s">
        <v>235</v>
      </c>
      <c r="BI927" s="7"/>
      <c r="BJ927" s="4">
        <v>11</v>
      </c>
      <c r="BK927" s="8">
        <v>279.82</v>
      </c>
      <c r="BL927" s="2" t="s">
        <v>3718</v>
      </c>
      <c r="BM927" s="7"/>
      <c r="BN927" s="7"/>
      <c r="BO927" s="4"/>
      <c r="BP927" s="8"/>
      <c r="BQ927" s="4"/>
      <c r="BR927" s="8"/>
      <c r="BS927" s="7"/>
      <c r="BT927" s="7"/>
      <c r="BU927" s="2" t="s">
        <v>3694</v>
      </c>
      <c r="BV927" s="2" t="s">
        <v>243</v>
      </c>
      <c r="BW927" s="2" t="s">
        <v>235</v>
      </c>
      <c r="BX927" s="2" t="s">
        <v>244</v>
      </c>
      <c r="BY927" s="2" t="s">
        <v>245</v>
      </c>
      <c r="BZ927" s="2" t="s">
        <v>232</v>
      </c>
      <c r="CA927" s="2" t="s">
        <v>2743</v>
      </c>
      <c r="CB927" s="2" t="s">
        <v>3719</v>
      </c>
      <c r="CC927" s="2" t="s">
        <v>248</v>
      </c>
      <c r="CD927" s="2" t="s">
        <v>248</v>
      </c>
      <c r="CE927" s="2" t="s">
        <v>235</v>
      </c>
      <c r="CF927" s="4">
        <v>385</v>
      </c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>
        <v>387</v>
      </c>
      <c r="GE927" s="4">
        <v>380</v>
      </c>
      <c r="GF927" s="4">
        <v>375</v>
      </c>
      <c r="GG927" s="4">
        <v>370</v>
      </c>
      <c r="GH927" s="4">
        <v>365</v>
      </c>
      <c r="GI927" s="4">
        <v>358</v>
      </c>
      <c r="GJ927" s="4">
        <v>351</v>
      </c>
      <c r="GK927" s="4">
        <v>344</v>
      </c>
      <c r="GL927" s="4">
        <v>337</v>
      </c>
      <c r="GM927" s="4">
        <v>330</v>
      </c>
      <c r="GN927" s="4">
        <v>322</v>
      </c>
      <c r="GO927" s="4">
        <v>309</v>
      </c>
      <c r="GP927" s="4">
        <v>299</v>
      </c>
      <c r="GQ927" s="4">
        <v>275</v>
      </c>
      <c r="GR927" s="4">
        <v>265</v>
      </c>
      <c r="GS927" s="4">
        <v>250</v>
      </c>
      <c r="GT927" s="4">
        <v>243</v>
      </c>
      <c r="GU927" s="4">
        <v>241</v>
      </c>
      <c r="GV927" s="4">
        <v>237</v>
      </c>
      <c r="GW927" s="4">
        <v>233</v>
      </c>
      <c r="GX927" s="4">
        <v>229</v>
      </c>
      <c r="GY927" s="4">
        <v>225</v>
      </c>
      <c r="GZ927" s="4">
        <v>221</v>
      </c>
      <c r="HA927" s="4">
        <v>218</v>
      </c>
      <c r="HB927" s="4">
        <v>215</v>
      </c>
      <c r="HC927" s="4">
        <v>211</v>
      </c>
      <c r="HD927" s="19">
        <v>64.5</v>
      </c>
      <c r="HE927" s="19">
        <v>63.3</v>
      </c>
      <c r="HF927" s="19">
        <v>62.5</v>
      </c>
      <c r="HG927" s="19">
        <v>61.7</v>
      </c>
      <c r="HH927" s="19">
        <v>52.1</v>
      </c>
      <c r="HI927" s="19">
        <v>51.1</v>
      </c>
      <c r="HJ927" s="19">
        <v>50.1</v>
      </c>
      <c r="HK927" s="19">
        <v>38.2</v>
      </c>
      <c r="HL927" s="19">
        <v>33.7</v>
      </c>
      <c r="HM927" s="19">
        <v>23.6</v>
      </c>
      <c r="HN927" s="19">
        <v>23</v>
      </c>
      <c r="HO927" s="19">
        <v>20.6</v>
      </c>
      <c r="HP927" s="19">
        <v>21.4</v>
      </c>
      <c r="HQ927" s="19">
        <v>34.4</v>
      </c>
      <c r="HR927" s="19">
        <v>37.9</v>
      </c>
      <c r="HS927" s="19">
        <v>62.5</v>
      </c>
      <c r="HT927" s="19">
        <v>60.8</v>
      </c>
      <c r="HU927" s="19">
        <v>60.3</v>
      </c>
      <c r="HV927" s="19">
        <v>59.3</v>
      </c>
      <c r="HW927" s="19">
        <v>58.3</v>
      </c>
      <c r="HX927" s="19">
        <v>57.3</v>
      </c>
      <c r="HY927" s="19">
        <v>56.3</v>
      </c>
      <c r="HZ927" s="19">
        <v>73.7</v>
      </c>
      <c r="IA927" s="19">
        <v>54.5</v>
      </c>
      <c r="IB927" s="19">
        <v>53.8</v>
      </c>
      <c r="IC927" s="19">
        <v>52.8</v>
      </c>
    </row>
    <row r="928">
      <c r="A928" s="2" t="s">
        <v>3720</v>
      </c>
      <c r="B928" s="2" t="s">
        <v>905</v>
      </c>
      <c r="C928" s="2" t="s">
        <v>324</v>
      </c>
      <c r="D928" s="2" t="s">
        <v>981</v>
      </c>
      <c r="E928" s="2" t="s">
        <v>982</v>
      </c>
      <c r="F928" s="2" t="s">
        <v>3691</v>
      </c>
      <c r="G928" s="2" t="s">
        <v>3691</v>
      </c>
      <c r="H928" s="2" t="s">
        <v>3691</v>
      </c>
      <c r="I928" s="2" t="s">
        <v>982</v>
      </c>
      <c r="J928" s="2" t="s">
        <v>270</v>
      </c>
      <c r="K928" s="2" t="s">
        <v>316</v>
      </c>
      <c r="L928" s="3">
        <v>24.9</v>
      </c>
      <c r="M928" s="3">
        <v>26.14</v>
      </c>
      <c r="N928" s="3">
        <v>49.99</v>
      </c>
      <c r="O928" s="2" t="s">
        <v>232</v>
      </c>
      <c r="P928" s="2" t="s">
        <v>233</v>
      </c>
      <c r="Q928" s="2" t="s">
        <v>234</v>
      </c>
      <c r="R928" s="2" t="s">
        <v>235</v>
      </c>
      <c r="S928" s="2" t="s">
        <v>3715</v>
      </c>
      <c r="T928" s="2" t="s">
        <v>879</v>
      </c>
      <c r="U928" s="2" t="s">
        <v>807</v>
      </c>
      <c r="V928" s="2" t="s">
        <v>238</v>
      </c>
      <c r="W928" s="2" t="s">
        <v>239</v>
      </c>
      <c r="X928" s="2" t="s">
        <v>235</v>
      </c>
      <c r="Y928" s="2" t="s">
        <v>2740</v>
      </c>
      <c r="Z928" s="4">
        <v>353</v>
      </c>
      <c r="AA928" s="4">
        <f>=ROUNDDOWN(60.8620689655172,0)</f>
      </c>
      <c r="AB928" s="5">
        <v>5.8</v>
      </c>
      <c r="AC928" s="2" t="s">
        <v>235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235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235</v>
      </c>
      <c r="AW928" s="8" t="s">
        <v>235</v>
      </c>
      <c r="AX928" s="4" t="s">
        <v>235</v>
      </c>
      <c r="AY928" s="8" t="s">
        <v>235</v>
      </c>
      <c r="AZ928" s="7" t="s">
        <v>235</v>
      </c>
      <c r="BA928" s="7" t="s">
        <v>235</v>
      </c>
      <c r="BB928" s="7"/>
      <c r="BC928" s="4" t="s">
        <v>235</v>
      </c>
      <c r="BD928" s="8" t="s">
        <v>235</v>
      </c>
      <c r="BE928" s="4" t="s">
        <v>235</v>
      </c>
      <c r="BF928" s="8" t="s">
        <v>235</v>
      </c>
      <c r="BG928" s="7" t="s">
        <v>235</v>
      </c>
      <c r="BH928" s="7" t="s">
        <v>235</v>
      </c>
      <c r="BI928" s="7"/>
      <c r="BJ928" s="4">
        <v>13</v>
      </c>
      <c r="BK928" s="8">
        <v>365.13</v>
      </c>
      <c r="BL928" s="2" t="s">
        <v>2017</v>
      </c>
      <c r="BM928" s="7"/>
      <c r="BN928" s="7"/>
      <c r="BO928" s="4"/>
      <c r="BP928" s="8"/>
      <c r="BQ928" s="4"/>
      <c r="BR928" s="8"/>
      <c r="BS928" s="7"/>
      <c r="BT928" s="7"/>
      <c r="BU928" s="2" t="s">
        <v>3694</v>
      </c>
      <c r="BV928" s="2" t="s">
        <v>243</v>
      </c>
      <c r="BW928" s="2" t="s">
        <v>235</v>
      </c>
      <c r="BX928" s="2" t="s">
        <v>244</v>
      </c>
      <c r="BY928" s="2" t="s">
        <v>245</v>
      </c>
      <c r="BZ928" s="2" t="s">
        <v>232</v>
      </c>
      <c r="CA928" s="2" t="s">
        <v>2743</v>
      </c>
      <c r="CB928" s="2" t="s">
        <v>798</v>
      </c>
      <c r="CC928" s="2" t="s">
        <v>248</v>
      </c>
      <c r="CD928" s="2" t="s">
        <v>248</v>
      </c>
      <c r="CE928" s="2" t="s">
        <v>235</v>
      </c>
      <c r="CF928" s="4">
        <v>353</v>
      </c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>
        <v>355</v>
      </c>
      <c r="GE928" s="4">
        <v>342</v>
      </c>
      <c r="GF928" s="4">
        <v>335</v>
      </c>
      <c r="GG928" s="4">
        <v>328</v>
      </c>
      <c r="GH928" s="4">
        <v>321</v>
      </c>
      <c r="GI928" s="4">
        <v>313</v>
      </c>
      <c r="GJ928" s="4">
        <v>304</v>
      </c>
      <c r="GK928" s="4">
        <v>296</v>
      </c>
      <c r="GL928" s="4">
        <v>287</v>
      </c>
      <c r="GM928" s="4">
        <v>279</v>
      </c>
      <c r="GN928" s="4">
        <v>269</v>
      </c>
      <c r="GO928" s="4">
        <v>254</v>
      </c>
      <c r="GP928" s="4">
        <v>239</v>
      </c>
      <c r="GQ928" s="4">
        <v>212</v>
      </c>
      <c r="GR928" s="4">
        <v>198</v>
      </c>
      <c r="GS928" s="4">
        <v>182</v>
      </c>
      <c r="GT928" s="4">
        <v>176</v>
      </c>
      <c r="GU928" s="4">
        <v>173</v>
      </c>
      <c r="GV928" s="4">
        <v>167</v>
      </c>
      <c r="GW928" s="4">
        <v>162</v>
      </c>
      <c r="GX928" s="4">
        <v>157</v>
      </c>
      <c r="GY928" s="4">
        <v>152</v>
      </c>
      <c r="GZ928" s="4">
        <v>147</v>
      </c>
      <c r="HA928" s="4">
        <v>141</v>
      </c>
      <c r="HB928" s="4">
        <v>135</v>
      </c>
      <c r="HC928" s="4">
        <v>129</v>
      </c>
      <c r="HD928" s="19">
        <v>44.4</v>
      </c>
      <c r="HE928" s="19">
        <v>48.9</v>
      </c>
      <c r="HF928" s="19">
        <v>41.9</v>
      </c>
      <c r="HG928" s="19">
        <v>41</v>
      </c>
      <c r="HH928" s="19">
        <v>40.1</v>
      </c>
      <c r="HI928" s="19">
        <v>39.1</v>
      </c>
      <c r="HJ928" s="19">
        <v>33.8</v>
      </c>
      <c r="HK928" s="19">
        <v>29.6</v>
      </c>
      <c r="HL928" s="19">
        <v>23.9</v>
      </c>
      <c r="HM928" s="19">
        <v>16.4</v>
      </c>
      <c r="HN928" s="19">
        <v>14.9</v>
      </c>
      <c r="HO928" s="19">
        <v>14.1</v>
      </c>
      <c r="HP928" s="19">
        <v>14.9</v>
      </c>
      <c r="HQ928" s="19">
        <v>21.2</v>
      </c>
      <c r="HR928" s="19">
        <v>24.8</v>
      </c>
      <c r="HS928" s="19">
        <v>36.4</v>
      </c>
      <c r="HT928" s="19">
        <v>35.2</v>
      </c>
      <c r="HU928" s="19">
        <v>34.6</v>
      </c>
      <c r="HV928" s="19">
        <v>33.4</v>
      </c>
      <c r="HW928" s="19">
        <v>32.4</v>
      </c>
      <c r="HX928" s="19">
        <v>26.2</v>
      </c>
      <c r="HY928" s="19">
        <v>25.3</v>
      </c>
      <c r="HZ928" s="19">
        <v>24.5</v>
      </c>
      <c r="IA928" s="19">
        <v>23.5</v>
      </c>
      <c r="IB928" s="19">
        <v>22.5</v>
      </c>
      <c r="IC928" s="19">
        <v>18.4</v>
      </c>
    </row>
    <row r="929">
      <c r="A929" s="2" t="s">
        <v>3721</v>
      </c>
      <c r="B929" s="2" t="s">
        <v>905</v>
      </c>
      <c r="C929" s="2" t="s">
        <v>2746</v>
      </c>
      <c r="D929" s="2" t="s">
        <v>1177</v>
      </c>
      <c r="E929" s="2" t="s">
        <v>2747</v>
      </c>
      <c r="F929" s="2" t="s">
        <v>3722</v>
      </c>
      <c r="G929" s="2" t="s">
        <v>3722</v>
      </c>
      <c r="H929" s="2" t="s">
        <v>3722</v>
      </c>
      <c r="I929" s="2" t="s">
        <v>982</v>
      </c>
      <c r="J929" s="2" t="s">
        <v>394</v>
      </c>
      <c r="K929" s="2" t="s">
        <v>292</v>
      </c>
      <c r="L929" s="3">
        <v>49.04</v>
      </c>
      <c r="M929" s="3">
        <v>51.49</v>
      </c>
      <c r="N929" s="3">
        <v>99.99</v>
      </c>
      <c r="O929" s="2" t="s">
        <v>232</v>
      </c>
      <c r="P929" s="2" t="s">
        <v>878</v>
      </c>
      <c r="Q929" s="2" t="s">
        <v>234</v>
      </c>
      <c r="R929" s="2" t="s">
        <v>235</v>
      </c>
      <c r="S929" s="2" t="s">
        <v>3723</v>
      </c>
      <c r="T929" s="2" t="s">
        <v>879</v>
      </c>
      <c r="U929" s="2" t="s">
        <v>807</v>
      </c>
      <c r="V929" s="2" t="s">
        <v>238</v>
      </c>
      <c r="W929" s="2" t="s">
        <v>239</v>
      </c>
      <c r="X929" s="2" t="s">
        <v>235</v>
      </c>
      <c r="Y929" s="2" t="s">
        <v>3093</v>
      </c>
      <c r="Z929" s="4">
        <v>110</v>
      </c>
      <c r="AA929" s="4">
        <f>=ROUNDDOWN(40.7407407407407,0)</f>
      </c>
      <c r="AB929" s="5">
        <v>2.7</v>
      </c>
      <c r="AC929" s="2" t="s">
        <v>235</v>
      </c>
      <c r="AD929" s="4"/>
      <c r="AE929" s="4"/>
      <c r="AF929" s="6">
        <v>66</v>
      </c>
      <c r="AG929" s="6"/>
      <c r="AH929" s="7">
        <v>1</v>
      </c>
      <c r="AI929" s="4"/>
      <c r="AJ929" s="4">
        <f>=ROUNDDOWN({0},0)</f>
      </c>
      <c r="AK929" s="5"/>
      <c r="AL929" s="2" t="s">
        <v>235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235</v>
      </c>
      <c r="AW929" s="8" t="s">
        <v>235</v>
      </c>
      <c r="AX929" s="4" t="s">
        <v>235</v>
      </c>
      <c r="AY929" s="8" t="s">
        <v>235</v>
      </c>
      <c r="AZ929" s="7" t="s">
        <v>235</v>
      </c>
      <c r="BA929" s="7" t="s">
        <v>235</v>
      </c>
      <c r="BB929" s="7"/>
      <c r="BC929" s="4" t="s">
        <v>235</v>
      </c>
      <c r="BD929" s="8" t="s">
        <v>235</v>
      </c>
      <c r="BE929" s="4" t="s">
        <v>235</v>
      </c>
      <c r="BF929" s="8" t="s">
        <v>235</v>
      </c>
      <c r="BG929" s="7" t="s">
        <v>235</v>
      </c>
      <c r="BH929" s="7" t="s">
        <v>235</v>
      </c>
      <c r="BI929" s="7"/>
      <c r="BJ929" s="4">
        <v>6</v>
      </c>
      <c r="BK929" s="8">
        <v>328.41</v>
      </c>
      <c r="BL929" s="2" t="s">
        <v>3724</v>
      </c>
      <c r="BM929" s="7"/>
      <c r="BN929" s="7"/>
      <c r="BO929" s="4"/>
      <c r="BP929" s="8"/>
      <c r="BQ929" s="4"/>
      <c r="BR929" s="8"/>
      <c r="BS929" s="7"/>
      <c r="BT929" s="7"/>
      <c r="BU929" s="2" t="s">
        <v>3725</v>
      </c>
      <c r="BV929" s="2" t="s">
        <v>243</v>
      </c>
      <c r="BW929" s="2" t="s">
        <v>235</v>
      </c>
      <c r="BX929" s="2" t="s">
        <v>244</v>
      </c>
      <c r="BY929" s="2" t="s">
        <v>245</v>
      </c>
      <c r="BZ929" s="2" t="s">
        <v>232</v>
      </c>
      <c r="CA929" s="2" t="s">
        <v>3726</v>
      </c>
      <c r="CB929" s="2" t="s">
        <v>3727</v>
      </c>
      <c r="CC929" s="2" t="s">
        <v>248</v>
      </c>
      <c r="CD929" s="2" t="s">
        <v>248</v>
      </c>
      <c r="CE929" s="2" t="s">
        <v>235</v>
      </c>
      <c r="CF929" s="4"/>
      <c r="CG929" s="4"/>
      <c r="CH929" s="4"/>
      <c r="CI929" s="4">
        <v>110</v>
      </c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>
        <v>110</v>
      </c>
      <c r="GE929" s="4">
        <v>109</v>
      </c>
      <c r="GF929" s="4">
        <v>108</v>
      </c>
      <c r="GG929" s="4">
        <v>107</v>
      </c>
      <c r="GH929" s="4">
        <v>106</v>
      </c>
      <c r="GI929" s="4">
        <v>99</v>
      </c>
      <c r="GJ929" s="4">
        <v>92</v>
      </c>
      <c r="GK929" s="4">
        <v>85</v>
      </c>
      <c r="GL929" s="4">
        <v>78</v>
      </c>
      <c r="GM929" s="4">
        <v>74</v>
      </c>
      <c r="GN929" s="4">
        <v>69</v>
      </c>
      <c r="GO929" s="4">
        <v>58</v>
      </c>
      <c r="GP929" s="4">
        <v>38</v>
      </c>
      <c r="GQ929" s="4">
        <v>20</v>
      </c>
      <c r="GR929" s="4"/>
      <c r="GS929" s="4"/>
      <c r="GT929" s="4"/>
      <c r="GU929" s="4"/>
      <c r="GV929" s="4"/>
      <c r="GW929" s="4"/>
      <c r="GX929" s="4">
        <v>141</v>
      </c>
      <c r="GY929" s="4">
        <v>136</v>
      </c>
      <c r="GZ929" s="4">
        <v>134</v>
      </c>
      <c r="HA929" s="4">
        <v>132</v>
      </c>
      <c r="HB929" s="4">
        <v>130</v>
      </c>
      <c r="HC929" s="4">
        <v>128</v>
      </c>
      <c r="HD929" s="19">
        <v>110</v>
      </c>
      <c r="HE929" s="19">
        <v>54.5</v>
      </c>
      <c r="HF929" s="19">
        <v>27</v>
      </c>
      <c r="HG929" s="19">
        <v>17.8</v>
      </c>
      <c r="HH929" s="19">
        <v>15.1</v>
      </c>
      <c r="HI929" s="19">
        <v>16.5</v>
      </c>
      <c r="HJ929" s="19">
        <v>15.3</v>
      </c>
      <c r="HK929" s="19">
        <v>12.1</v>
      </c>
      <c r="HL929" s="19">
        <v>7.8</v>
      </c>
      <c r="HM929" s="19">
        <v>5.3</v>
      </c>
      <c r="HN929" s="19">
        <v>3.5</v>
      </c>
      <c r="HO929" s="19">
        <v>2.4</v>
      </c>
      <c r="HP929" s="19">
        <v>1.5</v>
      </c>
      <c r="HQ929" s="19">
        <v>0.8</v>
      </c>
      <c r="HR929" s="20">
        <v>0</v>
      </c>
      <c r="HS929" s="20">
        <v>0</v>
      </c>
      <c r="HT929" s="20">
        <v>0</v>
      </c>
      <c r="HU929" s="20">
        <v>0</v>
      </c>
      <c r="HV929" s="20">
        <v>0</v>
      </c>
      <c r="HW929" s="20">
        <v>0</v>
      </c>
      <c r="HX929" s="19">
        <v>47</v>
      </c>
      <c r="HY929" s="19">
        <v>68</v>
      </c>
      <c r="HZ929" s="19">
        <v>67</v>
      </c>
      <c r="IA929" s="19">
        <v>66</v>
      </c>
      <c r="IB929" s="19">
        <v>65</v>
      </c>
      <c r="IC929" s="19">
        <v>64</v>
      </c>
    </row>
    <row r="930">
      <c r="A930" s="2" t="s">
        <v>3728</v>
      </c>
      <c r="B930" s="2" t="s">
        <v>905</v>
      </c>
      <c r="C930" s="2" t="s">
        <v>2746</v>
      </c>
      <c r="D930" s="2" t="s">
        <v>1177</v>
      </c>
      <c r="E930" s="2" t="s">
        <v>2747</v>
      </c>
      <c r="F930" s="2" t="s">
        <v>3722</v>
      </c>
      <c r="G930" s="2" t="s">
        <v>3722</v>
      </c>
      <c r="H930" s="2" t="s">
        <v>3722</v>
      </c>
      <c r="I930" s="2" t="s">
        <v>982</v>
      </c>
      <c r="J930" s="2" t="s">
        <v>250</v>
      </c>
      <c r="K930" s="2" t="s">
        <v>292</v>
      </c>
      <c r="L930" s="3">
        <v>54.42</v>
      </c>
      <c r="M930" s="3">
        <v>57.14</v>
      </c>
      <c r="N930" s="3">
        <v>119.99</v>
      </c>
      <c r="O930" s="2" t="s">
        <v>232</v>
      </c>
      <c r="P930" s="2" t="s">
        <v>878</v>
      </c>
      <c r="Q930" s="2" t="s">
        <v>234</v>
      </c>
      <c r="R930" s="2" t="s">
        <v>235</v>
      </c>
      <c r="S930" s="2" t="s">
        <v>3723</v>
      </c>
      <c r="T930" s="2" t="s">
        <v>879</v>
      </c>
      <c r="U930" s="2" t="s">
        <v>807</v>
      </c>
      <c r="V930" s="2" t="s">
        <v>238</v>
      </c>
      <c r="W930" s="2" t="s">
        <v>239</v>
      </c>
      <c r="X930" s="2" t="s">
        <v>235</v>
      </c>
      <c r="Y930" s="2" t="s">
        <v>3093</v>
      </c>
      <c r="Z930" s="4">
        <v>130</v>
      </c>
      <c r="AA930" s="4">
        <f>=ROUNDDOWN(52,0)</f>
      </c>
      <c r="AB930" s="5">
        <v>2.5</v>
      </c>
      <c r="AC930" s="2" t="s">
        <v>235</v>
      </c>
      <c r="AD930" s="4"/>
      <c r="AE930" s="4"/>
      <c r="AF930" s="6">
        <v>66</v>
      </c>
      <c r="AG930" s="6"/>
      <c r="AH930" s="7">
        <v>1</v>
      </c>
      <c r="AI930" s="4"/>
      <c r="AJ930" s="4">
        <f>=ROUNDDOWN({0},0)</f>
      </c>
      <c r="AK930" s="5"/>
      <c r="AL930" s="2" t="s">
        <v>235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235</v>
      </c>
      <c r="AW930" s="8" t="s">
        <v>235</v>
      </c>
      <c r="AX930" s="4" t="s">
        <v>235</v>
      </c>
      <c r="AY930" s="8" t="s">
        <v>235</v>
      </c>
      <c r="AZ930" s="7" t="s">
        <v>235</v>
      </c>
      <c r="BA930" s="7" t="s">
        <v>235</v>
      </c>
      <c r="BB930" s="7"/>
      <c r="BC930" s="4" t="s">
        <v>235</v>
      </c>
      <c r="BD930" s="8" t="s">
        <v>235</v>
      </c>
      <c r="BE930" s="4" t="s">
        <v>235</v>
      </c>
      <c r="BF930" s="8" t="s">
        <v>235</v>
      </c>
      <c r="BG930" s="7" t="s">
        <v>235</v>
      </c>
      <c r="BH930" s="7" t="s">
        <v>235</v>
      </c>
      <c r="BI930" s="7"/>
      <c r="BJ930" s="4">
        <v>3</v>
      </c>
      <c r="BK930" s="8">
        <v>182</v>
      </c>
      <c r="BL930" s="2" t="s">
        <v>2343</v>
      </c>
      <c r="BM930" s="7"/>
      <c r="BN930" s="7"/>
      <c r="BO930" s="4"/>
      <c r="BP930" s="8"/>
      <c r="BQ930" s="4"/>
      <c r="BR930" s="8"/>
      <c r="BS930" s="7"/>
      <c r="BT930" s="7"/>
      <c r="BU930" s="2" t="s">
        <v>3725</v>
      </c>
      <c r="BV930" s="2" t="s">
        <v>243</v>
      </c>
      <c r="BW930" s="2" t="s">
        <v>235</v>
      </c>
      <c r="BX930" s="2" t="s">
        <v>244</v>
      </c>
      <c r="BY930" s="2" t="s">
        <v>245</v>
      </c>
      <c r="BZ930" s="2" t="s">
        <v>232</v>
      </c>
      <c r="CA930" s="2" t="s">
        <v>3726</v>
      </c>
      <c r="CB930" s="2" t="s">
        <v>3474</v>
      </c>
      <c r="CC930" s="2" t="s">
        <v>248</v>
      </c>
      <c r="CD930" s="2" t="s">
        <v>248</v>
      </c>
      <c r="CE930" s="2" t="s">
        <v>235</v>
      </c>
      <c r="CF930" s="4"/>
      <c r="CG930" s="4"/>
      <c r="CH930" s="4"/>
      <c r="CI930" s="4">
        <v>130</v>
      </c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>
        <v>130</v>
      </c>
      <c r="GE930" s="4">
        <v>129</v>
      </c>
      <c r="GF930" s="4">
        <v>128</v>
      </c>
      <c r="GG930" s="4">
        <v>127</v>
      </c>
      <c r="GH930" s="4">
        <v>126</v>
      </c>
      <c r="GI930" s="4">
        <v>122</v>
      </c>
      <c r="GJ930" s="4">
        <v>118</v>
      </c>
      <c r="GK930" s="4">
        <v>114</v>
      </c>
      <c r="GL930" s="4">
        <v>110</v>
      </c>
      <c r="GM930" s="4">
        <v>108</v>
      </c>
      <c r="GN930" s="4">
        <v>105</v>
      </c>
      <c r="GO930" s="4">
        <v>99</v>
      </c>
      <c r="GP930" s="4">
        <v>88</v>
      </c>
      <c r="GQ930" s="4">
        <v>78</v>
      </c>
      <c r="GR930" s="4">
        <v>61</v>
      </c>
      <c r="GS930" s="4">
        <v>45</v>
      </c>
      <c r="GT930" s="4">
        <v>29</v>
      </c>
      <c r="GU930" s="4">
        <v>23</v>
      </c>
      <c r="GV930" s="4">
        <v>20</v>
      </c>
      <c r="GW930" s="4">
        <v>17</v>
      </c>
      <c r="GX930" s="4">
        <v>103</v>
      </c>
      <c r="GY930" s="4">
        <v>100</v>
      </c>
      <c r="GZ930" s="4">
        <v>98</v>
      </c>
      <c r="HA930" s="4">
        <v>96</v>
      </c>
      <c r="HB930" s="4">
        <v>94</v>
      </c>
      <c r="HC930" s="4">
        <v>92</v>
      </c>
      <c r="HD930" s="19">
        <v>130</v>
      </c>
      <c r="HE930" s="19">
        <v>64.5</v>
      </c>
      <c r="HF930" s="19">
        <v>64</v>
      </c>
      <c r="HG930" s="19">
        <v>42.3</v>
      </c>
      <c r="HH930" s="19">
        <v>31.5</v>
      </c>
      <c r="HI930" s="19">
        <v>30.5</v>
      </c>
      <c r="HJ930" s="19">
        <v>39.3</v>
      </c>
      <c r="HK930" s="19">
        <v>28.5</v>
      </c>
      <c r="HL930" s="19">
        <v>18.3</v>
      </c>
      <c r="HM930" s="19">
        <v>13.5</v>
      </c>
      <c r="HN930" s="19">
        <v>9.5</v>
      </c>
      <c r="HO930" s="19">
        <v>7.1</v>
      </c>
      <c r="HP930" s="19">
        <v>5.9</v>
      </c>
      <c r="HQ930" s="19">
        <v>5.6</v>
      </c>
      <c r="HR930" s="19">
        <v>6.1</v>
      </c>
      <c r="HS930" s="19">
        <v>6.4</v>
      </c>
      <c r="HT930" s="19">
        <v>7.3</v>
      </c>
      <c r="HU930" s="19">
        <v>7.7</v>
      </c>
      <c r="HV930" s="19">
        <v>6.7</v>
      </c>
      <c r="HW930" s="19">
        <v>8.5</v>
      </c>
      <c r="HX930" s="19">
        <v>51.5</v>
      </c>
      <c r="HY930" s="19">
        <v>50</v>
      </c>
      <c r="HZ930" s="19">
        <v>49</v>
      </c>
      <c r="IA930" s="19">
        <v>48</v>
      </c>
      <c r="IB930" s="19">
        <v>47</v>
      </c>
      <c r="IC930" s="19">
        <v>46</v>
      </c>
    </row>
    <row r="931">
      <c r="A931" s="2" t="s">
        <v>3729</v>
      </c>
      <c r="B931" s="2" t="s">
        <v>905</v>
      </c>
      <c r="C931" s="2" t="s">
        <v>2746</v>
      </c>
      <c r="D931" s="2" t="s">
        <v>1177</v>
      </c>
      <c r="E931" s="2" t="s">
        <v>2747</v>
      </c>
      <c r="F931" s="2" t="s">
        <v>3722</v>
      </c>
      <c r="G931" s="2" t="s">
        <v>3722</v>
      </c>
      <c r="H931" s="2" t="s">
        <v>3722</v>
      </c>
      <c r="I931" s="2" t="s">
        <v>982</v>
      </c>
      <c r="J931" s="2" t="s">
        <v>261</v>
      </c>
      <c r="K931" s="2" t="s">
        <v>292</v>
      </c>
      <c r="L931" s="3">
        <v>76.38</v>
      </c>
      <c r="M931" s="3">
        <v>80.2</v>
      </c>
      <c r="N931" s="3">
        <v>154.99</v>
      </c>
      <c r="O931" s="2" t="s">
        <v>232</v>
      </c>
      <c r="P931" s="2" t="s">
        <v>878</v>
      </c>
      <c r="Q931" s="2" t="s">
        <v>234</v>
      </c>
      <c r="R931" s="2" t="s">
        <v>235</v>
      </c>
      <c r="S931" s="2" t="s">
        <v>3723</v>
      </c>
      <c r="T931" s="2" t="s">
        <v>879</v>
      </c>
      <c r="U931" s="2" t="s">
        <v>807</v>
      </c>
      <c r="V931" s="2" t="s">
        <v>238</v>
      </c>
      <c r="W931" s="2" t="s">
        <v>239</v>
      </c>
      <c r="X931" s="2" t="s">
        <v>235</v>
      </c>
      <c r="Y931" s="2" t="s">
        <v>3093</v>
      </c>
      <c r="Z931" s="4">
        <v>107</v>
      </c>
      <c r="AA931" s="4">
        <f>=ROUNDDOWN(21.8367346938776,0)</f>
      </c>
      <c r="AB931" s="5">
        <v>4.9</v>
      </c>
      <c r="AC931" s="2" t="s">
        <v>883</v>
      </c>
      <c r="AD931" s="4">
        <v>100</v>
      </c>
      <c r="AE931" s="4">
        <v>100</v>
      </c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235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235</v>
      </c>
      <c r="AW931" s="8" t="s">
        <v>235</v>
      </c>
      <c r="AX931" s="4" t="s">
        <v>235</v>
      </c>
      <c r="AY931" s="8" t="s">
        <v>235</v>
      </c>
      <c r="AZ931" s="7" t="s">
        <v>235</v>
      </c>
      <c r="BA931" s="7" t="s">
        <v>235</v>
      </c>
      <c r="BB931" s="7"/>
      <c r="BC931" s="4" t="s">
        <v>235</v>
      </c>
      <c r="BD931" s="8" t="s">
        <v>235</v>
      </c>
      <c r="BE931" s="4" t="s">
        <v>235</v>
      </c>
      <c r="BF931" s="8" t="s">
        <v>235</v>
      </c>
      <c r="BG931" s="7" t="s">
        <v>235</v>
      </c>
      <c r="BH931" s="7" t="s">
        <v>235</v>
      </c>
      <c r="BI931" s="7"/>
      <c r="BJ931" s="4">
        <v>5</v>
      </c>
      <c r="BK931" s="8">
        <v>425.46</v>
      </c>
      <c r="BL931" s="2" t="s">
        <v>2779</v>
      </c>
      <c r="BM931" s="7"/>
      <c r="BN931" s="7"/>
      <c r="BO931" s="4"/>
      <c r="BP931" s="8"/>
      <c r="BQ931" s="4"/>
      <c r="BR931" s="8"/>
      <c r="BS931" s="7"/>
      <c r="BT931" s="7"/>
      <c r="BU931" s="2" t="s">
        <v>3725</v>
      </c>
      <c r="BV931" s="2" t="s">
        <v>243</v>
      </c>
      <c r="BW931" s="2" t="s">
        <v>235</v>
      </c>
      <c r="BX931" s="2" t="s">
        <v>244</v>
      </c>
      <c r="BY931" s="2" t="s">
        <v>245</v>
      </c>
      <c r="BZ931" s="2" t="s">
        <v>232</v>
      </c>
      <c r="CA931" s="2" t="s">
        <v>3726</v>
      </c>
      <c r="CB931" s="2" t="s">
        <v>3730</v>
      </c>
      <c r="CC931" s="2" t="s">
        <v>248</v>
      </c>
      <c r="CD931" s="2" t="s">
        <v>248</v>
      </c>
      <c r="CE931" s="2" t="s">
        <v>235</v>
      </c>
      <c r="CF931" s="4"/>
      <c r="CG931" s="4"/>
      <c r="CH931" s="4"/>
      <c r="CI931" s="4">
        <v>107</v>
      </c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>
        <v>100</v>
      </c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>
        <v>107</v>
      </c>
      <c r="GE931" s="4">
        <v>205</v>
      </c>
      <c r="GF931" s="4">
        <v>203</v>
      </c>
      <c r="GG931" s="4">
        <v>201</v>
      </c>
      <c r="GH931" s="4">
        <v>199</v>
      </c>
      <c r="GI931" s="4">
        <v>190</v>
      </c>
      <c r="GJ931" s="4">
        <v>181</v>
      </c>
      <c r="GK931" s="4">
        <v>172</v>
      </c>
      <c r="GL931" s="4">
        <v>163</v>
      </c>
      <c r="GM931" s="4">
        <v>156</v>
      </c>
      <c r="GN931" s="4">
        <v>146</v>
      </c>
      <c r="GO931" s="4">
        <v>135</v>
      </c>
      <c r="GP931" s="4">
        <v>112</v>
      </c>
      <c r="GQ931" s="4">
        <v>91</v>
      </c>
      <c r="GR931" s="4">
        <v>51</v>
      </c>
      <c r="GS931" s="4">
        <v>10</v>
      </c>
      <c r="GT931" s="4"/>
      <c r="GU931" s="4"/>
      <c r="GV931" s="4"/>
      <c r="GW931" s="4"/>
      <c r="GX931" s="4">
        <v>189</v>
      </c>
      <c r="GY931" s="4">
        <v>182</v>
      </c>
      <c r="GZ931" s="4">
        <v>178</v>
      </c>
      <c r="HA931" s="4">
        <v>174</v>
      </c>
      <c r="HB931" s="4">
        <v>170</v>
      </c>
      <c r="HC931" s="4">
        <v>166</v>
      </c>
      <c r="HD931" s="19">
        <v>53.5</v>
      </c>
      <c r="HE931" s="19">
        <v>51.3</v>
      </c>
      <c r="HF931" s="19">
        <v>33.8</v>
      </c>
      <c r="HG931" s="19">
        <v>28.7</v>
      </c>
      <c r="HH931" s="19">
        <v>22.1</v>
      </c>
      <c r="HI931" s="19">
        <v>23.8</v>
      </c>
      <c r="HJ931" s="19">
        <v>20.1</v>
      </c>
      <c r="HK931" s="19">
        <v>19.1</v>
      </c>
      <c r="HL931" s="19">
        <v>12.5</v>
      </c>
      <c r="HM931" s="19">
        <v>9.8</v>
      </c>
      <c r="HN931" s="19">
        <v>6.1</v>
      </c>
      <c r="HO931" s="19">
        <v>4.4</v>
      </c>
      <c r="HP931" s="19">
        <v>3.5</v>
      </c>
      <c r="HQ931" s="19">
        <v>3</v>
      </c>
      <c r="HR931" s="19">
        <v>2.3</v>
      </c>
      <c r="HS931" s="19">
        <v>0.8</v>
      </c>
      <c r="HT931" s="20">
        <v>0</v>
      </c>
      <c r="HU931" s="20">
        <v>0</v>
      </c>
      <c r="HV931" s="20">
        <v>0</v>
      </c>
      <c r="HW931" s="20">
        <v>0</v>
      </c>
      <c r="HX931" s="19">
        <v>37.8</v>
      </c>
      <c r="HY931" s="19">
        <v>45.5</v>
      </c>
      <c r="HZ931" s="19">
        <v>44.5</v>
      </c>
      <c r="IA931" s="19">
        <v>58</v>
      </c>
      <c r="IB931" s="19">
        <v>85</v>
      </c>
      <c r="IC931" s="19">
        <v>83</v>
      </c>
    </row>
    <row r="932">
      <c r="A932" s="2" t="s">
        <v>3731</v>
      </c>
      <c r="B932" s="2" t="s">
        <v>905</v>
      </c>
      <c r="C932" s="2" t="s">
        <v>2746</v>
      </c>
      <c r="D932" s="2" t="s">
        <v>1177</v>
      </c>
      <c r="E932" s="2" t="s">
        <v>2747</v>
      </c>
      <c r="F932" s="2" t="s">
        <v>3722</v>
      </c>
      <c r="G932" s="2" t="s">
        <v>3722</v>
      </c>
      <c r="H932" s="2" t="s">
        <v>3722</v>
      </c>
      <c r="I932" s="2" t="s">
        <v>982</v>
      </c>
      <c r="J932" s="2" t="s">
        <v>270</v>
      </c>
      <c r="K932" s="2" t="s">
        <v>292</v>
      </c>
      <c r="L932" s="3">
        <v>87.16</v>
      </c>
      <c r="M932" s="3">
        <v>91.52</v>
      </c>
      <c r="N932" s="3">
        <v>179.99</v>
      </c>
      <c r="O932" s="2" t="s">
        <v>232</v>
      </c>
      <c r="P932" s="2" t="s">
        <v>878</v>
      </c>
      <c r="Q932" s="2" t="s">
        <v>234</v>
      </c>
      <c r="R932" s="2" t="s">
        <v>235</v>
      </c>
      <c r="S932" s="2" t="s">
        <v>3723</v>
      </c>
      <c r="T932" s="2" t="s">
        <v>879</v>
      </c>
      <c r="U932" s="2" t="s">
        <v>807</v>
      </c>
      <c r="V932" s="2" t="s">
        <v>238</v>
      </c>
      <c r="W932" s="2" t="s">
        <v>239</v>
      </c>
      <c r="X932" s="2" t="s">
        <v>235</v>
      </c>
      <c r="Y932" s="2" t="s">
        <v>3093</v>
      </c>
      <c r="Z932" s="4">
        <v>153</v>
      </c>
      <c r="AA932" s="4">
        <f>=ROUNDDOWN(20.6756756756757,0)</f>
      </c>
      <c r="AB932" s="5">
        <v>7.4</v>
      </c>
      <c r="AC932" s="2" t="s">
        <v>235</v>
      </c>
      <c r="AD932" s="4"/>
      <c r="AE932" s="4"/>
      <c r="AF932" s="6">
        <v>66</v>
      </c>
      <c r="AG932" s="6"/>
      <c r="AH932" s="7">
        <v>1</v>
      </c>
      <c r="AI932" s="4"/>
      <c r="AJ932" s="4">
        <f>=ROUNDDOWN({0},0)</f>
      </c>
      <c r="AK932" s="5"/>
      <c r="AL932" s="2" t="s">
        <v>235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235</v>
      </c>
      <c r="AW932" s="8" t="s">
        <v>235</v>
      </c>
      <c r="AX932" s="4" t="s">
        <v>235</v>
      </c>
      <c r="AY932" s="8" t="s">
        <v>235</v>
      </c>
      <c r="AZ932" s="7" t="s">
        <v>235</v>
      </c>
      <c r="BA932" s="7" t="s">
        <v>235</v>
      </c>
      <c r="BB932" s="7"/>
      <c r="BC932" s="4" t="s">
        <v>235</v>
      </c>
      <c r="BD932" s="8" t="s">
        <v>235</v>
      </c>
      <c r="BE932" s="4" t="s">
        <v>235</v>
      </c>
      <c r="BF932" s="8" t="s">
        <v>235</v>
      </c>
      <c r="BG932" s="7" t="s">
        <v>235</v>
      </c>
      <c r="BH932" s="7" t="s">
        <v>235</v>
      </c>
      <c r="BI932" s="7"/>
      <c r="BJ932" s="4">
        <v>12</v>
      </c>
      <c r="BK932" s="8">
        <v>1237.52</v>
      </c>
      <c r="BL932" s="2" t="s">
        <v>3477</v>
      </c>
      <c r="BM932" s="7"/>
      <c r="BN932" s="7"/>
      <c r="BO932" s="4"/>
      <c r="BP932" s="8"/>
      <c r="BQ932" s="4"/>
      <c r="BR932" s="8"/>
      <c r="BS932" s="7"/>
      <c r="BT932" s="7"/>
      <c r="BU932" s="2" t="s">
        <v>3725</v>
      </c>
      <c r="BV932" s="2" t="s">
        <v>243</v>
      </c>
      <c r="BW932" s="2" t="s">
        <v>235</v>
      </c>
      <c r="BX932" s="2" t="s">
        <v>244</v>
      </c>
      <c r="BY932" s="2" t="s">
        <v>245</v>
      </c>
      <c r="BZ932" s="2" t="s">
        <v>232</v>
      </c>
      <c r="CA932" s="2" t="s">
        <v>3726</v>
      </c>
      <c r="CB932" s="2" t="s">
        <v>1873</v>
      </c>
      <c r="CC932" s="2" t="s">
        <v>248</v>
      </c>
      <c r="CD932" s="2" t="s">
        <v>248</v>
      </c>
      <c r="CE932" s="2" t="s">
        <v>235</v>
      </c>
      <c r="CF932" s="4"/>
      <c r="CG932" s="4"/>
      <c r="CH932" s="4"/>
      <c r="CI932" s="4">
        <v>153</v>
      </c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>
        <v>154</v>
      </c>
      <c r="GE932" s="4">
        <v>150</v>
      </c>
      <c r="GF932" s="4">
        <v>147</v>
      </c>
      <c r="GG932" s="4">
        <v>144</v>
      </c>
      <c r="GH932" s="4">
        <v>141</v>
      </c>
      <c r="GI932" s="4">
        <v>136</v>
      </c>
      <c r="GJ932" s="4">
        <v>131</v>
      </c>
      <c r="GK932" s="4">
        <v>126</v>
      </c>
      <c r="GL932" s="4">
        <v>121</v>
      </c>
      <c r="GM932" s="4">
        <v>117</v>
      </c>
      <c r="GN932" s="4">
        <v>112</v>
      </c>
      <c r="GO932" s="4">
        <v>106</v>
      </c>
      <c r="GP932" s="4">
        <v>95</v>
      </c>
      <c r="GQ932" s="4">
        <v>83</v>
      </c>
      <c r="GR932" s="4">
        <v>64</v>
      </c>
      <c r="GS932" s="4">
        <v>46</v>
      </c>
      <c r="GT932" s="4">
        <v>30</v>
      </c>
      <c r="GU932" s="4">
        <v>22</v>
      </c>
      <c r="GV932" s="4">
        <v>17</v>
      </c>
      <c r="GW932" s="4">
        <v>12</v>
      </c>
      <c r="GX932" s="4">
        <v>161</v>
      </c>
      <c r="GY932" s="4">
        <v>156</v>
      </c>
      <c r="GZ932" s="4">
        <v>150</v>
      </c>
      <c r="HA932" s="4">
        <v>144</v>
      </c>
      <c r="HB932" s="4">
        <v>138</v>
      </c>
      <c r="HC932" s="4">
        <v>132</v>
      </c>
      <c r="HD932" s="19">
        <v>51.3</v>
      </c>
      <c r="HE932" s="19">
        <v>37.5</v>
      </c>
      <c r="HF932" s="19">
        <v>36.8</v>
      </c>
      <c r="HG932" s="19">
        <v>36</v>
      </c>
      <c r="HH932" s="19">
        <v>28.2</v>
      </c>
      <c r="HI932" s="19">
        <v>27.2</v>
      </c>
      <c r="HJ932" s="19">
        <v>26.2</v>
      </c>
      <c r="HK932" s="19">
        <v>25.2</v>
      </c>
      <c r="HL932" s="19">
        <v>20.2</v>
      </c>
      <c r="HM932" s="19">
        <v>14.6</v>
      </c>
      <c r="HN932" s="19">
        <v>9.3</v>
      </c>
      <c r="HO932" s="19">
        <v>7.1</v>
      </c>
      <c r="HP932" s="19">
        <v>5.9</v>
      </c>
      <c r="HQ932" s="19">
        <v>5.5</v>
      </c>
      <c r="HR932" s="19">
        <v>5.3</v>
      </c>
      <c r="HS932" s="19">
        <v>5.8</v>
      </c>
      <c r="HT932" s="19">
        <v>5</v>
      </c>
      <c r="HU932" s="19">
        <v>4.4</v>
      </c>
      <c r="HV932" s="19">
        <v>3.4</v>
      </c>
      <c r="HW932" s="19">
        <v>2</v>
      </c>
      <c r="HX932" s="19">
        <v>26.8</v>
      </c>
      <c r="HY932" s="19">
        <v>26</v>
      </c>
      <c r="HZ932" s="19">
        <v>25</v>
      </c>
      <c r="IA932" s="19">
        <v>28.8</v>
      </c>
      <c r="IB932" s="19">
        <v>34.5</v>
      </c>
      <c r="IC932" s="19">
        <v>33</v>
      </c>
    </row>
    <row r="933">
      <c r="A933" s="2" t="s">
        <v>3732</v>
      </c>
      <c r="B933" s="2" t="s">
        <v>905</v>
      </c>
      <c r="C933" s="2" t="s">
        <v>2746</v>
      </c>
      <c r="D933" s="2" t="s">
        <v>1177</v>
      </c>
      <c r="E933" s="2" t="s">
        <v>2747</v>
      </c>
      <c r="F933" s="2" t="s">
        <v>3722</v>
      </c>
      <c r="G933" s="2" t="s">
        <v>3722</v>
      </c>
      <c r="H933" s="2" t="s">
        <v>3722</v>
      </c>
      <c r="I933" s="2" t="s">
        <v>982</v>
      </c>
      <c r="J933" s="2" t="s">
        <v>394</v>
      </c>
      <c r="K933" s="2" t="s">
        <v>295</v>
      </c>
      <c r="L933" s="3">
        <v>49.04</v>
      </c>
      <c r="M933" s="3">
        <v>51.49</v>
      </c>
      <c r="N933" s="3">
        <v>99.99</v>
      </c>
      <c r="O933" s="2" t="s">
        <v>232</v>
      </c>
      <c r="P933" s="2" t="s">
        <v>878</v>
      </c>
      <c r="Q933" s="2" t="s">
        <v>234</v>
      </c>
      <c r="R933" s="2" t="s">
        <v>235</v>
      </c>
      <c r="S933" s="2" t="s">
        <v>3733</v>
      </c>
      <c r="T933" s="2" t="s">
        <v>879</v>
      </c>
      <c r="U933" s="2" t="s">
        <v>807</v>
      </c>
      <c r="V933" s="2" t="s">
        <v>238</v>
      </c>
      <c r="W933" s="2" t="s">
        <v>239</v>
      </c>
      <c r="X933" s="2" t="s">
        <v>235</v>
      </c>
      <c r="Y933" s="2" t="s">
        <v>3093</v>
      </c>
      <c r="Z933" s="4">
        <v>29</v>
      </c>
      <c r="AA933" s="4">
        <f>=ROUNDDOWN(4.14285714285714,0)</f>
      </c>
      <c r="AB933" s="5">
        <v>7</v>
      </c>
      <c r="AC933" s="2" t="s">
        <v>883</v>
      </c>
      <c r="AD933" s="4">
        <v>110</v>
      </c>
      <c r="AE933" s="4">
        <v>110</v>
      </c>
      <c r="AF933" s="6">
        <v>66</v>
      </c>
      <c r="AG933" s="6"/>
      <c r="AH933" s="7">
        <v>1</v>
      </c>
      <c r="AI933" s="4"/>
      <c r="AJ933" s="4">
        <f>=ROUNDDOWN({0},0)</f>
      </c>
      <c r="AK933" s="5"/>
      <c r="AL933" s="2" t="s">
        <v>235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235</v>
      </c>
      <c r="AW933" s="8" t="s">
        <v>235</v>
      </c>
      <c r="AX933" s="4" t="s">
        <v>235</v>
      </c>
      <c r="AY933" s="8" t="s">
        <v>235</v>
      </c>
      <c r="AZ933" s="7" t="s">
        <v>235</v>
      </c>
      <c r="BA933" s="7" t="s">
        <v>235</v>
      </c>
      <c r="BB933" s="7"/>
      <c r="BC933" s="4" t="s">
        <v>235</v>
      </c>
      <c r="BD933" s="8" t="s">
        <v>235</v>
      </c>
      <c r="BE933" s="4" t="s">
        <v>235</v>
      </c>
      <c r="BF933" s="8" t="s">
        <v>235</v>
      </c>
      <c r="BG933" s="7" t="s">
        <v>235</v>
      </c>
      <c r="BH933" s="7" t="s">
        <v>235</v>
      </c>
      <c r="BI933" s="7"/>
      <c r="BJ933" s="4">
        <v>4</v>
      </c>
      <c r="BK933" s="8">
        <v>219.31</v>
      </c>
      <c r="BL933" s="2" t="s">
        <v>3724</v>
      </c>
      <c r="BM933" s="7"/>
      <c r="BN933" s="7"/>
      <c r="BO933" s="4"/>
      <c r="BP933" s="8"/>
      <c r="BQ933" s="4"/>
      <c r="BR933" s="8"/>
      <c r="BS933" s="7"/>
      <c r="BT933" s="7"/>
      <c r="BU933" s="2" t="s">
        <v>3725</v>
      </c>
      <c r="BV933" s="2" t="s">
        <v>243</v>
      </c>
      <c r="BW933" s="2" t="s">
        <v>235</v>
      </c>
      <c r="BX933" s="2" t="s">
        <v>244</v>
      </c>
      <c r="BY933" s="2" t="s">
        <v>245</v>
      </c>
      <c r="BZ933" s="2" t="s">
        <v>232</v>
      </c>
      <c r="CA933" s="2" t="s">
        <v>3726</v>
      </c>
      <c r="CB933" s="2" t="s">
        <v>3734</v>
      </c>
      <c r="CC933" s="2" t="s">
        <v>248</v>
      </c>
      <c r="CD933" s="2" t="s">
        <v>248</v>
      </c>
      <c r="CE933" s="2" t="s">
        <v>235</v>
      </c>
      <c r="CF933" s="4"/>
      <c r="CG933" s="4"/>
      <c r="CH933" s="4"/>
      <c r="CI933" s="4">
        <v>29</v>
      </c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>
        <v>110</v>
      </c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>
        <v>30</v>
      </c>
      <c r="GE933" s="4">
        <v>138</v>
      </c>
      <c r="GF933" s="4">
        <v>137</v>
      </c>
      <c r="GG933" s="4">
        <v>136</v>
      </c>
      <c r="GH933" s="4">
        <v>135</v>
      </c>
      <c r="GI933" s="4">
        <v>130</v>
      </c>
      <c r="GJ933" s="4">
        <v>125</v>
      </c>
      <c r="GK933" s="4">
        <v>120</v>
      </c>
      <c r="GL933" s="4">
        <v>115</v>
      </c>
      <c r="GM933" s="4">
        <v>112</v>
      </c>
      <c r="GN933" s="4">
        <v>108</v>
      </c>
      <c r="GO933" s="4">
        <v>100</v>
      </c>
      <c r="GP933" s="4">
        <v>86</v>
      </c>
      <c r="GQ933" s="4">
        <v>73</v>
      </c>
      <c r="GR933" s="4">
        <v>51</v>
      </c>
      <c r="GS933" s="4">
        <v>31</v>
      </c>
      <c r="GT933" s="4">
        <v>11</v>
      </c>
      <c r="GU933" s="4">
        <v>3</v>
      </c>
      <c r="GV933" s="4"/>
      <c r="GW933" s="4"/>
      <c r="GX933" s="4">
        <v>85</v>
      </c>
      <c r="GY933" s="4">
        <v>81</v>
      </c>
      <c r="GZ933" s="4">
        <v>75</v>
      </c>
      <c r="HA933" s="4">
        <v>69</v>
      </c>
      <c r="HB933" s="4">
        <v>63</v>
      </c>
      <c r="HC933" s="4">
        <v>57</v>
      </c>
      <c r="HD933" s="19">
        <v>30</v>
      </c>
      <c r="HE933" s="19">
        <v>69</v>
      </c>
      <c r="HF933" s="19">
        <v>45.7</v>
      </c>
      <c r="HG933" s="19">
        <v>34</v>
      </c>
      <c r="HH933" s="19">
        <v>27</v>
      </c>
      <c r="HI933" s="19">
        <v>32.5</v>
      </c>
      <c r="HJ933" s="19">
        <v>31.3</v>
      </c>
      <c r="HK933" s="19">
        <v>24</v>
      </c>
      <c r="HL933" s="19">
        <v>16.4</v>
      </c>
      <c r="HM933" s="19">
        <v>11.2</v>
      </c>
      <c r="HN933" s="19">
        <v>7.7</v>
      </c>
      <c r="HO933" s="19">
        <v>5.9</v>
      </c>
      <c r="HP933" s="19">
        <v>4.5</v>
      </c>
      <c r="HQ933" s="19">
        <v>4.1</v>
      </c>
      <c r="HR933" s="19">
        <v>3.9</v>
      </c>
      <c r="HS933" s="19">
        <v>3.4</v>
      </c>
      <c r="HT933" s="19">
        <v>2.2</v>
      </c>
      <c r="HU933" s="19">
        <v>0.8</v>
      </c>
      <c r="HV933" s="20">
        <v>0</v>
      </c>
      <c r="HW933" s="20">
        <v>0</v>
      </c>
      <c r="HX933" s="19">
        <v>14.2</v>
      </c>
      <c r="HY933" s="19">
        <v>13.5</v>
      </c>
      <c r="HZ933" s="19">
        <v>12.5</v>
      </c>
      <c r="IA933" s="19">
        <v>13.8</v>
      </c>
      <c r="IB933" s="19">
        <v>15.8</v>
      </c>
      <c r="IC933" s="19">
        <v>14.3</v>
      </c>
    </row>
    <row r="934">
      <c r="A934" s="2" t="s">
        <v>3735</v>
      </c>
      <c r="B934" s="2" t="s">
        <v>905</v>
      </c>
      <c r="C934" s="2" t="s">
        <v>2746</v>
      </c>
      <c r="D934" s="2" t="s">
        <v>1177</v>
      </c>
      <c r="E934" s="2" t="s">
        <v>2747</v>
      </c>
      <c r="F934" s="2" t="s">
        <v>3722</v>
      </c>
      <c r="G934" s="2" t="s">
        <v>3722</v>
      </c>
      <c r="H934" s="2" t="s">
        <v>3722</v>
      </c>
      <c r="I934" s="2" t="s">
        <v>982</v>
      </c>
      <c r="J934" s="2" t="s">
        <v>250</v>
      </c>
      <c r="K934" s="2" t="s">
        <v>295</v>
      </c>
      <c r="L934" s="3">
        <v>54.42</v>
      </c>
      <c r="M934" s="3">
        <v>57.14</v>
      </c>
      <c r="N934" s="3">
        <v>119.99</v>
      </c>
      <c r="O934" s="2" t="s">
        <v>232</v>
      </c>
      <c r="P934" s="2" t="s">
        <v>878</v>
      </c>
      <c r="Q934" s="2" t="s">
        <v>234</v>
      </c>
      <c r="R934" s="2" t="s">
        <v>235</v>
      </c>
      <c r="S934" s="2" t="s">
        <v>3733</v>
      </c>
      <c r="T934" s="2" t="s">
        <v>879</v>
      </c>
      <c r="U934" s="2" t="s">
        <v>807</v>
      </c>
      <c r="V934" s="2" t="s">
        <v>238</v>
      </c>
      <c r="W934" s="2" t="s">
        <v>239</v>
      </c>
      <c r="X934" s="2" t="s">
        <v>235</v>
      </c>
      <c r="Y934" s="2" t="s">
        <v>3093</v>
      </c>
      <c r="Z934" s="4">
        <v>56</v>
      </c>
      <c r="AA934" s="4">
        <f>=ROUNDDOWN(3.52201257861635,0)</f>
      </c>
      <c r="AB934" s="5">
        <v>15.9</v>
      </c>
      <c r="AC934" s="2" t="s">
        <v>235</v>
      </c>
      <c r="AD934" s="4"/>
      <c r="AE934" s="4"/>
      <c r="AF934" s="6">
        <v>66</v>
      </c>
      <c r="AG934" s="6"/>
      <c r="AH934" s="7">
        <v>1</v>
      </c>
      <c r="AI934" s="4"/>
      <c r="AJ934" s="4">
        <f>=ROUNDDOWN({0},0)</f>
      </c>
      <c r="AK934" s="5"/>
      <c r="AL934" s="2" t="s">
        <v>235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235</v>
      </c>
      <c r="AW934" s="8" t="s">
        <v>235</v>
      </c>
      <c r="AX934" s="4" t="s">
        <v>235</v>
      </c>
      <c r="AY934" s="8" t="s">
        <v>235</v>
      </c>
      <c r="AZ934" s="7" t="s">
        <v>235</v>
      </c>
      <c r="BA934" s="7" t="s">
        <v>235</v>
      </c>
      <c r="BB934" s="7"/>
      <c r="BC934" s="4" t="s">
        <v>235</v>
      </c>
      <c r="BD934" s="8" t="s">
        <v>235</v>
      </c>
      <c r="BE934" s="4" t="s">
        <v>235</v>
      </c>
      <c r="BF934" s="8" t="s">
        <v>235</v>
      </c>
      <c r="BG934" s="7" t="s">
        <v>235</v>
      </c>
      <c r="BH934" s="7" t="s">
        <v>235</v>
      </c>
      <c r="BI934" s="7"/>
      <c r="BJ934" s="4">
        <v>21</v>
      </c>
      <c r="BK934" s="8">
        <v>1278.57</v>
      </c>
      <c r="BL934" s="2" t="s">
        <v>3736</v>
      </c>
      <c r="BM934" s="7"/>
      <c r="BN934" s="7"/>
      <c r="BO934" s="4"/>
      <c r="BP934" s="8"/>
      <c r="BQ934" s="4"/>
      <c r="BR934" s="8"/>
      <c r="BS934" s="7"/>
      <c r="BT934" s="7"/>
      <c r="BU934" s="2" t="s">
        <v>3725</v>
      </c>
      <c r="BV934" s="2" t="s">
        <v>243</v>
      </c>
      <c r="BW934" s="2" t="s">
        <v>235</v>
      </c>
      <c r="BX934" s="2" t="s">
        <v>244</v>
      </c>
      <c r="BY934" s="2" t="s">
        <v>245</v>
      </c>
      <c r="BZ934" s="2" t="s">
        <v>232</v>
      </c>
      <c r="CA934" s="2" t="s">
        <v>3726</v>
      </c>
      <c r="CB934" s="2" t="s">
        <v>790</v>
      </c>
      <c r="CC934" s="2" t="s">
        <v>248</v>
      </c>
      <c r="CD934" s="2" t="s">
        <v>248</v>
      </c>
      <c r="CE934" s="2" t="s">
        <v>235</v>
      </c>
      <c r="CF934" s="4"/>
      <c r="CG934" s="4"/>
      <c r="CH934" s="4"/>
      <c r="CI934" s="4">
        <v>56</v>
      </c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>
        <v>58</v>
      </c>
      <c r="GE934" s="4">
        <v>53</v>
      </c>
      <c r="GF934" s="4">
        <v>50</v>
      </c>
      <c r="GG934" s="4">
        <v>47</v>
      </c>
      <c r="GH934" s="4">
        <v>44</v>
      </c>
      <c r="GI934" s="4">
        <v>38</v>
      </c>
      <c r="GJ934" s="4">
        <v>32</v>
      </c>
      <c r="GK934" s="4">
        <v>26</v>
      </c>
      <c r="GL934" s="4">
        <v>20</v>
      </c>
      <c r="GM934" s="4">
        <v>17</v>
      </c>
      <c r="GN934" s="4">
        <v>13</v>
      </c>
      <c r="GO934" s="4">
        <v>4</v>
      </c>
      <c r="GP934" s="4"/>
      <c r="GQ934" s="4"/>
      <c r="GR934" s="4"/>
      <c r="GS934" s="4"/>
      <c r="GT934" s="4"/>
      <c r="GU934" s="4"/>
      <c r="GV934" s="4"/>
      <c r="GW934" s="4"/>
      <c r="GX934" s="4">
        <v>176</v>
      </c>
      <c r="GY934" s="4">
        <v>172</v>
      </c>
      <c r="GZ934" s="4">
        <v>159</v>
      </c>
      <c r="HA934" s="4">
        <v>146</v>
      </c>
      <c r="HB934" s="4">
        <v>133</v>
      </c>
      <c r="HC934" s="4">
        <v>120</v>
      </c>
      <c r="HD934" s="19">
        <v>14.5</v>
      </c>
      <c r="HE934" s="19">
        <v>13.3</v>
      </c>
      <c r="HF934" s="19">
        <v>12.5</v>
      </c>
      <c r="HG934" s="19">
        <v>9.4</v>
      </c>
      <c r="HH934" s="19">
        <v>7.3</v>
      </c>
      <c r="HI934" s="19">
        <v>7.6</v>
      </c>
      <c r="HJ934" s="19">
        <v>6.4</v>
      </c>
      <c r="HK934" s="19">
        <v>4.3</v>
      </c>
      <c r="HL934" s="19">
        <v>2.5</v>
      </c>
      <c r="HM934" s="19">
        <v>1.4</v>
      </c>
      <c r="HN934" s="19">
        <v>0.8</v>
      </c>
      <c r="HO934" s="19">
        <v>0.2</v>
      </c>
      <c r="HP934" s="20">
        <v>0</v>
      </c>
      <c r="HQ934" s="20">
        <v>0</v>
      </c>
      <c r="HR934" s="20">
        <v>0</v>
      </c>
      <c r="HS934" s="20">
        <v>0</v>
      </c>
      <c r="HT934" s="20">
        <v>0</v>
      </c>
      <c r="HU934" s="20">
        <v>0</v>
      </c>
      <c r="HV934" s="20">
        <v>0</v>
      </c>
      <c r="HW934" s="20">
        <v>0</v>
      </c>
      <c r="HX934" s="19">
        <v>16</v>
      </c>
      <c r="HY934" s="19">
        <v>13.2</v>
      </c>
      <c r="HZ934" s="19">
        <v>13.3</v>
      </c>
      <c r="IA934" s="19">
        <v>14.6</v>
      </c>
      <c r="IB934" s="19">
        <v>14.8</v>
      </c>
      <c r="IC934" s="19">
        <v>15</v>
      </c>
    </row>
    <row r="935">
      <c r="A935" s="2" t="s">
        <v>3737</v>
      </c>
      <c r="B935" s="2" t="s">
        <v>905</v>
      </c>
      <c r="C935" s="2" t="s">
        <v>2746</v>
      </c>
      <c r="D935" s="2" t="s">
        <v>1177</v>
      </c>
      <c r="E935" s="2" t="s">
        <v>2747</v>
      </c>
      <c r="F935" s="2" t="s">
        <v>3722</v>
      </c>
      <c r="G935" s="2" t="s">
        <v>3722</v>
      </c>
      <c r="H935" s="2" t="s">
        <v>3722</v>
      </c>
      <c r="I935" s="2" t="s">
        <v>982</v>
      </c>
      <c r="J935" s="2" t="s">
        <v>250</v>
      </c>
      <c r="K935" s="2" t="s">
        <v>600</v>
      </c>
      <c r="L935" s="3">
        <v>54.42</v>
      </c>
      <c r="M935" s="3">
        <v>57.14</v>
      </c>
      <c r="N935" s="3">
        <v>119.99</v>
      </c>
      <c r="O935" s="2" t="s">
        <v>232</v>
      </c>
      <c r="P935" s="2" t="s">
        <v>878</v>
      </c>
      <c r="Q935" s="2" t="s">
        <v>234</v>
      </c>
      <c r="R935" s="2" t="s">
        <v>235</v>
      </c>
      <c r="S935" s="2" t="s">
        <v>3738</v>
      </c>
      <c r="T935" s="2" t="s">
        <v>879</v>
      </c>
      <c r="U935" s="2" t="s">
        <v>807</v>
      </c>
      <c r="V935" s="2" t="s">
        <v>238</v>
      </c>
      <c r="W935" s="2" t="s">
        <v>239</v>
      </c>
      <c r="X935" s="2" t="s">
        <v>235</v>
      </c>
      <c r="Y935" s="2" t="s">
        <v>3093</v>
      </c>
      <c r="Z935" s="4">
        <v>156</v>
      </c>
      <c r="AA935" s="4">
        <f>=ROUNDDOWN(34.6666666666667,0)</f>
      </c>
      <c r="AB935" s="5">
        <v>4.5</v>
      </c>
      <c r="AC935" s="2" t="s">
        <v>235</v>
      </c>
      <c r="AD935" s="4"/>
      <c r="AE935" s="4"/>
      <c r="AF935" s="6">
        <v>66</v>
      </c>
      <c r="AG935" s="6"/>
      <c r="AH935" s="7">
        <v>1</v>
      </c>
      <c r="AI935" s="4"/>
      <c r="AJ935" s="4">
        <f>=ROUNDDOWN({0},0)</f>
      </c>
      <c r="AK935" s="5"/>
      <c r="AL935" s="2" t="s">
        <v>235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235</v>
      </c>
      <c r="AW935" s="8" t="s">
        <v>235</v>
      </c>
      <c r="AX935" s="4" t="s">
        <v>235</v>
      </c>
      <c r="AY935" s="8" t="s">
        <v>235</v>
      </c>
      <c r="AZ935" s="7" t="s">
        <v>235</v>
      </c>
      <c r="BA935" s="7" t="s">
        <v>235</v>
      </c>
      <c r="BB935" s="7"/>
      <c r="BC935" s="4" t="s">
        <v>235</v>
      </c>
      <c r="BD935" s="8" t="s">
        <v>235</v>
      </c>
      <c r="BE935" s="4" t="s">
        <v>235</v>
      </c>
      <c r="BF935" s="8" t="s">
        <v>235</v>
      </c>
      <c r="BG935" s="7" t="s">
        <v>235</v>
      </c>
      <c r="BH935" s="7" t="s">
        <v>235</v>
      </c>
      <c r="BI935" s="7"/>
      <c r="BJ935" s="4">
        <v>6</v>
      </c>
      <c r="BK935" s="8">
        <v>362.42</v>
      </c>
      <c r="BL935" s="2" t="s">
        <v>1097</v>
      </c>
      <c r="BM935" s="7"/>
      <c r="BN935" s="7"/>
      <c r="BO935" s="4"/>
      <c r="BP935" s="8"/>
      <c r="BQ935" s="4"/>
      <c r="BR935" s="8"/>
      <c r="BS935" s="7"/>
      <c r="BT935" s="7"/>
      <c r="BU935" s="2" t="s">
        <v>3725</v>
      </c>
      <c r="BV935" s="2" t="s">
        <v>243</v>
      </c>
      <c r="BW935" s="2" t="s">
        <v>235</v>
      </c>
      <c r="BX935" s="2" t="s">
        <v>244</v>
      </c>
      <c r="BY935" s="2" t="s">
        <v>245</v>
      </c>
      <c r="BZ935" s="2" t="s">
        <v>232</v>
      </c>
      <c r="CA935" s="2" t="s">
        <v>3726</v>
      </c>
      <c r="CB935" s="2" t="s">
        <v>3730</v>
      </c>
      <c r="CC935" s="2" t="s">
        <v>248</v>
      </c>
      <c r="CD935" s="2" t="s">
        <v>248</v>
      </c>
      <c r="CE935" s="2" t="s">
        <v>235</v>
      </c>
      <c r="CF935" s="4"/>
      <c r="CG935" s="4"/>
      <c r="CH935" s="4"/>
      <c r="CI935" s="4">
        <v>156</v>
      </c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>
        <v>156</v>
      </c>
      <c r="GE935" s="4">
        <v>155</v>
      </c>
      <c r="GF935" s="4">
        <v>154</v>
      </c>
      <c r="GG935" s="4">
        <v>153</v>
      </c>
      <c r="GH935" s="4">
        <v>152</v>
      </c>
      <c r="GI935" s="4">
        <v>146</v>
      </c>
      <c r="GJ935" s="4">
        <v>140</v>
      </c>
      <c r="GK935" s="4">
        <v>134</v>
      </c>
      <c r="GL935" s="4">
        <v>128</v>
      </c>
      <c r="GM935" s="4">
        <v>125</v>
      </c>
      <c r="GN935" s="4">
        <v>121</v>
      </c>
      <c r="GO935" s="4">
        <v>112</v>
      </c>
      <c r="GP935" s="4">
        <v>95</v>
      </c>
      <c r="GQ935" s="4">
        <v>79</v>
      </c>
      <c r="GR935" s="4">
        <v>53</v>
      </c>
      <c r="GS935" s="4">
        <v>29</v>
      </c>
      <c r="GT935" s="4">
        <v>5</v>
      </c>
      <c r="GU935" s="4"/>
      <c r="GV935" s="4"/>
      <c r="GW935" s="4"/>
      <c r="GX935" s="4">
        <v>180</v>
      </c>
      <c r="GY935" s="4">
        <v>176</v>
      </c>
      <c r="GZ935" s="4">
        <v>172</v>
      </c>
      <c r="HA935" s="4">
        <v>168</v>
      </c>
      <c r="HB935" s="4">
        <v>164</v>
      </c>
      <c r="HC935" s="4">
        <v>160</v>
      </c>
      <c r="HD935" s="19">
        <v>156</v>
      </c>
      <c r="HE935" s="19">
        <v>77.5</v>
      </c>
      <c r="HF935" s="19">
        <v>38.5</v>
      </c>
      <c r="HG935" s="19">
        <v>30.6</v>
      </c>
      <c r="HH935" s="19">
        <v>25.3</v>
      </c>
      <c r="HI935" s="19">
        <v>29.2</v>
      </c>
      <c r="HJ935" s="19">
        <v>28</v>
      </c>
      <c r="HK935" s="19">
        <v>22.3</v>
      </c>
      <c r="HL935" s="19">
        <v>16</v>
      </c>
      <c r="HM935" s="19">
        <v>10.4</v>
      </c>
      <c r="HN935" s="19">
        <v>7.1</v>
      </c>
      <c r="HO935" s="19">
        <v>5.3</v>
      </c>
      <c r="HP935" s="19">
        <v>4.3</v>
      </c>
      <c r="HQ935" s="19">
        <v>3.8</v>
      </c>
      <c r="HR935" s="19">
        <v>3.3</v>
      </c>
      <c r="HS935" s="19">
        <v>2.9</v>
      </c>
      <c r="HT935" s="19">
        <v>0.8</v>
      </c>
      <c r="HU935" s="20">
        <v>0</v>
      </c>
      <c r="HV935" s="20">
        <v>0</v>
      </c>
      <c r="HW935" s="20">
        <v>0</v>
      </c>
      <c r="HX935" s="19">
        <v>45</v>
      </c>
      <c r="HY935" s="19">
        <v>44</v>
      </c>
      <c r="HZ935" s="19">
        <v>43</v>
      </c>
      <c r="IA935" s="19">
        <v>42</v>
      </c>
      <c r="IB935" s="19">
        <v>54.7</v>
      </c>
      <c r="IC935" s="19">
        <v>53.3</v>
      </c>
    </row>
    <row r="936">
      <c r="A936" s="2" t="s">
        <v>3739</v>
      </c>
      <c r="B936" s="2" t="s">
        <v>905</v>
      </c>
      <c r="C936" s="2" t="s">
        <v>2746</v>
      </c>
      <c r="D936" s="2" t="s">
        <v>1177</v>
      </c>
      <c r="E936" s="2" t="s">
        <v>2747</v>
      </c>
      <c r="F936" s="2" t="s">
        <v>3722</v>
      </c>
      <c r="G936" s="2" t="s">
        <v>3722</v>
      </c>
      <c r="H936" s="2" t="s">
        <v>3722</v>
      </c>
      <c r="I936" s="2" t="s">
        <v>982</v>
      </c>
      <c r="J936" s="2" t="s">
        <v>261</v>
      </c>
      <c r="K936" s="2" t="s">
        <v>600</v>
      </c>
      <c r="L936" s="3">
        <v>76.38</v>
      </c>
      <c r="M936" s="3">
        <v>80.2</v>
      </c>
      <c r="N936" s="3">
        <v>154.99</v>
      </c>
      <c r="O936" s="2" t="s">
        <v>232</v>
      </c>
      <c r="P936" s="2" t="s">
        <v>878</v>
      </c>
      <c r="Q936" s="2" t="s">
        <v>234</v>
      </c>
      <c r="R936" s="2" t="s">
        <v>235</v>
      </c>
      <c r="S936" s="2" t="s">
        <v>3738</v>
      </c>
      <c r="T936" s="2" t="s">
        <v>879</v>
      </c>
      <c r="U936" s="2" t="s">
        <v>807</v>
      </c>
      <c r="V936" s="2" t="s">
        <v>238</v>
      </c>
      <c r="W936" s="2" t="s">
        <v>239</v>
      </c>
      <c r="X936" s="2" t="s">
        <v>235</v>
      </c>
      <c r="Y936" s="2" t="s">
        <v>3093</v>
      </c>
      <c r="Z936" s="4">
        <v>134</v>
      </c>
      <c r="AA936" s="4">
        <f>=ROUNDDOWN(36.2162162162162,0)</f>
      </c>
      <c r="AB936" s="5">
        <v>3.7</v>
      </c>
      <c r="AC936" s="2" t="s">
        <v>235</v>
      </c>
      <c r="AD936" s="4"/>
      <c r="AE936" s="4"/>
      <c r="AF936" s="6">
        <v>66</v>
      </c>
      <c r="AG936" s="6"/>
      <c r="AH936" s="7">
        <v>1</v>
      </c>
      <c r="AI936" s="4"/>
      <c r="AJ936" s="4">
        <f>=ROUNDDOWN({0},0)</f>
      </c>
      <c r="AK936" s="5"/>
      <c r="AL936" s="2" t="s">
        <v>235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235</v>
      </c>
      <c r="AW936" s="8" t="s">
        <v>235</v>
      </c>
      <c r="AX936" s="4" t="s">
        <v>235</v>
      </c>
      <c r="AY936" s="8" t="s">
        <v>235</v>
      </c>
      <c r="AZ936" s="7" t="s">
        <v>235</v>
      </c>
      <c r="BA936" s="7" t="s">
        <v>235</v>
      </c>
      <c r="BB936" s="7"/>
      <c r="BC936" s="4" t="s">
        <v>235</v>
      </c>
      <c r="BD936" s="8" t="s">
        <v>235</v>
      </c>
      <c r="BE936" s="4" t="s">
        <v>235</v>
      </c>
      <c r="BF936" s="8" t="s">
        <v>235</v>
      </c>
      <c r="BG936" s="7" t="s">
        <v>235</v>
      </c>
      <c r="BH936" s="7" t="s">
        <v>235</v>
      </c>
      <c r="BI936" s="7"/>
      <c r="BJ936" s="4">
        <v>7</v>
      </c>
      <c r="BK936" s="8">
        <v>595.6</v>
      </c>
      <c r="BL936" s="2" t="s">
        <v>3740</v>
      </c>
      <c r="BM936" s="7"/>
      <c r="BN936" s="7"/>
      <c r="BO936" s="4"/>
      <c r="BP936" s="8"/>
      <c r="BQ936" s="4"/>
      <c r="BR936" s="8"/>
      <c r="BS936" s="7"/>
      <c r="BT936" s="7"/>
      <c r="BU936" s="2" t="s">
        <v>3725</v>
      </c>
      <c r="BV936" s="2" t="s">
        <v>243</v>
      </c>
      <c r="BW936" s="2" t="s">
        <v>235</v>
      </c>
      <c r="BX936" s="2" t="s">
        <v>244</v>
      </c>
      <c r="BY936" s="2" t="s">
        <v>245</v>
      </c>
      <c r="BZ936" s="2" t="s">
        <v>232</v>
      </c>
      <c r="CA936" s="2" t="s">
        <v>3726</v>
      </c>
      <c r="CB936" s="2" t="s">
        <v>3741</v>
      </c>
      <c r="CC936" s="2" t="s">
        <v>248</v>
      </c>
      <c r="CD936" s="2" t="s">
        <v>248</v>
      </c>
      <c r="CE936" s="2" t="s">
        <v>235</v>
      </c>
      <c r="CF936" s="4"/>
      <c r="CG936" s="4"/>
      <c r="CH936" s="4"/>
      <c r="CI936" s="4">
        <v>134</v>
      </c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>
        <v>135</v>
      </c>
      <c r="GE936" s="4">
        <v>133</v>
      </c>
      <c r="GF936" s="4">
        <v>132</v>
      </c>
      <c r="GG936" s="4">
        <v>131</v>
      </c>
      <c r="GH936" s="4">
        <v>130</v>
      </c>
      <c r="GI936" s="4">
        <v>125</v>
      </c>
      <c r="GJ936" s="4">
        <v>120</v>
      </c>
      <c r="GK936" s="4">
        <v>115</v>
      </c>
      <c r="GL936" s="4">
        <v>110</v>
      </c>
      <c r="GM936" s="4">
        <v>106</v>
      </c>
      <c r="GN936" s="4">
        <v>100</v>
      </c>
      <c r="GO936" s="4">
        <v>94</v>
      </c>
      <c r="GP936" s="4">
        <v>81</v>
      </c>
      <c r="GQ936" s="4">
        <v>69</v>
      </c>
      <c r="GR936" s="4">
        <v>47</v>
      </c>
      <c r="GS936" s="4">
        <v>24</v>
      </c>
      <c r="GT936" s="4">
        <v>10</v>
      </c>
      <c r="GU936" s="4">
        <v>2</v>
      </c>
      <c r="GV936" s="4"/>
      <c r="GW936" s="4"/>
      <c r="GX936" s="4">
        <v>134</v>
      </c>
      <c r="GY936" s="4">
        <v>130</v>
      </c>
      <c r="GZ936" s="4">
        <v>127</v>
      </c>
      <c r="HA936" s="4">
        <v>124</v>
      </c>
      <c r="HB936" s="4">
        <v>121</v>
      </c>
      <c r="HC936" s="4">
        <v>118</v>
      </c>
      <c r="HD936" s="19">
        <v>135</v>
      </c>
      <c r="HE936" s="19">
        <v>66.5</v>
      </c>
      <c r="HF936" s="19">
        <v>44</v>
      </c>
      <c r="HG936" s="19">
        <v>32.8</v>
      </c>
      <c r="HH936" s="19">
        <v>26</v>
      </c>
      <c r="HI936" s="19">
        <v>25</v>
      </c>
      <c r="HJ936" s="19">
        <v>24</v>
      </c>
      <c r="HK936" s="19">
        <v>23</v>
      </c>
      <c r="HL936" s="19">
        <v>15.7</v>
      </c>
      <c r="HM936" s="19">
        <v>11.8</v>
      </c>
      <c r="HN936" s="19">
        <v>7.7</v>
      </c>
      <c r="HO936" s="19">
        <v>5.2</v>
      </c>
      <c r="HP936" s="19">
        <v>4.5</v>
      </c>
      <c r="HQ936" s="19">
        <v>4.1</v>
      </c>
      <c r="HR936" s="19">
        <v>3.9</v>
      </c>
      <c r="HS936" s="19">
        <v>3</v>
      </c>
      <c r="HT936" s="19">
        <v>2</v>
      </c>
      <c r="HU936" s="19">
        <v>0.5</v>
      </c>
      <c r="HV936" s="20">
        <v>0</v>
      </c>
      <c r="HW936" s="20">
        <v>0</v>
      </c>
      <c r="HX936" s="19">
        <v>44.7</v>
      </c>
      <c r="HY936" s="19">
        <v>43.3</v>
      </c>
      <c r="HZ936" s="19">
        <v>42.3</v>
      </c>
      <c r="IA936" s="19">
        <v>62</v>
      </c>
      <c r="IB936" s="19">
        <v>60.5</v>
      </c>
      <c r="IC936" s="19">
        <v>59</v>
      </c>
    </row>
    <row r="937">
      <c r="A937" s="2" t="s">
        <v>3742</v>
      </c>
      <c r="B937" s="2" t="s">
        <v>905</v>
      </c>
      <c r="C937" s="2" t="s">
        <v>2746</v>
      </c>
      <c r="D937" s="2" t="s">
        <v>1177</v>
      </c>
      <c r="E937" s="2" t="s">
        <v>2747</v>
      </c>
      <c r="F937" s="2" t="s">
        <v>3722</v>
      </c>
      <c r="G937" s="2" t="s">
        <v>3722</v>
      </c>
      <c r="H937" s="2" t="s">
        <v>3722</v>
      </c>
      <c r="I937" s="2" t="s">
        <v>982</v>
      </c>
      <c r="J937" s="2" t="s">
        <v>270</v>
      </c>
      <c r="K937" s="2" t="s">
        <v>600</v>
      </c>
      <c r="L937" s="3">
        <v>87.16</v>
      </c>
      <c r="M937" s="3">
        <v>91.52</v>
      </c>
      <c r="N937" s="3">
        <v>179.99</v>
      </c>
      <c r="O937" s="2" t="s">
        <v>232</v>
      </c>
      <c r="P937" s="2" t="s">
        <v>878</v>
      </c>
      <c r="Q937" s="2" t="s">
        <v>234</v>
      </c>
      <c r="R937" s="2" t="s">
        <v>235</v>
      </c>
      <c r="S937" s="2" t="s">
        <v>3738</v>
      </c>
      <c r="T937" s="2" t="s">
        <v>879</v>
      </c>
      <c r="U937" s="2" t="s">
        <v>807</v>
      </c>
      <c r="V937" s="2" t="s">
        <v>238</v>
      </c>
      <c r="W937" s="2" t="s">
        <v>239</v>
      </c>
      <c r="X937" s="2" t="s">
        <v>235</v>
      </c>
      <c r="Y937" s="2" t="s">
        <v>3093</v>
      </c>
      <c r="Z937" s="4">
        <v>145</v>
      </c>
      <c r="AA937" s="4">
        <f>=ROUNDDOWN(25.8928571428571,0)</f>
      </c>
      <c r="AB937" s="5">
        <v>5.6</v>
      </c>
      <c r="AC937" s="2" t="s">
        <v>235</v>
      </c>
      <c r="AD937" s="4"/>
      <c r="AE937" s="4"/>
      <c r="AF937" s="6">
        <v>66</v>
      </c>
      <c r="AG937" s="6"/>
      <c r="AH937" s="7">
        <v>1</v>
      </c>
      <c r="AI937" s="4"/>
      <c r="AJ937" s="4">
        <f>=ROUNDDOWN({0},0)</f>
      </c>
      <c r="AK937" s="5"/>
      <c r="AL937" s="2" t="s">
        <v>235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235</v>
      </c>
      <c r="AW937" s="8" t="s">
        <v>235</v>
      </c>
      <c r="AX937" s="4" t="s">
        <v>235</v>
      </c>
      <c r="AY937" s="8" t="s">
        <v>235</v>
      </c>
      <c r="AZ937" s="7" t="s">
        <v>235</v>
      </c>
      <c r="BA937" s="7" t="s">
        <v>235</v>
      </c>
      <c r="BB937" s="7"/>
      <c r="BC937" s="4" t="s">
        <v>235</v>
      </c>
      <c r="BD937" s="8" t="s">
        <v>235</v>
      </c>
      <c r="BE937" s="4" t="s">
        <v>235</v>
      </c>
      <c r="BF937" s="8" t="s">
        <v>235</v>
      </c>
      <c r="BG937" s="7" t="s">
        <v>235</v>
      </c>
      <c r="BH937" s="7" t="s">
        <v>235</v>
      </c>
      <c r="BI937" s="7"/>
      <c r="BJ937" s="4">
        <v>8</v>
      </c>
      <c r="BK937" s="8">
        <v>780.51</v>
      </c>
      <c r="BL937" s="2" t="s">
        <v>3736</v>
      </c>
      <c r="BM937" s="7"/>
      <c r="BN937" s="7"/>
      <c r="BO937" s="4"/>
      <c r="BP937" s="8"/>
      <c r="BQ937" s="4"/>
      <c r="BR937" s="8"/>
      <c r="BS937" s="7"/>
      <c r="BT937" s="7"/>
      <c r="BU937" s="2" t="s">
        <v>3725</v>
      </c>
      <c r="BV937" s="2" t="s">
        <v>243</v>
      </c>
      <c r="BW937" s="2" t="s">
        <v>235</v>
      </c>
      <c r="BX937" s="2" t="s">
        <v>244</v>
      </c>
      <c r="BY937" s="2" t="s">
        <v>245</v>
      </c>
      <c r="BZ937" s="2" t="s">
        <v>232</v>
      </c>
      <c r="CA937" s="2" t="s">
        <v>3726</v>
      </c>
      <c r="CB937" s="2" t="s">
        <v>1376</v>
      </c>
      <c r="CC937" s="2" t="s">
        <v>248</v>
      </c>
      <c r="CD937" s="2" t="s">
        <v>248</v>
      </c>
      <c r="CE937" s="2" t="s">
        <v>235</v>
      </c>
      <c r="CF937" s="4"/>
      <c r="CG937" s="4"/>
      <c r="CH937" s="4"/>
      <c r="CI937" s="4">
        <v>145</v>
      </c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>
        <v>146</v>
      </c>
      <c r="GE937" s="4">
        <v>143</v>
      </c>
      <c r="GF937" s="4">
        <v>141</v>
      </c>
      <c r="GG937" s="4">
        <v>139</v>
      </c>
      <c r="GH937" s="4">
        <v>137</v>
      </c>
      <c r="GI937" s="4">
        <v>134</v>
      </c>
      <c r="GJ937" s="4">
        <v>131</v>
      </c>
      <c r="GK937" s="4">
        <v>128</v>
      </c>
      <c r="GL937" s="4">
        <v>125</v>
      </c>
      <c r="GM937" s="4">
        <v>123</v>
      </c>
      <c r="GN937" s="4">
        <v>120</v>
      </c>
      <c r="GO937" s="4">
        <v>116</v>
      </c>
      <c r="GP937" s="4">
        <v>109</v>
      </c>
      <c r="GQ937" s="4">
        <v>102</v>
      </c>
      <c r="GR937" s="4">
        <v>91</v>
      </c>
      <c r="GS937" s="4">
        <v>80</v>
      </c>
      <c r="GT937" s="4">
        <v>70</v>
      </c>
      <c r="GU937" s="4">
        <v>65</v>
      </c>
      <c r="GV937" s="4">
        <v>62</v>
      </c>
      <c r="GW937" s="4">
        <v>59</v>
      </c>
      <c r="GX937" s="4">
        <v>130</v>
      </c>
      <c r="GY937" s="4">
        <v>127</v>
      </c>
      <c r="GZ937" s="4">
        <v>122</v>
      </c>
      <c r="HA937" s="4">
        <v>117</v>
      </c>
      <c r="HB937" s="4">
        <v>112</v>
      </c>
      <c r="HC937" s="4">
        <v>107</v>
      </c>
      <c r="HD937" s="19">
        <v>73</v>
      </c>
      <c r="HE937" s="19">
        <v>71.5</v>
      </c>
      <c r="HF937" s="19">
        <v>70.5</v>
      </c>
      <c r="HG937" s="19">
        <v>46.3</v>
      </c>
      <c r="HH937" s="19">
        <v>45.7</v>
      </c>
      <c r="HI937" s="19">
        <v>44.7</v>
      </c>
      <c r="HJ937" s="19">
        <v>43.7</v>
      </c>
      <c r="HK937" s="19">
        <v>42.7</v>
      </c>
      <c r="HL937" s="19">
        <v>31.3</v>
      </c>
      <c r="HM937" s="19">
        <v>24.6</v>
      </c>
      <c r="HN937" s="19">
        <v>17.1</v>
      </c>
      <c r="HO937" s="19">
        <v>12.9</v>
      </c>
      <c r="HP937" s="19">
        <v>10.9</v>
      </c>
      <c r="HQ937" s="19">
        <v>11.3</v>
      </c>
      <c r="HR937" s="19">
        <v>13</v>
      </c>
      <c r="HS937" s="19">
        <v>16</v>
      </c>
      <c r="HT937" s="19">
        <v>17.5</v>
      </c>
      <c r="HU937" s="19">
        <v>21.7</v>
      </c>
      <c r="HV937" s="19">
        <v>15.5</v>
      </c>
      <c r="HW937" s="19">
        <v>14.8</v>
      </c>
      <c r="HX937" s="19">
        <v>32.5</v>
      </c>
      <c r="HY937" s="19">
        <v>25.4</v>
      </c>
      <c r="HZ937" s="19">
        <v>24.4</v>
      </c>
      <c r="IA937" s="19">
        <v>29.3</v>
      </c>
      <c r="IB937" s="19">
        <v>28</v>
      </c>
      <c r="IC937" s="19">
        <v>26.8</v>
      </c>
    </row>
    <row r="938">
      <c r="A938" s="2" t="s">
        <v>3743</v>
      </c>
      <c r="B938" s="2" t="s">
        <v>905</v>
      </c>
      <c r="C938" s="2" t="s">
        <v>2746</v>
      </c>
      <c r="D938" s="2" t="s">
        <v>1177</v>
      </c>
      <c r="E938" s="2" t="s">
        <v>2747</v>
      </c>
      <c r="F938" s="2" t="s">
        <v>3722</v>
      </c>
      <c r="G938" s="2" t="s">
        <v>3722</v>
      </c>
      <c r="H938" s="2" t="s">
        <v>3722</v>
      </c>
      <c r="I938" s="2" t="s">
        <v>982</v>
      </c>
      <c r="J938" s="2" t="s">
        <v>394</v>
      </c>
      <c r="K938" s="2" t="s">
        <v>2100</v>
      </c>
      <c r="L938" s="3">
        <v>49.04</v>
      </c>
      <c r="M938" s="3">
        <v>51.49</v>
      </c>
      <c r="N938" s="3">
        <v>99.99</v>
      </c>
      <c r="O938" s="2" t="s">
        <v>232</v>
      </c>
      <c r="P938" s="2" t="s">
        <v>878</v>
      </c>
      <c r="Q938" s="2" t="s">
        <v>234</v>
      </c>
      <c r="R938" s="2" t="s">
        <v>235</v>
      </c>
      <c r="S938" s="2" t="s">
        <v>3744</v>
      </c>
      <c r="T938" s="2" t="s">
        <v>879</v>
      </c>
      <c r="U938" s="2" t="s">
        <v>807</v>
      </c>
      <c r="V938" s="2" t="s">
        <v>238</v>
      </c>
      <c r="W938" s="2" t="s">
        <v>239</v>
      </c>
      <c r="X938" s="2" t="s">
        <v>235</v>
      </c>
      <c r="Y938" s="2" t="s">
        <v>2829</v>
      </c>
      <c r="Z938" s="4">
        <v>179</v>
      </c>
      <c r="AA938" s="4">
        <f>=ROUNDDOWN(99.4444444444445,0)</f>
      </c>
      <c r="AB938" s="5">
        <v>1.8</v>
      </c>
      <c r="AC938" s="2" t="s">
        <v>235</v>
      </c>
      <c r="AD938" s="4"/>
      <c r="AE938" s="4"/>
      <c r="AF938" s="6">
        <v>66</v>
      </c>
      <c r="AG938" s="6"/>
      <c r="AH938" s="7">
        <v>1</v>
      </c>
      <c r="AI938" s="4"/>
      <c r="AJ938" s="4">
        <f>=ROUNDDOWN({0},0)</f>
      </c>
      <c r="AK938" s="5"/>
      <c r="AL938" s="2" t="s">
        <v>235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235</v>
      </c>
      <c r="AW938" s="8" t="s">
        <v>235</v>
      </c>
      <c r="AX938" s="4" t="s">
        <v>235</v>
      </c>
      <c r="AY938" s="8" t="s">
        <v>235</v>
      </c>
      <c r="AZ938" s="7" t="s">
        <v>235</v>
      </c>
      <c r="BA938" s="7" t="s">
        <v>235</v>
      </c>
      <c r="BB938" s="7"/>
      <c r="BC938" s="4" t="s">
        <v>235</v>
      </c>
      <c r="BD938" s="8" t="s">
        <v>235</v>
      </c>
      <c r="BE938" s="4" t="s">
        <v>235</v>
      </c>
      <c r="BF938" s="8" t="s">
        <v>235</v>
      </c>
      <c r="BG938" s="7" t="s">
        <v>235</v>
      </c>
      <c r="BH938" s="7" t="s">
        <v>235</v>
      </c>
      <c r="BI938" s="7"/>
      <c r="BJ938" s="4">
        <v>4</v>
      </c>
      <c r="BK938" s="8">
        <v>218.2</v>
      </c>
      <c r="BL938" s="2" t="s">
        <v>1097</v>
      </c>
      <c r="BM938" s="7"/>
      <c r="BN938" s="7"/>
      <c r="BO938" s="4"/>
      <c r="BP938" s="8"/>
      <c r="BQ938" s="4"/>
      <c r="BR938" s="8"/>
      <c r="BS938" s="7"/>
      <c r="BT938" s="7"/>
      <c r="BU938" s="2" t="s">
        <v>3725</v>
      </c>
      <c r="BV938" s="2" t="s">
        <v>243</v>
      </c>
      <c r="BW938" s="2" t="s">
        <v>235</v>
      </c>
      <c r="BX938" s="2" t="s">
        <v>244</v>
      </c>
      <c r="BY938" s="2" t="s">
        <v>245</v>
      </c>
      <c r="BZ938" s="2" t="s">
        <v>232</v>
      </c>
      <c r="CA938" s="2" t="s">
        <v>3093</v>
      </c>
      <c r="CB938" s="2" t="s">
        <v>2299</v>
      </c>
      <c r="CC938" s="2" t="s">
        <v>248</v>
      </c>
      <c r="CD938" s="2" t="s">
        <v>248</v>
      </c>
      <c r="CE938" s="2" t="s">
        <v>235</v>
      </c>
      <c r="CF938" s="4"/>
      <c r="CG938" s="4"/>
      <c r="CH938" s="4"/>
      <c r="CI938" s="4">
        <v>179</v>
      </c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>
        <v>179</v>
      </c>
      <c r="GE938" s="4">
        <v>179</v>
      </c>
      <c r="GF938" s="4">
        <v>179</v>
      </c>
      <c r="GG938" s="4">
        <v>179</v>
      </c>
      <c r="GH938" s="4">
        <v>179</v>
      </c>
      <c r="GI938" s="4">
        <v>177</v>
      </c>
      <c r="GJ938" s="4">
        <v>175</v>
      </c>
      <c r="GK938" s="4">
        <v>173</v>
      </c>
      <c r="GL938" s="4">
        <v>171</v>
      </c>
      <c r="GM938" s="4">
        <v>170</v>
      </c>
      <c r="GN938" s="4">
        <v>169</v>
      </c>
      <c r="GO938" s="4">
        <v>166</v>
      </c>
      <c r="GP938" s="4">
        <v>160</v>
      </c>
      <c r="GQ938" s="4">
        <v>155</v>
      </c>
      <c r="GR938" s="4">
        <v>146</v>
      </c>
      <c r="GS938" s="4">
        <v>138</v>
      </c>
      <c r="GT938" s="4">
        <v>130</v>
      </c>
      <c r="GU938" s="4">
        <v>127</v>
      </c>
      <c r="GV938" s="4">
        <v>126</v>
      </c>
      <c r="GW938" s="4">
        <v>125</v>
      </c>
      <c r="GX938" s="4">
        <v>124</v>
      </c>
      <c r="GY938" s="4">
        <v>123</v>
      </c>
      <c r="GZ938" s="4">
        <v>121</v>
      </c>
      <c r="HA938" s="4">
        <v>119</v>
      </c>
      <c r="HB938" s="4">
        <v>117</v>
      </c>
      <c r="HC938" s="4">
        <v>115</v>
      </c>
      <c r="HD938" s="9"/>
      <c r="HE938" s="9"/>
      <c r="HF938" s="19">
        <v>179</v>
      </c>
      <c r="HG938" s="19">
        <v>89.5</v>
      </c>
      <c r="HH938" s="19">
        <v>89.5</v>
      </c>
      <c r="HI938" s="19">
        <v>88.5</v>
      </c>
      <c r="HJ938" s="19">
        <v>87.5</v>
      </c>
      <c r="HK938" s="19">
        <v>86.5</v>
      </c>
      <c r="HL938" s="19">
        <v>57</v>
      </c>
      <c r="HM938" s="19">
        <v>42.5</v>
      </c>
      <c r="HN938" s="19">
        <v>28.2</v>
      </c>
      <c r="HO938" s="19">
        <v>23.7</v>
      </c>
      <c r="HP938" s="19">
        <v>20</v>
      </c>
      <c r="HQ938" s="19">
        <v>22.1</v>
      </c>
      <c r="HR938" s="19">
        <v>29.2</v>
      </c>
      <c r="HS938" s="19">
        <v>46</v>
      </c>
      <c r="HT938" s="19">
        <v>65</v>
      </c>
      <c r="HU938" s="19">
        <v>127</v>
      </c>
      <c r="HV938" s="19">
        <v>126</v>
      </c>
      <c r="HW938" s="19">
        <v>62.5</v>
      </c>
      <c r="HX938" s="19">
        <v>62</v>
      </c>
      <c r="HY938" s="19">
        <v>61.5</v>
      </c>
      <c r="HZ938" s="19">
        <v>60.5</v>
      </c>
      <c r="IA938" s="19">
        <v>59.5</v>
      </c>
      <c r="IB938" s="19">
        <v>117</v>
      </c>
      <c r="IC938" s="19">
        <v>115</v>
      </c>
    </row>
    <row r="939">
      <c r="A939" s="2" t="s">
        <v>3745</v>
      </c>
      <c r="B939" s="2" t="s">
        <v>905</v>
      </c>
      <c r="C939" s="2" t="s">
        <v>2746</v>
      </c>
      <c r="D939" s="2" t="s">
        <v>1177</v>
      </c>
      <c r="E939" s="2" t="s">
        <v>2747</v>
      </c>
      <c r="F939" s="2" t="s">
        <v>3722</v>
      </c>
      <c r="G939" s="2" t="s">
        <v>3722</v>
      </c>
      <c r="H939" s="2" t="s">
        <v>3722</v>
      </c>
      <c r="I939" s="2" t="s">
        <v>982</v>
      </c>
      <c r="J939" s="2" t="s">
        <v>250</v>
      </c>
      <c r="K939" s="2" t="s">
        <v>2100</v>
      </c>
      <c r="L939" s="3">
        <v>54.42</v>
      </c>
      <c r="M939" s="3">
        <v>57.14</v>
      </c>
      <c r="N939" s="3">
        <v>119.99</v>
      </c>
      <c r="O939" s="2" t="s">
        <v>232</v>
      </c>
      <c r="P939" s="2" t="s">
        <v>878</v>
      </c>
      <c r="Q939" s="2" t="s">
        <v>234</v>
      </c>
      <c r="R939" s="2" t="s">
        <v>235</v>
      </c>
      <c r="S939" s="2" t="s">
        <v>3744</v>
      </c>
      <c r="T939" s="2" t="s">
        <v>879</v>
      </c>
      <c r="U939" s="2" t="s">
        <v>807</v>
      </c>
      <c r="V939" s="2" t="s">
        <v>238</v>
      </c>
      <c r="W939" s="2" t="s">
        <v>239</v>
      </c>
      <c r="X939" s="2" t="s">
        <v>235</v>
      </c>
      <c r="Y939" s="2" t="s">
        <v>2829</v>
      </c>
      <c r="Z939" s="4">
        <v>103</v>
      </c>
      <c r="AA939" s="4">
        <f>=ROUNDDOWN(57.2222222222222,0)</f>
      </c>
      <c r="AB939" s="5">
        <v>1.8</v>
      </c>
      <c r="AC939" s="2" t="s">
        <v>235</v>
      </c>
      <c r="AD939" s="4"/>
      <c r="AE939" s="4"/>
      <c r="AF939" s="6">
        <v>66</v>
      </c>
      <c r="AG939" s="6"/>
      <c r="AH939" s="7">
        <v>1</v>
      </c>
      <c r="AI939" s="4"/>
      <c r="AJ939" s="4">
        <f>=ROUNDDOWN({0},0)</f>
      </c>
      <c r="AK939" s="5"/>
      <c r="AL939" s="2" t="s">
        <v>235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235</v>
      </c>
      <c r="AW939" s="8" t="s">
        <v>235</v>
      </c>
      <c r="AX939" s="4" t="s">
        <v>235</v>
      </c>
      <c r="AY939" s="8" t="s">
        <v>235</v>
      </c>
      <c r="AZ939" s="7" t="s">
        <v>235</v>
      </c>
      <c r="BA939" s="7" t="s">
        <v>235</v>
      </c>
      <c r="BB939" s="7"/>
      <c r="BC939" s="4" t="s">
        <v>235</v>
      </c>
      <c r="BD939" s="8" t="s">
        <v>235</v>
      </c>
      <c r="BE939" s="4" t="s">
        <v>235</v>
      </c>
      <c r="BF939" s="8" t="s">
        <v>235</v>
      </c>
      <c r="BG939" s="7" t="s">
        <v>235</v>
      </c>
      <c r="BH939" s="7" t="s">
        <v>235</v>
      </c>
      <c r="BI939" s="7"/>
      <c r="BJ939" s="4">
        <v>2</v>
      </c>
      <c r="BK939" s="8">
        <v>122.65</v>
      </c>
      <c r="BL939" s="2" t="s">
        <v>3746</v>
      </c>
      <c r="BM939" s="7"/>
      <c r="BN939" s="7"/>
      <c r="BO939" s="4"/>
      <c r="BP939" s="8"/>
      <c r="BQ939" s="4"/>
      <c r="BR939" s="8"/>
      <c r="BS939" s="7"/>
      <c r="BT939" s="7"/>
      <c r="BU939" s="2" t="s">
        <v>3725</v>
      </c>
      <c r="BV939" s="2" t="s">
        <v>243</v>
      </c>
      <c r="BW939" s="2" t="s">
        <v>235</v>
      </c>
      <c r="BX939" s="2" t="s">
        <v>244</v>
      </c>
      <c r="BY939" s="2" t="s">
        <v>245</v>
      </c>
      <c r="BZ939" s="2" t="s">
        <v>232</v>
      </c>
      <c r="CA939" s="2" t="s">
        <v>3726</v>
      </c>
      <c r="CB939" s="2" t="s">
        <v>687</v>
      </c>
      <c r="CC939" s="2" t="s">
        <v>248</v>
      </c>
      <c r="CD939" s="2" t="s">
        <v>248</v>
      </c>
      <c r="CE939" s="2" t="s">
        <v>235</v>
      </c>
      <c r="CF939" s="4"/>
      <c r="CG939" s="4"/>
      <c r="CH939" s="4"/>
      <c r="CI939" s="4">
        <v>103</v>
      </c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>
        <v>104</v>
      </c>
      <c r="GE939" s="4">
        <v>103</v>
      </c>
      <c r="GF939" s="4">
        <v>103</v>
      </c>
      <c r="GG939" s="4">
        <v>103</v>
      </c>
      <c r="GH939" s="4">
        <v>103</v>
      </c>
      <c r="GI939" s="4">
        <v>100</v>
      </c>
      <c r="GJ939" s="4">
        <v>97</v>
      </c>
      <c r="GK939" s="4">
        <v>94</v>
      </c>
      <c r="GL939" s="4">
        <v>91</v>
      </c>
      <c r="GM939" s="4">
        <v>89</v>
      </c>
      <c r="GN939" s="4">
        <v>87</v>
      </c>
      <c r="GO939" s="4">
        <v>82</v>
      </c>
      <c r="GP939" s="4">
        <v>74</v>
      </c>
      <c r="GQ939" s="4">
        <v>66</v>
      </c>
      <c r="GR939" s="4">
        <v>53</v>
      </c>
      <c r="GS939" s="4">
        <v>41</v>
      </c>
      <c r="GT939" s="4">
        <v>29</v>
      </c>
      <c r="GU939" s="4">
        <v>24</v>
      </c>
      <c r="GV939" s="4">
        <v>22</v>
      </c>
      <c r="GW939" s="4">
        <v>20</v>
      </c>
      <c r="GX939" s="4">
        <v>18</v>
      </c>
      <c r="GY939" s="4">
        <v>16</v>
      </c>
      <c r="GZ939" s="4">
        <v>14</v>
      </c>
      <c r="HA939" s="4">
        <v>12</v>
      </c>
      <c r="HB939" s="4">
        <v>10</v>
      </c>
      <c r="HC939" s="4">
        <v>8</v>
      </c>
      <c r="HD939" s="20">
        <v>0</v>
      </c>
      <c r="HE939" s="19">
        <v>103</v>
      </c>
      <c r="HF939" s="19">
        <v>51.5</v>
      </c>
      <c r="HG939" s="19">
        <v>51.5</v>
      </c>
      <c r="HH939" s="19">
        <v>34.3</v>
      </c>
      <c r="HI939" s="19">
        <v>33.3</v>
      </c>
      <c r="HJ939" s="19">
        <v>48.5</v>
      </c>
      <c r="HK939" s="19">
        <v>31.3</v>
      </c>
      <c r="HL939" s="19">
        <v>22.8</v>
      </c>
      <c r="HM939" s="19">
        <v>14.8</v>
      </c>
      <c r="HN939" s="19">
        <v>10.9</v>
      </c>
      <c r="HO939" s="19">
        <v>8.2</v>
      </c>
      <c r="HP939" s="19">
        <v>6.7</v>
      </c>
      <c r="HQ939" s="19">
        <v>6.6</v>
      </c>
      <c r="HR939" s="19">
        <v>6.6</v>
      </c>
      <c r="HS939" s="19">
        <v>8.2</v>
      </c>
      <c r="HT939" s="19">
        <v>9.7</v>
      </c>
      <c r="HU939" s="19">
        <v>12</v>
      </c>
      <c r="HV939" s="19">
        <v>11</v>
      </c>
      <c r="HW939" s="19">
        <v>10</v>
      </c>
      <c r="HX939" s="19">
        <v>9</v>
      </c>
      <c r="HY939" s="19">
        <v>8</v>
      </c>
      <c r="HZ939" s="19">
        <v>7</v>
      </c>
      <c r="IA939" s="19">
        <v>6</v>
      </c>
      <c r="IB939" s="19">
        <v>10</v>
      </c>
      <c r="IC939" s="19">
        <v>8</v>
      </c>
    </row>
    <row r="940">
      <c r="A940" s="2" t="s">
        <v>3747</v>
      </c>
      <c r="B940" s="2" t="s">
        <v>905</v>
      </c>
      <c r="C940" s="2" t="s">
        <v>2746</v>
      </c>
      <c r="D940" s="2" t="s">
        <v>1177</v>
      </c>
      <c r="E940" s="2" t="s">
        <v>2747</v>
      </c>
      <c r="F940" s="2" t="s">
        <v>3722</v>
      </c>
      <c r="G940" s="2" t="s">
        <v>3722</v>
      </c>
      <c r="H940" s="2" t="s">
        <v>3722</v>
      </c>
      <c r="I940" s="2" t="s">
        <v>982</v>
      </c>
      <c r="J940" s="2" t="s">
        <v>261</v>
      </c>
      <c r="K940" s="2" t="s">
        <v>2100</v>
      </c>
      <c r="L940" s="3">
        <v>76.38</v>
      </c>
      <c r="M940" s="3">
        <v>80.2</v>
      </c>
      <c r="N940" s="3">
        <v>154.99</v>
      </c>
      <c r="O940" s="2" t="s">
        <v>232</v>
      </c>
      <c r="P940" s="2" t="s">
        <v>878</v>
      </c>
      <c r="Q940" s="2" t="s">
        <v>234</v>
      </c>
      <c r="R940" s="2" t="s">
        <v>235</v>
      </c>
      <c r="S940" s="2" t="s">
        <v>3744</v>
      </c>
      <c r="T940" s="2" t="s">
        <v>879</v>
      </c>
      <c r="U940" s="2" t="s">
        <v>807</v>
      </c>
      <c r="V940" s="2" t="s">
        <v>238</v>
      </c>
      <c r="W940" s="2" t="s">
        <v>239</v>
      </c>
      <c r="X940" s="2" t="s">
        <v>235</v>
      </c>
      <c r="Y940" s="2" t="s">
        <v>2829</v>
      </c>
      <c r="Z940" s="4">
        <v>173</v>
      </c>
      <c r="AA940" s="4">
        <f>=ROUNDDOWN(29.8275862068966,0)</f>
      </c>
      <c r="AB940" s="5">
        <v>5.8</v>
      </c>
      <c r="AC940" s="2" t="s">
        <v>235</v>
      </c>
      <c r="AD940" s="4"/>
      <c r="AE940" s="4"/>
      <c r="AF940" s="6">
        <v>66</v>
      </c>
      <c r="AG940" s="6"/>
      <c r="AH940" s="7">
        <v>1</v>
      </c>
      <c r="AI940" s="4"/>
      <c r="AJ940" s="4">
        <f>=ROUNDDOWN({0},0)</f>
      </c>
      <c r="AK940" s="5"/>
      <c r="AL940" s="2" t="s">
        <v>235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235</v>
      </c>
      <c r="AW940" s="8" t="s">
        <v>235</v>
      </c>
      <c r="AX940" s="4" t="s">
        <v>235</v>
      </c>
      <c r="AY940" s="8" t="s">
        <v>235</v>
      </c>
      <c r="AZ940" s="7" t="s">
        <v>235</v>
      </c>
      <c r="BA940" s="7" t="s">
        <v>235</v>
      </c>
      <c r="BB940" s="7"/>
      <c r="BC940" s="4" t="s">
        <v>235</v>
      </c>
      <c r="BD940" s="8" t="s">
        <v>235</v>
      </c>
      <c r="BE940" s="4" t="s">
        <v>235</v>
      </c>
      <c r="BF940" s="8" t="s">
        <v>235</v>
      </c>
      <c r="BG940" s="7" t="s">
        <v>235</v>
      </c>
      <c r="BH940" s="7" t="s">
        <v>235</v>
      </c>
      <c r="BI940" s="7"/>
      <c r="BJ940" s="4">
        <v>5</v>
      </c>
      <c r="BK940" s="8">
        <v>431.66</v>
      </c>
      <c r="BL940" s="2" t="s">
        <v>2462</v>
      </c>
      <c r="BM940" s="7"/>
      <c r="BN940" s="7"/>
      <c r="BO940" s="4"/>
      <c r="BP940" s="8"/>
      <c r="BQ940" s="4"/>
      <c r="BR940" s="8"/>
      <c r="BS940" s="7"/>
      <c r="BT940" s="7"/>
      <c r="BU940" s="2" t="s">
        <v>3725</v>
      </c>
      <c r="BV940" s="2" t="s">
        <v>243</v>
      </c>
      <c r="BW940" s="2" t="s">
        <v>235</v>
      </c>
      <c r="BX940" s="2" t="s">
        <v>244</v>
      </c>
      <c r="BY940" s="2" t="s">
        <v>245</v>
      </c>
      <c r="BZ940" s="2" t="s">
        <v>232</v>
      </c>
      <c r="CA940" s="2" t="s">
        <v>1600</v>
      </c>
      <c r="CB940" s="2" t="s">
        <v>1324</v>
      </c>
      <c r="CC940" s="2" t="s">
        <v>248</v>
      </c>
      <c r="CD940" s="2" t="s">
        <v>248</v>
      </c>
      <c r="CE940" s="2" t="s">
        <v>235</v>
      </c>
      <c r="CF940" s="4"/>
      <c r="CG940" s="4"/>
      <c r="CH940" s="4"/>
      <c r="CI940" s="4">
        <v>173</v>
      </c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>
        <v>174</v>
      </c>
      <c r="GE940" s="4">
        <v>171</v>
      </c>
      <c r="GF940" s="4">
        <v>169</v>
      </c>
      <c r="GG940" s="4">
        <v>167</v>
      </c>
      <c r="GH940" s="4">
        <v>165</v>
      </c>
      <c r="GI940" s="4">
        <v>163</v>
      </c>
      <c r="GJ940" s="4">
        <v>161</v>
      </c>
      <c r="GK940" s="4">
        <v>159</v>
      </c>
      <c r="GL940" s="4">
        <v>157</v>
      </c>
      <c r="GM940" s="4">
        <v>155</v>
      </c>
      <c r="GN940" s="4">
        <v>153</v>
      </c>
      <c r="GO940" s="4">
        <v>151</v>
      </c>
      <c r="GP940" s="4">
        <v>146</v>
      </c>
      <c r="GQ940" s="4">
        <v>141</v>
      </c>
      <c r="GR940" s="4">
        <v>132</v>
      </c>
      <c r="GS940" s="4">
        <v>123</v>
      </c>
      <c r="GT940" s="4">
        <v>117</v>
      </c>
      <c r="GU940" s="4">
        <v>114</v>
      </c>
      <c r="GV940" s="4">
        <v>112</v>
      </c>
      <c r="GW940" s="4">
        <v>110</v>
      </c>
      <c r="GX940" s="4">
        <v>108</v>
      </c>
      <c r="GY940" s="4">
        <v>106</v>
      </c>
      <c r="GZ940" s="4">
        <v>102</v>
      </c>
      <c r="HA940" s="4">
        <v>98</v>
      </c>
      <c r="HB940" s="4">
        <v>94</v>
      </c>
      <c r="HC940" s="4">
        <v>90</v>
      </c>
      <c r="HD940" s="19">
        <v>87</v>
      </c>
      <c r="HE940" s="19">
        <v>85.5</v>
      </c>
      <c r="HF940" s="19">
        <v>84.5</v>
      </c>
      <c r="HG940" s="19">
        <v>83.5</v>
      </c>
      <c r="HH940" s="19">
        <v>82.5</v>
      </c>
      <c r="HI940" s="19">
        <v>81.5</v>
      </c>
      <c r="HJ940" s="19">
        <v>80.5</v>
      </c>
      <c r="HK940" s="19">
        <v>79.5</v>
      </c>
      <c r="HL940" s="19">
        <v>52.3</v>
      </c>
      <c r="HM940" s="19">
        <v>38.8</v>
      </c>
      <c r="HN940" s="19">
        <v>30.6</v>
      </c>
      <c r="HO940" s="19">
        <v>21.6</v>
      </c>
      <c r="HP940" s="19">
        <v>20.9</v>
      </c>
      <c r="HQ940" s="19">
        <v>20.1</v>
      </c>
      <c r="HR940" s="19">
        <v>26.4</v>
      </c>
      <c r="HS940" s="19">
        <v>41</v>
      </c>
      <c r="HT940" s="19">
        <v>58.5</v>
      </c>
      <c r="HU940" s="19">
        <v>57</v>
      </c>
      <c r="HV940" s="19">
        <v>56</v>
      </c>
      <c r="HW940" s="19">
        <v>36.7</v>
      </c>
      <c r="HX940" s="19">
        <v>27</v>
      </c>
      <c r="HY940" s="19">
        <v>26.5</v>
      </c>
      <c r="HZ940" s="19">
        <v>25.5</v>
      </c>
      <c r="IA940" s="19">
        <v>32.7</v>
      </c>
      <c r="IB940" s="19">
        <v>47</v>
      </c>
      <c r="IC940" s="19">
        <v>45</v>
      </c>
    </row>
    <row r="941">
      <c r="A941" s="2" t="s">
        <v>3748</v>
      </c>
      <c r="B941" s="2" t="s">
        <v>905</v>
      </c>
      <c r="C941" s="2" t="s">
        <v>2746</v>
      </c>
      <c r="D941" s="2" t="s">
        <v>1177</v>
      </c>
      <c r="E941" s="2" t="s">
        <v>2747</v>
      </c>
      <c r="F941" s="2" t="s">
        <v>3722</v>
      </c>
      <c r="G941" s="2" t="s">
        <v>3722</v>
      </c>
      <c r="H941" s="2" t="s">
        <v>3722</v>
      </c>
      <c r="I941" s="2" t="s">
        <v>982</v>
      </c>
      <c r="J941" s="2" t="s">
        <v>270</v>
      </c>
      <c r="K941" s="2" t="s">
        <v>2100</v>
      </c>
      <c r="L941" s="3">
        <v>87.16</v>
      </c>
      <c r="M941" s="3">
        <v>91.52</v>
      </c>
      <c r="N941" s="3">
        <v>179.99</v>
      </c>
      <c r="O941" s="2" t="s">
        <v>232</v>
      </c>
      <c r="P941" s="2" t="s">
        <v>878</v>
      </c>
      <c r="Q941" s="2" t="s">
        <v>234</v>
      </c>
      <c r="R941" s="2" t="s">
        <v>235</v>
      </c>
      <c r="S941" s="2" t="s">
        <v>3744</v>
      </c>
      <c r="T941" s="2" t="s">
        <v>879</v>
      </c>
      <c r="U941" s="2" t="s">
        <v>807</v>
      </c>
      <c r="V941" s="2" t="s">
        <v>238</v>
      </c>
      <c r="W941" s="2" t="s">
        <v>239</v>
      </c>
      <c r="X941" s="2" t="s">
        <v>235</v>
      </c>
      <c r="Y941" s="2" t="s">
        <v>3093</v>
      </c>
      <c r="Z941" s="4">
        <v>257</v>
      </c>
      <c r="AA941" s="4">
        <f>=ROUNDDOWN(80.3125,0)</f>
      </c>
      <c r="AB941" s="5">
        <v>3.2</v>
      </c>
      <c r="AC941" s="2" t="s">
        <v>235</v>
      </c>
      <c r="AD941" s="4"/>
      <c r="AE941" s="4"/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235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235</v>
      </c>
      <c r="AW941" s="8" t="s">
        <v>235</v>
      </c>
      <c r="AX941" s="4" t="s">
        <v>235</v>
      </c>
      <c r="AY941" s="8" t="s">
        <v>235</v>
      </c>
      <c r="AZ941" s="7" t="s">
        <v>235</v>
      </c>
      <c r="BA941" s="7" t="s">
        <v>235</v>
      </c>
      <c r="BB941" s="7"/>
      <c r="BC941" s="4" t="s">
        <v>235</v>
      </c>
      <c r="BD941" s="8" t="s">
        <v>235</v>
      </c>
      <c r="BE941" s="4" t="s">
        <v>235</v>
      </c>
      <c r="BF941" s="8" t="s">
        <v>235</v>
      </c>
      <c r="BG941" s="7" t="s">
        <v>235</v>
      </c>
      <c r="BH941" s="7" t="s">
        <v>235</v>
      </c>
      <c r="BI941" s="7"/>
      <c r="BJ941" s="4">
        <v>7</v>
      </c>
      <c r="BK941" s="8">
        <v>683.9</v>
      </c>
      <c r="BL941" s="2" t="s">
        <v>937</v>
      </c>
      <c r="BM941" s="7"/>
      <c r="BN941" s="7"/>
      <c r="BO941" s="4"/>
      <c r="BP941" s="8"/>
      <c r="BQ941" s="4"/>
      <c r="BR941" s="8"/>
      <c r="BS941" s="7"/>
      <c r="BT941" s="7"/>
      <c r="BU941" s="2" t="s">
        <v>3725</v>
      </c>
      <c r="BV941" s="2" t="s">
        <v>243</v>
      </c>
      <c r="BW941" s="2" t="s">
        <v>235</v>
      </c>
      <c r="BX941" s="2" t="s">
        <v>244</v>
      </c>
      <c r="BY941" s="2" t="s">
        <v>245</v>
      </c>
      <c r="BZ941" s="2" t="s">
        <v>232</v>
      </c>
      <c r="CA941" s="2" t="s">
        <v>1600</v>
      </c>
      <c r="CB941" s="2" t="s">
        <v>3474</v>
      </c>
      <c r="CC941" s="2" t="s">
        <v>248</v>
      </c>
      <c r="CD941" s="2" t="s">
        <v>248</v>
      </c>
      <c r="CE941" s="2" t="s">
        <v>235</v>
      </c>
      <c r="CF941" s="4"/>
      <c r="CG941" s="4"/>
      <c r="CH941" s="4"/>
      <c r="CI941" s="4">
        <v>257</v>
      </c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>
        <v>257</v>
      </c>
      <c r="GE941" s="4">
        <v>256</v>
      </c>
      <c r="GF941" s="4">
        <v>255</v>
      </c>
      <c r="GG941" s="4">
        <v>254</v>
      </c>
      <c r="GH941" s="4">
        <v>253</v>
      </c>
      <c r="GI941" s="4">
        <v>251</v>
      </c>
      <c r="GJ941" s="4">
        <v>249</v>
      </c>
      <c r="GK941" s="4">
        <v>247</v>
      </c>
      <c r="GL941" s="4">
        <v>245</v>
      </c>
      <c r="GM941" s="4">
        <v>243</v>
      </c>
      <c r="GN941" s="4">
        <v>241</v>
      </c>
      <c r="GO941" s="4">
        <v>239</v>
      </c>
      <c r="GP941" s="4">
        <v>235</v>
      </c>
      <c r="GQ941" s="4">
        <v>230</v>
      </c>
      <c r="GR941" s="4">
        <v>222</v>
      </c>
      <c r="GS941" s="4">
        <v>215</v>
      </c>
      <c r="GT941" s="4">
        <v>209</v>
      </c>
      <c r="GU941" s="4">
        <v>206</v>
      </c>
      <c r="GV941" s="4">
        <v>204</v>
      </c>
      <c r="GW941" s="4">
        <v>202</v>
      </c>
      <c r="GX941" s="4">
        <v>200</v>
      </c>
      <c r="GY941" s="4">
        <v>198</v>
      </c>
      <c r="GZ941" s="4">
        <v>195</v>
      </c>
      <c r="HA941" s="4">
        <v>192</v>
      </c>
      <c r="HB941" s="4">
        <v>189</v>
      </c>
      <c r="HC941" s="4">
        <v>186</v>
      </c>
      <c r="HD941" s="19">
        <v>257</v>
      </c>
      <c r="HE941" s="19">
        <v>256</v>
      </c>
      <c r="HF941" s="19">
        <v>127.5</v>
      </c>
      <c r="HG941" s="19">
        <v>127</v>
      </c>
      <c r="HH941" s="19">
        <v>126.5</v>
      </c>
      <c r="HI941" s="19">
        <v>125.5</v>
      </c>
      <c r="HJ941" s="19">
        <v>124.5</v>
      </c>
      <c r="HK941" s="19">
        <v>123.5</v>
      </c>
      <c r="HL941" s="19">
        <v>122.5</v>
      </c>
      <c r="HM941" s="19">
        <v>81</v>
      </c>
      <c r="HN941" s="19">
        <v>48.2</v>
      </c>
      <c r="HO941" s="19">
        <v>39.8</v>
      </c>
      <c r="HP941" s="19">
        <v>39.2</v>
      </c>
      <c r="HQ941" s="19">
        <v>38.3</v>
      </c>
      <c r="HR941" s="19">
        <v>55.5</v>
      </c>
      <c r="HS941" s="19">
        <v>71.7</v>
      </c>
      <c r="HT941" s="19">
        <v>104.5</v>
      </c>
      <c r="HU941" s="19">
        <v>103</v>
      </c>
      <c r="HV941" s="19">
        <v>102</v>
      </c>
      <c r="HW941" s="19">
        <v>101</v>
      </c>
      <c r="HX941" s="19">
        <v>66.7</v>
      </c>
      <c r="HY941" s="19">
        <v>66</v>
      </c>
      <c r="HZ941" s="19">
        <v>65</v>
      </c>
      <c r="IA941" s="19">
        <v>96</v>
      </c>
      <c r="IB941" s="19">
        <v>94.5</v>
      </c>
      <c r="IC941" s="19">
        <v>93</v>
      </c>
    </row>
    <row r="942">
      <c r="A942" s="2" t="s">
        <v>3749</v>
      </c>
      <c r="B942" s="2" t="s">
        <v>905</v>
      </c>
      <c r="C942" s="2" t="s">
        <v>2746</v>
      </c>
      <c r="D942" s="2" t="s">
        <v>1177</v>
      </c>
      <c r="E942" s="2" t="s">
        <v>2747</v>
      </c>
      <c r="F942" s="2" t="s">
        <v>3722</v>
      </c>
      <c r="G942" s="2" t="s">
        <v>3722</v>
      </c>
      <c r="H942" s="2" t="s">
        <v>3722</v>
      </c>
      <c r="I942" s="2" t="s">
        <v>982</v>
      </c>
      <c r="J942" s="2" t="s">
        <v>394</v>
      </c>
      <c r="K942" s="2" t="s">
        <v>309</v>
      </c>
      <c r="L942" s="3">
        <v>49.04</v>
      </c>
      <c r="M942" s="3">
        <v>51.49</v>
      </c>
      <c r="N942" s="3">
        <v>99.99</v>
      </c>
      <c r="O942" s="2" t="s">
        <v>232</v>
      </c>
      <c r="P942" s="2" t="s">
        <v>878</v>
      </c>
      <c r="Q942" s="2" t="s">
        <v>234</v>
      </c>
      <c r="R942" s="2" t="s">
        <v>235</v>
      </c>
      <c r="S942" s="2" t="s">
        <v>3750</v>
      </c>
      <c r="T942" s="2" t="s">
        <v>879</v>
      </c>
      <c r="U942" s="2" t="s">
        <v>807</v>
      </c>
      <c r="V942" s="2" t="s">
        <v>238</v>
      </c>
      <c r="W942" s="2" t="s">
        <v>239</v>
      </c>
      <c r="X942" s="2" t="s">
        <v>235</v>
      </c>
      <c r="Y942" s="2" t="s">
        <v>3093</v>
      </c>
      <c r="Z942" s="4">
        <v>97</v>
      </c>
      <c r="AA942" s="4">
        <f>=ROUNDDOWN(31.2903225806452,0)</f>
      </c>
      <c r="AB942" s="5">
        <v>3.1</v>
      </c>
      <c r="AC942" s="2" t="s">
        <v>235</v>
      </c>
      <c r="AD942" s="4"/>
      <c r="AE942" s="4"/>
      <c r="AF942" s="6">
        <v>66</v>
      </c>
      <c r="AG942" s="6"/>
      <c r="AH942" s="7">
        <v>1</v>
      </c>
      <c r="AI942" s="4"/>
      <c r="AJ942" s="4">
        <f>=ROUNDDOWN({0},0)</f>
      </c>
      <c r="AK942" s="5"/>
      <c r="AL942" s="2" t="s">
        <v>235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235</v>
      </c>
      <c r="AW942" s="8" t="s">
        <v>235</v>
      </c>
      <c r="AX942" s="4" t="s">
        <v>235</v>
      </c>
      <c r="AY942" s="8" t="s">
        <v>235</v>
      </c>
      <c r="AZ942" s="7" t="s">
        <v>235</v>
      </c>
      <c r="BA942" s="7" t="s">
        <v>235</v>
      </c>
      <c r="BB942" s="7"/>
      <c r="BC942" s="4" t="s">
        <v>235</v>
      </c>
      <c r="BD942" s="8" t="s">
        <v>235</v>
      </c>
      <c r="BE942" s="4" t="s">
        <v>235</v>
      </c>
      <c r="BF942" s="8" t="s">
        <v>235</v>
      </c>
      <c r="BG942" s="7" t="s">
        <v>235</v>
      </c>
      <c r="BH942" s="7" t="s">
        <v>235</v>
      </c>
      <c r="BI942" s="7"/>
      <c r="BJ942" s="4">
        <v>5</v>
      </c>
      <c r="BK942" s="8">
        <v>266.55</v>
      </c>
      <c r="BL942" s="2" t="s">
        <v>3751</v>
      </c>
      <c r="BM942" s="7"/>
      <c r="BN942" s="7"/>
      <c r="BO942" s="4"/>
      <c r="BP942" s="8"/>
      <c r="BQ942" s="4"/>
      <c r="BR942" s="8"/>
      <c r="BS942" s="7"/>
      <c r="BT942" s="7"/>
      <c r="BU942" s="2" t="s">
        <v>3725</v>
      </c>
      <c r="BV942" s="2" t="s">
        <v>243</v>
      </c>
      <c r="BW942" s="2" t="s">
        <v>235</v>
      </c>
      <c r="BX942" s="2" t="s">
        <v>244</v>
      </c>
      <c r="BY942" s="2" t="s">
        <v>245</v>
      </c>
      <c r="BZ942" s="2" t="s">
        <v>232</v>
      </c>
      <c r="CA942" s="2" t="s">
        <v>3726</v>
      </c>
      <c r="CB942" s="2" t="s">
        <v>3752</v>
      </c>
      <c r="CC942" s="2" t="s">
        <v>248</v>
      </c>
      <c r="CD942" s="2" t="s">
        <v>248</v>
      </c>
      <c r="CE942" s="2" t="s">
        <v>235</v>
      </c>
      <c r="CF942" s="4"/>
      <c r="CG942" s="4"/>
      <c r="CH942" s="4"/>
      <c r="CI942" s="4">
        <v>97</v>
      </c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>
        <v>97</v>
      </c>
      <c r="GE942" s="4">
        <v>96</v>
      </c>
      <c r="GF942" s="4">
        <v>95</v>
      </c>
      <c r="GG942" s="4">
        <v>94</v>
      </c>
      <c r="GH942" s="4">
        <v>93</v>
      </c>
      <c r="GI942" s="4">
        <v>88</v>
      </c>
      <c r="GJ942" s="4">
        <v>83</v>
      </c>
      <c r="GK942" s="4">
        <v>78</v>
      </c>
      <c r="GL942" s="4">
        <v>73</v>
      </c>
      <c r="GM942" s="4">
        <v>70</v>
      </c>
      <c r="GN942" s="4">
        <v>66</v>
      </c>
      <c r="GO942" s="4">
        <v>58</v>
      </c>
      <c r="GP942" s="4">
        <v>44</v>
      </c>
      <c r="GQ942" s="4">
        <v>31</v>
      </c>
      <c r="GR942" s="4">
        <v>9</v>
      </c>
      <c r="GS942" s="4"/>
      <c r="GT942" s="4"/>
      <c r="GU942" s="4"/>
      <c r="GV942" s="4"/>
      <c r="GW942" s="4"/>
      <c r="GX942" s="4">
        <v>147</v>
      </c>
      <c r="GY942" s="4">
        <v>143</v>
      </c>
      <c r="GZ942" s="4">
        <v>141</v>
      </c>
      <c r="HA942" s="4">
        <v>139</v>
      </c>
      <c r="HB942" s="4">
        <v>137</v>
      </c>
      <c r="HC942" s="4">
        <v>135</v>
      </c>
      <c r="HD942" s="19">
        <v>97</v>
      </c>
      <c r="HE942" s="19">
        <v>48</v>
      </c>
      <c r="HF942" s="19">
        <v>31.7</v>
      </c>
      <c r="HG942" s="19">
        <v>23.5</v>
      </c>
      <c r="HH942" s="19">
        <v>18.6</v>
      </c>
      <c r="HI942" s="19">
        <v>22</v>
      </c>
      <c r="HJ942" s="19">
        <v>20.8</v>
      </c>
      <c r="HK942" s="19">
        <v>15.6</v>
      </c>
      <c r="HL942" s="19">
        <v>10.4</v>
      </c>
      <c r="HM942" s="19">
        <v>7</v>
      </c>
      <c r="HN942" s="19">
        <v>4.7</v>
      </c>
      <c r="HO942" s="19">
        <v>3.4</v>
      </c>
      <c r="HP942" s="19">
        <v>2.3</v>
      </c>
      <c r="HQ942" s="19">
        <v>1.7</v>
      </c>
      <c r="HR942" s="19">
        <v>0.7</v>
      </c>
      <c r="HS942" s="20">
        <v>0</v>
      </c>
      <c r="HT942" s="20">
        <v>0</v>
      </c>
      <c r="HU942" s="20">
        <v>0</v>
      </c>
      <c r="HV942" s="20">
        <v>0</v>
      </c>
      <c r="HW942" s="20">
        <v>0</v>
      </c>
      <c r="HX942" s="19">
        <v>73.5</v>
      </c>
      <c r="HY942" s="19">
        <v>71.5</v>
      </c>
      <c r="HZ942" s="19">
        <v>70.5</v>
      </c>
      <c r="IA942" s="19">
        <v>69.5</v>
      </c>
      <c r="IB942" s="19">
        <v>68.5</v>
      </c>
      <c r="IC942" s="19">
        <v>67.5</v>
      </c>
    </row>
    <row r="943">
      <c r="A943" s="2" t="s">
        <v>3753</v>
      </c>
      <c r="B943" s="2" t="s">
        <v>905</v>
      </c>
      <c r="C943" s="2" t="s">
        <v>2746</v>
      </c>
      <c r="D943" s="2" t="s">
        <v>1177</v>
      </c>
      <c r="E943" s="2" t="s">
        <v>2747</v>
      </c>
      <c r="F943" s="2" t="s">
        <v>3722</v>
      </c>
      <c r="G943" s="2" t="s">
        <v>3722</v>
      </c>
      <c r="H943" s="2" t="s">
        <v>3722</v>
      </c>
      <c r="I943" s="2" t="s">
        <v>982</v>
      </c>
      <c r="J943" s="2" t="s">
        <v>250</v>
      </c>
      <c r="K943" s="2" t="s">
        <v>309</v>
      </c>
      <c r="L943" s="3">
        <v>54.42</v>
      </c>
      <c r="M943" s="3">
        <v>57.14</v>
      </c>
      <c r="N943" s="3">
        <v>119.99</v>
      </c>
      <c r="O943" s="2" t="s">
        <v>232</v>
      </c>
      <c r="P943" s="2" t="s">
        <v>878</v>
      </c>
      <c r="Q943" s="2" t="s">
        <v>234</v>
      </c>
      <c r="R943" s="2" t="s">
        <v>235</v>
      </c>
      <c r="S943" s="2" t="s">
        <v>3750</v>
      </c>
      <c r="T943" s="2" t="s">
        <v>879</v>
      </c>
      <c r="U943" s="2" t="s">
        <v>807</v>
      </c>
      <c r="V943" s="2" t="s">
        <v>238</v>
      </c>
      <c r="W943" s="2" t="s">
        <v>239</v>
      </c>
      <c r="X943" s="2" t="s">
        <v>235</v>
      </c>
      <c r="Y943" s="2" t="s">
        <v>3093</v>
      </c>
      <c r="Z943" s="4">
        <v>80</v>
      </c>
      <c r="AA943" s="4">
        <f>=ROUNDDOWN(30.7692307692308,0)</f>
      </c>
      <c r="AB943" s="5">
        <v>2.6</v>
      </c>
      <c r="AC943" s="2" t="s">
        <v>235</v>
      </c>
      <c r="AD943" s="4"/>
      <c r="AE943" s="4"/>
      <c r="AF943" s="6">
        <v>66</v>
      </c>
      <c r="AG943" s="6"/>
      <c r="AH943" s="7">
        <v>1</v>
      </c>
      <c r="AI943" s="4"/>
      <c r="AJ943" s="4">
        <f>=ROUNDDOWN({0},0)</f>
      </c>
      <c r="AK943" s="5"/>
      <c r="AL943" s="2" t="s">
        <v>235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235</v>
      </c>
      <c r="AW943" s="8" t="s">
        <v>235</v>
      </c>
      <c r="AX943" s="4" t="s">
        <v>235</v>
      </c>
      <c r="AY943" s="8" t="s">
        <v>235</v>
      </c>
      <c r="AZ943" s="7" t="s">
        <v>235</v>
      </c>
      <c r="BA943" s="7" t="s">
        <v>235</v>
      </c>
      <c r="BB943" s="7"/>
      <c r="BC943" s="4" t="s">
        <v>235</v>
      </c>
      <c r="BD943" s="8" t="s">
        <v>235</v>
      </c>
      <c r="BE943" s="4" t="s">
        <v>235</v>
      </c>
      <c r="BF943" s="8" t="s">
        <v>235</v>
      </c>
      <c r="BG943" s="7" t="s">
        <v>235</v>
      </c>
      <c r="BH943" s="7" t="s">
        <v>235</v>
      </c>
      <c r="BI943" s="7"/>
      <c r="BJ943" s="4">
        <v>4</v>
      </c>
      <c r="BK943" s="8">
        <v>242.93</v>
      </c>
      <c r="BL943" s="2" t="s">
        <v>2779</v>
      </c>
      <c r="BM943" s="7"/>
      <c r="BN943" s="7"/>
      <c r="BO943" s="4"/>
      <c r="BP943" s="8"/>
      <c r="BQ943" s="4"/>
      <c r="BR943" s="8"/>
      <c r="BS943" s="7"/>
      <c r="BT943" s="7"/>
      <c r="BU943" s="2" t="s">
        <v>3725</v>
      </c>
      <c r="BV943" s="2" t="s">
        <v>243</v>
      </c>
      <c r="BW943" s="2" t="s">
        <v>235</v>
      </c>
      <c r="BX943" s="2" t="s">
        <v>244</v>
      </c>
      <c r="BY943" s="2" t="s">
        <v>245</v>
      </c>
      <c r="BZ943" s="2" t="s">
        <v>232</v>
      </c>
      <c r="CA943" s="2" t="s">
        <v>1600</v>
      </c>
      <c r="CB943" s="2" t="s">
        <v>2893</v>
      </c>
      <c r="CC943" s="2" t="s">
        <v>248</v>
      </c>
      <c r="CD943" s="2" t="s">
        <v>248</v>
      </c>
      <c r="CE943" s="2" t="s">
        <v>235</v>
      </c>
      <c r="CF943" s="4"/>
      <c r="CG943" s="4"/>
      <c r="CH943" s="4"/>
      <c r="CI943" s="4">
        <v>80</v>
      </c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>
        <v>81</v>
      </c>
      <c r="GE943" s="4">
        <v>79</v>
      </c>
      <c r="GF943" s="4">
        <v>78</v>
      </c>
      <c r="GG943" s="4">
        <v>77</v>
      </c>
      <c r="GH943" s="4">
        <v>76</v>
      </c>
      <c r="GI943" s="4">
        <v>71</v>
      </c>
      <c r="GJ943" s="4">
        <v>66</v>
      </c>
      <c r="GK943" s="4">
        <v>61</v>
      </c>
      <c r="GL943" s="4">
        <v>56</v>
      </c>
      <c r="GM943" s="4">
        <v>53</v>
      </c>
      <c r="GN943" s="4">
        <v>49</v>
      </c>
      <c r="GO943" s="4">
        <v>41</v>
      </c>
      <c r="GP943" s="4">
        <v>27</v>
      </c>
      <c r="GQ943" s="4">
        <v>14</v>
      </c>
      <c r="GR943" s="4"/>
      <c r="GS943" s="4"/>
      <c r="GT943" s="4"/>
      <c r="GU943" s="4"/>
      <c r="GV943" s="4"/>
      <c r="GW943" s="4"/>
      <c r="GX943" s="4">
        <v>147</v>
      </c>
      <c r="GY943" s="4">
        <v>143</v>
      </c>
      <c r="GZ943" s="4">
        <v>141</v>
      </c>
      <c r="HA943" s="4">
        <v>139</v>
      </c>
      <c r="HB943" s="4">
        <v>137</v>
      </c>
      <c r="HC943" s="4">
        <v>135</v>
      </c>
      <c r="HD943" s="19">
        <v>81</v>
      </c>
      <c r="HE943" s="19">
        <v>39.5</v>
      </c>
      <c r="HF943" s="19">
        <v>26</v>
      </c>
      <c r="HG943" s="19">
        <v>19.3</v>
      </c>
      <c r="HH943" s="19">
        <v>15.2</v>
      </c>
      <c r="HI943" s="19">
        <v>17.8</v>
      </c>
      <c r="HJ943" s="19">
        <v>16.5</v>
      </c>
      <c r="HK943" s="19">
        <v>12.2</v>
      </c>
      <c r="HL943" s="19">
        <v>8</v>
      </c>
      <c r="HM943" s="19">
        <v>5.3</v>
      </c>
      <c r="HN943" s="19">
        <v>3.5</v>
      </c>
      <c r="HO943" s="19">
        <v>2.4</v>
      </c>
      <c r="HP943" s="19">
        <v>1.4</v>
      </c>
      <c r="HQ943" s="19">
        <v>0.8</v>
      </c>
      <c r="HR943" s="20">
        <v>0</v>
      </c>
      <c r="HS943" s="20">
        <v>0</v>
      </c>
      <c r="HT943" s="20">
        <v>0</v>
      </c>
      <c r="HU943" s="20">
        <v>0</v>
      </c>
      <c r="HV943" s="20">
        <v>0</v>
      </c>
      <c r="HW943" s="20">
        <v>0</v>
      </c>
      <c r="HX943" s="19">
        <v>73.5</v>
      </c>
      <c r="HY943" s="19">
        <v>71.5</v>
      </c>
      <c r="HZ943" s="19">
        <v>70.5</v>
      </c>
      <c r="IA943" s="19">
        <v>69.5</v>
      </c>
      <c r="IB943" s="19">
        <v>68.5</v>
      </c>
      <c r="IC943" s="19">
        <v>67.5</v>
      </c>
    </row>
    <row r="944">
      <c r="A944" s="2" t="s">
        <v>3754</v>
      </c>
      <c r="B944" s="2" t="s">
        <v>905</v>
      </c>
      <c r="C944" s="2" t="s">
        <v>2746</v>
      </c>
      <c r="D944" s="2" t="s">
        <v>1177</v>
      </c>
      <c r="E944" s="2" t="s">
        <v>2747</v>
      </c>
      <c r="F944" s="2" t="s">
        <v>3722</v>
      </c>
      <c r="G944" s="2" t="s">
        <v>3722</v>
      </c>
      <c r="H944" s="2" t="s">
        <v>3722</v>
      </c>
      <c r="I944" s="2" t="s">
        <v>982</v>
      </c>
      <c r="J944" s="2" t="s">
        <v>261</v>
      </c>
      <c r="K944" s="2" t="s">
        <v>309</v>
      </c>
      <c r="L944" s="3">
        <v>76.38</v>
      </c>
      <c r="M944" s="3">
        <v>80.2</v>
      </c>
      <c r="N944" s="3">
        <v>154.99</v>
      </c>
      <c r="O944" s="2" t="s">
        <v>232</v>
      </c>
      <c r="P944" s="2" t="s">
        <v>878</v>
      </c>
      <c r="Q944" s="2" t="s">
        <v>234</v>
      </c>
      <c r="R944" s="2" t="s">
        <v>235</v>
      </c>
      <c r="S944" s="2" t="s">
        <v>3750</v>
      </c>
      <c r="T944" s="2" t="s">
        <v>879</v>
      </c>
      <c r="U944" s="2" t="s">
        <v>807</v>
      </c>
      <c r="V944" s="2" t="s">
        <v>238</v>
      </c>
      <c r="W944" s="2" t="s">
        <v>239</v>
      </c>
      <c r="X944" s="2" t="s">
        <v>235</v>
      </c>
      <c r="Y944" s="2" t="s">
        <v>2829</v>
      </c>
      <c r="Z944" s="4">
        <v>55</v>
      </c>
      <c r="AA944" s="4">
        <f>=ROUNDDOWN(10.377358490566,0)</f>
      </c>
      <c r="AB944" s="5">
        <v>5.3</v>
      </c>
      <c r="AC944" s="2" t="s">
        <v>883</v>
      </c>
      <c r="AD944" s="4">
        <v>100</v>
      </c>
      <c r="AE944" s="4">
        <v>100</v>
      </c>
      <c r="AF944" s="6">
        <v>66</v>
      </c>
      <c r="AG944" s="6"/>
      <c r="AH944" s="7">
        <v>1</v>
      </c>
      <c r="AI944" s="4"/>
      <c r="AJ944" s="4">
        <f>=ROUNDDOWN({0},0)</f>
      </c>
      <c r="AK944" s="5"/>
      <c r="AL944" s="2" t="s">
        <v>235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235</v>
      </c>
      <c r="AW944" s="8" t="s">
        <v>235</v>
      </c>
      <c r="AX944" s="4" t="s">
        <v>235</v>
      </c>
      <c r="AY944" s="8" t="s">
        <v>235</v>
      </c>
      <c r="AZ944" s="7" t="s">
        <v>235</v>
      </c>
      <c r="BA944" s="7" t="s">
        <v>235</v>
      </c>
      <c r="BB944" s="7"/>
      <c r="BC944" s="4" t="s">
        <v>235</v>
      </c>
      <c r="BD944" s="8" t="s">
        <v>235</v>
      </c>
      <c r="BE944" s="4" t="s">
        <v>235</v>
      </c>
      <c r="BF944" s="8" t="s">
        <v>235</v>
      </c>
      <c r="BG944" s="7" t="s">
        <v>235</v>
      </c>
      <c r="BH944" s="7" t="s">
        <v>235</v>
      </c>
      <c r="BI944" s="7"/>
      <c r="BJ944" s="4">
        <v>9</v>
      </c>
      <c r="BK944" s="8">
        <v>777.26</v>
      </c>
      <c r="BL944" s="2" t="s">
        <v>2462</v>
      </c>
      <c r="BM944" s="7"/>
      <c r="BN944" s="7"/>
      <c r="BO944" s="4"/>
      <c r="BP944" s="8"/>
      <c r="BQ944" s="4"/>
      <c r="BR944" s="8"/>
      <c r="BS944" s="7"/>
      <c r="BT944" s="7"/>
      <c r="BU944" s="2" t="s">
        <v>3725</v>
      </c>
      <c r="BV944" s="2" t="s">
        <v>243</v>
      </c>
      <c r="BW944" s="2" t="s">
        <v>235</v>
      </c>
      <c r="BX944" s="2" t="s">
        <v>244</v>
      </c>
      <c r="BY944" s="2" t="s">
        <v>245</v>
      </c>
      <c r="BZ944" s="2" t="s">
        <v>232</v>
      </c>
      <c r="CA944" s="2" t="s">
        <v>3726</v>
      </c>
      <c r="CB944" s="2" t="s">
        <v>1208</v>
      </c>
      <c r="CC944" s="2" t="s">
        <v>248</v>
      </c>
      <c r="CD944" s="2" t="s">
        <v>248</v>
      </c>
      <c r="CE944" s="2" t="s">
        <v>235</v>
      </c>
      <c r="CF944" s="4"/>
      <c r="CG944" s="4"/>
      <c r="CH944" s="4"/>
      <c r="CI944" s="4">
        <v>55</v>
      </c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>
        <v>100</v>
      </c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>
        <v>56</v>
      </c>
      <c r="GE944" s="4">
        <v>153</v>
      </c>
      <c r="GF944" s="4">
        <v>151</v>
      </c>
      <c r="GG944" s="4">
        <v>149</v>
      </c>
      <c r="GH944" s="4">
        <v>147</v>
      </c>
      <c r="GI944" s="4">
        <v>143</v>
      </c>
      <c r="GJ944" s="4">
        <v>139</v>
      </c>
      <c r="GK944" s="4">
        <v>135</v>
      </c>
      <c r="GL944" s="4">
        <v>131</v>
      </c>
      <c r="GM944" s="4">
        <v>128</v>
      </c>
      <c r="GN944" s="4">
        <v>124</v>
      </c>
      <c r="GO944" s="4">
        <v>119</v>
      </c>
      <c r="GP944" s="4">
        <v>109</v>
      </c>
      <c r="GQ944" s="4">
        <v>100</v>
      </c>
      <c r="GR944" s="4">
        <v>82</v>
      </c>
      <c r="GS944" s="4">
        <v>64</v>
      </c>
      <c r="GT944" s="4">
        <v>53</v>
      </c>
      <c r="GU944" s="4">
        <v>47</v>
      </c>
      <c r="GV944" s="4">
        <v>44</v>
      </c>
      <c r="GW944" s="4">
        <v>41</v>
      </c>
      <c r="GX944" s="4">
        <v>140</v>
      </c>
      <c r="GY944" s="4">
        <v>137</v>
      </c>
      <c r="GZ944" s="4">
        <v>133</v>
      </c>
      <c r="HA944" s="4">
        <v>129</v>
      </c>
      <c r="HB944" s="4">
        <v>125</v>
      </c>
      <c r="HC944" s="4">
        <v>121</v>
      </c>
      <c r="HD944" s="19">
        <v>28</v>
      </c>
      <c r="HE944" s="19">
        <v>76.5</v>
      </c>
      <c r="HF944" s="19">
        <v>50.3</v>
      </c>
      <c r="HG944" s="19">
        <v>37.3</v>
      </c>
      <c r="HH944" s="19">
        <v>36.8</v>
      </c>
      <c r="HI944" s="19">
        <v>35.8</v>
      </c>
      <c r="HJ944" s="19">
        <v>34.8</v>
      </c>
      <c r="HK944" s="19">
        <v>33.8</v>
      </c>
      <c r="HL944" s="19">
        <v>21.8</v>
      </c>
      <c r="HM944" s="19">
        <v>18.3</v>
      </c>
      <c r="HN944" s="19">
        <v>12.4</v>
      </c>
      <c r="HO944" s="19">
        <v>8.5</v>
      </c>
      <c r="HP944" s="19">
        <v>7.8</v>
      </c>
      <c r="HQ944" s="19">
        <v>7.7</v>
      </c>
      <c r="HR944" s="19">
        <v>8.2</v>
      </c>
      <c r="HS944" s="19">
        <v>10.7</v>
      </c>
      <c r="HT944" s="19">
        <v>13.3</v>
      </c>
      <c r="HU944" s="19">
        <v>15.7</v>
      </c>
      <c r="HV944" s="19">
        <v>14.7</v>
      </c>
      <c r="HW944" s="19">
        <v>10.3</v>
      </c>
      <c r="HX944" s="19">
        <v>35</v>
      </c>
      <c r="HY944" s="19">
        <v>34.3</v>
      </c>
      <c r="HZ944" s="19">
        <v>33.3</v>
      </c>
      <c r="IA944" s="19">
        <v>43</v>
      </c>
      <c r="IB944" s="19">
        <v>62.5</v>
      </c>
      <c r="IC944" s="19">
        <v>60.5</v>
      </c>
    </row>
    <row r="945">
      <c r="A945" s="2" t="s">
        <v>3755</v>
      </c>
      <c r="B945" s="2" t="s">
        <v>905</v>
      </c>
      <c r="C945" s="2" t="s">
        <v>2746</v>
      </c>
      <c r="D945" s="2" t="s">
        <v>1177</v>
      </c>
      <c r="E945" s="2" t="s">
        <v>2747</v>
      </c>
      <c r="F945" s="2" t="s">
        <v>3722</v>
      </c>
      <c r="G945" s="2" t="s">
        <v>3722</v>
      </c>
      <c r="H945" s="2" t="s">
        <v>3722</v>
      </c>
      <c r="I945" s="2" t="s">
        <v>982</v>
      </c>
      <c r="J945" s="2" t="s">
        <v>270</v>
      </c>
      <c r="K945" s="2" t="s">
        <v>309</v>
      </c>
      <c r="L945" s="3">
        <v>87.16</v>
      </c>
      <c r="M945" s="3">
        <v>91.52</v>
      </c>
      <c r="N945" s="3">
        <v>179.99</v>
      </c>
      <c r="O945" s="2" t="s">
        <v>232</v>
      </c>
      <c r="P945" s="2" t="s">
        <v>878</v>
      </c>
      <c r="Q945" s="2" t="s">
        <v>234</v>
      </c>
      <c r="R945" s="2" t="s">
        <v>235</v>
      </c>
      <c r="S945" s="2" t="s">
        <v>3750</v>
      </c>
      <c r="T945" s="2" t="s">
        <v>879</v>
      </c>
      <c r="U945" s="2" t="s">
        <v>807</v>
      </c>
      <c r="V945" s="2" t="s">
        <v>238</v>
      </c>
      <c r="W945" s="2" t="s">
        <v>239</v>
      </c>
      <c r="X945" s="2" t="s">
        <v>235</v>
      </c>
      <c r="Y945" s="2" t="s">
        <v>2829</v>
      </c>
      <c r="Z945" s="4">
        <v>18</v>
      </c>
      <c r="AA945" s="4">
        <f>=ROUNDDOWN(2.95081967213115,0)</f>
      </c>
      <c r="AB945" s="5">
        <v>6.1</v>
      </c>
      <c r="AC945" s="2" t="s">
        <v>883</v>
      </c>
      <c r="AD945" s="4">
        <v>120</v>
      </c>
      <c r="AE945" s="4">
        <v>120</v>
      </c>
      <c r="AF945" s="6">
        <v>66</v>
      </c>
      <c r="AG945" s="6"/>
      <c r="AH945" s="7">
        <v>1</v>
      </c>
      <c r="AI945" s="4"/>
      <c r="AJ945" s="4">
        <f>=ROUNDDOWN({0},0)</f>
      </c>
      <c r="AK945" s="5"/>
      <c r="AL945" s="2" t="s">
        <v>235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235</v>
      </c>
      <c r="AW945" s="8" t="s">
        <v>235</v>
      </c>
      <c r="AX945" s="4" t="s">
        <v>235</v>
      </c>
      <c r="AY945" s="8" t="s">
        <v>235</v>
      </c>
      <c r="AZ945" s="7" t="s">
        <v>235</v>
      </c>
      <c r="BA945" s="7" t="s">
        <v>235</v>
      </c>
      <c r="BB945" s="7"/>
      <c r="BC945" s="4" t="s">
        <v>235</v>
      </c>
      <c r="BD945" s="8" t="s">
        <v>235</v>
      </c>
      <c r="BE945" s="4" t="s">
        <v>235</v>
      </c>
      <c r="BF945" s="8" t="s">
        <v>235</v>
      </c>
      <c r="BG945" s="7" t="s">
        <v>235</v>
      </c>
      <c r="BH945" s="7" t="s">
        <v>235</v>
      </c>
      <c r="BI945" s="7"/>
      <c r="BJ945" s="4">
        <v>12</v>
      </c>
      <c r="BK945" s="8">
        <v>1161.27</v>
      </c>
      <c r="BL945" s="2" t="s">
        <v>3740</v>
      </c>
      <c r="BM945" s="7"/>
      <c r="BN945" s="7"/>
      <c r="BO945" s="4"/>
      <c r="BP945" s="8"/>
      <c r="BQ945" s="4"/>
      <c r="BR945" s="8"/>
      <c r="BS945" s="7"/>
      <c r="BT945" s="7"/>
      <c r="BU945" s="2" t="s">
        <v>3725</v>
      </c>
      <c r="BV945" s="2" t="s">
        <v>243</v>
      </c>
      <c r="BW945" s="2" t="s">
        <v>235</v>
      </c>
      <c r="BX945" s="2" t="s">
        <v>244</v>
      </c>
      <c r="BY945" s="2" t="s">
        <v>245</v>
      </c>
      <c r="BZ945" s="2" t="s">
        <v>232</v>
      </c>
      <c r="CA945" s="2" t="s">
        <v>3726</v>
      </c>
      <c r="CB945" s="2" t="s">
        <v>3626</v>
      </c>
      <c r="CC945" s="2" t="s">
        <v>248</v>
      </c>
      <c r="CD945" s="2" t="s">
        <v>248</v>
      </c>
      <c r="CE945" s="2" t="s">
        <v>235</v>
      </c>
      <c r="CF945" s="4"/>
      <c r="CG945" s="4"/>
      <c r="CH945" s="4"/>
      <c r="CI945" s="4">
        <v>18</v>
      </c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>
        <v>120</v>
      </c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>
        <v>19</v>
      </c>
      <c r="GE945" s="4">
        <v>136</v>
      </c>
      <c r="GF945" s="4">
        <v>134</v>
      </c>
      <c r="GG945" s="4">
        <v>132</v>
      </c>
      <c r="GH945" s="4">
        <v>130</v>
      </c>
      <c r="GI945" s="4">
        <v>126</v>
      </c>
      <c r="GJ945" s="4">
        <v>122</v>
      </c>
      <c r="GK945" s="4">
        <v>118</v>
      </c>
      <c r="GL945" s="4">
        <v>114</v>
      </c>
      <c r="GM945" s="4">
        <v>111</v>
      </c>
      <c r="GN945" s="4">
        <v>107</v>
      </c>
      <c r="GO945" s="4">
        <v>102</v>
      </c>
      <c r="GP945" s="4">
        <v>93</v>
      </c>
      <c r="GQ945" s="4">
        <v>84</v>
      </c>
      <c r="GR945" s="4">
        <v>69</v>
      </c>
      <c r="GS945" s="4">
        <v>55</v>
      </c>
      <c r="GT945" s="4">
        <v>42</v>
      </c>
      <c r="GU945" s="4">
        <v>36</v>
      </c>
      <c r="GV945" s="4">
        <v>32</v>
      </c>
      <c r="GW945" s="4">
        <v>28</v>
      </c>
      <c r="GX945" s="4">
        <v>155</v>
      </c>
      <c r="GY945" s="4">
        <v>151</v>
      </c>
      <c r="GZ945" s="4">
        <v>146</v>
      </c>
      <c r="HA945" s="4">
        <v>141</v>
      </c>
      <c r="HB945" s="4">
        <v>136</v>
      </c>
      <c r="HC945" s="4">
        <v>131</v>
      </c>
      <c r="HD945" s="19">
        <v>9.5</v>
      </c>
      <c r="HE945" s="19">
        <v>68</v>
      </c>
      <c r="HF945" s="19">
        <v>44.7</v>
      </c>
      <c r="HG945" s="19">
        <v>33</v>
      </c>
      <c r="HH945" s="19">
        <v>32.5</v>
      </c>
      <c r="HI945" s="19">
        <v>31.5</v>
      </c>
      <c r="HJ945" s="19">
        <v>30.5</v>
      </c>
      <c r="HK945" s="19">
        <v>29.5</v>
      </c>
      <c r="HL945" s="19">
        <v>22.8</v>
      </c>
      <c r="HM945" s="19">
        <v>15.9</v>
      </c>
      <c r="HN945" s="19">
        <v>10.7</v>
      </c>
      <c r="HO945" s="19">
        <v>8.5</v>
      </c>
      <c r="HP945" s="19">
        <v>7.2</v>
      </c>
      <c r="HQ945" s="19">
        <v>7</v>
      </c>
      <c r="HR945" s="19">
        <v>7.7</v>
      </c>
      <c r="HS945" s="19">
        <v>7.9</v>
      </c>
      <c r="HT945" s="19">
        <v>10.5</v>
      </c>
      <c r="HU945" s="19">
        <v>9</v>
      </c>
      <c r="HV945" s="19">
        <v>8</v>
      </c>
      <c r="HW945" s="19">
        <v>7</v>
      </c>
      <c r="HX945" s="19">
        <v>31</v>
      </c>
      <c r="HY945" s="19">
        <v>30.2</v>
      </c>
      <c r="HZ945" s="19">
        <v>29.2</v>
      </c>
      <c r="IA945" s="19">
        <v>35.3</v>
      </c>
      <c r="IB945" s="19">
        <v>34</v>
      </c>
      <c r="IC945" s="19">
        <v>32.8</v>
      </c>
    </row>
    <row r="946">
      <c r="A946" s="2" t="s">
        <v>3756</v>
      </c>
      <c r="B946" s="2" t="s">
        <v>871</v>
      </c>
      <c r="C946" s="2" t="s">
        <v>324</v>
      </c>
      <c r="D946" s="2" t="s">
        <v>906</v>
      </c>
      <c r="E946" s="2" t="s">
        <v>907</v>
      </c>
      <c r="F946" s="2" t="s">
        <v>1897</v>
      </c>
      <c r="G946" s="2" t="s">
        <v>3757</v>
      </c>
      <c r="H946" s="2" t="s">
        <v>3758</v>
      </c>
      <c r="I946" s="2" t="s">
        <v>3759</v>
      </c>
      <c r="J946" s="2" t="s">
        <v>365</v>
      </c>
      <c r="K946" s="2" t="s">
        <v>287</v>
      </c>
      <c r="L946" s="3">
        <v>33.33</v>
      </c>
      <c r="M946" s="3">
        <v>35</v>
      </c>
      <c r="N946" s="3">
        <v>69.99</v>
      </c>
      <c r="O946" s="2" t="s">
        <v>485</v>
      </c>
      <c r="P946" s="2" t="s">
        <v>408</v>
      </c>
      <c r="Q946" s="2" t="s">
        <v>234</v>
      </c>
      <c r="R946" s="2" t="s">
        <v>235</v>
      </c>
      <c r="S946" s="2" t="s">
        <v>3760</v>
      </c>
      <c r="T946" s="2" t="s">
        <v>501</v>
      </c>
      <c r="U946" s="2" t="s">
        <v>552</v>
      </c>
      <c r="V946" s="2" t="s">
        <v>420</v>
      </c>
      <c r="W946" s="2" t="s">
        <v>1313</v>
      </c>
      <c r="X946" s="2" t="s">
        <v>239</v>
      </c>
      <c r="Y946" s="2" t="s">
        <v>3761</v>
      </c>
      <c r="Z946" s="4"/>
      <c r="AA946" s="4">
        <f>=ROUNDDOWN({0},0)</f>
      </c>
      <c r="AB946" s="5">
        <v>3</v>
      </c>
      <c r="AC946" s="2" t="s">
        <v>235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235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235</v>
      </c>
      <c r="AW946" s="8" t="s">
        <v>235</v>
      </c>
      <c r="AX946" s="4" t="s">
        <v>235</v>
      </c>
      <c r="AY946" s="8" t="s">
        <v>235</v>
      </c>
      <c r="AZ946" s="7" t="s">
        <v>235</v>
      </c>
      <c r="BA946" s="7" t="s">
        <v>235</v>
      </c>
      <c r="BB946" s="7"/>
      <c r="BC946" s="4" t="s">
        <v>235</v>
      </c>
      <c r="BD946" s="8" t="s">
        <v>235</v>
      </c>
      <c r="BE946" s="4" t="s">
        <v>235</v>
      </c>
      <c r="BF946" s="8" t="s">
        <v>235</v>
      </c>
      <c r="BG946" s="7" t="s">
        <v>235</v>
      </c>
      <c r="BH946" s="7" t="s">
        <v>235</v>
      </c>
      <c r="BI946" s="7"/>
      <c r="BJ946" s="4">
        <v>13</v>
      </c>
      <c r="BK946" s="8">
        <v>301.48</v>
      </c>
      <c r="BL946" s="2" t="s">
        <v>1043</v>
      </c>
      <c r="BM946" s="7"/>
      <c r="BN946" s="7"/>
      <c r="BO946" s="4"/>
      <c r="BP946" s="8"/>
      <c r="BQ946" s="4"/>
      <c r="BR946" s="8"/>
      <c r="BS946" s="7"/>
      <c r="BT946" s="7"/>
      <c r="BU946" s="2" t="s">
        <v>3762</v>
      </c>
      <c r="BV946" s="2" t="s">
        <v>243</v>
      </c>
      <c r="BW946" s="2" t="s">
        <v>235</v>
      </c>
      <c r="BX946" s="2" t="s">
        <v>414</v>
      </c>
      <c r="BY946" s="2" t="s">
        <v>245</v>
      </c>
      <c r="BZ946" s="2" t="s">
        <v>232</v>
      </c>
      <c r="CA946" s="2" t="s">
        <v>3763</v>
      </c>
      <c r="CB946" s="2" t="s">
        <v>1358</v>
      </c>
      <c r="CC946" s="2" t="s">
        <v>248</v>
      </c>
      <c r="CD946" s="2" t="s">
        <v>248</v>
      </c>
      <c r="CE946" s="2" t="s">
        <v>235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>
        <v>40</v>
      </c>
      <c r="GE946" s="4">
        <v>37</v>
      </c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19">
        <v>3.1</v>
      </c>
      <c r="HE946" s="19">
        <v>2.8</v>
      </c>
      <c r="HF946" s="20">
        <v>0</v>
      </c>
      <c r="HG946" s="20">
        <v>0</v>
      </c>
      <c r="HH946" s="20">
        <v>0</v>
      </c>
      <c r="HI946" s="20">
        <v>0</v>
      </c>
      <c r="HJ946" s="20">
        <v>0</v>
      </c>
      <c r="HK946" s="20">
        <v>0</v>
      </c>
      <c r="HL946" s="20">
        <v>0</v>
      </c>
      <c r="HM946" s="20">
        <v>0</v>
      </c>
      <c r="HN946" s="20">
        <v>0</v>
      </c>
      <c r="HO946" s="20">
        <v>0</v>
      </c>
      <c r="HP946" s="20">
        <v>0</v>
      </c>
      <c r="HQ946" s="20">
        <v>0</v>
      </c>
      <c r="HR946" s="20">
        <v>0</v>
      </c>
      <c r="HS946" s="20">
        <v>0</v>
      </c>
      <c r="HT946" s="20">
        <v>0</v>
      </c>
      <c r="HU946" s="20">
        <v>0</v>
      </c>
      <c r="HV946" s="20">
        <v>0</v>
      </c>
      <c r="HW946" s="20">
        <v>0</v>
      </c>
      <c r="HX946" s="20">
        <v>0</v>
      </c>
      <c r="HY946" s="20">
        <v>0</v>
      </c>
      <c r="HZ946" s="20">
        <v>0</v>
      </c>
      <c r="IA946" s="20">
        <v>0</v>
      </c>
      <c r="IB946" s="20">
        <v>0</v>
      </c>
      <c r="IC946" s="20">
        <v>0</v>
      </c>
    </row>
    <row r="947">
      <c r="A947" s="2" t="s">
        <v>3764</v>
      </c>
      <c r="B947" s="2" t="s">
        <v>871</v>
      </c>
      <c r="C947" s="2" t="s">
        <v>324</v>
      </c>
      <c r="D947" s="2" t="s">
        <v>906</v>
      </c>
      <c r="E947" s="2" t="s">
        <v>907</v>
      </c>
      <c r="F947" s="2" t="s">
        <v>1897</v>
      </c>
      <c r="G947" s="2" t="s">
        <v>3757</v>
      </c>
      <c r="H947" s="2" t="s">
        <v>3758</v>
      </c>
      <c r="I947" s="2" t="s">
        <v>3759</v>
      </c>
      <c r="J947" s="2" t="s">
        <v>372</v>
      </c>
      <c r="K947" s="2" t="s">
        <v>287</v>
      </c>
      <c r="L947" s="3">
        <v>38.09</v>
      </c>
      <c r="M947" s="3">
        <v>39.99</v>
      </c>
      <c r="N947" s="3">
        <v>79.99</v>
      </c>
      <c r="O947" s="2" t="s">
        <v>485</v>
      </c>
      <c r="P947" s="2" t="s">
        <v>408</v>
      </c>
      <c r="Q947" s="2" t="s">
        <v>234</v>
      </c>
      <c r="R947" s="2" t="s">
        <v>235</v>
      </c>
      <c r="S947" s="2" t="s">
        <v>3760</v>
      </c>
      <c r="T947" s="2" t="s">
        <v>501</v>
      </c>
      <c r="U947" s="2" t="s">
        <v>552</v>
      </c>
      <c r="V947" s="2" t="s">
        <v>420</v>
      </c>
      <c r="W947" s="2" t="s">
        <v>1313</v>
      </c>
      <c r="X947" s="2" t="s">
        <v>239</v>
      </c>
      <c r="Y947" s="2" t="s">
        <v>3761</v>
      </c>
      <c r="Z947" s="4"/>
      <c r="AA947" s="4">
        <f>=ROUNDDOWN({0},0)</f>
      </c>
      <c r="AB947" s="5">
        <v>4</v>
      </c>
      <c r="AC947" s="2" t="s">
        <v>235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235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235</v>
      </c>
      <c r="AW947" s="8" t="s">
        <v>235</v>
      </c>
      <c r="AX947" s="4" t="s">
        <v>235</v>
      </c>
      <c r="AY947" s="8" t="s">
        <v>235</v>
      </c>
      <c r="AZ947" s="7" t="s">
        <v>235</v>
      </c>
      <c r="BA947" s="7" t="s">
        <v>235</v>
      </c>
      <c r="BB947" s="7"/>
      <c r="BC947" s="4" t="s">
        <v>235</v>
      </c>
      <c r="BD947" s="8" t="s">
        <v>235</v>
      </c>
      <c r="BE947" s="4" t="s">
        <v>235</v>
      </c>
      <c r="BF947" s="8" t="s">
        <v>235</v>
      </c>
      <c r="BG947" s="7" t="s">
        <v>235</v>
      </c>
      <c r="BH947" s="7" t="s">
        <v>235</v>
      </c>
      <c r="BI947" s="7"/>
      <c r="BJ947" s="4">
        <v>6</v>
      </c>
      <c r="BK947" s="8">
        <v>177.09</v>
      </c>
      <c r="BL947" s="2" t="s">
        <v>517</v>
      </c>
      <c r="BM947" s="7"/>
      <c r="BN947" s="7"/>
      <c r="BO947" s="4"/>
      <c r="BP947" s="8"/>
      <c r="BQ947" s="4"/>
      <c r="BR947" s="8"/>
      <c r="BS947" s="7"/>
      <c r="BT947" s="7"/>
      <c r="BU947" s="2" t="s">
        <v>3762</v>
      </c>
      <c r="BV947" s="2" t="s">
        <v>243</v>
      </c>
      <c r="BW947" s="2" t="s">
        <v>235</v>
      </c>
      <c r="BX947" s="2" t="s">
        <v>414</v>
      </c>
      <c r="BY947" s="2" t="s">
        <v>245</v>
      </c>
      <c r="BZ947" s="2" t="s">
        <v>232</v>
      </c>
      <c r="CA947" s="2" t="s">
        <v>3763</v>
      </c>
      <c r="CB947" s="2" t="s">
        <v>3765</v>
      </c>
      <c r="CC947" s="2" t="s">
        <v>248</v>
      </c>
      <c r="CD947" s="2" t="s">
        <v>248</v>
      </c>
      <c r="CE947" s="2" t="s">
        <v>235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>
        <v>32</v>
      </c>
      <c r="GE947" s="4">
        <v>28</v>
      </c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19">
        <v>2.7</v>
      </c>
      <c r="HE947" s="19">
        <v>2.3</v>
      </c>
      <c r="HF947" s="20">
        <v>0</v>
      </c>
      <c r="HG947" s="20">
        <v>0</v>
      </c>
      <c r="HH947" s="20">
        <v>0</v>
      </c>
      <c r="HI947" s="20">
        <v>0</v>
      </c>
      <c r="HJ947" s="20">
        <v>0</v>
      </c>
      <c r="HK947" s="20">
        <v>0</v>
      </c>
      <c r="HL947" s="20">
        <v>0</v>
      </c>
      <c r="HM947" s="20">
        <v>0</v>
      </c>
      <c r="HN947" s="20">
        <v>0</v>
      </c>
      <c r="HO947" s="20">
        <v>0</v>
      </c>
      <c r="HP947" s="20">
        <v>0</v>
      </c>
      <c r="HQ947" s="20">
        <v>0</v>
      </c>
      <c r="HR947" s="20">
        <v>0</v>
      </c>
      <c r="HS947" s="20">
        <v>0</v>
      </c>
      <c r="HT947" s="20">
        <v>0</v>
      </c>
      <c r="HU947" s="20">
        <v>0</v>
      </c>
      <c r="HV947" s="20">
        <v>0</v>
      </c>
      <c r="HW947" s="20">
        <v>0</v>
      </c>
      <c r="HX947" s="20">
        <v>0</v>
      </c>
      <c r="HY947" s="20">
        <v>0</v>
      </c>
      <c r="HZ947" s="20">
        <v>0</v>
      </c>
      <c r="IA947" s="20">
        <v>0</v>
      </c>
      <c r="IB947" s="20">
        <v>0</v>
      </c>
      <c r="IC947" s="20">
        <v>0</v>
      </c>
    </row>
    <row r="948">
      <c r="A948" s="2" t="s">
        <v>3766</v>
      </c>
      <c r="B948" s="2" t="s">
        <v>905</v>
      </c>
      <c r="C948" s="2" t="s">
        <v>324</v>
      </c>
      <c r="D948" s="2" t="s">
        <v>361</v>
      </c>
      <c r="E948" s="2" t="s">
        <v>924</v>
      </c>
      <c r="F948" s="2" t="s">
        <v>3767</v>
      </c>
      <c r="G948" s="2" t="s">
        <v>3768</v>
      </c>
      <c r="H948" s="2" t="s">
        <v>3768</v>
      </c>
      <c r="I948" s="2" t="s">
        <v>3769</v>
      </c>
      <c r="J948" s="2" t="s">
        <v>372</v>
      </c>
      <c r="K948" s="2" t="s">
        <v>861</v>
      </c>
      <c r="L948" s="3">
        <v>49.19</v>
      </c>
      <c r="M948" s="3">
        <v>51.65</v>
      </c>
      <c r="N948" s="3">
        <v>104.99</v>
      </c>
      <c r="O948" s="2" t="s">
        <v>232</v>
      </c>
      <c r="P948" s="2" t="s">
        <v>336</v>
      </c>
      <c r="Q948" s="2" t="s">
        <v>234</v>
      </c>
      <c r="R948" s="2" t="s">
        <v>235</v>
      </c>
      <c r="S948" s="2" t="s">
        <v>3770</v>
      </c>
      <c r="T948" s="2" t="s">
        <v>912</v>
      </c>
      <c r="U948" s="2" t="s">
        <v>552</v>
      </c>
      <c r="V948" s="2" t="s">
        <v>238</v>
      </c>
      <c r="W948" s="2" t="s">
        <v>329</v>
      </c>
      <c r="X948" s="2" t="s">
        <v>682</v>
      </c>
      <c r="Y948" s="2" t="s">
        <v>3771</v>
      </c>
      <c r="Z948" s="4">
        <v>305</v>
      </c>
      <c r="AA948" s="4">
        <f>=ROUNDDOWN(101.666666666667,0)</f>
      </c>
      <c r="AB948" s="5">
        <v>3</v>
      </c>
      <c r="AC948" s="2" t="s">
        <v>235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235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 t="s">
        <v>235</v>
      </c>
      <c r="BD948" s="8" t="s">
        <v>235</v>
      </c>
      <c r="BE948" s="4" t="s">
        <v>235</v>
      </c>
      <c r="BF948" s="8" t="s">
        <v>235</v>
      </c>
      <c r="BG948" s="7" t="s">
        <v>235</v>
      </c>
      <c r="BH948" s="7" t="s">
        <v>235</v>
      </c>
      <c r="BI948" s="7"/>
      <c r="BJ948" s="4">
        <v>9</v>
      </c>
      <c r="BK948" s="8">
        <v>462.18</v>
      </c>
      <c r="BL948" s="2" t="s">
        <v>3772</v>
      </c>
      <c r="BM948" s="7"/>
      <c r="BN948" s="7"/>
      <c r="BO948" s="4"/>
      <c r="BP948" s="8"/>
      <c r="BQ948" s="4"/>
      <c r="BR948" s="8"/>
      <c r="BS948" s="7"/>
      <c r="BT948" s="7"/>
      <c r="BU948" s="2" t="s">
        <v>3773</v>
      </c>
      <c r="BV948" s="2" t="s">
        <v>243</v>
      </c>
      <c r="BW948" s="2" t="s">
        <v>235</v>
      </c>
      <c r="BX948" s="2" t="s">
        <v>685</v>
      </c>
      <c r="BY948" s="2" t="s">
        <v>245</v>
      </c>
      <c r="BZ948" s="2" t="s">
        <v>232</v>
      </c>
      <c r="CA948" s="2" t="s">
        <v>3774</v>
      </c>
      <c r="CB948" s="2" t="s">
        <v>3775</v>
      </c>
      <c r="CC948" s="2" t="s">
        <v>248</v>
      </c>
      <c r="CD948" s="2" t="s">
        <v>248</v>
      </c>
      <c r="CE948" s="2" t="s">
        <v>235</v>
      </c>
      <c r="CF948" s="4">
        <v>305</v>
      </c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>
        <v>305</v>
      </c>
      <c r="GE948" s="4">
        <v>299</v>
      </c>
      <c r="GF948" s="4">
        <v>297</v>
      </c>
      <c r="GG948" s="4">
        <v>295</v>
      </c>
      <c r="GH948" s="4">
        <v>293</v>
      </c>
      <c r="GI948" s="4">
        <v>285</v>
      </c>
      <c r="GJ948" s="4">
        <v>277</v>
      </c>
      <c r="GK948" s="4">
        <v>269</v>
      </c>
      <c r="GL948" s="4">
        <v>261</v>
      </c>
      <c r="GM948" s="4">
        <v>253</v>
      </c>
      <c r="GN948" s="4">
        <v>245</v>
      </c>
      <c r="GO948" s="4">
        <v>232</v>
      </c>
      <c r="GP948" s="4">
        <v>218</v>
      </c>
      <c r="GQ948" s="4">
        <v>188</v>
      </c>
      <c r="GR948" s="4">
        <v>164</v>
      </c>
      <c r="GS948" s="4">
        <v>136</v>
      </c>
      <c r="GT948" s="4">
        <v>120</v>
      </c>
      <c r="GU948" s="4">
        <v>110</v>
      </c>
      <c r="GV948" s="4">
        <v>99</v>
      </c>
      <c r="GW948" s="4">
        <v>248</v>
      </c>
      <c r="GX948" s="4">
        <v>237</v>
      </c>
      <c r="GY948" s="4">
        <v>226</v>
      </c>
      <c r="GZ948" s="4">
        <v>220</v>
      </c>
      <c r="HA948" s="4">
        <v>217</v>
      </c>
      <c r="HB948" s="4">
        <v>214</v>
      </c>
      <c r="HC948" s="4">
        <v>211</v>
      </c>
      <c r="HD948" s="19">
        <v>101.7</v>
      </c>
      <c r="HE948" s="19">
        <v>74.8</v>
      </c>
      <c r="HF948" s="19">
        <v>59.4</v>
      </c>
      <c r="HG948" s="19">
        <v>49.2</v>
      </c>
      <c r="HH948" s="19">
        <v>36.6</v>
      </c>
      <c r="HI948" s="19">
        <v>35.6</v>
      </c>
      <c r="HJ948" s="19">
        <v>34.6</v>
      </c>
      <c r="HK948" s="19">
        <v>29.9</v>
      </c>
      <c r="HL948" s="19">
        <v>23.7</v>
      </c>
      <c r="HM948" s="19">
        <v>15.8</v>
      </c>
      <c r="HN948" s="19">
        <v>12.3</v>
      </c>
      <c r="HO948" s="19">
        <v>9.7</v>
      </c>
      <c r="HP948" s="19">
        <v>9.1</v>
      </c>
      <c r="HQ948" s="19">
        <v>9.4</v>
      </c>
      <c r="HR948" s="19">
        <v>10.3</v>
      </c>
      <c r="HS948" s="19">
        <v>11.3</v>
      </c>
      <c r="HT948" s="19">
        <v>10.9</v>
      </c>
      <c r="HU948" s="19">
        <v>10</v>
      </c>
      <c r="HV948" s="19">
        <v>9.9</v>
      </c>
      <c r="HW948" s="19">
        <v>31</v>
      </c>
      <c r="HX948" s="19">
        <v>39.5</v>
      </c>
      <c r="HY948" s="19">
        <v>56.5</v>
      </c>
      <c r="HZ948" s="19">
        <v>73.3</v>
      </c>
      <c r="IA948" s="19">
        <v>72.3</v>
      </c>
      <c r="IB948" s="19">
        <v>71.3</v>
      </c>
      <c r="IC948" s="19">
        <v>70.3</v>
      </c>
    </row>
    <row r="949">
      <c r="A949" s="2" t="s">
        <v>3776</v>
      </c>
      <c r="B949" s="2" t="s">
        <v>905</v>
      </c>
      <c r="C949" s="2" t="s">
        <v>324</v>
      </c>
      <c r="D949" s="2" t="s">
        <v>1539</v>
      </c>
      <c r="E949" s="2" t="s">
        <v>1540</v>
      </c>
      <c r="F949" s="2" t="s">
        <v>3767</v>
      </c>
      <c r="G949" s="2" t="s">
        <v>3768</v>
      </c>
      <c r="H949" s="2" t="s">
        <v>3768</v>
      </c>
      <c r="I949" s="2" t="s">
        <v>3777</v>
      </c>
      <c r="J949" s="2" t="s">
        <v>1542</v>
      </c>
      <c r="K949" s="2" t="s">
        <v>1196</v>
      </c>
      <c r="L949" s="3">
        <v>15.56</v>
      </c>
      <c r="M949" s="3">
        <v>16.34</v>
      </c>
      <c r="N949" s="3">
        <v>34.99</v>
      </c>
      <c r="O949" s="2" t="s">
        <v>232</v>
      </c>
      <c r="P949" s="2" t="s">
        <v>1282</v>
      </c>
      <c r="Q949" s="2" t="s">
        <v>234</v>
      </c>
      <c r="R949" s="2" t="s">
        <v>235</v>
      </c>
      <c r="S949" s="2" t="s">
        <v>3778</v>
      </c>
      <c r="T949" s="2" t="s">
        <v>912</v>
      </c>
      <c r="U949" s="2" t="s">
        <v>235</v>
      </c>
      <c r="V949" s="2" t="s">
        <v>238</v>
      </c>
      <c r="W949" s="2" t="s">
        <v>329</v>
      </c>
      <c r="X949" s="2" t="s">
        <v>235</v>
      </c>
      <c r="Y949" s="2" t="s">
        <v>240</v>
      </c>
      <c r="Z949" s="4">
        <v>1162</v>
      </c>
      <c r="AA949" s="4">
        <f>=ROUNDDOWN(109.622641509434,0)</f>
      </c>
      <c r="AB949" s="5">
        <v>10.6</v>
      </c>
      <c r="AC949" s="2" t="s">
        <v>235</v>
      </c>
      <c r="AD949" s="4"/>
      <c r="AE949" s="4"/>
      <c r="AF949" s="6">
        <v>64</v>
      </c>
      <c r="AG949" s="6">
        <v>47</v>
      </c>
      <c r="AH949" s="7">
        <v>1</v>
      </c>
      <c r="AI949" s="4"/>
      <c r="AJ949" s="4">
        <f>=ROUNDDOWN({0},0)</f>
      </c>
      <c r="AK949" s="5"/>
      <c r="AL949" s="2" t="s">
        <v>235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235</v>
      </c>
      <c r="BD949" s="8" t="s">
        <v>235</v>
      </c>
      <c r="BE949" s="4" t="s">
        <v>235</v>
      </c>
      <c r="BF949" s="8" t="s">
        <v>235</v>
      </c>
      <c r="BG949" s="7" t="s">
        <v>235</v>
      </c>
      <c r="BH949" s="7" t="s">
        <v>235</v>
      </c>
      <c r="BI949" s="7"/>
      <c r="BJ949" s="4">
        <v>57</v>
      </c>
      <c r="BK949" s="8">
        <v>918.27</v>
      </c>
      <c r="BL949" s="2" t="s">
        <v>3779</v>
      </c>
      <c r="BM949" s="7"/>
      <c r="BN949" s="7"/>
      <c r="BO949" s="4"/>
      <c r="BP949" s="8"/>
      <c r="BQ949" s="4"/>
      <c r="BR949" s="8"/>
      <c r="BS949" s="7"/>
      <c r="BT949" s="7"/>
      <c r="BU949" s="2" t="s">
        <v>3780</v>
      </c>
      <c r="BV949" s="2" t="s">
        <v>243</v>
      </c>
      <c r="BW949" s="2" t="s">
        <v>235</v>
      </c>
      <c r="BX949" s="2" t="s">
        <v>244</v>
      </c>
      <c r="BY949" s="2" t="s">
        <v>245</v>
      </c>
      <c r="BZ949" s="2" t="s">
        <v>232</v>
      </c>
      <c r="CA949" s="2" t="s">
        <v>252</v>
      </c>
      <c r="CB949" s="2" t="s">
        <v>3440</v>
      </c>
      <c r="CC949" s="2" t="s">
        <v>248</v>
      </c>
      <c r="CD949" s="2" t="s">
        <v>248</v>
      </c>
      <c r="CE949" s="2" t="s">
        <v>235</v>
      </c>
      <c r="CF949" s="4">
        <v>1162</v>
      </c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>
        <v>1167</v>
      </c>
      <c r="GE949" s="4">
        <v>1143</v>
      </c>
      <c r="GF949" s="4">
        <v>1126</v>
      </c>
      <c r="GG949" s="4">
        <v>1109</v>
      </c>
      <c r="GH949" s="4">
        <v>1092</v>
      </c>
      <c r="GI949" s="4">
        <v>1075</v>
      </c>
      <c r="GJ949" s="4">
        <v>1058</v>
      </c>
      <c r="GK949" s="4">
        <v>1041</v>
      </c>
      <c r="GL949" s="4">
        <v>1024</v>
      </c>
      <c r="GM949" s="4">
        <v>979</v>
      </c>
      <c r="GN949" s="4">
        <v>919</v>
      </c>
      <c r="GO949" s="4">
        <v>844</v>
      </c>
      <c r="GP949" s="4">
        <v>772</v>
      </c>
      <c r="GQ949" s="4">
        <v>601</v>
      </c>
      <c r="GR949" s="4">
        <v>466</v>
      </c>
      <c r="GS949" s="4">
        <v>334</v>
      </c>
      <c r="GT949" s="4">
        <v>271</v>
      </c>
      <c r="GU949" s="4">
        <v>241</v>
      </c>
      <c r="GV949" s="4">
        <v>786</v>
      </c>
      <c r="GW949" s="4">
        <v>741</v>
      </c>
      <c r="GX949" s="4">
        <v>696</v>
      </c>
      <c r="GY949" s="4">
        <v>651</v>
      </c>
      <c r="GZ949" s="4">
        <v>634</v>
      </c>
      <c r="HA949" s="4">
        <v>623</v>
      </c>
      <c r="HB949" s="4">
        <v>612</v>
      </c>
      <c r="HC949" s="4">
        <v>600</v>
      </c>
      <c r="HD949" s="19">
        <v>30.7</v>
      </c>
      <c r="HE949" s="19">
        <v>33.6</v>
      </c>
      <c r="HF949" s="19">
        <v>33.1</v>
      </c>
      <c r="HG949" s="19">
        <v>32.6</v>
      </c>
      <c r="HH949" s="19">
        <v>32.1</v>
      </c>
      <c r="HI949" s="19">
        <v>22.4</v>
      </c>
      <c r="HJ949" s="19">
        <v>15.1</v>
      </c>
      <c r="HK949" s="19">
        <v>10.6</v>
      </c>
      <c r="HL949" s="19">
        <v>8.2</v>
      </c>
      <c r="HM949" s="19">
        <v>5.2</v>
      </c>
      <c r="HN949" s="19">
        <v>4.1</v>
      </c>
      <c r="HO949" s="19">
        <v>3.3</v>
      </c>
      <c r="HP949" s="19">
        <v>3.1</v>
      </c>
      <c r="HQ949" s="19">
        <v>3.4</v>
      </c>
      <c r="HR949" s="19">
        <v>3.4</v>
      </c>
      <c r="HS949" s="19">
        <v>3.6</v>
      </c>
      <c r="HT949" s="19">
        <v>3.2</v>
      </c>
      <c r="HU949" s="19">
        <v>2.6</v>
      </c>
      <c r="HV949" s="19">
        <v>10.4</v>
      </c>
      <c r="HW949" s="19">
        <v>12.4</v>
      </c>
      <c r="HX949" s="19">
        <v>16.6</v>
      </c>
      <c r="HY949" s="19">
        <v>25.1</v>
      </c>
      <c r="HZ949" s="19">
        <v>28.8</v>
      </c>
      <c r="IA949" s="19">
        <v>22.3</v>
      </c>
      <c r="IB949" s="19">
        <v>18</v>
      </c>
      <c r="IC949" s="19">
        <v>15.8</v>
      </c>
    </row>
    <row r="950">
      <c r="A950" s="2" t="s">
        <v>3781</v>
      </c>
      <c r="B950" s="2" t="s">
        <v>905</v>
      </c>
      <c r="C950" s="2" t="s">
        <v>324</v>
      </c>
      <c r="D950" s="2" t="s">
        <v>1539</v>
      </c>
      <c r="E950" s="2" t="s">
        <v>1540</v>
      </c>
      <c r="F950" s="2" t="s">
        <v>3767</v>
      </c>
      <c r="G950" s="2" t="s">
        <v>3768</v>
      </c>
      <c r="H950" s="2" t="s">
        <v>3768</v>
      </c>
      <c r="I950" s="2" t="s">
        <v>3777</v>
      </c>
      <c r="J950" s="2" t="s">
        <v>1542</v>
      </c>
      <c r="K950" s="2" t="s">
        <v>292</v>
      </c>
      <c r="L950" s="3">
        <v>15.56</v>
      </c>
      <c r="M950" s="3">
        <v>16.34</v>
      </c>
      <c r="N950" s="3">
        <v>34.99</v>
      </c>
      <c r="O950" s="2" t="s">
        <v>232</v>
      </c>
      <c r="P950" s="2" t="s">
        <v>336</v>
      </c>
      <c r="Q950" s="2" t="s">
        <v>234</v>
      </c>
      <c r="R950" s="2" t="s">
        <v>235</v>
      </c>
      <c r="S950" s="2" t="s">
        <v>3782</v>
      </c>
      <c r="T950" s="2" t="s">
        <v>912</v>
      </c>
      <c r="U950" s="2" t="s">
        <v>235</v>
      </c>
      <c r="V950" s="2" t="s">
        <v>238</v>
      </c>
      <c r="W950" s="2" t="s">
        <v>329</v>
      </c>
      <c r="X950" s="2" t="s">
        <v>235</v>
      </c>
      <c r="Y950" s="2" t="s">
        <v>240</v>
      </c>
      <c r="Z950" s="4">
        <v>1698</v>
      </c>
      <c r="AA950" s="4">
        <f>=ROUNDDOWN(168.118811881188,0)</f>
      </c>
      <c r="AB950" s="5">
        <v>10.1</v>
      </c>
      <c r="AC950" s="2" t="s">
        <v>235</v>
      </c>
      <c r="AD950" s="4"/>
      <c r="AE950" s="4"/>
      <c r="AF950" s="6">
        <v>64</v>
      </c>
      <c r="AG950" s="6">
        <v>47</v>
      </c>
      <c r="AH950" s="7">
        <v>1</v>
      </c>
      <c r="AI950" s="4"/>
      <c r="AJ950" s="4">
        <f>=ROUNDDOWN({0},0)</f>
      </c>
      <c r="AK950" s="5"/>
      <c r="AL950" s="2" t="s">
        <v>235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235</v>
      </c>
      <c r="BD950" s="8" t="s">
        <v>235</v>
      </c>
      <c r="BE950" s="4" t="s">
        <v>235</v>
      </c>
      <c r="BF950" s="8" t="s">
        <v>235</v>
      </c>
      <c r="BG950" s="7" t="s">
        <v>235</v>
      </c>
      <c r="BH950" s="7" t="s">
        <v>235</v>
      </c>
      <c r="BI950" s="7"/>
      <c r="BJ950" s="4">
        <v>65</v>
      </c>
      <c r="BK950" s="8">
        <v>1046.18</v>
      </c>
      <c r="BL950" s="2" t="s">
        <v>3783</v>
      </c>
      <c r="BM950" s="7"/>
      <c r="BN950" s="7"/>
      <c r="BO950" s="4"/>
      <c r="BP950" s="8"/>
      <c r="BQ950" s="4"/>
      <c r="BR950" s="8"/>
      <c r="BS950" s="7"/>
      <c r="BT950" s="7"/>
      <c r="BU950" s="2" t="s">
        <v>3780</v>
      </c>
      <c r="BV950" s="2" t="s">
        <v>243</v>
      </c>
      <c r="BW950" s="2" t="s">
        <v>235</v>
      </c>
      <c r="BX950" s="2" t="s">
        <v>244</v>
      </c>
      <c r="BY950" s="2" t="s">
        <v>245</v>
      </c>
      <c r="BZ950" s="2" t="s">
        <v>232</v>
      </c>
      <c r="CA950" s="2" t="s">
        <v>252</v>
      </c>
      <c r="CB950" s="2" t="s">
        <v>521</v>
      </c>
      <c r="CC950" s="2" t="s">
        <v>248</v>
      </c>
      <c r="CD950" s="2" t="s">
        <v>248</v>
      </c>
      <c r="CE950" s="2" t="s">
        <v>235</v>
      </c>
      <c r="CF950" s="4">
        <v>1698</v>
      </c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>
        <v>1703</v>
      </c>
      <c r="GE950" s="4">
        <v>1681</v>
      </c>
      <c r="GF950" s="4">
        <v>1666</v>
      </c>
      <c r="GG950" s="4">
        <v>1651</v>
      </c>
      <c r="GH950" s="4">
        <v>1636</v>
      </c>
      <c r="GI950" s="4">
        <v>1621</v>
      </c>
      <c r="GJ950" s="4">
        <v>1606</v>
      </c>
      <c r="GK950" s="4">
        <v>1591</v>
      </c>
      <c r="GL950" s="4">
        <v>1576</v>
      </c>
      <c r="GM950" s="4">
        <v>1516</v>
      </c>
      <c r="GN950" s="4">
        <v>1436</v>
      </c>
      <c r="GO950" s="4">
        <v>1336</v>
      </c>
      <c r="GP950" s="4">
        <v>1240</v>
      </c>
      <c r="GQ950" s="4">
        <v>1012</v>
      </c>
      <c r="GR950" s="4">
        <v>832</v>
      </c>
      <c r="GS950" s="4">
        <v>656</v>
      </c>
      <c r="GT950" s="4">
        <v>572</v>
      </c>
      <c r="GU950" s="4">
        <v>532</v>
      </c>
      <c r="GV950" s="4">
        <v>464</v>
      </c>
      <c r="GW950" s="4">
        <v>404</v>
      </c>
      <c r="GX950" s="4">
        <v>344</v>
      </c>
      <c r="GY950" s="4">
        <v>284</v>
      </c>
      <c r="GZ950" s="4">
        <v>269</v>
      </c>
      <c r="HA950" s="4">
        <v>259</v>
      </c>
      <c r="HB950" s="4">
        <v>249</v>
      </c>
      <c r="HC950" s="4">
        <v>238</v>
      </c>
      <c r="HD950" s="19">
        <v>50.1</v>
      </c>
      <c r="HE950" s="19">
        <v>56.1</v>
      </c>
      <c r="HF950" s="19">
        <v>55.6</v>
      </c>
      <c r="HG950" s="19">
        <v>55.1</v>
      </c>
      <c r="HH950" s="19">
        <v>54.6</v>
      </c>
      <c r="HI950" s="19">
        <v>31.2</v>
      </c>
      <c r="HJ950" s="19">
        <v>19.1</v>
      </c>
      <c r="HK950" s="19">
        <v>12.5</v>
      </c>
      <c r="HL950" s="19">
        <v>9.4</v>
      </c>
      <c r="HM950" s="19">
        <v>6</v>
      </c>
      <c r="HN950" s="19">
        <v>4.8</v>
      </c>
      <c r="HO950" s="19">
        <v>4</v>
      </c>
      <c r="HP950" s="19">
        <v>3.7</v>
      </c>
      <c r="HQ950" s="19">
        <v>4.2</v>
      </c>
      <c r="HR950" s="19">
        <v>4.5</v>
      </c>
      <c r="HS950" s="19">
        <v>5.2</v>
      </c>
      <c r="HT950" s="19">
        <v>5</v>
      </c>
      <c r="HU950" s="19">
        <v>4.3</v>
      </c>
      <c r="HV950" s="19">
        <v>4.8</v>
      </c>
      <c r="HW950" s="19">
        <v>5.6</v>
      </c>
      <c r="HX950" s="19">
        <v>7.2</v>
      </c>
      <c r="HY950" s="19">
        <v>11.9</v>
      </c>
      <c r="HZ950" s="19">
        <v>13.5</v>
      </c>
      <c r="IA950" s="19">
        <v>10</v>
      </c>
      <c r="IB950" s="19">
        <v>8.3</v>
      </c>
      <c r="IC950" s="19">
        <v>6.6</v>
      </c>
    </row>
    <row r="951">
      <c r="A951" s="2" t="s">
        <v>3784</v>
      </c>
      <c r="B951" s="2" t="s">
        <v>871</v>
      </c>
      <c r="C951" s="2" t="s">
        <v>923</v>
      </c>
      <c r="D951" s="2" t="s">
        <v>1452</v>
      </c>
      <c r="E951" s="2" t="s">
        <v>1895</v>
      </c>
      <c r="F951" s="2" t="s">
        <v>3785</v>
      </c>
      <c r="G951" s="2" t="s">
        <v>3786</v>
      </c>
      <c r="H951" s="2" t="s">
        <v>3787</v>
      </c>
      <c r="I951" s="2" t="s">
        <v>3788</v>
      </c>
      <c r="J951" s="2" t="s">
        <v>365</v>
      </c>
      <c r="K951" s="2" t="s">
        <v>287</v>
      </c>
      <c r="L951" s="3">
        <v>37</v>
      </c>
      <c r="M951" s="3">
        <v>38.85</v>
      </c>
      <c r="N951" s="3">
        <v>79.99</v>
      </c>
      <c r="O951" s="2" t="s">
        <v>407</v>
      </c>
      <c r="P951" s="2" t="s">
        <v>408</v>
      </c>
      <c r="Q951" s="2" t="s">
        <v>234</v>
      </c>
      <c r="R951" s="2" t="s">
        <v>235</v>
      </c>
      <c r="S951" s="2" t="s">
        <v>3789</v>
      </c>
      <c r="T951" s="2" t="s">
        <v>879</v>
      </c>
      <c r="U951" s="2" t="s">
        <v>552</v>
      </c>
      <c r="V951" s="2" t="s">
        <v>238</v>
      </c>
      <c r="W951" s="2" t="s">
        <v>239</v>
      </c>
      <c r="X951" s="2" t="s">
        <v>1157</v>
      </c>
      <c r="Y951" s="2" t="s">
        <v>2409</v>
      </c>
      <c r="Z951" s="4">
        <v>222</v>
      </c>
      <c r="AA951" s="4">
        <f>=ROUNDDOWN(222,0)</f>
      </c>
      <c r="AB951" s="5">
        <v>1</v>
      </c>
      <c r="AC951" s="2" t="s">
        <v>235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235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235</v>
      </c>
      <c r="AW951" s="8" t="s">
        <v>235</v>
      </c>
      <c r="AX951" s="4" t="s">
        <v>235</v>
      </c>
      <c r="AY951" s="8" t="s">
        <v>235</v>
      </c>
      <c r="AZ951" s="7" t="s">
        <v>235</v>
      </c>
      <c r="BA951" s="7" t="s">
        <v>235</v>
      </c>
      <c r="BB951" s="7"/>
      <c r="BC951" s="4" t="s">
        <v>235</v>
      </c>
      <c r="BD951" s="8" t="s">
        <v>235</v>
      </c>
      <c r="BE951" s="4" t="s">
        <v>235</v>
      </c>
      <c r="BF951" s="8" t="s">
        <v>235</v>
      </c>
      <c r="BG951" s="7" t="s">
        <v>235</v>
      </c>
      <c r="BH951" s="7" t="s">
        <v>235</v>
      </c>
      <c r="BI951" s="7"/>
      <c r="BJ951" s="4">
        <v>8</v>
      </c>
      <c r="BK951" s="8">
        <v>331.83</v>
      </c>
      <c r="BL951" s="2" t="s">
        <v>536</v>
      </c>
      <c r="BM951" s="7"/>
      <c r="BN951" s="7"/>
      <c r="BO951" s="4"/>
      <c r="BP951" s="8"/>
      <c r="BQ951" s="4"/>
      <c r="BR951" s="8"/>
      <c r="BS951" s="7"/>
      <c r="BT951" s="7"/>
      <c r="BU951" s="2" t="s">
        <v>3790</v>
      </c>
      <c r="BV951" s="2" t="s">
        <v>243</v>
      </c>
      <c r="BW951" s="2" t="s">
        <v>235</v>
      </c>
      <c r="BX951" s="2" t="s">
        <v>414</v>
      </c>
      <c r="BY951" s="2" t="s">
        <v>245</v>
      </c>
      <c r="BZ951" s="2" t="s">
        <v>232</v>
      </c>
      <c r="CA951" s="2" t="s">
        <v>2298</v>
      </c>
      <c r="CB951" s="2" t="s">
        <v>1884</v>
      </c>
      <c r="CC951" s="2" t="s">
        <v>248</v>
      </c>
      <c r="CD951" s="2" t="s">
        <v>248</v>
      </c>
      <c r="CE951" s="2" t="s">
        <v>235</v>
      </c>
      <c r="CF951" s="4">
        <v>222</v>
      </c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>
        <v>223</v>
      </c>
      <c r="GE951" s="4">
        <v>221</v>
      </c>
      <c r="GF951" s="4">
        <v>220</v>
      </c>
      <c r="GG951" s="4">
        <v>219</v>
      </c>
      <c r="GH951" s="4">
        <v>218</v>
      </c>
      <c r="GI951" s="4">
        <v>217</v>
      </c>
      <c r="GJ951" s="4">
        <v>216</v>
      </c>
      <c r="GK951" s="4">
        <v>215</v>
      </c>
      <c r="GL951" s="4">
        <v>214</v>
      </c>
      <c r="GM951" s="4">
        <v>213</v>
      </c>
      <c r="GN951" s="4">
        <v>212</v>
      </c>
      <c r="GO951" s="4">
        <v>211</v>
      </c>
      <c r="GP951" s="4">
        <v>209</v>
      </c>
      <c r="GQ951" s="4">
        <v>207</v>
      </c>
      <c r="GR951" s="4">
        <v>204</v>
      </c>
      <c r="GS951" s="4">
        <v>201</v>
      </c>
      <c r="GT951" s="4">
        <v>199</v>
      </c>
      <c r="GU951" s="4">
        <v>198</v>
      </c>
      <c r="GV951" s="4">
        <v>197</v>
      </c>
      <c r="GW951" s="4">
        <v>196</v>
      </c>
      <c r="GX951" s="4">
        <v>195</v>
      </c>
      <c r="GY951" s="4">
        <v>194</v>
      </c>
      <c r="GZ951" s="4">
        <v>193</v>
      </c>
      <c r="HA951" s="4">
        <v>192</v>
      </c>
      <c r="HB951" s="4">
        <v>191</v>
      </c>
      <c r="HC951" s="4">
        <v>190</v>
      </c>
      <c r="HD951" s="19">
        <v>223</v>
      </c>
      <c r="HE951" s="19">
        <v>221</v>
      </c>
      <c r="HF951" s="19">
        <v>220</v>
      </c>
      <c r="HG951" s="19">
        <v>219</v>
      </c>
      <c r="HH951" s="19">
        <v>218</v>
      </c>
      <c r="HI951" s="19">
        <v>217</v>
      </c>
      <c r="HJ951" s="19">
        <v>216</v>
      </c>
      <c r="HK951" s="19">
        <v>215</v>
      </c>
      <c r="HL951" s="19">
        <v>214</v>
      </c>
      <c r="HM951" s="19">
        <v>106.5</v>
      </c>
      <c r="HN951" s="19">
        <v>106</v>
      </c>
      <c r="HO951" s="19">
        <v>105.5</v>
      </c>
      <c r="HP951" s="19">
        <v>104.5</v>
      </c>
      <c r="HQ951" s="19">
        <v>103.5</v>
      </c>
      <c r="HR951" s="19">
        <v>102</v>
      </c>
      <c r="HS951" s="19">
        <v>201</v>
      </c>
      <c r="HT951" s="19">
        <v>199</v>
      </c>
      <c r="HU951" s="19">
        <v>198</v>
      </c>
      <c r="HV951" s="19">
        <v>197</v>
      </c>
      <c r="HW951" s="19">
        <v>196</v>
      </c>
      <c r="HX951" s="19">
        <v>195</v>
      </c>
      <c r="HY951" s="19">
        <v>194</v>
      </c>
      <c r="HZ951" s="19">
        <v>193</v>
      </c>
      <c r="IA951" s="19">
        <v>192</v>
      </c>
      <c r="IB951" s="19">
        <v>191</v>
      </c>
      <c r="IC951" s="19">
        <v>190</v>
      </c>
    </row>
    <row r="952">
      <c r="A952" s="2" t="s">
        <v>3791</v>
      </c>
      <c r="B952" s="2" t="s">
        <v>871</v>
      </c>
      <c r="C952" s="2" t="s">
        <v>923</v>
      </c>
      <c r="D952" s="2" t="s">
        <v>1452</v>
      </c>
      <c r="E952" s="2" t="s">
        <v>1895</v>
      </c>
      <c r="F952" s="2" t="s">
        <v>3785</v>
      </c>
      <c r="G952" s="2" t="s">
        <v>3786</v>
      </c>
      <c r="H952" s="2" t="s">
        <v>3787</v>
      </c>
      <c r="I952" s="2" t="s">
        <v>3788</v>
      </c>
      <c r="J952" s="2" t="s">
        <v>372</v>
      </c>
      <c r="K952" s="2" t="s">
        <v>287</v>
      </c>
      <c r="L952" s="3">
        <v>42.36</v>
      </c>
      <c r="M952" s="3">
        <v>44.48</v>
      </c>
      <c r="N952" s="3">
        <v>89.99</v>
      </c>
      <c r="O952" s="2" t="s">
        <v>407</v>
      </c>
      <c r="P952" s="2" t="s">
        <v>408</v>
      </c>
      <c r="Q952" s="2" t="s">
        <v>234</v>
      </c>
      <c r="R952" s="2" t="s">
        <v>235</v>
      </c>
      <c r="S952" s="2" t="s">
        <v>3789</v>
      </c>
      <c r="T952" s="2" t="s">
        <v>879</v>
      </c>
      <c r="U952" s="2" t="s">
        <v>552</v>
      </c>
      <c r="V952" s="2" t="s">
        <v>238</v>
      </c>
      <c r="W952" s="2" t="s">
        <v>239</v>
      </c>
      <c r="X952" s="2" t="s">
        <v>1157</v>
      </c>
      <c r="Y952" s="2" t="s">
        <v>2409</v>
      </c>
      <c r="Z952" s="4">
        <v>226</v>
      </c>
      <c r="AA952" s="4">
        <f>=ROUNDDOWN(150.666666666667,0)</f>
      </c>
      <c r="AB952" s="5">
        <v>1.5</v>
      </c>
      <c r="AC952" s="2" t="s">
        <v>235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235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235</v>
      </c>
      <c r="AW952" s="8" t="s">
        <v>235</v>
      </c>
      <c r="AX952" s="4" t="s">
        <v>235</v>
      </c>
      <c r="AY952" s="8" t="s">
        <v>235</v>
      </c>
      <c r="AZ952" s="7" t="s">
        <v>235</v>
      </c>
      <c r="BA952" s="7" t="s">
        <v>235</v>
      </c>
      <c r="BB952" s="7"/>
      <c r="BC952" s="4" t="s">
        <v>235</v>
      </c>
      <c r="BD952" s="8" t="s">
        <v>235</v>
      </c>
      <c r="BE952" s="4" t="s">
        <v>235</v>
      </c>
      <c r="BF952" s="8" t="s">
        <v>235</v>
      </c>
      <c r="BG952" s="7" t="s">
        <v>235</v>
      </c>
      <c r="BH952" s="7" t="s">
        <v>235</v>
      </c>
      <c r="BI952" s="7"/>
      <c r="BJ952" s="4">
        <v>9</v>
      </c>
      <c r="BK952" s="8">
        <v>430.68</v>
      </c>
      <c r="BL952" s="2" t="s">
        <v>1702</v>
      </c>
      <c r="BM952" s="7"/>
      <c r="BN952" s="7"/>
      <c r="BO952" s="4"/>
      <c r="BP952" s="8"/>
      <c r="BQ952" s="4"/>
      <c r="BR952" s="8"/>
      <c r="BS952" s="7"/>
      <c r="BT952" s="7"/>
      <c r="BU952" s="2" t="s">
        <v>3790</v>
      </c>
      <c r="BV952" s="2" t="s">
        <v>243</v>
      </c>
      <c r="BW952" s="2" t="s">
        <v>235</v>
      </c>
      <c r="BX952" s="2" t="s">
        <v>414</v>
      </c>
      <c r="BY952" s="2" t="s">
        <v>245</v>
      </c>
      <c r="BZ952" s="2" t="s">
        <v>232</v>
      </c>
      <c r="CA952" s="2" t="s">
        <v>2298</v>
      </c>
      <c r="CB952" s="2" t="s">
        <v>3792</v>
      </c>
      <c r="CC952" s="2" t="s">
        <v>248</v>
      </c>
      <c r="CD952" s="2" t="s">
        <v>248</v>
      </c>
      <c r="CE952" s="2" t="s">
        <v>235</v>
      </c>
      <c r="CF952" s="4">
        <v>226</v>
      </c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>
        <v>226</v>
      </c>
      <c r="GE952" s="4">
        <v>224</v>
      </c>
      <c r="GF952" s="4">
        <v>222</v>
      </c>
      <c r="GG952" s="4">
        <v>220</v>
      </c>
      <c r="GH952" s="4">
        <v>218</v>
      </c>
      <c r="GI952" s="4">
        <v>216</v>
      </c>
      <c r="GJ952" s="4">
        <v>214</v>
      </c>
      <c r="GK952" s="4">
        <v>212</v>
      </c>
      <c r="GL952" s="4">
        <v>210</v>
      </c>
      <c r="GM952" s="4">
        <v>208</v>
      </c>
      <c r="GN952" s="4">
        <v>206</v>
      </c>
      <c r="GO952" s="4">
        <v>203</v>
      </c>
      <c r="GP952" s="4">
        <v>199</v>
      </c>
      <c r="GQ952" s="4">
        <v>194</v>
      </c>
      <c r="GR952" s="4">
        <v>190</v>
      </c>
      <c r="GS952" s="4">
        <v>186</v>
      </c>
      <c r="GT952" s="4">
        <v>183</v>
      </c>
      <c r="GU952" s="4">
        <v>181</v>
      </c>
      <c r="GV952" s="4">
        <v>179</v>
      </c>
      <c r="GW952" s="4">
        <v>177</v>
      </c>
      <c r="GX952" s="4">
        <v>175</v>
      </c>
      <c r="GY952" s="4">
        <v>173</v>
      </c>
      <c r="GZ952" s="4">
        <v>171</v>
      </c>
      <c r="HA952" s="4">
        <v>169</v>
      </c>
      <c r="HB952" s="4">
        <v>167</v>
      </c>
      <c r="HC952" s="4">
        <v>165</v>
      </c>
      <c r="HD952" s="19">
        <v>113</v>
      </c>
      <c r="HE952" s="19">
        <v>112</v>
      </c>
      <c r="HF952" s="19">
        <v>111</v>
      </c>
      <c r="HG952" s="19">
        <v>110</v>
      </c>
      <c r="HH952" s="19">
        <v>109</v>
      </c>
      <c r="HI952" s="19">
        <v>108</v>
      </c>
      <c r="HJ952" s="19">
        <v>107</v>
      </c>
      <c r="HK952" s="19">
        <v>106</v>
      </c>
      <c r="HL952" s="19">
        <v>70</v>
      </c>
      <c r="HM952" s="19">
        <v>52</v>
      </c>
      <c r="HN952" s="19">
        <v>51.5</v>
      </c>
      <c r="HO952" s="19">
        <v>50.8</v>
      </c>
      <c r="HP952" s="19">
        <v>49.8</v>
      </c>
      <c r="HQ952" s="19">
        <v>64.7</v>
      </c>
      <c r="HR952" s="19">
        <v>63.3</v>
      </c>
      <c r="HS952" s="19">
        <v>93</v>
      </c>
      <c r="HT952" s="19">
        <v>91.5</v>
      </c>
      <c r="HU952" s="19">
        <v>90.5</v>
      </c>
      <c r="HV952" s="19">
        <v>89.5</v>
      </c>
      <c r="HW952" s="19">
        <v>88.5</v>
      </c>
      <c r="HX952" s="19">
        <v>87.5</v>
      </c>
      <c r="HY952" s="19">
        <v>86.5</v>
      </c>
      <c r="HZ952" s="19">
        <v>85.5</v>
      </c>
      <c r="IA952" s="19">
        <v>84.5</v>
      </c>
      <c r="IB952" s="19">
        <v>83.5</v>
      </c>
      <c r="IC952" s="19">
        <v>82.5</v>
      </c>
    </row>
    <row r="953">
      <c r="A953" s="2" t="s">
        <v>3793</v>
      </c>
      <c r="B953" s="2" t="s">
        <v>871</v>
      </c>
      <c r="C953" s="2" t="s">
        <v>923</v>
      </c>
      <c r="D953" s="2" t="s">
        <v>1452</v>
      </c>
      <c r="E953" s="2" t="s">
        <v>1895</v>
      </c>
      <c r="F953" s="2" t="s">
        <v>3785</v>
      </c>
      <c r="G953" s="2" t="s">
        <v>3786</v>
      </c>
      <c r="H953" s="2" t="s">
        <v>3787</v>
      </c>
      <c r="I953" s="2" t="s">
        <v>3788</v>
      </c>
      <c r="J953" s="2" t="s">
        <v>365</v>
      </c>
      <c r="K953" s="2" t="s">
        <v>1169</v>
      </c>
      <c r="L953" s="3">
        <v>37</v>
      </c>
      <c r="M953" s="3">
        <v>38.85</v>
      </c>
      <c r="N953" s="3">
        <v>79.99</v>
      </c>
      <c r="O953" s="2" t="s">
        <v>407</v>
      </c>
      <c r="P953" s="2" t="s">
        <v>408</v>
      </c>
      <c r="Q953" s="2" t="s">
        <v>234</v>
      </c>
      <c r="R953" s="2" t="s">
        <v>235</v>
      </c>
      <c r="S953" s="2" t="s">
        <v>3794</v>
      </c>
      <c r="T953" s="2" t="s">
        <v>879</v>
      </c>
      <c r="U953" s="2" t="s">
        <v>552</v>
      </c>
      <c r="V953" s="2" t="s">
        <v>238</v>
      </c>
      <c r="W953" s="2" t="s">
        <v>239</v>
      </c>
      <c r="X953" s="2" t="s">
        <v>1157</v>
      </c>
      <c r="Y953" s="2" t="s">
        <v>2409</v>
      </c>
      <c r="Z953" s="4">
        <v>102</v>
      </c>
      <c r="AA953" s="4">
        <f>=ROUNDDOWN(23.7209302325581,0)</f>
      </c>
      <c r="AB953" s="5">
        <v>4.3</v>
      </c>
      <c r="AC953" s="2" t="s">
        <v>235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235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235</v>
      </c>
      <c r="AW953" s="8" t="s">
        <v>235</v>
      </c>
      <c r="AX953" s="4" t="s">
        <v>235</v>
      </c>
      <c r="AY953" s="8" t="s">
        <v>235</v>
      </c>
      <c r="AZ953" s="7" t="s">
        <v>235</v>
      </c>
      <c r="BA953" s="7" t="s">
        <v>235</v>
      </c>
      <c r="BB953" s="7"/>
      <c r="BC953" s="4" t="s">
        <v>235</v>
      </c>
      <c r="BD953" s="8" t="s">
        <v>235</v>
      </c>
      <c r="BE953" s="4" t="s">
        <v>235</v>
      </c>
      <c r="BF953" s="8" t="s">
        <v>235</v>
      </c>
      <c r="BG953" s="7" t="s">
        <v>235</v>
      </c>
      <c r="BH953" s="7" t="s">
        <v>235</v>
      </c>
      <c r="BI953" s="7"/>
      <c r="BJ953" s="4">
        <v>37</v>
      </c>
      <c r="BK953" s="8">
        <v>1638.41</v>
      </c>
      <c r="BL953" s="2" t="s">
        <v>3795</v>
      </c>
      <c r="BM953" s="7"/>
      <c r="BN953" s="7"/>
      <c r="BO953" s="4"/>
      <c r="BP953" s="8"/>
      <c r="BQ953" s="4"/>
      <c r="BR953" s="8"/>
      <c r="BS953" s="7"/>
      <c r="BT953" s="7"/>
      <c r="BU953" s="2" t="s">
        <v>3790</v>
      </c>
      <c r="BV953" s="2" t="s">
        <v>243</v>
      </c>
      <c r="BW953" s="2" t="s">
        <v>235</v>
      </c>
      <c r="BX953" s="2" t="s">
        <v>414</v>
      </c>
      <c r="BY953" s="2" t="s">
        <v>245</v>
      </c>
      <c r="BZ953" s="2" t="s">
        <v>232</v>
      </c>
      <c r="CA953" s="2" t="s">
        <v>2298</v>
      </c>
      <c r="CB953" s="2" t="s">
        <v>3796</v>
      </c>
      <c r="CC953" s="2" t="s">
        <v>248</v>
      </c>
      <c r="CD953" s="2" t="s">
        <v>248</v>
      </c>
      <c r="CE953" s="2" t="s">
        <v>235</v>
      </c>
      <c r="CF953" s="4">
        <v>102</v>
      </c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>
        <v>104</v>
      </c>
      <c r="GE953" s="4">
        <v>99</v>
      </c>
      <c r="GF953" s="4">
        <v>95</v>
      </c>
      <c r="GG953" s="4">
        <v>91</v>
      </c>
      <c r="GH953" s="4">
        <v>87</v>
      </c>
      <c r="GI953" s="4">
        <v>83</v>
      </c>
      <c r="GJ953" s="4">
        <v>79</v>
      </c>
      <c r="GK953" s="4">
        <v>75</v>
      </c>
      <c r="GL953" s="4">
        <v>71</v>
      </c>
      <c r="GM953" s="4">
        <v>67</v>
      </c>
      <c r="GN953" s="4">
        <v>64</v>
      </c>
      <c r="GO953" s="4">
        <v>60</v>
      </c>
      <c r="GP953" s="4">
        <v>54</v>
      </c>
      <c r="GQ953" s="4">
        <v>46</v>
      </c>
      <c r="GR953" s="4">
        <v>36</v>
      </c>
      <c r="GS953" s="4">
        <v>25</v>
      </c>
      <c r="GT953" s="4">
        <v>19</v>
      </c>
      <c r="GU953" s="4">
        <v>15</v>
      </c>
      <c r="GV953" s="4">
        <v>11</v>
      </c>
      <c r="GW953" s="4">
        <v>7</v>
      </c>
      <c r="GX953" s="4">
        <v>3</v>
      </c>
      <c r="GY953" s="4"/>
      <c r="GZ953" s="4"/>
      <c r="HA953" s="4"/>
      <c r="HB953" s="4"/>
      <c r="HC953" s="4"/>
      <c r="HD953" s="19">
        <v>26</v>
      </c>
      <c r="HE953" s="19">
        <v>24.8</v>
      </c>
      <c r="HF953" s="19">
        <v>23.8</v>
      </c>
      <c r="HG953" s="19">
        <v>22.8</v>
      </c>
      <c r="HH953" s="19">
        <v>21.8</v>
      </c>
      <c r="HI953" s="19">
        <v>20.8</v>
      </c>
      <c r="HJ953" s="19">
        <v>19.8</v>
      </c>
      <c r="HK953" s="19">
        <v>18.8</v>
      </c>
      <c r="HL953" s="19">
        <v>17.8</v>
      </c>
      <c r="HM953" s="19">
        <v>13.4</v>
      </c>
      <c r="HN953" s="19">
        <v>9.1</v>
      </c>
      <c r="HO953" s="19">
        <v>6.7</v>
      </c>
      <c r="HP953" s="19">
        <v>6</v>
      </c>
      <c r="HQ953" s="19">
        <v>5.8</v>
      </c>
      <c r="HR953" s="19">
        <v>6</v>
      </c>
      <c r="HS953" s="19">
        <v>6.3</v>
      </c>
      <c r="HT953" s="19">
        <v>4.8</v>
      </c>
      <c r="HU953" s="19">
        <v>3.8</v>
      </c>
      <c r="HV953" s="19">
        <v>2.8</v>
      </c>
      <c r="HW953" s="19">
        <v>1.8</v>
      </c>
      <c r="HX953" s="19">
        <v>0.8</v>
      </c>
      <c r="HY953" s="20">
        <v>0</v>
      </c>
      <c r="HZ953" s="20">
        <v>0</v>
      </c>
      <c r="IA953" s="20">
        <v>0</v>
      </c>
      <c r="IB953" s="20">
        <v>0</v>
      </c>
      <c r="IC953" s="20">
        <v>0</v>
      </c>
    </row>
    <row r="954">
      <c r="A954" s="2" t="s">
        <v>3797</v>
      </c>
      <c r="B954" s="2" t="s">
        <v>871</v>
      </c>
      <c r="C954" s="2" t="s">
        <v>923</v>
      </c>
      <c r="D954" s="2" t="s">
        <v>1452</v>
      </c>
      <c r="E954" s="2" t="s">
        <v>1895</v>
      </c>
      <c r="F954" s="2" t="s">
        <v>3785</v>
      </c>
      <c r="G954" s="2" t="s">
        <v>3786</v>
      </c>
      <c r="H954" s="2" t="s">
        <v>3787</v>
      </c>
      <c r="I954" s="2" t="s">
        <v>3788</v>
      </c>
      <c r="J954" s="2" t="s">
        <v>372</v>
      </c>
      <c r="K954" s="2" t="s">
        <v>1169</v>
      </c>
      <c r="L954" s="3">
        <v>42.36</v>
      </c>
      <c r="M954" s="3">
        <v>44.48</v>
      </c>
      <c r="N954" s="3">
        <v>89.99</v>
      </c>
      <c r="O954" s="2" t="s">
        <v>407</v>
      </c>
      <c r="P954" s="2" t="s">
        <v>408</v>
      </c>
      <c r="Q954" s="2" t="s">
        <v>234</v>
      </c>
      <c r="R954" s="2" t="s">
        <v>235</v>
      </c>
      <c r="S954" s="2" t="s">
        <v>3794</v>
      </c>
      <c r="T954" s="2" t="s">
        <v>879</v>
      </c>
      <c r="U954" s="2" t="s">
        <v>552</v>
      </c>
      <c r="V954" s="2" t="s">
        <v>238</v>
      </c>
      <c r="W954" s="2" t="s">
        <v>239</v>
      </c>
      <c r="X954" s="2" t="s">
        <v>1157</v>
      </c>
      <c r="Y954" s="2" t="s">
        <v>2409</v>
      </c>
      <c r="Z954" s="4">
        <v>101</v>
      </c>
      <c r="AA954" s="4">
        <f>=ROUNDDOWN(19.4230769230769,0)</f>
      </c>
      <c r="AB954" s="5">
        <v>5.2</v>
      </c>
      <c r="AC954" s="2" t="s">
        <v>235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235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235</v>
      </c>
      <c r="AW954" s="8" t="s">
        <v>235</v>
      </c>
      <c r="AX954" s="4" t="s">
        <v>235</v>
      </c>
      <c r="AY954" s="8" t="s">
        <v>235</v>
      </c>
      <c r="AZ954" s="7" t="s">
        <v>235</v>
      </c>
      <c r="BA954" s="7" t="s">
        <v>235</v>
      </c>
      <c r="BB954" s="7"/>
      <c r="BC954" s="4" t="s">
        <v>235</v>
      </c>
      <c r="BD954" s="8" t="s">
        <v>235</v>
      </c>
      <c r="BE954" s="4" t="s">
        <v>235</v>
      </c>
      <c r="BF954" s="8" t="s">
        <v>235</v>
      </c>
      <c r="BG954" s="7" t="s">
        <v>235</v>
      </c>
      <c r="BH954" s="7" t="s">
        <v>235</v>
      </c>
      <c r="BI954" s="7"/>
      <c r="BJ954" s="4">
        <v>24</v>
      </c>
      <c r="BK954" s="8">
        <v>1163.81</v>
      </c>
      <c r="BL954" s="2" t="s">
        <v>3798</v>
      </c>
      <c r="BM954" s="7"/>
      <c r="BN954" s="7"/>
      <c r="BO954" s="4"/>
      <c r="BP954" s="8"/>
      <c r="BQ954" s="4"/>
      <c r="BR954" s="8"/>
      <c r="BS954" s="7"/>
      <c r="BT954" s="7"/>
      <c r="BU954" s="2" t="s">
        <v>3790</v>
      </c>
      <c r="BV954" s="2" t="s">
        <v>243</v>
      </c>
      <c r="BW954" s="2" t="s">
        <v>235</v>
      </c>
      <c r="BX954" s="2" t="s">
        <v>414</v>
      </c>
      <c r="BY954" s="2" t="s">
        <v>245</v>
      </c>
      <c r="BZ954" s="2" t="s">
        <v>232</v>
      </c>
      <c r="CA954" s="2" t="s">
        <v>2298</v>
      </c>
      <c r="CB954" s="2" t="s">
        <v>2338</v>
      </c>
      <c r="CC954" s="2" t="s">
        <v>248</v>
      </c>
      <c r="CD954" s="2" t="s">
        <v>248</v>
      </c>
      <c r="CE954" s="2" t="s">
        <v>235</v>
      </c>
      <c r="CF954" s="4">
        <v>101</v>
      </c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>
        <v>103</v>
      </c>
      <c r="GE954" s="4">
        <v>96</v>
      </c>
      <c r="GF954" s="4">
        <v>91</v>
      </c>
      <c r="GG954" s="4">
        <v>86</v>
      </c>
      <c r="GH954" s="4">
        <v>81</v>
      </c>
      <c r="GI954" s="4">
        <v>76</v>
      </c>
      <c r="GJ954" s="4">
        <v>70</v>
      </c>
      <c r="GK954" s="4">
        <v>64</v>
      </c>
      <c r="GL954" s="4">
        <v>58</v>
      </c>
      <c r="GM954" s="4">
        <v>52</v>
      </c>
      <c r="GN954" s="4">
        <v>47</v>
      </c>
      <c r="GO954" s="4">
        <v>40</v>
      </c>
      <c r="GP954" s="4">
        <v>30</v>
      </c>
      <c r="GQ954" s="4">
        <v>17</v>
      </c>
      <c r="GR954" s="4">
        <v>6</v>
      </c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19">
        <v>17.2</v>
      </c>
      <c r="HE954" s="19">
        <v>19.2</v>
      </c>
      <c r="HF954" s="19">
        <v>18.2</v>
      </c>
      <c r="HG954" s="19">
        <v>14.3</v>
      </c>
      <c r="HH954" s="19">
        <v>13.5</v>
      </c>
      <c r="HI954" s="19">
        <v>12.7</v>
      </c>
      <c r="HJ954" s="19">
        <v>11.7</v>
      </c>
      <c r="HK954" s="19">
        <v>10.7</v>
      </c>
      <c r="HL954" s="19">
        <v>8.3</v>
      </c>
      <c r="HM954" s="19">
        <v>5.8</v>
      </c>
      <c r="HN954" s="19">
        <v>4.7</v>
      </c>
      <c r="HO954" s="19">
        <v>3.6</v>
      </c>
      <c r="HP954" s="19">
        <v>3</v>
      </c>
      <c r="HQ954" s="19">
        <v>2.1</v>
      </c>
      <c r="HR954" s="19">
        <v>0.9</v>
      </c>
      <c r="HS954" s="20">
        <v>0</v>
      </c>
      <c r="HT954" s="20">
        <v>0</v>
      </c>
      <c r="HU954" s="20">
        <v>0</v>
      </c>
      <c r="HV954" s="20">
        <v>0</v>
      </c>
      <c r="HW954" s="20">
        <v>0</v>
      </c>
      <c r="HX954" s="20">
        <v>0</v>
      </c>
      <c r="HY954" s="20">
        <v>0</v>
      </c>
      <c r="HZ954" s="20">
        <v>0</v>
      </c>
      <c r="IA954" s="20">
        <v>0</v>
      </c>
      <c r="IB954" s="20">
        <v>0</v>
      </c>
      <c r="IC954" s="20">
        <v>0</v>
      </c>
    </row>
    <row r="955">
      <c r="A955" s="2" t="s">
        <v>3799</v>
      </c>
      <c r="B955" s="2" t="s">
        <v>852</v>
      </c>
      <c r="C955" s="2" t="s">
        <v>893</v>
      </c>
      <c r="D955" s="2" t="s">
        <v>854</v>
      </c>
      <c r="E955" s="2" t="s">
        <v>855</v>
      </c>
      <c r="F955" s="2" t="s">
        <v>3800</v>
      </c>
      <c r="G955" s="2" t="s">
        <v>2199</v>
      </c>
      <c r="H955" s="2" t="s">
        <v>3801</v>
      </c>
      <c r="I955" s="2" t="s">
        <v>3802</v>
      </c>
      <c r="J955" s="2" t="s">
        <v>3803</v>
      </c>
      <c r="K955" s="2" t="s">
        <v>3804</v>
      </c>
      <c r="L955" s="3">
        <v>29.11</v>
      </c>
      <c r="M955" s="3">
        <v>30.57</v>
      </c>
      <c r="N955" s="3">
        <v>69.99</v>
      </c>
      <c r="O955" s="2" t="s">
        <v>232</v>
      </c>
      <c r="P955" s="2" t="s">
        <v>878</v>
      </c>
      <c r="Q955" s="2" t="s">
        <v>234</v>
      </c>
      <c r="R955" s="2" t="s">
        <v>235</v>
      </c>
      <c r="S955" s="2" t="s">
        <v>3805</v>
      </c>
      <c r="T955" s="2" t="s">
        <v>235</v>
      </c>
      <c r="U955" s="2" t="s">
        <v>278</v>
      </c>
      <c r="V955" s="2" t="s">
        <v>3806</v>
      </c>
      <c r="W955" s="2" t="s">
        <v>235</v>
      </c>
      <c r="X955" s="2" t="s">
        <v>235</v>
      </c>
      <c r="Y955" s="2" t="s">
        <v>3807</v>
      </c>
      <c r="Z955" s="4">
        <v>1147</v>
      </c>
      <c r="AA955" s="4">
        <f>=ROUNDDOWN(67.4705882352941,0)</f>
      </c>
      <c r="AB955" s="5">
        <v>17</v>
      </c>
      <c r="AC955" s="2" t="s">
        <v>235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235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235</v>
      </c>
      <c r="AW955" s="8" t="s">
        <v>235</v>
      </c>
      <c r="AX955" s="4" t="s">
        <v>235</v>
      </c>
      <c r="AY955" s="8" t="s">
        <v>235</v>
      </c>
      <c r="AZ955" s="7" t="s">
        <v>235</v>
      </c>
      <c r="BA955" s="7" t="s">
        <v>235</v>
      </c>
      <c r="BB955" s="7"/>
      <c r="BC955" s="4" t="s">
        <v>235</v>
      </c>
      <c r="BD955" s="8" t="s">
        <v>235</v>
      </c>
      <c r="BE955" s="4" t="s">
        <v>235</v>
      </c>
      <c r="BF955" s="8" t="s">
        <v>235</v>
      </c>
      <c r="BG955" s="7" t="s">
        <v>235</v>
      </c>
      <c r="BH955" s="7" t="s">
        <v>235</v>
      </c>
      <c r="BI955" s="7"/>
      <c r="BJ955" s="4">
        <v>22</v>
      </c>
      <c r="BK955" s="8">
        <v>709.16</v>
      </c>
      <c r="BL955" s="2" t="s">
        <v>3808</v>
      </c>
      <c r="BM955" s="7"/>
      <c r="BN955" s="7"/>
      <c r="BO955" s="4"/>
      <c r="BP955" s="8"/>
      <c r="BQ955" s="4"/>
      <c r="BR955" s="8"/>
      <c r="BS955" s="7"/>
      <c r="BT955" s="7"/>
      <c r="BU955" s="2" t="s">
        <v>3809</v>
      </c>
      <c r="BV955" s="2" t="s">
        <v>867</v>
      </c>
      <c r="BW955" s="2" t="s">
        <v>235</v>
      </c>
      <c r="BX955" s="2" t="s">
        <v>244</v>
      </c>
      <c r="BY955" s="2" t="s">
        <v>245</v>
      </c>
      <c r="BZ955" s="2" t="s">
        <v>232</v>
      </c>
      <c r="CA955" s="2" t="s">
        <v>3810</v>
      </c>
      <c r="CB955" s="2" t="s">
        <v>3811</v>
      </c>
      <c r="CC955" s="2" t="s">
        <v>248</v>
      </c>
      <c r="CD955" s="2" t="s">
        <v>248</v>
      </c>
      <c r="CE955" s="2" t="s">
        <v>235</v>
      </c>
      <c r="CF955" s="4">
        <v>1065</v>
      </c>
      <c r="CG955" s="4"/>
      <c r="CH955" s="4"/>
      <c r="CI955" s="4">
        <v>82</v>
      </c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>
        <v>1147</v>
      </c>
      <c r="GE955" s="4">
        <v>1120</v>
      </c>
      <c r="GF955" s="4">
        <v>1103</v>
      </c>
      <c r="GG955" s="4">
        <v>1082</v>
      </c>
      <c r="GH955" s="4">
        <v>1058</v>
      </c>
      <c r="GI955" s="4">
        <v>1037</v>
      </c>
      <c r="GJ955" s="4">
        <v>1010</v>
      </c>
      <c r="GK955" s="4">
        <v>989</v>
      </c>
      <c r="GL955" s="4">
        <v>962</v>
      </c>
      <c r="GM955" s="4">
        <v>945</v>
      </c>
      <c r="GN955" s="4">
        <v>924</v>
      </c>
      <c r="GO955" s="4">
        <v>905</v>
      </c>
      <c r="GP955" s="4">
        <v>887</v>
      </c>
      <c r="GQ955" s="4">
        <v>868</v>
      </c>
      <c r="GR955" s="4">
        <v>850</v>
      </c>
      <c r="GS955" s="4">
        <v>831</v>
      </c>
      <c r="GT955" s="4">
        <v>814</v>
      </c>
      <c r="GU955" s="4">
        <v>796</v>
      </c>
      <c r="GV955" s="4">
        <v>776</v>
      </c>
      <c r="GW955" s="4">
        <v>759</v>
      </c>
      <c r="GX955" s="4">
        <v>742</v>
      </c>
      <c r="GY955" s="4">
        <v>725</v>
      </c>
      <c r="GZ955" s="4">
        <v>708</v>
      </c>
      <c r="HA955" s="4">
        <v>691</v>
      </c>
      <c r="HB955" s="4">
        <v>674</v>
      </c>
      <c r="HC955" s="4">
        <v>656</v>
      </c>
      <c r="HD955" s="19">
        <v>52.1</v>
      </c>
      <c r="HE955" s="19">
        <v>53.3</v>
      </c>
      <c r="HF955" s="19">
        <v>48</v>
      </c>
      <c r="HG955" s="19">
        <v>47</v>
      </c>
      <c r="HH955" s="19">
        <v>44.1</v>
      </c>
      <c r="HI955" s="19">
        <v>45.1</v>
      </c>
      <c r="HJ955" s="19">
        <v>45.9</v>
      </c>
      <c r="HK955" s="19">
        <v>47.1</v>
      </c>
      <c r="HL955" s="19">
        <v>50.6</v>
      </c>
      <c r="HM955" s="19">
        <v>49.7</v>
      </c>
      <c r="HN955" s="19">
        <v>51.3</v>
      </c>
      <c r="HO955" s="19">
        <v>50.3</v>
      </c>
      <c r="HP955" s="19">
        <v>49.3</v>
      </c>
      <c r="HQ955" s="19">
        <v>48.2</v>
      </c>
      <c r="HR955" s="19">
        <v>47.2</v>
      </c>
      <c r="HS955" s="19">
        <v>46.2</v>
      </c>
      <c r="HT955" s="19">
        <v>45.2</v>
      </c>
      <c r="HU955" s="19">
        <v>44.2</v>
      </c>
      <c r="HV955" s="19">
        <v>45.6</v>
      </c>
      <c r="HW955" s="19">
        <v>44.6</v>
      </c>
      <c r="HX955" s="19">
        <v>43.6</v>
      </c>
      <c r="HY955" s="19">
        <v>42.6</v>
      </c>
      <c r="HZ955" s="19">
        <v>41.6</v>
      </c>
      <c r="IA955" s="19">
        <v>40.6</v>
      </c>
      <c r="IB955" s="19">
        <v>39.6</v>
      </c>
      <c r="IC955" s="19">
        <v>38.6</v>
      </c>
    </row>
    <row r="956">
      <c r="A956" s="2" t="s">
        <v>3812</v>
      </c>
      <c r="B956" s="2" t="s">
        <v>852</v>
      </c>
      <c r="C956" s="2" t="s">
        <v>893</v>
      </c>
      <c r="D956" s="2" t="s">
        <v>854</v>
      </c>
      <c r="E956" s="2" t="s">
        <v>855</v>
      </c>
      <c r="F956" s="2" t="s">
        <v>3800</v>
      </c>
      <c r="G956" s="2" t="s">
        <v>2199</v>
      </c>
      <c r="H956" s="2" t="s">
        <v>3801</v>
      </c>
      <c r="I956" s="2" t="s">
        <v>3802</v>
      </c>
      <c r="J956" s="2" t="s">
        <v>3813</v>
      </c>
      <c r="K956" s="2" t="s">
        <v>3804</v>
      </c>
      <c r="L956" s="3">
        <v>33.32</v>
      </c>
      <c r="M956" s="3">
        <v>34.99</v>
      </c>
      <c r="N956" s="3">
        <v>74.99</v>
      </c>
      <c r="O956" s="2" t="s">
        <v>232</v>
      </c>
      <c r="P956" s="2" t="s">
        <v>878</v>
      </c>
      <c r="Q956" s="2" t="s">
        <v>234</v>
      </c>
      <c r="R956" s="2" t="s">
        <v>235</v>
      </c>
      <c r="S956" s="2" t="s">
        <v>3805</v>
      </c>
      <c r="T956" s="2" t="s">
        <v>235</v>
      </c>
      <c r="U956" s="2" t="s">
        <v>278</v>
      </c>
      <c r="V956" s="2" t="s">
        <v>3806</v>
      </c>
      <c r="W956" s="2" t="s">
        <v>235</v>
      </c>
      <c r="X956" s="2" t="s">
        <v>235</v>
      </c>
      <c r="Y956" s="2" t="s">
        <v>3807</v>
      </c>
      <c r="Z956" s="4">
        <v>651</v>
      </c>
      <c r="AA956" s="4">
        <f>=ROUNDDOWN(93,0)</f>
      </c>
      <c r="AB956" s="5">
        <v>7</v>
      </c>
      <c r="AC956" s="2" t="s">
        <v>235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235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235</v>
      </c>
      <c r="AW956" s="8" t="s">
        <v>235</v>
      </c>
      <c r="AX956" s="4" t="s">
        <v>235</v>
      </c>
      <c r="AY956" s="8" t="s">
        <v>235</v>
      </c>
      <c r="AZ956" s="7" t="s">
        <v>235</v>
      </c>
      <c r="BA956" s="7" t="s">
        <v>235</v>
      </c>
      <c r="BB956" s="7"/>
      <c r="BC956" s="4" t="s">
        <v>235</v>
      </c>
      <c r="BD956" s="8" t="s">
        <v>235</v>
      </c>
      <c r="BE956" s="4" t="s">
        <v>235</v>
      </c>
      <c r="BF956" s="8" t="s">
        <v>235</v>
      </c>
      <c r="BG956" s="7" t="s">
        <v>235</v>
      </c>
      <c r="BH956" s="7" t="s">
        <v>235</v>
      </c>
      <c r="BI956" s="7"/>
      <c r="BJ956" s="4">
        <v>8</v>
      </c>
      <c r="BK956" s="8">
        <v>270.96</v>
      </c>
      <c r="BL956" s="2" t="s">
        <v>2683</v>
      </c>
      <c r="BM956" s="7"/>
      <c r="BN956" s="7"/>
      <c r="BO956" s="4"/>
      <c r="BP956" s="8"/>
      <c r="BQ956" s="4"/>
      <c r="BR956" s="8"/>
      <c r="BS956" s="7"/>
      <c r="BT956" s="7"/>
      <c r="BU956" s="2" t="s">
        <v>3809</v>
      </c>
      <c r="BV956" s="2" t="s">
        <v>867</v>
      </c>
      <c r="BW956" s="2" t="s">
        <v>235</v>
      </c>
      <c r="BX956" s="2" t="s">
        <v>244</v>
      </c>
      <c r="BY956" s="2" t="s">
        <v>245</v>
      </c>
      <c r="BZ956" s="2" t="s">
        <v>232</v>
      </c>
      <c r="CA956" s="2" t="s">
        <v>3810</v>
      </c>
      <c r="CB956" s="2" t="s">
        <v>3814</v>
      </c>
      <c r="CC956" s="2" t="s">
        <v>248</v>
      </c>
      <c r="CD956" s="2" t="s">
        <v>248</v>
      </c>
      <c r="CE956" s="2" t="s">
        <v>235</v>
      </c>
      <c r="CF956" s="4">
        <v>563</v>
      </c>
      <c r="CG956" s="4"/>
      <c r="CH956" s="4"/>
      <c r="CI956" s="4">
        <v>88</v>
      </c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>
        <v>651</v>
      </c>
      <c r="GE956" s="4">
        <v>650</v>
      </c>
      <c r="GF956" s="4">
        <v>646</v>
      </c>
      <c r="GG956" s="4">
        <v>637</v>
      </c>
      <c r="GH956" s="4">
        <v>627</v>
      </c>
      <c r="GI956" s="4">
        <v>618</v>
      </c>
      <c r="GJ956" s="4">
        <v>607</v>
      </c>
      <c r="GK956" s="4">
        <v>598</v>
      </c>
      <c r="GL956" s="4">
        <v>587</v>
      </c>
      <c r="GM956" s="4">
        <v>580</v>
      </c>
      <c r="GN956" s="4">
        <v>572</v>
      </c>
      <c r="GO956" s="4">
        <v>564</v>
      </c>
      <c r="GP956" s="4">
        <v>557</v>
      </c>
      <c r="GQ956" s="4">
        <v>549</v>
      </c>
      <c r="GR956" s="4">
        <v>542</v>
      </c>
      <c r="GS956" s="4">
        <v>534</v>
      </c>
      <c r="GT956" s="4">
        <v>527</v>
      </c>
      <c r="GU956" s="4">
        <v>520</v>
      </c>
      <c r="GV956" s="4">
        <v>512</v>
      </c>
      <c r="GW956" s="4">
        <v>505</v>
      </c>
      <c r="GX956" s="4">
        <v>498</v>
      </c>
      <c r="GY956" s="4">
        <v>491</v>
      </c>
      <c r="GZ956" s="4">
        <v>484</v>
      </c>
      <c r="HA956" s="4">
        <v>477</v>
      </c>
      <c r="HB956" s="4">
        <v>470</v>
      </c>
      <c r="HC956" s="4">
        <v>463</v>
      </c>
      <c r="HD956" s="19">
        <v>108.5</v>
      </c>
      <c r="HE956" s="19">
        <v>81.3</v>
      </c>
      <c r="HF956" s="19">
        <v>64.6</v>
      </c>
      <c r="HG956" s="19">
        <v>63.7</v>
      </c>
      <c r="HH956" s="19">
        <v>62.7</v>
      </c>
      <c r="HI956" s="19">
        <v>61.8</v>
      </c>
      <c r="HJ956" s="19">
        <v>67.4</v>
      </c>
      <c r="HK956" s="19">
        <v>74.8</v>
      </c>
      <c r="HL956" s="19">
        <v>73.4</v>
      </c>
      <c r="HM956" s="19">
        <v>72.5</v>
      </c>
      <c r="HN956" s="19">
        <v>71.5</v>
      </c>
      <c r="HO956" s="19">
        <v>70.5</v>
      </c>
      <c r="HP956" s="19">
        <v>69.6</v>
      </c>
      <c r="HQ956" s="19">
        <v>78.4</v>
      </c>
      <c r="HR956" s="19">
        <v>67.8</v>
      </c>
      <c r="HS956" s="19">
        <v>76.3</v>
      </c>
      <c r="HT956" s="19">
        <v>75.3</v>
      </c>
      <c r="HU956" s="19">
        <v>74.3</v>
      </c>
      <c r="HV956" s="19">
        <v>73.1</v>
      </c>
      <c r="HW956" s="19">
        <v>72.1</v>
      </c>
      <c r="HX956" s="19">
        <v>71.1</v>
      </c>
      <c r="HY956" s="19">
        <v>70.1</v>
      </c>
      <c r="HZ956" s="19">
        <v>69.1</v>
      </c>
      <c r="IA956" s="19">
        <v>68.1</v>
      </c>
      <c r="IB956" s="19">
        <v>67.1</v>
      </c>
      <c r="IC956" s="19">
        <v>66.1</v>
      </c>
    </row>
    <row r="957">
      <c r="A957" s="2" t="s">
        <v>3815</v>
      </c>
      <c r="B957" s="2" t="s">
        <v>817</v>
      </c>
      <c r="C957" s="2" t="s">
        <v>1085</v>
      </c>
      <c r="D957" s="2" t="s">
        <v>1519</v>
      </c>
      <c r="E957" s="2" t="s">
        <v>1520</v>
      </c>
      <c r="F957" s="2" t="s">
        <v>3816</v>
      </c>
      <c r="G957" s="2" t="s">
        <v>3816</v>
      </c>
      <c r="H957" s="2" t="s">
        <v>3816</v>
      </c>
      <c r="I957" s="2" t="s">
        <v>3817</v>
      </c>
      <c r="J957" s="2" t="s">
        <v>3818</v>
      </c>
      <c r="K957" s="2" t="s">
        <v>1575</v>
      </c>
      <c r="L957" s="3">
        <v>62.26</v>
      </c>
      <c r="M957" s="3">
        <v>65.37</v>
      </c>
      <c r="N957" s="3">
        <v>130.04</v>
      </c>
      <c r="O957" s="2" t="s">
        <v>232</v>
      </c>
      <c r="P957" s="2" t="s">
        <v>878</v>
      </c>
      <c r="Q957" s="2" t="s">
        <v>234</v>
      </c>
      <c r="R957" s="2" t="s">
        <v>235</v>
      </c>
      <c r="S957" s="2" t="s">
        <v>235</v>
      </c>
      <c r="T957" s="2" t="s">
        <v>235</v>
      </c>
      <c r="U957" s="2" t="s">
        <v>235</v>
      </c>
      <c r="V957" s="2" t="s">
        <v>238</v>
      </c>
      <c r="W957" s="2" t="s">
        <v>1157</v>
      </c>
      <c r="X957" s="2" t="s">
        <v>2374</v>
      </c>
      <c r="Y957" s="2" t="s">
        <v>3819</v>
      </c>
      <c r="Z957" s="4">
        <v>48</v>
      </c>
      <c r="AA957" s="4">
        <f>=ROUNDDOWN(240,0)</f>
      </c>
      <c r="AB957" s="5">
        <v>0.2</v>
      </c>
      <c r="AC957" s="2" t="s">
        <v>235</v>
      </c>
      <c r="AD957" s="4"/>
      <c r="AE957" s="4"/>
      <c r="AF957" s="6">
        <v>63</v>
      </c>
      <c r="AG957" s="6"/>
      <c r="AH957" s="7">
        <v>1</v>
      </c>
      <c r="AI957" s="4"/>
      <c r="AJ957" s="4">
        <f>=ROUNDDOWN({0},0)</f>
      </c>
      <c r="AK957" s="5"/>
      <c r="AL957" s="2" t="s">
        <v>235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>
        <v>1</v>
      </c>
      <c r="BK957" s="8">
        <v>71.91</v>
      </c>
      <c r="BL957" s="2" t="s">
        <v>3820</v>
      </c>
      <c r="BM957" s="7"/>
      <c r="BN957" s="7"/>
      <c r="BO957" s="4"/>
      <c r="BP957" s="8"/>
      <c r="BQ957" s="4"/>
      <c r="BR957" s="8"/>
      <c r="BS957" s="7"/>
      <c r="BT957" s="7"/>
      <c r="BU957" s="2" t="s">
        <v>3821</v>
      </c>
      <c r="BV957" s="2" t="s">
        <v>235</v>
      </c>
      <c r="BW957" s="2" t="s">
        <v>235</v>
      </c>
      <c r="BX957" s="2" t="s">
        <v>383</v>
      </c>
      <c r="BY957" s="2" t="s">
        <v>245</v>
      </c>
      <c r="BZ957" s="2" t="s">
        <v>232</v>
      </c>
      <c r="CA957" s="2" t="s">
        <v>235</v>
      </c>
      <c r="CB957" s="2" t="s">
        <v>235</v>
      </c>
      <c r="CC957" s="2" t="s">
        <v>248</v>
      </c>
      <c r="CD957" s="2" t="s">
        <v>248</v>
      </c>
      <c r="CE957" s="2" t="s">
        <v>235</v>
      </c>
      <c r="CF957" s="4"/>
      <c r="CG957" s="4">
        <v>48</v>
      </c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>
        <v>49</v>
      </c>
      <c r="GE957" s="4">
        <v>42</v>
      </c>
      <c r="GF957" s="4">
        <v>41</v>
      </c>
      <c r="GG957" s="4">
        <v>40</v>
      </c>
      <c r="GH957" s="4">
        <v>39</v>
      </c>
      <c r="GI957" s="4">
        <v>39</v>
      </c>
      <c r="GJ957" s="4">
        <v>38</v>
      </c>
      <c r="GK957" s="4">
        <v>37</v>
      </c>
      <c r="GL957" s="4">
        <v>36</v>
      </c>
      <c r="GM957" s="4">
        <v>36</v>
      </c>
      <c r="GN957" s="4">
        <v>35</v>
      </c>
      <c r="GO957" s="4">
        <v>34</v>
      </c>
      <c r="GP957" s="4">
        <v>33</v>
      </c>
      <c r="GQ957" s="4">
        <v>32</v>
      </c>
      <c r="GR957" s="4">
        <v>32</v>
      </c>
      <c r="GS957" s="4">
        <v>32</v>
      </c>
      <c r="GT957" s="4">
        <v>31</v>
      </c>
      <c r="GU957" s="4">
        <v>30</v>
      </c>
      <c r="GV957" s="4">
        <v>30</v>
      </c>
      <c r="GW957" s="4">
        <v>29</v>
      </c>
      <c r="GX957" s="4">
        <v>28</v>
      </c>
      <c r="GY957" s="4">
        <v>27</v>
      </c>
      <c r="GZ957" s="4">
        <v>26</v>
      </c>
      <c r="HA957" s="4">
        <v>25</v>
      </c>
      <c r="HB957" s="4">
        <v>24</v>
      </c>
      <c r="HC957" s="4">
        <v>23</v>
      </c>
      <c r="HD957" s="19">
        <v>24.5</v>
      </c>
      <c r="HE957" s="19">
        <v>42</v>
      </c>
      <c r="HF957" s="19">
        <v>41</v>
      </c>
      <c r="HG957" s="19">
        <v>40</v>
      </c>
      <c r="HH957" s="19">
        <v>39</v>
      </c>
      <c r="HI957" s="19">
        <v>39</v>
      </c>
      <c r="HJ957" s="19">
        <v>38</v>
      </c>
      <c r="HK957" s="19">
        <v>37</v>
      </c>
      <c r="HL957" s="19">
        <v>36</v>
      </c>
      <c r="HM957" s="19">
        <v>36</v>
      </c>
      <c r="HN957" s="19">
        <v>35</v>
      </c>
      <c r="HO957" s="20">
        <v>0</v>
      </c>
      <c r="HP957" s="20">
        <v>0</v>
      </c>
      <c r="HQ957" s="9"/>
      <c r="HR957" s="9"/>
      <c r="HS957" s="19">
        <v>32</v>
      </c>
      <c r="HT957" s="19">
        <v>31</v>
      </c>
      <c r="HU957" s="19">
        <v>30</v>
      </c>
      <c r="HV957" s="19">
        <v>30</v>
      </c>
      <c r="HW957" s="19">
        <v>29</v>
      </c>
      <c r="HX957" s="19">
        <v>28</v>
      </c>
      <c r="HY957" s="19">
        <v>27</v>
      </c>
      <c r="HZ957" s="19">
        <v>26</v>
      </c>
      <c r="IA957" s="19">
        <v>25</v>
      </c>
      <c r="IB957" s="19">
        <v>24</v>
      </c>
      <c r="IC957" s="19">
        <v>23</v>
      </c>
    </row>
    <row r="958">
      <c r="A958" s="2" t="s">
        <v>3822</v>
      </c>
      <c r="B958" s="2" t="s">
        <v>905</v>
      </c>
      <c r="C958" s="2" t="s">
        <v>324</v>
      </c>
      <c r="D958" s="2" t="s">
        <v>981</v>
      </c>
      <c r="E958" s="2" t="s">
        <v>330</v>
      </c>
      <c r="F958" s="2" t="s">
        <v>3823</v>
      </c>
      <c r="G958" s="2" t="s">
        <v>3823</v>
      </c>
      <c r="H958" s="2" t="s">
        <v>3823</v>
      </c>
      <c r="I958" s="2" t="s">
        <v>982</v>
      </c>
      <c r="J958" s="2" t="s">
        <v>394</v>
      </c>
      <c r="K958" s="2" t="s">
        <v>3824</v>
      </c>
      <c r="L958" s="3">
        <v>26.4</v>
      </c>
      <c r="M958" s="3">
        <v>27.72</v>
      </c>
      <c r="N958" s="3">
        <v>59.99</v>
      </c>
      <c r="O958" s="2" t="s">
        <v>232</v>
      </c>
      <c r="P958" s="2" t="s">
        <v>878</v>
      </c>
      <c r="Q958" s="2" t="s">
        <v>234</v>
      </c>
      <c r="R958" s="2" t="s">
        <v>235</v>
      </c>
      <c r="S958" s="2" t="s">
        <v>235</v>
      </c>
      <c r="T958" s="2" t="s">
        <v>263</v>
      </c>
      <c r="U958" s="2" t="s">
        <v>807</v>
      </c>
      <c r="V958" s="2" t="s">
        <v>238</v>
      </c>
      <c r="W958" s="2" t="s">
        <v>1029</v>
      </c>
      <c r="X958" s="2" t="s">
        <v>235</v>
      </c>
      <c r="Y958" s="2" t="s">
        <v>235</v>
      </c>
      <c r="Z958" s="4"/>
      <c r="AA958" s="4">
        <f>=ROUNDDOWN({0},0)</f>
      </c>
      <c r="AB958" s="5">
        <v>11</v>
      </c>
      <c r="AC958" s="2" t="s">
        <v>163</v>
      </c>
      <c r="AD958" s="4">
        <v>185</v>
      </c>
      <c r="AE958" s="4">
        <v>185</v>
      </c>
      <c r="AF958" s="6">
        <v>80</v>
      </c>
      <c r="AG958" s="6"/>
      <c r="AH958" s="7"/>
      <c r="AI958" s="4"/>
      <c r="AJ958" s="4">
        <f>=ROUNDDOWN({0},0)</f>
      </c>
      <c r="AK958" s="5"/>
      <c r="AL958" s="2" t="s">
        <v>235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235</v>
      </c>
      <c r="AW958" s="8" t="s">
        <v>235</v>
      </c>
      <c r="AX958" s="4" t="s">
        <v>235</v>
      </c>
      <c r="AY958" s="8" t="s">
        <v>235</v>
      </c>
      <c r="AZ958" s="7" t="s">
        <v>235</v>
      </c>
      <c r="BA958" s="7" t="s">
        <v>235</v>
      </c>
      <c r="BB958" s="7"/>
      <c r="BC958" s="4" t="s">
        <v>235</v>
      </c>
      <c r="BD958" s="8" t="s">
        <v>235</v>
      </c>
      <c r="BE958" s="4" t="s">
        <v>235</v>
      </c>
      <c r="BF958" s="8" t="s">
        <v>235</v>
      </c>
      <c r="BG958" s="7" t="s">
        <v>235</v>
      </c>
      <c r="BH958" s="7" t="s">
        <v>235</v>
      </c>
      <c r="BI958" s="7"/>
      <c r="BJ958" s="4"/>
      <c r="BK958" s="8"/>
      <c r="BL958" s="2" t="s">
        <v>235</v>
      </c>
      <c r="BM958" s="7"/>
      <c r="BN958" s="7"/>
      <c r="BO958" s="4"/>
      <c r="BP958" s="8"/>
      <c r="BQ958" s="4"/>
      <c r="BR958" s="8"/>
      <c r="BS958" s="7"/>
      <c r="BT958" s="7"/>
      <c r="BU958" s="2" t="s">
        <v>3825</v>
      </c>
      <c r="BV958" s="2" t="s">
        <v>235</v>
      </c>
      <c r="BW958" s="2" t="s">
        <v>235</v>
      </c>
      <c r="BX958" s="2" t="s">
        <v>685</v>
      </c>
      <c r="BY958" s="2" t="s">
        <v>245</v>
      </c>
      <c r="BZ958" s="2" t="s">
        <v>232</v>
      </c>
      <c r="CA958" s="2" t="s">
        <v>235</v>
      </c>
      <c r="CB958" s="2" t="s">
        <v>235</v>
      </c>
      <c r="CC958" s="2" t="s">
        <v>248</v>
      </c>
      <c r="CD958" s="2" t="s">
        <v>248</v>
      </c>
      <c r="CE958" s="2" t="s">
        <v>235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>
        <v>185</v>
      </c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>
        <v>185</v>
      </c>
      <c r="GK958" s="4">
        <v>136</v>
      </c>
      <c r="GL958" s="4">
        <v>124</v>
      </c>
      <c r="GM958" s="4">
        <v>120</v>
      </c>
      <c r="GN958" s="4">
        <v>117</v>
      </c>
      <c r="GO958" s="4">
        <v>111</v>
      </c>
      <c r="GP958" s="4">
        <v>104</v>
      </c>
      <c r="GQ958" s="4">
        <v>96</v>
      </c>
      <c r="GR958" s="4">
        <v>86</v>
      </c>
      <c r="GS958" s="4">
        <v>76</v>
      </c>
      <c r="GT958" s="4">
        <v>69</v>
      </c>
      <c r="GU958" s="4">
        <v>63</v>
      </c>
      <c r="GV958" s="4">
        <v>51</v>
      </c>
      <c r="GW958" s="4">
        <v>40</v>
      </c>
      <c r="GX958" s="4">
        <v>29</v>
      </c>
      <c r="GY958" s="4">
        <v>18</v>
      </c>
      <c r="GZ958" s="4">
        <v>7</v>
      </c>
      <c r="HA958" s="4">
        <v>154</v>
      </c>
      <c r="HB958" s="4">
        <v>138</v>
      </c>
      <c r="HC958" s="4">
        <v>125</v>
      </c>
      <c r="HD958" s="9"/>
      <c r="HE958" s="9"/>
      <c r="HF958" s="9"/>
      <c r="HG958" s="9"/>
      <c r="HH958" s="9"/>
      <c r="HI958" s="9"/>
      <c r="HJ958" s="19">
        <v>10.9</v>
      </c>
      <c r="HK958" s="19">
        <v>22.7</v>
      </c>
      <c r="HL958" s="19">
        <v>24.8</v>
      </c>
      <c r="HM958" s="19">
        <v>20</v>
      </c>
      <c r="HN958" s="19">
        <v>14.6</v>
      </c>
      <c r="HO958" s="19">
        <v>12.3</v>
      </c>
      <c r="HP958" s="19">
        <v>11.6</v>
      </c>
      <c r="HQ958" s="19">
        <v>12</v>
      </c>
      <c r="HR958" s="19">
        <v>9.6</v>
      </c>
      <c r="HS958" s="19">
        <v>8.4</v>
      </c>
      <c r="HT958" s="19">
        <v>6.9</v>
      </c>
      <c r="HU958" s="19">
        <v>5.7</v>
      </c>
      <c r="HV958" s="19">
        <v>4.6</v>
      </c>
      <c r="HW958" s="19">
        <v>4</v>
      </c>
      <c r="HX958" s="19">
        <v>2.6</v>
      </c>
      <c r="HY958" s="19">
        <v>1.5</v>
      </c>
      <c r="HZ958" s="19">
        <v>0.6</v>
      </c>
      <c r="IA958" s="19">
        <v>11.8</v>
      </c>
      <c r="IB958" s="19">
        <v>11.5</v>
      </c>
      <c r="IC958" s="19">
        <v>11.4</v>
      </c>
    </row>
    <row r="959">
      <c r="A959" s="2" t="s">
        <v>3826</v>
      </c>
      <c r="B959" s="2" t="s">
        <v>905</v>
      </c>
      <c r="C959" s="2" t="s">
        <v>324</v>
      </c>
      <c r="D959" s="2" t="s">
        <v>981</v>
      </c>
      <c r="E959" s="2" t="s">
        <v>330</v>
      </c>
      <c r="F959" s="2" t="s">
        <v>3823</v>
      </c>
      <c r="G959" s="2" t="s">
        <v>3823</v>
      </c>
      <c r="H959" s="2" t="s">
        <v>3823</v>
      </c>
      <c r="I959" s="2" t="s">
        <v>982</v>
      </c>
      <c r="J959" s="2" t="s">
        <v>365</v>
      </c>
      <c r="K959" s="2" t="s">
        <v>3824</v>
      </c>
      <c r="L959" s="3">
        <v>32.2</v>
      </c>
      <c r="M959" s="3">
        <v>33.81</v>
      </c>
      <c r="N959" s="3">
        <v>69.99</v>
      </c>
      <c r="O959" s="2" t="s">
        <v>232</v>
      </c>
      <c r="P959" s="2" t="s">
        <v>878</v>
      </c>
      <c r="Q959" s="2" t="s">
        <v>234</v>
      </c>
      <c r="R959" s="2" t="s">
        <v>235</v>
      </c>
      <c r="S959" s="2" t="s">
        <v>235</v>
      </c>
      <c r="T959" s="2" t="s">
        <v>263</v>
      </c>
      <c r="U959" s="2" t="s">
        <v>807</v>
      </c>
      <c r="V959" s="2" t="s">
        <v>238</v>
      </c>
      <c r="W959" s="2" t="s">
        <v>1029</v>
      </c>
      <c r="X959" s="2" t="s">
        <v>235</v>
      </c>
      <c r="Y959" s="2" t="s">
        <v>235</v>
      </c>
      <c r="Z959" s="4"/>
      <c r="AA959" s="4">
        <f>=ROUNDDOWN({0},0)</f>
      </c>
      <c r="AB959" s="5">
        <v>26</v>
      </c>
      <c r="AC959" s="2" t="s">
        <v>163</v>
      </c>
      <c r="AD959" s="4">
        <v>465</v>
      </c>
      <c r="AE959" s="4">
        <v>465</v>
      </c>
      <c r="AF959" s="6">
        <v>80</v>
      </c>
      <c r="AG959" s="6"/>
      <c r="AH959" s="7"/>
      <c r="AI959" s="4"/>
      <c r="AJ959" s="4">
        <f>=ROUNDDOWN({0},0)</f>
      </c>
      <c r="AK959" s="5"/>
      <c r="AL959" s="2" t="s">
        <v>235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235</v>
      </c>
      <c r="AW959" s="8" t="s">
        <v>235</v>
      </c>
      <c r="AX959" s="4" t="s">
        <v>235</v>
      </c>
      <c r="AY959" s="8" t="s">
        <v>235</v>
      </c>
      <c r="AZ959" s="7" t="s">
        <v>235</v>
      </c>
      <c r="BA959" s="7" t="s">
        <v>235</v>
      </c>
      <c r="BB959" s="7"/>
      <c r="BC959" s="4" t="s">
        <v>235</v>
      </c>
      <c r="BD959" s="8" t="s">
        <v>235</v>
      </c>
      <c r="BE959" s="4" t="s">
        <v>235</v>
      </c>
      <c r="BF959" s="8" t="s">
        <v>235</v>
      </c>
      <c r="BG959" s="7" t="s">
        <v>235</v>
      </c>
      <c r="BH959" s="7" t="s">
        <v>235</v>
      </c>
      <c r="BI959" s="7"/>
      <c r="BJ959" s="4"/>
      <c r="BK959" s="8"/>
      <c r="BL959" s="2" t="s">
        <v>235</v>
      </c>
      <c r="BM959" s="7"/>
      <c r="BN959" s="7"/>
      <c r="BO959" s="4"/>
      <c r="BP959" s="8"/>
      <c r="BQ959" s="4"/>
      <c r="BR959" s="8"/>
      <c r="BS959" s="7"/>
      <c r="BT959" s="7"/>
      <c r="BU959" s="2" t="s">
        <v>3825</v>
      </c>
      <c r="BV959" s="2" t="s">
        <v>235</v>
      </c>
      <c r="BW959" s="2" t="s">
        <v>235</v>
      </c>
      <c r="BX959" s="2" t="s">
        <v>685</v>
      </c>
      <c r="BY959" s="2" t="s">
        <v>245</v>
      </c>
      <c r="BZ959" s="2" t="s">
        <v>232</v>
      </c>
      <c r="CA959" s="2" t="s">
        <v>235</v>
      </c>
      <c r="CB959" s="2" t="s">
        <v>235</v>
      </c>
      <c r="CC959" s="2" t="s">
        <v>248</v>
      </c>
      <c r="CD959" s="2" t="s">
        <v>248</v>
      </c>
      <c r="CE959" s="2" t="s">
        <v>235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>
        <v>465</v>
      </c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>
        <v>465</v>
      </c>
      <c r="GK959" s="4">
        <v>371</v>
      </c>
      <c r="GL959" s="4">
        <v>351</v>
      </c>
      <c r="GM959" s="4">
        <v>342</v>
      </c>
      <c r="GN959" s="4">
        <v>337</v>
      </c>
      <c r="GO959" s="4">
        <v>325</v>
      </c>
      <c r="GP959" s="4">
        <v>313</v>
      </c>
      <c r="GQ959" s="4">
        <v>293</v>
      </c>
      <c r="GR959" s="4">
        <v>273</v>
      </c>
      <c r="GS959" s="4">
        <v>250</v>
      </c>
      <c r="GT959" s="4">
        <v>234</v>
      </c>
      <c r="GU959" s="4">
        <v>225</v>
      </c>
      <c r="GV959" s="4">
        <v>201</v>
      </c>
      <c r="GW959" s="4">
        <v>180</v>
      </c>
      <c r="GX959" s="4">
        <v>159</v>
      </c>
      <c r="GY959" s="4">
        <v>138</v>
      </c>
      <c r="GZ959" s="4">
        <v>117</v>
      </c>
      <c r="HA959" s="4">
        <v>316</v>
      </c>
      <c r="HB959" s="4">
        <v>293</v>
      </c>
      <c r="HC959" s="4">
        <v>268</v>
      </c>
      <c r="HD959" s="9"/>
      <c r="HE959" s="9"/>
      <c r="HF959" s="9"/>
      <c r="HG959" s="9"/>
      <c r="HH959" s="9"/>
      <c r="HI959" s="9"/>
      <c r="HJ959" s="19">
        <v>14.5</v>
      </c>
      <c r="HK959" s="19">
        <v>30.9</v>
      </c>
      <c r="HL959" s="19">
        <v>35.1</v>
      </c>
      <c r="HM959" s="19">
        <v>28.5</v>
      </c>
      <c r="HN959" s="19">
        <v>21.1</v>
      </c>
      <c r="HO959" s="19">
        <v>17.1</v>
      </c>
      <c r="HP959" s="19">
        <v>15.7</v>
      </c>
      <c r="HQ959" s="19">
        <v>17.2</v>
      </c>
      <c r="HR959" s="19">
        <v>15.2</v>
      </c>
      <c r="HS959" s="19">
        <v>13.9</v>
      </c>
      <c r="HT959" s="19">
        <v>12.3</v>
      </c>
      <c r="HU959" s="19">
        <v>10.2</v>
      </c>
      <c r="HV959" s="19">
        <v>9.6</v>
      </c>
      <c r="HW959" s="19">
        <v>8.2</v>
      </c>
      <c r="HX959" s="19">
        <v>7.2</v>
      </c>
      <c r="HY959" s="19">
        <v>6</v>
      </c>
      <c r="HZ959" s="19">
        <v>4.9</v>
      </c>
      <c r="IA959" s="19">
        <v>13.2</v>
      </c>
      <c r="IB959" s="19">
        <v>12.2</v>
      </c>
      <c r="IC959" s="19">
        <v>11.2</v>
      </c>
    </row>
    <row r="960">
      <c r="A960" s="2" t="s">
        <v>3827</v>
      </c>
      <c r="B960" s="2" t="s">
        <v>905</v>
      </c>
      <c r="C960" s="2" t="s">
        <v>324</v>
      </c>
      <c r="D960" s="2" t="s">
        <v>981</v>
      </c>
      <c r="E960" s="2" t="s">
        <v>330</v>
      </c>
      <c r="F960" s="2" t="s">
        <v>3823</v>
      </c>
      <c r="G960" s="2" t="s">
        <v>3823</v>
      </c>
      <c r="H960" s="2" t="s">
        <v>3823</v>
      </c>
      <c r="I960" s="2" t="s">
        <v>982</v>
      </c>
      <c r="J960" s="2" t="s">
        <v>270</v>
      </c>
      <c r="K960" s="2" t="s">
        <v>3824</v>
      </c>
      <c r="L960" s="3">
        <v>36.8</v>
      </c>
      <c r="M960" s="3">
        <v>38.64</v>
      </c>
      <c r="N960" s="3">
        <v>79.99</v>
      </c>
      <c r="O960" s="2" t="s">
        <v>232</v>
      </c>
      <c r="P960" s="2" t="s">
        <v>878</v>
      </c>
      <c r="Q960" s="2" t="s">
        <v>234</v>
      </c>
      <c r="R960" s="2" t="s">
        <v>235</v>
      </c>
      <c r="S960" s="2" t="s">
        <v>235</v>
      </c>
      <c r="T960" s="2" t="s">
        <v>263</v>
      </c>
      <c r="U960" s="2" t="s">
        <v>807</v>
      </c>
      <c r="V960" s="2" t="s">
        <v>238</v>
      </c>
      <c r="W960" s="2" t="s">
        <v>1029</v>
      </c>
      <c r="X960" s="2" t="s">
        <v>235</v>
      </c>
      <c r="Y960" s="2" t="s">
        <v>235</v>
      </c>
      <c r="Z960" s="4"/>
      <c r="AA960" s="4">
        <f>=ROUNDDOWN({0},0)</f>
      </c>
      <c r="AB960" s="5">
        <v>19</v>
      </c>
      <c r="AC960" s="2" t="s">
        <v>163</v>
      </c>
      <c r="AD960" s="4">
        <v>350</v>
      </c>
      <c r="AE960" s="4">
        <v>350</v>
      </c>
      <c r="AF960" s="6">
        <v>80</v>
      </c>
      <c r="AG960" s="6"/>
      <c r="AH960" s="7"/>
      <c r="AI960" s="4"/>
      <c r="AJ960" s="4">
        <f>=ROUNDDOWN({0},0)</f>
      </c>
      <c r="AK960" s="5"/>
      <c r="AL960" s="2" t="s">
        <v>235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235</v>
      </c>
      <c r="AW960" s="8" t="s">
        <v>235</v>
      </c>
      <c r="AX960" s="4" t="s">
        <v>235</v>
      </c>
      <c r="AY960" s="8" t="s">
        <v>235</v>
      </c>
      <c r="AZ960" s="7" t="s">
        <v>235</v>
      </c>
      <c r="BA960" s="7" t="s">
        <v>235</v>
      </c>
      <c r="BB960" s="7"/>
      <c r="BC960" s="4" t="s">
        <v>235</v>
      </c>
      <c r="BD960" s="8" t="s">
        <v>235</v>
      </c>
      <c r="BE960" s="4" t="s">
        <v>235</v>
      </c>
      <c r="BF960" s="8" t="s">
        <v>235</v>
      </c>
      <c r="BG960" s="7" t="s">
        <v>235</v>
      </c>
      <c r="BH960" s="7" t="s">
        <v>235</v>
      </c>
      <c r="BI960" s="7"/>
      <c r="BJ960" s="4"/>
      <c r="BK960" s="8"/>
      <c r="BL960" s="2" t="s">
        <v>235</v>
      </c>
      <c r="BM960" s="7"/>
      <c r="BN960" s="7"/>
      <c r="BO960" s="4"/>
      <c r="BP960" s="8"/>
      <c r="BQ960" s="4"/>
      <c r="BR960" s="8"/>
      <c r="BS960" s="7"/>
      <c r="BT960" s="7"/>
      <c r="BU960" s="2" t="s">
        <v>3825</v>
      </c>
      <c r="BV960" s="2" t="s">
        <v>235</v>
      </c>
      <c r="BW960" s="2" t="s">
        <v>235</v>
      </c>
      <c r="BX960" s="2" t="s">
        <v>685</v>
      </c>
      <c r="BY960" s="2" t="s">
        <v>245</v>
      </c>
      <c r="BZ960" s="2" t="s">
        <v>232</v>
      </c>
      <c r="CA960" s="2" t="s">
        <v>235</v>
      </c>
      <c r="CB960" s="2" t="s">
        <v>235</v>
      </c>
      <c r="CC960" s="2" t="s">
        <v>248</v>
      </c>
      <c r="CD960" s="2" t="s">
        <v>248</v>
      </c>
      <c r="CE960" s="2" t="s">
        <v>235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>
        <v>350</v>
      </c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>
        <v>350</v>
      </c>
      <c r="GK960" s="4">
        <v>304</v>
      </c>
      <c r="GL960" s="4">
        <v>292</v>
      </c>
      <c r="GM960" s="4">
        <v>288</v>
      </c>
      <c r="GN960" s="4">
        <v>285</v>
      </c>
      <c r="GO960" s="4">
        <v>277</v>
      </c>
      <c r="GP960" s="4">
        <v>267</v>
      </c>
      <c r="GQ960" s="4">
        <v>253</v>
      </c>
      <c r="GR960" s="4">
        <v>236</v>
      </c>
      <c r="GS960" s="4">
        <v>217</v>
      </c>
      <c r="GT960" s="4">
        <v>208</v>
      </c>
      <c r="GU960" s="4">
        <v>201</v>
      </c>
      <c r="GV960" s="4">
        <v>182</v>
      </c>
      <c r="GW960" s="4">
        <v>163</v>
      </c>
      <c r="GX960" s="4">
        <v>144</v>
      </c>
      <c r="GY960" s="4">
        <v>125</v>
      </c>
      <c r="GZ960" s="4">
        <v>106</v>
      </c>
      <c r="HA960" s="4">
        <v>239</v>
      </c>
      <c r="HB960" s="4">
        <v>220</v>
      </c>
      <c r="HC960" s="4">
        <v>199</v>
      </c>
      <c r="HD960" s="9"/>
      <c r="HE960" s="9"/>
      <c r="HF960" s="9"/>
      <c r="HG960" s="9"/>
      <c r="HH960" s="9"/>
      <c r="HI960" s="9"/>
      <c r="HJ960" s="19">
        <v>21.9</v>
      </c>
      <c r="HK960" s="19">
        <v>43.4</v>
      </c>
      <c r="HL960" s="19">
        <v>48.7</v>
      </c>
      <c r="HM960" s="19">
        <v>32</v>
      </c>
      <c r="HN960" s="19">
        <v>23.8</v>
      </c>
      <c r="HO960" s="19">
        <v>18.5</v>
      </c>
      <c r="HP960" s="19">
        <v>17.8</v>
      </c>
      <c r="HQ960" s="19">
        <v>19.5</v>
      </c>
      <c r="HR960" s="19">
        <v>16.9</v>
      </c>
      <c r="HS960" s="19">
        <v>15.5</v>
      </c>
      <c r="HT960" s="19">
        <v>13</v>
      </c>
      <c r="HU960" s="19">
        <v>10.6</v>
      </c>
      <c r="HV960" s="19">
        <v>9.6</v>
      </c>
      <c r="HW960" s="19">
        <v>8.6</v>
      </c>
      <c r="HX960" s="19">
        <v>7.6</v>
      </c>
      <c r="HY960" s="19">
        <v>6.3</v>
      </c>
      <c r="HZ960" s="19">
        <v>5.3</v>
      </c>
      <c r="IA960" s="19">
        <v>12.6</v>
      </c>
      <c r="IB960" s="19">
        <v>11.6</v>
      </c>
      <c r="IC960" s="19">
        <v>11.1</v>
      </c>
    </row>
    <row r="961">
      <c r="A961" s="2" t="s">
        <v>3828</v>
      </c>
      <c r="B961" s="2" t="s">
        <v>905</v>
      </c>
      <c r="C961" s="2" t="s">
        <v>324</v>
      </c>
      <c r="D961" s="2" t="s">
        <v>981</v>
      </c>
      <c r="E961" s="2" t="s">
        <v>330</v>
      </c>
      <c r="F961" s="2" t="s">
        <v>3823</v>
      </c>
      <c r="G961" s="2" t="s">
        <v>3823</v>
      </c>
      <c r="H961" s="2" t="s">
        <v>3823</v>
      </c>
      <c r="I961" s="2" t="s">
        <v>982</v>
      </c>
      <c r="J961" s="2" t="s">
        <v>394</v>
      </c>
      <c r="K961" s="2" t="s">
        <v>1172</v>
      </c>
      <c r="L961" s="3">
        <v>26.4</v>
      </c>
      <c r="M961" s="3">
        <v>27.72</v>
      </c>
      <c r="N961" s="3">
        <v>59.99</v>
      </c>
      <c r="O961" s="2" t="s">
        <v>232</v>
      </c>
      <c r="P961" s="2" t="s">
        <v>878</v>
      </c>
      <c r="Q961" s="2" t="s">
        <v>234</v>
      </c>
      <c r="R961" s="2" t="s">
        <v>235</v>
      </c>
      <c r="S961" s="2" t="s">
        <v>235</v>
      </c>
      <c r="T961" s="2" t="s">
        <v>263</v>
      </c>
      <c r="U961" s="2" t="s">
        <v>807</v>
      </c>
      <c r="V961" s="2" t="s">
        <v>238</v>
      </c>
      <c r="W961" s="2" t="s">
        <v>1029</v>
      </c>
      <c r="X961" s="2" t="s">
        <v>235</v>
      </c>
      <c r="Y961" s="2" t="s">
        <v>3829</v>
      </c>
      <c r="Z961" s="4">
        <v>262</v>
      </c>
      <c r="AA961" s="4">
        <f>=ROUNDDOWN(23.8181818181818,0)</f>
      </c>
      <c r="AB961" s="5">
        <v>11</v>
      </c>
      <c r="AC961" s="2" t="s">
        <v>235</v>
      </c>
      <c r="AD961" s="4"/>
      <c r="AE961" s="4"/>
      <c r="AF961" s="6">
        <v>80</v>
      </c>
      <c r="AG961" s="6"/>
      <c r="AH961" s="7"/>
      <c r="AI961" s="4"/>
      <c r="AJ961" s="4">
        <f>=ROUNDDOWN({0},0)</f>
      </c>
      <c r="AK961" s="5"/>
      <c r="AL961" s="2" t="s">
        <v>235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235</v>
      </c>
      <c r="AW961" s="8" t="s">
        <v>235</v>
      </c>
      <c r="AX961" s="4" t="s">
        <v>235</v>
      </c>
      <c r="AY961" s="8" t="s">
        <v>235</v>
      </c>
      <c r="AZ961" s="7" t="s">
        <v>235</v>
      </c>
      <c r="BA961" s="7" t="s">
        <v>235</v>
      </c>
      <c r="BB961" s="7"/>
      <c r="BC961" s="4" t="s">
        <v>235</v>
      </c>
      <c r="BD961" s="8" t="s">
        <v>235</v>
      </c>
      <c r="BE961" s="4" t="s">
        <v>235</v>
      </c>
      <c r="BF961" s="8" t="s">
        <v>235</v>
      </c>
      <c r="BG961" s="7" t="s">
        <v>235</v>
      </c>
      <c r="BH961" s="7" t="s">
        <v>235</v>
      </c>
      <c r="BI961" s="7"/>
      <c r="BJ961" s="4"/>
      <c r="BK961" s="8"/>
      <c r="BL961" s="2" t="s">
        <v>235</v>
      </c>
      <c r="BM961" s="7"/>
      <c r="BN961" s="7"/>
      <c r="BO961" s="4"/>
      <c r="BP961" s="8"/>
      <c r="BQ961" s="4"/>
      <c r="BR961" s="8"/>
      <c r="BS961" s="7"/>
      <c r="BT961" s="7"/>
      <c r="BU961" s="2" t="s">
        <v>3825</v>
      </c>
      <c r="BV961" s="2" t="s">
        <v>235</v>
      </c>
      <c r="BW961" s="2" t="s">
        <v>235</v>
      </c>
      <c r="BX961" s="2" t="s">
        <v>685</v>
      </c>
      <c r="BY961" s="2" t="s">
        <v>245</v>
      </c>
      <c r="BZ961" s="2" t="s">
        <v>232</v>
      </c>
      <c r="CA961" s="2" t="s">
        <v>235</v>
      </c>
      <c r="CB961" s="2" t="s">
        <v>235</v>
      </c>
      <c r="CC961" s="2" t="s">
        <v>248</v>
      </c>
      <c r="CD961" s="2" t="s">
        <v>248</v>
      </c>
      <c r="CE961" s="2" t="s">
        <v>235</v>
      </c>
      <c r="CF961" s="4">
        <v>262</v>
      </c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>
        <v>266</v>
      </c>
      <c r="GE961" s="4">
        <v>231</v>
      </c>
      <c r="GF961" s="4">
        <v>225</v>
      </c>
      <c r="GG961" s="4">
        <v>216</v>
      </c>
      <c r="GH961" s="4">
        <v>209</v>
      </c>
      <c r="GI961" s="4">
        <v>203</v>
      </c>
      <c r="GJ961" s="4">
        <v>191</v>
      </c>
      <c r="GK961" s="4">
        <v>182</v>
      </c>
      <c r="GL961" s="4">
        <v>173</v>
      </c>
      <c r="GM961" s="4">
        <v>166</v>
      </c>
      <c r="GN961" s="4">
        <v>161</v>
      </c>
      <c r="GO961" s="4">
        <v>152</v>
      </c>
      <c r="GP961" s="4">
        <v>143</v>
      </c>
      <c r="GQ961" s="4">
        <v>125</v>
      </c>
      <c r="GR961" s="4">
        <v>112</v>
      </c>
      <c r="GS961" s="4">
        <v>99</v>
      </c>
      <c r="GT961" s="4">
        <v>91</v>
      </c>
      <c r="GU961" s="4">
        <v>84</v>
      </c>
      <c r="GV961" s="4">
        <v>72</v>
      </c>
      <c r="GW961" s="4">
        <v>61</v>
      </c>
      <c r="GX961" s="4">
        <v>50</v>
      </c>
      <c r="GY961" s="4">
        <v>39</v>
      </c>
      <c r="GZ961" s="4">
        <v>28</v>
      </c>
      <c r="HA961" s="4">
        <v>187</v>
      </c>
      <c r="HB961" s="4">
        <v>175</v>
      </c>
      <c r="HC961" s="4">
        <v>162</v>
      </c>
      <c r="HD961" s="19">
        <v>19</v>
      </c>
      <c r="HE961" s="19">
        <v>33</v>
      </c>
      <c r="HF961" s="19">
        <v>28.1</v>
      </c>
      <c r="HG961" s="19">
        <v>27</v>
      </c>
      <c r="HH961" s="19">
        <v>23.2</v>
      </c>
      <c r="HI961" s="19">
        <v>22.6</v>
      </c>
      <c r="HJ961" s="19">
        <v>23.9</v>
      </c>
      <c r="HK961" s="19">
        <v>22.8</v>
      </c>
      <c r="HL961" s="19">
        <v>21.6</v>
      </c>
      <c r="HM961" s="19">
        <v>16.6</v>
      </c>
      <c r="HN961" s="19">
        <v>13.4</v>
      </c>
      <c r="HO961" s="19">
        <v>11.7</v>
      </c>
      <c r="HP961" s="19">
        <v>11</v>
      </c>
      <c r="HQ961" s="19">
        <v>12.5</v>
      </c>
      <c r="HR961" s="19">
        <v>11.2</v>
      </c>
      <c r="HS961" s="19">
        <v>9.9</v>
      </c>
      <c r="HT961" s="19">
        <v>9.1</v>
      </c>
      <c r="HU961" s="19">
        <v>7.6</v>
      </c>
      <c r="HV961" s="19">
        <v>6.5</v>
      </c>
      <c r="HW961" s="19">
        <v>5.5</v>
      </c>
      <c r="HX961" s="19">
        <v>4.5</v>
      </c>
      <c r="HY961" s="19">
        <v>3.3</v>
      </c>
      <c r="HZ961" s="19">
        <v>2.3</v>
      </c>
      <c r="IA961" s="19">
        <v>15.6</v>
      </c>
      <c r="IB961" s="19">
        <v>14.6</v>
      </c>
      <c r="IC961" s="19">
        <v>14.7</v>
      </c>
    </row>
    <row r="962">
      <c r="A962" s="2" t="s">
        <v>3830</v>
      </c>
      <c r="B962" s="2" t="s">
        <v>905</v>
      </c>
      <c r="C962" s="2" t="s">
        <v>324</v>
      </c>
      <c r="D962" s="2" t="s">
        <v>981</v>
      </c>
      <c r="E962" s="2" t="s">
        <v>330</v>
      </c>
      <c r="F962" s="2" t="s">
        <v>3823</v>
      </c>
      <c r="G962" s="2" t="s">
        <v>3823</v>
      </c>
      <c r="H962" s="2" t="s">
        <v>3823</v>
      </c>
      <c r="I962" s="2" t="s">
        <v>982</v>
      </c>
      <c r="J962" s="2" t="s">
        <v>365</v>
      </c>
      <c r="K962" s="2" t="s">
        <v>1172</v>
      </c>
      <c r="L962" s="3">
        <v>32.2</v>
      </c>
      <c r="M962" s="3">
        <v>33.81</v>
      </c>
      <c r="N962" s="3">
        <v>69.99</v>
      </c>
      <c r="O962" s="2" t="s">
        <v>232</v>
      </c>
      <c r="P962" s="2" t="s">
        <v>878</v>
      </c>
      <c r="Q962" s="2" t="s">
        <v>234</v>
      </c>
      <c r="R962" s="2" t="s">
        <v>235</v>
      </c>
      <c r="S962" s="2" t="s">
        <v>235</v>
      </c>
      <c r="T962" s="2" t="s">
        <v>263</v>
      </c>
      <c r="U962" s="2" t="s">
        <v>807</v>
      </c>
      <c r="V962" s="2" t="s">
        <v>238</v>
      </c>
      <c r="W962" s="2" t="s">
        <v>1029</v>
      </c>
      <c r="X962" s="2" t="s">
        <v>235</v>
      </c>
      <c r="Y962" s="2" t="s">
        <v>3831</v>
      </c>
      <c r="Z962" s="4">
        <v>681</v>
      </c>
      <c r="AA962" s="4">
        <f>=ROUNDDOWN(26.1923076923077,0)</f>
      </c>
      <c r="AB962" s="5">
        <v>26</v>
      </c>
      <c r="AC962" s="2" t="s">
        <v>235</v>
      </c>
      <c r="AD962" s="4"/>
      <c r="AE962" s="4"/>
      <c r="AF962" s="6">
        <v>80</v>
      </c>
      <c r="AG962" s="6"/>
      <c r="AH962" s="7"/>
      <c r="AI962" s="4"/>
      <c r="AJ962" s="4">
        <f>=ROUNDDOWN({0},0)</f>
      </c>
      <c r="AK962" s="5"/>
      <c r="AL962" s="2" t="s">
        <v>235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235</v>
      </c>
      <c r="AW962" s="8" t="s">
        <v>235</v>
      </c>
      <c r="AX962" s="4" t="s">
        <v>235</v>
      </c>
      <c r="AY962" s="8" t="s">
        <v>235</v>
      </c>
      <c r="AZ962" s="7" t="s">
        <v>235</v>
      </c>
      <c r="BA962" s="7" t="s">
        <v>235</v>
      </c>
      <c r="BB962" s="7"/>
      <c r="BC962" s="4" t="s">
        <v>235</v>
      </c>
      <c r="BD962" s="8" t="s">
        <v>235</v>
      </c>
      <c r="BE962" s="4" t="s">
        <v>235</v>
      </c>
      <c r="BF962" s="8" t="s">
        <v>235</v>
      </c>
      <c r="BG962" s="7" t="s">
        <v>235</v>
      </c>
      <c r="BH962" s="7" t="s">
        <v>235</v>
      </c>
      <c r="BI962" s="7"/>
      <c r="BJ962" s="4"/>
      <c r="BK962" s="8"/>
      <c r="BL962" s="2" t="s">
        <v>235</v>
      </c>
      <c r="BM962" s="7"/>
      <c r="BN962" s="7"/>
      <c r="BO962" s="4"/>
      <c r="BP962" s="8"/>
      <c r="BQ962" s="4"/>
      <c r="BR962" s="8"/>
      <c r="BS962" s="7"/>
      <c r="BT962" s="7"/>
      <c r="BU962" s="2" t="s">
        <v>3825</v>
      </c>
      <c r="BV962" s="2" t="s">
        <v>235</v>
      </c>
      <c r="BW962" s="2" t="s">
        <v>235</v>
      </c>
      <c r="BX962" s="2" t="s">
        <v>685</v>
      </c>
      <c r="BY962" s="2" t="s">
        <v>245</v>
      </c>
      <c r="BZ962" s="2" t="s">
        <v>232</v>
      </c>
      <c r="CA962" s="2" t="s">
        <v>235</v>
      </c>
      <c r="CB962" s="2" t="s">
        <v>235</v>
      </c>
      <c r="CC962" s="2" t="s">
        <v>248</v>
      </c>
      <c r="CD962" s="2" t="s">
        <v>248</v>
      </c>
      <c r="CE962" s="2" t="s">
        <v>235</v>
      </c>
      <c r="CF962" s="4">
        <v>681</v>
      </c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>
        <v>686</v>
      </c>
      <c r="GE962" s="4">
        <v>628</v>
      </c>
      <c r="GF962" s="4">
        <v>617</v>
      </c>
      <c r="GG962" s="4">
        <v>604</v>
      </c>
      <c r="GH962" s="4">
        <v>589</v>
      </c>
      <c r="GI962" s="4">
        <v>576</v>
      </c>
      <c r="GJ962" s="4">
        <v>548</v>
      </c>
      <c r="GK962" s="4">
        <v>533</v>
      </c>
      <c r="GL962" s="4">
        <v>515</v>
      </c>
      <c r="GM962" s="4">
        <v>497</v>
      </c>
      <c r="GN962" s="4">
        <v>485</v>
      </c>
      <c r="GO962" s="4">
        <v>461</v>
      </c>
      <c r="GP962" s="4">
        <v>441</v>
      </c>
      <c r="GQ962" s="4">
        <v>379</v>
      </c>
      <c r="GR962" s="4">
        <v>350</v>
      </c>
      <c r="GS962" s="4">
        <v>315</v>
      </c>
      <c r="GT962" s="4">
        <v>294</v>
      </c>
      <c r="GU962" s="4">
        <v>283</v>
      </c>
      <c r="GV962" s="4">
        <v>259</v>
      </c>
      <c r="GW962" s="4">
        <v>238</v>
      </c>
      <c r="GX962" s="4">
        <v>217</v>
      </c>
      <c r="GY962" s="4">
        <v>196</v>
      </c>
      <c r="GZ962" s="4">
        <v>175</v>
      </c>
      <c r="HA962" s="4">
        <v>402</v>
      </c>
      <c r="HB962" s="4">
        <v>379</v>
      </c>
      <c r="HC962" s="4">
        <v>354</v>
      </c>
      <c r="HD962" s="19">
        <v>28.6</v>
      </c>
      <c r="HE962" s="19">
        <v>48.3</v>
      </c>
      <c r="HF962" s="19">
        <v>36.3</v>
      </c>
      <c r="HG962" s="19">
        <v>33.6</v>
      </c>
      <c r="HH962" s="19">
        <v>32.7</v>
      </c>
      <c r="HI962" s="19">
        <v>28.8</v>
      </c>
      <c r="HJ962" s="19">
        <v>34.3</v>
      </c>
      <c r="HK962" s="19">
        <v>29.6</v>
      </c>
      <c r="HL962" s="19">
        <v>28.6</v>
      </c>
      <c r="HM962" s="19">
        <v>16.6</v>
      </c>
      <c r="HN962" s="19">
        <v>14.3</v>
      </c>
      <c r="HO962" s="19">
        <v>12.8</v>
      </c>
      <c r="HP962" s="19">
        <v>11.9</v>
      </c>
      <c r="HQ962" s="19">
        <v>15.8</v>
      </c>
      <c r="HR962" s="19">
        <v>15.2</v>
      </c>
      <c r="HS962" s="19">
        <v>16.6</v>
      </c>
      <c r="HT962" s="19">
        <v>15.5</v>
      </c>
      <c r="HU962" s="19">
        <v>12.9</v>
      </c>
      <c r="HV962" s="19">
        <v>12.3</v>
      </c>
      <c r="HW962" s="19">
        <v>10.8</v>
      </c>
      <c r="HX962" s="19">
        <v>9.9</v>
      </c>
      <c r="HY962" s="19">
        <v>8.5</v>
      </c>
      <c r="HZ962" s="19">
        <v>7.3</v>
      </c>
      <c r="IA962" s="19">
        <v>16.8</v>
      </c>
      <c r="IB962" s="19">
        <v>15.8</v>
      </c>
      <c r="IC962" s="19">
        <v>14.8</v>
      </c>
    </row>
    <row r="963">
      <c r="A963" s="2" t="s">
        <v>3832</v>
      </c>
      <c r="B963" s="2" t="s">
        <v>905</v>
      </c>
      <c r="C963" s="2" t="s">
        <v>324</v>
      </c>
      <c r="D963" s="2" t="s">
        <v>981</v>
      </c>
      <c r="E963" s="2" t="s">
        <v>330</v>
      </c>
      <c r="F963" s="2" t="s">
        <v>3823</v>
      </c>
      <c r="G963" s="2" t="s">
        <v>3823</v>
      </c>
      <c r="H963" s="2" t="s">
        <v>3823</v>
      </c>
      <c r="I963" s="2" t="s">
        <v>982</v>
      </c>
      <c r="J963" s="2" t="s">
        <v>270</v>
      </c>
      <c r="K963" s="2" t="s">
        <v>1172</v>
      </c>
      <c r="L963" s="3">
        <v>36.8</v>
      </c>
      <c r="M963" s="3">
        <v>38.64</v>
      </c>
      <c r="N963" s="3">
        <v>79.99</v>
      </c>
      <c r="O963" s="2" t="s">
        <v>232</v>
      </c>
      <c r="P963" s="2" t="s">
        <v>878</v>
      </c>
      <c r="Q963" s="2" t="s">
        <v>234</v>
      </c>
      <c r="R963" s="2" t="s">
        <v>235</v>
      </c>
      <c r="S963" s="2" t="s">
        <v>235</v>
      </c>
      <c r="T963" s="2" t="s">
        <v>263</v>
      </c>
      <c r="U963" s="2" t="s">
        <v>807</v>
      </c>
      <c r="V963" s="2" t="s">
        <v>238</v>
      </c>
      <c r="W963" s="2" t="s">
        <v>1029</v>
      </c>
      <c r="X963" s="2" t="s">
        <v>235</v>
      </c>
      <c r="Y963" s="2" t="s">
        <v>3831</v>
      </c>
      <c r="Z963" s="4">
        <v>527</v>
      </c>
      <c r="AA963" s="4">
        <f>=ROUNDDOWN(27.7368421052632,0)</f>
      </c>
      <c r="AB963" s="5">
        <v>19</v>
      </c>
      <c r="AC963" s="2" t="s">
        <v>235</v>
      </c>
      <c r="AD963" s="4"/>
      <c r="AE963" s="4"/>
      <c r="AF963" s="6">
        <v>80</v>
      </c>
      <c r="AG963" s="6"/>
      <c r="AH963" s="7"/>
      <c r="AI963" s="4"/>
      <c r="AJ963" s="4">
        <f>=ROUNDDOWN({0},0)</f>
      </c>
      <c r="AK963" s="5"/>
      <c r="AL963" s="2" t="s">
        <v>235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235</v>
      </c>
      <c r="AW963" s="8" t="s">
        <v>235</v>
      </c>
      <c r="AX963" s="4" t="s">
        <v>235</v>
      </c>
      <c r="AY963" s="8" t="s">
        <v>235</v>
      </c>
      <c r="AZ963" s="7" t="s">
        <v>235</v>
      </c>
      <c r="BA963" s="7" t="s">
        <v>235</v>
      </c>
      <c r="BB963" s="7"/>
      <c r="BC963" s="4" t="s">
        <v>235</v>
      </c>
      <c r="BD963" s="8" t="s">
        <v>235</v>
      </c>
      <c r="BE963" s="4" t="s">
        <v>235</v>
      </c>
      <c r="BF963" s="8" t="s">
        <v>235</v>
      </c>
      <c r="BG963" s="7" t="s">
        <v>235</v>
      </c>
      <c r="BH963" s="7" t="s">
        <v>235</v>
      </c>
      <c r="BI963" s="7"/>
      <c r="BJ963" s="4"/>
      <c r="BK963" s="8"/>
      <c r="BL963" s="2" t="s">
        <v>235</v>
      </c>
      <c r="BM963" s="7"/>
      <c r="BN963" s="7"/>
      <c r="BO963" s="4"/>
      <c r="BP963" s="8"/>
      <c r="BQ963" s="4"/>
      <c r="BR963" s="8"/>
      <c r="BS963" s="7"/>
      <c r="BT963" s="7"/>
      <c r="BU963" s="2" t="s">
        <v>3825</v>
      </c>
      <c r="BV963" s="2" t="s">
        <v>235</v>
      </c>
      <c r="BW963" s="2" t="s">
        <v>235</v>
      </c>
      <c r="BX963" s="2" t="s">
        <v>685</v>
      </c>
      <c r="BY963" s="2" t="s">
        <v>245</v>
      </c>
      <c r="BZ963" s="2" t="s">
        <v>232</v>
      </c>
      <c r="CA963" s="2" t="s">
        <v>235</v>
      </c>
      <c r="CB963" s="2" t="s">
        <v>235</v>
      </c>
      <c r="CC963" s="2" t="s">
        <v>248</v>
      </c>
      <c r="CD963" s="2" t="s">
        <v>248</v>
      </c>
      <c r="CE963" s="2" t="s">
        <v>235</v>
      </c>
      <c r="CF963" s="4">
        <v>527</v>
      </c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>
        <v>532</v>
      </c>
      <c r="GE963" s="4">
        <v>506</v>
      </c>
      <c r="GF963" s="4">
        <v>501</v>
      </c>
      <c r="GG963" s="4">
        <v>491</v>
      </c>
      <c r="GH963" s="4">
        <v>483</v>
      </c>
      <c r="GI963" s="4">
        <v>475</v>
      </c>
      <c r="GJ963" s="4">
        <v>463</v>
      </c>
      <c r="GK963" s="4">
        <v>454</v>
      </c>
      <c r="GL963" s="4">
        <v>445</v>
      </c>
      <c r="GM963" s="4">
        <v>435</v>
      </c>
      <c r="GN963" s="4">
        <v>426</v>
      </c>
      <c r="GO963" s="4">
        <v>407</v>
      </c>
      <c r="GP963" s="4">
        <v>388</v>
      </c>
      <c r="GQ963" s="4">
        <v>345</v>
      </c>
      <c r="GR963" s="4">
        <v>320</v>
      </c>
      <c r="GS963" s="4">
        <v>292</v>
      </c>
      <c r="GT963" s="4">
        <v>280</v>
      </c>
      <c r="GU963" s="4">
        <v>271</v>
      </c>
      <c r="GV963" s="4">
        <v>252</v>
      </c>
      <c r="GW963" s="4">
        <v>233</v>
      </c>
      <c r="GX963" s="4">
        <v>214</v>
      </c>
      <c r="GY963" s="4">
        <v>195</v>
      </c>
      <c r="GZ963" s="4">
        <v>176</v>
      </c>
      <c r="HA963" s="4">
        <v>300</v>
      </c>
      <c r="HB963" s="4">
        <v>281</v>
      </c>
      <c r="HC963" s="4">
        <v>260</v>
      </c>
      <c r="HD963" s="19">
        <v>44.3</v>
      </c>
      <c r="HE963" s="19">
        <v>63.3</v>
      </c>
      <c r="HF963" s="19">
        <v>50.1</v>
      </c>
      <c r="HG963" s="19">
        <v>54.6</v>
      </c>
      <c r="HH963" s="19">
        <v>48.3</v>
      </c>
      <c r="HI963" s="19">
        <v>47.5</v>
      </c>
      <c r="HJ963" s="19">
        <v>51.4</v>
      </c>
      <c r="HK963" s="19">
        <v>37.8</v>
      </c>
      <c r="HL963" s="19">
        <v>31.8</v>
      </c>
      <c r="HM963" s="19">
        <v>19.8</v>
      </c>
      <c r="HN963" s="19">
        <v>16.4</v>
      </c>
      <c r="HO963" s="19">
        <v>14</v>
      </c>
      <c r="HP963" s="19">
        <v>14.4</v>
      </c>
      <c r="HQ963" s="19">
        <v>19.2</v>
      </c>
      <c r="HR963" s="19">
        <v>18.8</v>
      </c>
      <c r="HS963" s="19">
        <v>19.5</v>
      </c>
      <c r="HT963" s="19">
        <v>17.5</v>
      </c>
      <c r="HU963" s="19">
        <v>14.3</v>
      </c>
      <c r="HV963" s="19">
        <v>13.3</v>
      </c>
      <c r="HW963" s="19">
        <v>12.3</v>
      </c>
      <c r="HX963" s="19">
        <v>11.3</v>
      </c>
      <c r="HY963" s="19">
        <v>9.8</v>
      </c>
      <c r="HZ963" s="19">
        <v>8.8</v>
      </c>
      <c r="IA963" s="19">
        <v>15.8</v>
      </c>
      <c r="IB963" s="19">
        <v>14.8</v>
      </c>
      <c r="IC963" s="19">
        <v>14.4</v>
      </c>
    </row>
    <row r="964">
      <c r="A964" s="2" t="s">
        <v>3833</v>
      </c>
      <c r="B964" s="2" t="s">
        <v>905</v>
      </c>
      <c r="C964" s="2" t="s">
        <v>678</v>
      </c>
      <c r="D964" s="2" t="s">
        <v>1177</v>
      </c>
      <c r="E964" s="2" t="s">
        <v>2747</v>
      </c>
      <c r="F964" s="2" t="s">
        <v>3834</v>
      </c>
      <c r="G964" s="2" t="s">
        <v>3834</v>
      </c>
      <c r="H964" s="2" t="s">
        <v>3834</v>
      </c>
      <c r="I964" s="2" t="s">
        <v>2749</v>
      </c>
      <c r="J964" s="2" t="s">
        <v>250</v>
      </c>
      <c r="K964" s="2" t="s">
        <v>1238</v>
      </c>
      <c r="L964" s="3">
        <v>54.72</v>
      </c>
      <c r="M964" s="3">
        <v>57.46</v>
      </c>
      <c r="N964" s="3">
        <v>114.99</v>
      </c>
      <c r="O964" s="2" t="s">
        <v>407</v>
      </c>
      <c r="P964" s="2" t="s">
        <v>408</v>
      </c>
      <c r="Q964" s="2" t="s">
        <v>234</v>
      </c>
      <c r="R964" s="2" t="s">
        <v>235</v>
      </c>
      <c r="S964" s="2" t="s">
        <v>3835</v>
      </c>
      <c r="T964" s="2" t="s">
        <v>587</v>
      </c>
      <c r="U964" s="2" t="s">
        <v>807</v>
      </c>
      <c r="V964" s="2" t="s">
        <v>238</v>
      </c>
      <c r="W964" s="2" t="s">
        <v>239</v>
      </c>
      <c r="X964" s="2" t="s">
        <v>1596</v>
      </c>
      <c r="Y964" s="2" t="s">
        <v>240</v>
      </c>
      <c r="Z964" s="4">
        <v>61</v>
      </c>
      <c r="AA964" s="4">
        <f>=ROUNDDOWN(1.6991643454039,0)</f>
      </c>
      <c r="AB964" s="5">
        <v>35.9</v>
      </c>
      <c r="AC964" s="2" t="s">
        <v>235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235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235</v>
      </c>
      <c r="BD964" s="8" t="s">
        <v>235</v>
      </c>
      <c r="BE964" s="4" t="s">
        <v>235</v>
      </c>
      <c r="BF964" s="8" t="s">
        <v>235</v>
      </c>
      <c r="BG964" s="7" t="s">
        <v>235</v>
      </c>
      <c r="BH964" s="7" t="s">
        <v>235</v>
      </c>
      <c r="BI964" s="7"/>
      <c r="BJ964" s="4">
        <v>62</v>
      </c>
      <c r="BK964" s="8">
        <v>3587.04</v>
      </c>
      <c r="BL964" s="2" t="s">
        <v>3836</v>
      </c>
      <c r="BM964" s="7"/>
      <c r="BN964" s="7"/>
      <c r="BO964" s="4"/>
      <c r="BP964" s="8"/>
      <c r="BQ964" s="4"/>
      <c r="BR964" s="8"/>
      <c r="BS964" s="7"/>
      <c r="BT964" s="7"/>
      <c r="BU964" s="2" t="s">
        <v>3837</v>
      </c>
      <c r="BV964" s="2" t="s">
        <v>243</v>
      </c>
      <c r="BW964" s="2" t="s">
        <v>235</v>
      </c>
      <c r="BX964" s="2" t="s">
        <v>414</v>
      </c>
      <c r="BY964" s="2" t="s">
        <v>245</v>
      </c>
      <c r="BZ964" s="2" t="s">
        <v>232</v>
      </c>
      <c r="CA964" s="2" t="s">
        <v>2044</v>
      </c>
      <c r="CB964" s="2" t="s">
        <v>1285</v>
      </c>
      <c r="CC964" s="2" t="s">
        <v>248</v>
      </c>
      <c r="CD964" s="2" t="s">
        <v>248</v>
      </c>
      <c r="CE964" s="2" t="s">
        <v>235</v>
      </c>
      <c r="CF964" s="4"/>
      <c r="CG964" s="4">
        <v>61</v>
      </c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>
        <v>61</v>
      </c>
      <c r="GE964" s="4">
        <v>23</v>
      </c>
      <c r="GF964" s="4">
        <v>8</v>
      </c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19">
        <v>3.8</v>
      </c>
      <c r="HE964" s="19">
        <v>2.6</v>
      </c>
      <c r="HF964" s="19">
        <v>1</v>
      </c>
      <c r="HG964" s="20">
        <v>0</v>
      </c>
      <c r="HH964" s="20">
        <v>0</v>
      </c>
      <c r="HI964" s="20">
        <v>0</v>
      </c>
      <c r="HJ964" s="20">
        <v>0</v>
      </c>
      <c r="HK964" s="20">
        <v>0</v>
      </c>
      <c r="HL964" s="20">
        <v>0</v>
      </c>
      <c r="HM964" s="20">
        <v>0</v>
      </c>
      <c r="HN964" s="20">
        <v>0</v>
      </c>
      <c r="HO964" s="20">
        <v>0</v>
      </c>
      <c r="HP964" s="20">
        <v>0</v>
      </c>
      <c r="HQ964" s="20">
        <v>0</v>
      </c>
      <c r="HR964" s="20">
        <v>0</v>
      </c>
      <c r="HS964" s="20">
        <v>0</v>
      </c>
      <c r="HT964" s="20">
        <v>0</v>
      </c>
      <c r="HU964" s="20">
        <v>0</v>
      </c>
      <c r="HV964" s="20">
        <v>0</v>
      </c>
      <c r="HW964" s="20">
        <v>0</v>
      </c>
      <c r="HX964" s="20">
        <v>0</v>
      </c>
      <c r="HY964" s="20">
        <v>0</v>
      </c>
      <c r="HZ964" s="20">
        <v>0</v>
      </c>
      <c r="IA964" s="20">
        <v>0</v>
      </c>
      <c r="IB964" s="20">
        <v>0</v>
      </c>
      <c r="IC964" s="20">
        <v>0</v>
      </c>
    </row>
    <row r="965">
      <c r="A965" s="2" t="s">
        <v>3838</v>
      </c>
      <c r="B965" s="2" t="s">
        <v>905</v>
      </c>
      <c r="C965" s="2" t="s">
        <v>678</v>
      </c>
      <c r="D965" s="2" t="s">
        <v>1177</v>
      </c>
      <c r="E965" s="2" t="s">
        <v>2747</v>
      </c>
      <c r="F965" s="2" t="s">
        <v>3834</v>
      </c>
      <c r="G965" s="2" t="s">
        <v>3834</v>
      </c>
      <c r="H965" s="2" t="s">
        <v>3834</v>
      </c>
      <c r="I965" s="2" t="s">
        <v>2749</v>
      </c>
      <c r="J965" s="2" t="s">
        <v>394</v>
      </c>
      <c r="K965" s="2" t="s">
        <v>295</v>
      </c>
      <c r="L965" s="3">
        <v>55.16</v>
      </c>
      <c r="M965" s="3">
        <v>57.92</v>
      </c>
      <c r="N965" s="3">
        <v>114.99</v>
      </c>
      <c r="O965" s="2" t="s">
        <v>232</v>
      </c>
      <c r="P965" s="2" t="s">
        <v>336</v>
      </c>
      <c r="Q965" s="2" t="s">
        <v>234</v>
      </c>
      <c r="R965" s="2" t="s">
        <v>235</v>
      </c>
      <c r="S965" s="2" t="s">
        <v>3839</v>
      </c>
      <c r="T965" s="2" t="s">
        <v>587</v>
      </c>
      <c r="U965" s="2" t="s">
        <v>807</v>
      </c>
      <c r="V965" s="2" t="s">
        <v>238</v>
      </c>
      <c r="W965" s="2" t="s">
        <v>239</v>
      </c>
      <c r="X965" s="2" t="s">
        <v>1596</v>
      </c>
      <c r="Y965" s="2" t="s">
        <v>240</v>
      </c>
      <c r="Z965" s="4">
        <v>366</v>
      </c>
      <c r="AA965" s="4">
        <f>=ROUNDDOWN(39.3548387096774,0)</f>
      </c>
      <c r="AB965" s="5">
        <v>9.3</v>
      </c>
      <c r="AC965" s="2" t="s">
        <v>235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235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235</v>
      </c>
      <c r="BD965" s="8" t="s">
        <v>235</v>
      </c>
      <c r="BE965" s="4" t="s">
        <v>235</v>
      </c>
      <c r="BF965" s="8" t="s">
        <v>235</v>
      </c>
      <c r="BG965" s="7" t="s">
        <v>235</v>
      </c>
      <c r="BH965" s="7" t="s">
        <v>235</v>
      </c>
      <c r="BI965" s="7"/>
      <c r="BJ965" s="4">
        <v>4</v>
      </c>
      <c r="BK965" s="8">
        <v>242.26</v>
      </c>
      <c r="BL965" s="2" t="s">
        <v>3840</v>
      </c>
      <c r="BM965" s="7"/>
      <c r="BN965" s="7"/>
      <c r="BO965" s="4"/>
      <c r="BP965" s="8"/>
      <c r="BQ965" s="4"/>
      <c r="BR965" s="8"/>
      <c r="BS965" s="7"/>
      <c r="BT965" s="7"/>
      <c r="BU965" s="2" t="s">
        <v>3837</v>
      </c>
      <c r="BV965" s="2" t="s">
        <v>243</v>
      </c>
      <c r="BW965" s="2" t="s">
        <v>235</v>
      </c>
      <c r="BX965" s="2" t="s">
        <v>383</v>
      </c>
      <c r="BY965" s="2" t="s">
        <v>245</v>
      </c>
      <c r="BZ965" s="2" t="s">
        <v>232</v>
      </c>
      <c r="CA965" s="2" t="s">
        <v>2044</v>
      </c>
      <c r="CB965" s="2" t="s">
        <v>3841</v>
      </c>
      <c r="CC965" s="2" t="s">
        <v>248</v>
      </c>
      <c r="CD965" s="2" t="s">
        <v>248</v>
      </c>
      <c r="CE965" s="2" t="s">
        <v>235</v>
      </c>
      <c r="CF965" s="4">
        <v>286</v>
      </c>
      <c r="CG965" s="4">
        <v>80</v>
      </c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>
        <v>369</v>
      </c>
      <c r="GE965" s="4">
        <v>362</v>
      </c>
      <c r="GF965" s="4">
        <v>356</v>
      </c>
      <c r="GG965" s="4">
        <v>351</v>
      </c>
      <c r="GH965" s="4">
        <v>346</v>
      </c>
      <c r="GI965" s="4">
        <v>338</v>
      </c>
      <c r="GJ965" s="4">
        <v>326</v>
      </c>
      <c r="GK965" s="4">
        <v>318</v>
      </c>
      <c r="GL965" s="4">
        <v>308</v>
      </c>
      <c r="GM965" s="4">
        <v>301</v>
      </c>
      <c r="GN965" s="4">
        <v>297</v>
      </c>
      <c r="GO965" s="4">
        <v>288</v>
      </c>
      <c r="GP965" s="4">
        <v>278</v>
      </c>
      <c r="GQ965" s="4">
        <v>268</v>
      </c>
      <c r="GR965" s="4">
        <v>253</v>
      </c>
      <c r="GS965" s="4">
        <v>238</v>
      </c>
      <c r="GT965" s="4">
        <v>224</v>
      </c>
      <c r="GU965" s="4">
        <v>217</v>
      </c>
      <c r="GV965" s="4">
        <v>210</v>
      </c>
      <c r="GW965" s="4">
        <v>205</v>
      </c>
      <c r="GX965" s="4">
        <v>201</v>
      </c>
      <c r="GY965" s="4">
        <v>198</v>
      </c>
      <c r="GZ965" s="4">
        <v>195</v>
      </c>
      <c r="HA965" s="4">
        <v>192</v>
      </c>
      <c r="HB965" s="4">
        <v>189</v>
      </c>
      <c r="HC965" s="4">
        <v>185</v>
      </c>
      <c r="HD965" s="19">
        <v>61.5</v>
      </c>
      <c r="HE965" s="19">
        <v>60.3</v>
      </c>
      <c r="HF965" s="19">
        <v>44.5</v>
      </c>
      <c r="HG965" s="19">
        <v>43.9</v>
      </c>
      <c r="HH965" s="19">
        <v>34.6</v>
      </c>
      <c r="HI965" s="19">
        <v>37.6</v>
      </c>
      <c r="HJ965" s="19">
        <v>46.6</v>
      </c>
      <c r="HK965" s="19">
        <v>39.8</v>
      </c>
      <c r="HL965" s="19">
        <v>38.5</v>
      </c>
      <c r="HM965" s="19">
        <v>37.6</v>
      </c>
      <c r="HN965" s="19">
        <v>27</v>
      </c>
      <c r="HO965" s="19">
        <v>24</v>
      </c>
      <c r="HP965" s="19">
        <v>19.9</v>
      </c>
      <c r="HQ965" s="19">
        <v>20.6</v>
      </c>
      <c r="HR965" s="19">
        <v>23</v>
      </c>
      <c r="HS965" s="19">
        <v>29.8</v>
      </c>
      <c r="HT965" s="19">
        <v>37.3</v>
      </c>
      <c r="HU965" s="19">
        <v>43.4</v>
      </c>
      <c r="HV965" s="19">
        <v>52.5</v>
      </c>
      <c r="HW965" s="19">
        <v>68.3</v>
      </c>
      <c r="HX965" s="19">
        <v>67</v>
      </c>
      <c r="HY965" s="19">
        <v>66</v>
      </c>
      <c r="HZ965" s="19">
        <v>65</v>
      </c>
      <c r="IA965" s="19">
        <v>64</v>
      </c>
      <c r="IB965" s="19">
        <v>63</v>
      </c>
      <c r="IC965" s="19">
        <v>61.7</v>
      </c>
    </row>
    <row r="966">
      <c r="A966" s="2" t="s">
        <v>3842</v>
      </c>
      <c r="B966" s="2" t="s">
        <v>905</v>
      </c>
      <c r="C966" s="2" t="s">
        <v>678</v>
      </c>
      <c r="D966" s="2" t="s">
        <v>1177</v>
      </c>
      <c r="E966" s="2" t="s">
        <v>2747</v>
      </c>
      <c r="F966" s="2" t="s">
        <v>3834</v>
      </c>
      <c r="G966" s="2" t="s">
        <v>3834</v>
      </c>
      <c r="H966" s="2" t="s">
        <v>3834</v>
      </c>
      <c r="I966" s="2" t="s">
        <v>2749</v>
      </c>
      <c r="J966" s="2" t="s">
        <v>261</v>
      </c>
      <c r="K966" s="2" t="s">
        <v>600</v>
      </c>
      <c r="L966" s="3">
        <v>83.71</v>
      </c>
      <c r="M966" s="3">
        <v>87.9</v>
      </c>
      <c r="N966" s="3">
        <v>169.99</v>
      </c>
      <c r="O966" s="2" t="s">
        <v>407</v>
      </c>
      <c r="P966" s="2" t="s">
        <v>408</v>
      </c>
      <c r="Q966" s="2" t="s">
        <v>234</v>
      </c>
      <c r="R966" s="2" t="s">
        <v>235</v>
      </c>
      <c r="S966" s="2" t="s">
        <v>235</v>
      </c>
      <c r="T966" s="2" t="s">
        <v>587</v>
      </c>
      <c r="U966" s="2" t="s">
        <v>807</v>
      </c>
      <c r="V966" s="2" t="s">
        <v>238</v>
      </c>
      <c r="W966" s="2" t="s">
        <v>239</v>
      </c>
      <c r="X966" s="2" t="s">
        <v>1596</v>
      </c>
      <c r="Y966" s="2" t="s">
        <v>3843</v>
      </c>
      <c r="Z966" s="4">
        <v>218</v>
      </c>
      <c r="AA966" s="4">
        <f>=ROUNDDOWN(17.3015873015873,0)</f>
      </c>
      <c r="AB966" s="5">
        <v>12.6</v>
      </c>
      <c r="AC966" s="2" t="s">
        <v>235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235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235</v>
      </c>
      <c r="AW966" s="8" t="s">
        <v>235</v>
      </c>
      <c r="AX966" s="4" t="s">
        <v>235</v>
      </c>
      <c r="AY966" s="8" t="s">
        <v>235</v>
      </c>
      <c r="AZ966" s="7" t="s">
        <v>235</v>
      </c>
      <c r="BA966" s="7" t="s">
        <v>235</v>
      </c>
      <c r="BB966" s="7"/>
      <c r="BC966" s="4" t="s">
        <v>235</v>
      </c>
      <c r="BD966" s="8" t="s">
        <v>235</v>
      </c>
      <c r="BE966" s="4" t="s">
        <v>235</v>
      </c>
      <c r="BF966" s="8" t="s">
        <v>235</v>
      </c>
      <c r="BG966" s="7" t="s">
        <v>235</v>
      </c>
      <c r="BH966" s="7" t="s">
        <v>235</v>
      </c>
      <c r="BI966" s="7"/>
      <c r="BJ966" s="4">
        <v>16</v>
      </c>
      <c r="BK966" s="8">
        <v>1444.14</v>
      </c>
      <c r="BL966" s="2" t="s">
        <v>3243</v>
      </c>
      <c r="BM966" s="7"/>
      <c r="BN966" s="7"/>
      <c r="BO966" s="4"/>
      <c r="BP966" s="8"/>
      <c r="BQ966" s="4"/>
      <c r="BR966" s="8"/>
      <c r="BS966" s="7"/>
      <c r="BT966" s="7"/>
      <c r="BU966" s="2" t="s">
        <v>3837</v>
      </c>
      <c r="BV966" s="2" t="s">
        <v>243</v>
      </c>
      <c r="BW966" s="2" t="s">
        <v>235</v>
      </c>
      <c r="BX966" s="2" t="s">
        <v>383</v>
      </c>
      <c r="BY966" s="2" t="s">
        <v>245</v>
      </c>
      <c r="BZ966" s="2" t="s">
        <v>232</v>
      </c>
      <c r="CA966" s="2" t="s">
        <v>3844</v>
      </c>
      <c r="CB966" s="2" t="s">
        <v>3845</v>
      </c>
      <c r="CC966" s="2" t="s">
        <v>248</v>
      </c>
      <c r="CD966" s="2" t="s">
        <v>248</v>
      </c>
      <c r="CE966" s="2" t="s">
        <v>235</v>
      </c>
      <c r="CF966" s="4">
        <v>97</v>
      </c>
      <c r="CG966" s="4">
        <v>121</v>
      </c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>
        <v>227</v>
      </c>
      <c r="GE966" s="4">
        <v>220</v>
      </c>
      <c r="GF966" s="4">
        <v>205</v>
      </c>
      <c r="GG966" s="4">
        <v>203</v>
      </c>
      <c r="GH966" s="4">
        <v>201</v>
      </c>
      <c r="GI966" s="4">
        <v>195</v>
      </c>
      <c r="GJ966" s="4">
        <v>189</v>
      </c>
      <c r="GK966" s="4">
        <v>181</v>
      </c>
      <c r="GL966" s="4">
        <v>173</v>
      </c>
      <c r="GM966" s="4">
        <v>166</v>
      </c>
      <c r="GN966" s="4">
        <v>158</v>
      </c>
      <c r="GO966" s="4">
        <v>150</v>
      </c>
      <c r="GP966" s="4">
        <v>134</v>
      </c>
      <c r="GQ966" s="4">
        <v>119</v>
      </c>
      <c r="GR966" s="4">
        <v>92</v>
      </c>
      <c r="GS966" s="4">
        <v>58</v>
      </c>
      <c r="GT966" s="4">
        <v>36</v>
      </c>
      <c r="GU966" s="4">
        <v>22</v>
      </c>
      <c r="GV966" s="4">
        <v>12</v>
      </c>
      <c r="GW966" s="4">
        <v>3</v>
      </c>
      <c r="GX966" s="4"/>
      <c r="GY966" s="4"/>
      <c r="GZ966" s="4"/>
      <c r="HA966" s="4"/>
      <c r="HB966" s="4"/>
      <c r="HC966" s="4"/>
      <c r="HD966" s="19">
        <v>37.8</v>
      </c>
      <c r="HE966" s="19">
        <v>36.7</v>
      </c>
      <c r="HF966" s="19">
        <v>51.3</v>
      </c>
      <c r="HG966" s="19">
        <v>33.8</v>
      </c>
      <c r="HH966" s="19">
        <v>28.7</v>
      </c>
      <c r="HI966" s="19">
        <v>27.9</v>
      </c>
      <c r="HJ966" s="19">
        <v>23.6</v>
      </c>
      <c r="HK966" s="19">
        <v>22.6</v>
      </c>
      <c r="HL966" s="19">
        <v>17.3</v>
      </c>
      <c r="HM966" s="19">
        <v>13.8</v>
      </c>
      <c r="HN966" s="19">
        <v>9.9</v>
      </c>
      <c r="HO966" s="19">
        <v>6.5</v>
      </c>
      <c r="HP966" s="19">
        <v>5.6</v>
      </c>
      <c r="HQ966" s="19">
        <v>5</v>
      </c>
      <c r="HR966" s="19">
        <v>4.6</v>
      </c>
      <c r="HS966" s="19">
        <v>4.1</v>
      </c>
      <c r="HT966" s="19">
        <v>3.6</v>
      </c>
      <c r="HU966" s="19">
        <v>2.4</v>
      </c>
      <c r="HV966" s="19">
        <v>1.5</v>
      </c>
      <c r="HW966" s="19">
        <v>0.4</v>
      </c>
      <c r="HX966" s="20">
        <v>0</v>
      </c>
      <c r="HY966" s="20">
        <v>0</v>
      </c>
      <c r="HZ966" s="20">
        <v>0</v>
      </c>
      <c r="IA966" s="20">
        <v>0</v>
      </c>
      <c r="IB966" s="20">
        <v>0</v>
      </c>
      <c r="IC966" s="20">
        <v>0</v>
      </c>
    </row>
    <row r="967">
      <c r="A967" s="2" t="s">
        <v>3846</v>
      </c>
      <c r="B967" s="2" t="s">
        <v>905</v>
      </c>
      <c r="C967" s="2" t="s">
        <v>678</v>
      </c>
      <c r="D967" s="2" t="s">
        <v>1177</v>
      </c>
      <c r="E967" s="2" t="s">
        <v>2747</v>
      </c>
      <c r="F967" s="2" t="s">
        <v>3834</v>
      </c>
      <c r="G967" s="2" t="s">
        <v>3834</v>
      </c>
      <c r="H967" s="2" t="s">
        <v>3834</v>
      </c>
      <c r="I967" s="2" t="s">
        <v>2749</v>
      </c>
      <c r="J967" s="2" t="s">
        <v>270</v>
      </c>
      <c r="K967" s="2" t="s">
        <v>600</v>
      </c>
      <c r="L967" s="3">
        <v>95.56</v>
      </c>
      <c r="M967" s="3">
        <v>100.34</v>
      </c>
      <c r="N967" s="3">
        <v>194.99</v>
      </c>
      <c r="O967" s="2" t="s">
        <v>407</v>
      </c>
      <c r="P967" s="2" t="s">
        <v>408</v>
      </c>
      <c r="Q967" s="2" t="s">
        <v>234</v>
      </c>
      <c r="R967" s="2" t="s">
        <v>235</v>
      </c>
      <c r="S967" s="2" t="s">
        <v>235</v>
      </c>
      <c r="T967" s="2" t="s">
        <v>587</v>
      </c>
      <c r="U967" s="2" t="s">
        <v>807</v>
      </c>
      <c r="V967" s="2" t="s">
        <v>238</v>
      </c>
      <c r="W967" s="2" t="s">
        <v>239</v>
      </c>
      <c r="X967" s="2" t="s">
        <v>1596</v>
      </c>
      <c r="Y967" s="2" t="s">
        <v>3843</v>
      </c>
      <c r="Z967" s="4">
        <v>373</v>
      </c>
      <c r="AA967" s="4">
        <f>=ROUNDDOWN(138.148148148148,0)</f>
      </c>
      <c r="AB967" s="5">
        <v>2.7</v>
      </c>
      <c r="AC967" s="2" t="s">
        <v>235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235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235</v>
      </c>
      <c r="AW967" s="8" t="s">
        <v>235</v>
      </c>
      <c r="AX967" s="4" t="s">
        <v>235</v>
      </c>
      <c r="AY967" s="8" t="s">
        <v>235</v>
      </c>
      <c r="AZ967" s="7" t="s">
        <v>235</v>
      </c>
      <c r="BA967" s="7" t="s">
        <v>235</v>
      </c>
      <c r="BB967" s="7"/>
      <c r="BC967" s="4" t="s">
        <v>235</v>
      </c>
      <c r="BD967" s="8" t="s">
        <v>235</v>
      </c>
      <c r="BE967" s="4" t="s">
        <v>235</v>
      </c>
      <c r="BF967" s="8" t="s">
        <v>235</v>
      </c>
      <c r="BG967" s="7" t="s">
        <v>235</v>
      </c>
      <c r="BH967" s="7" t="s">
        <v>235</v>
      </c>
      <c r="BI967" s="7"/>
      <c r="BJ967" s="4">
        <v>3</v>
      </c>
      <c r="BK967" s="8">
        <v>301</v>
      </c>
      <c r="BL967" s="2" t="s">
        <v>3847</v>
      </c>
      <c r="BM967" s="7"/>
      <c r="BN967" s="7"/>
      <c r="BO967" s="4"/>
      <c r="BP967" s="8"/>
      <c r="BQ967" s="4"/>
      <c r="BR967" s="8"/>
      <c r="BS967" s="7"/>
      <c r="BT967" s="7"/>
      <c r="BU967" s="2" t="s">
        <v>3837</v>
      </c>
      <c r="BV967" s="2" t="s">
        <v>243</v>
      </c>
      <c r="BW967" s="2" t="s">
        <v>235</v>
      </c>
      <c r="BX967" s="2" t="s">
        <v>383</v>
      </c>
      <c r="BY967" s="2" t="s">
        <v>245</v>
      </c>
      <c r="BZ967" s="2" t="s">
        <v>232</v>
      </c>
      <c r="CA967" s="2" t="s">
        <v>3844</v>
      </c>
      <c r="CB967" s="2" t="s">
        <v>3848</v>
      </c>
      <c r="CC967" s="2" t="s">
        <v>248</v>
      </c>
      <c r="CD967" s="2" t="s">
        <v>248</v>
      </c>
      <c r="CE967" s="2" t="s">
        <v>235</v>
      </c>
      <c r="CF967" s="4">
        <v>354</v>
      </c>
      <c r="CG967" s="4"/>
      <c r="CH967" s="4"/>
      <c r="CI967" s="4">
        <v>19</v>
      </c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>
        <v>374</v>
      </c>
      <c r="GE967" s="4">
        <v>360</v>
      </c>
      <c r="GF967" s="4">
        <v>353</v>
      </c>
      <c r="GG967" s="4">
        <v>348</v>
      </c>
      <c r="GH967" s="4">
        <v>343</v>
      </c>
      <c r="GI967" s="4">
        <v>333</v>
      </c>
      <c r="GJ967" s="4">
        <v>318</v>
      </c>
      <c r="GK967" s="4">
        <v>307</v>
      </c>
      <c r="GL967" s="4">
        <v>294</v>
      </c>
      <c r="GM967" s="4">
        <v>284</v>
      </c>
      <c r="GN967" s="4">
        <v>277</v>
      </c>
      <c r="GO967" s="4">
        <v>268</v>
      </c>
      <c r="GP967" s="4">
        <v>255</v>
      </c>
      <c r="GQ967" s="4">
        <v>241</v>
      </c>
      <c r="GR967" s="4">
        <v>220</v>
      </c>
      <c r="GS967" s="4">
        <v>202</v>
      </c>
      <c r="GT967" s="4">
        <v>186</v>
      </c>
      <c r="GU967" s="4">
        <v>178</v>
      </c>
      <c r="GV967" s="4">
        <v>173</v>
      </c>
      <c r="GW967" s="4">
        <v>168</v>
      </c>
      <c r="GX967" s="4">
        <v>163</v>
      </c>
      <c r="GY967" s="4">
        <v>158</v>
      </c>
      <c r="GZ967" s="4">
        <v>155</v>
      </c>
      <c r="HA967" s="4">
        <v>152</v>
      </c>
      <c r="HB967" s="4">
        <v>149</v>
      </c>
      <c r="HC967" s="4">
        <v>146</v>
      </c>
      <c r="HD967" s="19">
        <v>46.8</v>
      </c>
      <c r="HE967" s="19">
        <v>51.4</v>
      </c>
      <c r="HF967" s="19">
        <v>39.2</v>
      </c>
      <c r="HG967" s="19">
        <v>34.8</v>
      </c>
      <c r="HH967" s="19">
        <v>28.6</v>
      </c>
      <c r="HI967" s="19">
        <v>27.8</v>
      </c>
      <c r="HJ967" s="19">
        <v>31.8</v>
      </c>
      <c r="HK967" s="19">
        <v>30.7</v>
      </c>
      <c r="HL967" s="19">
        <v>29.4</v>
      </c>
      <c r="HM967" s="19">
        <v>25.8</v>
      </c>
      <c r="HN967" s="19">
        <v>19.8</v>
      </c>
      <c r="HO967" s="19">
        <v>16.8</v>
      </c>
      <c r="HP967" s="19">
        <v>15</v>
      </c>
      <c r="HQ967" s="19">
        <v>15.1</v>
      </c>
      <c r="HR967" s="19">
        <v>18.3</v>
      </c>
      <c r="HS967" s="19">
        <v>25.3</v>
      </c>
      <c r="HT967" s="19">
        <v>31</v>
      </c>
      <c r="HU967" s="19">
        <v>35.6</v>
      </c>
      <c r="HV967" s="19">
        <v>43.3</v>
      </c>
      <c r="HW967" s="19">
        <v>42</v>
      </c>
      <c r="HX967" s="19">
        <v>40.8</v>
      </c>
      <c r="HY967" s="19">
        <v>52.7</v>
      </c>
      <c r="HZ967" s="19">
        <v>51.7</v>
      </c>
      <c r="IA967" s="19">
        <v>76</v>
      </c>
      <c r="IB967" s="19">
        <v>74.5</v>
      </c>
      <c r="IC967" s="19">
        <v>73</v>
      </c>
    </row>
    <row r="968">
      <c r="A968" s="2" t="s">
        <v>3849</v>
      </c>
      <c r="B968" s="2" t="s">
        <v>871</v>
      </c>
      <c r="C968" s="2" t="s">
        <v>324</v>
      </c>
      <c r="D968" s="2" t="s">
        <v>361</v>
      </c>
      <c r="E968" s="2" t="s">
        <v>872</v>
      </c>
      <c r="F968" s="2" t="s">
        <v>3850</v>
      </c>
      <c r="G968" s="2" t="s">
        <v>3851</v>
      </c>
      <c r="H968" s="2" t="s">
        <v>3852</v>
      </c>
      <c r="I968" s="2" t="s">
        <v>3605</v>
      </c>
      <c r="J968" s="2" t="s">
        <v>394</v>
      </c>
      <c r="K968" s="2" t="s">
        <v>889</v>
      </c>
      <c r="L968" s="3">
        <v>51.36</v>
      </c>
      <c r="M968" s="3">
        <v>53.93</v>
      </c>
      <c r="N968" s="3">
        <v>114.99</v>
      </c>
      <c r="O968" s="2" t="s">
        <v>232</v>
      </c>
      <c r="P968" s="2" t="s">
        <v>878</v>
      </c>
      <c r="Q968" s="2" t="s">
        <v>234</v>
      </c>
      <c r="R968" s="2" t="s">
        <v>235</v>
      </c>
      <c r="S968" s="2" t="s">
        <v>235</v>
      </c>
      <c r="T968" s="2" t="s">
        <v>879</v>
      </c>
      <c r="U968" s="2" t="s">
        <v>278</v>
      </c>
      <c r="V968" s="2" t="s">
        <v>880</v>
      </c>
      <c r="W968" s="2" t="s">
        <v>881</v>
      </c>
      <c r="X968" s="2" t="s">
        <v>986</v>
      </c>
      <c r="Y968" s="2" t="s">
        <v>1187</v>
      </c>
      <c r="Z968" s="4">
        <v>350</v>
      </c>
      <c r="AA968" s="4">
        <f>=ROUNDDOWN(26.9230769230769,0)</f>
      </c>
      <c r="AB968" s="5">
        <v>13</v>
      </c>
      <c r="AC968" s="2" t="s">
        <v>235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235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235</v>
      </c>
      <c r="AW968" s="8" t="s">
        <v>235</v>
      </c>
      <c r="AX968" s="4" t="s">
        <v>235</v>
      </c>
      <c r="AY968" s="8" t="s">
        <v>235</v>
      </c>
      <c r="AZ968" s="7" t="s">
        <v>235</v>
      </c>
      <c r="BA968" s="7" t="s">
        <v>235</v>
      </c>
      <c r="BB968" s="7"/>
      <c r="BC968" s="4" t="s">
        <v>235</v>
      </c>
      <c r="BD968" s="8" t="s">
        <v>235</v>
      </c>
      <c r="BE968" s="4" t="s">
        <v>235</v>
      </c>
      <c r="BF968" s="8" t="s">
        <v>235</v>
      </c>
      <c r="BG968" s="7" t="s">
        <v>235</v>
      </c>
      <c r="BH968" s="7" t="s">
        <v>235</v>
      </c>
      <c r="BI968" s="7"/>
      <c r="BJ968" s="4">
        <v>5</v>
      </c>
      <c r="BK968" s="8">
        <v>298.76</v>
      </c>
      <c r="BL968" s="2" t="s">
        <v>2161</v>
      </c>
      <c r="BM968" s="7"/>
      <c r="BN968" s="7"/>
      <c r="BO968" s="4"/>
      <c r="BP968" s="8"/>
      <c r="BQ968" s="4"/>
      <c r="BR968" s="8"/>
      <c r="BS968" s="7"/>
      <c r="BT968" s="7"/>
      <c r="BU968" s="2" t="s">
        <v>3853</v>
      </c>
      <c r="BV968" s="2" t="s">
        <v>235</v>
      </c>
      <c r="BW968" s="2" t="s">
        <v>235</v>
      </c>
      <c r="BX968" s="2" t="s">
        <v>244</v>
      </c>
      <c r="BY968" s="2" t="s">
        <v>245</v>
      </c>
      <c r="BZ968" s="2" t="s">
        <v>232</v>
      </c>
      <c r="CA968" s="2" t="s">
        <v>235</v>
      </c>
      <c r="CB968" s="2" t="s">
        <v>235</v>
      </c>
      <c r="CC968" s="2" t="s">
        <v>248</v>
      </c>
      <c r="CD968" s="2" t="s">
        <v>248</v>
      </c>
      <c r="CE968" s="2" t="s">
        <v>235</v>
      </c>
      <c r="CF968" s="4">
        <v>290</v>
      </c>
      <c r="CG968" s="4"/>
      <c r="CH968" s="4"/>
      <c r="CI968" s="4">
        <v>60</v>
      </c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>
        <v>351</v>
      </c>
      <c r="GE968" s="4">
        <v>321</v>
      </c>
      <c r="GF968" s="4">
        <v>311</v>
      </c>
      <c r="GG968" s="4">
        <v>300</v>
      </c>
      <c r="GH968" s="4">
        <v>287</v>
      </c>
      <c r="GI968" s="4">
        <v>274</v>
      </c>
      <c r="GJ968" s="4">
        <v>250</v>
      </c>
      <c r="GK968" s="4">
        <v>232</v>
      </c>
      <c r="GL968" s="4">
        <v>215</v>
      </c>
      <c r="GM968" s="4">
        <v>201</v>
      </c>
      <c r="GN968" s="4">
        <v>186</v>
      </c>
      <c r="GO968" s="4">
        <v>167</v>
      </c>
      <c r="GP968" s="4">
        <v>147</v>
      </c>
      <c r="GQ968" s="4">
        <v>111</v>
      </c>
      <c r="GR968" s="4">
        <v>90</v>
      </c>
      <c r="GS968" s="4">
        <v>71</v>
      </c>
      <c r="GT968" s="4">
        <v>59</v>
      </c>
      <c r="GU968" s="4">
        <v>49</v>
      </c>
      <c r="GV968" s="4">
        <v>35</v>
      </c>
      <c r="GW968" s="4">
        <v>196</v>
      </c>
      <c r="GX968" s="4">
        <v>183</v>
      </c>
      <c r="GY968" s="4">
        <v>170</v>
      </c>
      <c r="GZ968" s="4">
        <v>157</v>
      </c>
      <c r="HA968" s="4">
        <v>144</v>
      </c>
      <c r="HB968" s="4">
        <v>131</v>
      </c>
      <c r="HC968" s="4">
        <v>117</v>
      </c>
      <c r="HD968" s="19">
        <v>21.9</v>
      </c>
      <c r="HE968" s="19">
        <v>26.8</v>
      </c>
      <c r="HF968" s="19">
        <v>20.7</v>
      </c>
      <c r="HG968" s="19">
        <v>17.6</v>
      </c>
      <c r="HH968" s="19">
        <v>15.9</v>
      </c>
      <c r="HI968" s="19">
        <v>15.2</v>
      </c>
      <c r="HJ968" s="19">
        <v>15.6</v>
      </c>
      <c r="HK968" s="19">
        <v>14.5</v>
      </c>
      <c r="HL968" s="19">
        <v>12.6</v>
      </c>
      <c r="HM968" s="19">
        <v>9.1</v>
      </c>
      <c r="HN968" s="19">
        <v>7.8</v>
      </c>
      <c r="HO968" s="19">
        <v>7</v>
      </c>
      <c r="HP968" s="19">
        <v>6.7</v>
      </c>
      <c r="HQ968" s="19">
        <v>6.9</v>
      </c>
      <c r="HR968" s="19">
        <v>6.4</v>
      </c>
      <c r="HS968" s="19">
        <v>5.9</v>
      </c>
      <c r="HT968" s="19">
        <v>4.9</v>
      </c>
      <c r="HU968" s="19">
        <v>3.8</v>
      </c>
      <c r="HV968" s="19">
        <v>2.7</v>
      </c>
      <c r="HW968" s="19">
        <v>15.1</v>
      </c>
      <c r="HX968" s="19">
        <v>14.1</v>
      </c>
      <c r="HY968" s="19">
        <v>13.1</v>
      </c>
      <c r="HZ968" s="19">
        <v>12.1</v>
      </c>
      <c r="IA968" s="19">
        <v>11.1</v>
      </c>
      <c r="IB968" s="19">
        <v>10.1</v>
      </c>
      <c r="IC968" s="19">
        <v>9</v>
      </c>
    </row>
    <row r="969">
      <c r="A969" s="2" t="s">
        <v>3854</v>
      </c>
      <c r="B969" s="2" t="s">
        <v>871</v>
      </c>
      <c r="C969" s="2" t="s">
        <v>324</v>
      </c>
      <c r="D969" s="2" t="s">
        <v>361</v>
      </c>
      <c r="E969" s="2" t="s">
        <v>872</v>
      </c>
      <c r="F969" s="2" t="s">
        <v>3850</v>
      </c>
      <c r="G969" s="2" t="s">
        <v>3851</v>
      </c>
      <c r="H969" s="2" t="s">
        <v>3852</v>
      </c>
      <c r="I969" s="2" t="s">
        <v>3605</v>
      </c>
      <c r="J969" s="2" t="s">
        <v>365</v>
      </c>
      <c r="K969" s="2" t="s">
        <v>889</v>
      </c>
      <c r="L969" s="3">
        <v>57.15</v>
      </c>
      <c r="M969" s="3">
        <v>60.01</v>
      </c>
      <c r="N969" s="3">
        <v>129.99</v>
      </c>
      <c r="O969" s="2" t="s">
        <v>232</v>
      </c>
      <c r="P969" s="2" t="s">
        <v>878</v>
      </c>
      <c r="Q969" s="2" t="s">
        <v>234</v>
      </c>
      <c r="R969" s="2" t="s">
        <v>235</v>
      </c>
      <c r="S969" s="2" t="s">
        <v>235</v>
      </c>
      <c r="T969" s="2" t="s">
        <v>879</v>
      </c>
      <c r="U969" s="2" t="s">
        <v>552</v>
      </c>
      <c r="V969" s="2" t="s">
        <v>880</v>
      </c>
      <c r="W969" s="2" t="s">
        <v>881</v>
      </c>
      <c r="X969" s="2" t="s">
        <v>986</v>
      </c>
      <c r="Y969" s="2" t="s">
        <v>1187</v>
      </c>
      <c r="Z969" s="4">
        <v>757</v>
      </c>
      <c r="AA969" s="4">
        <f>=ROUNDDOWN(27.0357142857143,0)</f>
      </c>
      <c r="AB969" s="5">
        <v>28</v>
      </c>
      <c r="AC969" s="2" t="s">
        <v>235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235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235</v>
      </c>
      <c r="AW969" s="8" t="s">
        <v>235</v>
      </c>
      <c r="AX969" s="4" t="s">
        <v>235</v>
      </c>
      <c r="AY969" s="8" t="s">
        <v>235</v>
      </c>
      <c r="AZ969" s="7" t="s">
        <v>235</v>
      </c>
      <c r="BA969" s="7" t="s">
        <v>235</v>
      </c>
      <c r="BB969" s="7"/>
      <c r="BC969" s="4" t="s">
        <v>235</v>
      </c>
      <c r="BD969" s="8" t="s">
        <v>235</v>
      </c>
      <c r="BE969" s="4" t="s">
        <v>235</v>
      </c>
      <c r="BF969" s="8" t="s">
        <v>235</v>
      </c>
      <c r="BG969" s="7" t="s">
        <v>235</v>
      </c>
      <c r="BH969" s="7" t="s">
        <v>235</v>
      </c>
      <c r="BI969" s="7"/>
      <c r="BJ969" s="4">
        <v>9</v>
      </c>
      <c r="BK969" s="8">
        <v>528.08</v>
      </c>
      <c r="BL969" s="2" t="s">
        <v>3855</v>
      </c>
      <c r="BM969" s="7"/>
      <c r="BN969" s="7"/>
      <c r="BO969" s="4"/>
      <c r="BP969" s="8"/>
      <c r="BQ969" s="4"/>
      <c r="BR969" s="8"/>
      <c r="BS969" s="7"/>
      <c r="BT969" s="7"/>
      <c r="BU969" s="2" t="s">
        <v>3853</v>
      </c>
      <c r="BV969" s="2" t="s">
        <v>235</v>
      </c>
      <c r="BW969" s="2" t="s">
        <v>235</v>
      </c>
      <c r="BX969" s="2" t="s">
        <v>244</v>
      </c>
      <c r="BY969" s="2" t="s">
        <v>245</v>
      </c>
      <c r="BZ969" s="2" t="s">
        <v>232</v>
      </c>
      <c r="CA969" s="2" t="s">
        <v>235</v>
      </c>
      <c r="CB969" s="2" t="s">
        <v>235</v>
      </c>
      <c r="CC969" s="2" t="s">
        <v>248</v>
      </c>
      <c r="CD969" s="2" t="s">
        <v>248</v>
      </c>
      <c r="CE969" s="2" t="s">
        <v>235</v>
      </c>
      <c r="CF969" s="4">
        <v>629</v>
      </c>
      <c r="CG969" s="4"/>
      <c r="CH969" s="4"/>
      <c r="CI969" s="4">
        <v>128</v>
      </c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>
        <v>757</v>
      </c>
      <c r="GE969" s="4">
        <v>698</v>
      </c>
      <c r="GF969" s="4">
        <v>675</v>
      </c>
      <c r="GG969" s="4">
        <v>651</v>
      </c>
      <c r="GH969" s="4">
        <v>625</v>
      </c>
      <c r="GI969" s="4">
        <v>597</v>
      </c>
      <c r="GJ969" s="4">
        <v>549</v>
      </c>
      <c r="GK969" s="4">
        <v>513</v>
      </c>
      <c r="GL969" s="4">
        <v>479</v>
      </c>
      <c r="GM969" s="4">
        <v>450</v>
      </c>
      <c r="GN969" s="4">
        <v>420</v>
      </c>
      <c r="GO969" s="4">
        <v>381</v>
      </c>
      <c r="GP969" s="4">
        <v>339</v>
      </c>
      <c r="GQ969" s="4">
        <v>267</v>
      </c>
      <c r="GR969" s="4">
        <v>225</v>
      </c>
      <c r="GS969" s="4">
        <v>187</v>
      </c>
      <c r="GT969" s="4">
        <v>161</v>
      </c>
      <c r="GU969" s="4">
        <v>139</v>
      </c>
      <c r="GV969" s="4">
        <v>108</v>
      </c>
      <c r="GW969" s="4">
        <v>422</v>
      </c>
      <c r="GX969" s="4">
        <v>394</v>
      </c>
      <c r="GY969" s="4">
        <v>366</v>
      </c>
      <c r="GZ969" s="4">
        <v>338</v>
      </c>
      <c r="HA969" s="4">
        <v>310</v>
      </c>
      <c r="HB969" s="4">
        <v>282</v>
      </c>
      <c r="HC969" s="4">
        <v>252</v>
      </c>
      <c r="HD969" s="19">
        <v>22.9</v>
      </c>
      <c r="HE969" s="19">
        <v>27.9</v>
      </c>
      <c r="HF969" s="19">
        <v>21.1</v>
      </c>
      <c r="HG969" s="19">
        <v>19.1</v>
      </c>
      <c r="HH969" s="19">
        <v>17.4</v>
      </c>
      <c r="HI969" s="19">
        <v>16.1</v>
      </c>
      <c r="HJ969" s="19">
        <v>17.2</v>
      </c>
      <c r="HK969" s="19">
        <v>15.5</v>
      </c>
      <c r="HL969" s="19">
        <v>13.7</v>
      </c>
      <c r="HM969" s="19">
        <v>9.8</v>
      </c>
      <c r="HN969" s="19">
        <v>8.6</v>
      </c>
      <c r="HO969" s="19">
        <v>7.9</v>
      </c>
      <c r="HP969" s="19">
        <v>7.7</v>
      </c>
      <c r="HQ969" s="19">
        <v>8.3</v>
      </c>
      <c r="HR969" s="19">
        <v>7.8</v>
      </c>
      <c r="HS969" s="19">
        <v>6.9</v>
      </c>
      <c r="HT969" s="19">
        <v>6</v>
      </c>
      <c r="HU969" s="19">
        <v>4.8</v>
      </c>
      <c r="HV969" s="19">
        <v>3.9</v>
      </c>
      <c r="HW969" s="19">
        <v>15.1</v>
      </c>
      <c r="HX969" s="19">
        <v>14.1</v>
      </c>
      <c r="HY969" s="19">
        <v>13.1</v>
      </c>
      <c r="HZ969" s="19">
        <v>12.1</v>
      </c>
      <c r="IA969" s="19">
        <v>11.1</v>
      </c>
      <c r="IB969" s="19">
        <v>10.1</v>
      </c>
      <c r="IC969" s="19">
        <v>9</v>
      </c>
    </row>
    <row r="970">
      <c r="A970" s="2" t="s">
        <v>3856</v>
      </c>
      <c r="B970" s="2" t="s">
        <v>871</v>
      </c>
      <c r="C970" s="2" t="s">
        <v>324</v>
      </c>
      <c r="D970" s="2" t="s">
        <v>361</v>
      </c>
      <c r="E970" s="2" t="s">
        <v>872</v>
      </c>
      <c r="F970" s="2" t="s">
        <v>3850</v>
      </c>
      <c r="G970" s="2" t="s">
        <v>3851</v>
      </c>
      <c r="H970" s="2" t="s">
        <v>3852</v>
      </c>
      <c r="I970" s="2" t="s">
        <v>3605</v>
      </c>
      <c r="J970" s="2" t="s">
        <v>365</v>
      </c>
      <c r="K970" s="2" t="s">
        <v>309</v>
      </c>
      <c r="L970" s="3">
        <v>57.15</v>
      </c>
      <c r="M970" s="3">
        <v>60.01</v>
      </c>
      <c r="N970" s="3">
        <v>129.99</v>
      </c>
      <c r="O970" s="2" t="s">
        <v>232</v>
      </c>
      <c r="P970" s="2" t="s">
        <v>878</v>
      </c>
      <c r="Q970" s="2" t="s">
        <v>234</v>
      </c>
      <c r="R970" s="2" t="s">
        <v>235</v>
      </c>
      <c r="S970" s="2" t="s">
        <v>235</v>
      </c>
      <c r="T970" s="2" t="s">
        <v>879</v>
      </c>
      <c r="U970" s="2" t="s">
        <v>552</v>
      </c>
      <c r="V970" s="2" t="s">
        <v>880</v>
      </c>
      <c r="W970" s="2" t="s">
        <v>881</v>
      </c>
      <c r="X970" s="2" t="s">
        <v>986</v>
      </c>
      <c r="Y970" s="2" t="s">
        <v>1187</v>
      </c>
      <c r="Z970" s="4">
        <v>671</v>
      </c>
      <c r="AA970" s="4">
        <f>=ROUNDDOWN(26.84,0)</f>
      </c>
      <c r="AB970" s="5">
        <v>25</v>
      </c>
      <c r="AC970" s="2" t="s">
        <v>235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235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235</v>
      </c>
      <c r="AW970" s="8" t="s">
        <v>235</v>
      </c>
      <c r="AX970" s="4" t="s">
        <v>235</v>
      </c>
      <c r="AY970" s="8" t="s">
        <v>235</v>
      </c>
      <c r="AZ970" s="7" t="s">
        <v>235</v>
      </c>
      <c r="BA970" s="7" t="s">
        <v>235</v>
      </c>
      <c r="BB970" s="7"/>
      <c r="BC970" s="4" t="s">
        <v>235</v>
      </c>
      <c r="BD970" s="8" t="s">
        <v>235</v>
      </c>
      <c r="BE970" s="4" t="s">
        <v>235</v>
      </c>
      <c r="BF970" s="8" t="s">
        <v>235</v>
      </c>
      <c r="BG970" s="7" t="s">
        <v>235</v>
      </c>
      <c r="BH970" s="7" t="s">
        <v>235</v>
      </c>
      <c r="BI970" s="7"/>
      <c r="BJ970" s="4">
        <v>7</v>
      </c>
      <c r="BK970" s="8">
        <v>403.26</v>
      </c>
      <c r="BL970" s="2" t="s">
        <v>3857</v>
      </c>
      <c r="BM970" s="7"/>
      <c r="BN970" s="7"/>
      <c r="BO970" s="4"/>
      <c r="BP970" s="8"/>
      <c r="BQ970" s="4"/>
      <c r="BR970" s="8"/>
      <c r="BS970" s="7"/>
      <c r="BT970" s="7"/>
      <c r="BU970" s="2" t="s">
        <v>3853</v>
      </c>
      <c r="BV970" s="2" t="s">
        <v>235</v>
      </c>
      <c r="BW970" s="2" t="s">
        <v>235</v>
      </c>
      <c r="BX970" s="2" t="s">
        <v>244</v>
      </c>
      <c r="BY970" s="2" t="s">
        <v>245</v>
      </c>
      <c r="BZ970" s="2" t="s">
        <v>232</v>
      </c>
      <c r="CA970" s="2" t="s">
        <v>235</v>
      </c>
      <c r="CB970" s="2" t="s">
        <v>235</v>
      </c>
      <c r="CC970" s="2" t="s">
        <v>248</v>
      </c>
      <c r="CD970" s="2" t="s">
        <v>248</v>
      </c>
      <c r="CE970" s="2" t="s">
        <v>235</v>
      </c>
      <c r="CF970" s="4">
        <v>553</v>
      </c>
      <c r="CG970" s="4"/>
      <c r="CH970" s="4"/>
      <c r="CI970" s="4">
        <v>118</v>
      </c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>
        <v>671</v>
      </c>
      <c r="GE970" s="4">
        <v>613</v>
      </c>
      <c r="GF970" s="4">
        <v>592</v>
      </c>
      <c r="GG970" s="4">
        <v>570</v>
      </c>
      <c r="GH970" s="4">
        <v>546</v>
      </c>
      <c r="GI970" s="4">
        <v>520</v>
      </c>
      <c r="GJ970" s="4">
        <v>475</v>
      </c>
      <c r="GK970" s="4">
        <v>442</v>
      </c>
      <c r="GL970" s="4">
        <v>411</v>
      </c>
      <c r="GM970" s="4">
        <v>385</v>
      </c>
      <c r="GN970" s="4">
        <v>359</v>
      </c>
      <c r="GO970" s="4">
        <v>324</v>
      </c>
      <c r="GP970" s="4">
        <v>287</v>
      </c>
      <c r="GQ970" s="4">
        <v>225</v>
      </c>
      <c r="GR970" s="4">
        <v>188</v>
      </c>
      <c r="GS970" s="4">
        <v>154</v>
      </c>
      <c r="GT970" s="4">
        <v>131</v>
      </c>
      <c r="GU970" s="4">
        <v>111</v>
      </c>
      <c r="GV970" s="4">
        <v>83</v>
      </c>
      <c r="GW970" s="4">
        <v>427</v>
      </c>
      <c r="GX970" s="4">
        <v>402</v>
      </c>
      <c r="GY970" s="4">
        <v>377</v>
      </c>
      <c r="GZ970" s="4">
        <v>352</v>
      </c>
      <c r="HA970" s="4">
        <v>327</v>
      </c>
      <c r="HB970" s="4">
        <v>302</v>
      </c>
      <c r="HC970" s="4">
        <v>275</v>
      </c>
      <c r="HD970" s="19">
        <v>21.6</v>
      </c>
      <c r="HE970" s="19">
        <v>26.7</v>
      </c>
      <c r="HF970" s="19">
        <v>20.4</v>
      </c>
      <c r="HG970" s="19">
        <v>17.8</v>
      </c>
      <c r="HH970" s="19">
        <v>16.1</v>
      </c>
      <c r="HI970" s="19">
        <v>15.3</v>
      </c>
      <c r="HJ970" s="19">
        <v>16.4</v>
      </c>
      <c r="HK970" s="19">
        <v>14.7</v>
      </c>
      <c r="HL970" s="19">
        <v>13.3</v>
      </c>
      <c r="HM970" s="19">
        <v>9.6</v>
      </c>
      <c r="HN970" s="19">
        <v>8.3</v>
      </c>
      <c r="HO970" s="19">
        <v>7.7</v>
      </c>
      <c r="HP970" s="19">
        <v>7.4</v>
      </c>
      <c r="HQ970" s="19">
        <v>8</v>
      </c>
      <c r="HR970" s="19">
        <v>7.2</v>
      </c>
      <c r="HS970" s="19">
        <v>6.4</v>
      </c>
      <c r="HT970" s="19">
        <v>5.5</v>
      </c>
      <c r="HU970" s="19">
        <v>4.3</v>
      </c>
      <c r="HV970" s="19">
        <v>3.3</v>
      </c>
      <c r="HW970" s="19">
        <v>17.1</v>
      </c>
      <c r="HX970" s="19">
        <v>16.1</v>
      </c>
      <c r="HY970" s="19">
        <v>14.5</v>
      </c>
      <c r="HZ970" s="19">
        <v>13.5</v>
      </c>
      <c r="IA970" s="19">
        <v>12.6</v>
      </c>
      <c r="IB970" s="19">
        <v>11.6</v>
      </c>
      <c r="IC970" s="19">
        <v>11</v>
      </c>
    </row>
    <row r="971">
      <c r="A971" s="2" t="s">
        <v>3858</v>
      </c>
      <c r="B971" s="2" t="s">
        <v>871</v>
      </c>
      <c r="C971" s="2" t="s">
        <v>324</v>
      </c>
      <c r="D971" s="2" t="s">
        <v>361</v>
      </c>
      <c r="E971" s="2" t="s">
        <v>872</v>
      </c>
      <c r="F971" s="2" t="s">
        <v>3850</v>
      </c>
      <c r="G971" s="2" t="s">
        <v>3851</v>
      </c>
      <c r="H971" s="2" t="s">
        <v>3852</v>
      </c>
      <c r="I971" s="2" t="s">
        <v>3605</v>
      </c>
      <c r="J971" s="2" t="s">
        <v>270</v>
      </c>
      <c r="K971" s="2" t="s">
        <v>309</v>
      </c>
      <c r="L971" s="3">
        <v>62.74</v>
      </c>
      <c r="M971" s="3">
        <v>65.88</v>
      </c>
      <c r="N971" s="3">
        <v>139.99</v>
      </c>
      <c r="O971" s="2" t="s">
        <v>232</v>
      </c>
      <c r="P971" s="2" t="s">
        <v>878</v>
      </c>
      <c r="Q971" s="2" t="s">
        <v>234</v>
      </c>
      <c r="R971" s="2" t="s">
        <v>235</v>
      </c>
      <c r="S971" s="2" t="s">
        <v>235</v>
      </c>
      <c r="T971" s="2" t="s">
        <v>879</v>
      </c>
      <c r="U971" s="2" t="s">
        <v>552</v>
      </c>
      <c r="V971" s="2" t="s">
        <v>880</v>
      </c>
      <c r="W971" s="2" t="s">
        <v>881</v>
      </c>
      <c r="X971" s="2" t="s">
        <v>986</v>
      </c>
      <c r="Y971" s="2" t="s">
        <v>1187</v>
      </c>
      <c r="Z971" s="4">
        <v>539</v>
      </c>
      <c r="AA971" s="4">
        <f>=ROUNDDOWN(26.95,0)</f>
      </c>
      <c r="AB971" s="5">
        <v>20</v>
      </c>
      <c r="AC971" s="2" t="s">
        <v>235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235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235</v>
      </c>
      <c r="AW971" s="8" t="s">
        <v>235</v>
      </c>
      <c r="AX971" s="4" t="s">
        <v>235</v>
      </c>
      <c r="AY971" s="8" t="s">
        <v>235</v>
      </c>
      <c r="AZ971" s="7" t="s">
        <v>235</v>
      </c>
      <c r="BA971" s="7" t="s">
        <v>235</v>
      </c>
      <c r="BB971" s="7"/>
      <c r="BC971" s="4" t="s">
        <v>235</v>
      </c>
      <c r="BD971" s="8" t="s">
        <v>235</v>
      </c>
      <c r="BE971" s="4" t="s">
        <v>235</v>
      </c>
      <c r="BF971" s="8" t="s">
        <v>235</v>
      </c>
      <c r="BG971" s="7" t="s">
        <v>235</v>
      </c>
      <c r="BH971" s="7" t="s">
        <v>235</v>
      </c>
      <c r="BI971" s="7"/>
      <c r="BJ971" s="4">
        <v>12</v>
      </c>
      <c r="BK971" s="8">
        <v>806.32</v>
      </c>
      <c r="BL971" s="2" t="s">
        <v>3855</v>
      </c>
      <c r="BM971" s="7"/>
      <c r="BN971" s="7"/>
      <c r="BO971" s="4"/>
      <c r="BP971" s="8"/>
      <c r="BQ971" s="4"/>
      <c r="BR971" s="8"/>
      <c r="BS971" s="7"/>
      <c r="BT971" s="7"/>
      <c r="BU971" s="2" t="s">
        <v>3853</v>
      </c>
      <c r="BV971" s="2" t="s">
        <v>235</v>
      </c>
      <c r="BW971" s="2" t="s">
        <v>235</v>
      </c>
      <c r="BX971" s="2" t="s">
        <v>244</v>
      </c>
      <c r="BY971" s="2" t="s">
        <v>245</v>
      </c>
      <c r="BZ971" s="2" t="s">
        <v>232</v>
      </c>
      <c r="CA971" s="2" t="s">
        <v>235</v>
      </c>
      <c r="CB971" s="2" t="s">
        <v>235</v>
      </c>
      <c r="CC971" s="2" t="s">
        <v>248</v>
      </c>
      <c r="CD971" s="2" t="s">
        <v>248</v>
      </c>
      <c r="CE971" s="2" t="s">
        <v>235</v>
      </c>
      <c r="CF971" s="4">
        <v>443</v>
      </c>
      <c r="CG971" s="4"/>
      <c r="CH971" s="4"/>
      <c r="CI971" s="4">
        <v>96</v>
      </c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>
        <v>540</v>
      </c>
      <c r="GE971" s="4">
        <v>486</v>
      </c>
      <c r="GF971" s="4">
        <v>469</v>
      </c>
      <c r="GG971" s="4">
        <v>452</v>
      </c>
      <c r="GH971" s="4">
        <v>432</v>
      </c>
      <c r="GI971" s="4">
        <v>411</v>
      </c>
      <c r="GJ971" s="4">
        <v>375</v>
      </c>
      <c r="GK971" s="4">
        <v>349</v>
      </c>
      <c r="GL971" s="4">
        <v>324</v>
      </c>
      <c r="GM971" s="4">
        <v>304</v>
      </c>
      <c r="GN971" s="4">
        <v>283</v>
      </c>
      <c r="GO971" s="4">
        <v>255</v>
      </c>
      <c r="GP971" s="4">
        <v>226</v>
      </c>
      <c r="GQ971" s="4">
        <v>177</v>
      </c>
      <c r="GR971" s="4">
        <v>148</v>
      </c>
      <c r="GS971" s="4">
        <v>121</v>
      </c>
      <c r="GT971" s="4">
        <v>102</v>
      </c>
      <c r="GU971" s="4">
        <v>86</v>
      </c>
      <c r="GV971" s="4">
        <v>64</v>
      </c>
      <c r="GW971" s="4">
        <v>341</v>
      </c>
      <c r="GX971" s="4">
        <v>321</v>
      </c>
      <c r="GY971" s="4">
        <v>301</v>
      </c>
      <c r="GZ971" s="4">
        <v>281</v>
      </c>
      <c r="HA971" s="4">
        <v>261</v>
      </c>
      <c r="HB971" s="4">
        <v>241</v>
      </c>
      <c r="HC971" s="4">
        <v>220</v>
      </c>
      <c r="HD971" s="19">
        <v>20</v>
      </c>
      <c r="HE971" s="19">
        <v>25.6</v>
      </c>
      <c r="HF971" s="19">
        <v>19.5</v>
      </c>
      <c r="HG971" s="19">
        <v>17.4</v>
      </c>
      <c r="HH971" s="19">
        <v>16</v>
      </c>
      <c r="HI971" s="19">
        <v>15.2</v>
      </c>
      <c r="HJ971" s="19">
        <v>16.3</v>
      </c>
      <c r="HK971" s="19">
        <v>14.5</v>
      </c>
      <c r="HL971" s="19">
        <v>13.5</v>
      </c>
      <c r="HM971" s="19">
        <v>9.5</v>
      </c>
      <c r="HN971" s="19">
        <v>8.3</v>
      </c>
      <c r="HO971" s="19">
        <v>7.5</v>
      </c>
      <c r="HP971" s="19">
        <v>7.3</v>
      </c>
      <c r="HQ971" s="19">
        <v>7.7</v>
      </c>
      <c r="HR971" s="19">
        <v>7</v>
      </c>
      <c r="HS971" s="19">
        <v>6.4</v>
      </c>
      <c r="HT971" s="19">
        <v>5.1</v>
      </c>
      <c r="HU971" s="19">
        <v>4.3</v>
      </c>
      <c r="HV971" s="19">
        <v>3.2</v>
      </c>
      <c r="HW971" s="19">
        <v>17.1</v>
      </c>
      <c r="HX971" s="19">
        <v>16.1</v>
      </c>
      <c r="HY971" s="19">
        <v>15.1</v>
      </c>
      <c r="HZ971" s="19">
        <v>14.1</v>
      </c>
      <c r="IA971" s="19">
        <v>13.1</v>
      </c>
      <c r="IB971" s="19">
        <v>12.1</v>
      </c>
      <c r="IC971" s="19">
        <v>11</v>
      </c>
    </row>
    <row r="972">
      <c r="A972" s="2" t="s">
        <v>3859</v>
      </c>
      <c r="B972" s="2" t="s">
        <v>871</v>
      </c>
      <c r="C972" s="2" t="s">
        <v>893</v>
      </c>
      <c r="D972" s="2" t="s">
        <v>906</v>
      </c>
      <c r="E972" s="2" t="s">
        <v>907</v>
      </c>
      <c r="F972" s="2" t="s">
        <v>3860</v>
      </c>
      <c r="G972" s="2" t="s">
        <v>3860</v>
      </c>
      <c r="H972" s="2" t="s">
        <v>3860</v>
      </c>
      <c r="I972" s="2" t="s">
        <v>3861</v>
      </c>
      <c r="J972" s="2" t="s">
        <v>365</v>
      </c>
      <c r="K972" s="2" t="s">
        <v>506</v>
      </c>
      <c r="L972" s="3">
        <v>56.38</v>
      </c>
      <c r="M972" s="3">
        <v>59.2</v>
      </c>
      <c r="N972" s="3">
        <v>114.99</v>
      </c>
      <c r="O972" s="2" t="s">
        <v>232</v>
      </c>
      <c r="P972" s="2" t="s">
        <v>1282</v>
      </c>
      <c r="Q972" s="2" t="s">
        <v>234</v>
      </c>
      <c r="R972" s="2" t="s">
        <v>235</v>
      </c>
      <c r="S972" s="2" t="s">
        <v>3862</v>
      </c>
      <c r="T972" s="2" t="s">
        <v>1298</v>
      </c>
      <c r="U972" s="2" t="s">
        <v>552</v>
      </c>
      <c r="V972" s="2" t="s">
        <v>863</v>
      </c>
      <c r="W972" s="2" t="s">
        <v>682</v>
      </c>
      <c r="X972" s="2" t="s">
        <v>239</v>
      </c>
      <c r="Y972" s="2" t="s">
        <v>3123</v>
      </c>
      <c r="Z972" s="4">
        <v>278</v>
      </c>
      <c r="AA972" s="4">
        <f>=ROUNDDOWN(92.6666666666667,0)</f>
      </c>
      <c r="AB972" s="5">
        <v>3</v>
      </c>
      <c r="AC972" s="2" t="s">
        <v>235</v>
      </c>
      <c r="AD972" s="4"/>
      <c r="AE972" s="4"/>
      <c r="AF972" s="6">
        <v>67</v>
      </c>
      <c r="AG972" s="6"/>
      <c r="AH972" s="7">
        <v>1</v>
      </c>
      <c r="AI972" s="4"/>
      <c r="AJ972" s="4">
        <f>=ROUNDDOWN({0},0)</f>
      </c>
      <c r="AK972" s="5"/>
      <c r="AL972" s="2" t="s">
        <v>235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>
        <v>8</v>
      </c>
      <c r="BK972" s="8">
        <v>578.44</v>
      </c>
      <c r="BL972" s="2" t="s">
        <v>3863</v>
      </c>
      <c r="BM972" s="7"/>
      <c r="BN972" s="7"/>
      <c r="BO972" s="4"/>
      <c r="BP972" s="8"/>
      <c r="BQ972" s="4"/>
      <c r="BR972" s="8"/>
      <c r="BS972" s="7"/>
      <c r="BT972" s="7"/>
      <c r="BU972" s="2" t="s">
        <v>3864</v>
      </c>
      <c r="BV972" s="2" t="s">
        <v>243</v>
      </c>
      <c r="BW972" s="2" t="s">
        <v>235</v>
      </c>
      <c r="BX972" s="2" t="s">
        <v>244</v>
      </c>
      <c r="BY972" s="2" t="s">
        <v>245</v>
      </c>
      <c r="BZ972" s="2" t="s">
        <v>232</v>
      </c>
      <c r="CA972" s="2" t="s">
        <v>3865</v>
      </c>
      <c r="CB972" s="2" t="s">
        <v>3866</v>
      </c>
      <c r="CC972" s="2" t="s">
        <v>248</v>
      </c>
      <c r="CD972" s="2" t="s">
        <v>248</v>
      </c>
      <c r="CE972" s="2" t="s">
        <v>235</v>
      </c>
      <c r="CF972" s="4">
        <v>188</v>
      </c>
      <c r="CG972" s="4"/>
      <c r="CH972" s="4"/>
      <c r="CI972" s="4">
        <v>90</v>
      </c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>
        <v>278</v>
      </c>
      <c r="GE972" s="4">
        <v>276</v>
      </c>
      <c r="GF972" s="4">
        <v>274</v>
      </c>
      <c r="GG972" s="4">
        <v>272</v>
      </c>
      <c r="GH972" s="4">
        <v>270</v>
      </c>
      <c r="GI972" s="4">
        <v>266</v>
      </c>
      <c r="GJ972" s="4">
        <v>261</v>
      </c>
      <c r="GK972" s="4">
        <v>258</v>
      </c>
      <c r="GL972" s="4">
        <v>255</v>
      </c>
      <c r="GM972" s="4">
        <v>252</v>
      </c>
      <c r="GN972" s="4">
        <v>249</v>
      </c>
      <c r="GO972" s="4">
        <v>245</v>
      </c>
      <c r="GP972" s="4">
        <v>241</v>
      </c>
      <c r="GQ972" s="4">
        <v>234</v>
      </c>
      <c r="GR972" s="4">
        <v>230</v>
      </c>
      <c r="GS972" s="4">
        <v>226</v>
      </c>
      <c r="GT972" s="4">
        <v>223</v>
      </c>
      <c r="GU972" s="4">
        <v>221</v>
      </c>
      <c r="GV972" s="4">
        <v>218</v>
      </c>
      <c r="GW972" s="4">
        <v>215</v>
      </c>
      <c r="GX972" s="4">
        <v>212</v>
      </c>
      <c r="GY972" s="4">
        <v>209</v>
      </c>
      <c r="GZ972" s="4">
        <v>206</v>
      </c>
      <c r="HA972" s="4">
        <v>203</v>
      </c>
      <c r="HB972" s="4">
        <v>200</v>
      </c>
      <c r="HC972" s="4">
        <v>197</v>
      </c>
      <c r="HD972" s="19">
        <v>139</v>
      </c>
      <c r="HE972" s="19">
        <v>138</v>
      </c>
      <c r="HF972" s="19">
        <v>91.3</v>
      </c>
      <c r="HG972" s="19">
        <v>68</v>
      </c>
      <c r="HH972" s="19">
        <v>67.5</v>
      </c>
      <c r="HI972" s="19">
        <v>66.5</v>
      </c>
      <c r="HJ972" s="19">
        <v>87</v>
      </c>
      <c r="HK972" s="19">
        <v>86</v>
      </c>
      <c r="HL972" s="19">
        <v>63.8</v>
      </c>
      <c r="HM972" s="19">
        <v>63</v>
      </c>
      <c r="HN972" s="19">
        <v>49.8</v>
      </c>
      <c r="HO972" s="19">
        <v>49</v>
      </c>
      <c r="HP972" s="19">
        <v>60.3</v>
      </c>
      <c r="HQ972" s="19">
        <v>78</v>
      </c>
      <c r="HR972" s="19">
        <v>76.7</v>
      </c>
      <c r="HS972" s="19">
        <v>75.3</v>
      </c>
      <c r="HT972" s="19">
        <v>74.3</v>
      </c>
      <c r="HU972" s="19">
        <v>73.7</v>
      </c>
      <c r="HV972" s="19">
        <v>72.7</v>
      </c>
      <c r="HW972" s="19">
        <v>71.7</v>
      </c>
      <c r="HX972" s="19">
        <v>70.7</v>
      </c>
      <c r="HY972" s="19">
        <v>69.7</v>
      </c>
      <c r="HZ972" s="19">
        <v>68.7</v>
      </c>
      <c r="IA972" s="19">
        <v>67.7</v>
      </c>
      <c r="IB972" s="19">
        <v>66.7</v>
      </c>
      <c r="IC972" s="19">
        <v>65.7</v>
      </c>
    </row>
    <row r="973">
      <c r="A973" s="2" t="s">
        <v>3867</v>
      </c>
      <c r="B973" s="2" t="s">
        <v>905</v>
      </c>
      <c r="C973" s="2" t="s">
        <v>324</v>
      </c>
      <c r="D973" s="2" t="s">
        <v>990</v>
      </c>
      <c r="E973" s="2" t="s">
        <v>991</v>
      </c>
      <c r="F973" s="2" t="s">
        <v>3868</v>
      </c>
      <c r="G973" s="2" t="s">
        <v>3869</v>
      </c>
      <c r="H973" s="2" t="s">
        <v>235</v>
      </c>
      <c r="I973" s="2" t="s">
        <v>3870</v>
      </c>
      <c r="J973" s="2" t="s">
        <v>3871</v>
      </c>
      <c r="K973" s="2" t="s">
        <v>292</v>
      </c>
      <c r="L973" s="3">
        <v>17.33</v>
      </c>
      <c r="M973" s="3">
        <v>18.2</v>
      </c>
      <c r="N973" s="3">
        <v>39.99</v>
      </c>
      <c r="O973" s="2" t="s">
        <v>232</v>
      </c>
      <c r="P973" s="2" t="s">
        <v>233</v>
      </c>
      <c r="Q973" s="2" t="s">
        <v>234</v>
      </c>
      <c r="R973" s="2" t="s">
        <v>235</v>
      </c>
      <c r="S973" s="2" t="s">
        <v>3872</v>
      </c>
      <c r="T973" s="2" t="s">
        <v>2295</v>
      </c>
      <c r="U973" s="2" t="s">
        <v>235</v>
      </c>
      <c r="V973" s="2" t="s">
        <v>863</v>
      </c>
      <c r="W973" s="2" t="s">
        <v>671</v>
      </c>
      <c r="X973" s="2" t="s">
        <v>235</v>
      </c>
      <c r="Y973" s="2" t="s">
        <v>1341</v>
      </c>
      <c r="Z973" s="4">
        <v>709</v>
      </c>
      <c r="AA973" s="4">
        <f>=ROUNDDOWN(295.416666666667,0)</f>
      </c>
      <c r="AB973" s="5">
        <v>2.4</v>
      </c>
      <c r="AC973" s="2" t="s">
        <v>186</v>
      </c>
      <c r="AD973" s="4">
        <v>720</v>
      </c>
      <c r="AE973" s="4">
        <v>720</v>
      </c>
      <c r="AF973" s="6">
        <v>64</v>
      </c>
      <c r="AG973" s="6">
        <v>47</v>
      </c>
      <c r="AH973" s="7">
        <v>1</v>
      </c>
      <c r="AI973" s="4"/>
      <c r="AJ973" s="4">
        <f>=ROUNDDOWN({0},0)</f>
      </c>
      <c r="AK973" s="5"/>
      <c r="AL973" s="2" t="s">
        <v>235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 t="s">
        <v>235</v>
      </c>
      <c r="BD973" s="8" t="s">
        <v>235</v>
      </c>
      <c r="BE973" s="4" t="s">
        <v>235</v>
      </c>
      <c r="BF973" s="8" t="s">
        <v>235</v>
      </c>
      <c r="BG973" s="7" t="s">
        <v>235</v>
      </c>
      <c r="BH973" s="7" t="s">
        <v>235</v>
      </c>
      <c r="BI973" s="7"/>
      <c r="BJ973" s="4">
        <v>10</v>
      </c>
      <c r="BK973" s="8">
        <v>179.01</v>
      </c>
      <c r="BL973" s="2" t="s">
        <v>2757</v>
      </c>
      <c r="BM973" s="7"/>
      <c r="BN973" s="7"/>
      <c r="BO973" s="4"/>
      <c r="BP973" s="8"/>
      <c r="BQ973" s="4"/>
      <c r="BR973" s="8"/>
      <c r="BS973" s="7"/>
      <c r="BT973" s="7"/>
      <c r="BU973" s="2" t="s">
        <v>3873</v>
      </c>
      <c r="BV973" s="2" t="s">
        <v>243</v>
      </c>
      <c r="BW973" s="2" t="s">
        <v>235</v>
      </c>
      <c r="BX973" s="2" t="s">
        <v>244</v>
      </c>
      <c r="BY973" s="2" t="s">
        <v>245</v>
      </c>
      <c r="BZ973" s="2" t="s">
        <v>232</v>
      </c>
      <c r="CA973" s="2" t="s">
        <v>3874</v>
      </c>
      <c r="CB973" s="2" t="s">
        <v>1066</v>
      </c>
      <c r="CC973" s="2" t="s">
        <v>248</v>
      </c>
      <c r="CD973" s="2" t="s">
        <v>248</v>
      </c>
      <c r="CE973" s="2" t="s">
        <v>235</v>
      </c>
      <c r="CF973" s="4"/>
      <c r="CG973" s="4"/>
      <c r="CH973" s="4"/>
      <c r="CI973" s="4">
        <v>709</v>
      </c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>
        <v>720</v>
      </c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>
        <v>710</v>
      </c>
      <c r="GE973" s="4">
        <v>705</v>
      </c>
      <c r="GF973" s="4">
        <v>701</v>
      </c>
      <c r="GG973" s="4">
        <v>697</v>
      </c>
      <c r="GH973" s="4">
        <v>693</v>
      </c>
      <c r="GI973" s="4">
        <v>678</v>
      </c>
      <c r="GJ973" s="4">
        <v>667</v>
      </c>
      <c r="GK973" s="4">
        <v>637</v>
      </c>
      <c r="GL973" s="4">
        <v>606</v>
      </c>
      <c r="GM973" s="4">
        <v>587</v>
      </c>
      <c r="GN973" s="4">
        <v>532</v>
      </c>
      <c r="GO973" s="4">
        <v>1077</v>
      </c>
      <c r="GP973" s="4">
        <v>853</v>
      </c>
      <c r="GQ973" s="4">
        <v>776</v>
      </c>
      <c r="GR973" s="4">
        <v>573</v>
      </c>
      <c r="GS973" s="4">
        <v>451</v>
      </c>
      <c r="GT973" s="4">
        <v>311</v>
      </c>
      <c r="GU973" s="4">
        <v>206</v>
      </c>
      <c r="GV973" s="4">
        <v>178</v>
      </c>
      <c r="GW973" s="4">
        <v>153</v>
      </c>
      <c r="GX973" s="4">
        <v>128</v>
      </c>
      <c r="GY973" s="4">
        <v>103</v>
      </c>
      <c r="GZ973" s="4">
        <v>96</v>
      </c>
      <c r="HA973" s="4">
        <v>89</v>
      </c>
      <c r="HB973" s="4">
        <v>82</v>
      </c>
      <c r="HC973" s="4">
        <v>74</v>
      </c>
      <c r="HD973" s="19">
        <v>88.8</v>
      </c>
      <c r="HE973" s="19">
        <v>50.4</v>
      </c>
      <c r="HF973" s="19">
        <v>43.8</v>
      </c>
      <c r="HG973" s="19">
        <v>23.3</v>
      </c>
      <c r="HH973" s="19">
        <v>15.8</v>
      </c>
      <c r="HI973" s="19">
        <v>14.8</v>
      </c>
      <c r="HJ973" s="19">
        <v>9.8</v>
      </c>
      <c r="HK973" s="19">
        <v>4.6</v>
      </c>
      <c r="HL973" s="19">
        <v>3.9</v>
      </c>
      <c r="HM973" s="19">
        <v>3.7</v>
      </c>
      <c r="HN973" s="19">
        <v>3.4</v>
      </c>
      <c r="HO973" s="19">
        <v>7.2</v>
      </c>
      <c r="HP973" s="19">
        <v>6.7</v>
      </c>
      <c r="HQ973" s="19">
        <v>5.8</v>
      </c>
      <c r="HR973" s="19">
        <v>6.4</v>
      </c>
      <c r="HS973" s="19">
        <v>6.9</v>
      </c>
      <c r="HT973" s="19">
        <v>7.9</v>
      </c>
      <c r="HU973" s="19">
        <v>10.4</v>
      </c>
      <c r="HV973" s="19">
        <v>10</v>
      </c>
      <c r="HW973" s="19">
        <v>10</v>
      </c>
      <c r="HX973" s="19">
        <v>11.4</v>
      </c>
      <c r="HY973" s="19">
        <v>5.7</v>
      </c>
      <c r="HZ973" s="19">
        <v>5.2</v>
      </c>
      <c r="IA973" s="19">
        <v>5.4</v>
      </c>
      <c r="IB973" s="19">
        <v>5.8</v>
      </c>
      <c r="IC973" s="19">
        <v>8.4</v>
      </c>
    </row>
    <row r="974">
      <c r="A974" s="2" t="s">
        <v>3875</v>
      </c>
      <c r="B974" s="2" t="s">
        <v>905</v>
      </c>
      <c r="C974" s="2" t="s">
        <v>324</v>
      </c>
      <c r="D974" s="2" t="s">
        <v>990</v>
      </c>
      <c r="E974" s="2" t="s">
        <v>991</v>
      </c>
      <c r="F974" s="2" t="s">
        <v>3868</v>
      </c>
      <c r="G974" s="2" t="s">
        <v>3869</v>
      </c>
      <c r="H974" s="2" t="s">
        <v>235</v>
      </c>
      <c r="I974" s="2" t="s">
        <v>3870</v>
      </c>
      <c r="J974" s="2" t="s">
        <v>3871</v>
      </c>
      <c r="K974" s="2" t="s">
        <v>2718</v>
      </c>
      <c r="L974" s="3">
        <v>17.33</v>
      </c>
      <c r="M974" s="3">
        <v>18.2</v>
      </c>
      <c r="N974" s="3">
        <v>39.99</v>
      </c>
      <c r="O974" s="2" t="s">
        <v>232</v>
      </c>
      <c r="P974" s="2" t="s">
        <v>233</v>
      </c>
      <c r="Q974" s="2" t="s">
        <v>234</v>
      </c>
      <c r="R974" s="2" t="s">
        <v>235</v>
      </c>
      <c r="S974" s="2" t="s">
        <v>3876</v>
      </c>
      <c r="T974" s="2" t="s">
        <v>2295</v>
      </c>
      <c r="U974" s="2" t="s">
        <v>235</v>
      </c>
      <c r="V974" s="2" t="s">
        <v>1472</v>
      </c>
      <c r="W974" s="2" t="s">
        <v>671</v>
      </c>
      <c r="X974" s="2" t="s">
        <v>235</v>
      </c>
      <c r="Y974" s="2" t="s">
        <v>1341</v>
      </c>
      <c r="Z974" s="4">
        <v>639</v>
      </c>
      <c r="AA974" s="4">
        <f>=ROUNDDOWN(152.142857142857,0)</f>
      </c>
      <c r="AB974" s="5">
        <v>4.2</v>
      </c>
      <c r="AC974" s="2" t="s">
        <v>186</v>
      </c>
      <c r="AD974" s="4">
        <v>1600</v>
      </c>
      <c r="AE974" s="4">
        <v>1600</v>
      </c>
      <c r="AF974" s="6">
        <v>64</v>
      </c>
      <c r="AG974" s="6">
        <v>47</v>
      </c>
      <c r="AH974" s="7">
        <v>1</v>
      </c>
      <c r="AI974" s="4"/>
      <c r="AJ974" s="4">
        <f>=ROUNDDOWN({0},0)</f>
      </c>
      <c r="AK974" s="5"/>
      <c r="AL974" s="2" t="s">
        <v>235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 t="s">
        <v>235</v>
      </c>
      <c r="BD974" s="8" t="s">
        <v>235</v>
      </c>
      <c r="BE974" s="4" t="s">
        <v>235</v>
      </c>
      <c r="BF974" s="8" t="s">
        <v>235</v>
      </c>
      <c r="BG974" s="7" t="s">
        <v>235</v>
      </c>
      <c r="BH974" s="7" t="s">
        <v>235</v>
      </c>
      <c r="BI974" s="7"/>
      <c r="BJ974" s="4">
        <v>23</v>
      </c>
      <c r="BK974" s="8">
        <v>413.02</v>
      </c>
      <c r="BL974" s="2" t="s">
        <v>3877</v>
      </c>
      <c r="BM974" s="7"/>
      <c r="BN974" s="7"/>
      <c r="BO974" s="4"/>
      <c r="BP974" s="8"/>
      <c r="BQ974" s="4"/>
      <c r="BR974" s="8"/>
      <c r="BS974" s="7"/>
      <c r="BT974" s="7"/>
      <c r="BU974" s="2" t="s">
        <v>3873</v>
      </c>
      <c r="BV974" s="2" t="s">
        <v>243</v>
      </c>
      <c r="BW974" s="2" t="s">
        <v>235</v>
      </c>
      <c r="BX974" s="2" t="s">
        <v>244</v>
      </c>
      <c r="BY974" s="2" t="s">
        <v>245</v>
      </c>
      <c r="BZ974" s="2" t="s">
        <v>232</v>
      </c>
      <c r="CA974" s="2" t="s">
        <v>3874</v>
      </c>
      <c r="CB974" s="2" t="s">
        <v>1014</v>
      </c>
      <c r="CC974" s="2" t="s">
        <v>248</v>
      </c>
      <c r="CD974" s="2" t="s">
        <v>248</v>
      </c>
      <c r="CE974" s="2" t="s">
        <v>235</v>
      </c>
      <c r="CF974" s="4">
        <v>545</v>
      </c>
      <c r="CG974" s="4"/>
      <c r="CH974" s="4"/>
      <c r="CI974" s="4">
        <v>94</v>
      </c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>
        <v>1600</v>
      </c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>
        <v>999</v>
      </c>
      <c r="GE974" s="4">
        <v>990</v>
      </c>
      <c r="GF974" s="4">
        <v>981</v>
      </c>
      <c r="GG974" s="4">
        <v>972</v>
      </c>
      <c r="GH974" s="4">
        <v>963</v>
      </c>
      <c r="GI974" s="4">
        <v>934</v>
      </c>
      <c r="GJ974" s="4">
        <v>912</v>
      </c>
      <c r="GK974" s="4">
        <v>852</v>
      </c>
      <c r="GL974" s="4">
        <v>790</v>
      </c>
      <c r="GM974" s="4">
        <v>753</v>
      </c>
      <c r="GN974" s="4">
        <v>644</v>
      </c>
      <c r="GO974" s="4">
        <v>1903</v>
      </c>
      <c r="GP974" s="4">
        <v>1519</v>
      </c>
      <c r="GQ974" s="4">
        <v>1388</v>
      </c>
      <c r="GR974" s="4">
        <v>1041</v>
      </c>
      <c r="GS974" s="4">
        <v>833</v>
      </c>
      <c r="GT974" s="4">
        <v>594</v>
      </c>
      <c r="GU974" s="4">
        <v>414</v>
      </c>
      <c r="GV974" s="4">
        <v>367</v>
      </c>
      <c r="GW974" s="4">
        <v>325</v>
      </c>
      <c r="GX974" s="4">
        <v>283</v>
      </c>
      <c r="GY974" s="4">
        <v>241</v>
      </c>
      <c r="GZ974" s="4">
        <v>226</v>
      </c>
      <c r="HA974" s="4">
        <v>211</v>
      </c>
      <c r="HB974" s="4">
        <v>196</v>
      </c>
      <c r="HC974" s="4">
        <v>180</v>
      </c>
      <c r="HD974" s="19">
        <v>152.5</v>
      </c>
      <c r="HE974" s="19">
        <v>99.8</v>
      </c>
      <c r="HF974" s="19">
        <v>94</v>
      </c>
      <c r="HG974" s="19">
        <v>55.3</v>
      </c>
      <c r="HH974" s="19">
        <v>39.1</v>
      </c>
      <c r="HI974" s="19">
        <v>34.1</v>
      </c>
      <c r="HJ974" s="19">
        <v>24.1</v>
      </c>
      <c r="HK974" s="19">
        <v>8.9</v>
      </c>
      <c r="HL974" s="19">
        <v>5.8</v>
      </c>
      <c r="HM974" s="19">
        <v>5.2</v>
      </c>
      <c r="HN974" s="19">
        <v>3.9</v>
      </c>
      <c r="HO974" s="19">
        <v>7</v>
      </c>
      <c r="HP974" s="19">
        <v>6.4</v>
      </c>
      <c r="HQ974" s="19">
        <v>5.6</v>
      </c>
      <c r="HR974" s="19">
        <v>6</v>
      </c>
      <c r="HS974" s="19">
        <v>6.3</v>
      </c>
      <c r="HT974" s="19">
        <v>7.2</v>
      </c>
      <c r="HU974" s="19">
        <v>8.9</v>
      </c>
      <c r="HV974" s="19">
        <v>9.4</v>
      </c>
      <c r="HW974" s="19">
        <v>9.5</v>
      </c>
      <c r="HX974" s="19">
        <v>10.6</v>
      </c>
      <c r="HY974" s="19">
        <v>13</v>
      </c>
      <c r="HZ974" s="19">
        <v>12</v>
      </c>
      <c r="IA974" s="19">
        <v>13.7</v>
      </c>
      <c r="IB974" s="19">
        <v>16.3</v>
      </c>
      <c r="IC974" s="19">
        <v>19.4</v>
      </c>
    </row>
    <row r="975">
      <c r="A975" s="2" t="s">
        <v>3878</v>
      </c>
      <c r="B975" s="2" t="s">
        <v>1071</v>
      </c>
      <c r="C975" s="2" t="s">
        <v>1085</v>
      </c>
      <c r="D975" s="2" t="s">
        <v>1818</v>
      </c>
      <c r="E975" s="2" t="s">
        <v>1819</v>
      </c>
      <c r="F975" s="2" t="s">
        <v>3879</v>
      </c>
      <c r="G975" s="2" t="s">
        <v>3879</v>
      </c>
      <c r="H975" s="2" t="s">
        <v>3879</v>
      </c>
      <c r="I975" s="2" t="s">
        <v>3880</v>
      </c>
      <c r="J975" s="2" t="s">
        <v>897</v>
      </c>
      <c r="K975" s="2" t="s">
        <v>1667</v>
      </c>
      <c r="L975" s="3">
        <v>184.5</v>
      </c>
      <c r="M975" s="3">
        <v>193.72</v>
      </c>
      <c r="N975" s="3">
        <v>389</v>
      </c>
      <c r="O975" s="2" t="s">
        <v>232</v>
      </c>
      <c r="P975" s="2" t="s">
        <v>878</v>
      </c>
      <c r="Q975" s="2" t="s">
        <v>234</v>
      </c>
      <c r="R975" s="2" t="s">
        <v>235</v>
      </c>
      <c r="S975" s="2" t="s">
        <v>235</v>
      </c>
      <c r="T975" s="2" t="s">
        <v>235</v>
      </c>
      <c r="U975" s="2" t="s">
        <v>807</v>
      </c>
      <c r="V975" s="2" t="s">
        <v>808</v>
      </c>
      <c r="W975" s="2" t="s">
        <v>1731</v>
      </c>
      <c r="X975" s="2" t="s">
        <v>3881</v>
      </c>
      <c r="Y975" s="2" t="s">
        <v>235</v>
      </c>
      <c r="Z975" s="4"/>
      <c r="AA975" s="4">
        <f>=ROUNDDOWN({0},0)</f>
      </c>
      <c r="AB975" s="5"/>
      <c r="AC975" s="2" t="s">
        <v>267</v>
      </c>
      <c r="AD975" s="4">
        <v>354</v>
      </c>
      <c r="AE975" s="4">
        <v>370</v>
      </c>
      <c r="AF975" s="6">
        <v>74</v>
      </c>
      <c r="AG975" s="6"/>
      <c r="AH975" s="7"/>
      <c r="AI975" s="4"/>
      <c r="AJ975" s="4">
        <f>=ROUNDDOWN({0},0)</f>
      </c>
      <c r="AK975" s="5"/>
      <c r="AL975" s="2" t="s">
        <v>235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/>
      <c r="BK975" s="8"/>
      <c r="BL975" s="2" t="s">
        <v>235</v>
      </c>
      <c r="BM975" s="7"/>
      <c r="BN975" s="7"/>
      <c r="BO975" s="4"/>
      <c r="BP975" s="8"/>
      <c r="BQ975" s="4"/>
      <c r="BR975" s="8"/>
      <c r="BS975" s="7"/>
      <c r="BT975" s="7"/>
      <c r="BU975" s="2" t="s">
        <v>330</v>
      </c>
      <c r="BV975" s="2" t="s">
        <v>235</v>
      </c>
      <c r="BW975" s="2" t="s">
        <v>235</v>
      </c>
      <c r="BX975" s="2" t="s">
        <v>330</v>
      </c>
      <c r="BY975" s="2" t="s">
        <v>331</v>
      </c>
      <c r="BZ975" s="2" t="s">
        <v>232</v>
      </c>
      <c r="CA975" s="2" t="s">
        <v>235</v>
      </c>
      <c r="CB975" s="2" t="s">
        <v>235</v>
      </c>
      <c r="CC975" s="2" t="s">
        <v>248</v>
      </c>
      <c r="CD975" s="2" t="s">
        <v>248</v>
      </c>
      <c r="CE975" s="2" t="s">
        <v>235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>
        <v>354</v>
      </c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>
        <v>16</v>
      </c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>
        <v>354</v>
      </c>
      <c r="GI975" s="4">
        <v>354</v>
      </c>
      <c r="GJ975" s="4">
        <v>349</v>
      </c>
      <c r="GK975" s="4">
        <v>337</v>
      </c>
      <c r="GL975" s="4">
        <v>325</v>
      </c>
      <c r="GM975" s="4">
        <v>327</v>
      </c>
      <c r="GN975" s="4">
        <v>313</v>
      </c>
      <c r="GO975" s="4">
        <v>298</v>
      </c>
      <c r="GP975" s="4">
        <v>287</v>
      </c>
      <c r="GQ975" s="4">
        <v>259</v>
      </c>
      <c r="GR975" s="4">
        <v>242</v>
      </c>
      <c r="GS975" s="4">
        <v>229</v>
      </c>
      <c r="GT975" s="4">
        <v>216</v>
      </c>
      <c r="GU975" s="4">
        <v>208</v>
      </c>
      <c r="GV975" s="4">
        <v>194</v>
      </c>
      <c r="GW975" s="4">
        <v>183</v>
      </c>
      <c r="GX975" s="4">
        <v>169</v>
      </c>
      <c r="GY975" s="4">
        <v>158</v>
      </c>
      <c r="GZ975" s="4">
        <v>143</v>
      </c>
      <c r="HA975" s="4">
        <v>128</v>
      </c>
      <c r="HB975" s="4">
        <v>113</v>
      </c>
      <c r="HC975" s="4">
        <v>96</v>
      </c>
      <c r="HD975" s="9"/>
      <c r="HE975" s="9"/>
      <c r="HF975" s="9"/>
      <c r="HG975" s="9"/>
      <c r="HH975" s="19">
        <v>50.6</v>
      </c>
      <c r="HI975" s="19">
        <v>32.2</v>
      </c>
      <c r="HJ975" s="19">
        <v>26.8</v>
      </c>
      <c r="HK975" s="19">
        <v>24.1</v>
      </c>
      <c r="HL975" s="19">
        <v>23.2</v>
      </c>
      <c r="HM975" s="19">
        <v>19.2</v>
      </c>
      <c r="HN975" s="19">
        <v>17.4</v>
      </c>
      <c r="HO975" s="19">
        <v>17.5</v>
      </c>
      <c r="HP975" s="19">
        <v>15.9</v>
      </c>
      <c r="HQ975" s="19">
        <v>19.9</v>
      </c>
      <c r="HR975" s="19">
        <v>20.2</v>
      </c>
      <c r="HS975" s="19">
        <v>19.1</v>
      </c>
      <c r="HT975" s="19">
        <v>18</v>
      </c>
      <c r="HU975" s="19">
        <v>17.3</v>
      </c>
      <c r="HV975" s="19">
        <v>14.9</v>
      </c>
      <c r="HW975" s="19">
        <v>13.1</v>
      </c>
      <c r="HX975" s="19">
        <v>12.1</v>
      </c>
      <c r="HY975" s="19">
        <v>9.9</v>
      </c>
      <c r="HZ975" s="19">
        <v>10.2</v>
      </c>
      <c r="IA975" s="19">
        <v>9.1</v>
      </c>
      <c r="IB975" s="19">
        <v>8.1</v>
      </c>
      <c r="IC975" s="19">
        <v>8</v>
      </c>
    </row>
    <row r="976">
      <c r="A976" s="2" t="s">
        <v>3882</v>
      </c>
      <c r="B976" s="2" t="s">
        <v>800</v>
      </c>
      <c r="C976" s="2" t="s">
        <v>893</v>
      </c>
      <c r="D976" s="2" t="s">
        <v>802</v>
      </c>
      <c r="E976" s="2" t="s">
        <v>803</v>
      </c>
      <c r="F976" s="2" t="s">
        <v>3883</v>
      </c>
      <c r="G976" s="2" t="s">
        <v>3883</v>
      </c>
      <c r="H976" s="2" t="s">
        <v>3883</v>
      </c>
      <c r="I976" s="2" t="s">
        <v>3884</v>
      </c>
      <c r="J976" s="2" t="s">
        <v>897</v>
      </c>
      <c r="K976" s="2" t="s">
        <v>3885</v>
      </c>
      <c r="L976" s="3">
        <v>44.39</v>
      </c>
      <c r="M976" s="3">
        <v>46.61</v>
      </c>
      <c r="N976" s="3">
        <v>99.99</v>
      </c>
      <c r="O976" s="2" t="s">
        <v>485</v>
      </c>
      <c r="P976" s="2" t="s">
        <v>408</v>
      </c>
      <c r="Q976" s="2" t="s">
        <v>234</v>
      </c>
      <c r="R976" s="2" t="s">
        <v>235</v>
      </c>
      <c r="S976" s="2" t="s">
        <v>235</v>
      </c>
      <c r="T976" s="2" t="s">
        <v>235</v>
      </c>
      <c r="U976" s="2" t="s">
        <v>807</v>
      </c>
      <c r="V976" s="2" t="s">
        <v>808</v>
      </c>
      <c r="W976" s="2" t="s">
        <v>682</v>
      </c>
      <c r="X976" s="2" t="s">
        <v>3886</v>
      </c>
      <c r="Y976" s="2" t="s">
        <v>1121</v>
      </c>
      <c r="Z976" s="4">
        <v>76</v>
      </c>
      <c r="AA976" s="4">
        <f>=ROUNDDOWN(95,0)</f>
      </c>
      <c r="AB976" s="5">
        <v>0.8</v>
      </c>
      <c r="AC976" s="2" t="s">
        <v>235</v>
      </c>
      <c r="AD976" s="4"/>
      <c r="AE976" s="4"/>
      <c r="AF976" s="6">
        <v>63</v>
      </c>
      <c r="AG976" s="6"/>
      <c r="AH976" s="7">
        <v>1</v>
      </c>
      <c r="AI976" s="4"/>
      <c r="AJ976" s="4">
        <f>=ROUNDDOWN({0},0)</f>
      </c>
      <c r="AK976" s="5"/>
      <c r="AL976" s="2" t="s">
        <v>235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>
        <v>2</v>
      </c>
      <c r="BK976" s="8">
        <v>67.52</v>
      </c>
      <c r="BL976" s="2" t="s">
        <v>1122</v>
      </c>
      <c r="BM976" s="7"/>
      <c r="BN976" s="7"/>
      <c r="BO976" s="4"/>
      <c r="BP976" s="8"/>
      <c r="BQ976" s="4"/>
      <c r="BR976" s="8"/>
      <c r="BS976" s="7"/>
      <c r="BT976" s="7"/>
      <c r="BU976" s="2" t="s">
        <v>3887</v>
      </c>
      <c r="BV976" s="2" t="s">
        <v>813</v>
      </c>
      <c r="BW976" s="2" t="s">
        <v>235</v>
      </c>
      <c r="BX976" s="2" t="s">
        <v>414</v>
      </c>
      <c r="BY976" s="2" t="s">
        <v>245</v>
      </c>
      <c r="BZ976" s="2" t="s">
        <v>232</v>
      </c>
      <c r="CA976" s="2" t="s">
        <v>1124</v>
      </c>
      <c r="CB976" s="2" t="s">
        <v>838</v>
      </c>
      <c r="CC976" s="2" t="s">
        <v>248</v>
      </c>
      <c r="CD976" s="2" t="s">
        <v>248</v>
      </c>
      <c r="CE976" s="2" t="s">
        <v>235</v>
      </c>
      <c r="CF976" s="4"/>
      <c r="CG976" s="4">
        <v>76</v>
      </c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>
        <v>76</v>
      </c>
      <c r="GE976" s="4">
        <v>68</v>
      </c>
      <c r="GF976" s="4">
        <v>67</v>
      </c>
      <c r="GG976" s="4">
        <v>66</v>
      </c>
      <c r="GH976" s="4">
        <v>65</v>
      </c>
      <c r="GI976" s="4">
        <v>64</v>
      </c>
      <c r="GJ976" s="4">
        <v>63</v>
      </c>
      <c r="GK976" s="4">
        <v>62</v>
      </c>
      <c r="GL976" s="4">
        <v>61</v>
      </c>
      <c r="GM976" s="4">
        <v>60</v>
      </c>
      <c r="GN976" s="4">
        <v>59</v>
      </c>
      <c r="GO976" s="4">
        <v>58</v>
      </c>
      <c r="GP976" s="4">
        <v>57</v>
      </c>
      <c r="GQ976" s="4">
        <v>56</v>
      </c>
      <c r="GR976" s="4">
        <v>55</v>
      </c>
      <c r="GS976" s="4">
        <v>54</v>
      </c>
      <c r="GT976" s="4">
        <v>53</v>
      </c>
      <c r="GU976" s="4">
        <v>52</v>
      </c>
      <c r="GV976" s="4">
        <v>51</v>
      </c>
      <c r="GW976" s="4">
        <v>50</v>
      </c>
      <c r="GX976" s="4">
        <v>49</v>
      </c>
      <c r="GY976" s="4">
        <v>48</v>
      </c>
      <c r="GZ976" s="4">
        <v>47</v>
      </c>
      <c r="HA976" s="4">
        <v>46</v>
      </c>
      <c r="HB976" s="4">
        <v>45</v>
      </c>
      <c r="HC976" s="4">
        <v>44</v>
      </c>
      <c r="HD976" s="19">
        <v>25.3</v>
      </c>
      <c r="HE976" s="19">
        <v>68</v>
      </c>
      <c r="HF976" s="19">
        <v>67</v>
      </c>
      <c r="HG976" s="19">
        <v>66</v>
      </c>
      <c r="HH976" s="19">
        <v>65</v>
      </c>
      <c r="HI976" s="19">
        <v>64</v>
      </c>
      <c r="HJ976" s="19">
        <v>63</v>
      </c>
      <c r="HK976" s="19">
        <v>62</v>
      </c>
      <c r="HL976" s="19">
        <v>61</v>
      </c>
      <c r="HM976" s="19">
        <v>60</v>
      </c>
      <c r="HN976" s="19">
        <v>59</v>
      </c>
      <c r="HO976" s="19">
        <v>58</v>
      </c>
      <c r="HP976" s="19">
        <v>57</v>
      </c>
      <c r="HQ976" s="19">
        <v>56</v>
      </c>
      <c r="HR976" s="19">
        <v>55</v>
      </c>
      <c r="HS976" s="19">
        <v>54</v>
      </c>
      <c r="HT976" s="19">
        <v>53</v>
      </c>
      <c r="HU976" s="19">
        <v>52</v>
      </c>
      <c r="HV976" s="19">
        <v>51</v>
      </c>
      <c r="HW976" s="19">
        <v>50</v>
      </c>
      <c r="HX976" s="19">
        <v>49</v>
      </c>
      <c r="HY976" s="19">
        <v>48</v>
      </c>
      <c r="HZ976" s="19">
        <v>47</v>
      </c>
      <c r="IA976" s="19">
        <v>46</v>
      </c>
      <c r="IB976" s="19">
        <v>45</v>
      </c>
      <c r="IC976" s="19">
        <v>44</v>
      </c>
    </row>
    <row r="977">
      <c r="A977" s="2" t="s">
        <v>3888</v>
      </c>
      <c r="B977" s="2" t="s">
        <v>905</v>
      </c>
      <c r="C977" s="2" t="s">
        <v>1176</v>
      </c>
      <c r="D977" s="2" t="s">
        <v>2650</v>
      </c>
      <c r="E977" s="2" t="s">
        <v>2651</v>
      </c>
      <c r="F977" s="2" t="s">
        <v>3889</v>
      </c>
      <c r="G977" s="2" t="s">
        <v>3889</v>
      </c>
      <c r="H977" s="2" t="s">
        <v>3889</v>
      </c>
      <c r="I977" s="2" t="s">
        <v>2653</v>
      </c>
      <c r="J977" s="2" t="s">
        <v>394</v>
      </c>
      <c r="K977" s="2" t="s">
        <v>316</v>
      </c>
      <c r="L977" s="3">
        <v>40.67</v>
      </c>
      <c r="M977" s="3">
        <v>42.7</v>
      </c>
      <c r="N977" s="3">
        <v>84.99</v>
      </c>
      <c r="O977" s="2" t="s">
        <v>232</v>
      </c>
      <c r="P977" s="2" t="s">
        <v>878</v>
      </c>
      <c r="Q977" s="2" t="s">
        <v>234</v>
      </c>
      <c r="R977" s="2" t="s">
        <v>235</v>
      </c>
      <c r="S977" s="2" t="s">
        <v>3890</v>
      </c>
      <c r="T977" s="2" t="s">
        <v>501</v>
      </c>
      <c r="U977" s="2" t="s">
        <v>807</v>
      </c>
      <c r="V977" s="2" t="s">
        <v>863</v>
      </c>
      <c r="W977" s="2" t="s">
        <v>239</v>
      </c>
      <c r="X977" s="2" t="s">
        <v>235</v>
      </c>
      <c r="Y977" s="2" t="s">
        <v>1198</v>
      </c>
      <c r="Z977" s="4">
        <v>424</v>
      </c>
      <c r="AA977" s="4">
        <f>=ROUNDDOWN(42.4,0)</f>
      </c>
      <c r="AB977" s="5">
        <v>10</v>
      </c>
      <c r="AC977" s="2" t="s">
        <v>235</v>
      </c>
      <c r="AD977" s="4"/>
      <c r="AE977" s="4"/>
      <c r="AF977" s="6">
        <v>66</v>
      </c>
      <c r="AG977" s="6"/>
      <c r="AH977" s="7">
        <v>1</v>
      </c>
      <c r="AI977" s="4"/>
      <c r="AJ977" s="4">
        <f>=ROUNDDOWN({0},0)</f>
      </c>
      <c r="AK977" s="5"/>
      <c r="AL977" s="2" t="s">
        <v>235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235</v>
      </c>
      <c r="AW977" s="8" t="s">
        <v>235</v>
      </c>
      <c r="AX977" s="4" t="s">
        <v>235</v>
      </c>
      <c r="AY977" s="8" t="s">
        <v>235</v>
      </c>
      <c r="AZ977" s="7" t="s">
        <v>235</v>
      </c>
      <c r="BA977" s="7" t="s">
        <v>235</v>
      </c>
      <c r="BB977" s="7"/>
      <c r="BC977" s="4" t="s">
        <v>235</v>
      </c>
      <c r="BD977" s="8" t="s">
        <v>235</v>
      </c>
      <c r="BE977" s="4" t="s">
        <v>235</v>
      </c>
      <c r="BF977" s="8" t="s">
        <v>235</v>
      </c>
      <c r="BG977" s="7" t="s">
        <v>235</v>
      </c>
      <c r="BH977" s="7" t="s">
        <v>235</v>
      </c>
      <c r="BI977" s="7"/>
      <c r="BJ977" s="4">
        <v>4</v>
      </c>
      <c r="BK977" s="8">
        <v>183.14</v>
      </c>
      <c r="BL977" s="2" t="s">
        <v>1810</v>
      </c>
      <c r="BM977" s="7"/>
      <c r="BN977" s="7"/>
      <c r="BO977" s="4"/>
      <c r="BP977" s="8"/>
      <c r="BQ977" s="4"/>
      <c r="BR977" s="8"/>
      <c r="BS977" s="7"/>
      <c r="BT977" s="7"/>
      <c r="BU977" s="2" t="s">
        <v>3891</v>
      </c>
      <c r="BV977" s="2" t="s">
        <v>243</v>
      </c>
      <c r="BW977" s="2" t="s">
        <v>235</v>
      </c>
      <c r="BX977" s="2" t="s">
        <v>244</v>
      </c>
      <c r="BY977" s="2" t="s">
        <v>245</v>
      </c>
      <c r="BZ977" s="2" t="s">
        <v>232</v>
      </c>
      <c r="CA977" s="2" t="s">
        <v>1034</v>
      </c>
      <c r="CB977" s="2" t="s">
        <v>3892</v>
      </c>
      <c r="CC977" s="2" t="s">
        <v>248</v>
      </c>
      <c r="CD977" s="2" t="s">
        <v>248</v>
      </c>
      <c r="CE977" s="2" t="s">
        <v>235</v>
      </c>
      <c r="CF977" s="4">
        <v>424</v>
      </c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>
        <v>424</v>
      </c>
      <c r="GE977" s="4">
        <v>403</v>
      </c>
      <c r="GF977" s="4">
        <v>402</v>
      </c>
      <c r="GG977" s="4">
        <v>401</v>
      </c>
      <c r="GH977" s="4">
        <v>400</v>
      </c>
      <c r="GI977" s="4">
        <v>399</v>
      </c>
      <c r="GJ977" s="4">
        <v>398</v>
      </c>
      <c r="GK977" s="4">
        <v>397</v>
      </c>
      <c r="GL977" s="4">
        <v>396</v>
      </c>
      <c r="GM977" s="4">
        <v>395</v>
      </c>
      <c r="GN977" s="4">
        <v>393</v>
      </c>
      <c r="GO977" s="4">
        <v>391</v>
      </c>
      <c r="GP977" s="4">
        <v>388</v>
      </c>
      <c r="GQ977" s="4">
        <v>386</v>
      </c>
      <c r="GR977" s="4">
        <v>382</v>
      </c>
      <c r="GS977" s="4">
        <v>372</v>
      </c>
      <c r="GT977" s="4">
        <v>363</v>
      </c>
      <c r="GU977" s="4">
        <v>356</v>
      </c>
      <c r="GV977" s="4">
        <v>349</v>
      </c>
      <c r="GW977" s="4">
        <v>342</v>
      </c>
      <c r="GX977" s="4">
        <v>335</v>
      </c>
      <c r="GY977" s="4">
        <v>328</v>
      </c>
      <c r="GZ977" s="4">
        <v>320</v>
      </c>
      <c r="HA977" s="4">
        <v>312</v>
      </c>
      <c r="HB977" s="4">
        <v>307</v>
      </c>
      <c r="HC977" s="4">
        <v>302</v>
      </c>
      <c r="HD977" s="19">
        <v>70.7</v>
      </c>
      <c r="HE977" s="19">
        <v>403</v>
      </c>
      <c r="HF977" s="19">
        <v>402</v>
      </c>
      <c r="HG977" s="19">
        <v>401</v>
      </c>
      <c r="HH977" s="19">
        <v>400</v>
      </c>
      <c r="HI977" s="19">
        <v>399</v>
      </c>
      <c r="HJ977" s="19">
        <v>398</v>
      </c>
      <c r="HK977" s="19">
        <v>198.5</v>
      </c>
      <c r="HL977" s="19">
        <v>198</v>
      </c>
      <c r="HM977" s="19">
        <v>197.5</v>
      </c>
      <c r="HN977" s="19">
        <v>131</v>
      </c>
      <c r="HO977" s="19">
        <v>78.2</v>
      </c>
      <c r="HP977" s="19">
        <v>64.7</v>
      </c>
      <c r="HQ977" s="19">
        <v>48.3</v>
      </c>
      <c r="HR977" s="19">
        <v>47.8</v>
      </c>
      <c r="HS977" s="19">
        <v>46.5</v>
      </c>
      <c r="HT977" s="19">
        <v>51.9</v>
      </c>
      <c r="HU977" s="19">
        <v>50.9</v>
      </c>
      <c r="HV977" s="19">
        <v>49.9</v>
      </c>
      <c r="HW977" s="19">
        <v>42.8</v>
      </c>
      <c r="HX977" s="19">
        <v>47.9</v>
      </c>
      <c r="HY977" s="19">
        <v>54.7</v>
      </c>
      <c r="HZ977" s="19">
        <v>53.3</v>
      </c>
      <c r="IA977" s="19">
        <v>62.4</v>
      </c>
      <c r="IB977" s="19">
        <v>51.2</v>
      </c>
      <c r="IC977" s="19">
        <v>50.3</v>
      </c>
    </row>
    <row r="978">
      <c r="A978" s="2" t="s">
        <v>3893</v>
      </c>
      <c r="B978" s="2" t="s">
        <v>905</v>
      </c>
      <c r="C978" s="2" t="s">
        <v>1176</v>
      </c>
      <c r="D978" s="2" t="s">
        <v>2650</v>
      </c>
      <c r="E978" s="2" t="s">
        <v>2651</v>
      </c>
      <c r="F978" s="2" t="s">
        <v>3889</v>
      </c>
      <c r="G978" s="2" t="s">
        <v>3889</v>
      </c>
      <c r="H978" s="2" t="s">
        <v>3889</v>
      </c>
      <c r="I978" s="2" t="s">
        <v>2653</v>
      </c>
      <c r="J978" s="2" t="s">
        <v>230</v>
      </c>
      <c r="K978" s="2" t="s">
        <v>316</v>
      </c>
      <c r="L978" s="3">
        <v>40.72</v>
      </c>
      <c r="M978" s="3">
        <v>42.76</v>
      </c>
      <c r="N978" s="3">
        <v>84.99</v>
      </c>
      <c r="O978" s="2" t="s">
        <v>232</v>
      </c>
      <c r="P978" s="2" t="s">
        <v>878</v>
      </c>
      <c r="Q978" s="2" t="s">
        <v>234</v>
      </c>
      <c r="R978" s="2" t="s">
        <v>235</v>
      </c>
      <c r="S978" s="2" t="s">
        <v>3890</v>
      </c>
      <c r="T978" s="2" t="s">
        <v>501</v>
      </c>
      <c r="U978" s="2" t="s">
        <v>807</v>
      </c>
      <c r="V978" s="2" t="s">
        <v>863</v>
      </c>
      <c r="W978" s="2" t="s">
        <v>239</v>
      </c>
      <c r="X978" s="2" t="s">
        <v>235</v>
      </c>
      <c r="Y978" s="2" t="s">
        <v>1191</v>
      </c>
      <c r="Z978" s="4">
        <v>396</v>
      </c>
      <c r="AA978" s="4">
        <f>=ROUNDDOWN(31.68,0)</f>
      </c>
      <c r="AB978" s="5">
        <v>12.5</v>
      </c>
      <c r="AC978" s="2" t="s">
        <v>235</v>
      </c>
      <c r="AD978" s="4"/>
      <c r="AE978" s="4"/>
      <c r="AF978" s="6">
        <v>66</v>
      </c>
      <c r="AG978" s="6"/>
      <c r="AH978" s="7">
        <v>1</v>
      </c>
      <c r="AI978" s="4"/>
      <c r="AJ978" s="4">
        <f>=ROUNDDOWN({0},0)</f>
      </c>
      <c r="AK978" s="5"/>
      <c r="AL978" s="2" t="s">
        <v>235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235</v>
      </c>
      <c r="AW978" s="8" t="s">
        <v>235</v>
      </c>
      <c r="AX978" s="4" t="s">
        <v>235</v>
      </c>
      <c r="AY978" s="8" t="s">
        <v>235</v>
      </c>
      <c r="AZ978" s="7" t="s">
        <v>235</v>
      </c>
      <c r="BA978" s="7" t="s">
        <v>235</v>
      </c>
      <c r="BB978" s="7"/>
      <c r="BC978" s="4" t="s">
        <v>235</v>
      </c>
      <c r="BD978" s="8" t="s">
        <v>235</v>
      </c>
      <c r="BE978" s="4" t="s">
        <v>235</v>
      </c>
      <c r="BF978" s="8" t="s">
        <v>235</v>
      </c>
      <c r="BG978" s="7" t="s">
        <v>235</v>
      </c>
      <c r="BH978" s="7" t="s">
        <v>235</v>
      </c>
      <c r="BI978" s="7"/>
      <c r="BJ978" s="4">
        <v>17</v>
      </c>
      <c r="BK978" s="8">
        <v>725.87</v>
      </c>
      <c r="BL978" s="2" t="s">
        <v>3894</v>
      </c>
      <c r="BM978" s="7"/>
      <c r="BN978" s="7"/>
      <c r="BO978" s="4"/>
      <c r="BP978" s="8"/>
      <c r="BQ978" s="4"/>
      <c r="BR978" s="8"/>
      <c r="BS978" s="7"/>
      <c r="BT978" s="7"/>
      <c r="BU978" s="2" t="s">
        <v>3891</v>
      </c>
      <c r="BV978" s="2" t="s">
        <v>243</v>
      </c>
      <c r="BW978" s="2" t="s">
        <v>235</v>
      </c>
      <c r="BX978" s="2" t="s">
        <v>244</v>
      </c>
      <c r="BY978" s="2" t="s">
        <v>245</v>
      </c>
      <c r="BZ978" s="2" t="s">
        <v>232</v>
      </c>
      <c r="CA978" s="2" t="s">
        <v>1193</v>
      </c>
      <c r="CB978" s="2" t="s">
        <v>790</v>
      </c>
      <c r="CC978" s="2" t="s">
        <v>248</v>
      </c>
      <c r="CD978" s="2" t="s">
        <v>248</v>
      </c>
      <c r="CE978" s="2" t="s">
        <v>235</v>
      </c>
      <c r="CF978" s="4">
        <v>396</v>
      </c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>
        <v>402</v>
      </c>
      <c r="GE978" s="4">
        <v>380</v>
      </c>
      <c r="GF978" s="4">
        <v>377</v>
      </c>
      <c r="GG978" s="4">
        <v>374</v>
      </c>
      <c r="GH978" s="4">
        <v>371</v>
      </c>
      <c r="GI978" s="4">
        <v>362</v>
      </c>
      <c r="GJ978" s="4">
        <v>353</v>
      </c>
      <c r="GK978" s="4">
        <v>343</v>
      </c>
      <c r="GL978" s="4">
        <v>333</v>
      </c>
      <c r="GM978" s="4">
        <v>326</v>
      </c>
      <c r="GN978" s="4">
        <v>319</v>
      </c>
      <c r="GO978" s="4">
        <v>310</v>
      </c>
      <c r="GP978" s="4">
        <v>298</v>
      </c>
      <c r="GQ978" s="4">
        <v>284</v>
      </c>
      <c r="GR978" s="4">
        <v>261</v>
      </c>
      <c r="GS978" s="4">
        <v>236</v>
      </c>
      <c r="GT978" s="4">
        <v>216</v>
      </c>
      <c r="GU978" s="4">
        <v>207</v>
      </c>
      <c r="GV978" s="4">
        <v>198</v>
      </c>
      <c r="GW978" s="4">
        <v>184</v>
      </c>
      <c r="GX978" s="4">
        <v>170</v>
      </c>
      <c r="GY978" s="4">
        <v>156</v>
      </c>
      <c r="GZ978" s="4">
        <v>149</v>
      </c>
      <c r="HA978" s="4">
        <v>142</v>
      </c>
      <c r="HB978" s="4">
        <v>136</v>
      </c>
      <c r="HC978" s="4">
        <v>130</v>
      </c>
      <c r="HD978" s="19">
        <v>50.3</v>
      </c>
      <c r="HE978" s="19">
        <v>95</v>
      </c>
      <c r="HF978" s="19">
        <v>62.8</v>
      </c>
      <c r="HG978" s="19">
        <v>46.8</v>
      </c>
      <c r="HH978" s="19">
        <v>37.1</v>
      </c>
      <c r="HI978" s="19">
        <v>40.2</v>
      </c>
      <c r="HJ978" s="19">
        <v>44.1</v>
      </c>
      <c r="HK978" s="19">
        <v>42.9</v>
      </c>
      <c r="HL978" s="19">
        <v>37</v>
      </c>
      <c r="HM978" s="19">
        <v>32.6</v>
      </c>
      <c r="HN978" s="19">
        <v>22.8</v>
      </c>
      <c r="HO978" s="19">
        <v>17.2</v>
      </c>
      <c r="HP978" s="19">
        <v>14.9</v>
      </c>
      <c r="HQ978" s="19">
        <v>14.9</v>
      </c>
      <c r="HR978" s="19">
        <v>16.3</v>
      </c>
      <c r="HS978" s="19">
        <v>18.2</v>
      </c>
      <c r="HT978" s="19">
        <v>18</v>
      </c>
      <c r="HU978" s="19">
        <v>15.9</v>
      </c>
      <c r="HV978" s="19">
        <v>16.5</v>
      </c>
      <c r="HW978" s="19">
        <v>18.4</v>
      </c>
      <c r="HX978" s="19">
        <v>21.3</v>
      </c>
      <c r="HY978" s="19">
        <v>26</v>
      </c>
      <c r="HZ978" s="19">
        <v>24.8</v>
      </c>
      <c r="IA978" s="19">
        <v>23.7</v>
      </c>
      <c r="IB978" s="19">
        <v>22.7</v>
      </c>
      <c r="IC978" s="19">
        <v>21.7</v>
      </c>
    </row>
    <row r="979">
      <c r="A979" s="2" t="s">
        <v>3895</v>
      </c>
      <c r="B979" s="2" t="s">
        <v>905</v>
      </c>
      <c r="C979" s="2" t="s">
        <v>1176</v>
      </c>
      <c r="D979" s="2" t="s">
        <v>2650</v>
      </c>
      <c r="E979" s="2" t="s">
        <v>2651</v>
      </c>
      <c r="F979" s="2" t="s">
        <v>3889</v>
      </c>
      <c r="G979" s="2" t="s">
        <v>3889</v>
      </c>
      <c r="H979" s="2" t="s">
        <v>3889</v>
      </c>
      <c r="I979" s="2" t="s">
        <v>2653</v>
      </c>
      <c r="J979" s="2" t="s">
        <v>250</v>
      </c>
      <c r="K979" s="2" t="s">
        <v>316</v>
      </c>
      <c r="L979" s="3">
        <v>45.76</v>
      </c>
      <c r="M979" s="3">
        <v>48.05</v>
      </c>
      <c r="N979" s="3">
        <v>99.99</v>
      </c>
      <c r="O979" s="2" t="s">
        <v>232</v>
      </c>
      <c r="P979" s="2" t="s">
        <v>878</v>
      </c>
      <c r="Q979" s="2" t="s">
        <v>234</v>
      </c>
      <c r="R979" s="2" t="s">
        <v>235</v>
      </c>
      <c r="S979" s="2" t="s">
        <v>3890</v>
      </c>
      <c r="T979" s="2" t="s">
        <v>501</v>
      </c>
      <c r="U979" s="2" t="s">
        <v>807</v>
      </c>
      <c r="V979" s="2" t="s">
        <v>863</v>
      </c>
      <c r="W979" s="2" t="s">
        <v>239</v>
      </c>
      <c r="X979" s="2" t="s">
        <v>235</v>
      </c>
      <c r="Y979" s="2" t="s">
        <v>1183</v>
      </c>
      <c r="Z979" s="4">
        <v>704</v>
      </c>
      <c r="AA979" s="4">
        <f>=ROUNDDOWN(146.666666666667,0)</f>
      </c>
      <c r="AB979" s="5">
        <v>4.8</v>
      </c>
      <c r="AC979" s="2" t="s">
        <v>235</v>
      </c>
      <c r="AD979" s="4"/>
      <c r="AE979" s="4"/>
      <c r="AF979" s="6">
        <v>66</v>
      </c>
      <c r="AG979" s="6"/>
      <c r="AH979" s="7">
        <v>1</v>
      </c>
      <c r="AI979" s="4"/>
      <c r="AJ979" s="4">
        <f>=ROUNDDOWN({0},0)</f>
      </c>
      <c r="AK979" s="5"/>
      <c r="AL979" s="2" t="s">
        <v>235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235</v>
      </c>
      <c r="AW979" s="8" t="s">
        <v>235</v>
      </c>
      <c r="AX979" s="4" t="s">
        <v>235</v>
      </c>
      <c r="AY979" s="8" t="s">
        <v>235</v>
      </c>
      <c r="AZ979" s="7" t="s">
        <v>235</v>
      </c>
      <c r="BA979" s="7" t="s">
        <v>235</v>
      </c>
      <c r="BB979" s="7"/>
      <c r="BC979" s="4" t="s">
        <v>235</v>
      </c>
      <c r="BD979" s="8" t="s">
        <v>235</v>
      </c>
      <c r="BE979" s="4" t="s">
        <v>235</v>
      </c>
      <c r="BF979" s="8" t="s">
        <v>235</v>
      </c>
      <c r="BG979" s="7" t="s">
        <v>235</v>
      </c>
      <c r="BH979" s="7" t="s">
        <v>235</v>
      </c>
      <c r="BI979" s="7"/>
      <c r="BJ979" s="4">
        <v>6</v>
      </c>
      <c r="BK979" s="8">
        <v>312.49</v>
      </c>
      <c r="BL979" s="2" t="s">
        <v>396</v>
      </c>
      <c r="BM979" s="7"/>
      <c r="BN979" s="7"/>
      <c r="BO979" s="4"/>
      <c r="BP979" s="8"/>
      <c r="BQ979" s="4"/>
      <c r="BR979" s="8"/>
      <c r="BS979" s="7"/>
      <c r="BT979" s="7"/>
      <c r="BU979" s="2" t="s">
        <v>3891</v>
      </c>
      <c r="BV979" s="2" t="s">
        <v>243</v>
      </c>
      <c r="BW979" s="2" t="s">
        <v>235</v>
      </c>
      <c r="BX979" s="2" t="s">
        <v>244</v>
      </c>
      <c r="BY979" s="2" t="s">
        <v>245</v>
      </c>
      <c r="BZ979" s="2" t="s">
        <v>232</v>
      </c>
      <c r="CA979" s="2" t="s">
        <v>1034</v>
      </c>
      <c r="CB979" s="2" t="s">
        <v>3896</v>
      </c>
      <c r="CC979" s="2" t="s">
        <v>248</v>
      </c>
      <c r="CD979" s="2" t="s">
        <v>248</v>
      </c>
      <c r="CE979" s="2" t="s">
        <v>235</v>
      </c>
      <c r="CF979" s="4">
        <v>704</v>
      </c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>
        <v>705</v>
      </c>
      <c r="GE979" s="4">
        <v>703</v>
      </c>
      <c r="GF979" s="4">
        <v>702</v>
      </c>
      <c r="GG979" s="4">
        <v>700</v>
      </c>
      <c r="GH979" s="4">
        <v>698</v>
      </c>
      <c r="GI979" s="4">
        <v>692</v>
      </c>
      <c r="GJ979" s="4">
        <v>686</v>
      </c>
      <c r="GK979" s="4">
        <v>679</v>
      </c>
      <c r="GL979" s="4">
        <v>672</v>
      </c>
      <c r="GM979" s="4">
        <v>667</v>
      </c>
      <c r="GN979" s="4">
        <v>663</v>
      </c>
      <c r="GO979" s="4">
        <v>658</v>
      </c>
      <c r="GP979" s="4">
        <v>651</v>
      </c>
      <c r="GQ979" s="4">
        <v>644</v>
      </c>
      <c r="GR979" s="4">
        <v>632</v>
      </c>
      <c r="GS979" s="4">
        <v>621</v>
      </c>
      <c r="GT979" s="4">
        <v>612</v>
      </c>
      <c r="GU979" s="4">
        <v>609</v>
      </c>
      <c r="GV979" s="4">
        <v>605</v>
      </c>
      <c r="GW979" s="4">
        <v>601</v>
      </c>
      <c r="GX979" s="4">
        <v>597</v>
      </c>
      <c r="GY979" s="4">
        <v>593</v>
      </c>
      <c r="GZ979" s="4">
        <v>591</v>
      </c>
      <c r="HA979" s="4">
        <v>589</v>
      </c>
      <c r="HB979" s="4">
        <v>587</v>
      </c>
      <c r="HC979" s="4">
        <v>585</v>
      </c>
      <c r="HD979" s="19">
        <v>352.5</v>
      </c>
      <c r="HE979" s="19">
        <v>234.3</v>
      </c>
      <c r="HF979" s="19">
        <v>175.5</v>
      </c>
      <c r="HG979" s="19">
        <v>140</v>
      </c>
      <c r="HH979" s="19">
        <v>116.3</v>
      </c>
      <c r="HI979" s="19">
        <v>115.3</v>
      </c>
      <c r="HJ979" s="19">
        <v>114.3</v>
      </c>
      <c r="HK979" s="19">
        <v>135.8</v>
      </c>
      <c r="HL979" s="19">
        <v>134.4</v>
      </c>
      <c r="HM979" s="19">
        <v>111.2</v>
      </c>
      <c r="HN979" s="19">
        <v>82.9</v>
      </c>
      <c r="HO979" s="19">
        <v>73.1</v>
      </c>
      <c r="HP979" s="19">
        <v>65.1</v>
      </c>
      <c r="HQ979" s="19">
        <v>71.6</v>
      </c>
      <c r="HR979" s="19">
        <v>90.3</v>
      </c>
      <c r="HS979" s="19">
        <v>124.2</v>
      </c>
      <c r="HT979" s="19">
        <v>153</v>
      </c>
      <c r="HU979" s="19">
        <v>152.3</v>
      </c>
      <c r="HV979" s="19">
        <v>151.3</v>
      </c>
      <c r="HW979" s="19">
        <v>200.3</v>
      </c>
      <c r="HX979" s="19">
        <v>298.5</v>
      </c>
      <c r="HY979" s="19">
        <v>296.5</v>
      </c>
      <c r="HZ979" s="19">
        <v>295.5</v>
      </c>
      <c r="IA979" s="19">
        <v>294.5</v>
      </c>
      <c r="IB979" s="19">
        <v>293.5</v>
      </c>
      <c r="IC979" s="19">
        <v>292.5</v>
      </c>
    </row>
    <row r="980">
      <c r="A980" s="2" t="s">
        <v>3897</v>
      </c>
      <c r="B980" s="2" t="s">
        <v>905</v>
      </c>
      <c r="C980" s="2" t="s">
        <v>1176</v>
      </c>
      <c r="D980" s="2" t="s">
        <v>2650</v>
      </c>
      <c r="E980" s="2" t="s">
        <v>2651</v>
      </c>
      <c r="F980" s="2" t="s">
        <v>3889</v>
      </c>
      <c r="G980" s="2" t="s">
        <v>3889</v>
      </c>
      <c r="H980" s="2" t="s">
        <v>3889</v>
      </c>
      <c r="I980" s="2" t="s">
        <v>2653</v>
      </c>
      <c r="J980" s="2" t="s">
        <v>261</v>
      </c>
      <c r="K980" s="2" t="s">
        <v>316</v>
      </c>
      <c r="L980" s="3">
        <v>62.77</v>
      </c>
      <c r="M980" s="3">
        <v>65.91</v>
      </c>
      <c r="N980" s="3">
        <v>134.99</v>
      </c>
      <c r="O980" s="2" t="s">
        <v>232</v>
      </c>
      <c r="P980" s="2" t="s">
        <v>878</v>
      </c>
      <c r="Q980" s="2" t="s">
        <v>234</v>
      </c>
      <c r="R980" s="2" t="s">
        <v>235</v>
      </c>
      <c r="S980" s="2" t="s">
        <v>3890</v>
      </c>
      <c r="T980" s="2" t="s">
        <v>501</v>
      </c>
      <c r="U980" s="2" t="s">
        <v>807</v>
      </c>
      <c r="V980" s="2" t="s">
        <v>863</v>
      </c>
      <c r="W980" s="2" t="s">
        <v>239</v>
      </c>
      <c r="X980" s="2" t="s">
        <v>235</v>
      </c>
      <c r="Y980" s="2" t="s">
        <v>1183</v>
      </c>
      <c r="Z980" s="4">
        <v>1080</v>
      </c>
      <c r="AA980" s="4">
        <f>=ROUNDDOWN(51.9230769230769,0)</f>
      </c>
      <c r="AB980" s="5">
        <v>20.8</v>
      </c>
      <c r="AC980" s="2" t="s">
        <v>235</v>
      </c>
      <c r="AD980" s="4"/>
      <c r="AE980" s="4"/>
      <c r="AF980" s="6">
        <v>66</v>
      </c>
      <c r="AG980" s="6"/>
      <c r="AH980" s="7">
        <v>1</v>
      </c>
      <c r="AI980" s="4"/>
      <c r="AJ980" s="4">
        <f>=ROUNDDOWN({0},0)</f>
      </c>
      <c r="AK980" s="5"/>
      <c r="AL980" s="2" t="s">
        <v>235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235</v>
      </c>
      <c r="AW980" s="8" t="s">
        <v>235</v>
      </c>
      <c r="AX980" s="4" t="s">
        <v>235</v>
      </c>
      <c r="AY980" s="8" t="s">
        <v>235</v>
      </c>
      <c r="AZ980" s="7" t="s">
        <v>235</v>
      </c>
      <c r="BA980" s="7" t="s">
        <v>235</v>
      </c>
      <c r="BB980" s="7"/>
      <c r="BC980" s="4" t="s">
        <v>235</v>
      </c>
      <c r="BD980" s="8" t="s">
        <v>235</v>
      </c>
      <c r="BE980" s="4" t="s">
        <v>235</v>
      </c>
      <c r="BF980" s="8" t="s">
        <v>235</v>
      </c>
      <c r="BG980" s="7" t="s">
        <v>235</v>
      </c>
      <c r="BH980" s="7" t="s">
        <v>235</v>
      </c>
      <c r="BI980" s="7"/>
      <c r="BJ980" s="4">
        <v>22</v>
      </c>
      <c r="BK980" s="8">
        <v>1549.84</v>
      </c>
      <c r="BL980" s="2" t="s">
        <v>1810</v>
      </c>
      <c r="BM980" s="7"/>
      <c r="BN980" s="7"/>
      <c r="BO980" s="4"/>
      <c r="BP980" s="8"/>
      <c r="BQ980" s="4"/>
      <c r="BR980" s="8"/>
      <c r="BS980" s="7"/>
      <c r="BT980" s="7"/>
      <c r="BU980" s="2" t="s">
        <v>3891</v>
      </c>
      <c r="BV980" s="2" t="s">
        <v>243</v>
      </c>
      <c r="BW980" s="2" t="s">
        <v>235</v>
      </c>
      <c r="BX980" s="2" t="s">
        <v>244</v>
      </c>
      <c r="BY980" s="2" t="s">
        <v>245</v>
      </c>
      <c r="BZ980" s="2" t="s">
        <v>232</v>
      </c>
      <c r="CA980" s="2" t="s">
        <v>1186</v>
      </c>
      <c r="CB980" s="2" t="s">
        <v>3726</v>
      </c>
      <c r="CC980" s="2" t="s">
        <v>248</v>
      </c>
      <c r="CD980" s="2" t="s">
        <v>248</v>
      </c>
      <c r="CE980" s="2" t="s">
        <v>235</v>
      </c>
      <c r="CF980" s="4">
        <v>1080</v>
      </c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>
        <v>1082</v>
      </c>
      <c r="GE980" s="4">
        <v>1060</v>
      </c>
      <c r="GF980" s="4">
        <v>1053</v>
      </c>
      <c r="GG980" s="4">
        <v>1046</v>
      </c>
      <c r="GH980" s="4">
        <v>1038</v>
      </c>
      <c r="GI980" s="4">
        <v>1022</v>
      </c>
      <c r="GJ980" s="4">
        <v>1006</v>
      </c>
      <c r="GK980" s="4">
        <v>987</v>
      </c>
      <c r="GL980" s="4">
        <v>968</v>
      </c>
      <c r="GM980" s="4">
        <v>952</v>
      </c>
      <c r="GN980" s="4">
        <v>938</v>
      </c>
      <c r="GO980" s="4">
        <v>919</v>
      </c>
      <c r="GP980" s="4">
        <v>893</v>
      </c>
      <c r="GQ980" s="4">
        <v>865</v>
      </c>
      <c r="GR980" s="4">
        <v>819</v>
      </c>
      <c r="GS980" s="4">
        <v>767</v>
      </c>
      <c r="GT980" s="4">
        <v>727</v>
      </c>
      <c r="GU980" s="4">
        <v>710</v>
      </c>
      <c r="GV980" s="4">
        <v>692</v>
      </c>
      <c r="GW980" s="4">
        <v>675</v>
      </c>
      <c r="GX980" s="4">
        <v>658</v>
      </c>
      <c r="GY980" s="4">
        <v>641</v>
      </c>
      <c r="GZ980" s="4">
        <v>625</v>
      </c>
      <c r="HA980" s="4">
        <v>609</v>
      </c>
      <c r="HB980" s="4">
        <v>596</v>
      </c>
      <c r="HC980" s="4">
        <v>583</v>
      </c>
      <c r="HD980" s="19">
        <v>98.4</v>
      </c>
      <c r="HE980" s="19">
        <v>106</v>
      </c>
      <c r="HF980" s="19">
        <v>87.8</v>
      </c>
      <c r="HG980" s="19">
        <v>69.7</v>
      </c>
      <c r="HH980" s="19">
        <v>57.7</v>
      </c>
      <c r="HI980" s="19">
        <v>56.8</v>
      </c>
      <c r="HJ980" s="19">
        <v>59.2</v>
      </c>
      <c r="HK980" s="19">
        <v>58.1</v>
      </c>
      <c r="HL980" s="19">
        <v>50.9</v>
      </c>
      <c r="HM980" s="19">
        <v>43.3</v>
      </c>
      <c r="HN980" s="19">
        <v>31.3</v>
      </c>
      <c r="HO980" s="19">
        <v>24.2</v>
      </c>
      <c r="HP980" s="19">
        <v>21.3</v>
      </c>
      <c r="HQ980" s="19">
        <v>22.2</v>
      </c>
      <c r="HR980" s="19">
        <v>25.6</v>
      </c>
      <c r="HS980" s="19">
        <v>33.3</v>
      </c>
      <c r="HT980" s="19">
        <v>42.8</v>
      </c>
      <c r="HU980" s="19">
        <v>41.8</v>
      </c>
      <c r="HV980" s="19">
        <v>40.7</v>
      </c>
      <c r="HW980" s="19">
        <v>42.2</v>
      </c>
      <c r="HX980" s="19">
        <v>41.1</v>
      </c>
      <c r="HY980" s="19">
        <v>45.8</v>
      </c>
      <c r="HZ980" s="19">
        <v>48.1</v>
      </c>
      <c r="IA980" s="19">
        <v>50.8</v>
      </c>
      <c r="IB980" s="19">
        <v>54.2</v>
      </c>
      <c r="IC980" s="19">
        <v>53</v>
      </c>
    </row>
    <row r="981">
      <c r="A981" s="2" t="s">
        <v>3898</v>
      </c>
      <c r="B981" s="2" t="s">
        <v>905</v>
      </c>
      <c r="C981" s="2" t="s">
        <v>1176</v>
      </c>
      <c r="D981" s="2" t="s">
        <v>2650</v>
      </c>
      <c r="E981" s="2" t="s">
        <v>2651</v>
      </c>
      <c r="F981" s="2" t="s">
        <v>3889</v>
      </c>
      <c r="G981" s="2" t="s">
        <v>3889</v>
      </c>
      <c r="H981" s="2" t="s">
        <v>3889</v>
      </c>
      <c r="I981" s="2" t="s">
        <v>2653</v>
      </c>
      <c r="J981" s="2" t="s">
        <v>270</v>
      </c>
      <c r="K981" s="2" t="s">
        <v>316</v>
      </c>
      <c r="L981" s="3">
        <v>68.18</v>
      </c>
      <c r="M981" s="3">
        <v>71.59</v>
      </c>
      <c r="N981" s="3">
        <v>139.99</v>
      </c>
      <c r="O981" s="2" t="s">
        <v>232</v>
      </c>
      <c r="P981" s="2" t="s">
        <v>878</v>
      </c>
      <c r="Q981" s="2" t="s">
        <v>234</v>
      </c>
      <c r="R981" s="2" t="s">
        <v>235</v>
      </c>
      <c r="S981" s="2" t="s">
        <v>3890</v>
      </c>
      <c r="T981" s="2" t="s">
        <v>501</v>
      </c>
      <c r="U981" s="2" t="s">
        <v>807</v>
      </c>
      <c r="V981" s="2" t="s">
        <v>863</v>
      </c>
      <c r="W981" s="2" t="s">
        <v>239</v>
      </c>
      <c r="X981" s="2" t="s">
        <v>235</v>
      </c>
      <c r="Y981" s="2" t="s">
        <v>1191</v>
      </c>
      <c r="Z981" s="4">
        <v>644</v>
      </c>
      <c r="AA981" s="4">
        <f>=ROUNDDOWN(50.7086614173228,0)</f>
      </c>
      <c r="AB981" s="5">
        <v>12.7</v>
      </c>
      <c r="AC981" s="2" t="s">
        <v>235</v>
      </c>
      <c r="AD981" s="4"/>
      <c r="AE981" s="4"/>
      <c r="AF981" s="6">
        <v>66</v>
      </c>
      <c r="AG981" s="6"/>
      <c r="AH981" s="7">
        <v>1</v>
      </c>
      <c r="AI981" s="4"/>
      <c r="AJ981" s="4">
        <f>=ROUNDDOWN({0},0)</f>
      </c>
      <c r="AK981" s="5"/>
      <c r="AL981" s="2" t="s">
        <v>235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235</v>
      </c>
      <c r="AW981" s="8" t="s">
        <v>235</v>
      </c>
      <c r="AX981" s="4" t="s">
        <v>235</v>
      </c>
      <c r="AY981" s="8" t="s">
        <v>235</v>
      </c>
      <c r="AZ981" s="7" t="s">
        <v>235</v>
      </c>
      <c r="BA981" s="7" t="s">
        <v>235</v>
      </c>
      <c r="BB981" s="7"/>
      <c r="BC981" s="4" t="s">
        <v>235</v>
      </c>
      <c r="BD981" s="8" t="s">
        <v>235</v>
      </c>
      <c r="BE981" s="4" t="s">
        <v>235</v>
      </c>
      <c r="BF981" s="8" t="s">
        <v>235</v>
      </c>
      <c r="BG981" s="7" t="s">
        <v>235</v>
      </c>
      <c r="BH981" s="7" t="s">
        <v>235</v>
      </c>
      <c r="BI981" s="7"/>
      <c r="BJ981" s="4">
        <v>9</v>
      </c>
      <c r="BK981" s="8">
        <v>688.98</v>
      </c>
      <c r="BL981" s="2" t="s">
        <v>3899</v>
      </c>
      <c r="BM981" s="7"/>
      <c r="BN981" s="7"/>
      <c r="BO981" s="4"/>
      <c r="BP981" s="8"/>
      <c r="BQ981" s="4"/>
      <c r="BR981" s="8"/>
      <c r="BS981" s="7"/>
      <c r="BT981" s="7"/>
      <c r="BU981" s="2" t="s">
        <v>3891</v>
      </c>
      <c r="BV981" s="2" t="s">
        <v>243</v>
      </c>
      <c r="BW981" s="2" t="s">
        <v>235</v>
      </c>
      <c r="BX981" s="2" t="s">
        <v>244</v>
      </c>
      <c r="BY981" s="2" t="s">
        <v>245</v>
      </c>
      <c r="BZ981" s="2" t="s">
        <v>232</v>
      </c>
      <c r="CA981" s="2" t="s">
        <v>1193</v>
      </c>
      <c r="CB981" s="2" t="s">
        <v>3007</v>
      </c>
      <c r="CC981" s="2" t="s">
        <v>248</v>
      </c>
      <c r="CD981" s="2" t="s">
        <v>248</v>
      </c>
      <c r="CE981" s="2" t="s">
        <v>235</v>
      </c>
      <c r="CF981" s="4">
        <v>644</v>
      </c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>
        <v>646</v>
      </c>
      <c r="GE981" s="4">
        <v>641</v>
      </c>
      <c r="GF981" s="4">
        <v>638</v>
      </c>
      <c r="GG981" s="4">
        <v>635</v>
      </c>
      <c r="GH981" s="4">
        <v>632</v>
      </c>
      <c r="GI981" s="4">
        <v>619</v>
      </c>
      <c r="GJ981" s="4">
        <v>606</v>
      </c>
      <c r="GK981" s="4">
        <v>592</v>
      </c>
      <c r="GL981" s="4">
        <v>578</v>
      </c>
      <c r="GM981" s="4">
        <v>566</v>
      </c>
      <c r="GN981" s="4">
        <v>554</v>
      </c>
      <c r="GO981" s="4">
        <v>537</v>
      </c>
      <c r="GP981" s="4">
        <v>514</v>
      </c>
      <c r="GQ981" s="4">
        <v>496</v>
      </c>
      <c r="GR981" s="4">
        <v>466</v>
      </c>
      <c r="GS981" s="4">
        <v>437</v>
      </c>
      <c r="GT981" s="4">
        <v>415</v>
      </c>
      <c r="GU981" s="4">
        <v>407</v>
      </c>
      <c r="GV981" s="4">
        <v>396</v>
      </c>
      <c r="GW981" s="4">
        <v>381</v>
      </c>
      <c r="GX981" s="4">
        <v>366</v>
      </c>
      <c r="GY981" s="4">
        <v>351</v>
      </c>
      <c r="GZ981" s="4">
        <v>345</v>
      </c>
      <c r="HA981" s="4">
        <v>339</v>
      </c>
      <c r="HB981" s="4">
        <v>333</v>
      </c>
      <c r="HC981" s="4">
        <v>327</v>
      </c>
      <c r="HD981" s="19">
        <v>161.5</v>
      </c>
      <c r="HE981" s="19">
        <v>106.8</v>
      </c>
      <c r="HF981" s="19">
        <v>79.8</v>
      </c>
      <c r="HG981" s="19">
        <v>57.7</v>
      </c>
      <c r="HH981" s="19">
        <v>45.1</v>
      </c>
      <c r="HI981" s="19">
        <v>47.6</v>
      </c>
      <c r="HJ981" s="19">
        <v>46.6</v>
      </c>
      <c r="HK981" s="19">
        <v>42.3</v>
      </c>
      <c r="HL981" s="19">
        <v>36.1</v>
      </c>
      <c r="HM981" s="19">
        <v>31.4</v>
      </c>
      <c r="HN981" s="19">
        <v>25.2</v>
      </c>
      <c r="HO981" s="19">
        <v>21.5</v>
      </c>
      <c r="HP981" s="19">
        <v>20.6</v>
      </c>
      <c r="HQ981" s="19">
        <v>22.5</v>
      </c>
      <c r="HR981" s="19">
        <v>25.9</v>
      </c>
      <c r="HS981" s="19">
        <v>31.2</v>
      </c>
      <c r="HT981" s="19">
        <v>34.6</v>
      </c>
      <c r="HU981" s="19">
        <v>29.1</v>
      </c>
      <c r="HV981" s="19">
        <v>30.5</v>
      </c>
      <c r="HW981" s="19">
        <v>38.1</v>
      </c>
      <c r="HX981" s="19">
        <v>45.8</v>
      </c>
      <c r="HY981" s="19">
        <v>58.5</v>
      </c>
      <c r="HZ981" s="19">
        <v>57.5</v>
      </c>
      <c r="IA981" s="19">
        <v>67.8</v>
      </c>
      <c r="IB981" s="19">
        <v>83.3</v>
      </c>
      <c r="IC981" s="19">
        <v>81.8</v>
      </c>
    </row>
    <row r="982">
      <c r="A982" s="2" t="s">
        <v>3900</v>
      </c>
      <c r="B982" s="2" t="s">
        <v>905</v>
      </c>
      <c r="C982" s="2" t="s">
        <v>1176</v>
      </c>
      <c r="D982" s="2" t="s">
        <v>2650</v>
      </c>
      <c r="E982" s="2" t="s">
        <v>2651</v>
      </c>
      <c r="F982" s="2" t="s">
        <v>3889</v>
      </c>
      <c r="G982" s="2" t="s">
        <v>3889</v>
      </c>
      <c r="H982" s="2" t="s">
        <v>3889</v>
      </c>
      <c r="I982" s="2" t="s">
        <v>2653</v>
      </c>
      <c r="J982" s="2" t="s">
        <v>272</v>
      </c>
      <c r="K982" s="2" t="s">
        <v>316</v>
      </c>
      <c r="L982" s="3">
        <v>68.18</v>
      </c>
      <c r="M982" s="3">
        <v>71.59</v>
      </c>
      <c r="N982" s="3">
        <v>139.99</v>
      </c>
      <c r="O982" s="2" t="s">
        <v>232</v>
      </c>
      <c r="P982" s="2" t="s">
        <v>878</v>
      </c>
      <c r="Q982" s="2" t="s">
        <v>234</v>
      </c>
      <c r="R982" s="2" t="s">
        <v>235</v>
      </c>
      <c r="S982" s="2" t="s">
        <v>3890</v>
      </c>
      <c r="T982" s="2" t="s">
        <v>501</v>
      </c>
      <c r="U982" s="2" t="s">
        <v>807</v>
      </c>
      <c r="V982" s="2" t="s">
        <v>863</v>
      </c>
      <c r="W982" s="2" t="s">
        <v>239</v>
      </c>
      <c r="X982" s="2" t="s">
        <v>235</v>
      </c>
      <c r="Y982" s="2" t="s">
        <v>1198</v>
      </c>
      <c r="Z982" s="4">
        <v>384</v>
      </c>
      <c r="AA982" s="4">
        <f>=ROUNDDOWN(160,0)</f>
      </c>
      <c r="AB982" s="5">
        <v>2.4</v>
      </c>
      <c r="AC982" s="2" t="s">
        <v>235</v>
      </c>
      <c r="AD982" s="4"/>
      <c r="AE982" s="4"/>
      <c r="AF982" s="6">
        <v>66</v>
      </c>
      <c r="AG982" s="6"/>
      <c r="AH982" s="7">
        <v>1</v>
      </c>
      <c r="AI982" s="4"/>
      <c r="AJ982" s="4">
        <f>=ROUNDDOWN({0},0)</f>
      </c>
      <c r="AK982" s="5"/>
      <c r="AL982" s="2" t="s">
        <v>235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235</v>
      </c>
      <c r="AW982" s="8" t="s">
        <v>235</v>
      </c>
      <c r="AX982" s="4" t="s">
        <v>235</v>
      </c>
      <c r="AY982" s="8" t="s">
        <v>235</v>
      </c>
      <c r="AZ982" s="7" t="s">
        <v>235</v>
      </c>
      <c r="BA982" s="7" t="s">
        <v>235</v>
      </c>
      <c r="BB982" s="7"/>
      <c r="BC982" s="4" t="s">
        <v>235</v>
      </c>
      <c r="BD982" s="8" t="s">
        <v>235</v>
      </c>
      <c r="BE982" s="4" t="s">
        <v>235</v>
      </c>
      <c r="BF982" s="8" t="s">
        <v>235</v>
      </c>
      <c r="BG982" s="7" t="s">
        <v>235</v>
      </c>
      <c r="BH982" s="7" t="s">
        <v>235</v>
      </c>
      <c r="BI982" s="7"/>
      <c r="BJ982" s="4">
        <v>1</v>
      </c>
      <c r="BK982" s="8">
        <v>78.12</v>
      </c>
      <c r="BL982" s="2" t="s">
        <v>1122</v>
      </c>
      <c r="BM982" s="7"/>
      <c r="BN982" s="7"/>
      <c r="BO982" s="4"/>
      <c r="BP982" s="8"/>
      <c r="BQ982" s="4"/>
      <c r="BR982" s="8"/>
      <c r="BS982" s="7"/>
      <c r="BT982" s="7"/>
      <c r="BU982" s="2" t="s">
        <v>3891</v>
      </c>
      <c r="BV982" s="2" t="s">
        <v>243</v>
      </c>
      <c r="BW982" s="2" t="s">
        <v>235</v>
      </c>
      <c r="BX982" s="2" t="s">
        <v>244</v>
      </c>
      <c r="BY982" s="2" t="s">
        <v>245</v>
      </c>
      <c r="BZ982" s="2" t="s">
        <v>232</v>
      </c>
      <c r="CA982" s="2" t="s">
        <v>1034</v>
      </c>
      <c r="CB982" s="2" t="s">
        <v>934</v>
      </c>
      <c r="CC982" s="2" t="s">
        <v>248</v>
      </c>
      <c r="CD982" s="2" t="s">
        <v>248</v>
      </c>
      <c r="CE982" s="2" t="s">
        <v>235</v>
      </c>
      <c r="CF982" s="4">
        <v>384</v>
      </c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>
        <v>386</v>
      </c>
      <c r="GE982" s="4">
        <v>383</v>
      </c>
      <c r="GF982" s="4">
        <v>381</v>
      </c>
      <c r="GG982" s="4">
        <v>379</v>
      </c>
      <c r="GH982" s="4">
        <v>376</v>
      </c>
      <c r="GI982" s="4">
        <v>372</v>
      </c>
      <c r="GJ982" s="4">
        <v>368</v>
      </c>
      <c r="GK982" s="4">
        <v>362</v>
      </c>
      <c r="GL982" s="4">
        <v>356</v>
      </c>
      <c r="GM982" s="4">
        <v>351</v>
      </c>
      <c r="GN982" s="4">
        <v>348</v>
      </c>
      <c r="GO982" s="4">
        <v>344</v>
      </c>
      <c r="GP982" s="4">
        <v>339</v>
      </c>
      <c r="GQ982" s="4">
        <v>333</v>
      </c>
      <c r="GR982" s="4">
        <v>324</v>
      </c>
      <c r="GS982" s="4">
        <v>314</v>
      </c>
      <c r="GT982" s="4">
        <v>306</v>
      </c>
      <c r="GU982" s="4">
        <v>303</v>
      </c>
      <c r="GV982" s="4">
        <v>299</v>
      </c>
      <c r="GW982" s="4">
        <v>295</v>
      </c>
      <c r="GX982" s="4">
        <v>291</v>
      </c>
      <c r="GY982" s="4">
        <v>287</v>
      </c>
      <c r="GZ982" s="4">
        <v>284</v>
      </c>
      <c r="HA982" s="4">
        <v>281</v>
      </c>
      <c r="HB982" s="4">
        <v>279</v>
      </c>
      <c r="HC982" s="4">
        <v>277</v>
      </c>
      <c r="HD982" s="19">
        <v>193</v>
      </c>
      <c r="HE982" s="19">
        <v>127.7</v>
      </c>
      <c r="HF982" s="19">
        <v>127</v>
      </c>
      <c r="HG982" s="19">
        <v>94.8</v>
      </c>
      <c r="HH982" s="19">
        <v>75.2</v>
      </c>
      <c r="HI982" s="19">
        <v>74.4</v>
      </c>
      <c r="HJ982" s="19">
        <v>73.6</v>
      </c>
      <c r="HK982" s="19">
        <v>90.5</v>
      </c>
      <c r="HL982" s="19">
        <v>89</v>
      </c>
      <c r="HM982" s="19">
        <v>87.8</v>
      </c>
      <c r="HN982" s="19">
        <v>58</v>
      </c>
      <c r="HO982" s="19">
        <v>43</v>
      </c>
      <c r="HP982" s="19">
        <v>42.4</v>
      </c>
      <c r="HQ982" s="19">
        <v>41.6</v>
      </c>
      <c r="HR982" s="19">
        <v>54</v>
      </c>
      <c r="HS982" s="19">
        <v>62.8</v>
      </c>
      <c r="HT982" s="19">
        <v>76.5</v>
      </c>
      <c r="HU982" s="19">
        <v>75.8</v>
      </c>
      <c r="HV982" s="19">
        <v>74.8</v>
      </c>
      <c r="HW982" s="19">
        <v>73.8</v>
      </c>
      <c r="HX982" s="19">
        <v>97</v>
      </c>
      <c r="HY982" s="19">
        <v>143.5</v>
      </c>
      <c r="HZ982" s="19">
        <v>142</v>
      </c>
      <c r="IA982" s="19">
        <v>140.5</v>
      </c>
      <c r="IB982" s="19">
        <v>139.5</v>
      </c>
      <c r="IC982" s="19">
        <v>138.5</v>
      </c>
    </row>
    <row r="983">
      <c r="A983" s="2" t="s">
        <v>3901</v>
      </c>
      <c r="B983" s="2" t="s">
        <v>852</v>
      </c>
      <c r="C983" s="2" t="s">
        <v>324</v>
      </c>
      <c r="D983" s="2" t="s">
        <v>854</v>
      </c>
      <c r="E983" s="2" t="s">
        <v>855</v>
      </c>
      <c r="F983" s="2" t="s">
        <v>3902</v>
      </c>
      <c r="G983" s="2" t="s">
        <v>3903</v>
      </c>
      <c r="H983" s="2" t="s">
        <v>3904</v>
      </c>
      <c r="I983" s="2" t="s">
        <v>3905</v>
      </c>
      <c r="J983" s="2" t="s">
        <v>3906</v>
      </c>
      <c r="K983" s="2" t="s">
        <v>378</v>
      </c>
      <c r="L983" s="3">
        <v>24.58</v>
      </c>
      <c r="M983" s="3">
        <v>25.81</v>
      </c>
      <c r="N983" s="3">
        <v>59.99</v>
      </c>
      <c r="O983" s="2" t="s">
        <v>232</v>
      </c>
      <c r="P983" s="2" t="s">
        <v>233</v>
      </c>
      <c r="Q983" s="2" t="s">
        <v>234</v>
      </c>
      <c r="R983" s="2" t="s">
        <v>235</v>
      </c>
      <c r="S983" s="2" t="s">
        <v>3907</v>
      </c>
      <c r="T983" s="2" t="s">
        <v>235</v>
      </c>
      <c r="U983" s="2" t="s">
        <v>807</v>
      </c>
      <c r="V983" s="2" t="s">
        <v>238</v>
      </c>
      <c r="W983" s="2" t="s">
        <v>1157</v>
      </c>
      <c r="X983" s="2" t="s">
        <v>2542</v>
      </c>
      <c r="Y983" s="2" t="s">
        <v>3908</v>
      </c>
      <c r="Z983" s="4">
        <v>126</v>
      </c>
      <c r="AA983" s="4">
        <f>=ROUNDDOWN(63,0)</f>
      </c>
      <c r="AB983" s="5">
        <v>2</v>
      </c>
      <c r="AC983" s="2" t="s">
        <v>235</v>
      </c>
      <c r="AD983" s="4"/>
      <c r="AE983" s="4"/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235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235</v>
      </c>
      <c r="AW983" s="8" t="s">
        <v>235</v>
      </c>
      <c r="AX983" s="4" t="s">
        <v>235</v>
      </c>
      <c r="AY983" s="8" t="s">
        <v>235</v>
      </c>
      <c r="AZ983" s="7" t="s">
        <v>235</v>
      </c>
      <c r="BA983" s="7" t="s">
        <v>235</v>
      </c>
      <c r="BB983" s="7"/>
      <c r="BC983" s="4" t="s">
        <v>235</v>
      </c>
      <c r="BD983" s="8" t="s">
        <v>235</v>
      </c>
      <c r="BE983" s="4" t="s">
        <v>235</v>
      </c>
      <c r="BF983" s="8" t="s">
        <v>235</v>
      </c>
      <c r="BG983" s="7" t="s">
        <v>235</v>
      </c>
      <c r="BH983" s="7" t="s">
        <v>235</v>
      </c>
      <c r="BI983" s="7"/>
      <c r="BJ983" s="4">
        <v>1</v>
      </c>
      <c r="BK983" s="8">
        <v>27.29</v>
      </c>
      <c r="BL983" s="2" t="s">
        <v>1580</v>
      </c>
      <c r="BM983" s="7"/>
      <c r="BN983" s="7"/>
      <c r="BO983" s="4"/>
      <c r="BP983" s="8"/>
      <c r="BQ983" s="4"/>
      <c r="BR983" s="8"/>
      <c r="BS983" s="7"/>
      <c r="BT983" s="7"/>
      <c r="BU983" s="2" t="s">
        <v>3909</v>
      </c>
      <c r="BV983" s="2" t="s">
        <v>867</v>
      </c>
      <c r="BW983" s="2" t="s">
        <v>235</v>
      </c>
      <c r="BX983" s="2" t="s">
        <v>685</v>
      </c>
      <c r="BY983" s="2" t="s">
        <v>245</v>
      </c>
      <c r="BZ983" s="2" t="s">
        <v>232</v>
      </c>
      <c r="CA983" s="2" t="s">
        <v>2780</v>
      </c>
      <c r="CB983" s="2" t="s">
        <v>1704</v>
      </c>
      <c r="CC983" s="2" t="s">
        <v>248</v>
      </c>
      <c r="CD983" s="2" t="s">
        <v>248</v>
      </c>
      <c r="CE983" s="2" t="s">
        <v>235</v>
      </c>
      <c r="CF983" s="4">
        <v>126</v>
      </c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>
        <v>126</v>
      </c>
      <c r="GE983" s="4">
        <v>125</v>
      </c>
      <c r="GF983" s="4">
        <v>124</v>
      </c>
      <c r="GG983" s="4">
        <v>122</v>
      </c>
      <c r="GH983" s="4">
        <v>120</v>
      </c>
      <c r="GI983" s="4">
        <v>118</v>
      </c>
      <c r="GJ983" s="4">
        <v>115</v>
      </c>
      <c r="GK983" s="4">
        <v>113</v>
      </c>
      <c r="GL983" s="4">
        <v>111</v>
      </c>
      <c r="GM983" s="4">
        <v>109</v>
      </c>
      <c r="GN983" s="4">
        <v>107</v>
      </c>
      <c r="GO983" s="4">
        <v>105</v>
      </c>
      <c r="GP983" s="4">
        <v>103</v>
      </c>
      <c r="GQ983" s="4">
        <v>100</v>
      </c>
      <c r="GR983" s="4">
        <v>98</v>
      </c>
      <c r="GS983" s="4">
        <v>96</v>
      </c>
      <c r="GT983" s="4">
        <v>94</v>
      </c>
      <c r="GU983" s="4">
        <v>92</v>
      </c>
      <c r="GV983" s="4">
        <v>90</v>
      </c>
      <c r="GW983" s="4">
        <v>88</v>
      </c>
      <c r="GX983" s="4">
        <v>86</v>
      </c>
      <c r="GY983" s="4">
        <v>84</v>
      </c>
      <c r="GZ983" s="4">
        <v>82</v>
      </c>
      <c r="HA983" s="4">
        <v>80</v>
      </c>
      <c r="HB983" s="4">
        <v>78</v>
      </c>
      <c r="HC983" s="4">
        <v>76</v>
      </c>
      <c r="HD983" s="19">
        <v>63</v>
      </c>
      <c r="HE983" s="19">
        <v>62.5</v>
      </c>
      <c r="HF983" s="19">
        <v>62</v>
      </c>
      <c r="HG983" s="19">
        <v>61</v>
      </c>
      <c r="HH983" s="19">
        <v>60</v>
      </c>
      <c r="HI983" s="19">
        <v>59</v>
      </c>
      <c r="HJ983" s="19">
        <v>57.5</v>
      </c>
      <c r="HK983" s="19">
        <v>56.5</v>
      </c>
      <c r="HL983" s="19">
        <v>55.5</v>
      </c>
      <c r="HM983" s="19">
        <v>54.5</v>
      </c>
      <c r="HN983" s="19">
        <v>53.5</v>
      </c>
      <c r="HO983" s="19">
        <v>52.5</v>
      </c>
      <c r="HP983" s="19">
        <v>51.5</v>
      </c>
      <c r="HQ983" s="19">
        <v>50</v>
      </c>
      <c r="HR983" s="19">
        <v>49</v>
      </c>
      <c r="HS983" s="19">
        <v>48</v>
      </c>
      <c r="HT983" s="19">
        <v>47</v>
      </c>
      <c r="HU983" s="19">
        <v>46</v>
      </c>
      <c r="HV983" s="19">
        <v>45</v>
      </c>
      <c r="HW983" s="19">
        <v>44</v>
      </c>
      <c r="HX983" s="19">
        <v>43</v>
      </c>
      <c r="HY983" s="19">
        <v>42</v>
      </c>
      <c r="HZ983" s="19">
        <v>41</v>
      </c>
      <c r="IA983" s="19">
        <v>40</v>
      </c>
      <c r="IB983" s="19">
        <v>39</v>
      </c>
      <c r="IC983" s="19">
        <v>38</v>
      </c>
    </row>
    <row r="984">
      <c r="A984" s="2" t="s">
        <v>3910</v>
      </c>
      <c r="B984" s="2" t="s">
        <v>852</v>
      </c>
      <c r="C984" s="2" t="s">
        <v>324</v>
      </c>
      <c r="D984" s="2" t="s">
        <v>854</v>
      </c>
      <c r="E984" s="2" t="s">
        <v>855</v>
      </c>
      <c r="F984" s="2" t="s">
        <v>3902</v>
      </c>
      <c r="G984" s="2" t="s">
        <v>3903</v>
      </c>
      <c r="H984" s="2" t="s">
        <v>3904</v>
      </c>
      <c r="I984" s="2" t="s">
        <v>3911</v>
      </c>
      <c r="J984" s="2" t="s">
        <v>3912</v>
      </c>
      <c r="K984" s="2" t="s">
        <v>378</v>
      </c>
      <c r="L984" s="3">
        <v>21.98</v>
      </c>
      <c r="M984" s="3">
        <v>23.08</v>
      </c>
      <c r="N984" s="3">
        <v>49.99</v>
      </c>
      <c r="O984" s="2" t="s">
        <v>232</v>
      </c>
      <c r="P984" s="2" t="s">
        <v>233</v>
      </c>
      <c r="Q984" s="2" t="s">
        <v>234</v>
      </c>
      <c r="R984" s="2" t="s">
        <v>235</v>
      </c>
      <c r="S984" s="2" t="s">
        <v>3907</v>
      </c>
      <c r="T984" s="2" t="s">
        <v>235</v>
      </c>
      <c r="U984" s="2" t="s">
        <v>807</v>
      </c>
      <c r="V984" s="2" t="s">
        <v>238</v>
      </c>
      <c r="W984" s="2" t="s">
        <v>1157</v>
      </c>
      <c r="X984" s="2" t="s">
        <v>864</v>
      </c>
      <c r="Y984" s="2" t="s">
        <v>3908</v>
      </c>
      <c r="Z984" s="4">
        <v>164</v>
      </c>
      <c r="AA984" s="4">
        <f>=ROUNDDOWN(41,0)</f>
      </c>
      <c r="AB984" s="5">
        <v>4</v>
      </c>
      <c r="AC984" s="2" t="s">
        <v>235</v>
      </c>
      <c r="AD984" s="4"/>
      <c r="AE984" s="4"/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235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235</v>
      </c>
      <c r="AW984" s="8" t="s">
        <v>235</v>
      </c>
      <c r="AX984" s="4" t="s">
        <v>235</v>
      </c>
      <c r="AY984" s="8" t="s">
        <v>235</v>
      </c>
      <c r="AZ984" s="7" t="s">
        <v>235</v>
      </c>
      <c r="BA984" s="7" t="s">
        <v>235</v>
      </c>
      <c r="BB984" s="7"/>
      <c r="BC984" s="4" t="s">
        <v>235</v>
      </c>
      <c r="BD984" s="8" t="s">
        <v>235</v>
      </c>
      <c r="BE984" s="4" t="s">
        <v>235</v>
      </c>
      <c r="BF984" s="8" t="s">
        <v>235</v>
      </c>
      <c r="BG984" s="7" t="s">
        <v>235</v>
      </c>
      <c r="BH984" s="7" t="s">
        <v>235</v>
      </c>
      <c r="BI984" s="7"/>
      <c r="BJ984" s="4">
        <v>3</v>
      </c>
      <c r="BK984" s="8">
        <v>86.13</v>
      </c>
      <c r="BL984" s="2" t="s">
        <v>900</v>
      </c>
      <c r="BM984" s="7"/>
      <c r="BN984" s="7"/>
      <c r="BO984" s="4"/>
      <c r="BP984" s="8"/>
      <c r="BQ984" s="4"/>
      <c r="BR984" s="8"/>
      <c r="BS984" s="7"/>
      <c r="BT984" s="7"/>
      <c r="BU984" s="2" t="s">
        <v>3913</v>
      </c>
      <c r="BV984" s="2" t="s">
        <v>867</v>
      </c>
      <c r="BW984" s="2" t="s">
        <v>235</v>
      </c>
      <c r="BX984" s="2" t="s">
        <v>685</v>
      </c>
      <c r="BY984" s="2" t="s">
        <v>245</v>
      </c>
      <c r="BZ984" s="2" t="s">
        <v>232</v>
      </c>
      <c r="CA984" s="2" t="s">
        <v>2780</v>
      </c>
      <c r="CB984" s="2" t="s">
        <v>480</v>
      </c>
      <c r="CC984" s="2" t="s">
        <v>248</v>
      </c>
      <c r="CD984" s="2" t="s">
        <v>248</v>
      </c>
      <c r="CE984" s="2" t="s">
        <v>235</v>
      </c>
      <c r="CF984" s="4">
        <v>164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>
        <v>166</v>
      </c>
      <c r="GE984" s="4">
        <v>160</v>
      </c>
      <c r="GF984" s="4">
        <v>156</v>
      </c>
      <c r="GG984" s="4">
        <v>152</v>
      </c>
      <c r="GH984" s="4">
        <v>147</v>
      </c>
      <c r="GI984" s="4">
        <v>143</v>
      </c>
      <c r="GJ984" s="4">
        <v>138</v>
      </c>
      <c r="GK984" s="4">
        <v>134</v>
      </c>
      <c r="GL984" s="4">
        <v>129</v>
      </c>
      <c r="GM984" s="4">
        <v>125</v>
      </c>
      <c r="GN984" s="4">
        <v>120</v>
      </c>
      <c r="GO984" s="4">
        <v>114</v>
      </c>
      <c r="GP984" s="4">
        <v>109</v>
      </c>
      <c r="GQ984" s="4">
        <v>103</v>
      </c>
      <c r="GR984" s="4">
        <v>98</v>
      </c>
      <c r="GS984" s="4">
        <v>92</v>
      </c>
      <c r="GT984" s="4">
        <v>88</v>
      </c>
      <c r="GU984" s="4">
        <v>83</v>
      </c>
      <c r="GV984" s="4">
        <v>79</v>
      </c>
      <c r="GW984" s="4">
        <v>75</v>
      </c>
      <c r="GX984" s="4">
        <v>71</v>
      </c>
      <c r="GY984" s="4">
        <v>67</v>
      </c>
      <c r="GZ984" s="4">
        <v>63</v>
      </c>
      <c r="HA984" s="4">
        <v>59</v>
      </c>
      <c r="HB984" s="4">
        <v>55</v>
      </c>
      <c r="HC984" s="4">
        <v>50</v>
      </c>
      <c r="HD984" s="19">
        <v>33.2</v>
      </c>
      <c r="HE984" s="19">
        <v>40</v>
      </c>
      <c r="HF984" s="19">
        <v>39</v>
      </c>
      <c r="HG984" s="19">
        <v>38</v>
      </c>
      <c r="HH984" s="19">
        <v>36.8</v>
      </c>
      <c r="HI984" s="19">
        <v>35.8</v>
      </c>
      <c r="HJ984" s="19">
        <v>34.5</v>
      </c>
      <c r="HK984" s="19">
        <v>26.8</v>
      </c>
      <c r="HL984" s="19">
        <v>25.8</v>
      </c>
      <c r="HM984" s="19">
        <v>20.8</v>
      </c>
      <c r="HN984" s="19">
        <v>20</v>
      </c>
      <c r="HO984" s="19">
        <v>19</v>
      </c>
      <c r="HP984" s="19">
        <v>21.8</v>
      </c>
      <c r="HQ984" s="19">
        <v>20.6</v>
      </c>
      <c r="HR984" s="19">
        <v>19.6</v>
      </c>
      <c r="HS984" s="19">
        <v>23</v>
      </c>
      <c r="HT984" s="19">
        <v>22</v>
      </c>
      <c r="HU984" s="19">
        <v>20.8</v>
      </c>
      <c r="HV984" s="19">
        <v>19.8</v>
      </c>
      <c r="HW984" s="19">
        <v>18.8</v>
      </c>
      <c r="HX984" s="19">
        <v>17.8</v>
      </c>
      <c r="HY984" s="19">
        <v>16.8</v>
      </c>
      <c r="HZ984" s="19">
        <v>15.8</v>
      </c>
      <c r="IA984" s="19">
        <v>14.8</v>
      </c>
      <c r="IB984" s="19">
        <v>13.8</v>
      </c>
      <c r="IC984" s="19">
        <v>12.5</v>
      </c>
    </row>
    <row r="985">
      <c r="A985" s="2" t="s">
        <v>3914</v>
      </c>
      <c r="B985" s="2" t="s">
        <v>852</v>
      </c>
      <c r="C985" s="2" t="s">
        <v>324</v>
      </c>
      <c r="D985" s="2" t="s">
        <v>854</v>
      </c>
      <c r="E985" s="2" t="s">
        <v>855</v>
      </c>
      <c r="F985" s="2" t="s">
        <v>3902</v>
      </c>
      <c r="G985" s="2" t="s">
        <v>3903</v>
      </c>
      <c r="H985" s="2" t="s">
        <v>3904</v>
      </c>
      <c r="I985" s="2" t="s">
        <v>3905</v>
      </c>
      <c r="J985" s="2" t="s">
        <v>1224</v>
      </c>
      <c r="K985" s="2" t="s">
        <v>506</v>
      </c>
      <c r="L985" s="3">
        <v>22.37</v>
      </c>
      <c r="M985" s="3">
        <v>23.49</v>
      </c>
      <c r="N985" s="3">
        <v>54.99</v>
      </c>
      <c r="O985" s="2" t="s">
        <v>232</v>
      </c>
      <c r="P985" s="2" t="s">
        <v>233</v>
      </c>
      <c r="Q985" s="2" t="s">
        <v>234</v>
      </c>
      <c r="R985" s="2" t="s">
        <v>235</v>
      </c>
      <c r="S985" s="2" t="s">
        <v>3915</v>
      </c>
      <c r="T985" s="2" t="s">
        <v>235</v>
      </c>
      <c r="U985" s="2" t="s">
        <v>807</v>
      </c>
      <c r="V985" s="2" t="s">
        <v>238</v>
      </c>
      <c r="W985" s="2" t="s">
        <v>1157</v>
      </c>
      <c r="X985" s="2" t="s">
        <v>2542</v>
      </c>
      <c r="Y985" s="2" t="s">
        <v>3916</v>
      </c>
      <c r="Z985" s="4">
        <v>185</v>
      </c>
      <c r="AA985" s="4">
        <f>=ROUNDDOWN(61.6666666666667,0)</f>
      </c>
      <c r="AB985" s="5">
        <v>3</v>
      </c>
      <c r="AC985" s="2" t="s">
        <v>235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235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235</v>
      </c>
      <c r="BD985" s="8" t="s">
        <v>235</v>
      </c>
      <c r="BE985" s="4" t="s">
        <v>235</v>
      </c>
      <c r="BF985" s="8" t="s">
        <v>235</v>
      </c>
      <c r="BG985" s="7" t="s">
        <v>235</v>
      </c>
      <c r="BH985" s="7" t="s">
        <v>235</v>
      </c>
      <c r="BI985" s="7"/>
      <c r="BJ985" s="4">
        <v>5</v>
      </c>
      <c r="BK985" s="8">
        <v>186.98</v>
      </c>
      <c r="BL985" s="2" t="s">
        <v>3917</v>
      </c>
      <c r="BM985" s="7"/>
      <c r="BN985" s="7"/>
      <c r="BO985" s="4"/>
      <c r="BP985" s="8"/>
      <c r="BQ985" s="4"/>
      <c r="BR985" s="8"/>
      <c r="BS985" s="7"/>
      <c r="BT985" s="7"/>
      <c r="BU985" s="2" t="s">
        <v>3909</v>
      </c>
      <c r="BV985" s="2" t="s">
        <v>867</v>
      </c>
      <c r="BW985" s="2" t="s">
        <v>235</v>
      </c>
      <c r="BX985" s="2" t="s">
        <v>685</v>
      </c>
      <c r="BY985" s="2" t="s">
        <v>245</v>
      </c>
      <c r="BZ985" s="2" t="s">
        <v>232</v>
      </c>
      <c r="CA985" s="2" t="s">
        <v>555</v>
      </c>
      <c r="CB985" s="2" t="s">
        <v>3918</v>
      </c>
      <c r="CC985" s="2" t="s">
        <v>248</v>
      </c>
      <c r="CD985" s="2" t="s">
        <v>248</v>
      </c>
      <c r="CE985" s="2" t="s">
        <v>235</v>
      </c>
      <c r="CF985" s="4">
        <v>185</v>
      </c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>
        <v>185</v>
      </c>
      <c r="GE985" s="4">
        <v>182</v>
      </c>
      <c r="GF985" s="4">
        <v>180</v>
      </c>
      <c r="GG985" s="4">
        <v>178</v>
      </c>
      <c r="GH985" s="4">
        <v>176</v>
      </c>
      <c r="GI985" s="4">
        <v>174</v>
      </c>
      <c r="GJ985" s="4">
        <v>172</v>
      </c>
      <c r="GK985" s="4">
        <v>169</v>
      </c>
      <c r="GL985" s="4">
        <v>165</v>
      </c>
      <c r="GM985" s="4">
        <v>162</v>
      </c>
      <c r="GN985" s="4">
        <v>159</v>
      </c>
      <c r="GO985" s="4">
        <v>155</v>
      </c>
      <c r="GP985" s="4">
        <v>151</v>
      </c>
      <c r="GQ985" s="4">
        <v>146</v>
      </c>
      <c r="GR985" s="4">
        <v>142</v>
      </c>
      <c r="GS985" s="4">
        <v>137</v>
      </c>
      <c r="GT985" s="4">
        <v>134</v>
      </c>
      <c r="GU985" s="4">
        <v>131</v>
      </c>
      <c r="GV985" s="4">
        <v>128</v>
      </c>
      <c r="GW985" s="4">
        <v>152</v>
      </c>
      <c r="GX985" s="4">
        <v>149</v>
      </c>
      <c r="GY985" s="4">
        <v>146</v>
      </c>
      <c r="GZ985" s="4">
        <v>143</v>
      </c>
      <c r="HA985" s="4">
        <v>140</v>
      </c>
      <c r="HB985" s="4">
        <v>137</v>
      </c>
      <c r="HC985" s="4">
        <v>134</v>
      </c>
      <c r="HD985" s="19">
        <v>92.5</v>
      </c>
      <c r="HE985" s="19">
        <v>91</v>
      </c>
      <c r="HF985" s="19">
        <v>90</v>
      </c>
      <c r="HG985" s="19">
        <v>89</v>
      </c>
      <c r="HH985" s="19">
        <v>58.7</v>
      </c>
      <c r="HI985" s="19">
        <v>58</v>
      </c>
      <c r="HJ985" s="19">
        <v>57.3</v>
      </c>
      <c r="HK985" s="19">
        <v>42.3</v>
      </c>
      <c r="HL985" s="19">
        <v>41.3</v>
      </c>
      <c r="HM985" s="19">
        <v>40.5</v>
      </c>
      <c r="HN985" s="19">
        <v>39.8</v>
      </c>
      <c r="HO985" s="19">
        <v>38.8</v>
      </c>
      <c r="HP985" s="19">
        <v>37.8</v>
      </c>
      <c r="HQ985" s="19">
        <v>36.5</v>
      </c>
      <c r="HR985" s="19">
        <v>35.5</v>
      </c>
      <c r="HS985" s="19">
        <v>45.7</v>
      </c>
      <c r="HT985" s="19">
        <v>44.7</v>
      </c>
      <c r="HU985" s="19">
        <v>43.7</v>
      </c>
      <c r="HV985" s="19">
        <v>42.7</v>
      </c>
      <c r="HW985" s="19">
        <v>50.7</v>
      </c>
      <c r="HX985" s="19">
        <v>49.7</v>
      </c>
      <c r="HY985" s="19">
        <v>48.7</v>
      </c>
      <c r="HZ985" s="19">
        <v>47.7</v>
      </c>
      <c r="IA985" s="19">
        <v>46.7</v>
      </c>
      <c r="IB985" s="19">
        <v>45.7</v>
      </c>
      <c r="IC985" s="19">
        <v>44.7</v>
      </c>
    </row>
    <row r="986">
      <c r="A986" s="2" t="s">
        <v>3919</v>
      </c>
      <c r="B986" s="2" t="s">
        <v>852</v>
      </c>
      <c r="C986" s="2" t="s">
        <v>324</v>
      </c>
      <c r="D986" s="2" t="s">
        <v>3920</v>
      </c>
      <c r="E986" s="2" t="s">
        <v>3921</v>
      </c>
      <c r="F986" s="2" t="s">
        <v>3902</v>
      </c>
      <c r="G986" s="2" t="s">
        <v>3903</v>
      </c>
      <c r="H986" s="2" t="s">
        <v>3904</v>
      </c>
      <c r="I986" s="2" t="s">
        <v>3922</v>
      </c>
      <c r="J986" s="2" t="s">
        <v>3923</v>
      </c>
      <c r="K986" s="2" t="s">
        <v>3924</v>
      </c>
      <c r="L986" s="3">
        <v>13.7</v>
      </c>
      <c r="M986" s="3">
        <v>14.38</v>
      </c>
      <c r="N986" s="3">
        <v>34.99</v>
      </c>
      <c r="O986" s="2" t="s">
        <v>232</v>
      </c>
      <c r="P986" s="2" t="s">
        <v>233</v>
      </c>
      <c r="Q986" s="2" t="s">
        <v>234</v>
      </c>
      <c r="R986" s="2" t="s">
        <v>235</v>
      </c>
      <c r="S986" s="2" t="s">
        <v>3925</v>
      </c>
      <c r="T986" s="2" t="s">
        <v>235</v>
      </c>
      <c r="U986" s="2" t="s">
        <v>235</v>
      </c>
      <c r="V986" s="2" t="s">
        <v>238</v>
      </c>
      <c r="W986" s="2" t="s">
        <v>1157</v>
      </c>
      <c r="X986" s="2" t="s">
        <v>235</v>
      </c>
      <c r="Y986" s="2" t="s">
        <v>3926</v>
      </c>
      <c r="Z986" s="4">
        <v>271</v>
      </c>
      <c r="AA986" s="4">
        <f>=ROUNDDOWN(90.3333333333333,0)</f>
      </c>
      <c r="AB986" s="5">
        <v>3</v>
      </c>
      <c r="AC986" s="2" t="s">
        <v>235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235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235</v>
      </c>
      <c r="BD986" s="8" t="s">
        <v>235</v>
      </c>
      <c r="BE986" s="4" t="s">
        <v>235</v>
      </c>
      <c r="BF986" s="8" t="s">
        <v>235</v>
      </c>
      <c r="BG986" s="7" t="s">
        <v>235</v>
      </c>
      <c r="BH986" s="7" t="s">
        <v>235</v>
      </c>
      <c r="BI986" s="7"/>
      <c r="BJ986" s="4">
        <v>2</v>
      </c>
      <c r="BK986" s="8">
        <v>30.48</v>
      </c>
      <c r="BL986" s="2" t="s">
        <v>1576</v>
      </c>
      <c r="BM986" s="7"/>
      <c r="BN986" s="7"/>
      <c r="BO986" s="4"/>
      <c r="BP986" s="8"/>
      <c r="BQ986" s="4"/>
      <c r="BR986" s="8"/>
      <c r="BS986" s="7"/>
      <c r="BT986" s="7"/>
      <c r="BU986" s="2" t="s">
        <v>3927</v>
      </c>
      <c r="BV986" s="2" t="s">
        <v>867</v>
      </c>
      <c r="BW986" s="2" t="s">
        <v>235</v>
      </c>
      <c r="BX986" s="2" t="s">
        <v>244</v>
      </c>
      <c r="BY986" s="2" t="s">
        <v>245</v>
      </c>
      <c r="BZ986" s="2" t="s">
        <v>232</v>
      </c>
      <c r="CA986" s="2" t="s">
        <v>3928</v>
      </c>
      <c r="CB986" s="2" t="s">
        <v>3929</v>
      </c>
      <c r="CC986" s="2" t="s">
        <v>248</v>
      </c>
      <c r="CD986" s="2" t="s">
        <v>248</v>
      </c>
      <c r="CE986" s="2" t="s">
        <v>235</v>
      </c>
      <c r="CF986" s="4">
        <v>271</v>
      </c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>
        <v>271</v>
      </c>
      <c r="GE986" s="4">
        <v>269</v>
      </c>
      <c r="GF986" s="4">
        <v>267</v>
      </c>
      <c r="GG986" s="4">
        <v>265</v>
      </c>
      <c r="GH986" s="4">
        <v>263</v>
      </c>
      <c r="GI986" s="4">
        <v>261</v>
      </c>
      <c r="GJ986" s="4">
        <v>259</v>
      </c>
      <c r="GK986" s="4">
        <v>257</v>
      </c>
      <c r="GL986" s="4">
        <v>255</v>
      </c>
      <c r="GM986" s="4">
        <v>253</v>
      </c>
      <c r="GN986" s="4">
        <v>251</v>
      </c>
      <c r="GO986" s="4">
        <v>248</v>
      </c>
      <c r="GP986" s="4">
        <v>245</v>
      </c>
      <c r="GQ986" s="4">
        <v>240</v>
      </c>
      <c r="GR986" s="4">
        <v>236</v>
      </c>
      <c r="GS986" s="4">
        <v>232</v>
      </c>
      <c r="GT986" s="4">
        <v>229</v>
      </c>
      <c r="GU986" s="4">
        <v>226</v>
      </c>
      <c r="GV986" s="4">
        <v>223</v>
      </c>
      <c r="GW986" s="4">
        <v>220</v>
      </c>
      <c r="GX986" s="4">
        <v>217</v>
      </c>
      <c r="GY986" s="4">
        <v>214</v>
      </c>
      <c r="GZ986" s="4">
        <v>211</v>
      </c>
      <c r="HA986" s="4">
        <v>208</v>
      </c>
      <c r="HB986" s="4">
        <v>205</v>
      </c>
      <c r="HC986" s="4">
        <v>202</v>
      </c>
      <c r="HD986" s="19">
        <v>135.5</v>
      </c>
      <c r="HE986" s="19">
        <v>134.5</v>
      </c>
      <c r="HF986" s="19">
        <v>133.5</v>
      </c>
      <c r="HG986" s="19">
        <v>132.5</v>
      </c>
      <c r="HH986" s="19">
        <v>131.5</v>
      </c>
      <c r="HI986" s="19">
        <v>130.5</v>
      </c>
      <c r="HJ986" s="19">
        <v>129.5</v>
      </c>
      <c r="HK986" s="19">
        <v>128.5</v>
      </c>
      <c r="HL986" s="19">
        <v>127.5</v>
      </c>
      <c r="HM986" s="19">
        <v>84.3</v>
      </c>
      <c r="HN986" s="19">
        <v>62.8</v>
      </c>
      <c r="HO986" s="19">
        <v>62</v>
      </c>
      <c r="HP986" s="19">
        <v>61.3</v>
      </c>
      <c r="HQ986" s="19">
        <v>60</v>
      </c>
      <c r="HR986" s="19">
        <v>78.7</v>
      </c>
      <c r="HS986" s="19">
        <v>77.3</v>
      </c>
      <c r="HT986" s="19">
        <v>76.3</v>
      </c>
      <c r="HU986" s="19">
        <v>75.3</v>
      </c>
      <c r="HV986" s="19">
        <v>74.3</v>
      </c>
      <c r="HW986" s="19">
        <v>73.3</v>
      </c>
      <c r="HX986" s="19">
        <v>72.3</v>
      </c>
      <c r="HY986" s="19">
        <v>71.3</v>
      </c>
      <c r="HZ986" s="19">
        <v>70.3</v>
      </c>
      <c r="IA986" s="19">
        <v>69.3</v>
      </c>
      <c r="IB986" s="19">
        <v>68.3</v>
      </c>
      <c r="IC986" s="19">
        <v>67.3</v>
      </c>
    </row>
    <row r="987">
      <c r="A987" s="2" t="s">
        <v>3930</v>
      </c>
      <c r="B987" s="2" t="s">
        <v>852</v>
      </c>
      <c r="C987" s="2" t="s">
        <v>324</v>
      </c>
      <c r="D987" s="2" t="s">
        <v>854</v>
      </c>
      <c r="E987" s="2" t="s">
        <v>855</v>
      </c>
      <c r="F987" s="2" t="s">
        <v>3902</v>
      </c>
      <c r="G987" s="2" t="s">
        <v>3903</v>
      </c>
      <c r="H987" s="2" t="s">
        <v>3904</v>
      </c>
      <c r="I987" s="2" t="s">
        <v>3905</v>
      </c>
      <c r="J987" s="2" t="s">
        <v>3906</v>
      </c>
      <c r="K987" s="2" t="s">
        <v>3931</v>
      </c>
      <c r="L987" s="3">
        <v>24.58</v>
      </c>
      <c r="M987" s="3">
        <v>25.81</v>
      </c>
      <c r="N987" s="3">
        <v>59.99</v>
      </c>
      <c r="O987" s="2" t="s">
        <v>232</v>
      </c>
      <c r="P987" s="2" t="s">
        <v>233</v>
      </c>
      <c r="Q987" s="2" t="s">
        <v>234</v>
      </c>
      <c r="R987" s="2" t="s">
        <v>235</v>
      </c>
      <c r="S987" s="2" t="s">
        <v>3932</v>
      </c>
      <c r="T987" s="2" t="s">
        <v>235</v>
      </c>
      <c r="U987" s="2" t="s">
        <v>807</v>
      </c>
      <c r="V987" s="2" t="s">
        <v>238</v>
      </c>
      <c r="W987" s="2" t="s">
        <v>1157</v>
      </c>
      <c r="X987" s="2" t="s">
        <v>2542</v>
      </c>
      <c r="Y987" s="2" t="s">
        <v>240</v>
      </c>
      <c r="Z987" s="4">
        <v>122</v>
      </c>
      <c r="AA987" s="4">
        <f>=ROUNDDOWN(122,0)</f>
      </c>
      <c r="AB987" s="5">
        <v>1</v>
      </c>
      <c r="AC987" s="2" t="s">
        <v>235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235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 t="s">
        <v>235</v>
      </c>
      <c r="BD987" s="8" t="s">
        <v>235</v>
      </c>
      <c r="BE987" s="4" t="s">
        <v>235</v>
      </c>
      <c r="BF987" s="8" t="s">
        <v>235</v>
      </c>
      <c r="BG987" s="7" t="s">
        <v>235</v>
      </c>
      <c r="BH987" s="7" t="s">
        <v>235</v>
      </c>
      <c r="BI987" s="7"/>
      <c r="BJ987" s="4"/>
      <c r="BK987" s="8"/>
      <c r="BL987" s="2" t="s">
        <v>235</v>
      </c>
      <c r="BM987" s="7"/>
      <c r="BN987" s="7"/>
      <c r="BO987" s="4"/>
      <c r="BP987" s="8"/>
      <c r="BQ987" s="4"/>
      <c r="BR987" s="8"/>
      <c r="BS987" s="7"/>
      <c r="BT987" s="7"/>
      <c r="BU987" s="2" t="s">
        <v>3909</v>
      </c>
      <c r="BV987" s="2" t="s">
        <v>867</v>
      </c>
      <c r="BW987" s="2" t="s">
        <v>235</v>
      </c>
      <c r="BX987" s="2" t="s">
        <v>685</v>
      </c>
      <c r="BY987" s="2" t="s">
        <v>245</v>
      </c>
      <c r="BZ987" s="2" t="s">
        <v>232</v>
      </c>
      <c r="CA987" s="2" t="s">
        <v>1558</v>
      </c>
      <c r="CB987" s="2" t="s">
        <v>1559</v>
      </c>
      <c r="CC987" s="2" t="s">
        <v>248</v>
      </c>
      <c r="CD987" s="2" t="s">
        <v>248</v>
      </c>
      <c r="CE987" s="2" t="s">
        <v>235</v>
      </c>
      <c r="CF987" s="4">
        <v>122</v>
      </c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>
        <v>122</v>
      </c>
      <c r="GE987" s="4">
        <v>121</v>
      </c>
      <c r="GF987" s="4">
        <v>120</v>
      </c>
      <c r="GG987" s="4">
        <v>119</v>
      </c>
      <c r="GH987" s="4">
        <v>118</v>
      </c>
      <c r="GI987" s="4">
        <v>117</v>
      </c>
      <c r="GJ987" s="4">
        <v>116</v>
      </c>
      <c r="GK987" s="4">
        <v>115</v>
      </c>
      <c r="GL987" s="4">
        <v>114</v>
      </c>
      <c r="GM987" s="4">
        <v>113</v>
      </c>
      <c r="GN987" s="4">
        <v>112</v>
      </c>
      <c r="GO987" s="4">
        <v>111</v>
      </c>
      <c r="GP987" s="4">
        <v>110</v>
      </c>
      <c r="GQ987" s="4">
        <v>108</v>
      </c>
      <c r="GR987" s="4">
        <v>107</v>
      </c>
      <c r="GS987" s="4">
        <v>106</v>
      </c>
      <c r="GT987" s="4">
        <v>105</v>
      </c>
      <c r="GU987" s="4">
        <v>104</v>
      </c>
      <c r="GV987" s="4">
        <v>103</v>
      </c>
      <c r="GW987" s="4">
        <v>102</v>
      </c>
      <c r="GX987" s="4">
        <v>101</v>
      </c>
      <c r="GY987" s="4">
        <v>100</v>
      </c>
      <c r="GZ987" s="4">
        <v>99</v>
      </c>
      <c r="HA987" s="4">
        <v>98</v>
      </c>
      <c r="HB987" s="4">
        <v>97</v>
      </c>
      <c r="HC987" s="4">
        <v>96</v>
      </c>
      <c r="HD987" s="19">
        <v>122</v>
      </c>
      <c r="HE987" s="19">
        <v>121</v>
      </c>
      <c r="HF987" s="19">
        <v>120</v>
      </c>
      <c r="HG987" s="19">
        <v>119</v>
      </c>
      <c r="HH987" s="19">
        <v>118</v>
      </c>
      <c r="HI987" s="19">
        <v>117</v>
      </c>
      <c r="HJ987" s="19">
        <v>116</v>
      </c>
      <c r="HK987" s="19">
        <v>115</v>
      </c>
      <c r="HL987" s="19">
        <v>114</v>
      </c>
      <c r="HM987" s="19">
        <v>113</v>
      </c>
      <c r="HN987" s="19">
        <v>112</v>
      </c>
      <c r="HO987" s="19">
        <v>111</v>
      </c>
      <c r="HP987" s="19">
        <v>110</v>
      </c>
      <c r="HQ987" s="19">
        <v>108</v>
      </c>
      <c r="HR987" s="19">
        <v>107</v>
      </c>
      <c r="HS987" s="19">
        <v>106</v>
      </c>
      <c r="HT987" s="19">
        <v>105</v>
      </c>
      <c r="HU987" s="19">
        <v>104</v>
      </c>
      <c r="HV987" s="19">
        <v>103</v>
      </c>
      <c r="HW987" s="19">
        <v>102</v>
      </c>
      <c r="HX987" s="19">
        <v>101</v>
      </c>
      <c r="HY987" s="19">
        <v>100</v>
      </c>
      <c r="HZ987" s="19">
        <v>99</v>
      </c>
      <c r="IA987" s="19">
        <v>98</v>
      </c>
      <c r="IB987" s="19">
        <v>97</v>
      </c>
      <c r="IC987" s="19">
        <v>96</v>
      </c>
    </row>
    <row r="988">
      <c r="A988" s="2" t="s">
        <v>3933</v>
      </c>
      <c r="B988" s="2" t="s">
        <v>852</v>
      </c>
      <c r="C988" s="2" t="s">
        <v>324</v>
      </c>
      <c r="D988" s="2" t="s">
        <v>3920</v>
      </c>
      <c r="E988" s="2" t="s">
        <v>3921</v>
      </c>
      <c r="F988" s="2" t="s">
        <v>3902</v>
      </c>
      <c r="G988" s="2" t="s">
        <v>3903</v>
      </c>
      <c r="H988" s="2" t="s">
        <v>3904</v>
      </c>
      <c r="I988" s="2" t="s">
        <v>3922</v>
      </c>
      <c r="J988" s="2" t="s">
        <v>3923</v>
      </c>
      <c r="K988" s="2" t="s">
        <v>600</v>
      </c>
      <c r="L988" s="3">
        <v>13.7</v>
      </c>
      <c r="M988" s="3">
        <v>14.38</v>
      </c>
      <c r="N988" s="3">
        <v>34.99</v>
      </c>
      <c r="O988" s="2" t="s">
        <v>232</v>
      </c>
      <c r="P988" s="2" t="s">
        <v>233</v>
      </c>
      <c r="Q988" s="2" t="s">
        <v>234</v>
      </c>
      <c r="R988" s="2" t="s">
        <v>235</v>
      </c>
      <c r="S988" s="2" t="s">
        <v>3934</v>
      </c>
      <c r="T988" s="2" t="s">
        <v>235</v>
      </c>
      <c r="U988" s="2" t="s">
        <v>807</v>
      </c>
      <c r="V988" s="2" t="s">
        <v>238</v>
      </c>
      <c r="W988" s="2" t="s">
        <v>1157</v>
      </c>
      <c r="X988" s="2" t="s">
        <v>235</v>
      </c>
      <c r="Y988" s="2" t="s">
        <v>3916</v>
      </c>
      <c r="Z988" s="4">
        <v>273</v>
      </c>
      <c r="AA988" s="4">
        <f>=ROUNDDOWN(75.8333333333333,0)</f>
      </c>
      <c r="AB988" s="5">
        <v>3.6</v>
      </c>
      <c r="AC988" s="2" t="s">
        <v>235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235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 t="s">
        <v>235</v>
      </c>
      <c r="BD988" s="8" t="s">
        <v>235</v>
      </c>
      <c r="BE988" s="4" t="s">
        <v>235</v>
      </c>
      <c r="BF988" s="8" t="s">
        <v>235</v>
      </c>
      <c r="BG988" s="7" t="s">
        <v>235</v>
      </c>
      <c r="BH988" s="7" t="s">
        <v>235</v>
      </c>
      <c r="BI988" s="7"/>
      <c r="BJ988" s="4">
        <v>13</v>
      </c>
      <c r="BK988" s="8">
        <v>198.12</v>
      </c>
      <c r="BL988" s="2" t="s">
        <v>3935</v>
      </c>
      <c r="BM988" s="7"/>
      <c r="BN988" s="7"/>
      <c r="BO988" s="4"/>
      <c r="BP988" s="8"/>
      <c r="BQ988" s="4"/>
      <c r="BR988" s="8"/>
      <c r="BS988" s="7"/>
      <c r="BT988" s="7"/>
      <c r="BU988" s="2" t="s">
        <v>3927</v>
      </c>
      <c r="BV988" s="2" t="s">
        <v>867</v>
      </c>
      <c r="BW988" s="2" t="s">
        <v>235</v>
      </c>
      <c r="BX988" s="2" t="s">
        <v>244</v>
      </c>
      <c r="BY988" s="2" t="s">
        <v>245</v>
      </c>
      <c r="BZ988" s="2" t="s">
        <v>232</v>
      </c>
      <c r="CA988" s="2" t="s">
        <v>3936</v>
      </c>
      <c r="CB988" s="2" t="s">
        <v>3937</v>
      </c>
      <c r="CC988" s="2" t="s">
        <v>248</v>
      </c>
      <c r="CD988" s="2" t="s">
        <v>248</v>
      </c>
      <c r="CE988" s="2" t="s">
        <v>235</v>
      </c>
      <c r="CF988" s="4">
        <v>273</v>
      </c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>
        <v>273</v>
      </c>
      <c r="GE988" s="4">
        <v>269</v>
      </c>
      <c r="GF988" s="4">
        <v>266</v>
      </c>
      <c r="GG988" s="4">
        <v>263</v>
      </c>
      <c r="GH988" s="4">
        <v>260</v>
      </c>
      <c r="GI988" s="4">
        <v>257</v>
      </c>
      <c r="GJ988" s="4">
        <v>254</v>
      </c>
      <c r="GK988" s="4">
        <v>251</v>
      </c>
      <c r="GL988" s="4">
        <v>248</v>
      </c>
      <c r="GM988" s="4">
        <v>245</v>
      </c>
      <c r="GN988" s="4">
        <v>241</v>
      </c>
      <c r="GO988" s="4">
        <v>237</v>
      </c>
      <c r="GP988" s="4">
        <v>233</v>
      </c>
      <c r="GQ988" s="4">
        <v>227</v>
      </c>
      <c r="GR988" s="4">
        <v>221</v>
      </c>
      <c r="GS988" s="4">
        <v>215</v>
      </c>
      <c r="GT988" s="4">
        <v>211</v>
      </c>
      <c r="GU988" s="4">
        <v>207</v>
      </c>
      <c r="GV988" s="4">
        <v>203</v>
      </c>
      <c r="GW988" s="4">
        <v>209</v>
      </c>
      <c r="GX988" s="4">
        <v>205</v>
      </c>
      <c r="GY988" s="4">
        <v>201</v>
      </c>
      <c r="GZ988" s="4">
        <v>197</v>
      </c>
      <c r="HA988" s="4">
        <v>193</v>
      </c>
      <c r="HB988" s="4">
        <v>189</v>
      </c>
      <c r="HC988" s="4">
        <v>184</v>
      </c>
      <c r="HD988" s="19">
        <v>91</v>
      </c>
      <c r="HE988" s="19">
        <v>89.7</v>
      </c>
      <c r="HF988" s="19">
        <v>88.7</v>
      </c>
      <c r="HG988" s="19">
        <v>87.7</v>
      </c>
      <c r="HH988" s="19">
        <v>86.7</v>
      </c>
      <c r="HI988" s="19">
        <v>85.7</v>
      </c>
      <c r="HJ988" s="19">
        <v>84.7</v>
      </c>
      <c r="HK988" s="19">
        <v>62.8</v>
      </c>
      <c r="HL988" s="19">
        <v>62</v>
      </c>
      <c r="HM988" s="19">
        <v>61.3</v>
      </c>
      <c r="HN988" s="19">
        <v>48.2</v>
      </c>
      <c r="HO988" s="19">
        <v>39.5</v>
      </c>
      <c r="HP988" s="19">
        <v>38.8</v>
      </c>
      <c r="HQ988" s="19">
        <v>45.4</v>
      </c>
      <c r="HR988" s="19">
        <v>55.3</v>
      </c>
      <c r="HS988" s="19">
        <v>53.8</v>
      </c>
      <c r="HT988" s="19">
        <v>52.8</v>
      </c>
      <c r="HU988" s="19">
        <v>51.8</v>
      </c>
      <c r="HV988" s="19">
        <v>50.8</v>
      </c>
      <c r="HW988" s="19">
        <v>52.3</v>
      </c>
      <c r="HX988" s="19">
        <v>51.3</v>
      </c>
      <c r="HY988" s="19">
        <v>50.3</v>
      </c>
      <c r="HZ988" s="19">
        <v>49.3</v>
      </c>
      <c r="IA988" s="19">
        <v>48.3</v>
      </c>
      <c r="IB988" s="19">
        <v>47.3</v>
      </c>
      <c r="IC988" s="19">
        <v>46</v>
      </c>
    </row>
    <row r="989">
      <c r="A989" s="2" t="s">
        <v>3938</v>
      </c>
      <c r="B989" s="2" t="s">
        <v>852</v>
      </c>
      <c r="C989" s="2" t="s">
        <v>324</v>
      </c>
      <c r="D989" s="2" t="s">
        <v>854</v>
      </c>
      <c r="E989" s="2" t="s">
        <v>855</v>
      </c>
      <c r="F989" s="2" t="s">
        <v>3902</v>
      </c>
      <c r="G989" s="2" t="s">
        <v>3903</v>
      </c>
      <c r="H989" s="2" t="s">
        <v>3904</v>
      </c>
      <c r="I989" s="2" t="s">
        <v>3911</v>
      </c>
      <c r="J989" s="2" t="s">
        <v>3912</v>
      </c>
      <c r="K989" s="2" t="s">
        <v>3939</v>
      </c>
      <c r="L989" s="3">
        <v>21.98</v>
      </c>
      <c r="M989" s="3">
        <v>23.08</v>
      </c>
      <c r="N989" s="3">
        <v>49.99</v>
      </c>
      <c r="O989" s="2" t="s">
        <v>232</v>
      </c>
      <c r="P989" s="2" t="s">
        <v>233</v>
      </c>
      <c r="Q989" s="2" t="s">
        <v>234</v>
      </c>
      <c r="R989" s="2" t="s">
        <v>235</v>
      </c>
      <c r="S989" s="2" t="s">
        <v>3940</v>
      </c>
      <c r="T989" s="2" t="s">
        <v>235</v>
      </c>
      <c r="U989" s="2" t="s">
        <v>807</v>
      </c>
      <c r="V989" s="2" t="s">
        <v>238</v>
      </c>
      <c r="W989" s="2" t="s">
        <v>1157</v>
      </c>
      <c r="X989" s="2" t="s">
        <v>864</v>
      </c>
      <c r="Y989" s="2" t="s">
        <v>3941</v>
      </c>
      <c r="Z989" s="4">
        <v>246</v>
      </c>
      <c r="AA989" s="4">
        <f>=ROUNDDOWN(61.5,0)</f>
      </c>
      <c r="AB989" s="5">
        <v>4</v>
      </c>
      <c r="AC989" s="2" t="s">
        <v>235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235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 t="s">
        <v>235</v>
      </c>
      <c r="BD989" s="8" t="s">
        <v>235</v>
      </c>
      <c r="BE989" s="4" t="s">
        <v>235</v>
      </c>
      <c r="BF989" s="8" t="s">
        <v>235</v>
      </c>
      <c r="BG989" s="7" t="s">
        <v>235</v>
      </c>
      <c r="BH989" s="7" t="s">
        <v>235</v>
      </c>
      <c r="BI989" s="7"/>
      <c r="BJ989" s="4"/>
      <c r="BK989" s="8"/>
      <c r="BL989" s="2" t="s">
        <v>3942</v>
      </c>
      <c r="BM989" s="7"/>
      <c r="BN989" s="7"/>
      <c r="BO989" s="4"/>
      <c r="BP989" s="8"/>
      <c r="BQ989" s="4"/>
      <c r="BR989" s="8"/>
      <c r="BS989" s="7"/>
      <c r="BT989" s="7"/>
      <c r="BU989" s="2" t="s">
        <v>3913</v>
      </c>
      <c r="BV989" s="2" t="s">
        <v>867</v>
      </c>
      <c r="BW989" s="2" t="s">
        <v>235</v>
      </c>
      <c r="BX989" s="2" t="s">
        <v>685</v>
      </c>
      <c r="BY989" s="2" t="s">
        <v>245</v>
      </c>
      <c r="BZ989" s="2" t="s">
        <v>232</v>
      </c>
      <c r="CA989" s="2" t="s">
        <v>3943</v>
      </c>
      <c r="CB989" s="2" t="s">
        <v>3944</v>
      </c>
      <c r="CC989" s="2" t="s">
        <v>248</v>
      </c>
      <c r="CD989" s="2" t="s">
        <v>248</v>
      </c>
      <c r="CE989" s="2" t="s">
        <v>235</v>
      </c>
      <c r="CF989" s="4">
        <v>246</v>
      </c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>
        <v>246</v>
      </c>
      <c r="GE989" s="4">
        <v>242</v>
      </c>
      <c r="GF989" s="4">
        <v>239</v>
      </c>
      <c r="GG989" s="4">
        <v>236</v>
      </c>
      <c r="GH989" s="4">
        <v>231</v>
      </c>
      <c r="GI989" s="4">
        <v>227</v>
      </c>
      <c r="GJ989" s="4">
        <v>222</v>
      </c>
      <c r="GK989" s="4">
        <v>218</v>
      </c>
      <c r="GL989" s="4">
        <v>213</v>
      </c>
      <c r="GM989" s="4">
        <v>209</v>
      </c>
      <c r="GN989" s="4">
        <v>204</v>
      </c>
      <c r="GO989" s="4">
        <v>198</v>
      </c>
      <c r="GP989" s="4">
        <v>193</v>
      </c>
      <c r="GQ989" s="4">
        <v>187</v>
      </c>
      <c r="GR989" s="4">
        <v>182</v>
      </c>
      <c r="GS989" s="4">
        <v>176</v>
      </c>
      <c r="GT989" s="4">
        <v>172</v>
      </c>
      <c r="GU989" s="4">
        <v>167</v>
      </c>
      <c r="GV989" s="4">
        <v>163</v>
      </c>
      <c r="GW989" s="4">
        <v>159</v>
      </c>
      <c r="GX989" s="4">
        <v>155</v>
      </c>
      <c r="GY989" s="4">
        <v>151</v>
      </c>
      <c r="GZ989" s="4">
        <v>147</v>
      </c>
      <c r="HA989" s="4">
        <v>143</v>
      </c>
      <c r="HB989" s="4">
        <v>139</v>
      </c>
      <c r="HC989" s="4">
        <v>134</v>
      </c>
      <c r="HD989" s="19">
        <v>61.5</v>
      </c>
      <c r="HE989" s="19">
        <v>60.5</v>
      </c>
      <c r="HF989" s="19">
        <v>59.8</v>
      </c>
      <c r="HG989" s="19">
        <v>59</v>
      </c>
      <c r="HH989" s="19">
        <v>57.8</v>
      </c>
      <c r="HI989" s="19">
        <v>56.8</v>
      </c>
      <c r="HJ989" s="19">
        <v>55.5</v>
      </c>
      <c r="HK989" s="19">
        <v>43.6</v>
      </c>
      <c r="HL989" s="19">
        <v>42.6</v>
      </c>
      <c r="HM989" s="19">
        <v>34.8</v>
      </c>
      <c r="HN989" s="19">
        <v>34</v>
      </c>
      <c r="HO989" s="19">
        <v>33</v>
      </c>
      <c r="HP989" s="19">
        <v>38.6</v>
      </c>
      <c r="HQ989" s="19">
        <v>37.4</v>
      </c>
      <c r="HR989" s="19">
        <v>36.4</v>
      </c>
      <c r="HS989" s="19">
        <v>44</v>
      </c>
      <c r="HT989" s="19">
        <v>43</v>
      </c>
      <c r="HU989" s="19">
        <v>41.8</v>
      </c>
      <c r="HV989" s="19">
        <v>40.8</v>
      </c>
      <c r="HW989" s="19">
        <v>39.8</v>
      </c>
      <c r="HX989" s="19">
        <v>38.8</v>
      </c>
      <c r="HY989" s="19">
        <v>37.8</v>
      </c>
      <c r="HZ989" s="19">
        <v>36.8</v>
      </c>
      <c r="IA989" s="19">
        <v>35.8</v>
      </c>
      <c r="IB989" s="19">
        <v>34.8</v>
      </c>
      <c r="IC989" s="19">
        <v>33.5</v>
      </c>
    </row>
    <row r="990">
      <c r="A990" s="2" t="s">
        <v>3945</v>
      </c>
      <c r="B990" s="2" t="s">
        <v>852</v>
      </c>
      <c r="C990" s="2" t="s">
        <v>324</v>
      </c>
      <c r="D990" s="2" t="s">
        <v>854</v>
      </c>
      <c r="E990" s="2" t="s">
        <v>855</v>
      </c>
      <c r="F990" s="2" t="s">
        <v>3902</v>
      </c>
      <c r="G990" s="2" t="s">
        <v>3903</v>
      </c>
      <c r="H990" s="2" t="s">
        <v>3904</v>
      </c>
      <c r="I990" s="2" t="s">
        <v>3905</v>
      </c>
      <c r="J990" s="2" t="s">
        <v>1224</v>
      </c>
      <c r="K990" s="2" t="s">
        <v>1575</v>
      </c>
      <c r="L990" s="3">
        <v>22.37</v>
      </c>
      <c r="M990" s="3">
        <v>23.49</v>
      </c>
      <c r="N990" s="3">
        <v>54.99</v>
      </c>
      <c r="O990" s="2" t="s">
        <v>232</v>
      </c>
      <c r="P990" s="2" t="s">
        <v>233</v>
      </c>
      <c r="Q990" s="2" t="s">
        <v>234</v>
      </c>
      <c r="R990" s="2" t="s">
        <v>235</v>
      </c>
      <c r="S990" s="2" t="s">
        <v>3946</v>
      </c>
      <c r="T990" s="2" t="s">
        <v>235</v>
      </c>
      <c r="U990" s="2" t="s">
        <v>807</v>
      </c>
      <c r="V990" s="2" t="s">
        <v>238</v>
      </c>
      <c r="W990" s="2" t="s">
        <v>1157</v>
      </c>
      <c r="X990" s="2" t="s">
        <v>2542</v>
      </c>
      <c r="Y990" s="2" t="s">
        <v>3916</v>
      </c>
      <c r="Z990" s="4">
        <v>165</v>
      </c>
      <c r="AA990" s="4">
        <f>=ROUNDDOWN(33,0)</f>
      </c>
      <c r="AB990" s="5">
        <v>5</v>
      </c>
      <c r="AC990" s="2" t="s">
        <v>235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235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235</v>
      </c>
      <c r="BD990" s="8" t="s">
        <v>235</v>
      </c>
      <c r="BE990" s="4" t="s">
        <v>235</v>
      </c>
      <c r="BF990" s="8" t="s">
        <v>235</v>
      </c>
      <c r="BG990" s="7" t="s">
        <v>235</v>
      </c>
      <c r="BH990" s="7" t="s">
        <v>235</v>
      </c>
      <c r="BI990" s="7"/>
      <c r="BJ990" s="4">
        <v>10</v>
      </c>
      <c r="BK990" s="8">
        <v>232.6</v>
      </c>
      <c r="BL990" s="2" t="s">
        <v>3947</v>
      </c>
      <c r="BM990" s="7"/>
      <c r="BN990" s="7"/>
      <c r="BO990" s="4"/>
      <c r="BP990" s="8"/>
      <c r="BQ990" s="4"/>
      <c r="BR990" s="8"/>
      <c r="BS990" s="7"/>
      <c r="BT990" s="7"/>
      <c r="BU990" s="2" t="s">
        <v>3909</v>
      </c>
      <c r="BV990" s="2" t="s">
        <v>867</v>
      </c>
      <c r="BW990" s="2" t="s">
        <v>235</v>
      </c>
      <c r="BX990" s="2" t="s">
        <v>685</v>
      </c>
      <c r="BY990" s="2" t="s">
        <v>245</v>
      </c>
      <c r="BZ990" s="2" t="s">
        <v>232</v>
      </c>
      <c r="CA990" s="2" t="s">
        <v>3936</v>
      </c>
      <c r="CB990" s="2" t="s">
        <v>3948</v>
      </c>
      <c r="CC990" s="2" t="s">
        <v>248</v>
      </c>
      <c r="CD990" s="2" t="s">
        <v>248</v>
      </c>
      <c r="CE990" s="2" t="s">
        <v>235</v>
      </c>
      <c r="CF990" s="4">
        <v>165</v>
      </c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>
        <v>165</v>
      </c>
      <c r="GE990" s="4">
        <v>158</v>
      </c>
      <c r="GF990" s="4">
        <v>153</v>
      </c>
      <c r="GG990" s="4">
        <v>147</v>
      </c>
      <c r="GH990" s="4">
        <v>140</v>
      </c>
      <c r="GI990" s="4">
        <v>133</v>
      </c>
      <c r="GJ990" s="4">
        <v>124</v>
      </c>
      <c r="GK990" s="4">
        <v>117</v>
      </c>
      <c r="GL990" s="4">
        <v>109</v>
      </c>
      <c r="GM990" s="4">
        <v>104</v>
      </c>
      <c r="GN990" s="4">
        <v>99</v>
      </c>
      <c r="GO990" s="4">
        <v>93</v>
      </c>
      <c r="GP990" s="4">
        <v>87</v>
      </c>
      <c r="GQ990" s="4">
        <v>80</v>
      </c>
      <c r="GR990" s="4">
        <v>74</v>
      </c>
      <c r="GS990" s="4">
        <v>67</v>
      </c>
      <c r="GT990" s="4">
        <v>62</v>
      </c>
      <c r="GU990" s="4">
        <v>57</v>
      </c>
      <c r="GV990" s="4">
        <v>51</v>
      </c>
      <c r="GW990" s="4">
        <v>183</v>
      </c>
      <c r="GX990" s="4">
        <v>178</v>
      </c>
      <c r="GY990" s="4">
        <v>173</v>
      </c>
      <c r="GZ990" s="4">
        <v>168</v>
      </c>
      <c r="HA990" s="4">
        <v>163</v>
      </c>
      <c r="HB990" s="4">
        <v>158</v>
      </c>
      <c r="HC990" s="4">
        <v>153</v>
      </c>
      <c r="HD990" s="19">
        <v>27.5</v>
      </c>
      <c r="HE990" s="19">
        <v>26.3</v>
      </c>
      <c r="HF990" s="19">
        <v>21.9</v>
      </c>
      <c r="HG990" s="19">
        <v>18.4</v>
      </c>
      <c r="HH990" s="19">
        <v>17.5</v>
      </c>
      <c r="HI990" s="19">
        <v>19</v>
      </c>
      <c r="HJ990" s="19">
        <v>20.7</v>
      </c>
      <c r="HK990" s="19">
        <v>19.5</v>
      </c>
      <c r="HL990" s="19">
        <v>18.2</v>
      </c>
      <c r="HM990" s="19">
        <v>17.3</v>
      </c>
      <c r="HN990" s="19">
        <v>16.5</v>
      </c>
      <c r="HO990" s="19">
        <v>15.5</v>
      </c>
      <c r="HP990" s="19">
        <v>14.5</v>
      </c>
      <c r="HQ990" s="19">
        <v>13.3</v>
      </c>
      <c r="HR990" s="19">
        <v>12.3</v>
      </c>
      <c r="HS990" s="19">
        <v>13.4</v>
      </c>
      <c r="HT990" s="19">
        <v>12.4</v>
      </c>
      <c r="HU990" s="19">
        <v>11.4</v>
      </c>
      <c r="HV990" s="19">
        <v>10.2</v>
      </c>
      <c r="HW990" s="19">
        <v>36.6</v>
      </c>
      <c r="HX990" s="19">
        <v>35.6</v>
      </c>
      <c r="HY990" s="19">
        <v>34.6</v>
      </c>
      <c r="HZ990" s="19">
        <v>33.6</v>
      </c>
      <c r="IA990" s="19">
        <v>32.6</v>
      </c>
      <c r="IB990" s="19">
        <v>31.6</v>
      </c>
      <c r="IC990" s="19">
        <v>30.6</v>
      </c>
    </row>
    <row r="991">
      <c r="A991" s="2" t="s">
        <v>3949</v>
      </c>
      <c r="B991" s="2" t="s">
        <v>852</v>
      </c>
      <c r="C991" s="2" t="s">
        <v>324</v>
      </c>
      <c r="D991" s="2" t="s">
        <v>854</v>
      </c>
      <c r="E991" s="2" t="s">
        <v>1005</v>
      </c>
      <c r="F991" s="2" t="s">
        <v>3902</v>
      </c>
      <c r="G991" s="2" t="s">
        <v>3903</v>
      </c>
      <c r="H991" s="2" t="s">
        <v>3904</v>
      </c>
      <c r="I991" s="2" t="s">
        <v>3950</v>
      </c>
      <c r="J991" s="2" t="s">
        <v>3803</v>
      </c>
      <c r="K991" s="2" t="s">
        <v>316</v>
      </c>
      <c r="L991" s="3">
        <v>30.87</v>
      </c>
      <c r="M991" s="3">
        <v>32.41</v>
      </c>
      <c r="N991" s="3">
        <v>74.99</v>
      </c>
      <c r="O991" s="2" t="s">
        <v>232</v>
      </c>
      <c r="P991" s="2" t="s">
        <v>233</v>
      </c>
      <c r="Q991" s="2" t="s">
        <v>234</v>
      </c>
      <c r="R991" s="2" t="s">
        <v>235</v>
      </c>
      <c r="S991" s="2" t="s">
        <v>3951</v>
      </c>
      <c r="T991" s="2" t="s">
        <v>235</v>
      </c>
      <c r="U991" s="2" t="s">
        <v>278</v>
      </c>
      <c r="V991" s="2" t="s">
        <v>238</v>
      </c>
      <c r="W991" s="2" t="s">
        <v>1157</v>
      </c>
      <c r="X991" s="2" t="s">
        <v>2542</v>
      </c>
      <c r="Y991" s="2" t="s">
        <v>3952</v>
      </c>
      <c r="Z991" s="4">
        <v>489</v>
      </c>
      <c r="AA991" s="4">
        <f>=ROUNDDOWN(69.8571428571428,0)</f>
      </c>
      <c r="AB991" s="5">
        <v>7</v>
      </c>
      <c r="AC991" s="2" t="s">
        <v>235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235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235</v>
      </c>
      <c r="BD991" s="8" t="s">
        <v>235</v>
      </c>
      <c r="BE991" s="4" t="s">
        <v>235</v>
      </c>
      <c r="BF991" s="8" t="s">
        <v>235</v>
      </c>
      <c r="BG991" s="7" t="s">
        <v>235</v>
      </c>
      <c r="BH991" s="7" t="s">
        <v>235</v>
      </c>
      <c r="BI991" s="7"/>
      <c r="BJ991" s="4">
        <v>4</v>
      </c>
      <c r="BK991" s="8">
        <v>138.1</v>
      </c>
      <c r="BL991" s="2" t="s">
        <v>3953</v>
      </c>
      <c r="BM991" s="7"/>
      <c r="BN991" s="7"/>
      <c r="BO991" s="4"/>
      <c r="BP991" s="8"/>
      <c r="BQ991" s="4"/>
      <c r="BR991" s="8"/>
      <c r="BS991" s="7"/>
      <c r="BT991" s="7"/>
      <c r="BU991" s="2" t="s">
        <v>3954</v>
      </c>
      <c r="BV991" s="2" t="s">
        <v>867</v>
      </c>
      <c r="BW991" s="2" t="s">
        <v>235</v>
      </c>
      <c r="BX991" s="2" t="s">
        <v>685</v>
      </c>
      <c r="BY991" s="2" t="s">
        <v>245</v>
      </c>
      <c r="BZ991" s="2" t="s">
        <v>232</v>
      </c>
      <c r="CA991" s="2" t="s">
        <v>3955</v>
      </c>
      <c r="CB991" s="2" t="s">
        <v>3956</v>
      </c>
      <c r="CC991" s="2" t="s">
        <v>248</v>
      </c>
      <c r="CD991" s="2" t="s">
        <v>248</v>
      </c>
      <c r="CE991" s="2" t="s">
        <v>235</v>
      </c>
      <c r="CF991" s="4">
        <v>489</v>
      </c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>
        <v>489</v>
      </c>
      <c r="GE991" s="4">
        <v>487</v>
      </c>
      <c r="GF991" s="4">
        <v>485</v>
      </c>
      <c r="GG991" s="4">
        <v>483</v>
      </c>
      <c r="GH991" s="4">
        <v>481</v>
      </c>
      <c r="GI991" s="4">
        <v>479</v>
      </c>
      <c r="GJ991" s="4">
        <v>473</v>
      </c>
      <c r="GK991" s="4">
        <v>464</v>
      </c>
      <c r="GL991" s="4">
        <v>453</v>
      </c>
      <c r="GM991" s="4">
        <v>446</v>
      </c>
      <c r="GN991" s="4">
        <v>437</v>
      </c>
      <c r="GO991" s="4">
        <v>429</v>
      </c>
      <c r="GP991" s="4">
        <v>421</v>
      </c>
      <c r="GQ991" s="4">
        <v>413</v>
      </c>
      <c r="GR991" s="4">
        <v>405</v>
      </c>
      <c r="GS991" s="4">
        <v>397</v>
      </c>
      <c r="GT991" s="4">
        <v>390</v>
      </c>
      <c r="GU991" s="4">
        <v>383</v>
      </c>
      <c r="GV991" s="4">
        <v>375</v>
      </c>
      <c r="GW991" s="4">
        <v>368</v>
      </c>
      <c r="GX991" s="4">
        <v>361</v>
      </c>
      <c r="GY991" s="4">
        <v>354</v>
      </c>
      <c r="GZ991" s="4">
        <v>347</v>
      </c>
      <c r="HA991" s="4">
        <v>340</v>
      </c>
      <c r="HB991" s="4">
        <v>333</v>
      </c>
      <c r="HC991" s="4">
        <v>326</v>
      </c>
      <c r="HD991" s="19">
        <v>244.5</v>
      </c>
      <c r="HE991" s="19">
        <v>243.5</v>
      </c>
      <c r="HF991" s="19">
        <v>161.7</v>
      </c>
      <c r="HG991" s="19">
        <v>96.6</v>
      </c>
      <c r="HH991" s="19">
        <v>68.7</v>
      </c>
      <c r="HI991" s="19">
        <v>59.9</v>
      </c>
      <c r="HJ991" s="19">
        <v>52.6</v>
      </c>
      <c r="HK991" s="19">
        <v>51.6</v>
      </c>
      <c r="HL991" s="19">
        <v>56.6</v>
      </c>
      <c r="HM991" s="19">
        <v>55.8</v>
      </c>
      <c r="HN991" s="19">
        <v>54.6</v>
      </c>
      <c r="HO991" s="19">
        <v>53.6</v>
      </c>
      <c r="HP991" s="19">
        <v>52.6</v>
      </c>
      <c r="HQ991" s="19">
        <v>51.6</v>
      </c>
      <c r="HR991" s="19">
        <v>50.6</v>
      </c>
      <c r="HS991" s="19">
        <v>56.7</v>
      </c>
      <c r="HT991" s="19">
        <v>55.7</v>
      </c>
      <c r="HU991" s="19">
        <v>54.7</v>
      </c>
      <c r="HV991" s="19">
        <v>53.6</v>
      </c>
      <c r="HW991" s="19">
        <v>52.6</v>
      </c>
      <c r="HX991" s="19">
        <v>51.6</v>
      </c>
      <c r="HY991" s="19">
        <v>50.6</v>
      </c>
      <c r="HZ991" s="19">
        <v>49.6</v>
      </c>
      <c r="IA991" s="19">
        <v>48.6</v>
      </c>
      <c r="IB991" s="19">
        <v>47.6</v>
      </c>
      <c r="IC991" s="19">
        <v>46.6</v>
      </c>
    </row>
    <row r="992">
      <c r="A992" s="2" t="s">
        <v>3957</v>
      </c>
      <c r="B992" s="2" t="s">
        <v>905</v>
      </c>
      <c r="C992" s="2" t="s">
        <v>980</v>
      </c>
      <c r="D992" s="2" t="s">
        <v>361</v>
      </c>
      <c r="E992" s="2" t="s">
        <v>872</v>
      </c>
      <c r="F992" s="2" t="s">
        <v>3958</v>
      </c>
      <c r="G992" s="2" t="s">
        <v>3958</v>
      </c>
      <c r="H992" s="2" t="s">
        <v>3958</v>
      </c>
      <c r="I992" s="2" t="s">
        <v>3959</v>
      </c>
      <c r="J992" s="2" t="s">
        <v>270</v>
      </c>
      <c r="K992" s="2" t="s">
        <v>1463</v>
      </c>
      <c r="L992" s="3">
        <v>33.33</v>
      </c>
      <c r="M992" s="3">
        <v>35</v>
      </c>
      <c r="N992" s="3">
        <v>69.99</v>
      </c>
      <c r="O992" s="2" t="s">
        <v>485</v>
      </c>
      <c r="P992" s="2" t="s">
        <v>408</v>
      </c>
      <c r="Q992" s="2" t="s">
        <v>234</v>
      </c>
      <c r="R992" s="2" t="s">
        <v>235</v>
      </c>
      <c r="S992" s="2" t="s">
        <v>235</v>
      </c>
      <c r="T992" s="2" t="s">
        <v>3960</v>
      </c>
      <c r="U992" s="2" t="s">
        <v>264</v>
      </c>
      <c r="V992" s="2" t="s">
        <v>986</v>
      </c>
      <c r="W992" s="2" t="s">
        <v>3961</v>
      </c>
      <c r="X992" s="2" t="s">
        <v>1798</v>
      </c>
      <c r="Y992" s="2" t="s">
        <v>835</v>
      </c>
      <c r="Z992" s="4">
        <v>572</v>
      </c>
      <c r="AA992" s="4">
        <f>=ROUNDDOWN(114.4,0)</f>
      </c>
      <c r="AB992" s="5">
        <v>5</v>
      </c>
      <c r="AC992" s="2" t="s">
        <v>235</v>
      </c>
      <c r="AD992" s="4"/>
      <c r="AE992" s="4"/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235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/>
      <c r="BD992" s="8"/>
      <c r="BE992" s="4"/>
      <c r="BF992" s="8"/>
      <c r="BG992" s="7"/>
      <c r="BH992" s="7"/>
      <c r="BI992" s="7"/>
      <c r="BJ992" s="4">
        <v>3</v>
      </c>
      <c r="BK992" s="8">
        <v>89.67</v>
      </c>
      <c r="BL992" s="2" t="s">
        <v>3962</v>
      </c>
      <c r="BM992" s="7"/>
      <c r="BN992" s="7"/>
      <c r="BO992" s="4"/>
      <c r="BP992" s="8"/>
      <c r="BQ992" s="4"/>
      <c r="BR992" s="8"/>
      <c r="BS992" s="7"/>
      <c r="BT992" s="7"/>
      <c r="BU992" s="2" t="s">
        <v>3963</v>
      </c>
      <c r="BV992" s="2" t="s">
        <v>243</v>
      </c>
      <c r="BW992" s="2" t="s">
        <v>235</v>
      </c>
      <c r="BX992" s="2" t="s">
        <v>414</v>
      </c>
      <c r="BY992" s="2" t="s">
        <v>245</v>
      </c>
      <c r="BZ992" s="2" t="s">
        <v>232</v>
      </c>
      <c r="CA992" s="2" t="s">
        <v>3964</v>
      </c>
      <c r="CB992" s="2" t="s">
        <v>2657</v>
      </c>
      <c r="CC992" s="2" t="s">
        <v>248</v>
      </c>
      <c r="CD992" s="2" t="s">
        <v>248</v>
      </c>
      <c r="CE992" s="2" t="s">
        <v>235</v>
      </c>
      <c r="CF992" s="4">
        <v>572</v>
      </c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>
        <v>573</v>
      </c>
      <c r="GE992" s="4">
        <v>557</v>
      </c>
      <c r="GF992" s="4">
        <v>552</v>
      </c>
      <c r="GG992" s="4">
        <v>547</v>
      </c>
      <c r="GH992" s="4">
        <v>542</v>
      </c>
      <c r="GI992" s="4">
        <v>534</v>
      </c>
      <c r="GJ992" s="4">
        <v>525</v>
      </c>
      <c r="GK992" s="4">
        <v>518</v>
      </c>
      <c r="GL992" s="4">
        <v>511</v>
      </c>
      <c r="GM992" s="4">
        <v>505</v>
      </c>
      <c r="GN992" s="4">
        <v>498</v>
      </c>
      <c r="GO992" s="4">
        <v>491</v>
      </c>
      <c r="GP992" s="4">
        <v>483</v>
      </c>
      <c r="GQ992" s="4">
        <v>475</v>
      </c>
      <c r="GR992" s="4">
        <v>469</v>
      </c>
      <c r="GS992" s="4">
        <v>463</v>
      </c>
      <c r="GT992" s="4">
        <v>458</v>
      </c>
      <c r="GU992" s="4">
        <v>454</v>
      </c>
      <c r="GV992" s="4">
        <v>451</v>
      </c>
      <c r="GW992" s="4">
        <v>448</v>
      </c>
      <c r="GX992" s="4">
        <v>445</v>
      </c>
      <c r="GY992" s="4">
        <v>442</v>
      </c>
      <c r="GZ992" s="4">
        <v>439</v>
      </c>
      <c r="HA992" s="4">
        <v>436</v>
      </c>
      <c r="HB992" s="4">
        <v>433</v>
      </c>
      <c r="HC992" s="4">
        <v>430</v>
      </c>
      <c r="HD992" s="19">
        <v>71.6</v>
      </c>
      <c r="HE992" s="19">
        <v>92.8</v>
      </c>
      <c r="HF992" s="19">
        <v>78.9</v>
      </c>
      <c r="HG992" s="19">
        <v>78.1</v>
      </c>
      <c r="HH992" s="19">
        <v>67.8</v>
      </c>
      <c r="HI992" s="19">
        <v>76.3</v>
      </c>
      <c r="HJ992" s="19">
        <v>75</v>
      </c>
      <c r="HK992" s="19">
        <v>74</v>
      </c>
      <c r="HL992" s="19">
        <v>73</v>
      </c>
      <c r="HM992" s="19">
        <v>63.1</v>
      </c>
      <c r="HN992" s="19">
        <v>71.1</v>
      </c>
      <c r="HO992" s="19">
        <v>70.1</v>
      </c>
      <c r="HP992" s="19">
        <v>80.5</v>
      </c>
      <c r="HQ992" s="19">
        <v>95</v>
      </c>
      <c r="HR992" s="19">
        <v>117.3</v>
      </c>
      <c r="HS992" s="19">
        <v>115.8</v>
      </c>
      <c r="HT992" s="19">
        <v>152.7</v>
      </c>
      <c r="HU992" s="19">
        <v>151.3</v>
      </c>
      <c r="HV992" s="19">
        <v>150.3</v>
      </c>
      <c r="HW992" s="19">
        <v>149.3</v>
      </c>
      <c r="HX992" s="19">
        <v>148.3</v>
      </c>
      <c r="HY992" s="19">
        <v>147.3</v>
      </c>
      <c r="HZ992" s="19">
        <v>146.3</v>
      </c>
      <c r="IA992" s="19">
        <v>145.3</v>
      </c>
      <c r="IB992" s="19">
        <v>216.5</v>
      </c>
      <c r="IC992" s="19">
        <v>215</v>
      </c>
    </row>
    <row r="993">
      <c r="A993" s="2" t="s">
        <v>3965</v>
      </c>
      <c r="B993" s="2" t="s">
        <v>852</v>
      </c>
      <c r="C993" s="2" t="s">
        <v>324</v>
      </c>
      <c r="D993" s="2" t="s">
        <v>854</v>
      </c>
      <c r="E993" s="2" t="s">
        <v>855</v>
      </c>
      <c r="F993" s="2" t="s">
        <v>3966</v>
      </c>
      <c r="G993" s="2" t="s">
        <v>3967</v>
      </c>
      <c r="H993" s="2" t="s">
        <v>3968</v>
      </c>
      <c r="I993" s="2" t="s">
        <v>3969</v>
      </c>
      <c r="J993" s="2" t="s">
        <v>1237</v>
      </c>
      <c r="K993" s="2" t="s">
        <v>1169</v>
      </c>
      <c r="L993" s="3">
        <v>14.77</v>
      </c>
      <c r="M993" s="3">
        <v>15.51</v>
      </c>
      <c r="N993" s="3">
        <v>34.99</v>
      </c>
      <c r="O993" s="2" t="s">
        <v>232</v>
      </c>
      <c r="P993" s="2" t="s">
        <v>233</v>
      </c>
      <c r="Q993" s="2" t="s">
        <v>234</v>
      </c>
      <c r="R993" s="2" t="s">
        <v>235</v>
      </c>
      <c r="S993" s="2" t="s">
        <v>3970</v>
      </c>
      <c r="T993" s="2" t="s">
        <v>235</v>
      </c>
      <c r="U993" s="2" t="s">
        <v>807</v>
      </c>
      <c r="V993" s="2" t="s">
        <v>238</v>
      </c>
      <c r="W993" s="2" t="s">
        <v>682</v>
      </c>
      <c r="X993" s="2" t="s">
        <v>1242</v>
      </c>
      <c r="Y993" s="2" t="s">
        <v>3971</v>
      </c>
      <c r="Z993" s="4">
        <v>140</v>
      </c>
      <c r="AA993" s="4">
        <f>=ROUNDDOWN(35.8974358974359,0)</f>
      </c>
      <c r="AB993" s="5">
        <v>3.9</v>
      </c>
      <c r="AC993" s="2" t="s">
        <v>235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235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235</v>
      </c>
      <c r="AW993" s="8" t="s">
        <v>235</v>
      </c>
      <c r="AX993" s="4" t="s">
        <v>235</v>
      </c>
      <c r="AY993" s="8" t="s">
        <v>235</v>
      </c>
      <c r="AZ993" s="7" t="s">
        <v>235</v>
      </c>
      <c r="BA993" s="7" t="s">
        <v>235</v>
      </c>
      <c r="BB993" s="7"/>
      <c r="BC993" s="4" t="s">
        <v>235</v>
      </c>
      <c r="BD993" s="8" t="s">
        <v>235</v>
      </c>
      <c r="BE993" s="4" t="s">
        <v>235</v>
      </c>
      <c r="BF993" s="8" t="s">
        <v>235</v>
      </c>
      <c r="BG993" s="7" t="s">
        <v>235</v>
      </c>
      <c r="BH993" s="7" t="s">
        <v>235</v>
      </c>
      <c r="BI993" s="7"/>
      <c r="BJ993" s="4">
        <v>7</v>
      </c>
      <c r="BK993" s="8">
        <v>118</v>
      </c>
      <c r="BL993" s="2" t="s">
        <v>3972</v>
      </c>
      <c r="BM993" s="7"/>
      <c r="BN993" s="7"/>
      <c r="BO993" s="4"/>
      <c r="BP993" s="8"/>
      <c r="BQ993" s="4"/>
      <c r="BR993" s="8"/>
      <c r="BS993" s="7"/>
      <c r="BT993" s="7"/>
      <c r="BU993" s="2" t="s">
        <v>3973</v>
      </c>
      <c r="BV993" s="2" t="s">
        <v>867</v>
      </c>
      <c r="BW993" s="2" t="s">
        <v>235</v>
      </c>
      <c r="BX993" s="2" t="s">
        <v>244</v>
      </c>
      <c r="BY993" s="2" t="s">
        <v>245</v>
      </c>
      <c r="BZ993" s="2" t="s">
        <v>232</v>
      </c>
      <c r="CA993" s="2" t="s">
        <v>3974</v>
      </c>
      <c r="CB993" s="2" t="s">
        <v>3975</v>
      </c>
      <c r="CC993" s="2" t="s">
        <v>248</v>
      </c>
      <c r="CD993" s="2" t="s">
        <v>248</v>
      </c>
      <c r="CE993" s="2" t="s">
        <v>235</v>
      </c>
      <c r="CF993" s="4">
        <v>140</v>
      </c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>
        <v>140</v>
      </c>
      <c r="GE993" s="4">
        <v>122</v>
      </c>
      <c r="GF993" s="4">
        <v>118</v>
      </c>
      <c r="GG993" s="4">
        <v>114</v>
      </c>
      <c r="GH993" s="4">
        <v>109</v>
      </c>
      <c r="GI993" s="4">
        <v>105</v>
      </c>
      <c r="GJ993" s="4">
        <v>100</v>
      </c>
      <c r="GK993" s="4">
        <v>96</v>
      </c>
      <c r="GL993" s="4">
        <v>92</v>
      </c>
      <c r="GM993" s="4">
        <v>88</v>
      </c>
      <c r="GN993" s="4">
        <v>84</v>
      </c>
      <c r="GO993" s="4">
        <v>79</v>
      </c>
      <c r="GP993" s="4">
        <v>75</v>
      </c>
      <c r="GQ993" s="4">
        <v>70</v>
      </c>
      <c r="GR993" s="4">
        <v>66</v>
      </c>
      <c r="GS993" s="4">
        <v>62</v>
      </c>
      <c r="GT993" s="4">
        <v>58</v>
      </c>
      <c r="GU993" s="4">
        <v>54</v>
      </c>
      <c r="GV993" s="4">
        <v>50</v>
      </c>
      <c r="GW993" s="4">
        <v>46</v>
      </c>
      <c r="GX993" s="4">
        <v>42</v>
      </c>
      <c r="GY993" s="4">
        <v>38</v>
      </c>
      <c r="GZ993" s="4">
        <v>34</v>
      </c>
      <c r="HA993" s="4">
        <v>30</v>
      </c>
      <c r="HB993" s="4">
        <v>26</v>
      </c>
      <c r="HC993" s="4">
        <v>22</v>
      </c>
      <c r="HD993" s="19">
        <v>17.5</v>
      </c>
      <c r="HE993" s="19">
        <v>30.5</v>
      </c>
      <c r="HF993" s="19">
        <v>29.5</v>
      </c>
      <c r="HG993" s="19">
        <v>28.5</v>
      </c>
      <c r="HH993" s="19">
        <v>27.3</v>
      </c>
      <c r="HI993" s="19">
        <v>26.3</v>
      </c>
      <c r="HJ993" s="19">
        <v>25</v>
      </c>
      <c r="HK993" s="19">
        <v>24</v>
      </c>
      <c r="HL993" s="19">
        <v>23</v>
      </c>
      <c r="HM993" s="19">
        <v>22</v>
      </c>
      <c r="HN993" s="19">
        <v>21</v>
      </c>
      <c r="HO993" s="19">
        <v>19.8</v>
      </c>
      <c r="HP993" s="19">
        <v>18.8</v>
      </c>
      <c r="HQ993" s="19">
        <v>17.5</v>
      </c>
      <c r="HR993" s="19">
        <v>16.5</v>
      </c>
      <c r="HS993" s="19">
        <v>15.5</v>
      </c>
      <c r="HT993" s="19">
        <v>14.5</v>
      </c>
      <c r="HU993" s="19">
        <v>13.5</v>
      </c>
      <c r="HV993" s="19">
        <v>12.5</v>
      </c>
      <c r="HW993" s="19">
        <v>11.5</v>
      </c>
      <c r="HX993" s="19">
        <v>10.5</v>
      </c>
      <c r="HY993" s="19">
        <v>9.5</v>
      </c>
      <c r="HZ993" s="19">
        <v>8.5</v>
      </c>
      <c r="IA993" s="19">
        <v>7.5</v>
      </c>
      <c r="IB993" s="19">
        <v>6.5</v>
      </c>
      <c r="IC993" s="19">
        <v>5.5</v>
      </c>
    </row>
    <row r="994">
      <c r="A994" s="2" t="s">
        <v>3976</v>
      </c>
      <c r="B994" s="2" t="s">
        <v>852</v>
      </c>
      <c r="C994" s="2" t="s">
        <v>324</v>
      </c>
      <c r="D994" s="2" t="s">
        <v>854</v>
      </c>
      <c r="E994" s="2" t="s">
        <v>855</v>
      </c>
      <c r="F994" s="2" t="s">
        <v>3966</v>
      </c>
      <c r="G994" s="2" t="s">
        <v>3967</v>
      </c>
      <c r="H994" s="2" t="s">
        <v>3968</v>
      </c>
      <c r="I994" s="2" t="s">
        <v>3969</v>
      </c>
      <c r="J994" s="2" t="s">
        <v>860</v>
      </c>
      <c r="K994" s="2" t="s">
        <v>1169</v>
      </c>
      <c r="L994" s="3">
        <v>17.2</v>
      </c>
      <c r="M994" s="3">
        <v>18.06</v>
      </c>
      <c r="N994" s="3">
        <v>39.99</v>
      </c>
      <c r="O994" s="2" t="s">
        <v>232</v>
      </c>
      <c r="P994" s="2" t="s">
        <v>233</v>
      </c>
      <c r="Q994" s="2" t="s">
        <v>234</v>
      </c>
      <c r="R994" s="2" t="s">
        <v>235</v>
      </c>
      <c r="S994" s="2" t="s">
        <v>3970</v>
      </c>
      <c r="T994" s="2" t="s">
        <v>235</v>
      </c>
      <c r="U994" s="2" t="s">
        <v>807</v>
      </c>
      <c r="V994" s="2" t="s">
        <v>238</v>
      </c>
      <c r="W994" s="2" t="s">
        <v>682</v>
      </c>
      <c r="X994" s="2" t="s">
        <v>1242</v>
      </c>
      <c r="Y994" s="2" t="s">
        <v>3971</v>
      </c>
      <c r="Z994" s="4">
        <v>233</v>
      </c>
      <c r="AA994" s="4">
        <f>=ROUNDDOWN(41.6071428571429,0)</f>
      </c>
      <c r="AB994" s="5">
        <v>5.6</v>
      </c>
      <c r="AC994" s="2" t="s">
        <v>235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235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235</v>
      </c>
      <c r="AW994" s="8" t="s">
        <v>235</v>
      </c>
      <c r="AX994" s="4" t="s">
        <v>235</v>
      </c>
      <c r="AY994" s="8" t="s">
        <v>235</v>
      </c>
      <c r="AZ994" s="7" t="s">
        <v>235</v>
      </c>
      <c r="BA994" s="7" t="s">
        <v>235</v>
      </c>
      <c r="BB994" s="7"/>
      <c r="BC994" s="4" t="s">
        <v>235</v>
      </c>
      <c r="BD994" s="8" t="s">
        <v>235</v>
      </c>
      <c r="BE994" s="4" t="s">
        <v>235</v>
      </c>
      <c r="BF994" s="8" t="s">
        <v>235</v>
      </c>
      <c r="BG994" s="7" t="s">
        <v>235</v>
      </c>
      <c r="BH994" s="7" t="s">
        <v>235</v>
      </c>
      <c r="BI994" s="7"/>
      <c r="BJ994" s="4">
        <v>27</v>
      </c>
      <c r="BK994" s="8">
        <v>570.35</v>
      </c>
      <c r="BL994" s="2" t="s">
        <v>2617</v>
      </c>
      <c r="BM994" s="7"/>
      <c r="BN994" s="7"/>
      <c r="BO994" s="4"/>
      <c r="BP994" s="8"/>
      <c r="BQ994" s="4"/>
      <c r="BR994" s="8"/>
      <c r="BS994" s="7"/>
      <c r="BT994" s="7"/>
      <c r="BU994" s="2" t="s">
        <v>3973</v>
      </c>
      <c r="BV994" s="2" t="s">
        <v>867</v>
      </c>
      <c r="BW994" s="2" t="s">
        <v>235</v>
      </c>
      <c r="BX994" s="2" t="s">
        <v>244</v>
      </c>
      <c r="BY994" s="2" t="s">
        <v>245</v>
      </c>
      <c r="BZ994" s="2" t="s">
        <v>232</v>
      </c>
      <c r="CA994" s="2" t="s">
        <v>3974</v>
      </c>
      <c r="CB994" s="2" t="s">
        <v>3977</v>
      </c>
      <c r="CC994" s="2" t="s">
        <v>248</v>
      </c>
      <c r="CD994" s="2" t="s">
        <v>248</v>
      </c>
      <c r="CE994" s="2" t="s">
        <v>235</v>
      </c>
      <c r="CF994" s="4">
        <v>233</v>
      </c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>
        <v>233</v>
      </c>
      <c r="GE994" s="4">
        <v>226</v>
      </c>
      <c r="GF994" s="4">
        <v>220</v>
      </c>
      <c r="GG994" s="4">
        <v>214</v>
      </c>
      <c r="GH994" s="4">
        <v>208</v>
      </c>
      <c r="GI994" s="4">
        <v>202</v>
      </c>
      <c r="GJ994" s="4">
        <v>196</v>
      </c>
      <c r="GK994" s="4">
        <v>190</v>
      </c>
      <c r="GL994" s="4">
        <v>184</v>
      </c>
      <c r="GM994" s="4">
        <v>178</v>
      </c>
      <c r="GN994" s="4">
        <v>170</v>
      </c>
      <c r="GO994" s="4">
        <v>161</v>
      </c>
      <c r="GP994" s="4">
        <v>153</v>
      </c>
      <c r="GQ994" s="4">
        <v>143</v>
      </c>
      <c r="GR994" s="4">
        <v>135</v>
      </c>
      <c r="GS994" s="4">
        <v>125</v>
      </c>
      <c r="GT994" s="4">
        <v>119</v>
      </c>
      <c r="GU994" s="4">
        <v>112</v>
      </c>
      <c r="GV994" s="4">
        <v>106</v>
      </c>
      <c r="GW994" s="4">
        <v>100</v>
      </c>
      <c r="GX994" s="4">
        <v>94</v>
      </c>
      <c r="GY994" s="4">
        <v>88</v>
      </c>
      <c r="GZ994" s="4">
        <v>82</v>
      </c>
      <c r="HA994" s="4">
        <v>76</v>
      </c>
      <c r="HB994" s="4">
        <v>70</v>
      </c>
      <c r="HC994" s="4">
        <v>63</v>
      </c>
      <c r="HD994" s="19">
        <v>38.8</v>
      </c>
      <c r="HE994" s="19">
        <v>37.7</v>
      </c>
      <c r="HF994" s="19">
        <v>36.7</v>
      </c>
      <c r="HG994" s="19">
        <v>35.7</v>
      </c>
      <c r="HH994" s="19">
        <v>34.7</v>
      </c>
      <c r="HI994" s="19">
        <v>33.7</v>
      </c>
      <c r="HJ994" s="19">
        <v>32.7</v>
      </c>
      <c r="HK994" s="19">
        <v>27.1</v>
      </c>
      <c r="HL994" s="19">
        <v>23</v>
      </c>
      <c r="HM994" s="19">
        <v>19.8</v>
      </c>
      <c r="HN994" s="19">
        <v>18.9</v>
      </c>
      <c r="HO994" s="19">
        <v>17.9</v>
      </c>
      <c r="HP994" s="19">
        <v>19.1</v>
      </c>
      <c r="HQ994" s="19">
        <v>17.9</v>
      </c>
      <c r="HR994" s="19">
        <v>19.3</v>
      </c>
      <c r="HS994" s="19">
        <v>20.8</v>
      </c>
      <c r="HT994" s="19">
        <v>19.8</v>
      </c>
      <c r="HU994" s="19">
        <v>18.7</v>
      </c>
      <c r="HV994" s="19">
        <v>17.7</v>
      </c>
      <c r="HW994" s="19">
        <v>16.7</v>
      </c>
      <c r="HX994" s="19">
        <v>15.7</v>
      </c>
      <c r="HY994" s="19">
        <v>14.7</v>
      </c>
      <c r="HZ994" s="19">
        <v>13.7</v>
      </c>
      <c r="IA994" s="19">
        <v>12.7</v>
      </c>
      <c r="IB994" s="19">
        <v>11.7</v>
      </c>
      <c r="IC994" s="19">
        <v>10.5</v>
      </c>
    </row>
    <row r="995">
      <c r="A995" s="2" t="s">
        <v>3978</v>
      </c>
      <c r="B995" s="2" t="s">
        <v>852</v>
      </c>
      <c r="C995" s="2" t="s">
        <v>324</v>
      </c>
      <c r="D995" s="2" t="s">
        <v>854</v>
      </c>
      <c r="E995" s="2" t="s">
        <v>855</v>
      </c>
      <c r="F995" s="2" t="s">
        <v>3966</v>
      </c>
      <c r="G995" s="2" t="s">
        <v>3967</v>
      </c>
      <c r="H995" s="2" t="s">
        <v>3968</v>
      </c>
      <c r="I995" s="2" t="s">
        <v>3969</v>
      </c>
      <c r="J995" s="2" t="s">
        <v>1130</v>
      </c>
      <c r="K995" s="2" t="s">
        <v>1169</v>
      </c>
      <c r="L995" s="3">
        <v>19.17</v>
      </c>
      <c r="M995" s="3">
        <v>20.13</v>
      </c>
      <c r="N995" s="3">
        <v>44.99</v>
      </c>
      <c r="O995" s="2" t="s">
        <v>232</v>
      </c>
      <c r="P995" s="2" t="s">
        <v>233</v>
      </c>
      <c r="Q995" s="2" t="s">
        <v>234</v>
      </c>
      <c r="R995" s="2" t="s">
        <v>235</v>
      </c>
      <c r="S995" s="2" t="s">
        <v>3970</v>
      </c>
      <c r="T995" s="2" t="s">
        <v>235</v>
      </c>
      <c r="U995" s="2" t="s">
        <v>807</v>
      </c>
      <c r="V995" s="2" t="s">
        <v>238</v>
      </c>
      <c r="W995" s="2" t="s">
        <v>682</v>
      </c>
      <c r="X995" s="2" t="s">
        <v>1242</v>
      </c>
      <c r="Y995" s="2" t="s">
        <v>3971</v>
      </c>
      <c r="Z995" s="4">
        <v>192</v>
      </c>
      <c r="AA995" s="4">
        <f>=ROUNDDOWN(32,0)</f>
      </c>
      <c r="AB995" s="5">
        <v>6</v>
      </c>
      <c r="AC995" s="2" t="s">
        <v>235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235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235</v>
      </c>
      <c r="AW995" s="8" t="s">
        <v>235</v>
      </c>
      <c r="AX995" s="4" t="s">
        <v>235</v>
      </c>
      <c r="AY995" s="8" t="s">
        <v>235</v>
      </c>
      <c r="AZ995" s="7" t="s">
        <v>235</v>
      </c>
      <c r="BA995" s="7" t="s">
        <v>235</v>
      </c>
      <c r="BB995" s="7"/>
      <c r="BC995" s="4" t="s">
        <v>235</v>
      </c>
      <c r="BD995" s="8" t="s">
        <v>235</v>
      </c>
      <c r="BE995" s="4" t="s">
        <v>235</v>
      </c>
      <c r="BF995" s="8" t="s">
        <v>235</v>
      </c>
      <c r="BG995" s="7" t="s">
        <v>235</v>
      </c>
      <c r="BH995" s="7" t="s">
        <v>235</v>
      </c>
      <c r="BI995" s="7"/>
      <c r="BJ995" s="4">
        <v>29</v>
      </c>
      <c r="BK995" s="8">
        <v>593.17</v>
      </c>
      <c r="BL995" s="2" t="s">
        <v>3979</v>
      </c>
      <c r="BM995" s="7"/>
      <c r="BN995" s="7"/>
      <c r="BO995" s="4"/>
      <c r="BP995" s="8"/>
      <c r="BQ995" s="4"/>
      <c r="BR995" s="8"/>
      <c r="BS995" s="7"/>
      <c r="BT995" s="7"/>
      <c r="BU995" s="2" t="s">
        <v>3973</v>
      </c>
      <c r="BV995" s="2" t="s">
        <v>867</v>
      </c>
      <c r="BW995" s="2" t="s">
        <v>235</v>
      </c>
      <c r="BX995" s="2" t="s">
        <v>244</v>
      </c>
      <c r="BY995" s="2" t="s">
        <v>245</v>
      </c>
      <c r="BZ995" s="2" t="s">
        <v>232</v>
      </c>
      <c r="CA995" s="2" t="s">
        <v>3974</v>
      </c>
      <c r="CB995" s="2" t="s">
        <v>3980</v>
      </c>
      <c r="CC995" s="2" t="s">
        <v>248</v>
      </c>
      <c r="CD995" s="2" t="s">
        <v>248</v>
      </c>
      <c r="CE995" s="2" t="s">
        <v>235</v>
      </c>
      <c r="CF995" s="4">
        <v>192</v>
      </c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>
        <v>192</v>
      </c>
      <c r="GE995" s="4">
        <v>185</v>
      </c>
      <c r="GF995" s="4">
        <v>179</v>
      </c>
      <c r="GG995" s="4">
        <v>173</v>
      </c>
      <c r="GH995" s="4">
        <v>167</v>
      </c>
      <c r="GI995" s="4">
        <v>161</v>
      </c>
      <c r="GJ995" s="4">
        <v>155</v>
      </c>
      <c r="GK995" s="4">
        <v>149</v>
      </c>
      <c r="GL995" s="4">
        <v>143</v>
      </c>
      <c r="GM995" s="4">
        <v>137</v>
      </c>
      <c r="GN995" s="4">
        <v>129</v>
      </c>
      <c r="GO995" s="4">
        <v>119</v>
      </c>
      <c r="GP995" s="4">
        <v>111</v>
      </c>
      <c r="GQ995" s="4">
        <v>100</v>
      </c>
      <c r="GR995" s="4">
        <v>92</v>
      </c>
      <c r="GS995" s="4">
        <v>82</v>
      </c>
      <c r="GT995" s="4">
        <v>76</v>
      </c>
      <c r="GU995" s="4">
        <v>69</v>
      </c>
      <c r="GV995" s="4">
        <v>63</v>
      </c>
      <c r="GW995" s="4">
        <v>57</v>
      </c>
      <c r="GX995" s="4">
        <v>51</v>
      </c>
      <c r="GY995" s="4">
        <v>45</v>
      </c>
      <c r="GZ995" s="4">
        <v>39</v>
      </c>
      <c r="HA995" s="4">
        <v>33</v>
      </c>
      <c r="HB995" s="4">
        <v>27</v>
      </c>
      <c r="HC995" s="4">
        <v>20</v>
      </c>
      <c r="HD995" s="19">
        <v>32</v>
      </c>
      <c r="HE995" s="19">
        <v>30.8</v>
      </c>
      <c r="HF995" s="19">
        <v>29.8</v>
      </c>
      <c r="HG995" s="19">
        <v>28.8</v>
      </c>
      <c r="HH995" s="19">
        <v>27.8</v>
      </c>
      <c r="HI995" s="19">
        <v>26.8</v>
      </c>
      <c r="HJ995" s="19">
        <v>25.8</v>
      </c>
      <c r="HK995" s="19">
        <v>18.6</v>
      </c>
      <c r="HL995" s="19">
        <v>17.9</v>
      </c>
      <c r="HM995" s="19">
        <v>15.2</v>
      </c>
      <c r="HN995" s="19">
        <v>14.3</v>
      </c>
      <c r="HO995" s="19">
        <v>13.2</v>
      </c>
      <c r="HP995" s="19">
        <v>12.3</v>
      </c>
      <c r="HQ995" s="19">
        <v>12.5</v>
      </c>
      <c r="HR995" s="19">
        <v>13.1</v>
      </c>
      <c r="HS995" s="19">
        <v>13.7</v>
      </c>
      <c r="HT995" s="19">
        <v>12.7</v>
      </c>
      <c r="HU995" s="19">
        <v>11.5</v>
      </c>
      <c r="HV995" s="19">
        <v>10.5</v>
      </c>
      <c r="HW995" s="19">
        <v>9.5</v>
      </c>
      <c r="HX995" s="19">
        <v>8.5</v>
      </c>
      <c r="HY995" s="19">
        <v>7.5</v>
      </c>
      <c r="HZ995" s="19">
        <v>6.5</v>
      </c>
      <c r="IA995" s="19">
        <v>5.5</v>
      </c>
      <c r="IB995" s="19">
        <v>4.5</v>
      </c>
      <c r="IC995" s="19">
        <v>3.3</v>
      </c>
    </row>
    <row r="996">
      <c r="A996" s="2" t="s">
        <v>3981</v>
      </c>
      <c r="B996" s="2" t="s">
        <v>871</v>
      </c>
      <c r="C996" s="2" t="s">
        <v>360</v>
      </c>
      <c r="D996" s="2" t="s">
        <v>361</v>
      </c>
      <c r="E996" s="2" t="s">
        <v>872</v>
      </c>
      <c r="F996" s="2" t="s">
        <v>3982</v>
      </c>
      <c r="G996" s="2" t="s">
        <v>3982</v>
      </c>
      <c r="H996" s="2" t="s">
        <v>3982</v>
      </c>
      <c r="I996" s="2" t="s">
        <v>3983</v>
      </c>
      <c r="J996" s="2" t="s">
        <v>270</v>
      </c>
      <c r="K996" s="2" t="s">
        <v>1238</v>
      </c>
      <c r="L996" s="3">
        <v>190</v>
      </c>
      <c r="M996" s="3">
        <v>199.49</v>
      </c>
      <c r="N996" s="3">
        <v>379.99</v>
      </c>
      <c r="O996" s="2" t="s">
        <v>232</v>
      </c>
      <c r="P996" s="2" t="s">
        <v>878</v>
      </c>
      <c r="Q996" s="2" t="s">
        <v>234</v>
      </c>
      <c r="R996" s="2" t="s">
        <v>235</v>
      </c>
      <c r="S996" s="2" t="s">
        <v>235</v>
      </c>
      <c r="T996" s="2" t="s">
        <v>1298</v>
      </c>
      <c r="U996" s="2" t="s">
        <v>3619</v>
      </c>
      <c r="V996" s="2" t="s">
        <v>420</v>
      </c>
      <c r="W996" s="2" t="s">
        <v>882</v>
      </c>
      <c r="X996" s="2" t="s">
        <v>239</v>
      </c>
      <c r="Y996" s="2" t="s">
        <v>3984</v>
      </c>
      <c r="Z996" s="4"/>
      <c r="AA996" s="4">
        <f>=ROUNDDOWN({0},0)</f>
      </c>
      <c r="AB996" s="5">
        <v>21</v>
      </c>
      <c r="AC996" s="2" t="s">
        <v>170</v>
      </c>
      <c r="AD996" s="4">
        <v>440</v>
      </c>
      <c r="AE996" s="4">
        <v>440</v>
      </c>
      <c r="AF996" s="6">
        <v>67</v>
      </c>
      <c r="AG996" s="6"/>
      <c r="AH996" s="7">
        <v>0</v>
      </c>
      <c r="AI996" s="4"/>
      <c r="AJ996" s="4">
        <f>=ROUNDDOWN({0},0)</f>
      </c>
      <c r="AK996" s="5"/>
      <c r="AL996" s="2" t="s">
        <v>235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>
        <v>17</v>
      </c>
      <c r="BK996" s="8">
        <v>3714.5</v>
      </c>
      <c r="BL996" s="2" t="s">
        <v>1226</v>
      </c>
      <c r="BM996" s="7"/>
      <c r="BN996" s="7"/>
      <c r="BO996" s="4"/>
      <c r="BP996" s="8"/>
      <c r="BQ996" s="4"/>
      <c r="BR996" s="8"/>
      <c r="BS996" s="7"/>
      <c r="BT996" s="7"/>
      <c r="BU996" s="2" t="s">
        <v>3985</v>
      </c>
      <c r="BV996" s="2" t="s">
        <v>235</v>
      </c>
      <c r="BW996" s="2" t="s">
        <v>235</v>
      </c>
      <c r="BX996" s="2" t="s">
        <v>685</v>
      </c>
      <c r="BY996" s="2" t="s">
        <v>245</v>
      </c>
      <c r="BZ996" s="2" t="s">
        <v>232</v>
      </c>
      <c r="CA996" s="2" t="s">
        <v>235</v>
      </c>
      <c r="CB996" s="2" t="s">
        <v>3986</v>
      </c>
      <c r="CC996" s="2" t="s">
        <v>248</v>
      </c>
      <c r="CD996" s="2" t="s">
        <v>248</v>
      </c>
      <c r="CE996" s="2" t="s">
        <v>235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>
        <v>440</v>
      </c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>
        <v>440</v>
      </c>
      <c r="GM996" s="4">
        <v>308</v>
      </c>
      <c r="GN996" s="4">
        <v>286</v>
      </c>
      <c r="GO996" s="4">
        <v>262</v>
      </c>
      <c r="GP996" s="4">
        <v>234</v>
      </c>
      <c r="GQ996" s="4">
        <v>199</v>
      </c>
      <c r="GR996" s="4">
        <v>167</v>
      </c>
      <c r="GS996" s="4">
        <v>142</v>
      </c>
      <c r="GT996" s="4">
        <v>120</v>
      </c>
      <c r="GU996" s="4">
        <v>103</v>
      </c>
      <c r="GV996" s="4">
        <v>80</v>
      </c>
      <c r="GW996" s="4">
        <v>58</v>
      </c>
      <c r="GX996" s="4">
        <v>36</v>
      </c>
      <c r="GY996" s="4">
        <v>337</v>
      </c>
      <c r="GZ996" s="4">
        <v>316</v>
      </c>
      <c r="HA996" s="4">
        <v>295</v>
      </c>
      <c r="HB996" s="4">
        <v>274</v>
      </c>
      <c r="HC996" s="4">
        <v>252</v>
      </c>
      <c r="HD996" s="20">
        <v>0</v>
      </c>
      <c r="HE996" s="20">
        <v>0</v>
      </c>
      <c r="HF996" s="20">
        <v>0</v>
      </c>
      <c r="HG996" s="20">
        <v>0</v>
      </c>
      <c r="HH996" s="20">
        <v>0</v>
      </c>
      <c r="HI996" s="20">
        <v>0</v>
      </c>
      <c r="HJ996" s="20">
        <v>0</v>
      </c>
      <c r="HK996" s="20">
        <v>0</v>
      </c>
      <c r="HL996" s="19">
        <v>8.5</v>
      </c>
      <c r="HM996" s="19">
        <v>11.4</v>
      </c>
      <c r="HN996" s="19">
        <v>9.5</v>
      </c>
      <c r="HO996" s="19">
        <v>8.7</v>
      </c>
      <c r="HP996" s="19">
        <v>8.4</v>
      </c>
      <c r="HQ996" s="19">
        <v>8.3</v>
      </c>
      <c r="HR996" s="19">
        <v>7.6</v>
      </c>
      <c r="HS996" s="19">
        <v>6.8</v>
      </c>
      <c r="HT996" s="19">
        <v>5.7</v>
      </c>
      <c r="HU996" s="19">
        <v>4.7</v>
      </c>
      <c r="HV996" s="19">
        <v>3.6</v>
      </c>
      <c r="HW996" s="19">
        <v>2.6</v>
      </c>
      <c r="HX996" s="19">
        <v>1.7</v>
      </c>
      <c r="HY996" s="19">
        <v>16</v>
      </c>
      <c r="HZ996" s="19">
        <v>15</v>
      </c>
      <c r="IA996" s="19">
        <v>14</v>
      </c>
      <c r="IB996" s="19">
        <v>13</v>
      </c>
      <c r="IC996" s="19">
        <v>12</v>
      </c>
    </row>
    <row r="997">
      <c r="A997" s="2" t="s">
        <v>3987</v>
      </c>
      <c r="B997" s="2" t="s">
        <v>871</v>
      </c>
      <c r="C997" s="2" t="s">
        <v>324</v>
      </c>
      <c r="D997" s="2" t="s">
        <v>906</v>
      </c>
      <c r="E997" s="2" t="s">
        <v>1301</v>
      </c>
      <c r="F997" s="2" t="s">
        <v>3988</v>
      </c>
      <c r="G997" s="2" t="s">
        <v>2199</v>
      </c>
      <c r="H997" s="2" t="s">
        <v>3989</v>
      </c>
      <c r="I997" s="2" t="s">
        <v>3990</v>
      </c>
      <c r="J997" s="2" t="s">
        <v>272</v>
      </c>
      <c r="K997" s="2" t="s">
        <v>292</v>
      </c>
      <c r="L997" s="3">
        <v>59.55</v>
      </c>
      <c r="M997" s="3">
        <v>62.53</v>
      </c>
      <c r="N997" s="3">
        <v>134.99</v>
      </c>
      <c r="O997" s="2" t="s">
        <v>232</v>
      </c>
      <c r="P997" s="2" t="s">
        <v>878</v>
      </c>
      <c r="Q997" s="2" t="s">
        <v>234</v>
      </c>
      <c r="R997" s="2" t="s">
        <v>235</v>
      </c>
      <c r="S997" s="2" t="s">
        <v>235</v>
      </c>
      <c r="T997" s="2" t="s">
        <v>302</v>
      </c>
      <c r="U997" s="2" t="s">
        <v>552</v>
      </c>
      <c r="V997" s="2" t="s">
        <v>420</v>
      </c>
      <c r="W997" s="2" t="s">
        <v>682</v>
      </c>
      <c r="X997" s="2" t="s">
        <v>682</v>
      </c>
      <c r="Y997" s="2" t="s">
        <v>1327</v>
      </c>
      <c r="Z997" s="4">
        <v>1</v>
      </c>
      <c r="AA997" s="4">
        <f>=ROUNDDOWN(0.125,0)</f>
      </c>
      <c r="AB997" s="5">
        <v>8</v>
      </c>
      <c r="AC997" s="2" t="s">
        <v>3991</v>
      </c>
      <c r="AD997" s="4">
        <v>300</v>
      </c>
      <c r="AE997" s="4">
        <v>300</v>
      </c>
      <c r="AF997" s="6">
        <v>64</v>
      </c>
      <c r="AG997" s="6"/>
      <c r="AH997" s="7">
        <v>0</v>
      </c>
      <c r="AI997" s="4"/>
      <c r="AJ997" s="4">
        <f>=ROUNDDOWN({0},0)</f>
      </c>
      <c r="AK997" s="5"/>
      <c r="AL997" s="2" t="s">
        <v>235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235</v>
      </c>
      <c r="BD997" s="8" t="s">
        <v>235</v>
      </c>
      <c r="BE997" s="4" t="s">
        <v>235</v>
      </c>
      <c r="BF997" s="8" t="s">
        <v>235</v>
      </c>
      <c r="BG997" s="7" t="s">
        <v>235</v>
      </c>
      <c r="BH997" s="7" t="s">
        <v>235</v>
      </c>
      <c r="BI997" s="7"/>
      <c r="BJ997" s="4">
        <v>3</v>
      </c>
      <c r="BK997" s="8">
        <v>189.39</v>
      </c>
      <c r="BL997" s="2" t="s">
        <v>3992</v>
      </c>
      <c r="BM997" s="7"/>
      <c r="BN997" s="7"/>
      <c r="BO997" s="4"/>
      <c r="BP997" s="8"/>
      <c r="BQ997" s="4"/>
      <c r="BR997" s="8"/>
      <c r="BS997" s="7"/>
      <c r="BT997" s="7"/>
      <c r="BU997" s="2" t="s">
        <v>3993</v>
      </c>
      <c r="BV997" s="2" t="s">
        <v>235</v>
      </c>
      <c r="BW997" s="2" t="s">
        <v>235</v>
      </c>
      <c r="BX997" s="2" t="s">
        <v>244</v>
      </c>
      <c r="BY997" s="2" t="s">
        <v>245</v>
      </c>
      <c r="BZ997" s="2" t="s">
        <v>232</v>
      </c>
      <c r="CA997" s="2" t="s">
        <v>235</v>
      </c>
      <c r="CB997" s="2" t="s">
        <v>1671</v>
      </c>
      <c r="CC997" s="2" t="s">
        <v>248</v>
      </c>
      <c r="CD997" s="2" t="s">
        <v>248</v>
      </c>
      <c r="CE997" s="2" t="s">
        <v>235</v>
      </c>
      <c r="CF997" s="4">
        <v>1</v>
      </c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>
        <v>300</v>
      </c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>
        <v>3</v>
      </c>
      <c r="GE997" s="4"/>
      <c r="GF997" s="4"/>
      <c r="GG997" s="4"/>
      <c r="GH997" s="4"/>
      <c r="GI997" s="4">
        <v>300</v>
      </c>
      <c r="GJ997" s="4">
        <v>260</v>
      </c>
      <c r="GK997" s="4">
        <v>249</v>
      </c>
      <c r="GL997" s="4">
        <v>238</v>
      </c>
      <c r="GM997" s="4">
        <v>229</v>
      </c>
      <c r="GN997" s="4">
        <v>221</v>
      </c>
      <c r="GO997" s="4">
        <v>210</v>
      </c>
      <c r="GP997" s="4">
        <v>198</v>
      </c>
      <c r="GQ997" s="4">
        <v>179</v>
      </c>
      <c r="GR997" s="4">
        <v>167</v>
      </c>
      <c r="GS997" s="4">
        <v>156</v>
      </c>
      <c r="GT997" s="4">
        <v>148</v>
      </c>
      <c r="GU997" s="4">
        <v>141</v>
      </c>
      <c r="GV997" s="4">
        <v>132</v>
      </c>
      <c r="GW997" s="4">
        <v>124</v>
      </c>
      <c r="GX997" s="4">
        <v>116</v>
      </c>
      <c r="GY997" s="4">
        <v>108</v>
      </c>
      <c r="GZ997" s="4">
        <v>100</v>
      </c>
      <c r="HA997" s="4">
        <v>92</v>
      </c>
      <c r="HB997" s="4">
        <v>84</v>
      </c>
      <c r="HC997" s="4">
        <v>75</v>
      </c>
      <c r="HD997" s="19">
        <v>0.6</v>
      </c>
      <c r="HE997" s="20">
        <v>0</v>
      </c>
      <c r="HF997" s="20">
        <v>0</v>
      </c>
      <c r="HG997" s="20">
        <v>0</v>
      </c>
      <c r="HH997" s="20">
        <v>0</v>
      </c>
      <c r="HI997" s="19">
        <v>16.7</v>
      </c>
      <c r="HJ997" s="19">
        <v>26</v>
      </c>
      <c r="HK997" s="19">
        <v>24.9</v>
      </c>
      <c r="HL997" s="19">
        <v>23.8</v>
      </c>
      <c r="HM997" s="19">
        <v>19.1</v>
      </c>
      <c r="HN997" s="19">
        <v>15.8</v>
      </c>
      <c r="HO997" s="19">
        <v>15</v>
      </c>
      <c r="HP997" s="19">
        <v>16.5</v>
      </c>
      <c r="HQ997" s="19">
        <v>17.9</v>
      </c>
      <c r="HR997" s="19">
        <v>18.6</v>
      </c>
      <c r="HS997" s="19">
        <v>19.5</v>
      </c>
      <c r="HT997" s="19">
        <v>18.5</v>
      </c>
      <c r="HU997" s="19">
        <v>17.6</v>
      </c>
      <c r="HV997" s="19">
        <v>16.5</v>
      </c>
      <c r="HW997" s="19">
        <v>15.5</v>
      </c>
      <c r="HX997" s="19">
        <v>14.5</v>
      </c>
      <c r="HY997" s="19">
        <v>13.5</v>
      </c>
      <c r="HZ997" s="19">
        <v>12.5</v>
      </c>
      <c r="IA997" s="19">
        <v>11.5</v>
      </c>
      <c r="IB997" s="19">
        <v>10.5</v>
      </c>
      <c r="IC997" s="19">
        <v>9.4</v>
      </c>
    </row>
    <row r="998">
      <c r="A998" s="2" t="s">
        <v>3994</v>
      </c>
      <c r="B998" s="2" t="s">
        <v>871</v>
      </c>
      <c r="C998" s="2" t="s">
        <v>324</v>
      </c>
      <c r="D998" s="2" t="s">
        <v>906</v>
      </c>
      <c r="E998" s="2" t="s">
        <v>1301</v>
      </c>
      <c r="F998" s="2" t="s">
        <v>3988</v>
      </c>
      <c r="G998" s="2" t="s">
        <v>2199</v>
      </c>
      <c r="H998" s="2" t="s">
        <v>3989</v>
      </c>
      <c r="I998" s="2" t="s">
        <v>3990</v>
      </c>
      <c r="J998" s="2" t="s">
        <v>272</v>
      </c>
      <c r="K998" s="2" t="s">
        <v>3995</v>
      </c>
      <c r="L998" s="3">
        <v>52.57</v>
      </c>
      <c r="M998" s="3">
        <v>55.2</v>
      </c>
      <c r="N998" s="3">
        <v>114.99</v>
      </c>
      <c r="O998" s="2" t="s">
        <v>232</v>
      </c>
      <c r="P998" s="2" t="s">
        <v>878</v>
      </c>
      <c r="Q998" s="2" t="s">
        <v>234</v>
      </c>
      <c r="R998" s="2" t="s">
        <v>235</v>
      </c>
      <c r="S998" s="2" t="s">
        <v>235</v>
      </c>
      <c r="T998" s="2" t="s">
        <v>302</v>
      </c>
      <c r="U998" s="2" t="s">
        <v>552</v>
      </c>
      <c r="V998" s="2" t="s">
        <v>420</v>
      </c>
      <c r="W998" s="2" t="s">
        <v>682</v>
      </c>
      <c r="X998" s="2" t="s">
        <v>682</v>
      </c>
      <c r="Y998" s="2" t="s">
        <v>235</v>
      </c>
      <c r="Z998" s="4"/>
      <c r="AA998" s="4">
        <f>=ROUNDDOWN({0},0)</f>
      </c>
      <c r="AB998" s="5">
        <v>10</v>
      </c>
      <c r="AC998" s="2" t="s">
        <v>3991</v>
      </c>
      <c r="AD998" s="4">
        <v>30</v>
      </c>
      <c r="AE998" s="4">
        <v>260</v>
      </c>
      <c r="AF998" s="6">
        <v>64</v>
      </c>
      <c r="AG998" s="6"/>
      <c r="AH998" s="7"/>
      <c r="AI998" s="4"/>
      <c r="AJ998" s="4">
        <f>=ROUNDDOWN({0},0)</f>
      </c>
      <c r="AK998" s="5"/>
      <c r="AL998" s="2" t="s">
        <v>235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235</v>
      </c>
      <c r="BD998" s="8" t="s">
        <v>235</v>
      </c>
      <c r="BE998" s="4" t="s">
        <v>235</v>
      </c>
      <c r="BF998" s="8" t="s">
        <v>235</v>
      </c>
      <c r="BG998" s="7" t="s">
        <v>235</v>
      </c>
      <c r="BH998" s="7" t="s">
        <v>235</v>
      </c>
      <c r="BI998" s="7"/>
      <c r="BJ998" s="4"/>
      <c r="BK998" s="8"/>
      <c r="BL998" s="2" t="s">
        <v>235</v>
      </c>
      <c r="BM998" s="7"/>
      <c r="BN998" s="7"/>
      <c r="BO998" s="4"/>
      <c r="BP998" s="8"/>
      <c r="BQ998" s="4"/>
      <c r="BR998" s="8"/>
      <c r="BS998" s="7"/>
      <c r="BT998" s="7"/>
      <c r="BU998" s="2" t="s">
        <v>3993</v>
      </c>
      <c r="BV998" s="2" t="s">
        <v>235</v>
      </c>
      <c r="BW998" s="2" t="s">
        <v>235</v>
      </c>
      <c r="BX998" s="2" t="s">
        <v>244</v>
      </c>
      <c r="BY998" s="2" t="s">
        <v>245</v>
      </c>
      <c r="BZ998" s="2" t="s">
        <v>232</v>
      </c>
      <c r="CA998" s="2" t="s">
        <v>235</v>
      </c>
      <c r="CB998" s="2" t="s">
        <v>235</v>
      </c>
      <c r="CC998" s="2" t="s">
        <v>248</v>
      </c>
      <c r="CD998" s="2" t="s">
        <v>248</v>
      </c>
      <c r="CE998" s="2" t="s">
        <v>235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>
        <v>30</v>
      </c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>
        <v>230</v>
      </c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>
        <v>30</v>
      </c>
      <c r="GJ998" s="4">
        <v>30</v>
      </c>
      <c r="GK998" s="4">
        <v>26</v>
      </c>
      <c r="GL998" s="4">
        <v>22</v>
      </c>
      <c r="GM998" s="4">
        <v>247</v>
      </c>
      <c r="GN998" s="4">
        <v>243</v>
      </c>
      <c r="GO998" s="4">
        <v>237</v>
      </c>
      <c r="GP998" s="4">
        <v>231</v>
      </c>
      <c r="GQ998" s="4">
        <v>220</v>
      </c>
      <c r="GR998" s="4">
        <v>212</v>
      </c>
      <c r="GS998" s="4">
        <v>202</v>
      </c>
      <c r="GT998" s="4">
        <v>194</v>
      </c>
      <c r="GU998" s="4">
        <v>187</v>
      </c>
      <c r="GV998" s="4">
        <v>182</v>
      </c>
      <c r="GW998" s="4">
        <v>172</v>
      </c>
      <c r="GX998" s="4">
        <v>162</v>
      </c>
      <c r="GY998" s="4">
        <v>152</v>
      </c>
      <c r="GZ998" s="4">
        <v>142</v>
      </c>
      <c r="HA998" s="4">
        <v>132</v>
      </c>
      <c r="HB998" s="4">
        <v>122</v>
      </c>
      <c r="HC998" s="4">
        <v>111</v>
      </c>
      <c r="HD998" s="9"/>
      <c r="HE998" s="9"/>
      <c r="HF998" s="9"/>
      <c r="HG998" s="9"/>
      <c r="HH998" s="9"/>
      <c r="HI998" s="19">
        <v>10</v>
      </c>
      <c r="HJ998" s="19">
        <v>7.5</v>
      </c>
      <c r="HK998" s="19">
        <v>5.2</v>
      </c>
      <c r="HL998" s="19">
        <v>4.4</v>
      </c>
      <c r="HM998" s="19">
        <v>35.3</v>
      </c>
      <c r="HN998" s="19">
        <v>30.4</v>
      </c>
      <c r="HO998" s="19">
        <v>26.3</v>
      </c>
      <c r="HP998" s="19">
        <v>25.7</v>
      </c>
      <c r="HQ998" s="19">
        <v>27.5</v>
      </c>
      <c r="HR998" s="19">
        <v>23.6</v>
      </c>
      <c r="HS998" s="19">
        <v>22.4</v>
      </c>
      <c r="HT998" s="19">
        <v>21.6</v>
      </c>
      <c r="HU998" s="19">
        <v>18.7</v>
      </c>
      <c r="HV998" s="19">
        <v>18.2</v>
      </c>
      <c r="HW998" s="19">
        <v>17.2</v>
      </c>
      <c r="HX998" s="19">
        <v>16.2</v>
      </c>
      <c r="HY998" s="19">
        <v>15.2</v>
      </c>
      <c r="HZ998" s="19">
        <v>14.2</v>
      </c>
      <c r="IA998" s="19">
        <v>13.2</v>
      </c>
      <c r="IB998" s="19">
        <v>12.2</v>
      </c>
      <c r="IC998" s="19">
        <v>11.1</v>
      </c>
    </row>
    <row r="999">
      <c r="A999" s="2" t="s">
        <v>3996</v>
      </c>
      <c r="B999" s="2" t="s">
        <v>871</v>
      </c>
      <c r="C999" s="2" t="s">
        <v>324</v>
      </c>
      <c r="D999" s="2" t="s">
        <v>361</v>
      </c>
      <c r="E999" s="2" t="s">
        <v>924</v>
      </c>
      <c r="F999" s="2" t="s">
        <v>3997</v>
      </c>
      <c r="G999" s="2" t="s">
        <v>3998</v>
      </c>
      <c r="H999" s="2" t="s">
        <v>3999</v>
      </c>
      <c r="I999" s="2" t="s">
        <v>4000</v>
      </c>
      <c r="J999" s="2" t="s">
        <v>365</v>
      </c>
      <c r="K999" s="2" t="s">
        <v>316</v>
      </c>
      <c r="L999" s="3">
        <v>51.34</v>
      </c>
      <c r="M999" s="3">
        <v>53.91</v>
      </c>
      <c r="N999" s="3">
        <v>114.99</v>
      </c>
      <c r="O999" s="2" t="s">
        <v>407</v>
      </c>
      <c r="P999" s="2" t="s">
        <v>408</v>
      </c>
      <c r="Q999" s="2" t="s">
        <v>234</v>
      </c>
      <c r="R999" s="2" t="s">
        <v>235</v>
      </c>
      <c r="S999" s="2" t="s">
        <v>4001</v>
      </c>
      <c r="T999" s="2" t="s">
        <v>501</v>
      </c>
      <c r="U999" s="2" t="s">
        <v>552</v>
      </c>
      <c r="V999" s="2" t="s">
        <v>1222</v>
      </c>
      <c r="W999" s="2" t="s">
        <v>881</v>
      </c>
      <c r="X999" s="2" t="s">
        <v>1596</v>
      </c>
      <c r="Y999" s="2" t="s">
        <v>4002</v>
      </c>
      <c r="Z999" s="4">
        <v>157</v>
      </c>
      <c r="AA999" s="4">
        <f>=ROUNDDOWN(157,0)</f>
      </c>
      <c r="AB999" s="5">
        <v>1</v>
      </c>
      <c r="AC999" s="2" t="s">
        <v>235</v>
      </c>
      <c r="AD999" s="4"/>
      <c r="AE999" s="4"/>
      <c r="AF999" s="6">
        <v>69</v>
      </c>
      <c r="AG999" s="6"/>
      <c r="AH999" s="7">
        <v>1</v>
      </c>
      <c r="AI999" s="4"/>
      <c r="AJ999" s="4">
        <f>=ROUNDDOWN({0},0)</f>
      </c>
      <c r="AK999" s="5"/>
      <c r="AL999" s="2" t="s">
        <v>235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235</v>
      </c>
      <c r="AW999" s="8" t="s">
        <v>235</v>
      </c>
      <c r="AX999" s="4" t="s">
        <v>235</v>
      </c>
      <c r="AY999" s="8" t="s">
        <v>235</v>
      </c>
      <c r="AZ999" s="7" t="s">
        <v>235</v>
      </c>
      <c r="BA999" s="7" t="s">
        <v>235</v>
      </c>
      <c r="BB999" s="7"/>
      <c r="BC999" s="4" t="s">
        <v>235</v>
      </c>
      <c r="BD999" s="8" t="s">
        <v>235</v>
      </c>
      <c r="BE999" s="4" t="s">
        <v>235</v>
      </c>
      <c r="BF999" s="8" t="s">
        <v>235</v>
      </c>
      <c r="BG999" s="7" t="s">
        <v>235</v>
      </c>
      <c r="BH999" s="7" t="s">
        <v>235</v>
      </c>
      <c r="BI999" s="7"/>
      <c r="BJ999" s="4">
        <v>1</v>
      </c>
      <c r="BK999" s="8">
        <v>57.12</v>
      </c>
      <c r="BL999" s="2" t="s">
        <v>1244</v>
      </c>
      <c r="BM999" s="7"/>
      <c r="BN999" s="7"/>
      <c r="BO999" s="4"/>
      <c r="BP999" s="8"/>
      <c r="BQ999" s="4"/>
      <c r="BR999" s="8"/>
      <c r="BS999" s="7"/>
      <c r="BT999" s="7"/>
      <c r="BU999" s="2" t="s">
        <v>4003</v>
      </c>
      <c r="BV999" s="2" t="s">
        <v>243</v>
      </c>
      <c r="BW999" s="2" t="s">
        <v>235</v>
      </c>
      <c r="BX999" s="2" t="s">
        <v>414</v>
      </c>
      <c r="BY999" s="2" t="s">
        <v>245</v>
      </c>
      <c r="BZ999" s="2" t="s">
        <v>232</v>
      </c>
      <c r="CA999" s="2" t="s">
        <v>1884</v>
      </c>
      <c r="CB999" s="2" t="s">
        <v>1426</v>
      </c>
      <c r="CC999" s="2" t="s">
        <v>248</v>
      </c>
      <c r="CD999" s="2" t="s">
        <v>248</v>
      </c>
      <c r="CE999" s="2" t="s">
        <v>235</v>
      </c>
      <c r="CF999" s="4">
        <v>157</v>
      </c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>
        <v>158</v>
      </c>
      <c r="GE999" s="4">
        <v>156</v>
      </c>
      <c r="GF999" s="4">
        <v>155</v>
      </c>
      <c r="GG999" s="4">
        <v>154</v>
      </c>
      <c r="GH999" s="4">
        <v>153</v>
      </c>
      <c r="GI999" s="4">
        <v>152</v>
      </c>
      <c r="GJ999" s="4">
        <v>151</v>
      </c>
      <c r="GK999" s="4">
        <v>150</v>
      </c>
      <c r="GL999" s="4">
        <v>149</v>
      </c>
      <c r="GM999" s="4">
        <v>148</v>
      </c>
      <c r="GN999" s="4">
        <v>147</v>
      </c>
      <c r="GO999" s="4">
        <v>145</v>
      </c>
      <c r="GP999" s="4">
        <v>143</v>
      </c>
      <c r="GQ999" s="4">
        <v>140</v>
      </c>
      <c r="GR999" s="4">
        <v>138</v>
      </c>
      <c r="GS999" s="4">
        <v>136</v>
      </c>
      <c r="GT999" s="4">
        <v>135</v>
      </c>
      <c r="GU999" s="4">
        <v>134</v>
      </c>
      <c r="GV999" s="4">
        <v>133</v>
      </c>
      <c r="GW999" s="4">
        <v>132</v>
      </c>
      <c r="GX999" s="4">
        <v>131</v>
      </c>
      <c r="GY999" s="4">
        <v>130</v>
      </c>
      <c r="GZ999" s="4">
        <v>129</v>
      </c>
      <c r="HA999" s="4">
        <v>128</v>
      </c>
      <c r="HB999" s="4">
        <v>127</v>
      </c>
      <c r="HC999" s="4">
        <v>126</v>
      </c>
      <c r="HD999" s="19">
        <v>158</v>
      </c>
      <c r="HE999" s="19">
        <v>156</v>
      </c>
      <c r="HF999" s="19">
        <v>155</v>
      </c>
      <c r="HG999" s="19">
        <v>154</v>
      </c>
      <c r="HH999" s="19">
        <v>153</v>
      </c>
      <c r="HI999" s="19">
        <v>152</v>
      </c>
      <c r="HJ999" s="19">
        <v>151</v>
      </c>
      <c r="HK999" s="19">
        <v>150</v>
      </c>
      <c r="HL999" s="19">
        <v>74.5</v>
      </c>
      <c r="HM999" s="19">
        <v>74</v>
      </c>
      <c r="HN999" s="19">
        <v>73.5</v>
      </c>
      <c r="HO999" s="19">
        <v>72.5</v>
      </c>
      <c r="HP999" s="19">
        <v>71.5</v>
      </c>
      <c r="HQ999" s="19">
        <v>70</v>
      </c>
      <c r="HR999" s="19">
        <v>138</v>
      </c>
      <c r="HS999" s="19">
        <v>136</v>
      </c>
      <c r="HT999" s="19">
        <v>135</v>
      </c>
      <c r="HU999" s="19">
        <v>134</v>
      </c>
      <c r="HV999" s="19">
        <v>133</v>
      </c>
      <c r="HW999" s="19">
        <v>132</v>
      </c>
      <c r="HX999" s="19">
        <v>131</v>
      </c>
      <c r="HY999" s="19">
        <v>130</v>
      </c>
      <c r="HZ999" s="19">
        <v>129</v>
      </c>
      <c r="IA999" s="19">
        <v>128</v>
      </c>
      <c r="IB999" s="19">
        <v>127</v>
      </c>
      <c r="IC999" s="19">
        <v>126</v>
      </c>
    </row>
    <row r="1000">
      <c r="A1000" s="2" t="s">
        <v>4004</v>
      </c>
      <c r="B1000" s="2" t="s">
        <v>871</v>
      </c>
      <c r="C1000" s="2" t="s">
        <v>324</v>
      </c>
      <c r="D1000" s="2" t="s">
        <v>361</v>
      </c>
      <c r="E1000" s="2" t="s">
        <v>924</v>
      </c>
      <c r="F1000" s="2" t="s">
        <v>3997</v>
      </c>
      <c r="G1000" s="2" t="s">
        <v>3998</v>
      </c>
      <c r="H1000" s="2" t="s">
        <v>3999</v>
      </c>
      <c r="I1000" s="2" t="s">
        <v>4000</v>
      </c>
      <c r="J1000" s="2" t="s">
        <v>372</v>
      </c>
      <c r="K1000" s="2" t="s">
        <v>316</v>
      </c>
      <c r="L1000" s="3">
        <v>56.65</v>
      </c>
      <c r="M1000" s="3">
        <v>59.48</v>
      </c>
      <c r="N1000" s="3">
        <v>129.99</v>
      </c>
      <c r="O1000" s="2" t="s">
        <v>407</v>
      </c>
      <c r="P1000" s="2" t="s">
        <v>408</v>
      </c>
      <c r="Q1000" s="2" t="s">
        <v>234</v>
      </c>
      <c r="R1000" s="2" t="s">
        <v>235</v>
      </c>
      <c r="S1000" s="2" t="s">
        <v>4001</v>
      </c>
      <c r="T1000" s="2" t="s">
        <v>501</v>
      </c>
      <c r="U1000" s="2" t="s">
        <v>552</v>
      </c>
      <c r="V1000" s="2" t="s">
        <v>1222</v>
      </c>
      <c r="W1000" s="2" t="s">
        <v>881</v>
      </c>
      <c r="X1000" s="2" t="s">
        <v>1596</v>
      </c>
      <c r="Y1000" s="2" t="s">
        <v>4002</v>
      </c>
      <c r="Z1000" s="4">
        <v>97</v>
      </c>
      <c r="AA1000" s="4">
        <f>=ROUNDDOWN(97,0)</f>
      </c>
      <c r="AB1000" s="5">
        <v>1</v>
      </c>
      <c r="AC1000" s="2" t="s">
        <v>235</v>
      </c>
      <c r="AD1000" s="4"/>
      <c r="AE1000" s="4"/>
      <c r="AF1000" s="6">
        <v>69</v>
      </c>
      <c r="AG1000" s="6"/>
      <c r="AH1000" s="7">
        <v>1</v>
      </c>
      <c r="AI1000" s="4"/>
      <c r="AJ1000" s="4">
        <f>=ROUNDDOWN({0},0)</f>
      </c>
      <c r="AK1000" s="5"/>
      <c r="AL1000" s="2" t="s">
        <v>235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235</v>
      </c>
      <c r="AW1000" s="8" t="s">
        <v>235</v>
      </c>
      <c r="AX1000" s="4" t="s">
        <v>235</v>
      </c>
      <c r="AY1000" s="8" t="s">
        <v>235</v>
      </c>
      <c r="AZ1000" s="7" t="s">
        <v>235</v>
      </c>
      <c r="BA1000" s="7" t="s">
        <v>235</v>
      </c>
      <c r="BB1000" s="7"/>
      <c r="BC1000" s="4" t="s">
        <v>235</v>
      </c>
      <c r="BD1000" s="8" t="s">
        <v>235</v>
      </c>
      <c r="BE1000" s="4" t="s">
        <v>235</v>
      </c>
      <c r="BF1000" s="8" t="s">
        <v>235</v>
      </c>
      <c r="BG1000" s="7" t="s">
        <v>235</v>
      </c>
      <c r="BH1000" s="7" t="s">
        <v>235</v>
      </c>
      <c r="BI1000" s="7"/>
      <c r="BJ1000" s="4">
        <v>1</v>
      </c>
      <c r="BK1000" s="8">
        <v>65.26</v>
      </c>
      <c r="BL1000" s="2" t="s">
        <v>2579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4003</v>
      </c>
      <c r="BV1000" s="2" t="s">
        <v>243</v>
      </c>
      <c r="BW1000" s="2" t="s">
        <v>235</v>
      </c>
      <c r="BX1000" s="2" t="s">
        <v>414</v>
      </c>
      <c r="BY1000" s="2" t="s">
        <v>245</v>
      </c>
      <c r="BZ1000" s="2" t="s">
        <v>232</v>
      </c>
      <c r="CA1000" s="2" t="s">
        <v>967</v>
      </c>
      <c r="CB1000" s="2" t="s">
        <v>2328</v>
      </c>
      <c r="CC1000" s="2" t="s">
        <v>248</v>
      </c>
      <c r="CD1000" s="2" t="s">
        <v>248</v>
      </c>
      <c r="CE1000" s="2" t="s">
        <v>235</v>
      </c>
      <c r="CF1000" s="4">
        <v>97</v>
      </c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>
        <v>97</v>
      </c>
      <c r="GE1000" s="4">
        <v>96</v>
      </c>
      <c r="GF1000" s="4">
        <v>95</v>
      </c>
      <c r="GG1000" s="4">
        <v>94</v>
      </c>
      <c r="GH1000" s="4">
        <v>93</v>
      </c>
      <c r="GI1000" s="4">
        <v>92</v>
      </c>
      <c r="GJ1000" s="4">
        <v>91</v>
      </c>
      <c r="GK1000" s="4">
        <v>90</v>
      </c>
      <c r="GL1000" s="4">
        <v>89</v>
      </c>
      <c r="GM1000" s="4">
        <v>88</v>
      </c>
      <c r="GN1000" s="4">
        <v>87</v>
      </c>
      <c r="GO1000" s="4">
        <v>85</v>
      </c>
      <c r="GP1000" s="4">
        <v>83</v>
      </c>
      <c r="GQ1000" s="4">
        <v>80</v>
      </c>
      <c r="GR1000" s="4">
        <v>78</v>
      </c>
      <c r="GS1000" s="4">
        <v>76</v>
      </c>
      <c r="GT1000" s="4">
        <v>75</v>
      </c>
      <c r="GU1000" s="4">
        <v>74</v>
      </c>
      <c r="GV1000" s="4">
        <v>73</v>
      </c>
      <c r="GW1000" s="4">
        <v>72</v>
      </c>
      <c r="GX1000" s="4">
        <v>71</v>
      </c>
      <c r="GY1000" s="4">
        <v>70</v>
      </c>
      <c r="GZ1000" s="4">
        <v>69</v>
      </c>
      <c r="HA1000" s="4">
        <v>68</v>
      </c>
      <c r="HB1000" s="4">
        <v>67</v>
      </c>
      <c r="HC1000" s="4">
        <v>66</v>
      </c>
      <c r="HD1000" s="19">
        <v>97</v>
      </c>
      <c r="HE1000" s="19">
        <v>96</v>
      </c>
      <c r="HF1000" s="19">
        <v>95</v>
      </c>
      <c r="HG1000" s="19">
        <v>94</v>
      </c>
      <c r="HH1000" s="19">
        <v>93</v>
      </c>
      <c r="HI1000" s="19">
        <v>92</v>
      </c>
      <c r="HJ1000" s="19">
        <v>91</v>
      </c>
      <c r="HK1000" s="19">
        <v>90</v>
      </c>
      <c r="HL1000" s="19">
        <v>44.5</v>
      </c>
      <c r="HM1000" s="19">
        <v>44</v>
      </c>
      <c r="HN1000" s="19">
        <v>43.5</v>
      </c>
      <c r="HO1000" s="19">
        <v>42.5</v>
      </c>
      <c r="HP1000" s="19">
        <v>41.5</v>
      </c>
      <c r="HQ1000" s="19">
        <v>40</v>
      </c>
      <c r="HR1000" s="19">
        <v>78</v>
      </c>
      <c r="HS1000" s="19">
        <v>76</v>
      </c>
      <c r="HT1000" s="19">
        <v>75</v>
      </c>
      <c r="HU1000" s="19">
        <v>74</v>
      </c>
      <c r="HV1000" s="19">
        <v>73</v>
      </c>
      <c r="HW1000" s="19">
        <v>72</v>
      </c>
      <c r="HX1000" s="19">
        <v>71</v>
      </c>
      <c r="HY1000" s="19">
        <v>70</v>
      </c>
      <c r="HZ1000" s="19">
        <v>69</v>
      </c>
      <c r="IA1000" s="19">
        <v>68</v>
      </c>
      <c r="IB1000" s="19">
        <v>67</v>
      </c>
      <c r="IC1000" s="19">
        <v>66</v>
      </c>
    </row>
    <row r="1001">
      <c r="A1001" s="2" t="s">
        <v>4005</v>
      </c>
      <c r="B1001" s="2" t="s">
        <v>871</v>
      </c>
      <c r="C1001" s="2" t="s">
        <v>324</v>
      </c>
      <c r="D1001" s="2" t="s">
        <v>906</v>
      </c>
      <c r="E1001" s="2" t="s">
        <v>907</v>
      </c>
      <c r="F1001" s="2" t="s">
        <v>4006</v>
      </c>
      <c r="G1001" s="2" t="s">
        <v>4007</v>
      </c>
      <c r="H1001" s="2" t="s">
        <v>4008</v>
      </c>
      <c r="I1001" s="2" t="s">
        <v>4009</v>
      </c>
      <c r="J1001" s="2" t="s">
        <v>365</v>
      </c>
      <c r="K1001" s="2" t="s">
        <v>4010</v>
      </c>
      <c r="L1001" s="3">
        <v>27.42</v>
      </c>
      <c r="M1001" s="3">
        <v>28.79</v>
      </c>
      <c r="N1001" s="3">
        <v>59.99</v>
      </c>
      <c r="O1001" s="2" t="s">
        <v>407</v>
      </c>
      <c r="P1001" s="2" t="s">
        <v>408</v>
      </c>
      <c r="Q1001" s="2" t="s">
        <v>234</v>
      </c>
      <c r="R1001" s="2" t="s">
        <v>235</v>
      </c>
      <c r="S1001" s="2" t="s">
        <v>4011</v>
      </c>
      <c r="T1001" s="2" t="s">
        <v>879</v>
      </c>
      <c r="U1001" s="2" t="s">
        <v>552</v>
      </c>
      <c r="V1001" s="2" t="s">
        <v>1394</v>
      </c>
      <c r="W1001" s="2" t="s">
        <v>2060</v>
      </c>
      <c r="X1001" s="2" t="s">
        <v>1354</v>
      </c>
      <c r="Y1001" s="2" t="s">
        <v>4012</v>
      </c>
      <c r="Z1001" s="4">
        <v>30</v>
      </c>
      <c r="AA1001" s="4">
        <f>=ROUNDDOWN(15,0)</f>
      </c>
      <c r="AB1001" s="5">
        <v>2</v>
      </c>
      <c r="AC1001" s="2" t="s">
        <v>235</v>
      </c>
      <c r="AD1001" s="4"/>
      <c r="AE1001" s="4"/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235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235</v>
      </c>
      <c r="AW1001" s="8" t="s">
        <v>235</v>
      </c>
      <c r="AX1001" s="4" t="s">
        <v>235</v>
      </c>
      <c r="AY1001" s="8" t="s">
        <v>235</v>
      </c>
      <c r="AZ1001" s="7" t="s">
        <v>235</v>
      </c>
      <c r="BA1001" s="7" t="s">
        <v>235</v>
      </c>
      <c r="BB1001" s="7"/>
      <c r="BC1001" s="4" t="s">
        <v>235</v>
      </c>
      <c r="BD1001" s="8" t="s">
        <v>235</v>
      </c>
      <c r="BE1001" s="4" t="s">
        <v>235</v>
      </c>
      <c r="BF1001" s="8" t="s">
        <v>235</v>
      </c>
      <c r="BG1001" s="7" t="s">
        <v>235</v>
      </c>
      <c r="BH1001" s="7" t="s">
        <v>235</v>
      </c>
      <c r="BI1001" s="7"/>
      <c r="BJ1001" s="4">
        <v>5</v>
      </c>
      <c r="BK1001" s="8">
        <v>158.07</v>
      </c>
      <c r="BL1001" s="2" t="s">
        <v>4013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4014</v>
      </c>
      <c r="BV1001" s="2" t="s">
        <v>243</v>
      </c>
      <c r="BW1001" s="2" t="s">
        <v>235</v>
      </c>
      <c r="BX1001" s="2" t="s">
        <v>414</v>
      </c>
      <c r="BY1001" s="2" t="s">
        <v>245</v>
      </c>
      <c r="BZ1001" s="2" t="s">
        <v>232</v>
      </c>
      <c r="CA1001" s="2" t="s">
        <v>4015</v>
      </c>
      <c r="CB1001" s="2" t="s">
        <v>4016</v>
      </c>
      <c r="CC1001" s="2" t="s">
        <v>248</v>
      </c>
      <c r="CD1001" s="2" t="s">
        <v>248</v>
      </c>
      <c r="CE1001" s="2" t="s">
        <v>235</v>
      </c>
      <c r="CF1001" s="4">
        <v>30</v>
      </c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>
        <v>30</v>
      </c>
      <c r="GE1001" s="4">
        <v>27</v>
      </c>
      <c r="GF1001" s="4">
        <v>24</v>
      </c>
      <c r="GG1001" s="4">
        <v>21</v>
      </c>
      <c r="GH1001" s="4">
        <v>18</v>
      </c>
      <c r="GI1001" s="4">
        <v>15</v>
      </c>
      <c r="GJ1001" s="4">
        <v>12</v>
      </c>
      <c r="GK1001" s="4">
        <v>9</v>
      </c>
      <c r="GL1001" s="4">
        <v>6</v>
      </c>
      <c r="GM1001" s="4">
        <v>3</v>
      </c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19">
        <v>10</v>
      </c>
      <c r="HE1001" s="19">
        <v>9</v>
      </c>
      <c r="HF1001" s="19">
        <v>8</v>
      </c>
      <c r="HG1001" s="19">
        <v>7</v>
      </c>
      <c r="HH1001" s="19">
        <v>6</v>
      </c>
      <c r="HI1001" s="19">
        <v>5</v>
      </c>
      <c r="HJ1001" s="19">
        <v>4</v>
      </c>
      <c r="HK1001" s="19">
        <v>3</v>
      </c>
      <c r="HL1001" s="19">
        <v>2</v>
      </c>
      <c r="HM1001" s="19">
        <v>1</v>
      </c>
      <c r="HN1001" s="20">
        <v>0</v>
      </c>
      <c r="HO1001" s="20">
        <v>0</v>
      </c>
      <c r="HP1001" s="20">
        <v>0</v>
      </c>
      <c r="HQ1001" s="20">
        <v>0</v>
      </c>
      <c r="HR1001" s="20">
        <v>0</v>
      </c>
      <c r="HS1001" s="20">
        <v>0</v>
      </c>
      <c r="HT1001" s="20">
        <v>0</v>
      </c>
      <c r="HU1001" s="20">
        <v>0</v>
      </c>
      <c r="HV1001" s="20">
        <v>0</v>
      </c>
      <c r="HW1001" s="20">
        <v>0</v>
      </c>
      <c r="HX1001" s="20">
        <v>0</v>
      </c>
      <c r="HY1001" s="20">
        <v>0</v>
      </c>
      <c r="HZ1001" s="20">
        <v>0</v>
      </c>
      <c r="IA1001" s="20">
        <v>0</v>
      </c>
      <c r="IB1001" s="20">
        <v>0</v>
      </c>
      <c r="IC1001" s="20">
        <v>0</v>
      </c>
    </row>
    <row r="1002">
      <c r="A1002" s="2" t="s">
        <v>4017</v>
      </c>
      <c r="B1002" s="2" t="s">
        <v>871</v>
      </c>
      <c r="C1002" s="2" t="s">
        <v>324</v>
      </c>
      <c r="D1002" s="2" t="s">
        <v>361</v>
      </c>
      <c r="E1002" s="2" t="s">
        <v>924</v>
      </c>
      <c r="F1002" s="2" t="s">
        <v>4006</v>
      </c>
      <c r="G1002" s="2" t="s">
        <v>4007</v>
      </c>
      <c r="H1002" s="2" t="s">
        <v>4008</v>
      </c>
      <c r="I1002" s="2" t="s">
        <v>4018</v>
      </c>
      <c r="J1002" s="2" t="s">
        <v>372</v>
      </c>
      <c r="K1002" s="2" t="s">
        <v>4010</v>
      </c>
      <c r="L1002" s="3">
        <v>41.14</v>
      </c>
      <c r="M1002" s="3">
        <v>43.2</v>
      </c>
      <c r="N1002" s="3">
        <v>89.99</v>
      </c>
      <c r="O1002" s="2" t="s">
        <v>407</v>
      </c>
      <c r="P1002" s="2" t="s">
        <v>408</v>
      </c>
      <c r="Q1002" s="2" t="s">
        <v>234</v>
      </c>
      <c r="R1002" s="2" t="s">
        <v>235</v>
      </c>
      <c r="S1002" s="2" t="s">
        <v>4011</v>
      </c>
      <c r="T1002" s="2" t="s">
        <v>879</v>
      </c>
      <c r="U1002" s="2" t="s">
        <v>552</v>
      </c>
      <c r="V1002" s="2" t="s">
        <v>1394</v>
      </c>
      <c r="W1002" s="2" t="s">
        <v>2060</v>
      </c>
      <c r="X1002" s="2" t="s">
        <v>1354</v>
      </c>
      <c r="Y1002" s="2" t="s">
        <v>4019</v>
      </c>
      <c r="Z1002" s="4">
        <v>24</v>
      </c>
      <c r="AA1002" s="4">
        <f>=ROUNDDOWN(4,0)</f>
      </c>
      <c r="AB1002" s="5">
        <v>6</v>
      </c>
      <c r="AC1002" s="2" t="s">
        <v>235</v>
      </c>
      <c r="AD1002" s="4"/>
      <c r="AE1002" s="4"/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235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235</v>
      </c>
      <c r="AW1002" s="8" t="s">
        <v>235</v>
      </c>
      <c r="AX1002" s="4" t="s">
        <v>235</v>
      </c>
      <c r="AY1002" s="8" t="s">
        <v>235</v>
      </c>
      <c r="AZ1002" s="7" t="s">
        <v>235</v>
      </c>
      <c r="BA1002" s="7" t="s">
        <v>235</v>
      </c>
      <c r="BB1002" s="7" t="s">
        <v>235</v>
      </c>
      <c r="BC1002" s="4" t="s">
        <v>235</v>
      </c>
      <c r="BD1002" s="8" t="s">
        <v>235</v>
      </c>
      <c r="BE1002" s="4" t="s">
        <v>235</v>
      </c>
      <c r="BF1002" s="8" t="s">
        <v>235</v>
      </c>
      <c r="BG1002" s="7" t="s">
        <v>235</v>
      </c>
      <c r="BH1002" s="7" t="s">
        <v>235</v>
      </c>
      <c r="BI1002" s="7"/>
      <c r="BJ1002" s="4">
        <v>18</v>
      </c>
      <c r="BK1002" s="8">
        <v>669.3</v>
      </c>
      <c r="BL1002" s="2" t="s">
        <v>4020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4021</v>
      </c>
      <c r="BV1002" s="2" t="s">
        <v>243</v>
      </c>
      <c r="BW1002" s="2" t="s">
        <v>235</v>
      </c>
      <c r="BX1002" s="2" t="s">
        <v>414</v>
      </c>
      <c r="BY1002" s="2" t="s">
        <v>245</v>
      </c>
      <c r="BZ1002" s="2" t="s">
        <v>232</v>
      </c>
      <c r="CA1002" s="2" t="s">
        <v>4015</v>
      </c>
      <c r="CB1002" s="2" t="s">
        <v>4022</v>
      </c>
      <c r="CC1002" s="2" t="s">
        <v>248</v>
      </c>
      <c r="CD1002" s="2" t="s">
        <v>248</v>
      </c>
      <c r="CE1002" s="2" t="s">
        <v>235</v>
      </c>
      <c r="CF1002" s="4">
        <v>24</v>
      </c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>
        <v>27</v>
      </c>
      <c r="GE1002" s="4">
        <v>6</v>
      </c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19">
        <v>3</v>
      </c>
      <c r="HE1002" s="19">
        <v>1.5</v>
      </c>
      <c r="HF1002" s="20">
        <v>0</v>
      </c>
      <c r="HG1002" s="20">
        <v>0</v>
      </c>
      <c r="HH1002" s="20">
        <v>0</v>
      </c>
      <c r="HI1002" s="20">
        <v>0</v>
      </c>
      <c r="HJ1002" s="20">
        <v>0</v>
      </c>
      <c r="HK1002" s="20">
        <v>0</v>
      </c>
      <c r="HL1002" s="20">
        <v>0</v>
      </c>
      <c r="HM1002" s="20">
        <v>0</v>
      </c>
      <c r="HN1002" s="20">
        <v>0</v>
      </c>
      <c r="HO1002" s="20">
        <v>0</v>
      </c>
      <c r="HP1002" s="20">
        <v>0</v>
      </c>
      <c r="HQ1002" s="20">
        <v>0</v>
      </c>
      <c r="HR1002" s="20">
        <v>0</v>
      </c>
      <c r="HS1002" s="20">
        <v>0</v>
      </c>
      <c r="HT1002" s="20">
        <v>0</v>
      </c>
      <c r="HU1002" s="20">
        <v>0</v>
      </c>
      <c r="HV1002" s="20">
        <v>0</v>
      </c>
      <c r="HW1002" s="20">
        <v>0</v>
      </c>
      <c r="HX1002" s="20">
        <v>0</v>
      </c>
      <c r="HY1002" s="20">
        <v>0</v>
      </c>
      <c r="HZ1002" s="20">
        <v>0</v>
      </c>
      <c r="IA1002" s="20">
        <v>0</v>
      </c>
      <c r="IB1002" s="20">
        <v>0</v>
      </c>
      <c r="IC1002" s="20">
        <v>0</v>
      </c>
    </row>
    <row r="1003">
      <c r="A1003" s="2" t="s">
        <v>4023</v>
      </c>
      <c r="B1003" s="2" t="s">
        <v>871</v>
      </c>
      <c r="C1003" s="2" t="s">
        <v>324</v>
      </c>
      <c r="D1003" s="2" t="s">
        <v>906</v>
      </c>
      <c r="E1003" s="2" t="s">
        <v>907</v>
      </c>
      <c r="F1003" s="2" t="s">
        <v>4006</v>
      </c>
      <c r="G1003" s="2" t="s">
        <v>4007</v>
      </c>
      <c r="H1003" s="2" t="s">
        <v>4008</v>
      </c>
      <c r="I1003" s="2" t="s">
        <v>4009</v>
      </c>
      <c r="J1003" s="2" t="s">
        <v>372</v>
      </c>
      <c r="K1003" s="2" t="s">
        <v>4010</v>
      </c>
      <c r="L1003" s="3">
        <v>32</v>
      </c>
      <c r="M1003" s="3">
        <v>33.6</v>
      </c>
      <c r="N1003" s="3">
        <v>69.99</v>
      </c>
      <c r="O1003" s="2" t="s">
        <v>407</v>
      </c>
      <c r="P1003" s="2" t="s">
        <v>408</v>
      </c>
      <c r="Q1003" s="2" t="s">
        <v>234</v>
      </c>
      <c r="R1003" s="2" t="s">
        <v>235</v>
      </c>
      <c r="S1003" s="2" t="s">
        <v>4011</v>
      </c>
      <c r="T1003" s="2" t="s">
        <v>879</v>
      </c>
      <c r="U1003" s="2" t="s">
        <v>552</v>
      </c>
      <c r="V1003" s="2" t="s">
        <v>1394</v>
      </c>
      <c r="W1003" s="2" t="s">
        <v>2060</v>
      </c>
      <c r="X1003" s="2" t="s">
        <v>1354</v>
      </c>
      <c r="Y1003" s="2" t="s">
        <v>4019</v>
      </c>
      <c r="Z1003" s="4">
        <v>91</v>
      </c>
      <c r="AA1003" s="4">
        <f>=ROUNDDOWN(30.3333333333333,0)</f>
      </c>
      <c r="AB1003" s="5">
        <v>3</v>
      </c>
      <c r="AC1003" s="2" t="s">
        <v>235</v>
      </c>
      <c r="AD1003" s="4"/>
      <c r="AE1003" s="4"/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235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235</v>
      </c>
      <c r="AW1003" s="8" t="s">
        <v>235</v>
      </c>
      <c r="AX1003" s="4" t="s">
        <v>235</v>
      </c>
      <c r="AY1003" s="8" t="s">
        <v>235</v>
      </c>
      <c r="AZ1003" s="7" t="s">
        <v>235</v>
      </c>
      <c r="BA1003" s="7" t="s">
        <v>235</v>
      </c>
      <c r="BB1003" s="7" t="s">
        <v>235</v>
      </c>
      <c r="BC1003" s="4" t="s">
        <v>235</v>
      </c>
      <c r="BD1003" s="8" t="s">
        <v>235</v>
      </c>
      <c r="BE1003" s="4" t="s">
        <v>235</v>
      </c>
      <c r="BF1003" s="8" t="s">
        <v>235</v>
      </c>
      <c r="BG1003" s="7" t="s">
        <v>235</v>
      </c>
      <c r="BH1003" s="7" t="s">
        <v>235</v>
      </c>
      <c r="BI1003" s="7"/>
      <c r="BJ1003" s="4">
        <v>3</v>
      </c>
      <c r="BK1003" s="8">
        <v>110.21</v>
      </c>
      <c r="BL1003" s="2" t="s">
        <v>1335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4014</v>
      </c>
      <c r="BV1003" s="2" t="s">
        <v>243</v>
      </c>
      <c r="BW1003" s="2" t="s">
        <v>235</v>
      </c>
      <c r="BX1003" s="2" t="s">
        <v>414</v>
      </c>
      <c r="BY1003" s="2" t="s">
        <v>245</v>
      </c>
      <c r="BZ1003" s="2" t="s">
        <v>232</v>
      </c>
      <c r="CA1003" s="2" t="s">
        <v>4015</v>
      </c>
      <c r="CB1003" s="2" t="s">
        <v>4024</v>
      </c>
      <c r="CC1003" s="2" t="s">
        <v>248</v>
      </c>
      <c r="CD1003" s="2" t="s">
        <v>248</v>
      </c>
      <c r="CE1003" s="2" t="s">
        <v>235</v>
      </c>
      <c r="CF1003" s="4">
        <v>91</v>
      </c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>
        <v>91</v>
      </c>
      <c r="GE1003" s="4">
        <v>87</v>
      </c>
      <c r="GF1003" s="4">
        <v>83</v>
      </c>
      <c r="GG1003" s="4">
        <v>79</v>
      </c>
      <c r="GH1003" s="4">
        <v>75</v>
      </c>
      <c r="GI1003" s="4">
        <v>71</v>
      </c>
      <c r="GJ1003" s="4">
        <v>67</v>
      </c>
      <c r="GK1003" s="4">
        <v>63</v>
      </c>
      <c r="GL1003" s="4">
        <v>59</v>
      </c>
      <c r="GM1003" s="4">
        <v>53</v>
      </c>
      <c r="GN1003" s="4">
        <v>47</v>
      </c>
      <c r="GO1003" s="4">
        <v>41</v>
      </c>
      <c r="GP1003" s="4">
        <v>35</v>
      </c>
      <c r="GQ1003" s="4">
        <v>29</v>
      </c>
      <c r="GR1003" s="4">
        <v>23</v>
      </c>
      <c r="GS1003" s="4">
        <v>17</v>
      </c>
      <c r="GT1003" s="4">
        <v>11</v>
      </c>
      <c r="GU1003" s="4">
        <v>5</v>
      </c>
      <c r="GV1003" s="4"/>
      <c r="GW1003" s="4"/>
      <c r="GX1003" s="4"/>
      <c r="GY1003" s="4"/>
      <c r="GZ1003" s="4"/>
      <c r="HA1003" s="4"/>
      <c r="HB1003" s="4"/>
      <c r="HC1003" s="4"/>
      <c r="HD1003" s="19">
        <v>22.8</v>
      </c>
      <c r="HE1003" s="19">
        <v>21.8</v>
      </c>
      <c r="HF1003" s="19">
        <v>20.8</v>
      </c>
      <c r="HG1003" s="19">
        <v>19.8</v>
      </c>
      <c r="HH1003" s="19">
        <v>18.8</v>
      </c>
      <c r="HI1003" s="19">
        <v>17.8</v>
      </c>
      <c r="HJ1003" s="19">
        <v>13.4</v>
      </c>
      <c r="HK1003" s="19">
        <v>10.5</v>
      </c>
      <c r="HL1003" s="19">
        <v>9.8</v>
      </c>
      <c r="HM1003" s="19">
        <v>8.8</v>
      </c>
      <c r="HN1003" s="19">
        <v>7.8</v>
      </c>
      <c r="HO1003" s="19">
        <v>6.8</v>
      </c>
      <c r="HP1003" s="19">
        <v>5.8</v>
      </c>
      <c r="HQ1003" s="19">
        <v>4.8</v>
      </c>
      <c r="HR1003" s="19">
        <v>3.8</v>
      </c>
      <c r="HS1003" s="19">
        <v>2.8</v>
      </c>
      <c r="HT1003" s="19">
        <v>1.8</v>
      </c>
      <c r="HU1003" s="19">
        <v>0.8</v>
      </c>
      <c r="HV1003" s="20">
        <v>0</v>
      </c>
      <c r="HW1003" s="20">
        <v>0</v>
      </c>
      <c r="HX1003" s="20">
        <v>0</v>
      </c>
      <c r="HY1003" s="20">
        <v>0</v>
      </c>
      <c r="HZ1003" s="20">
        <v>0</v>
      </c>
      <c r="IA1003" s="20">
        <v>0</v>
      </c>
      <c r="IB1003" s="20">
        <v>0</v>
      </c>
      <c r="IC1003" s="20">
        <v>0</v>
      </c>
    </row>
    <row r="1004">
      <c r="A1004" s="2" t="s">
        <v>4025</v>
      </c>
      <c r="B1004" s="2" t="s">
        <v>800</v>
      </c>
      <c r="C1004" s="2" t="s">
        <v>893</v>
      </c>
      <c r="D1004" s="2" t="s">
        <v>802</v>
      </c>
      <c r="E1004" s="2" t="s">
        <v>803</v>
      </c>
      <c r="F1004" s="2" t="s">
        <v>4026</v>
      </c>
      <c r="G1004" s="2" t="s">
        <v>4026</v>
      </c>
      <c r="H1004" s="2" t="s">
        <v>4026</v>
      </c>
      <c r="I1004" s="2" t="s">
        <v>4027</v>
      </c>
      <c r="J1004" s="2" t="s">
        <v>897</v>
      </c>
      <c r="K1004" s="2" t="s">
        <v>4028</v>
      </c>
      <c r="L1004" s="3">
        <v>51.75</v>
      </c>
      <c r="M1004" s="3">
        <v>54.34</v>
      </c>
      <c r="N1004" s="3">
        <v>117.99</v>
      </c>
      <c r="O1004" s="2" t="s">
        <v>485</v>
      </c>
      <c r="P1004" s="2" t="s">
        <v>408</v>
      </c>
      <c r="Q1004" s="2" t="s">
        <v>234</v>
      </c>
      <c r="R1004" s="2" t="s">
        <v>235</v>
      </c>
      <c r="S1004" s="2" t="s">
        <v>235</v>
      </c>
      <c r="T1004" s="2" t="s">
        <v>235</v>
      </c>
      <c r="U1004" s="2" t="s">
        <v>235</v>
      </c>
      <c r="V1004" s="2" t="s">
        <v>808</v>
      </c>
      <c r="W1004" s="2" t="s">
        <v>809</v>
      </c>
      <c r="X1004" s="2" t="s">
        <v>235</v>
      </c>
      <c r="Y1004" s="2" t="s">
        <v>4029</v>
      </c>
      <c r="Z1004" s="4">
        <v>10</v>
      </c>
      <c r="AA1004" s="4">
        <f>=ROUNDDOWN(7.14285714285714,0)</f>
      </c>
      <c r="AB1004" s="5">
        <v>1.4</v>
      </c>
      <c r="AC1004" s="2" t="s">
        <v>235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235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>
        <v>6</v>
      </c>
      <c r="BK1004" s="8">
        <v>232.82</v>
      </c>
      <c r="BL1004" s="2" t="s">
        <v>2879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4030</v>
      </c>
      <c r="BV1004" s="2" t="s">
        <v>813</v>
      </c>
      <c r="BW1004" s="2" t="s">
        <v>235</v>
      </c>
      <c r="BX1004" s="2" t="s">
        <v>414</v>
      </c>
      <c r="BY1004" s="2" t="s">
        <v>245</v>
      </c>
      <c r="BZ1004" s="2" t="s">
        <v>232</v>
      </c>
      <c r="CA1004" s="2" t="s">
        <v>4031</v>
      </c>
      <c r="CB1004" s="2" t="s">
        <v>4032</v>
      </c>
      <c r="CC1004" s="2" t="s">
        <v>248</v>
      </c>
      <c r="CD1004" s="2" t="s">
        <v>248</v>
      </c>
      <c r="CE1004" s="2" t="s">
        <v>235</v>
      </c>
      <c r="CF1004" s="4"/>
      <c r="CG1004" s="4">
        <v>10</v>
      </c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>
        <v>11</v>
      </c>
      <c r="GE1004" s="4">
        <v>1</v>
      </c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19">
        <v>3.7</v>
      </c>
      <c r="HE1004" s="19">
        <v>1</v>
      </c>
      <c r="HF1004" s="20">
        <v>0</v>
      </c>
      <c r="HG1004" s="20">
        <v>0</v>
      </c>
      <c r="HH1004" s="20">
        <v>0</v>
      </c>
      <c r="HI1004" s="20">
        <v>0</v>
      </c>
      <c r="HJ1004" s="20">
        <v>0</v>
      </c>
      <c r="HK1004" s="20">
        <v>0</v>
      </c>
      <c r="HL1004" s="20">
        <v>0</v>
      </c>
      <c r="HM1004" s="20">
        <v>0</v>
      </c>
      <c r="HN1004" s="20">
        <v>0</v>
      </c>
      <c r="HO1004" s="20">
        <v>0</v>
      </c>
      <c r="HP1004" s="20">
        <v>0</v>
      </c>
      <c r="HQ1004" s="20">
        <v>0</v>
      </c>
      <c r="HR1004" s="20">
        <v>0</v>
      </c>
      <c r="HS1004" s="20">
        <v>0</v>
      </c>
      <c r="HT1004" s="20">
        <v>0</v>
      </c>
      <c r="HU1004" s="20">
        <v>0</v>
      </c>
      <c r="HV1004" s="20">
        <v>0</v>
      </c>
      <c r="HW1004" s="20">
        <v>0</v>
      </c>
      <c r="HX1004" s="20">
        <v>0</v>
      </c>
      <c r="HY1004" s="20">
        <v>0</v>
      </c>
      <c r="HZ1004" s="20">
        <v>0</v>
      </c>
      <c r="IA1004" s="20">
        <v>0</v>
      </c>
      <c r="IB1004" s="20">
        <v>0</v>
      </c>
      <c r="IC1004" s="20">
        <v>0</v>
      </c>
    </row>
    <row r="1005">
      <c r="A1005" s="2" t="s">
        <v>4033</v>
      </c>
      <c r="B1005" s="2" t="s">
        <v>800</v>
      </c>
      <c r="C1005" s="2" t="s">
        <v>801</v>
      </c>
      <c r="D1005" s="2" t="s">
        <v>802</v>
      </c>
      <c r="E1005" s="2" t="s">
        <v>803</v>
      </c>
      <c r="F1005" s="2" t="s">
        <v>4034</v>
      </c>
      <c r="G1005" s="2" t="s">
        <v>4034</v>
      </c>
      <c r="H1005" s="2" t="s">
        <v>4034</v>
      </c>
      <c r="I1005" s="2" t="s">
        <v>4035</v>
      </c>
      <c r="J1005" s="2" t="s">
        <v>806</v>
      </c>
      <c r="K1005" s="2" t="s">
        <v>4036</v>
      </c>
      <c r="L1005" s="3">
        <v>83.03</v>
      </c>
      <c r="M1005" s="3">
        <v>87.18</v>
      </c>
      <c r="N1005" s="3">
        <v>189.99</v>
      </c>
      <c r="O1005" s="2" t="s">
        <v>485</v>
      </c>
      <c r="P1005" s="2" t="s">
        <v>408</v>
      </c>
      <c r="Q1005" s="2" t="s">
        <v>234</v>
      </c>
      <c r="R1005" s="2" t="s">
        <v>235</v>
      </c>
      <c r="S1005" s="2" t="s">
        <v>235</v>
      </c>
      <c r="T1005" s="2" t="s">
        <v>235</v>
      </c>
      <c r="U1005" s="2" t="s">
        <v>807</v>
      </c>
      <c r="V1005" s="2" t="s">
        <v>808</v>
      </c>
      <c r="W1005" s="2" t="s">
        <v>671</v>
      </c>
      <c r="X1005" s="2" t="s">
        <v>1354</v>
      </c>
      <c r="Y1005" s="2" t="s">
        <v>3638</v>
      </c>
      <c r="Z1005" s="4">
        <v>86</v>
      </c>
      <c r="AA1005" s="4">
        <f>=ROUNDDOWN(215,0)</f>
      </c>
      <c r="AB1005" s="5">
        <v>0.4</v>
      </c>
      <c r="AC1005" s="2" t="s">
        <v>235</v>
      </c>
      <c r="AD1005" s="4"/>
      <c r="AE1005" s="4"/>
      <c r="AF1005" s="6">
        <v>63</v>
      </c>
      <c r="AG1005" s="6"/>
      <c r="AH1005" s="7">
        <v>1</v>
      </c>
      <c r="AI1005" s="4"/>
      <c r="AJ1005" s="4">
        <f>=ROUNDDOWN({0},0)</f>
      </c>
      <c r="AK1005" s="5"/>
      <c r="AL1005" s="2" t="s">
        <v>235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>
        <v>2</v>
      </c>
      <c r="BK1005" s="8">
        <v>67.52</v>
      </c>
      <c r="BL1005" s="2" t="s">
        <v>597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4037</v>
      </c>
      <c r="BV1005" s="2" t="s">
        <v>813</v>
      </c>
      <c r="BW1005" s="2" t="s">
        <v>235</v>
      </c>
      <c r="BX1005" s="2" t="s">
        <v>414</v>
      </c>
      <c r="BY1005" s="2" t="s">
        <v>245</v>
      </c>
      <c r="BZ1005" s="2" t="s">
        <v>232</v>
      </c>
      <c r="CA1005" s="2" t="s">
        <v>835</v>
      </c>
      <c r="CB1005" s="2" t="s">
        <v>235</v>
      </c>
      <c r="CC1005" s="2" t="s">
        <v>248</v>
      </c>
      <c r="CD1005" s="2" t="s">
        <v>248</v>
      </c>
      <c r="CE1005" s="2" t="s">
        <v>235</v>
      </c>
      <c r="CF1005" s="4"/>
      <c r="CG1005" s="4">
        <v>86</v>
      </c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>
        <v>87</v>
      </c>
      <c r="GE1005" s="4">
        <v>87</v>
      </c>
      <c r="GF1005" s="4">
        <v>87</v>
      </c>
      <c r="GG1005" s="4">
        <v>87</v>
      </c>
      <c r="GH1005" s="4">
        <v>87</v>
      </c>
      <c r="GI1005" s="4">
        <v>87</v>
      </c>
      <c r="GJ1005" s="4">
        <v>87</v>
      </c>
      <c r="GK1005" s="4">
        <v>87</v>
      </c>
      <c r="GL1005" s="4">
        <v>87</v>
      </c>
      <c r="GM1005" s="4">
        <v>87</v>
      </c>
      <c r="GN1005" s="4">
        <v>87</v>
      </c>
      <c r="GO1005" s="4">
        <v>87</v>
      </c>
      <c r="GP1005" s="4">
        <v>87</v>
      </c>
      <c r="GQ1005" s="4">
        <v>87</v>
      </c>
      <c r="GR1005" s="4">
        <v>87</v>
      </c>
      <c r="GS1005" s="4">
        <v>87</v>
      </c>
      <c r="GT1005" s="4">
        <v>87</v>
      </c>
      <c r="GU1005" s="4">
        <v>87</v>
      </c>
      <c r="GV1005" s="4">
        <v>87</v>
      </c>
      <c r="GW1005" s="4">
        <v>87</v>
      </c>
      <c r="GX1005" s="4">
        <v>87</v>
      </c>
      <c r="GY1005" s="4">
        <v>87</v>
      </c>
      <c r="GZ1005" s="4">
        <v>87</v>
      </c>
      <c r="HA1005" s="4">
        <v>87</v>
      </c>
      <c r="HB1005" s="4">
        <v>87</v>
      </c>
      <c r="HC1005" s="4">
        <v>87</v>
      </c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</row>
    <row r="1006">
      <c r="A1006" s="2" t="s">
        <v>4038</v>
      </c>
      <c r="B1006" s="2" t="s">
        <v>1071</v>
      </c>
      <c r="C1006" s="2" t="s">
        <v>1085</v>
      </c>
      <c r="D1006" s="2" t="s">
        <v>1086</v>
      </c>
      <c r="E1006" s="2" t="s">
        <v>1868</v>
      </c>
      <c r="F1006" s="2" t="s">
        <v>4039</v>
      </c>
      <c r="G1006" s="2" t="s">
        <v>4039</v>
      </c>
      <c r="H1006" s="2" t="s">
        <v>4039</v>
      </c>
      <c r="I1006" s="2" t="s">
        <v>4040</v>
      </c>
      <c r="J1006" s="2" t="s">
        <v>897</v>
      </c>
      <c r="K1006" s="2" t="s">
        <v>975</v>
      </c>
      <c r="L1006" s="3">
        <v>215</v>
      </c>
      <c r="M1006" s="3">
        <v>225.75</v>
      </c>
      <c r="N1006" s="3">
        <v>449</v>
      </c>
      <c r="O1006" s="2" t="s">
        <v>232</v>
      </c>
      <c r="P1006" s="2" t="s">
        <v>233</v>
      </c>
      <c r="Q1006" s="2" t="s">
        <v>234</v>
      </c>
      <c r="R1006" s="2" t="s">
        <v>235</v>
      </c>
      <c r="S1006" s="2" t="s">
        <v>235</v>
      </c>
      <c r="T1006" s="2" t="s">
        <v>235</v>
      </c>
      <c r="U1006" s="2" t="s">
        <v>807</v>
      </c>
      <c r="V1006" s="2" t="s">
        <v>808</v>
      </c>
      <c r="W1006" s="2" t="s">
        <v>1354</v>
      </c>
      <c r="X1006" s="2" t="s">
        <v>966</v>
      </c>
      <c r="Y1006" s="2" t="s">
        <v>4041</v>
      </c>
      <c r="Z1006" s="4"/>
      <c r="AA1006" s="4">
        <f>=ROUNDDOWN({0},0)</f>
      </c>
      <c r="AB1006" s="5">
        <v>6</v>
      </c>
      <c r="AC1006" s="2" t="s">
        <v>3991</v>
      </c>
      <c r="AD1006" s="4">
        <v>50</v>
      </c>
      <c r="AE1006" s="4">
        <v>200</v>
      </c>
      <c r="AF1006" s="6">
        <v>74</v>
      </c>
      <c r="AG1006" s="6">
        <v>60</v>
      </c>
      <c r="AH1006" s="7">
        <v>0</v>
      </c>
      <c r="AI1006" s="4"/>
      <c r="AJ1006" s="4">
        <f>=ROUNDDOWN({0},0)</f>
      </c>
      <c r="AK1006" s="5"/>
      <c r="AL1006" s="2" t="s">
        <v>235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/>
      <c r="BK1006" s="8"/>
      <c r="BL1006" s="2" t="s">
        <v>4042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4043</v>
      </c>
      <c r="BV1006" s="2" t="s">
        <v>1424</v>
      </c>
      <c r="BW1006" s="2" t="s">
        <v>235</v>
      </c>
      <c r="BX1006" s="2" t="s">
        <v>244</v>
      </c>
      <c r="BY1006" s="2" t="s">
        <v>245</v>
      </c>
      <c r="BZ1006" s="2" t="s">
        <v>232</v>
      </c>
      <c r="CA1006" s="2" t="s">
        <v>2765</v>
      </c>
      <c r="CB1006" s="2" t="s">
        <v>4044</v>
      </c>
      <c r="CC1006" s="2" t="s">
        <v>248</v>
      </c>
      <c r="CD1006" s="2" t="s">
        <v>248</v>
      </c>
      <c r="CE1006" s="2" t="s">
        <v>235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>
        <v>50</v>
      </c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>
        <v>50</v>
      </c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>
        <v>100</v>
      </c>
      <c r="GB1006" s="4"/>
      <c r="GC1006" s="4"/>
      <c r="GD1006" s="4"/>
      <c r="GE1006" s="4"/>
      <c r="GF1006" s="4"/>
      <c r="GG1006" s="4"/>
      <c r="GH1006" s="4"/>
      <c r="GI1006" s="4">
        <v>50</v>
      </c>
      <c r="GJ1006" s="4">
        <v>36</v>
      </c>
      <c r="GK1006" s="4">
        <v>30</v>
      </c>
      <c r="GL1006" s="4">
        <v>24</v>
      </c>
      <c r="GM1006" s="4">
        <v>18</v>
      </c>
      <c r="GN1006" s="4">
        <v>61</v>
      </c>
      <c r="GO1006" s="4">
        <v>53</v>
      </c>
      <c r="GP1006" s="4">
        <v>46</v>
      </c>
      <c r="GQ1006" s="4">
        <v>35</v>
      </c>
      <c r="GR1006" s="4">
        <v>28</v>
      </c>
      <c r="GS1006" s="4">
        <v>22</v>
      </c>
      <c r="GT1006" s="4">
        <v>18</v>
      </c>
      <c r="GU1006" s="4">
        <v>14</v>
      </c>
      <c r="GV1006" s="4">
        <v>8</v>
      </c>
      <c r="GW1006" s="4">
        <v>3</v>
      </c>
      <c r="GX1006" s="4">
        <v>100</v>
      </c>
      <c r="GY1006" s="4">
        <v>94</v>
      </c>
      <c r="GZ1006" s="4">
        <v>88</v>
      </c>
      <c r="HA1006" s="4">
        <v>82</v>
      </c>
      <c r="HB1006" s="4">
        <v>76</v>
      </c>
      <c r="HC1006" s="4">
        <v>69</v>
      </c>
      <c r="HD1006" s="20">
        <v>0</v>
      </c>
      <c r="HE1006" s="20">
        <v>0</v>
      </c>
      <c r="HF1006" s="20">
        <v>0</v>
      </c>
      <c r="HG1006" s="20">
        <v>0</v>
      </c>
      <c r="HH1006" s="20">
        <v>0</v>
      </c>
      <c r="HI1006" s="19">
        <v>3.2</v>
      </c>
      <c r="HJ1006" s="19">
        <v>3</v>
      </c>
      <c r="HK1006" s="19">
        <v>2.2</v>
      </c>
      <c r="HL1006" s="19">
        <v>1.7</v>
      </c>
      <c r="HM1006" s="19">
        <v>1.2</v>
      </c>
      <c r="HN1006" s="19">
        <v>3.8</v>
      </c>
      <c r="HO1006" s="19">
        <v>3.3</v>
      </c>
      <c r="HP1006" s="19">
        <v>3.3</v>
      </c>
      <c r="HQ1006" s="19">
        <v>3.5</v>
      </c>
      <c r="HR1006" s="19">
        <v>2.8</v>
      </c>
      <c r="HS1006" s="19">
        <v>2.2</v>
      </c>
      <c r="HT1006" s="19">
        <v>1.8</v>
      </c>
      <c r="HU1006" s="19">
        <v>1.4</v>
      </c>
      <c r="HV1006" s="19">
        <v>0.8</v>
      </c>
      <c r="HW1006" s="19">
        <v>0.3</v>
      </c>
      <c r="HX1006" s="19">
        <v>8.4</v>
      </c>
      <c r="HY1006" s="19">
        <v>7.9</v>
      </c>
      <c r="HZ1006" s="19">
        <v>7.4</v>
      </c>
      <c r="IA1006" s="19">
        <v>6.9</v>
      </c>
      <c r="IB1006" s="19">
        <v>6.4</v>
      </c>
      <c r="IC1006" s="19">
        <v>5.8</v>
      </c>
    </row>
    <row r="1007">
      <c r="A1007" s="2" t="s">
        <v>4045</v>
      </c>
      <c r="B1007" s="2" t="s">
        <v>871</v>
      </c>
      <c r="C1007" s="2" t="s">
        <v>853</v>
      </c>
      <c r="D1007" s="2" t="s">
        <v>906</v>
      </c>
      <c r="E1007" s="2" t="s">
        <v>1301</v>
      </c>
      <c r="F1007" s="2" t="s">
        <v>4046</v>
      </c>
      <c r="G1007" s="2" t="s">
        <v>4047</v>
      </c>
      <c r="H1007" s="2" t="s">
        <v>4048</v>
      </c>
      <c r="I1007" s="2" t="s">
        <v>4049</v>
      </c>
      <c r="J1007" s="2" t="s">
        <v>877</v>
      </c>
      <c r="K1007" s="2" t="s">
        <v>378</v>
      </c>
      <c r="L1007" s="3">
        <v>30.36</v>
      </c>
      <c r="M1007" s="3">
        <v>31.88</v>
      </c>
      <c r="N1007" s="3">
        <v>64.99</v>
      </c>
      <c r="O1007" s="2" t="s">
        <v>232</v>
      </c>
      <c r="P1007" s="2" t="s">
        <v>233</v>
      </c>
      <c r="Q1007" s="2" t="s">
        <v>234</v>
      </c>
      <c r="R1007" s="2" t="s">
        <v>235</v>
      </c>
      <c r="S1007" s="2" t="s">
        <v>4050</v>
      </c>
      <c r="T1007" s="2" t="s">
        <v>2541</v>
      </c>
      <c r="U1007" s="2" t="s">
        <v>552</v>
      </c>
      <c r="V1007" s="2" t="s">
        <v>238</v>
      </c>
      <c r="W1007" s="2" t="s">
        <v>329</v>
      </c>
      <c r="X1007" s="2" t="s">
        <v>4051</v>
      </c>
      <c r="Y1007" s="2" t="s">
        <v>4052</v>
      </c>
      <c r="Z1007" s="4">
        <v>455</v>
      </c>
      <c r="AA1007" s="4">
        <f>=ROUNDDOWN(413.636363636364,0)</f>
      </c>
      <c r="AB1007" s="5">
        <v>1.1</v>
      </c>
      <c r="AC1007" s="2" t="s">
        <v>235</v>
      </c>
      <c r="AD1007" s="4"/>
      <c r="AE1007" s="4"/>
      <c r="AF1007" s="6">
        <v>64</v>
      </c>
      <c r="AG1007" s="6"/>
      <c r="AH1007" s="7">
        <v>1</v>
      </c>
      <c r="AI1007" s="4"/>
      <c r="AJ1007" s="4">
        <f>=ROUNDDOWN({0},0)</f>
      </c>
      <c r="AK1007" s="5"/>
      <c r="AL1007" s="2" t="s">
        <v>235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235</v>
      </c>
      <c r="AW1007" s="8" t="s">
        <v>235</v>
      </c>
      <c r="AX1007" s="4" t="s">
        <v>235</v>
      </c>
      <c r="AY1007" s="8" t="s">
        <v>235</v>
      </c>
      <c r="AZ1007" s="7" t="s">
        <v>235</v>
      </c>
      <c r="BA1007" s="7" t="s">
        <v>235</v>
      </c>
      <c r="BB1007" s="7"/>
      <c r="BC1007" s="4" t="s">
        <v>235</v>
      </c>
      <c r="BD1007" s="8" t="s">
        <v>235</v>
      </c>
      <c r="BE1007" s="4" t="s">
        <v>235</v>
      </c>
      <c r="BF1007" s="8" t="s">
        <v>235</v>
      </c>
      <c r="BG1007" s="7" t="s">
        <v>235</v>
      </c>
      <c r="BH1007" s="7" t="s">
        <v>235</v>
      </c>
      <c r="BI1007" s="7"/>
      <c r="BJ1007" s="4">
        <v>3</v>
      </c>
      <c r="BK1007" s="8">
        <v>95.98</v>
      </c>
      <c r="BL1007" s="2" t="s">
        <v>2305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4053</v>
      </c>
      <c r="BV1007" s="2" t="s">
        <v>243</v>
      </c>
      <c r="BW1007" s="2" t="s">
        <v>235</v>
      </c>
      <c r="BX1007" s="2" t="s">
        <v>244</v>
      </c>
      <c r="BY1007" s="2" t="s">
        <v>245</v>
      </c>
      <c r="BZ1007" s="2" t="s">
        <v>232</v>
      </c>
      <c r="CA1007" s="2" t="s">
        <v>4054</v>
      </c>
      <c r="CB1007" s="2" t="s">
        <v>4055</v>
      </c>
      <c r="CC1007" s="2" t="s">
        <v>248</v>
      </c>
      <c r="CD1007" s="2" t="s">
        <v>248</v>
      </c>
      <c r="CE1007" s="2" t="s">
        <v>235</v>
      </c>
      <c r="CF1007" s="4">
        <v>349</v>
      </c>
      <c r="CG1007" s="4">
        <v>106</v>
      </c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>
        <v>455</v>
      </c>
      <c r="GE1007" s="4">
        <v>454</v>
      </c>
      <c r="GF1007" s="4">
        <v>453</v>
      </c>
      <c r="GG1007" s="4">
        <v>452</v>
      </c>
      <c r="GH1007" s="4">
        <v>451</v>
      </c>
      <c r="GI1007" s="4">
        <v>450</v>
      </c>
      <c r="GJ1007" s="4">
        <v>449</v>
      </c>
      <c r="GK1007" s="4">
        <v>448</v>
      </c>
      <c r="GL1007" s="4">
        <v>447</v>
      </c>
      <c r="GM1007" s="4">
        <v>446</v>
      </c>
      <c r="GN1007" s="4">
        <v>445</v>
      </c>
      <c r="GO1007" s="4">
        <v>443</v>
      </c>
      <c r="GP1007" s="4">
        <v>441</v>
      </c>
      <c r="GQ1007" s="4">
        <v>436</v>
      </c>
      <c r="GR1007" s="4">
        <v>430</v>
      </c>
      <c r="GS1007" s="4">
        <v>424</v>
      </c>
      <c r="GT1007" s="4">
        <v>420</v>
      </c>
      <c r="GU1007" s="4">
        <v>418</v>
      </c>
      <c r="GV1007" s="4">
        <v>417</v>
      </c>
      <c r="GW1007" s="4">
        <v>416</v>
      </c>
      <c r="GX1007" s="4">
        <v>415</v>
      </c>
      <c r="GY1007" s="4">
        <v>414</v>
      </c>
      <c r="GZ1007" s="4">
        <v>413</v>
      </c>
      <c r="HA1007" s="4">
        <v>412</v>
      </c>
      <c r="HB1007" s="4">
        <v>411</v>
      </c>
      <c r="HC1007" s="4">
        <v>410</v>
      </c>
      <c r="HD1007" s="19">
        <v>455</v>
      </c>
      <c r="HE1007" s="19">
        <v>454</v>
      </c>
      <c r="HF1007" s="19">
        <v>453</v>
      </c>
      <c r="HG1007" s="19">
        <v>452</v>
      </c>
      <c r="HH1007" s="19">
        <v>451</v>
      </c>
      <c r="HI1007" s="19">
        <v>450</v>
      </c>
      <c r="HJ1007" s="19">
        <v>449</v>
      </c>
      <c r="HK1007" s="19">
        <v>448</v>
      </c>
      <c r="HL1007" s="19">
        <v>223.5</v>
      </c>
      <c r="HM1007" s="19">
        <v>223</v>
      </c>
      <c r="HN1007" s="19">
        <v>111.3</v>
      </c>
      <c r="HO1007" s="19">
        <v>88.6</v>
      </c>
      <c r="HP1007" s="19">
        <v>88.2</v>
      </c>
      <c r="HQ1007" s="19">
        <v>109</v>
      </c>
      <c r="HR1007" s="19">
        <v>143.3</v>
      </c>
      <c r="HS1007" s="19">
        <v>212</v>
      </c>
      <c r="HT1007" s="19">
        <v>420</v>
      </c>
      <c r="HU1007" s="19">
        <v>418</v>
      </c>
      <c r="HV1007" s="19">
        <v>417</v>
      </c>
      <c r="HW1007" s="19">
        <v>416</v>
      </c>
      <c r="HX1007" s="19">
        <v>415</v>
      </c>
      <c r="HY1007" s="19">
        <v>414</v>
      </c>
      <c r="HZ1007" s="19">
        <v>413</v>
      </c>
      <c r="IA1007" s="19">
        <v>412</v>
      </c>
      <c r="IB1007" s="19">
        <v>411</v>
      </c>
      <c r="IC1007" s="19">
        <v>410</v>
      </c>
    </row>
    <row r="1008">
      <c r="A1008" s="2" t="s">
        <v>4056</v>
      </c>
      <c r="B1008" s="2" t="s">
        <v>871</v>
      </c>
      <c r="C1008" s="2" t="s">
        <v>853</v>
      </c>
      <c r="D1008" s="2" t="s">
        <v>906</v>
      </c>
      <c r="E1008" s="2" t="s">
        <v>1301</v>
      </c>
      <c r="F1008" s="2" t="s">
        <v>4046</v>
      </c>
      <c r="G1008" s="2" t="s">
        <v>4047</v>
      </c>
      <c r="H1008" s="2" t="s">
        <v>4048</v>
      </c>
      <c r="I1008" s="2" t="s">
        <v>4049</v>
      </c>
      <c r="J1008" s="2" t="s">
        <v>372</v>
      </c>
      <c r="K1008" s="2" t="s">
        <v>378</v>
      </c>
      <c r="L1008" s="3">
        <v>40.6</v>
      </c>
      <c r="M1008" s="3">
        <v>42.63</v>
      </c>
      <c r="N1008" s="3">
        <v>84.99</v>
      </c>
      <c r="O1008" s="2" t="s">
        <v>232</v>
      </c>
      <c r="P1008" s="2" t="s">
        <v>233</v>
      </c>
      <c r="Q1008" s="2" t="s">
        <v>234</v>
      </c>
      <c r="R1008" s="2" t="s">
        <v>235</v>
      </c>
      <c r="S1008" s="2" t="s">
        <v>4050</v>
      </c>
      <c r="T1008" s="2" t="s">
        <v>2541</v>
      </c>
      <c r="U1008" s="2" t="s">
        <v>264</v>
      </c>
      <c r="V1008" s="2" t="s">
        <v>238</v>
      </c>
      <c r="W1008" s="2" t="s">
        <v>329</v>
      </c>
      <c r="X1008" s="2" t="s">
        <v>4051</v>
      </c>
      <c r="Y1008" s="2" t="s">
        <v>4057</v>
      </c>
      <c r="Z1008" s="4">
        <v>113</v>
      </c>
      <c r="AA1008" s="4">
        <f>=ROUNDDOWN(51.3636363636364,0)</f>
      </c>
      <c r="AB1008" s="5">
        <v>2.2</v>
      </c>
      <c r="AC1008" s="2" t="s">
        <v>235</v>
      </c>
      <c r="AD1008" s="4"/>
      <c r="AE1008" s="4"/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235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235</v>
      </c>
      <c r="AW1008" s="8" t="s">
        <v>235</v>
      </c>
      <c r="AX1008" s="4" t="s">
        <v>235</v>
      </c>
      <c r="AY1008" s="8" t="s">
        <v>235</v>
      </c>
      <c r="AZ1008" s="7" t="s">
        <v>235</v>
      </c>
      <c r="BA1008" s="7" t="s">
        <v>235</v>
      </c>
      <c r="BB1008" s="7"/>
      <c r="BC1008" s="4" t="s">
        <v>235</v>
      </c>
      <c r="BD1008" s="8" t="s">
        <v>235</v>
      </c>
      <c r="BE1008" s="4" t="s">
        <v>235</v>
      </c>
      <c r="BF1008" s="8" t="s">
        <v>235</v>
      </c>
      <c r="BG1008" s="7" t="s">
        <v>235</v>
      </c>
      <c r="BH1008" s="7" t="s">
        <v>235</v>
      </c>
      <c r="BI1008" s="7"/>
      <c r="BJ1008" s="4">
        <v>12</v>
      </c>
      <c r="BK1008" s="8">
        <v>556.59</v>
      </c>
      <c r="BL1008" s="2" t="s">
        <v>4058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4053</v>
      </c>
      <c r="BV1008" s="2" t="s">
        <v>243</v>
      </c>
      <c r="BW1008" s="2" t="s">
        <v>235</v>
      </c>
      <c r="BX1008" s="2" t="s">
        <v>244</v>
      </c>
      <c r="BY1008" s="2" t="s">
        <v>245</v>
      </c>
      <c r="BZ1008" s="2" t="s">
        <v>232</v>
      </c>
      <c r="CA1008" s="2" t="s">
        <v>3493</v>
      </c>
      <c r="CB1008" s="2" t="s">
        <v>916</v>
      </c>
      <c r="CC1008" s="2" t="s">
        <v>248</v>
      </c>
      <c r="CD1008" s="2" t="s">
        <v>248</v>
      </c>
      <c r="CE1008" s="2" t="s">
        <v>235</v>
      </c>
      <c r="CF1008" s="4">
        <v>113</v>
      </c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>
        <v>117</v>
      </c>
      <c r="GE1008" s="4">
        <v>112</v>
      </c>
      <c r="GF1008" s="4">
        <v>110</v>
      </c>
      <c r="GG1008" s="4">
        <v>108</v>
      </c>
      <c r="GH1008" s="4">
        <v>105</v>
      </c>
      <c r="GI1008" s="4">
        <v>102</v>
      </c>
      <c r="GJ1008" s="4">
        <v>96</v>
      </c>
      <c r="GK1008" s="4">
        <v>92</v>
      </c>
      <c r="GL1008" s="4">
        <v>87</v>
      </c>
      <c r="GM1008" s="4">
        <v>84</v>
      </c>
      <c r="GN1008" s="4">
        <v>82</v>
      </c>
      <c r="GO1008" s="4">
        <v>79</v>
      </c>
      <c r="GP1008" s="4">
        <v>76</v>
      </c>
      <c r="GQ1008" s="4">
        <v>70</v>
      </c>
      <c r="GR1008" s="4">
        <v>66</v>
      </c>
      <c r="GS1008" s="4">
        <v>61</v>
      </c>
      <c r="GT1008" s="4">
        <v>58</v>
      </c>
      <c r="GU1008" s="4">
        <v>56</v>
      </c>
      <c r="GV1008" s="4">
        <v>54</v>
      </c>
      <c r="GW1008" s="4">
        <v>52</v>
      </c>
      <c r="GX1008" s="4">
        <v>50</v>
      </c>
      <c r="GY1008" s="4">
        <v>48</v>
      </c>
      <c r="GZ1008" s="4">
        <v>46</v>
      </c>
      <c r="HA1008" s="4">
        <v>44</v>
      </c>
      <c r="HB1008" s="4">
        <v>42</v>
      </c>
      <c r="HC1008" s="4">
        <v>40</v>
      </c>
      <c r="HD1008" s="19">
        <v>39</v>
      </c>
      <c r="HE1008" s="19">
        <v>56</v>
      </c>
      <c r="HF1008" s="19">
        <v>27.5</v>
      </c>
      <c r="HG1008" s="19">
        <v>27</v>
      </c>
      <c r="HH1008" s="19">
        <v>26.3</v>
      </c>
      <c r="HI1008" s="19">
        <v>25.5</v>
      </c>
      <c r="HJ1008" s="19">
        <v>24</v>
      </c>
      <c r="HK1008" s="19">
        <v>30.7</v>
      </c>
      <c r="HL1008" s="19">
        <v>29</v>
      </c>
      <c r="HM1008" s="19">
        <v>21</v>
      </c>
      <c r="HN1008" s="19">
        <v>20.5</v>
      </c>
      <c r="HO1008" s="19">
        <v>19.8</v>
      </c>
      <c r="HP1008" s="19">
        <v>19</v>
      </c>
      <c r="HQ1008" s="19">
        <v>17.5</v>
      </c>
      <c r="HR1008" s="19">
        <v>22</v>
      </c>
      <c r="HS1008" s="19">
        <v>30.5</v>
      </c>
      <c r="HT1008" s="19">
        <v>29</v>
      </c>
      <c r="HU1008" s="19">
        <v>28</v>
      </c>
      <c r="HV1008" s="19">
        <v>27</v>
      </c>
      <c r="HW1008" s="19">
        <v>26</v>
      </c>
      <c r="HX1008" s="19">
        <v>25</v>
      </c>
      <c r="HY1008" s="19">
        <v>24</v>
      </c>
      <c r="HZ1008" s="19">
        <v>23</v>
      </c>
      <c r="IA1008" s="19">
        <v>22</v>
      </c>
      <c r="IB1008" s="19">
        <v>21</v>
      </c>
      <c r="IC1008" s="19">
        <v>20</v>
      </c>
    </row>
    <row r="1009">
      <c r="A1009" s="2" t="s">
        <v>4059</v>
      </c>
      <c r="B1009" s="2" t="s">
        <v>871</v>
      </c>
      <c r="C1009" s="2" t="s">
        <v>853</v>
      </c>
      <c r="D1009" s="2" t="s">
        <v>906</v>
      </c>
      <c r="E1009" s="2" t="s">
        <v>1301</v>
      </c>
      <c r="F1009" s="2" t="s">
        <v>4046</v>
      </c>
      <c r="G1009" s="2" t="s">
        <v>4047</v>
      </c>
      <c r="H1009" s="2" t="s">
        <v>4048</v>
      </c>
      <c r="I1009" s="2" t="s">
        <v>4049</v>
      </c>
      <c r="J1009" s="2" t="s">
        <v>365</v>
      </c>
      <c r="K1009" s="2" t="s">
        <v>231</v>
      </c>
      <c r="L1009" s="3">
        <v>37.01</v>
      </c>
      <c r="M1009" s="3">
        <v>38.86</v>
      </c>
      <c r="N1009" s="3">
        <v>79.99</v>
      </c>
      <c r="O1009" s="2" t="s">
        <v>232</v>
      </c>
      <c r="P1009" s="2" t="s">
        <v>233</v>
      </c>
      <c r="Q1009" s="2" t="s">
        <v>234</v>
      </c>
      <c r="R1009" s="2" t="s">
        <v>235</v>
      </c>
      <c r="S1009" s="2" t="s">
        <v>4060</v>
      </c>
      <c r="T1009" s="2" t="s">
        <v>2541</v>
      </c>
      <c r="U1009" s="2" t="s">
        <v>264</v>
      </c>
      <c r="V1009" s="2" t="s">
        <v>238</v>
      </c>
      <c r="W1009" s="2" t="s">
        <v>329</v>
      </c>
      <c r="X1009" s="2" t="s">
        <v>4051</v>
      </c>
      <c r="Y1009" s="2" t="s">
        <v>835</v>
      </c>
      <c r="Z1009" s="4">
        <v>165</v>
      </c>
      <c r="AA1009" s="4">
        <f>=ROUNDDOWN(150,0)</f>
      </c>
      <c r="AB1009" s="5">
        <v>1.1</v>
      </c>
      <c r="AC1009" s="2" t="s">
        <v>235</v>
      </c>
      <c r="AD1009" s="4"/>
      <c r="AE1009" s="4"/>
      <c r="AF1009" s="6">
        <v>64</v>
      </c>
      <c r="AG1009" s="6"/>
      <c r="AH1009" s="7">
        <v>1</v>
      </c>
      <c r="AI1009" s="4"/>
      <c r="AJ1009" s="4">
        <f>=ROUNDDOWN({0},0)</f>
      </c>
      <c r="AK1009" s="5"/>
      <c r="AL1009" s="2" t="s">
        <v>235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235</v>
      </c>
      <c r="AW1009" s="8" t="s">
        <v>235</v>
      </c>
      <c r="AX1009" s="4" t="s">
        <v>235</v>
      </c>
      <c r="AY1009" s="8" t="s">
        <v>235</v>
      </c>
      <c r="AZ1009" s="7" t="s">
        <v>235</v>
      </c>
      <c r="BA1009" s="7" t="s">
        <v>235</v>
      </c>
      <c r="BB1009" s="7"/>
      <c r="BC1009" s="4" t="s">
        <v>235</v>
      </c>
      <c r="BD1009" s="8" t="s">
        <v>235</v>
      </c>
      <c r="BE1009" s="4" t="s">
        <v>235</v>
      </c>
      <c r="BF1009" s="8" t="s">
        <v>235</v>
      </c>
      <c r="BG1009" s="7" t="s">
        <v>235</v>
      </c>
      <c r="BH1009" s="7" t="s">
        <v>235</v>
      </c>
      <c r="BI1009" s="7"/>
      <c r="BJ1009" s="4">
        <v>2</v>
      </c>
      <c r="BK1009" s="8">
        <v>89.85</v>
      </c>
      <c r="BL1009" s="2" t="s">
        <v>4061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4053</v>
      </c>
      <c r="BV1009" s="2" t="s">
        <v>243</v>
      </c>
      <c r="BW1009" s="2" t="s">
        <v>235</v>
      </c>
      <c r="BX1009" s="2" t="s">
        <v>244</v>
      </c>
      <c r="BY1009" s="2" t="s">
        <v>245</v>
      </c>
      <c r="BZ1009" s="2" t="s">
        <v>232</v>
      </c>
      <c r="CA1009" s="2" t="s">
        <v>4062</v>
      </c>
      <c r="CB1009" s="2" t="s">
        <v>4063</v>
      </c>
      <c r="CC1009" s="2" t="s">
        <v>248</v>
      </c>
      <c r="CD1009" s="2" t="s">
        <v>248</v>
      </c>
      <c r="CE1009" s="2" t="s">
        <v>235</v>
      </c>
      <c r="CF1009" s="4">
        <v>165</v>
      </c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>
        <v>165</v>
      </c>
      <c r="GE1009" s="4">
        <v>156</v>
      </c>
      <c r="GF1009" s="4">
        <v>154</v>
      </c>
      <c r="GG1009" s="4">
        <v>151</v>
      </c>
      <c r="GH1009" s="4">
        <v>148</v>
      </c>
      <c r="GI1009" s="4">
        <v>145</v>
      </c>
      <c r="GJ1009" s="4">
        <v>138</v>
      </c>
      <c r="GK1009" s="4">
        <v>132</v>
      </c>
      <c r="GL1009" s="4">
        <v>126</v>
      </c>
      <c r="GM1009" s="4">
        <v>122</v>
      </c>
      <c r="GN1009" s="4">
        <v>118</v>
      </c>
      <c r="GO1009" s="4">
        <v>115</v>
      </c>
      <c r="GP1009" s="4">
        <v>112</v>
      </c>
      <c r="GQ1009" s="4">
        <v>105</v>
      </c>
      <c r="GR1009" s="4">
        <v>99</v>
      </c>
      <c r="GS1009" s="4">
        <v>93</v>
      </c>
      <c r="GT1009" s="4">
        <v>89</v>
      </c>
      <c r="GU1009" s="4">
        <v>86</v>
      </c>
      <c r="GV1009" s="4">
        <v>84</v>
      </c>
      <c r="GW1009" s="4">
        <v>82</v>
      </c>
      <c r="GX1009" s="4">
        <v>80</v>
      </c>
      <c r="GY1009" s="4">
        <v>78</v>
      </c>
      <c r="GZ1009" s="4">
        <v>76</v>
      </c>
      <c r="HA1009" s="4">
        <v>74</v>
      </c>
      <c r="HB1009" s="4">
        <v>72</v>
      </c>
      <c r="HC1009" s="4">
        <v>70</v>
      </c>
      <c r="HD1009" s="19">
        <v>41.3</v>
      </c>
      <c r="HE1009" s="19">
        <v>52</v>
      </c>
      <c r="HF1009" s="19">
        <v>38.5</v>
      </c>
      <c r="HG1009" s="19">
        <v>30.2</v>
      </c>
      <c r="HH1009" s="19">
        <v>24.7</v>
      </c>
      <c r="HI1009" s="19">
        <v>24.2</v>
      </c>
      <c r="HJ1009" s="19">
        <v>27.6</v>
      </c>
      <c r="HK1009" s="19">
        <v>33</v>
      </c>
      <c r="HL1009" s="19">
        <v>31.5</v>
      </c>
      <c r="HM1009" s="19">
        <v>30.5</v>
      </c>
      <c r="HN1009" s="19">
        <v>23.6</v>
      </c>
      <c r="HO1009" s="19">
        <v>19.2</v>
      </c>
      <c r="HP1009" s="19">
        <v>18.7</v>
      </c>
      <c r="HQ1009" s="19">
        <v>21</v>
      </c>
      <c r="HR1009" s="19">
        <v>24.8</v>
      </c>
      <c r="HS1009" s="19">
        <v>31</v>
      </c>
      <c r="HT1009" s="19">
        <v>44.5</v>
      </c>
      <c r="HU1009" s="19">
        <v>43</v>
      </c>
      <c r="HV1009" s="19">
        <v>42</v>
      </c>
      <c r="HW1009" s="19">
        <v>41</v>
      </c>
      <c r="HX1009" s="19">
        <v>40</v>
      </c>
      <c r="HY1009" s="19">
        <v>39</v>
      </c>
      <c r="HZ1009" s="19">
        <v>38</v>
      </c>
      <c r="IA1009" s="19">
        <v>37</v>
      </c>
      <c r="IB1009" s="19">
        <v>36</v>
      </c>
      <c r="IC1009" s="19">
        <v>35</v>
      </c>
    </row>
    <row r="1010">
      <c r="A1010" s="2" t="s">
        <v>4064</v>
      </c>
      <c r="B1010" s="2" t="s">
        <v>871</v>
      </c>
      <c r="C1010" s="2" t="s">
        <v>853</v>
      </c>
      <c r="D1010" s="2" t="s">
        <v>361</v>
      </c>
      <c r="E1010" s="2" t="s">
        <v>872</v>
      </c>
      <c r="F1010" s="2" t="s">
        <v>4046</v>
      </c>
      <c r="G1010" s="2" t="s">
        <v>4047</v>
      </c>
      <c r="H1010" s="2" t="s">
        <v>4048</v>
      </c>
      <c r="I1010" s="2" t="s">
        <v>4065</v>
      </c>
      <c r="J1010" s="2" t="s">
        <v>372</v>
      </c>
      <c r="K1010" s="2" t="s">
        <v>231</v>
      </c>
      <c r="L1010" s="3">
        <v>44.36</v>
      </c>
      <c r="M1010" s="3">
        <v>46.58</v>
      </c>
      <c r="N1010" s="3">
        <v>89.99</v>
      </c>
      <c r="O1010" s="2" t="s">
        <v>232</v>
      </c>
      <c r="P1010" s="2" t="s">
        <v>233</v>
      </c>
      <c r="Q1010" s="2" t="s">
        <v>234</v>
      </c>
      <c r="R1010" s="2" t="s">
        <v>235</v>
      </c>
      <c r="S1010" s="2" t="s">
        <v>4060</v>
      </c>
      <c r="T1010" s="2" t="s">
        <v>2541</v>
      </c>
      <c r="U1010" s="2" t="s">
        <v>264</v>
      </c>
      <c r="V1010" s="2" t="s">
        <v>238</v>
      </c>
      <c r="W1010" s="2" t="s">
        <v>329</v>
      </c>
      <c r="X1010" s="2" t="s">
        <v>4051</v>
      </c>
      <c r="Y1010" s="2" t="s">
        <v>835</v>
      </c>
      <c r="Z1010" s="4">
        <v>312</v>
      </c>
      <c r="AA1010" s="4">
        <f>=ROUNDDOWN(78,0)</f>
      </c>
      <c r="AB1010" s="5">
        <v>4</v>
      </c>
      <c r="AC1010" s="2" t="s">
        <v>235</v>
      </c>
      <c r="AD1010" s="4"/>
      <c r="AE1010" s="4"/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235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235</v>
      </c>
      <c r="AW1010" s="8" t="s">
        <v>235</v>
      </c>
      <c r="AX1010" s="4" t="s">
        <v>235</v>
      </c>
      <c r="AY1010" s="8" t="s">
        <v>235</v>
      </c>
      <c r="AZ1010" s="7" t="s">
        <v>235</v>
      </c>
      <c r="BA1010" s="7" t="s">
        <v>235</v>
      </c>
      <c r="BB1010" s="7" t="s">
        <v>235</v>
      </c>
      <c r="BC1010" s="4" t="s">
        <v>235</v>
      </c>
      <c r="BD1010" s="8" t="s">
        <v>235</v>
      </c>
      <c r="BE1010" s="4" t="s">
        <v>235</v>
      </c>
      <c r="BF1010" s="8" t="s">
        <v>235</v>
      </c>
      <c r="BG1010" s="7" t="s">
        <v>235</v>
      </c>
      <c r="BH1010" s="7" t="s">
        <v>235</v>
      </c>
      <c r="BI1010" s="7"/>
      <c r="BJ1010" s="4">
        <v>11</v>
      </c>
      <c r="BK1010" s="8">
        <v>543.6</v>
      </c>
      <c r="BL1010" s="2" t="s">
        <v>4066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4067</v>
      </c>
      <c r="BV1010" s="2" t="s">
        <v>243</v>
      </c>
      <c r="BW1010" s="2" t="s">
        <v>235</v>
      </c>
      <c r="BX1010" s="2" t="s">
        <v>383</v>
      </c>
      <c r="BY1010" s="2" t="s">
        <v>245</v>
      </c>
      <c r="BZ1010" s="2" t="s">
        <v>232</v>
      </c>
      <c r="CA1010" s="2" t="s">
        <v>4068</v>
      </c>
      <c r="CB1010" s="2" t="s">
        <v>4069</v>
      </c>
      <c r="CC1010" s="2" t="s">
        <v>248</v>
      </c>
      <c r="CD1010" s="2" t="s">
        <v>248</v>
      </c>
      <c r="CE1010" s="2" t="s">
        <v>235</v>
      </c>
      <c r="CF1010" s="4">
        <v>82</v>
      </c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>
        <v>230</v>
      </c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>
        <v>314</v>
      </c>
      <c r="GE1010" s="4">
        <v>306</v>
      </c>
      <c r="GF1010" s="4">
        <v>302</v>
      </c>
      <c r="GG1010" s="4">
        <v>297</v>
      </c>
      <c r="GH1010" s="4">
        <v>292</v>
      </c>
      <c r="GI1010" s="4">
        <v>289</v>
      </c>
      <c r="GJ1010" s="4">
        <v>282</v>
      </c>
      <c r="GK1010" s="4">
        <v>275</v>
      </c>
      <c r="GL1010" s="4">
        <v>268</v>
      </c>
      <c r="GM1010" s="4">
        <v>263</v>
      </c>
      <c r="GN1010" s="4">
        <v>256</v>
      </c>
      <c r="GO1010" s="4">
        <v>249</v>
      </c>
      <c r="GP1010" s="4">
        <v>242</v>
      </c>
      <c r="GQ1010" s="4">
        <v>226</v>
      </c>
      <c r="GR1010" s="4">
        <v>214</v>
      </c>
      <c r="GS1010" s="4">
        <v>201</v>
      </c>
      <c r="GT1010" s="4">
        <v>193</v>
      </c>
      <c r="GU1010" s="4">
        <v>187</v>
      </c>
      <c r="GV1010" s="4">
        <v>183</v>
      </c>
      <c r="GW1010" s="4">
        <v>179</v>
      </c>
      <c r="GX1010" s="4">
        <v>175</v>
      </c>
      <c r="GY1010" s="4">
        <v>171</v>
      </c>
      <c r="GZ1010" s="4">
        <v>167</v>
      </c>
      <c r="HA1010" s="4">
        <v>163</v>
      </c>
      <c r="HB1010" s="4">
        <v>159</v>
      </c>
      <c r="HC1010" s="4">
        <v>155</v>
      </c>
      <c r="HD1010" s="19">
        <v>52.3</v>
      </c>
      <c r="HE1010" s="19">
        <v>76.5</v>
      </c>
      <c r="HF1010" s="19">
        <v>60.4</v>
      </c>
      <c r="HG1010" s="19">
        <v>49.5</v>
      </c>
      <c r="HH1010" s="19">
        <v>48.7</v>
      </c>
      <c r="HI1010" s="19">
        <v>48.2</v>
      </c>
      <c r="HJ1010" s="19">
        <v>47</v>
      </c>
      <c r="HK1010" s="19">
        <v>45.8</v>
      </c>
      <c r="HL1010" s="19">
        <v>44.7</v>
      </c>
      <c r="HM1010" s="19">
        <v>29.2</v>
      </c>
      <c r="HN1010" s="19">
        <v>25.6</v>
      </c>
      <c r="HO1010" s="19">
        <v>20.8</v>
      </c>
      <c r="HP1010" s="19">
        <v>20.2</v>
      </c>
      <c r="HQ1010" s="19">
        <v>22.6</v>
      </c>
      <c r="HR1010" s="19">
        <v>26.8</v>
      </c>
      <c r="HS1010" s="19">
        <v>33.5</v>
      </c>
      <c r="HT1010" s="19">
        <v>48.3</v>
      </c>
      <c r="HU1010" s="19">
        <v>46.8</v>
      </c>
      <c r="HV1010" s="19">
        <v>45.8</v>
      </c>
      <c r="HW1010" s="19">
        <v>44.8</v>
      </c>
      <c r="HX1010" s="19">
        <v>43.8</v>
      </c>
      <c r="HY1010" s="19">
        <v>42.8</v>
      </c>
      <c r="HZ1010" s="19">
        <v>41.8</v>
      </c>
      <c r="IA1010" s="19">
        <v>40.8</v>
      </c>
      <c r="IB1010" s="19">
        <v>39.8</v>
      </c>
      <c r="IC1010" s="19">
        <v>38.8</v>
      </c>
    </row>
    <row r="1011">
      <c r="A1011" s="2" t="s">
        <v>4070</v>
      </c>
      <c r="B1011" s="2" t="s">
        <v>871</v>
      </c>
      <c r="C1011" s="2" t="s">
        <v>853</v>
      </c>
      <c r="D1011" s="2" t="s">
        <v>906</v>
      </c>
      <c r="E1011" s="2" t="s">
        <v>1301</v>
      </c>
      <c r="F1011" s="2" t="s">
        <v>4046</v>
      </c>
      <c r="G1011" s="2" t="s">
        <v>4047</v>
      </c>
      <c r="H1011" s="2" t="s">
        <v>4048</v>
      </c>
      <c r="I1011" s="2" t="s">
        <v>4049</v>
      </c>
      <c r="J1011" s="2" t="s">
        <v>372</v>
      </c>
      <c r="K1011" s="2" t="s">
        <v>231</v>
      </c>
      <c r="L1011" s="3">
        <v>40.6</v>
      </c>
      <c r="M1011" s="3">
        <v>42.63</v>
      </c>
      <c r="N1011" s="3">
        <v>84.99</v>
      </c>
      <c r="O1011" s="2" t="s">
        <v>232</v>
      </c>
      <c r="P1011" s="2" t="s">
        <v>233</v>
      </c>
      <c r="Q1011" s="2" t="s">
        <v>234</v>
      </c>
      <c r="R1011" s="2" t="s">
        <v>235</v>
      </c>
      <c r="S1011" s="2" t="s">
        <v>4060</v>
      </c>
      <c r="T1011" s="2" t="s">
        <v>2541</v>
      </c>
      <c r="U1011" s="2" t="s">
        <v>264</v>
      </c>
      <c r="V1011" s="2" t="s">
        <v>238</v>
      </c>
      <c r="W1011" s="2" t="s">
        <v>329</v>
      </c>
      <c r="X1011" s="2" t="s">
        <v>4051</v>
      </c>
      <c r="Y1011" s="2" t="s">
        <v>835</v>
      </c>
      <c r="Z1011" s="4">
        <v>70</v>
      </c>
      <c r="AA1011" s="4">
        <f>=ROUNDDOWN(58.3333333333333,0)</f>
      </c>
      <c r="AB1011" s="5">
        <v>1.2</v>
      </c>
      <c r="AC1011" s="2" t="s">
        <v>235</v>
      </c>
      <c r="AD1011" s="4"/>
      <c r="AE1011" s="4"/>
      <c r="AF1011" s="6">
        <v>64</v>
      </c>
      <c r="AG1011" s="6"/>
      <c r="AH1011" s="7">
        <v>1</v>
      </c>
      <c r="AI1011" s="4"/>
      <c r="AJ1011" s="4">
        <f>=ROUNDDOWN({0},0)</f>
      </c>
      <c r="AK1011" s="5"/>
      <c r="AL1011" s="2" t="s">
        <v>235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235</v>
      </c>
      <c r="AW1011" s="8" t="s">
        <v>235</v>
      </c>
      <c r="AX1011" s="4" t="s">
        <v>235</v>
      </c>
      <c r="AY1011" s="8" t="s">
        <v>235</v>
      </c>
      <c r="AZ1011" s="7" t="s">
        <v>235</v>
      </c>
      <c r="BA1011" s="7" t="s">
        <v>235</v>
      </c>
      <c r="BB1011" s="7" t="s">
        <v>235</v>
      </c>
      <c r="BC1011" s="4" t="s">
        <v>235</v>
      </c>
      <c r="BD1011" s="8" t="s">
        <v>235</v>
      </c>
      <c r="BE1011" s="4" t="s">
        <v>235</v>
      </c>
      <c r="BF1011" s="8" t="s">
        <v>235</v>
      </c>
      <c r="BG1011" s="7" t="s">
        <v>235</v>
      </c>
      <c r="BH1011" s="7" t="s">
        <v>235</v>
      </c>
      <c r="BI1011" s="7"/>
      <c r="BJ1011" s="4">
        <v>5</v>
      </c>
      <c r="BK1011" s="8">
        <v>215.95</v>
      </c>
      <c r="BL1011" s="2" t="s">
        <v>4071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4053</v>
      </c>
      <c r="BV1011" s="2" t="s">
        <v>243</v>
      </c>
      <c r="BW1011" s="2" t="s">
        <v>235</v>
      </c>
      <c r="BX1011" s="2" t="s">
        <v>244</v>
      </c>
      <c r="BY1011" s="2" t="s">
        <v>245</v>
      </c>
      <c r="BZ1011" s="2" t="s">
        <v>232</v>
      </c>
      <c r="CA1011" s="2" t="s">
        <v>4062</v>
      </c>
      <c r="CB1011" s="2" t="s">
        <v>4072</v>
      </c>
      <c r="CC1011" s="2" t="s">
        <v>248</v>
      </c>
      <c r="CD1011" s="2" t="s">
        <v>248</v>
      </c>
      <c r="CE1011" s="2" t="s">
        <v>235</v>
      </c>
      <c r="CF1011" s="4">
        <v>70</v>
      </c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>
        <v>71</v>
      </c>
      <c r="GE1011" s="4">
        <v>69</v>
      </c>
      <c r="GF1011" s="4">
        <v>68</v>
      </c>
      <c r="GG1011" s="4">
        <v>67</v>
      </c>
      <c r="GH1011" s="4">
        <v>66</v>
      </c>
      <c r="GI1011" s="4">
        <v>65</v>
      </c>
      <c r="GJ1011" s="4">
        <v>64</v>
      </c>
      <c r="GK1011" s="4">
        <v>63</v>
      </c>
      <c r="GL1011" s="4">
        <v>62</v>
      </c>
      <c r="GM1011" s="4">
        <v>61</v>
      </c>
      <c r="GN1011" s="4">
        <v>60</v>
      </c>
      <c r="GO1011" s="4">
        <v>58</v>
      </c>
      <c r="GP1011" s="4">
        <v>56</v>
      </c>
      <c r="GQ1011" s="4">
        <v>51</v>
      </c>
      <c r="GR1011" s="4">
        <v>48</v>
      </c>
      <c r="GS1011" s="4">
        <v>44</v>
      </c>
      <c r="GT1011" s="4">
        <v>42</v>
      </c>
      <c r="GU1011" s="4">
        <v>41</v>
      </c>
      <c r="GV1011" s="4">
        <v>40</v>
      </c>
      <c r="GW1011" s="4">
        <v>39</v>
      </c>
      <c r="GX1011" s="4">
        <v>38</v>
      </c>
      <c r="GY1011" s="4">
        <v>37</v>
      </c>
      <c r="GZ1011" s="4">
        <v>36</v>
      </c>
      <c r="HA1011" s="4">
        <v>35</v>
      </c>
      <c r="HB1011" s="4">
        <v>34</v>
      </c>
      <c r="HC1011" s="4">
        <v>33</v>
      </c>
      <c r="HD1011" s="19">
        <v>71</v>
      </c>
      <c r="HE1011" s="19">
        <v>69</v>
      </c>
      <c r="HF1011" s="19">
        <v>68</v>
      </c>
      <c r="HG1011" s="19">
        <v>67</v>
      </c>
      <c r="HH1011" s="19">
        <v>66</v>
      </c>
      <c r="HI1011" s="19">
        <v>65</v>
      </c>
      <c r="HJ1011" s="19">
        <v>64</v>
      </c>
      <c r="HK1011" s="19">
        <v>63</v>
      </c>
      <c r="HL1011" s="19">
        <v>31</v>
      </c>
      <c r="HM1011" s="19">
        <v>30.5</v>
      </c>
      <c r="HN1011" s="19">
        <v>20</v>
      </c>
      <c r="HO1011" s="19">
        <v>14.5</v>
      </c>
      <c r="HP1011" s="19">
        <v>14</v>
      </c>
      <c r="HQ1011" s="19">
        <v>25.5</v>
      </c>
      <c r="HR1011" s="19">
        <v>24</v>
      </c>
      <c r="HS1011" s="19">
        <v>44</v>
      </c>
      <c r="HT1011" s="19">
        <v>42</v>
      </c>
      <c r="HU1011" s="19">
        <v>41</v>
      </c>
      <c r="HV1011" s="19">
        <v>40</v>
      </c>
      <c r="HW1011" s="19">
        <v>39</v>
      </c>
      <c r="HX1011" s="19">
        <v>38</v>
      </c>
      <c r="HY1011" s="19">
        <v>37</v>
      </c>
      <c r="HZ1011" s="19">
        <v>36</v>
      </c>
      <c r="IA1011" s="19">
        <v>35</v>
      </c>
      <c r="IB1011" s="19">
        <v>34</v>
      </c>
      <c r="IC1011" s="19">
        <v>33</v>
      </c>
    </row>
    <row r="1012">
      <c r="A1012" s="2" t="s">
        <v>4073</v>
      </c>
      <c r="B1012" s="2" t="s">
        <v>871</v>
      </c>
      <c r="C1012" s="2" t="s">
        <v>853</v>
      </c>
      <c r="D1012" s="2" t="s">
        <v>906</v>
      </c>
      <c r="E1012" s="2" t="s">
        <v>1301</v>
      </c>
      <c r="F1012" s="2" t="s">
        <v>4046</v>
      </c>
      <c r="G1012" s="2" t="s">
        <v>4047</v>
      </c>
      <c r="H1012" s="2" t="s">
        <v>4048</v>
      </c>
      <c r="I1012" s="2" t="s">
        <v>4049</v>
      </c>
      <c r="J1012" s="2" t="s">
        <v>877</v>
      </c>
      <c r="K1012" s="2" t="s">
        <v>506</v>
      </c>
      <c r="L1012" s="3">
        <v>30.36</v>
      </c>
      <c r="M1012" s="3">
        <v>31.88</v>
      </c>
      <c r="N1012" s="3">
        <v>64.99</v>
      </c>
      <c r="O1012" s="2" t="s">
        <v>232</v>
      </c>
      <c r="P1012" s="2" t="s">
        <v>233</v>
      </c>
      <c r="Q1012" s="2" t="s">
        <v>234</v>
      </c>
      <c r="R1012" s="2" t="s">
        <v>235</v>
      </c>
      <c r="S1012" s="2" t="s">
        <v>4074</v>
      </c>
      <c r="T1012" s="2" t="s">
        <v>2541</v>
      </c>
      <c r="U1012" s="2" t="s">
        <v>552</v>
      </c>
      <c r="V1012" s="2" t="s">
        <v>238</v>
      </c>
      <c r="W1012" s="2" t="s">
        <v>329</v>
      </c>
      <c r="X1012" s="2" t="s">
        <v>4051</v>
      </c>
      <c r="Y1012" s="2" t="s">
        <v>4075</v>
      </c>
      <c r="Z1012" s="4">
        <v>641</v>
      </c>
      <c r="AA1012" s="4">
        <f>=ROUNDDOWN(320.5,0)</f>
      </c>
      <c r="AB1012" s="5">
        <v>2</v>
      </c>
      <c r="AC1012" s="2" t="s">
        <v>235</v>
      </c>
      <c r="AD1012" s="4"/>
      <c r="AE1012" s="4"/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235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235</v>
      </c>
      <c r="BD1012" s="8" t="s">
        <v>235</v>
      </c>
      <c r="BE1012" s="4" t="s">
        <v>235</v>
      </c>
      <c r="BF1012" s="8" t="s">
        <v>235</v>
      </c>
      <c r="BG1012" s="7" t="s">
        <v>235</v>
      </c>
      <c r="BH1012" s="7" t="s">
        <v>235</v>
      </c>
      <c r="BI1012" s="7"/>
      <c r="BJ1012" s="4">
        <v>8</v>
      </c>
      <c r="BK1012" s="8">
        <v>248.37</v>
      </c>
      <c r="BL1012" s="2" t="s">
        <v>4076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4053</v>
      </c>
      <c r="BV1012" s="2" t="s">
        <v>243</v>
      </c>
      <c r="BW1012" s="2" t="s">
        <v>235</v>
      </c>
      <c r="BX1012" s="2" t="s">
        <v>244</v>
      </c>
      <c r="BY1012" s="2" t="s">
        <v>245</v>
      </c>
      <c r="BZ1012" s="2" t="s">
        <v>232</v>
      </c>
      <c r="CA1012" s="2" t="s">
        <v>4077</v>
      </c>
      <c r="CB1012" s="2" t="s">
        <v>1919</v>
      </c>
      <c r="CC1012" s="2" t="s">
        <v>248</v>
      </c>
      <c r="CD1012" s="2" t="s">
        <v>248</v>
      </c>
      <c r="CE1012" s="2" t="s">
        <v>235</v>
      </c>
      <c r="CF1012" s="4">
        <v>363</v>
      </c>
      <c r="CG1012" s="4">
        <v>85</v>
      </c>
      <c r="CH1012" s="4"/>
      <c r="CI1012" s="4">
        <v>193</v>
      </c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>
        <v>646</v>
      </c>
      <c r="GE1012" s="4">
        <v>639</v>
      </c>
      <c r="GF1012" s="4">
        <v>638</v>
      </c>
      <c r="GG1012" s="4">
        <v>637</v>
      </c>
      <c r="GH1012" s="4">
        <v>636</v>
      </c>
      <c r="GI1012" s="4">
        <v>635</v>
      </c>
      <c r="GJ1012" s="4">
        <v>630</v>
      </c>
      <c r="GK1012" s="4">
        <v>623</v>
      </c>
      <c r="GL1012" s="4">
        <v>616</v>
      </c>
      <c r="GM1012" s="4">
        <v>611</v>
      </c>
      <c r="GN1012" s="4">
        <v>608</v>
      </c>
      <c r="GO1012" s="4">
        <v>605</v>
      </c>
      <c r="GP1012" s="4">
        <v>602</v>
      </c>
      <c r="GQ1012" s="4">
        <v>596</v>
      </c>
      <c r="GR1012" s="4">
        <v>589</v>
      </c>
      <c r="GS1012" s="4">
        <v>582</v>
      </c>
      <c r="GT1012" s="4">
        <v>577</v>
      </c>
      <c r="GU1012" s="4">
        <v>574</v>
      </c>
      <c r="GV1012" s="4">
        <v>572</v>
      </c>
      <c r="GW1012" s="4">
        <v>570</v>
      </c>
      <c r="GX1012" s="4">
        <v>568</v>
      </c>
      <c r="GY1012" s="4">
        <v>566</v>
      </c>
      <c r="GZ1012" s="4">
        <v>564</v>
      </c>
      <c r="HA1012" s="4">
        <v>562</v>
      </c>
      <c r="HB1012" s="4">
        <v>560</v>
      </c>
      <c r="HC1012" s="4">
        <v>558</v>
      </c>
      <c r="HD1012" s="19">
        <v>323</v>
      </c>
      <c r="HE1012" s="19">
        <v>639</v>
      </c>
      <c r="HF1012" s="19">
        <v>319</v>
      </c>
      <c r="HG1012" s="19">
        <v>159.3</v>
      </c>
      <c r="HH1012" s="19">
        <v>127.2</v>
      </c>
      <c r="HI1012" s="19">
        <v>105.8</v>
      </c>
      <c r="HJ1012" s="19">
        <v>105</v>
      </c>
      <c r="HK1012" s="19">
        <v>155.8</v>
      </c>
      <c r="HL1012" s="19">
        <v>154</v>
      </c>
      <c r="HM1012" s="19">
        <v>152.8</v>
      </c>
      <c r="HN1012" s="19">
        <v>121.6</v>
      </c>
      <c r="HO1012" s="19">
        <v>100.8</v>
      </c>
      <c r="HP1012" s="19">
        <v>100.3</v>
      </c>
      <c r="HQ1012" s="19">
        <v>99.3</v>
      </c>
      <c r="HR1012" s="19">
        <v>147.3</v>
      </c>
      <c r="HS1012" s="19">
        <v>194</v>
      </c>
      <c r="HT1012" s="19">
        <v>288.5</v>
      </c>
      <c r="HU1012" s="19">
        <v>287</v>
      </c>
      <c r="HV1012" s="19">
        <v>286</v>
      </c>
      <c r="HW1012" s="19">
        <v>285</v>
      </c>
      <c r="HX1012" s="19">
        <v>284</v>
      </c>
      <c r="HY1012" s="19">
        <v>283</v>
      </c>
      <c r="HZ1012" s="19">
        <v>282</v>
      </c>
      <c r="IA1012" s="19">
        <v>281</v>
      </c>
      <c r="IB1012" s="19">
        <v>280</v>
      </c>
      <c r="IC1012" s="19">
        <v>279</v>
      </c>
    </row>
    <row r="1013">
      <c r="A1013" s="2" t="s">
        <v>4078</v>
      </c>
      <c r="B1013" s="2" t="s">
        <v>871</v>
      </c>
      <c r="C1013" s="2" t="s">
        <v>853</v>
      </c>
      <c r="D1013" s="2" t="s">
        <v>906</v>
      </c>
      <c r="E1013" s="2" t="s">
        <v>1301</v>
      </c>
      <c r="F1013" s="2" t="s">
        <v>4046</v>
      </c>
      <c r="G1013" s="2" t="s">
        <v>4047</v>
      </c>
      <c r="H1013" s="2" t="s">
        <v>4048</v>
      </c>
      <c r="I1013" s="2" t="s">
        <v>4049</v>
      </c>
      <c r="J1013" s="2" t="s">
        <v>877</v>
      </c>
      <c r="K1013" s="2" t="s">
        <v>4079</v>
      </c>
      <c r="L1013" s="3">
        <v>30.36</v>
      </c>
      <c r="M1013" s="3">
        <v>31.88</v>
      </c>
      <c r="N1013" s="3">
        <v>64.99</v>
      </c>
      <c r="O1013" s="2" t="s">
        <v>232</v>
      </c>
      <c r="P1013" s="2" t="s">
        <v>233</v>
      </c>
      <c r="Q1013" s="2" t="s">
        <v>234</v>
      </c>
      <c r="R1013" s="2" t="s">
        <v>235</v>
      </c>
      <c r="S1013" s="2" t="s">
        <v>4080</v>
      </c>
      <c r="T1013" s="2" t="s">
        <v>2541</v>
      </c>
      <c r="U1013" s="2" t="s">
        <v>552</v>
      </c>
      <c r="V1013" s="2" t="s">
        <v>238</v>
      </c>
      <c r="W1013" s="2" t="s">
        <v>329</v>
      </c>
      <c r="X1013" s="2" t="s">
        <v>4051</v>
      </c>
      <c r="Y1013" s="2" t="s">
        <v>1606</v>
      </c>
      <c r="Z1013" s="4">
        <v>142</v>
      </c>
      <c r="AA1013" s="4">
        <f>=ROUNDDOWN(142,0)</f>
      </c>
      <c r="AB1013" s="5">
        <v>1</v>
      </c>
      <c r="AC1013" s="2" t="s">
        <v>3646</v>
      </c>
      <c r="AD1013" s="4">
        <v>80</v>
      </c>
      <c r="AE1013" s="4">
        <v>80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235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235</v>
      </c>
      <c r="AW1013" s="8" t="s">
        <v>235</v>
      </c>
      <c r="AX1013" s="4" t="s">
        <v>235</v>
      </c>
      <c r="AY1013" s="8" t="s">
        <v>235</v>
      </c>
      <c r="AZ1013" s="7" t="s">
        <v>235</v>
      </c>
      <c r="BA1013" s="7" t="s">
        <v>235</v>
      </c>
      <c r="BB1013" s="7"/>
      <c r="BC1013" s="4" t="s">
        <v>235</v>
      </c>
      <c r="BD1013" s="8" t="s">
        <v>235</v>
      </c>
      <c r="BE1013" s="4" t="s">
        <v>235</v>
      </c>
      <c r="BF1013" s="8" t="s">
        <v>235</v>
      </c>
      <c r="BG1013" s="7" t="s">
        <v>235</v>
      </c>
      <c r="BH1013" s="7" t="s">
        <v>235</v>
      </c>
      <c r="BI1013" s="7"/>
      <c r="BJ1013" s="4">
        <v>1</v>
      </c>
      <c r="BK1013" s="8">
        <v>41.53</v>
      </c>
      <c r="BL1013" s="2" t="s">
        <v>4081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4053</v>
      </c>
      <c r="BV1013" s="2" t="s">
        <v>243</v>
      </c>
      <c r="BW1013" s="2" t="s">
        <v>235</v>
      </c>
      <c r="BX1013" s="2" t="s">
        <v>244</v>
      </c>
      <c r="BY1013" s="2" t="s">
        <v>245</v>
      </c>
      <c r="BZ1013" s="2" t="s">
        <v>232</v>
      </c>
      <c r="CA1013" s="2" t="s">
        <v>2559</v>
      </c>
      <c r="CB1013" s="2" t="s">
        <v>235</v>
      </c>
      <c r="CC1013" s="2" t="s">
        <v>248</v>
      </c>
      <c r="CD1013" s="2" t="s">
        <v>248</v>
      </c>
      <c r="CE1013" s="2" t="s">
        <v>235</v>
      </c>
      <c r="CF1013" s="4">
        <v>62</v>
      </c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>
        <v>80</v>
      </c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>
        <v>80</v>
      </c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>
        <v>62</v>
      </c>
      <c r="GE1013" s="4">
        <v>141</v>
      </c>
      <c r="GF1013" s="4">
        <v>140</v>
      </c>
      <c r="GG1013" s="4">
        <v>139</v>
      </c>
      <c r="GH1013" s="4">
        <v>138</v>
      </c>
      <c r="GI1013" s="4">
        <v>137</v>
      </c>
      <c r="GJ1013" s="4">
        <v>136</v>
      </c>
      <c r="GK1013" s="4">
        <v>135</v>
      </c>
      <c r="GL1013" s="4">
        <v>134</v>
      </c>
      <c r="GM1013" s="4">
        <v>133</v>
      </c>
      <c r="GN1013" s="4">
        <v>132</v>
      </c>
      <c r="GO1013" s="4">
        <v>130</v>
      </c>
      <c r="GP1013" s="4">
        <v>128</v>
      </c>
      <c r="GQ1013" s="4">
        <v>123</v>
      </c>
      <c r="GR1013" s="4">
        <v>117</v>
      </c>
      <c r="GS1013" s="4">
        <v>111</v>
      </c>
      <c r="GT1013" s="4">
        <v>107</v>
      </c>
      <c r="GU1013" s="4">
        <v>105</v>
      </c>
      <c r="GV1013" s="4">
        <v>104</v>
      </c>
      <c r="GW1013" s="4">
        <v>103</v>
      </c>
      <c r="GX1013" s="4">
        <v>102</v>
      </c>
      <c r="GY1013" s="4">
        <v>101</v>
      </c>
      <c r="GZ1013" s="4">
        <v>100</v>
      </c>
      <c r="HA1013" s="4">
        <v>99</v>
      </c>
      <c r="HB1013" s="4">
        <v>98</v>
      </c>
      <c r="HC1013" s="4">
        <v>97</v>
      </c>
      <c r="HD1013" s="19">
        <v>62</v>
      </c>
      <c r="HE1013" s="19">
        <v>141</v>
      </c>
      <c r="HF1013" s="19">
        <v>140</v>
      </c>
      <c r="HG1013" s="19">
        <v>139</v>
      </c>
      <c r="HH1013" s="19">
        <v>138</v>
      </c>
      <c r="HI1013" s="19">
        <v>137</v>
      </c>
      <c r="HJ1013" s="19">
        <v>136</v>
      </c>
      <c r="HK1013" s="19">
        <v>135</v>
      </c>
      <c r="HL1013" s="19">
        <v>67</v>
      </c>
      <c r="HM1013" s="19">
        <v>66.5</v>
      </c>
      <c r="HN1013" s="19">
        <v>33</v>
      </c>
      <c r="HO1013" s="19">
        <v>26</v>
      </c>
      <c r="HP1013" s="19">
        <v>25.6</v>
      </c>
      <c r="HQ1013" s="19">
        <v>30.8</v>
      </c>
      <c r="HR1013" s="19">
        <v>39</v>
      </c>
      <c r="HS1013" s="19">
        <v>55.5</v>
      </c>
      <c r="HT1013" s="19">
        <v>107</v>
      </c>
      <c r="HU1013" s="19">
        <v>105</v>
      </c>
      <c r="HV1013" s="19">
        <v>104</v>
      </c>
      <c r="HW1013" s="19">
        <v>103</v>
      </c>
      <c r="HX1013" s="19">
        <v>102</v>
      </c>
      <c r="HY1013" s="19">
        <v>101</v>
      </c>
      <c r="HZ1013" s="19">
        <v>100</v>
      </c>
      <c r="IA1013" s="19">
        <v>99</v>
      </c>
      <c r="IB1013" s="19">
        <v>98</v>
      </c>
      <c r="IC1013" s="19">
        <v>97</v>
      </c>
    </row>
    <row r="1014">
      <c r="A1014" s="2" t="s">
        <v>4082</v>
      </c>
      <c r="B1014" s="2" t="s">
        <v>871</v>
      </c>
      <c r="C1014" s="2" t="s">
        <v>853</v>
      </c>
      <c r="D1014" s="2" t="s">
        <v>361</v>
      </c>
      <c r="E1014" s="2" t="s">
        <v>872</v>
      </c>
      <c r="F1014" s="2" t="s">
        <v>4046</v>
      </c>
      <c r="G1014" s="2" t="s">
        <v>4047</v>
      </c>
      <c r="H1014" s="2" t="s">
        <v>4048</v>
      </c>
      <c r="I1014" s="2" t="s">
        <v>4065</v>
      </c>
      <c r="J1014" s="2" t="s">
        <v>365</v>
      </c>
      <c r="K1014" s="2" t="s">
        <v>4079</v>
      </c>
      <c r="L1014" s="3">
        <v>40.14</v>
      </c>
      <c r="M1014" s="3">
        <v>42.15</v>
      </c>
      <c r="N1014" s="3">
        <v>79.99</v>
      </c>
      <c r="O1014" s="2" t="s">
        <v>232</v>
      </c>
      <c r="P1014" s="2" t="s">
        <v>233</v>
      </c>
      <c r="Q1014" s="2" t="s">
        <v>234</v>
      </c>
      <c r="R1014" s="2" t="s">
        <v>235</v>
      </c>
      <c r="S1014" s="2" t="s">
        <v>4080</v>
      </c>
      <c r="T1014" s="2" t="s">
        <v>2541</v>
      </c>
      <c r="U1014" s="2" t="s">
        <v>264</v>
      </c>
      <c r="V1014" s="2" t="s">
        <v>238</v>
      </c>
      <c r="W1014" s="2" t="s">
        <v>329</v>
      </c>
      <c r="X1014" s="2" t="s">
        <v>4051</v>
      </c>
      <c r="Y1014" s="2" t="s">
        <v>1606</v>
      </c>
      <c r="Z1014" s="4">
        <v>524</v>
      </c>
      <c r="AA1014" s="4">
        <f>=ROUNDDOWN(104.8,0)</f>
      </c>
      <c r="AB1014" s="5">
        <v>5</v>
      </c>
      <c r="AC1014" s="2" t="s">
        <v>3646</v>
      </c>
      <c r="AD1014" s="4">
        <v>150</v>
      </c>
      <c r="AE1014" s="4">
        <v>150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235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235</v>
      </c>
      <c r="AW1014" s="8" t="s">
        <v>235</v>
      </c>
      <c r="AX1014" s="4" t="s">
        <v>235</v>
      </c>
      <c r="AY1014" s="8" t="s">
        <v>235</v>
      </c>
      <c r="AZ1014" s="7" t="s">
        <v>235</v>
      </c>
      <c r="BA1014" s="7" t="s">
        <v>235</v>
      </c>
      <c r="BB1014" s="7" t="s">
        <v>235</v>
      </c>
      <c r="BC1014" s="4" t="s">
        <v>235</v>
      </c>
      <c r="BD1014" s="8" t="s">
        <v>235</v>
      </c>
      <c r="BE1014" s="4" t="s">
        <v>235</v>
      </c>
      <c r="BF1014" s="8" t="s">
        <v>235</v>
      </c>
      <c r="BG1014" s="7" t="s">
        <v>235</v>
      </c>
      <c r="BH1014" s="7" t="s">
        <v>235</v>
      </c>
      <c r="BI1014" s="7"/>
      <c r="BJ1014" s="4">
        <v>19</v>
      </c>
      <c r="BK1014" s="8">
        <v>895.71</v>
      </c>
      <c r="BL1014" s="2" t="s">
        <v>4083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4067</v>
      </c>
      <c r="BV1014" s="2" t="s">
        <v>243</v>
      </c>
      <c r="BW1014" s="2" t="s">
        <v>235</v>
      </c>
      <c r="BX1014" s="2" t="s">
        <v>383</v>
      </c>
      <c r="BY1014" s="2" t="s">
        <v>245</v>
      </c>
      <c r="BZ1014" s="2" t="s">
        <v>232</v>
      </c>
      <c r="CA1014" s="2" t="s">
        <v>4084</v>
      </c>
      <c r="CB1014" s="2" t="s">
        <v>3355</v>
      </c>
      <c r="CC1014" s="2" t="s">
        <v>248</v>
      </c>
      <c r="CD1014" s="2" t="s">
        <v>248</v>
      </c>
      <c r="CE1014" s="2" t="s">
        <v>235</v>
      </c>
      <c r="CF1014" s="4">
        <v>374</v>
      </c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>
        <v>150</v>
      </c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>
        <v>150</v>
      </c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>
        <v>374</v>
      </c>
      <c r="GE1014" s="4">
        <v>518</v>
      </c>
      <c r="GF1014" s="4">
        <v>513</v>
      </c>
      <c r="GG1014" s="4">
        <v>508</v>
      </c>
      <c r="GH1014" s="4">
        <v>503</v>
      </c>
      <c r="GI1014" s="4">
        <v>498</v>
      </c>
      <c r="GJ1014" s="4">
        <v>492</v>
      </c>
      <c r="GK1014" s="4">
        <v>486</v>
      </c>
      <c r="GL1014" s="4">
        <v>477</v>
      </c>
      <c r="GM1014" s="4">
        <v>466</v>
      </c>
      <c r="GN1014" s="4">
        <v>457</v>
      </c>
      <c r="GO1014" s="4">
        <v>444</v>
      </c>
      <c r="GP1014" s="4">
        <v>431</v>
      </c>
      <c r="GQ1014" s="4">
        <v>402</v>
      </c>
      <c r="GR1014" s="4">
        <v>376</v>
      </c>
      <c r="GS1014" s="4">
        <v>348</v>
      </c>
      <c r="GT1014" s="4">
        <v>330</v>
      </c>
      <c r="GU1014" s="4">
        <v>318</v>
      </c>
      <c r="GV1014" s="4">
        <v>310</v>
      </c>
      <c r="GW1014" s="4">
        <v>305</v>
      </c>
      <c r="GX1014" s="4">
        <v>300</v>
      </c>
      <c r="GY1014" s="4">
        <v>295</v>
      </c>
      <c r="GZ1014" s="4">
        <v>290</v>
      </c>
      <c r="HA1014" s="4">
        <v>285</v>
      </c>
      <c r="HB1014" s="4">
        <v>280</v>
      </c>
      <c r="HC1014" s="4">
        <v>274</v>
      </c>
      <c r="HD1014" s="19">
        <v>74.8</v>
      </c>
      <c r="HE1014" s="19">
        <v>103.6</v>
      </c>
      <c r="HF1014" s="19">
        <v>102.6</v>
      </c>
      <c r="HG1014" s="19">
        <v>84.7</v>
      </c>
      <c r="HH1014" s="19">
        <v>83.8</v>
      </c>
      <c r="HI1014" s="19">
        <v>62.3</v>
      </c>
      <c r="HJ1014" s="19">
        <v>54.7</v>
      </c>
      <c r="HK1014" s="19">
        <v>48.6</v>
      </c>
      <c r="HL1014" s="19">
        <v>39.8</v>
      </c>
      <c r="HM1014" s="19">
        <v>29.1</v>
      </c>
      <c r="HN1014" s="19">
        <v>22.9</v>
      </c>
      <c r="HO1014" s="19">
        <v>18.5</v>
      </c>
      <c r="HP1014" s="19">
        <v>17.2</v>
      </c>
      <c r="HQ1014" s="19">
        <v>19.1</v>
      </c>
      <c r="HR1014" s="19">
        <v>23.5</v>
      </c>
      <c r="HS1014" s="19">
        <v>31.6</v>
      </c>
      <c r="HT1014" s="19">
        <v>41.3</v>
      </c>
      <c r="HU1014" s="19">
        <v>53</v>
      </c>
      <c r="HV1014" s="19">
        <v>62</v>
      </c>
      <c r="HW1014" s="19">
        <v>61</v>
      </c>
      <c r="HX1014" s="19">
        <v>60</v>
      </c>
      <c r="HY1014" s="19">
        <v>59</v>
      </c>
      <c r="HZ1014" s="19">
        <v>58</v>
      </c>
      <c r="IA1014" s="19">
        <v>57</v>
      </c>
      <c r="IB1014" s="19">
        <v>56</v>
      </c>
      <c r="IC1014" s="19">
        <v>54.8</v>
      </c>
    </row>
    <row r="1015">
      <c r="A1015" s="2" t="s">
        <v>4085</v>
      </c>
      <c r="B1015" s="2" t="s">
        <v>871</v>
      </c>
      <c r="C1015" s="2" t="s">
        <v>853</v>
      </c>
      <c r="D1015" s="2" t="s">
        <v>906</v>
      </c>
      <c r="E1015" s="2" t="s">
        <v>1301</v>
      </c>
      <c r="F1015" s="2" t="s">
        <v>4046</v>
      </c>
      <c r="G1015" s="2" t="s">
        <v>4047</v>
      </c>
      <c r="H1015" s="2" t="s">
        <v>4048</v>
      </c>
      <c r="I1015" s="2" t="s">
        <v>4049</v>
      </c>
      <c r="J1015" s="2" t="s">
        <v>365</v>
      </c>
      <c r="K1015" s="2" t="s">
        <v>4079</v>
      </c>
      <c r="L1015" s="3">
        <v>37.01</v>
      </c>
      <c r="M1015" s="3">
        <v>38.86</v>
      </c>
      <c r="N1015" s="3">
        <v>79.99</v>
      </c>
      <c r="O1015" s="2" t="s">
        <v>232</v>
      </c>
      <c r="P1015" s="2" t="s">
        <v>233</v>
      </c>
      <c r="Q1015" s="2" t="s">
        <v>234</v>
      </c>
      <c r="R1015" s="2" t="s">
        <v>235</v>
      </c>
      <c r="S1015" s="2" t="s">
        <v>4080</v>
      </c>
      <c r="T1015" s="2" t="s">
        <v>2541</v>
      </c>
      <c r="U1015" s="2" t="s">
        <v>264</v>
      </c>
      <c r="V1015" s="2" t="s">
        <v>238</v>
      </c>
      <c r="W1015" s="2" t="s">
        <v>329</v>
      </c>
      <c r="X1015" s="2" t="s">
        <v>4051</v>
      </c>
      <c r="Y1015" s="2" t="s">
        <v>1606</v>
      </c>
      <c r="Z1015" s="4">
        <v>189</v>
      </c>
      <c r="AA1015" s="4">
        <f>=ROUNDDOWN(189,0)</f>
      </c>
      <c r="AB1015" s="5">
        <v>1</v>
      </c>
      <c r="AC1015" s="2" t="s">
        <v>3646</v>
      </c>
      <c r="AD1015" s="4">
        <v>140</v>
      </c>
      <c r="AE1015" s="4">
        <v>140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235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235</v>
      </c>
      <c r="AW1015" s="8" t="s">
        <v>235</v>
      </c>
      <c r="AX1015" s="4" t="s">
        <v>235</v>
      </c>
      <c r="AY1015" s="8" t="s">
        <v>235</v>
      </c>
      <c r="AZ1015" s="7" t="s">
        <v>235</v>
      </c>
      <c r="BA1015" s="7" t="s">
        <v>235</v>
      </c>
      <c r="BB1015" s="7" t="s">
        <v>235</v>
      </c>
      <c r="BC1015" s="4" t="s">
        <v>235</v>
      </c>
      <c r="BD1015" s="8" t="s">
        <v>235</v>
      </c>
      <c r="BE1015" s="4" t="s">
        <v>235</v>
      </c>
      <c r="BF1015" s="8" t="s">
        <v>235</v>
      </c>
      <c r="BG1015" s="7" t="s">
        <v>235</v>
      </c>
      <c r="BH1015" s="7" t="s">
        <v>235</v>
      </c>
      <c r="BI1015" s="7"/>
      <c r="BJ1015" s="4">
        <v>1</v>
      </c>
      <c r="BK1015" s="8">
        <v>40.23</v>
      </c>
      <c r="BL1015" s="2" t="s">
        <v>2072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4053</v>
      </c>
      <c r="BV1015" s="2" t="s">
        <v>243</v>
      </c>
      <c r="BW1015" s="2" t="s">
        <v>235</v>
      </c>
      <c r="BX1015" s="2" t="s">
        <v>244</v>
      </c>
      <c r="BY1015" s="2" t="s">
        <v>245</v>
      </c>
      <c r="BZ1015" s="2" t="s">
        <v>232</v>
      </c>
      <c r="CA1015" s="2" t="s">
        <v>2559</v>
      </c>
      <c r="CB1015" s="2" t="s">
        <v>1997</v>
      </c>
      <c r="CC1015" s="2" t="s">
        <v>248</v>
      </c>
      <c r="CD1015" s="2" t="s">
        <v>248</v>
      </c>
      <c r="CE1015" s="2" t="s">
        <v>235</v>
      </c>
      <c r="CF1015" s="4">
        <v>49</v>
      </c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>
        <v>140</v>
      </c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>
        <v>140</v>
      </c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>
        <v>49</v>
      </c>
      <c r="GE1015" s="4">
        <v>188</v>
      </c>
      <c r="GF1015" s="4">
        <v>187</v>
      </c>
      <c r="GG1015" s="4">
        <v>185</v>
      </c>
      <c r="GH1015" s="4">
        <v>183</v>
      </c>
      <c r="GI1015" s="4">
        <v>181</v>
      </c>
      <c r="GJ1015" s="4">
        <v>175</v>
      </c>
      <c r="GK1015" s="4">
        <v>170</v>
      </c>
      <c r="GL1015" s="4">
        <v>165</v>
      </c>
      <c r="GM1015" s="4">
        <v>162</v>
      </c>
      <c r="GN1015" s="4">
        <v>160</v>
      </c>
      <c r="GO1015" s="4">
        <v>159</v>
      </c>
      <c r="GP1015" s="4">
        <v>158</v>
      </c>
      <c r="GQ1015" s="4">
        <v>157</v>
      </c>
      <c r="GR1015" s="4">
        <v>156</v>
      </c>
      <c r="GS1015" s="4">
        <v>155</v>
      </c>
      <c r="GT1015" s="4">
        <v>154</v>
      </c>
      <c r="GU1015" s="4">
        <v>153</v>
      </c>
      <c r="GV1015" s="4">
        <v>152</v>
      </c>
      <c r="GW1015" s="4">
        <v>151</v>
      </c>
      <c r="GX1015" s="4">
        <v>150</v>
      </c>
      <c r="GY1015" s="4">
        <v>149</v>
      </c>
      <c r="GZ1015" s="4">
        <v>148</v>
      </c>
      <c r="HA1015" s="4">
        <v>147</v>
      </c>
      <c r="HB1015" s="4">
        <v>146</v>
      </c>
      <c r="HC1015" s="4">
        <v>145</v>
      </c>
      <c r="HD1015" s="19">
        <v>24.5</v>
      </c>
      <c r="HE1015" s="19">
        <v>94</v>
      </c>
      <c r="HF1015" s="19">
        <v>62.3</v>
      </c>
      <c r="HG1015" s="19">
        <v>46.3</v>
      </c>
      <c r="HH1015" s="19">
        <v>45.8</v>
      </c>
      <c r="HI1015" s="19">
        <v>36.2</v>
      </c>
      <c r="HJ1015" s="19">
        <v>43.8</v>
      </c>
      <c r="HK1015" s="19">
        <v>56.7</v>
      </c>
      <c r="HL1015" s="19">
        <v>82.5</v>
      </c>
      <c r="HM1015" s="19">
        <v>162</v>
      </c>
      <c r="HN1015" s="19">
        <v>160</v>
      </c>
      <c r="HO1015" s="19">
        <v>159</v>
      </c>
      <c r="HP1015" s="19">
        <v>158</v>
      </c>
      <c r="HQ1015" s="19">
        <v>157</v>
      </c>
      <c r="HR1015" s="19">
        <v>156</v>
      </c>
      <c r="HS1015" s="19">
        <v>155</v>
      </c>
      <c r="HT1015" s="19">
        <v>154</v>
      </c>
      <c r="HU1015" s="19">
        <v>153</v>
      </c>
      <c r="HV1015" s="19">
        <v>152</v>
      </c>
      <c r="HW1015" s="19">
        <v>151</v>
      </c>
      <c r="HX1015" s="19">
        <v>150</v>
      </c>
      <c r="HY1015" s="19">
        <v>149</v>
      </c>
      <c r="HZ1015" s="19">
        <v>148</v>
      </c>
      <c r="IA1015" s="19">
        <v>147</v>
      </c>
      <c r="IB1015" s="19">
        <v>146</v>
      </c>
      <c r="IC1015" s="19">
        <v>145</v>
      </c>
    </row>
    <row r="1016">
      <c r="A1016" s="2" t="s">
        <v>4086</v>
      </c>
      <c r="B1016" s="2" t="s">
        <v>871</v>
      </c>
      <c r="C1016" s="2" t="s">
        <v>853</v>
      </c>
      <c r="D1016" s="2" t="s">
        <v>906</v>
      </c>
      <c r="E1016" s="2" t="s">
        <v>1301</v>
      </c>
      <c r="F1016" s="2" t="s">
        <v>4046</v>
      </c>
      <c r="G1016" s="2" t="s">
        <v>4047</v>
      </c>
      <c r="H1016" s="2" t="s">
        <v>4048</v>
      </c>
      <c r="I1016" s="2" t="s">
        <v>4049</v>
      </c>
      <c r="J1016" s="2" t="s">
        <v>372</v>
      </c>
      <c r="K1016" s="2" t="s">
        <v>4079</v>
      </c>
      <c r="L1016" s="3">
        <v>40.6</v>
      </c>
      <c r="M1016" s="3">
        <v>42.63</v>
      </c>
      <c r="N1016" s="3">
        <v>84.99</v>
      </c>
      <c r="O1016" s="2" t="s">
        <v>232</v>
      </c>
      <c r="P1016" s="2" t="s">
        <v>233</v>
      </c>
      <c r="Q1016" s="2" t="s">
        <v>234</v>
      </c>
      <c r="R1016" s="2" t="s">
        <v>235</v>
      </c>
      <c r="S1016" s="2" t="s">
        <v>4080</v>
      </c>
      <c r="T1016" s="2" t="s">
        <v>2541</v>
      </c>
      <c r="U1016" s="2" t="s">
        <v>264</v>
      </c>
      <c r="V1016" s="2" t="s">
        <v>238</v>
      </c>
      <c r="W1016" s="2" t="s">
        <v>329</v>
      </c>
      <c r="X1016" s="2" t="s">
        <v>4051</v>
      </c>
      <c r="Y1016" s="2" t="s">
        <v>1606</v>
      </c>
      <c r="Z1016" s="4">
        <v>170</v>
      </c>
      <c r="AA1016" s="4">
        <f>=ROUNDDOWN(85,0)</f>
      </c>
      <c r="AB1016" s="5">
        <v>2</v>
      </c>
      <c r="AC1016" s="2" t="s">
        <v>235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235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235</v>
      </c>
      <c r="AW1016" s="8" t="s">
        <v>235</v>
      </c>
      <c r="AX1016" s="4" t="s">
        <v>235</v>
      </c>
      <c r="AY1016" s="8" t="s">
        <v>235</v>
      </c>
      <c r="AZ1016" s="7" t="s">
        <v>235</v>
      </c>
      <c r="BA1016" s="7" t="s">
        <v>235</v>
      </c>
      <c r="BB1016" s="7"/>
      <c r="BC1016" s="4" t="s">
        <v>235</v>
      </c>
      <c r="BD1016" s="8" t="s">
        <v>235</v>
      </c>
      <c r="BE1016" s="4" t="s">
        <v>235</v>
      </c>
      <c r="BF1016" s="8" t="s">
        <v>235</v>
      </c>
      <c r="BG1016" s="7" t="s">
        <v>235</v>
      </c>
      <c r="BH1016" s="7" t="s">
        <v>235</v>
      </c>
      <c r="BI1016" s="7"/>
      <c r="BJ1016" s="4">
        <v>1</v>
      </c>
      <c r="BK1016" s="8">
        <v>44.86</v>
      </c>
      <c r="BL1016" s="2" t="s">
        <v>4087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4053</v>
      </c>
      <c r="BV1016" s="2" t="s">
        <v>243</v>
      </c>
      <c r="BW1016" s="2" t="s">
        <v>235</v>
      </c>
      <c r="BX1016" s="2" t="s">
        <v>244</v>
      </c>
      <c r="BY1016" s="2" t="s">
        <v>245</v>
      </c>
      <c r="BZ1016" s="2" t="s">
        <v>232</v>
      </c>
      <c r="CA1016" s="2" t="s">
        <v>2559</v>
      </c>
      <c r="CB1016" s="2" t="s">
        <v>798</v>
      </c>
      <c r="CC1016" s="2" t="s">
        <v>248</v>
      </c>
      <c r="CD1016" s="2" t="s">
        <v>248</v>
      </c>
      <c r="CE1016" s="2" t="s">
        <v>235</v>
      </c>
      <c r="CF1016" s="4">
        <v>50</v>
      </c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>
        <v>120</v>
      </c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>
        <v>171</v>
      </c>
      <c r="GE1016" s="4">
        <v>166</v>
      </c>
      <c r="GF1016" s="4">
        <v>164</v>
      </c>
      <c r="GG1016" s="4">
        <v>162</v>
      </c>
      <c r="GH1016" s="4">
        <v>159</v>
      </c>
      <c r="GI1016" s="4">
        <v>156</v>
      </c>
      <c r="GJ1016" s="4">
        <v>150</v>
      </c>
      <c r="GK1016" s="4">
        <v>146</v>
      </c>
      <c r="GL1016" s="4">
        <v>141</v>
      </c>
      <c r="GM1016" s="4">
        <v>138</v>
      </c>
      <c r="GN1016" s="4">
        <v>136</v>
      </c>
      <c r="GO1016" s="4">
        <v>133</v>
      </c>
      <c r="GP1016" s="4">
        <v>130</v>
      </c>
      <c r="GQ1016" s="4">
        <v>124</v>
      </c>
      <c r="GR1016" s="4">
        <v>120</v>
      </c>
      <c r="GS1016" s="4">
        <v>115</v>
      </c>
      <c r="GT1016" s="4">
        <v>112</v>
      </c>
      <c r="GU1016" s="4">
        <v>110</v>
      </c>
      <c r="GV1016" s="4">
        <v>108</v>
      </c>
      <c r="GW1016" s="4">
        <v>106</v>
      </c>
      <c r="GX1016" s="4">
        <v>104</v>
      </c>
      <c r="GY1016" s="4">
        <v>102</v>
      </c>
      <c r="GZ1016" s="4">
        <v>100</v>
      </c>
      <c r="HA1016" s="4">
        <v>98</v>
      </c>
      <c r="HB1016" s="4">
        <v>96</v>
      </c>
      <c r="HC1016" s="4">
        <v>94</v>
      </c>
      <c r="HD1016" s="19">
        <v>57</v>
      </c>
      <c r="HE1016" s="19">
        <v>83</v>
      </c>
      <c r="HF1016" s="19">
        <v>41</v>
      </c>
      <c r="HG1016" s="19">
        <v>40.5</v>
      </c>
      <c r="HH1016" s="19">
        <v>39.8</v>
      </c>
      <c r="HI1016" s="19">
        <v>39</v>
      </c>
      <c r="HJ1016" s="19">
        <v>37.5</v>
      </c>
      <c r="HK1016" s="19">
        <v>48.7</v>
      </c>
      <c r="HL1016" s="19">
        <v>47</v>
      </c>
      <c r="HM1016" s="19">
        <v>34.5</v>
      </c>
      <c r="HN1016" s="19">
        <v>34</v>
      </c>
      <c r="HO1016" s="19">
        <v>33.3</v>
      </c>
      <c r="HP1016" s="19">
        <v>32.5</v>
      </c>
      <c r="HQ1016" s="19">
        <v>31</v>
      </c>
      <c r="HR1016" s="19">
        <v>40</v>
      </c>
      <c r="HS1016" s="19">
        <v>57.5</v>
      </c>
      <c r="HT1016" s="19">
        <v>56</v>
      </c>
      <c r="HU1016" s="19">
        <v>55</v>
      </c>
      <c r="HV1016" s="19">
        <v>54</v>
      </c>
      <c r="HW1016" s="19">
        <v>53</v>
      </c>
      <c r="HX1016" s="19">
        <v>52</v>
      </c>
      <c r="HY1016" s="19">
        <v>51</v>
      </c>
      <c r="HZ1016" s="19">
        <v>50</v>
      </c>
      <c r="IA1016" s="19">
        <v>49</v>
      </c>
      <c r="IB1016" s="19">
        <v>48</v>
      </c>
      <c r="IC1016" s="19">
        <v>47</v>
      </c>
    </row>
    <row r="1017">
      <c r="A1017" s="2" t="s">
        <v>4088</v>
      </c>
      <c r="B1017" s="2" t="s">
        <v>871</v>
      </c>
      <c r="C1017" s="2" t="s">
        <v>853</v>
      </c>
      <c r="D1017" s="2" t="s">
        <v>906</v>
      </c>
      <c r="E1017" s="2" t="s">
        <v>1301</v>
      </c>
      <c r="F1017" s="2" t="s">
        <v>4046</v>
      </c>
      <c r="G1017" s="2" t="s">
        <v>4047</v>
      </c>
      <c r="H1017" s="2" t="s">
        <v>4048</v>
      </c>
      <c r="I1017" s="2" t="s">
        <v>4049</v>
      </c>
      <c r="J1017" s="2" t="s">
        <v>877</v>
      </c>
      <c r="K1017" s="2" t="s">
        <v>1238</v>
      </c>
      <c r="L1017" s="3">
        <v>30.36</v>
      </c>
      <c r="M1017" s="3">
        <v>31.88</v>
      </c>
      <c r="N1017" s="3">
        <v>64.99</v>
      </c>
      <c r="O1017" s="2" t="s">
        <v>232</v>
      </c>
      <c r="P1017" s="2" t="s">
        <v>233</v>
      </c>
      <c r="Q1017" s="2" t="s">
        <v>234</v>
      </c>
      <c r="R1017" s="2" t="s">
        <v>235</v>
      </c>
      <c r="S1017" s="2" t="s">
        <v>4089</v>
      </c>
      <c r="T1017" s="2" t="s">
        <v>2541</v>
      </c>
      <c r="U1017" s="2" t="s">
        <v>552</v>
      </c>
      <c r="V1017" s="2" t="s">
        <v>238</v>
      </c>
      <c r="W1017" s="2" t="s">
        <v>329</v>
      </c>
      <c r="X1017" s="2" t="s">
        <v>4051</v>
      </c>
      <c r="Y1017" s="2" t="s">
        <v>1606</v>
      </c>
      <c r="Z1017" s="4">
        <v>54</v>
      </c>
      <c r="AA1017" s="4">
        <f>=ROUNDDOWN(54,0)</f>
      </c>
      <c r="AB1017" s="5">
        <v>1</v>
      </c>
      <c r="AC1017" s="2" t="s">
        <v>235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235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235</v>
      </c>
      <c r="AW1017" s="8" t="s">
        <v>235</v>
      </c>
      <c r="AX1017" s="4" t="s">
        <v>235</v>
      </c>
      <c r="AY1017" s="8" t="s">
        <v>235</v>
      </c>
      <c r="AZ1017" s="7" t="s">
        <v>235</v>
      </c>
      <c r="BA1017" s="7" t="s">
        <v>235</v>
      </c>
      <c r="BB1017" s="7"/>
      <c r="BC1017" s="4" t="s">
        <v>235</v>
      </c>
      <c r="BD1017" s="8" t="s">
        <v>235</v>
      </c>
      <c r="BE1017" s="4" t="s">
        <v>235</v>
      </c>
      <c r="BF1017" s="8" t="s">
        <v>235</v>
      </c>
      <c r="BG1017" s="7" t="s">
        <v>235</v>
      </c>
      <c r="BH1017" s="7" t="s">
        <v>235</v>
      </c>
      <c r="BI1017" s="7"/>
      <c r="BJ1017" s="4"/>
      <c r="BK1017" s="8"/>
      <c r="BL1017" s="2" t="s">
        <v>1206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4053</v>
      </c>
      <c r="BV1017" s="2" t="s">
        <v>243</v>
      </c>
      <c r="BW1017" s="2" t="s">
        <v>235</v>
      </c>
      <c r="BX1017" s="2" t="s">
        <v>244</v>
      </c>
      <c r="BY1017" s="2" t="s">
        <v>245</v>
      </c>
      <c r="BZ1017" s="2" t="s">
        <v>232</v>
      </c>
      <c r="CA1017" s="2" t="s">
        <v>2559</v>
      </c>
      <c r="CB1017" s="2" t="s">
        <v>235</v>
      </c>
      <c r="CC1017" s="2" t="s">
        <v>248</v>
      </c>
      <c r="CD1017" s="2" t="s">
        <v>248</v>
      </c>
      <c r="CE1017" s="2" t="s">
        <v>235</v>
      </c>
      <c r="CF1017" s="4">
        <v>54</v>
      </c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>
        <v>54</v>
      </c>
      <c r="GE1017" s="4">
        <v>49</v>
      </c>
      <c r="GF1017" s="4">
        <v>48</v>
      </c>
      <c r="GG1017" s="4">
        <v>47</v>
      </c>
      <c r="GH1017" s="4">
        <v>45</v>
      </c>
      <c r="GI1017" s="4">
        <v>43</v>
      </c>
      <c r="GJ1017" s="4">
        <v>38</v>
      </c>
      <c r="GK1017" s="4">
        <v>32</v>
      </c>
      <c r="GL1017" s="4">
        <v>26</v>
      </c>
      <c r="GM1017" s="4">
        <v>22</v>
      </c>
      <c r="GN1017" s="4">
        <v>20</v>
      </c>
      <c r="GO1017" s="4">
        <v>19</v>
      </c>
      <c r="GP1017" s="4">
        <v>18</v>
      </c>
      <c r="GQ1017" s="4">
        <v>17</v>
      </c>
      <c r="GR1017" s="4">
        <v>16</v>
      </c>
      <c r="GS1017" s="4">
        <v>15</v>
      </c>
      <c r="GT1017" s="4">
        <v>14</v>
      </c>
      <c r="GU1017" s="4">
        <v>13</v>
      </c>
      <c r="GV1017" s="4">
        <v>12</v>
      </c>
      <c r="GW1017" s="4">
        <v>49</v>
      </c>
      <c r="GX1017" s="4">
        <v>48</v>
      </c>
      <c r="GY1017" s="4">
        <v>47</v>
      </c>
      <c r="GZ1017" s="4">
        <v>46</v>
      </c>
      <c r="HA1017" s="4">
        <v>45</v>
      </c>
      <c r="HB1017" s="4">
        <v>44</v>
      </c>
      <c r="HC1017" s="4">
        <v>43</v>
      </c>
      <c r="HD1017" s="19">
        <v>27</v>
      </c>
      <c r="HE1017" s="19">
        <v>24.5</v>
      </c>
      <c r="HF1017" s="19">
        <v>24</v>
      </c>
      <c r="HG1017" s="19">
        <v>11.8</v>
      </c>
      <c r="HH1017" s="19">
        <v>9</v>
      </c>
      <c r="HI1017" s="19">
        <v>8.6</v>
      </c>
      <c r="HJ1017" s="19">
        <v>9.5</v>
      </c>
      <c r="HK1017" s="19">
        <v>10.7</v>
      </c>
      <c r="HL1017" s="19">
        <v>13</v>
      </c>
      <c r="HM1017" s="19">
        <v>22</v>
      </c>
      <c r="HN1017" s="19">
        <v>20</v>
      </c>
      <c r="HO1017" s="19">
        <v>19</v>
      </c>
      <c r="HP1017" s="19">
        <v>18</v>
      </c>
      <c r="HQ1017" s="19">
        <v>17</v>
      </c>
      <c r="HR1017" s="19">
        <v>16</v>
      </c>
      <c r="HS1017" s="19">
        <v>15</v>
      </c>
      <c r="HT1017" s="19">
        <v>14</v>
      </c>
      <c r="HU1017" s="19">
        <v>13</v>
      </c>
      <c r="HV1017" s="19">
        <v>12</v>
      </c>
      <c r="HW1017" s="19">
        <v>49</v>
      </c>
      <c r="HX1017" s="19">
        <v>48</v>
      </c>
      <c r="HY1017" s="19">
        <v>47</v>
      </c>
      <c r="HZ1017" s="19">
        <v>46</v>
      </c>
      <c r="IA1017" s="19">
        <v>45</v>
      </c>
      <c r="IB1017" s="19">
        <v>44</v>
      </c>
      <c r="IC1017" s="19">
        <v>43</v>
      </c>
    </row>
    <row r="1018">
      <c r="A1018" s="2" t="s">
        <v>4090</v>
      </c>
      <c r="B1018" s="2" t="s">
        <v>871</v>
      </c>
      <c r="C1018" s="2" t="s">
        <v>853</v>
      </c>
      <c r="D1018" s="2" t="s">
        <v>361</v>
      </c>
      <c r="E1018" s="2" t="s">
        <v>872</v>
      </c>
      <c r="F1018" s="2" t="s">
        <v>4046</v>
      </c>
      <c r="G1018" s="2" t="s">
        <v>4047</v>
      </c>
      <c r="H1018" s="2" t="s">
        <v>4048</v>
      </c>
      <c r="I1018" s="2" t="s">
        <v>4065</v>
      </c>
      <c r="J1018" s="2" t="s">
        <v>365</v>
      </c>
      <c r="K1018" s="2" t="s">
        <v>1238</v>
      </c>
      <c r="L1018" s="3">
        <v>40.14</v>
      </c>
      <c r="M1018" s="3">
        <v>42.15</v>
      </c>
      <c r="N1018" s="3">
        <v>79.99</v>
      </c>
      <c r="O1018" s="2" t="s">
        <v>232</v>
      </c>
      <c r="P1018" s="2" t="s">
        <v>233</v>
      </c>
      <c r="Q1018" s="2" t="s">
        <v>234</v>
      </c>
      <c r="R1018" s="2" t="s">
        <v>235</v>
      </c>
      <c r="S1018" s="2" t="s">
        <v>4089</v>
      </c>
      <c r="T1018" s="2" t="s">
        <v>2541</v>
      </c>
      <c r="U1018" s="2" t="s">
        <v>264</v>
      </c>
      <c r="V1018" s="2" t="s">
        <v>238</v>
      </c>
      <c r="W1018" s="2" t="s">
        <v>329</v>
      </c>
      <c r="X1018" s="2" t="s">
        <v>4051</v>
      </c>
      <c r="Y1018" s="2" t="s">
        <v>1606</v>
      </c>
      <c r="Z1018" s="4">
        <v>222</v>
      </c>
      <c r="AA1018" s="4">
        <f>=ROUNDDOWN(74,0)</f>
      </c>
      <c r="AB1018" s="5">
        <v>3</v>
      </c>
      <c r="AC1018" s="2" t="s">
        <v>235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235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235</v>
      </c>
      <c r="AW1018" s="8" t="s">
        <v>235</v>
      </c>
      <c r="AX1018" s="4" t="s">
        <v>235</v>
      </c>
      <c r="AY1018" s="8" t="s">
        <v>235</v>
      </c>
      <c r="AZ1018" s="7" t="s">
        <v>235</v>
      </c>
      <c r="BA1018" s="7" t="s">
        <v>235</v>
      </c>
      <c r="BB1018" s="7" t="s">
        <v>235</v>
      </c>
      <c r="BC1018" s="4" t="s">
        <v>235</v>
      </c>
      <c r="BD1018" s="8" t="s">
        <v>235</v>
      </c>
      <c r="BE1018" s="4" t="s">
        <v>235</v>
      </c>
      <c r="BF1018" s="8" t="s">
        <v>235</v>
      </c>
      <c r="BG1018" s="7" t="s">
        <v>235</v>
      </c>
      <c r="BH1018" s="7" t="s">
        <v>235</v>
      </c>
      <c r="BI1018" s="7"/>
      <c r="BJ1018" s="4">
        <v>14</v>
      </c>
      <c r="BK1018" s="8">
        <v>638.35</v>
      </c>
      <c r="BL1018" s="2" t="s">
        <v>4091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4067</v>
      </c>
      <c r="BV1018" s="2" t="s">
        <v>243</v>
      </c>
      <c r="BW1018" s="2" t="s">
        <v>235</v>
      </c>
      <c r="BX1018" s="2" t="s">
        <v>383</v>
      </c>
      <c r="BY1018" s="2" t="s">
        <v>245</v>
      </c>
      <c r="BZ1018" s="2" t="s">
        <v>232</v>
      </c>
      <c r="CA1018" s="2" t="s">
        <v>4084</v>
      </c>
      <c r="CB1018" s="2" t="s">
        <v>1193</v>
      </c>
      <c r="CC1018" s="2" t="s">
        <v>248</v>
      </c>
      <c r="CD1018" s="2" t="s">
        <v>248</v>
      </c>
      <c r="CE1018" s="2" t="s">
        <v>235</v>
      </c>
      <c r="CF1018" s="4">
        <v>222</v>
      </c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>
        <v>223</v>
      </c>
      <c r="GE1018" s="4">
        <v>219</v>
      </c>
      <c r="GF1018" s="4">
        <v>216</v>
      </c>
      <c r="GG1018" s="4">
        <v>213</v>
      </c>
      <c r="GH1018" s="4">
        <v>210</v>
      </c>
      <c r="GI1018" s="4">
        <v>207</v>
      </c>
      <c r="GJ1018" s="4">
        <v>204</v>
      </c>
      <c r="GK1018" s="4">
        <v>201</v>
      </c>
      <c r="GL1018" s="4">
        <v>198</v>
      </c>
      <c r="GM1018" s="4">
        <v>195</v>
      </c>
      <c r="GN1018" s="4">
        <v>190</v>
      </c>
      <c r="GO1018" s="4">
        <v>183</v>
      </c>
      <c r="GP1018" s="4">
        <v>176</v>
      </c>
      <c r="GQ1018" s="4">
        <v>159</v>
      </c>
      <c r="GR1018" s="4">
        <v>145</v>
      </c>
      <c r="GS1018" s="4">
        <v>128</v>
      </c>
      <c r="GT1018" s="4">
        <v>118</v>
      </c>
      <c r="GU1018" s="4">
        <v>112</v>
      </c>
      <c r="GV1018" s="4">
        <v>109</v>
      </c>
      <c r="GW1018" s="4">
        <v>229</v>
      </c>
      <c r="GX1018" s="4">
        <v>226</v>
      </c>
      <c r="GY1018" s="4">
        <v>223</v>
      </c>
      <c r="GZ1018" s="4">
        <v>220</v>
      </c>
      <c r="HA1018" s="4">
        <v>217</v>
      </c>
      <c r="HB1018" s="4">
        <v>214</v>
      </c>
      <c r="HC1018" s="4">
        <v>211</v>
      </c>
      <c r="HD1018" s="19">
        <v>74.3</v>
      </c>
      <c r="HE1018" s="19">
        <v>73</v>
      </c>
      <c r="HF1018" s="19">
        <v>72</v>
      </c>
      <c r="HG1018" s="19">
        <v>71</v>
      </c>
      <c r="HH1018" s="19">
        <v>70</v>
      </c>
      <c r="HI1018" s="19">
        <v>69</v>
      </c>
      <c r="HJ1018" s="19">
        <v>51</v>
      </c>
      <c r="HK1018" s="19">
        <v>50.3</v>
      </c>
      <c r="HL1018" s="19">
        <v>33</v>
      </c>
      <c r="HM1018" s="19">
        <v>21.7</v>
      </c>
      <c r="HN1018" s="19">
        <v>17.3</v>
      </c>
      <c r="HO1018" s="19">
        <v>13.1</v>
      </c>
      <c r="HP1018" s="19">
        <v>12.6</v>
      </c>
      <c r="HQ1018" s="19">
        <v>13.3</v>
      </c>
      <c r="HR1018" s="19">
        <v>16.1</v>
      </c>
      <c r="HS1018" s="19">
        <v>21.3</v>
      </c>
      <c r="HT1018" s="19">
        <v>29.5</v>
      </c>
      <c r="HU1018" s="19">
        <v>37.3</v>
      </c>
      <c r="HV1018" s="19">
        <v>36.3</v>
      </c>
      <c r="HW1018" s="19">
        <v>76.3</v>
      </c>
      <c r="HX1018" s="19">
        <v>75.3</v>
      </c>
      <c r="HY1018" s="19">
        <v>74.3</v>
      </c>
      <c r="HZ1018" s="19">
        <v>73.3</v>
      </c>
      <c r="IA1018" s="19">
        <v>72.3</v>
      </c>
      <c r="IB1018" s="19">
        <v>71.3</v>
      </c>
      <c r="IC1018" s="19">
        <v>70.3</v>
      </c>
    </row>
    <row r="1019">
      <c r="A1019" s="2" t="s">
        <v>4092</v>
      </c>
      <c r="B1019" s="2" t="s">
        <v>871</v>
      </c>
      <c r="C1019" s="2" t="s">
        <v>853</v>
      </c>
      <c r="D1019" s="2" t="s">
        <v>906</v>
      </c>
      <c r="E1019" s="2" t="s">
        <v>1301</v>
      </c>
      <c r="F1019" s="2" t="s">
        <v>4046</v>
      </c>
      <c r="G1019" s="2" t="s">
        <v>4047</v>
      </c>
      <c r="H1019" s="2" t="s">
        <v>4048</v>
      </c>
      <c r="I1019" s="2" t="s">
        <v>4049</v>
      </c>
      <c r="J1019" s="2" t="s">
        <v>365</v>
      </c>
      <c r="K1019" s="2" t="s">
        <v>1238</v>
      </c>
      <c r="L1019" s="3">
        <v>37.01</v>
      </c>
      <c r="M1019" s="3">
        <v>38.86</v>
      </c>
      <c r="N1019" s="3">
        <v>79.99</v>
      </c>
      <c r="O1019" s="2" t="s">
        <v>232</v>
      </c>
      <c r="P1019" s="2" t="s">
        <v>233</v>
      </c>
      <c r="Q1019" s="2" t="s">
        <v>234</v>
      </c>
      <c r="R1019" s="2" t="s">
        <v>235</v>
      </c>
      <c r="S1019" s="2" t="s">
        <v>4089</v>
      </c>
      <c r="T1019" s="2" t="s">
        <v>2541</v>
      </c>
      <c r="U1019" s="2" t="s">
        <v>264</v>
      </c>
      <c r="V1019" s="2" t="s">
        <v>238</v>
      </c>
      <c r="W1019" s="2" t="s">
        <v>329</v>
      </c>
      <c r="X1019" s="2" t="s">
        <v>4051</v>
      </c>
      <c r="Y1019" s="2" t="s">
        <v>1606</v>
      </c>
      <c r="Z1019" s="4">
        <v>39</v>
      </c>
      <c r="AA1019" s="4">
        <f>=ROUNDDOWN(55.7142857142857,0)</f>
      </c>
      <c r="AB1019" s="5">
        <v>0.7</v>
      </c>
      <c r="AC1019" s="2" t="s">
        <v>235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235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235</v>
      </c>
      <c r="AW1019" s="8" t="s">
        <v>235</v>
      </c>
      <c r="AX1019" s="4" t="s">
        <v>235</v>
      </c>
      <c r="AY1019" s="8" t="s">
        <v>235</v>
      </c>
      <c r="AZ1019" s="7" t="s">
        <v>235</v>
      </c>
      <c r="BA1019" s="7" t="s">
        <v>235</v>
      </c>
      <c r="BB1019" s="7" t="s">
        <v>235</v>
      </c>
      <c r="BC1019" s="4" t="s">
        <v>235</v>
      </c>
      <c r="BD1019" s="8" t="s">
        <v>235</v>
      </c>
      <c r="BE1019" s="4" t="s">
        <v>235</v>
      </c>
      <c r="BF1019" s="8" t="s">
        <v>235</v>
      </c>
      <c r="BG1019" s="7" t="s">
        <v>235</v>
      </c>
      <c r="BH1019" s="7" t="s">
        <v>235</v>
      </c>
      <c r="BI1019" s="7"/>
      <c r="BJ1019" s="4">
        <v>1</v>
      </c>
      <c r="BK1019" s="8">
        <v>48.6</v>
      </c>
      <c r="BL1019" s="2" t="s">
        <v>4093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4053</v>
      </c>
      <c r="BV1019" s="2" t="s">
        <v>243</v>
      </c>
      <c r="BW1019" s="2" t="s">
        <v>235</v>
      </c>
      <c r="BX1019" s="2" t="s">
        <v>244</v>
      </c>
      <c r="BY1019" s="2" t="s">
        <v>245</v>
      </c>
      <c r="BZ1019" s="2" t="s">
        <v>232</v>
      </c>
      <c r="CA1019" s="2" t="s">
        <v>2559</v>
      </c>
      <c r="CB1019" s="2" t="s">
        <v>235</v>
      </c>
      <c r="CC1019" s="2" t="s">
        <v>248</v>
      </c>
      <c r="CD1019" s="2" t="s">
        <v>248</v>
      </c>
      <c r="CE1019" s="2" t="s">
        <v>235</v>
      </c>
      <c r="CF1019" s="4">
        <v>39</v>
      </c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>
        <v>40</v>
      </c>
      <c r="GE1019" s="4">
        <v>39</v>
      </c>
      <c r="GF1019" s="4">
        <v>38</v>
      </c>
      <c r="GG1019" s="4">
        <v>37</v>
      </c>
      <c r="GH1019" s="4">
        <v>36</v>
      </c>
      <c r="GI1019" s="4">
        <v>35</v>
      </c>
      <c r="GJ1019" s="4">
        <v>34</v>
      </c>
      <c r="GK1019" s="4">
        <v>33</v>
      </c>
      <c r="GL1019" s="4">
        <v>32</v>
      </c>
      <c r="GM1019" s="4">
        <v>31</v>
      </c>
      <c r="GN1019" s="4">
        <v>29</v>
      </c>
      <c r="GO1019" s="4">
        <v>27</v>
      </c>
      <c r="GP1019" s="4">
        <v>25</v>
      </c>
      <c r="GQ1019" s="4">
        <v>19</v>
      </c>
      <c r="GR1019" s="4">
        <v>14</v>
      </c>
      <c r="GS1019" s="4">
        <v>9</v>
      </c>
      <c r="GT1019" s="4">
        <v>6</v>
      </c>
      <c r="GU1019" s="4">
        <v>4</v>
      </c>
      <c r="GV1019" s="4">
        <v>3</v>
      </c>
      <c r="GW1019" s="4">
        <v>66</v>
      </c>
      <c r="GX1019" s="4">
        <v>65</v>
      </c>
      <c r="GY1019" s="4">
        <v>64</v>
      </c>
      <c r="GZ1019" s="4">
        <v>63</v>
      </c>
      <c r="HA1019" s="4">
        <v>62</v>
      </c>
      <c r="HB1019" s="4">
        <v>61</v>
      </c>
      <c r="HC1019" s="4">
        <v>60</v>
      </c>
      <c r="HD1019" s="19">
        <v>40</v>
      </c>
      <c r="HE1019" s="19">
        <v>39</v>
      </c>
      <c r="HF1019" s="19">
        <v>38</v>
      </c>
      <c r="HG1019" s="19">
        <v>37</v>
      </c>
      <c r="HH1019" s="19">
        <v>36</v>
      </c>
      <c r="HI1019" s="19">
        <v>35</v>
      </c>
      <c r="HJ1019" s="19">
        <v>34</v>
      </c>
      <c r="HK1019" s="19">
        <v>16.5</v>
      </c>
      <c r="HL1019" s="19">
        <v>16</v>
      </c>
      <c r="HM1019" s="19">
        <v>10.3</v>
      </c>
      <c r="HN1019" s="19">
        <v>7.3</v>
      </c>
      <c r="HO1019" s="19">
        <v>6.8</v>
      </c>
      <c r="HP1019" s="19">
        <v>5</v>
      </c>
      <c r="HQ1019" s="19">
        <v>4.8</v>
      </c>
      <c r="HR1019" s="19">
        <v>4.7</v>
      </c>
      <c r="HS1019" s="19">
        <v>4.5</v>
      </c>
      <c r="HT1019" s="19">
        <v>6</v>
      </c>
      <c r="HU1019" s="19">
        <v>4</v>
      </c>
      <c r="HV1019" s="19">
        <v>3</v>
      </c>
      <c r="HW1019" s="19">
        <v>66</v>
      </c>
      <c r="HX1019" s="19">
        <v>65</v>
      </c>
      <c r="HY1019" s="19">
        <v>64</v>
      </c>
      <c r="HZ1019" s="19">
        <v>63</v>
      </c>
      <c r="IA1019" s="19">
        <v>62</v>
      </c>
      <c r="IB1019" s="19">
        <v>61</v>
      </c>
      <c r="IC1019" s="19">
        <v>60</v>
      </c>
    </row>
    <row r="1020">
      <c r="A1020" s="2" t="s">
        <v>4094</v>
      </c>
      <c r="B1020" s="2" t="s">
        <v>871</v>
      </c>
      <c r="C1020" s="2" t="s">
        <v>853</v>
      </c>
      <c r="D1020" s="2" t="s">
        <v>361</v>
      </c>
      <c r="E1020" s="2" t="s">
        <v>872</v>
      </c>
      <c r="F1020" s="2" t="s">
        <v>4046</v>
      </c>
      <c r="G1020" s="2" t="s">
        <v>4047</v>
      </c>
      <c r="H1020" s="2" t="s">
        <v>4048</v>
      </c>
      <c r="I1020" s="2" t="s">
        <v>4065</v>
      </c>
      <c r="J1020" s="2" t="s">
        <v>372</v>
      </c>
      <c r="K1020" s="2" t="s">
        <v>1238</v>
      </c>
      <c r="L1020" s="3">
        <v>44.36</v>
      </c>
      <c r="M1020" s="3">
        <v>46.58</v>
      </c>
      <c r="N1020" s="3">
        <v>89.99</v>
      </c>
      <c r="O1020" s="2" t="s">
        <v>232</v>
      </c>
      <c r="P1020" s="2" t="s">
        <v>233</v>
      </c>
      <c r="Q1020" s="2" t="s">
        <v>234</v>
      </c>
      <c r="R1020" s="2" t="s">
        <v>235</v>
      </c>
      <c r="S1020" s="2" t="s">
        <v>4089</v>
      </c>
      <c r="T1020" s="2" t="s">
        <v>2541</v>
      </c>
      <c r="U1020" s="2" t="s">
        <v>264</v>
      </c>
      <c r="V1020" s="2" t="s">
        <v>238</v>
      </c>
      <c r="W1020" s="2" t="s">
        <v>329</v>
      </c>
      <c r="X1020" s="2" t="s">
        <v>4051</v>
      </c>
      <c r="Y1020" s="2" t="s">
        <v>1606</v>
      </c>
      <c r="Z1020" s="4">
        <v>89</v>
      </c>
      <c r="AA1020" s="4">
        <f>=ROUNDDOWN(46.8421052631579,0)</f>
      </c>
      <c r="AB1020" s="5">
        <v>1.9</v>
      </c>
      <c r="AC1020" s="2" t="s">
        <v>235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235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235</v>
      </c>
      <c r="AW1020" s="8" t="s">
        <v>235</v>
      </c>
      <c r="AX1020" s="4" t="s">
        <v>235</v>
      </c>
      <c r="AY1020" s="8" t="s">
        <v>235</v>
      </c>
      <c r="AZ1020" s="7" t="s">
        <v>235</v>
      </c>
      <c r="BA1020" s="7" t="s">
        <v>235</v>
      </c>
      <c r="BB1020" s="7" t="s">
        <v>235</v>
      </c>
      <c r="BC1020" s="4" t="s">
        <v>235</v>
      </c>
      <c r="BD1020" s="8" t="s">
        <v>235</v>
      </c>
      <c r="BE1020" s="4" t="s">
        <v>235</v>
      </c>
      <c r="BF1020" s="8" t="s">
        <v>235</v>
      </c>
      <c r="BG1020" s="7" t="s">
        <v>235</v>
      </c>
      <c r="BH1020" s="7" t="s">
        <v>235</v>
      </c>
      <c r="BI1020" s="7"/>
      <c r="BJ1020" s="4">
        <v>7</v>
      </c>
      <c r="BK1020" s="8">
        <v>343.54</v>
      </c>
      <c r="BL1020" s="2" t="s">
        <v>2924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4067</v>
      </c>
      <c r="BV1020" s="2" t="s">
        <v>243</v>
      </c>
      <c r="BW1020" s="2" t="s">
        <v>235</v>
      </c>
      <c r="BX1020" s="2" t="s">
        <v>383</v>
      </c>
      <c r="BY1020" s="2" t="s">
        <v>245</v>
      </c>
      <c r="BZ1020" s="2" t="s">
        <v>232</v>
      </c>
      <c r="CA1020" s="2" t="s">
        <v>4084</v>
      </c>
      <c r="CB1020" s="2" t="s">
        <v>798</v>
      </c>
      <c r="CC1020" s="2" t="s">
        <v>248</v>
      </c>
      <c r="CD1020" s="2" t="s">
        <v>248</v>
      </c>
      <c r="CE1020" s="2" t="s">
        <v>235</v>
      </c>
      <c r="CF1020" s="4">
        <v>89</v>
      </c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>
        <v>91</v>
      </c>
      <c r="GE1020" s="4">
        <v>88</v>
      </c>
      <c r="GF1020" s="4">
        <v>86</v>
      </c>
      <c r="GG1020" s="4">
        <v>84</v>
      </c>
      <c r="GH1020" s="4">
        <v>82</v>
      </c>
      <c r="GI1020" s="4">
        <v>80</v>
      </c>
      <c r="GJ1020" s="4">
        <v>78</v>
      </c>
      <c r="GK1020" s="4">
        <v>76</v>
      </c>
      <c r="GL1020" s="4">
        <v>74</v>
      </c>
      <c r="GM1020" s="4">
        <v>72</v>
      </c>
      <c r="GN1020" s="4">
        <v>69</v>
      </c>
      <c r="GO1020" s="4">
        <v>65</v>
      </c>
      <c r="GP1020" s="4">
        <v>61</v>
      </c>
      <c r="GQ1020" s="4">
        <v>51</v>
      </c>
      <c r="GR1020" s="4">
        <v>44</v>
      </c>
      <c r="GS1020" s="4">
        <v>36</v>
      </c>
      <c r="GT1020" s="4">
        <v>31</v>
      </c>
      <c r="GU1020" s="4">
        <v>28</v>
      </c>
      <c r="GV1020" s="4">
        <v>26</v>
      </c>
      <c r="GW1020" s="4">
        <v>137</v>
      </c>
      <c r="GX1020" s="4">
        <v>135</v>
      </c>
      <c r="GY1020" s="4">
        <v>133</v>
      </c>
      <c r="GZ1020" s="4">
        <v>131</v>
      </c>
      <c r="HA1020" s="4">
        <v>129</v>
      </c>
      <c r="HB1020" s="4">
        <v>127</v>
      </c>
      <c r="HC1020" s="4">
        <v>125</v>
      </c>
      <c r="HD1020" s="19">
        <v>45.5</v>
      </c>
      <c r="HE1020" s="19">
        <v>44</v>
      </c>
      <c r="HF1020" s="19">
        <v>43</v>
      </c>
      <c r="HG1020" s="19">
        <v>42</v>
      </c>
      <c r="HH1020" s="19">
        <v>41</v>
      </c>
      <c r="HI1020" s="19">
        <v>40</v>
      </c>
      <c r="HJ1020" s="19">
        <v>39</v>
      </c>
      <c r="HK1020" s="19">
        <v>25.3</v>
      </c>
      <c r="HL1020" s="19">
        <v>24.7</v>
      </c>
      <c r="HM1020" s="19">
        <v>14.4</v>
      </c>
      <c r="HN1020" s="19">
        <v>11.5</v>
      </c>
      <c r="HO1020" s="19">
        <v>9.3</v>
      </c>
      <c r="HP1020" s="19">
        <v>7.6</v>
      </c>
      <c r="HQ1020" s="19">
        <v>8.5</v>
      </c>
      <c r="HR1020" s="19">
        <v>11</v>
      </c>
      <c r="HS1020" s="19">
        <v>12</v>
      </c>
      <c r="HT1020" s="19">
        <v>15.5</v>
      </c>
      <c r="HU1020" s="19">
        <v>14</v>
      </c>
      <c r="HV1020" s="19">
        <v>13</v>
      </c>
      <c r="HW1020" s="19">
        <v>68.5</v>
      </c>
      <c r="HX1020" s="19">
        <v>67.5</v>
      </c>
      <c r="HY1020" s="19">
        <v>66.5</v>
      </c>
      <c r="HZ1020" s="19">
        <v>65.5</v>
      </c>
      <c r="IA1020" s="19">
        <v>64.5</v>
      </c>
      <c r="IB1020" s="19">
        <v>63.5</v>
      </c>
      <c r="IC1020" s="19">
        <v>62.5</v>
      </c>
    </row>
    <row r="1021">
      <c r="A1021" s="2" t="s">
        <v>4095</v>
      </c>
      <c r="B1021" s="2" t="s">
        <v>871</v>
      </c>
      <c r="C1021" s="2" t="s">
        <v>853</v>
      </c>
      <c r="D1021" s="2" t="s">
        <v>906</v>
      </c>
      <c r="E1021" s="2" t="s">
        <v>1301</v>
      </c>
      <c r="F1021" s="2" t="s">
        <v>4046</v>
      </c>
      <c r="G1021" s="2" t="s">
        <v>4047</v>
      </c>
      <c r="H1021" s="2" t="s">
        <v>4048</v>
      </c>
      <c r="I1021" s="2" t="s">
        <v>4049</v>
      </c>
      <c r="J1021" s="2" t="s">
        <v>372</v>
      </c>
      <c r="K1021" s="2" t="s">
        <v>1238</v>
      </c>
      <c r="L1021" s="3">
        <v>40.6</v>
      </c>
      <c r="M1021" s="3">
        <v>42.63</v>
      </c>
      <c r="N1021" s="3">
        <v>84.99</v>
      </c>
      <c r="O1021" s="2" t="s">
        <v>232</v>
      </c>
      <c r="P1021" s="2" t="s">
        <v>233</v>
      </c>
      <c r="Q1021" s="2" t="s">
        <v>234</v>
      </c>
      <c r="R1021" s="2" t="s">
        <v>235</v>
      </c>
      <c r="S1021" s="2" t="s">
        <v>4089</v>
      </c>
      <c r="T1021" s="2" t="s">
        <v>2541</v>
      </c>
      <c r="U1021" s="2" t="s">
        <v>264</v>
      </c>
      <c r="V1021" s="2" t="s">
        <v>238</v>
      </c>
      <c r="W1021" s="2" t="s">
        <v>329</v>
      </c>
      <c r="X1021" s="2" t="s">
        <v>4051</v>
      </c>
      <c r="Y1021" s="2" t="s">
        <v>1606</v>
      </c>
      <c r="Z1021" s="4">
        <v>73</v>
      </c>
      <c r="AA1021" s="4">
        <f>=ROUNDDOWN(36.5,0)</f>
      </c>
      <c r="AB1021" s="5">
        <v>2</v>
      </c>
      <c r="AC1021" s="2" t="s">
        <v>235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235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235</v>
      </c>
      <c r="AW1021" s="8" t="s">
        <v>235</v>
      </c>
      <c r="AX1021" s="4" t="s">
        <v>235</v>
      </c>
      <c r="AY1021" s="8" t="s">
        <v>235</v>
      </c>
      <c r="AZ1021" s="7" t="s">
        <v>235</v>
      </c>
      <c r="BA1021" s="7" t="s">
        <v>235</v>
      </c>
      <c r="BB1021" s="7" t="s">
        <v>235</v>
      </c>
      <c r="BC1021" s="4" t="s">
        <v>235</v>
      </c>
      <c r="BD1021" s="8" t="s">
        <v>235</v>
      </c>
      <c r="BE1021" s="4" t="s">
        <v>235</v>
      </c>
      <c r="BF1021" s="8" t="s">
        <v>235</v>
      </c>
      <c r="BG1021" s="7" t="s">
        <v>235</v>
      </c>
      <c r="BH1021" s="7" t="s">
        <v>235</v>
      </c>
      <c r="BI1021" s="7"/>
      <c r="BJ1021" s="4"/>
      <c r="BK1021" s="8"/>
      <c r="BL1021" s="2" t="s">
        <v>235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4053</v>
      </c>
      <c r="BV1021" s="2" t="s">
        <v>243</v>
      </c>
      <c r="BW1021" s="2" t="s">
        <v>235</v>
      </c>
      <c r="BX1021" s="2" t="s">
        <v>244</v>
      </c>
      <c r="BY1021" s="2" t="s">
        <v>245</v>
      </c>
      <c r="BZ1021" s="2" t="s">
        <v>232</v>
      </c>
      <c r="CA1021" s="2" t="s">
        <v>2559</v>
      </c>
      <c r="CB1021" s="2" t="s">
        <v>4096</v>
      </c>
      <c r="CC1021" s="2" t="s">
        <v>248</v>
      </c>
      <c r="CD1021" s="2" t="s">
        <v>248</v>
      </c>
      <c r="CE1021" s="2" t="s">
        <v>235</v>
      </c>
      <c r="CF1021" s="4">
        <v>73</v>
      </c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>
        <v>73</v>
      </c>
      <c r="GE1021" s="4">
        <v>67</v>
      </c>
      <c r="GF1021" s="4">
        <v>65</v>
      </c>
      <c r="GG1021" s="4">
        <v>63</v>
      </c>
      <c r="GH1021" s="4">
        <v>60</v>
      </c>
      <c r="GI1021" s="4">
        <v>57</v>
      </c>
      <c r="GJ1021" s="4">
        <v>51</v>
      </c>
      <c r="GK1021" s="4">
        <v>47</v>
      </c>
      <c r="GL1021" s="4">
        <v>42</v>
      </c>
      <c r="GM1021" s="4">
        <v>39</v>
      </c>
      <c r="GN1021" s="4">
        <v>37</v>
      </c>
      <c r="GO1021" s="4">
        <v>34</v>
      </c>
      <c r="GP1021" s="4">
        <v>31</v>
      </c>
      <c r="GQ1021" s="4">
        <v>25</v>
      </c>
      <c r="GR1021" s="4">
        <v>21</v>
      </c>
      <c r="GS1021" s="4">
        <v>16</v>
      </c>
      <c r="GT1021" s="4">
        <v>13</v>
      </c>
      <c r="GU1021" s="4">
        <v>11</v>
      </c>
      <c r="GV1021" s="4">
        <v>9</v>
      </c>
      <c r="GW1021" s="4">
        <v>108</v>
      </c>
      <c r="GX1021" s="4">
        <v>106</v>
      </c>
      <c r="GY1021" s="4">
        <v>104</v>
      </c>
      <c r="GZ1021" s="4">
        <v>102</v>
      </c>
      <c r="HA1021" s="4">
        <v>100</v>
      </c>
      <c r="HB1021" s="4">
        <v>98</v>
      </c>
      <c r="HC1021" s="4">
        <v>96</v>
      </c>
      <c r="HD1021" s="19">
        <v>24.3</v>
      </c>
      <c r="HE1021" s="19">
        <v>33.5</v>
      </c>
      <c r="HF1021" s="19">
        <v>16.3</v>
      </c>
      <c r="HG1021" s="19">
        <v>15.8</v>
      </c>
      <c r="HH1021" s="19">
        <v>15</v>
      </c>
      <c r="HI1021" s="19">
        <v>14.3</v>
      </c>
      <c r="HJ1021" s="19">
        <v>12.8</v>
      </c>
      <c r="HK1021" s="19">
        <v>15.7</v>
      </c>
      <c r="HL1021" s="19">
        <v>14</v>
      </c>
      <c r="HM1021" s="19">
        <v>9.8</v>
      </c>
      <c r="HN1021" s="19">
        <v>9.3</v>
      </c>
      <c r="HO1021" s="19">
        <v>8.5</v>
      </c>
      <c r="HP1021" s="19">
        <v>7.8</v>
      </c>
      <c r="HQ1021" s="19">
        <v>6.3</v>
      </c>
      <c r="HR1021" s="19">
        <v>7</v>
      </c>
      <c r="HS1021" s="19">
        <v>8</v>
      </c>
      <c r="HT1021" s="19">
        <v>6.5</v>
      </c>
      <c r="HU1021" s="19">
        <v>5.5</v>
      </c>
      <c r="HV1021" s="19">
        <v>4.5</v>
      </c>
      <c r="HW1021" s="19">
        <v>54</v>
      </c>
      <c r="HX1021" s="19">
        <v>53</v>
      </c>
      <c r="HY1021" s="19">
        <v>52</v>
      </c>
      <c r="HZ1021" s="19">
        <v>51</v>
      </c>
      <c r="IA1021" s="19">
        <v>50</v>
      </c>
      <c r="IB1021" s="19">
        <v>49</v>
      </c>
      <c r="IC1021" s="19">
        <v>48</v>
      </c>
    </row>
    <row r="1022">
      <c r="A1022" s="2" t="s">
        <v>4097</v>
      </c>
      <c r="B1022" s="2" t="s">
        <v>871</v>
      </c>
      <c r="C1022" s="2" t="s">
        <v>853</v>
      </c>
      <c r="D1022" s="2" t="s">
        <v>361</v>
      </c>
      <c r="E1022" s="2" t="s">
        <v>872</v>
      </c>
      <c r="F1022" s="2" t="s">
        <v>4046</v>
      </c>
      <c r="G1022" s="2" t="s">
        <v>4047</v>
      </c>
      <c r="H1022" s="2" t="s">
        <v>4048</v>
      </c>
      <c r="I1022" s="2" t="s">
        <v>4065</v>
      </c>
      <c r="J1022" s="2" t="s">
        <v>877</v>
      </c>
      <c r="K1022" s="2" t="s">
        <v>292</v>
      </c>
      <c r="L1022" s="3">
        <v>33.77</v>
      </c>
      <c r="M1022" s="3">
        <v>35.46</v>
      </c>
      <c r="N1022" s="3">
        <v>64.99</v>
      </c>
      <c r="O1022" s="2" t="s">
        <v>232</v>
      </c>
      <c r="P1022" s="2" t="s">
        <v>1282</v>
      </c>
      <c r="Q1022" s="2" t="s">
        <v>234</v>
      </c>
      <c r="R1022" s="2" t="s">
        <v>235</v>
      </c>
      <c r="S1022" s="2" t="s">
        <v>4098</v>
      </c>
      <c r="T1022" s="2" t="s">
        <v>2541</v>
      </c>
      <c r="U1022" s="2" t="s">
        <v>552</v>
      </c>
      <c r="V1022" s="2" t="s">
        <v>238</v>
      </c>
      <c r="W1022" s="2" t="s">
        <v>329</v>
      </c>
      <c r="X1022" s="2" t="s">
        <v>4051</v>
      </c>
      <c r="Y1022" s="2" t="s">
        <v>4099</v>
      </c>
      <c r="Z1022" s="4">
        <v>295</v>
      </c>
      <c r="AA1022" s="4">
        <f>=ROUNDDOWN(98.3333333333333,0)</f>
      </c>
      <c r="AB1022" s="5">
        <v>3</v>
      </c>
      <c r="AC1022" s="2" t="s">
        <v>235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235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235</v>
      </c>
      <c r="AW1022" s="8" t="s">
        <v>235</v>
      </c>
      <c r="AX1022" s="4" t="s">
        <v>235</v>
      </c>
      <c r="AY1022" s="8" t="s">
        <v>235</v>
      </c>
      <c r="AZ1022" s="7" t="s">
        <v>235</v>
      </c>
      <c r="BA1022" s="7" t="s">
        <v>235</v>
      </c>
      <c r="BB1022" s="7" t="s">
        <v>235</v>
      </c>
      <c r="BC1022" s="4" t="s">
        <v>235</v>
      </c>
      <c r="BD1022" s="8" t="s">
        <v>235</v>
      </c>
      <c r="BE1022" s="4" t="s">
        <v>235</v>
      </c>
      <c r="BF1022" s="8" t="s">
        <v>235</v>
      </c>
      <c r="BG1022" s="7" t="s">
        <v>235</v>
      </c>
      <c r="BH1022" s="7" t="s">
        <v>235</v>
      </c>
      <c r="BI1022" s="7"/>
      <c r="BJ1022" s="4">
        <v>10</v>
      </c>
      <c r="BK1022" s="8">
        <v>415.44</v>
      </c>
      <c r="BL1022" s="2" t="s">
        <v>4100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4067</v>
      </c>
      <c r="BV1022" s="2" t="s">
        <v>243</v>
      </c>
      <c r="BW1022" s="2" t="s">
        <v>235</v>
      </c>
      <c r="BX1022" s="2" t="s">
        <v>383</v>
      </c>
      <c r="BY1022" s="2" t="s">
        <v>245</v>
      </c>
      <c r="BZ1022" s="2" t="s">
        <v>232</v>
      </c>
      <c r="CA1022" s="2" t="s">
        <v>4101</v>
      </c>
      <c r="CB1022" s="2" t="s">
        <v>3107</v>
      </c>
      <c r="CC1022" s="2" t="s">
        <v>248</v>
      </c>
      <c r="CD1022" s="2" t="s">
        <v>248</v>
      </c>
      <c r="CE1022" s="2" t="s">
        <v>235</v>
      </c>
      <c r="CF1022" s="4">
        <v>295</v>
      </c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>
        <v>295</v>
      </c>
      <c r="GE1022" s="4">
        <v>292</v>
      </c>
      <c r="GF1022" s="4">
        <v>289</v>
      </c>
      <c r="GG1022" s="4">
        <v>285</v>
      </c>
      <c r="GH1022" s="4">
        <v>281</v>
      </c>
      <c r="GI1022" s="4">
        <v>277</v>
      </c>
      <c r="GJ1022" s="4">
        <v>269</v>
      </c>
      <c r="GK1022" s="4">
        <v>265</v>
      </c>
      <c r="GL1022" s="4">
        <v>261</v>
      </c>
      <c r="GM1022" s="4">
        <v>259</v>
      </c>
      <c r="GN1022" s="4">
        <v>254</v>
      </c>
      <c r="GO1022" s="4">
        <v>248</v>
      </c>
      <c r="GP1022" s="4">
        <v>242</v>
      </c>
      <c r="GQ1022" s="4">
        <v>230</v>
      </c>
      <c r="GR1022" s="4">
        <v>220</v>
      </c>
      <c r="GS1022" s="4">
        <v>209</v>
      </c>
      <c r="GT1022" s="4">
        <v>202</v>
      </c>
      <c r="GU1022" s="4">
        <v>197</v>
      </c>
      <c r="GV1022" s="4">
        <v>194</v>
      </c>
      <c r="GW1022" s="4">
        <v>191</v>
      </c>
      <c r="GX1022" s="4">
        <v>188</v>
      </c>
      <c r="GY1022" s="4">
        <v>185</v>
      </c>
      <c r="GZ1022" s="4">
        <v>182</v>
      </c>
      <c r="HA1022" s="4">
        <v>179</v>
      </c>
      <c r="HB1022" s="4">
        <v>176</v>
      </c>
      <c r="HC1022" s="4">
        <v>173</v>
      </c>
      <c r="HD1022" s="19">
        <v>73.8</v>
      </c>
      <c r="HE1022" s="19">
        <v>73</v>
      </c>
      <c r="HF1022" s="19">
        <v>57.8</v>
      </c>
      <c r="HG1022" s="19">
        <v>57</v>
      </c>
      <c r="HH1022" s="19">
        <v>56.2</v>
      </c>
      <c r="HI1022" s="19">
        <v>69.3</v>
      </c>
      <c r="HJ1022" s="19">
        <v>67.3</v>
      </c>
      <c r="HK1022" s="19">
        <v>66.3</v>
      </c>
      <c r="HL1022" s="19">
        <v>52.2</v>
      </c>
      <c r="HM1022" s="19">
        <v>37</v>
      </c>
      <c r="HN1022" s="19">
        <v>31.8</v>
      </c>
      <c r="HO1022" s="19">
        <v>24.8</v>
      </c>
      <c r="HP1022" s="19">
        <v>24.2</v>
      </c>
      <c r="HQ1022" s="19">
        <v>28.8</v>
      </c>
      <c r="HR1022" s="19">
        <v>36.7</v>
      </c>
      <c r="HS1022" s="19">
        <v>52.3</v>
      </c>
      <c r="HT1022" s="19">
        <v>50.5</v>
      </c>
      <c r="HU1022" s="19">
        <v>65.7</v>
      </c>
      <c r="HV1022" s="19">
        <v>64.7</v>
      </c>
      <c r="HW1022" s="19">
        <v>63.7</v>
      </c>
      <c r="HX1022" s="19">
        <v>62.7</v>
      </c>
      <c r="HY1022" s="19">
        <v>61.7</v>
      </c>
      <c r="HZ1022" s="19">
        <v>60.7</v>
      </c>
      <c r="IA1022" s="19">
        <v>59.7</v>
      </c>
      <c r="IB1022" s="19">
        <v>58.7</v>
      </c>
      <c r="IC1022" s="19">
        <v>57.7</v>
      </c>
    </row>
    <row r="1023">
      <c r="A1023" s="2" t="s">
        <v>4102</v>
      </c>
      <c r="B1023" s="2" t="s">
        <v>871</v>
      </c>
      <c r="C1023" s="2" t="s">
        <v>853</v>
      </c>
      <c r="D1023" s="2" t="s">
        <v>906</v>
      </c>
      <c r="E1023" s="2" t="s">
        <v>1301</v>
      </c>
      <c r="F1023" s="2" t="s">
        <v>4046</v>
      </c>
      <c r="G1023" s="2" t="s">
        <v>4047</v>
      </c>
      <c r="H1023" s="2" t="s">
        <v>4048</v>
      </c>
      <c r="I1023" s="2" t="s">
        <v>4049</v>
      </c>
      <c r="J1023" s="2" t="s">
        <v>877</v>
      </c>
      <c r="K1023" s="2" t="s">
        <v>292</v>
      </c>
      <c r="L1023" s="3">
        <v>30.36</v>
      </c>
      <c r="M1023" s="3">
        <v>31.88</v>
      </c>
      <c r="N1023" s="3">
        <v>64.99</v>
      </c>
      <c r="O1023" s="2" t="s">
        <v>407</v>
      </c>
      <c r="P1023" s="2" t="s">
        <v>408</v>
      </c>
      <c r="Q1023" s="2" t="s">
        <v>234</v>
      </c>
      <c r="R1023" s="2" t="s">
        <v>235</v>
      </c>
      <c r="S1023" s="2" t="s">
        <v>4098</v>
      </c>
      <c r="T1023" s="2" t="s">
        <v>2541</v>
      </c>
      <c r="U1023" s="2" t="s">
        <v>552</v>
      </c>
      <c r="V1023" s="2" t="s">
        <v>238</v>
      </c>
      <c r="W1023" s="2" t="s">
        <v>329</v>
      </c>
      <c r="X1023" s="2" t="s">
        <v>4051</v>
      </c>
      <c r="Y1023" s="2" t="s">
        <v>4099</v>
      </c>
      <c r="Z1023" s="4">
        <v>299</v>
      </c>
      <c r="AA1023" s="4">
        <f>=ROUNDDOWN(99.6666666666667,0)</f>
      </c>
      <c r="AB1023" s="5">
        <v>3</v>
      </c>
      <c r="AC1023" s="2" t="s">
        <v>235</v>
      </c>
      <c r="AD1023" s="4"/>
      <c r="AE1023" s="4"/>
      <c r="AF1023" s="6">
        <v>64</v>
      </c>
      <c r="AG1023" s="6"/>
      <c r="AH1023" s="7">
        <v>1</v>
      </c>
      <c r="AI1023" s="4"/>
      <c r="AJ1023" s="4">
        <f>=ROUNDDOWN({0},0)</f>
      </c>
      <c r="AK1023" s="5"/>
      <c r="AL1023" s="2" t="s">
        <v>235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235</v>
      </c>
      <c r="AW1023" s="8" t="s">
        <v>235</v>
      </c>
      <c r="AX1023" s="4" t="s">
        <v>235</v>
      </c>
      <c r="AY1023" s="8" t="s">
        <v>235</v>
      </c>
      <c r="AZ1023" s="7" t="s">
        <v>235</v>
      </c>
      <c r="BA1023" s="7" t="s">
        <v>235</v>
      </c>
      <c r="BB1023" s="7" t="s">
        <v>235</v>
      </c>
      <c r="BC1023" s="4" t="s">
        <v>235</v>
      </c>
      <c r="BD1023" s="8" t="s">
        <v>235</v>
      </c>
      <c r="BE1023" s="4" t="s">
        <v>235</v>
      </c>
      <c r="BF1023" s="8" t="s">
        <v>235</v>
      </c>
      <c r="BG1023" s="7" t="s">
        <v>235</v>
      </c>
      <c r="BH1023" s="7" t="s">
        <v>235</v>
      </c>
      <c r="BI1023" s="7"/>
      <c r="BJ1023" s="4">
        <v>1</v>
      </c>
      <c r="BK1023" s="8">
        <v>41.53</v>
      </c>
      <c r="BL1023" s="2" t="s">
        <v>4076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4053</v>
      </c>
      <c r="BV1023" s="2" t="s">
        <v>243</v>
      </c>
      <c r="BW1023" s="2" t="s">
        <v>235</v>
      </c>
      <c r="BX1023" s="2" t="s">
        <v>244</v>
      </c>
      <c r="BY1023" s="2" t="s">
        <v>245</v>
      </c>
      <c r="BZ1023" s="2" t="s">
        <v>232</v>
      </c>
      <c r="CA1023" s="2" t="s">
        <v>4077</v>
      </c>
      <c r="CB1023" s="2" t="s">
        <v>4103</v>
      </c>
      <c r="CC1023" s="2" t="s">
        <v>248</v>
      </c>
      <c r="CD1023" s="2" t="s">
        <v>248</v>
      </c>
      <c r="CE1023" s="2" t="s">
        <v>235</v>
      </c>
      <c r="CF1023" s="4">
        <v>299</v>
      </c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>
        <v>299</v>
      </c>
      <c r="GE1023" s="4">
        <v>295</v>
      </c>
      <c r="GF1023" s="4">
        <v>292</v>
      </c>
      <c r="GG1023" s="4">
        <v>289</v>
      </c>
      <c r="GH1023" s="4">
        <v>285</v>
      </c>
      <c r="GI1023" s="4">
        <v>281</v>
      </c>
      <c r="GJ1023" s="4">
        <v>274</v>
      </c>
      <c r="GK1023" s="4">
        <v>266</v>
      </c>
      <c r="GL1023" s="4">
        <v>258</v>
      </c>
      <c r="GM1023" s="4">
        <v>252</v>
      </c>
      <c r="GN1023" s="4">
        <v>247</v>
      </c>
      <c r="GO1023" s="4">
        <v>242</v>
      </c>
      <c r="GP1023" s="4">
        <v>237</v>
      </c>
      <c r="GQ1023" s="4">
        <v>227</v>
      </c>
      <c r="GR1023" s="4">
        <v>215</v>
      </c>
      <c r="GS1023" s="4">
        <v>201</v>
      </c>
      <c r="GT1023" s="4">
        <v>193</v>
      </c>
      <c r="GU1023" s="4">
        <v>187</v>
      </c>
      <c r="GV1023" s="4">
        <v>184</v>
      </c>
      <c r="GW1023" s="4">
        <v>181</v>
      </c>
      <c r="GX1023" s="4">
        <v>178</v>
      </c>
      <c r="GY1023" s="4">
        <v>175</v>
      </c>
      <c r="GZ1023" s="4">
        <v>172</v>
      </c>
      <c r="HA1023" s="4">
        <v>169</v>
      </c>
      <c r="HB1023" s="4">
        <v>166</v>
      </c>
      <c r="HC1023" s="4">
        <v>163</v>
      </c>
      <c r="HD1023" s="19">
        <v>74.8</v>
      </c>
      <c r="HE1023" s="19">
        <v>73.8</v>
      </c>
      <c r="HF1023" s="19">
        <v>73</v>
      </c>
      <c r="HG1023" s="19">
        <v>48.2</v>
      </c>
      <c r="HH1023" s="19">
        <v>40.7</v>
      </c>
      <c r="HI1023" s="19">
        <v>40.1</v>
      </c>
      <c r="HJ1023" s="19">
        <v>39.1</v>
      </c>
      <c r="HK1023" s="19">
        <v>44.3</v>
      </c>
      <c r="HL1023" s="19">
        <v>51.6</v>
      </c>
      <c r="HM1023" s="19">
        <v>42</v>
      </c>
      <c r="HN1023" s="19">
        <v>30.9</v>
      </c>
      <c r="HO1023" s="19">
        <v>24.2</v>
      </c>
      <c r="HP1023" s="19">
        <v>21.5</v>
      </c>
      <c r="HQ1023" s="19">
        <v>22.7</v>
      </c>
      <c r="HR1023" s="19">
        <v>26.9</v>
      </c>
      <c r="HS1023" s="19">
        <v>40.2</v>
      </c>
      <c r="HT1023" s="19">
        <v>48.3</v>
      </c>
      <c r="HU1023" s="19">
        <v>62.3</v>
      </c>
      <c r="HV1023" s="19">
        <v>61.3</v>
      </c>
      <c r="HW1023" s="19">
        <v>60.3</v>
      </c>
      <c r="HX1023" s="19">
        <v>59.3</v>
      </c>
      <c r="HY1023" s="19">
        <v>58.3</v>
      </c>
      <c r="HZ1023" s="19">
        <v>57.3</v>
      </c>
      <c r="IA1023" s="19">
        <v>56.3</v>
      </c>
      <c r="IB1023" s="19">
        <v>55.3</v>
      </c>
      <c r="IC1023" s="19">
        <v>54.3</v>
      </c>
    </row>
    <row r="1024">
      <c r="A1024" s="2" t="s">
        <v>4104</v>
      </c>
      <c r="B1024" s="2" t="s">
        <v>871</v>
      </c>
      <c r="C1024" s="2" t="s">
        <v>853</v>
      </c>
      <c r="D1024" s="2" t="s">
        <v>906</v>
      </c>
      <c r="E1024" s="2" t="s">
        <v>1301</v>
      </c>
      <c r="F1024" s="2" t="s">
        <v>4046</v>
      </c>
      <c r="G1024" s="2" t="s">
        <v>4047</v>
      </c>
      <c r="H1024" s="2" t="s">
        <v>4048</v>
      </c>
      <c r="I1024" s="2" t="s">
        <v>4049</v>
      </c>
      <c r="J1024" s="2" t="s">
        <v>365</v>
      </c>
      <c r="K1024" s="2" t="s">
        <v>292</v>
      </c>
      <c r="L1024" s="3">
        <v>37.01</v>
      </c>
      <c r="M1024" s="3">
        <v>38.86</v>
      </c>
      <c r="N1024" s="3">
        <v>79.99</v>
      </c>
      <c r="O1024" s="2" t="s">
        <v>407</v>
      </c>
      <c r="P1024" s="2" t="s">
        <v>408</v>
      </c>
      <c r="Q1024" s="2" t="s">
        <v>234</v>
      </c>
      <c r="R1024" s="2" t="s">
        <v>235</v>
      </c>
      <c r="S1024" s="2" t="s">
        <v>4098</v>
      </c>
      <c r="T1024" s="2" t="s">
        <v>2541</v>
      </c>
      <c r="U1024" s="2" t="s">
        <v>264</v>
      </c>
      <c r="V1024" s="2" t="s">
        <v>238</v>
      </c>
      <c r="W1024" s="2" t="s">
        <v>329</v>
      </c>
      <c r="X1024" s="2" t="s">
        <v>4051</v>
      </c>
      <c r="Y1024" s="2" t="s">
        <v>4099</v>
      </c>
      <c r="Z1024" s="4">
        <v>390</v>
      </c>
      <c r="AA1024" s="4">
        <f>=ROUNDDOWN(97.5,0)</f>
      </c>
      <c r="AB1024" s="5">
        <v>4</v>
      </c>
      <c r="AC1024" s="2" t="s">
        <v>235</v>
      </c>
      <c r="AD1024" s="4"/>
      <c r="AE1024" s="4"/>
      <c r="AF1024" s="6">
        <v>64</v>
      </c>
      <c r="AG1024" s="6"/>
      <c r="AH1024" s="7">
        <v>1</v>
      </c>
      <c r="AI1024" s="4"/>
      <c r="AJ1024" s="4">
        <f>=ROUNDDOWN({0},0)</f>
      </c>
      <c r="AK1024" s="5"/>
      <c r="AL1024" s="2" t="s">
        <v>235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235</v>
      </c>
      <c r="AW1024" s="8" t="s">
        <v>235</v>
      </c>
      <c r="AX1024" s="4" t="s">
        <v>235</v>
      </c>
      <c r="AY1024" s="8" t="s">
        <v>235</v>
      </c>
      <c r="AZ1024" s="7" t="s">
        <v>235</v>
      </c>
      <c r="BA1024" s="7" t="s">
        <v>235</v>
      </c>
      <c r="BB1024" s="7"/>
      <c r="BC1024" s="4" t="s">
        <v>235</v>
      </c>
      <c r="BD1024" s="8" t="s">
        <v>235</v>
      </c>
      <c r="BE1024" s="4" t="s">
        <v>235</v>
      </c>
      <c r="BF1024" s="8" t="s">
        <v>235</v>
      </c>
      <c r="BG1024" s="7" t="s">
        <v>235</v>
      </c>
      <c r="BH1024" s="7" t="s">
        <v>235</v>
      </c>
      <c r="BI1024" s="7"/>
      <c r="BJ1024" s="4">
        <v>2</v>
      </c>
      <c r="BK1024" s="8">
        <v>74.74</v>
      </c>
      <c r="BL1024" s="2" t="s">
        <v>3421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4053</v>
      </c>
      <c r="BV1024" s="2" t="s">
        <v>243</v>
      </c>
      <c r="BW1024" s="2" t="s">
        <v>235</v>
      </c>
      <c r="BX1024" s="2" t="s">
        <v>244</v>
      </c>
      <c r="BY1024" s="2" t="s">
        <v>245</v>
      </c>
      <c r="BZ1024" s="2" t="s">
        <v>232</v>
      </c>
      <c r="CA1024" s="2" t="s">
        <v>4077</v>
      </c>
      <c r="CB1024" s="2" t="s">
        <v>1919</v>
      </c>
      <c r="CC1024" s="2" t="s">
        <v>248</v>
      </c>
      <c r="CD1024" s="2" t="s">
        <v>248</v>
      </c>
      <c r="CE1024" s="2" t="s">
        <v>235</v>
      </c>
      <c r="CF1024" s="4">
        <v>390</v>
      </c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>
        <v>391</v>
      </c>
      <c r="GE1024" s="4">
        <v>386</v>
      </c>
      <c r="GF1024" s="4">
        <v>382</v>
      </c>
      <c r="GG1024" s="4">
        <v>377</v>
      </c>
      <c r="GH1024" s="4">
        <v>372</v>
      </c>
      <c r="GI1024" s="4">
        <v>367</v>
      </c>
      <c r="GJ1024" s="4">
        <v>358</v>
      </c>
      <c r="GK1024" s="4">
        <v>350</v>
      </c>
      <c r="GL1024" s="4">
        <v>342</v>
      </c>
      <c r="GM1024" s="4">
        <v>336</v>
      </c>
      <c r="GN1024" s="4">
        <v>329</v>
      </c>
      <c r="GO1024" s="4">
        <v>321</v>
      </c>
      <c r="GP1024" s="4">
        <v>313</v>
      </c>
      <c r="GQ1024" s="4">
        <v>295</v>
      </c>
      <c r="GR1024" s="4">
        <v>280</v>
      </c>
      <c r="GS1024" s="4">
        <v>263</v>
      </c>
      <c r="GT1024" s="4">
        <v>252</v>
      </c>
      <c r="GU1024" s="4">
        <v>245</v>
      </c>
      <c r="GV1024" s="4">
        <v>241</v>
      </c>
      <c r="GW1024" s="4">
        <v>237</v>
      </c>
      <c r="GX1024" s="4">
        <v>233</v>
      </c>
      <c r="GY1024" s="4">
        <v>229</v>
      </c>
      <c r="GZ1024" s="4">
        <v>225</v>
      </c>
      <c r="HA1024" s="4">
        <v>221</v>
      </c>
      <c r="HB1024" s="4">
        <v>217</v>
      </c>
      <c r="HC1024" s="4">
        <v>213</v>
      </c>
      <c r="HD1024" s="19">
        <v>78.2</v>
      </c>
      <c r="HE1024" s="19">
        <v>77.2</v>
      </c>
      <c r="HF1024" s="19">
        <v>63.7</v>
      </c>
      <c r="HG1024" s="19">
        <v>53.9</v>
      </c>
      <c r="HH1024" s="19">
        <v>46.5</v>
      </c>
      <c r="HI1024" s="19">
        <v>45.9</v>
      </c>
      <c r="HJ1024" s="19">
        <v>51.1</v>
      </c>
      <c r="HK1024" s="19">
        <v>50</v>
      </c>
      <c r="HL1024" s="19">
        <v>48.9</v>
      </c>
      <c r="HM1024" s="19">
        <v>33.6</v>
      </c>
      <c r="HN1024" s="19">
        <v>27.4</v>
      </c>
      <c r="HO1024" s="19">
        <v>22.9</v>
      </c>
      <c r="HP1024" s="19">
        <v>20.9</v>
      </c>
      <c r="HQ1024" s="19">
        <v>24.6</v>
      </c>
      <c r="HR1024" s="19">
        <v>28</v>
      </c>
      <c r="HS1024" s="19">
        <v>43.8</v>
      </c>
      <c r="HT1024" s="19">
        <v>50.4</v>
      </c>
      <c r="HU1024" s="19">
        <v>61.3</v>
      </c>
      <c r="HV1024" s="19">
        <v>60.3</v>
      </c>
      <c r="HW1024" s="19">
        <v>59.3</v>
      </c>
      <c r="HX1024" s="19">
        <v>58.3</v>
      </c>
      <c r="HY1024" s="19">
        <v>57.3</v>
      </c>
      <c r="HZ1024" s="19">
        <v>56.3</v>
      </c>
      <c r="IA1024" s="19">
        <v>55.3</v>
      </c>
      <c r="IB1024" s="19">
        <v>54.3</v>
      </c>
      <c r="IC1024" s="19">
        <v>53.3</v>
      </c>
    </row>
    <row r="1025">
      <c r="A1025" s="2" t="s">
        <v>4105</v>
      </c>
      <c r="B1025" s="2" t="s">
        <v>871</v>
      </c>
      <c r="C1025" s="2" t="s">
        <v>853</v>
      </c>
      <c r="D1025" s="2" t="s">
        <v>906</v>
      </c>
      <c r="E1025" s="2" t="s">
        <v>1301</v>
      </c>
      <c r="F1025" s="2" t="s">
        <v>4046</v>
      </c>
      <c r="G1025" s="2" t="s">
        <v>4047</v>
      </c>
      <c r="H1025" s="2" t="s">
        <v>4048</v>
      </c>
      <c r="I1025" s="2" t="s">
        <v>4049</v>
      </c>
      <c r="J1025" s="2" t="s">
        <v>372</v>
      </c>
      <c r="K1025" s="2" t="s">
        <v>292</v>
      </c>
      <c r="L1025" s="3">
        <v>40.6</v>
      </c>
      <c r="M1025" s="3">
        <v>42.63</v>
      </c>
      <c r="N1025" s="3">
        <v>84.99</v>
      </c>
      <c r="O1025" s="2" t="s">
        <v>407</v>
      </c>
      <c r="P1025" s="2" t="s">
        <v>408</v>
      </c>
      <c r="Q1025" s="2" t="s">
        <v>234</v>
      </c>
      <c r="R1025" s="2" t="s">
        <v>235</v>
      </c>
      <c r="S1025" s="2" t="s">
        <v>4098</v>
      </c>
      <c r="T1025" s="2" t="s">
        <v>2541</v>
      </c>
      <c r="U1025" s="2" t="s">
        <v>264</v>
      </c>
      <c r="V1025" s="2" t="s">
        <v>238</v>
      </c>
      <c r="W1025" s="2" t="s">
        <v>329</v>
      </c>
      <c r="X1025" s="2" t="s">
        <v>4051</v>
      </c>
      <c r="Y1025" s="2" t="s">
        <v>4106</v>
      </c>
      <c r="Z1025" s="4">
        <v>121</v>
      </c>
      <c r="AA1025" s="4">
        <f>=ROUNDDOWN(110,0)</f>
      </c>
      <c r="AB1025" s="5">
        <v>1.1</v>
      </c>
      <c r="AC1025" s="2" t="s">
        <v>235</v>
      </c>
      <c r="AD1025" s="4"/>
      <c r="AE1025" s="4"/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235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235</v>
      </c>
      <c r="AW1025" s="8" t="s">
        <v>235</v>
      </c>
      <c r="AX1025" s="4" t="s">
        <v>235</v>
      </c>
      <c r="AY1025" s="8" t="s">
        <v>235</v>
      </c>
      <c r="AZ1025" s="7" t="s">
        <v>235</v>
      </c>
      <c r="BA1025" s="7" t="s">
        <v>235</v>
      </c>
      <c r="BB1025" s="7"/>
      <c r="BC1025" s="4" t="s">
        <v>235</v>
      </c>
      <c r="BD1025" s="8" t="s">
        <v>235</v>
      </c>
      <c r="BE1025" s="4" t="s">
        <v>235</v>
      </c>
      <c r="BF1025" s="8" t="s">
        <v>235</v>
      </c>
      <c r="BG1025" s="7" t="s">
        <v>235</v>
      </c>
      <c r="BH1025" s="7" t="s">
        <v>235</v>
      </c>
      <c r="BI1025" s="7"/>
      <c r="BJ1025" s="4">
        <v>4</v>
      </c>
      <c r="BK1025" s="8">
        <v>163.59</v>
      </c>
      <c r="BL1025" s="2" t="s">
        <v>4107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4053</v>
      </c>
      <c r="BV1025" s="2" t="s">
        <v>243</v>
      </c>
      <c r="BW1025" s="2" t="s">
        <v>235</v>
      </c>
      <c r="BX1025" s="2" t="s">
        <v>244</v>
      </c>
      <c r="BY1025" s="2" t="s">
        <v>245</v>
      </c>
      <c r="BZ1025" s="2" t="s">
        <v>232</v>
      </c>
      <c r="CA1025" s="2" t="s">
        <v>4108</v>
      </c>
      <c r="CB1025" s="2" t="s">
        <v>951</v>
      </c>
      <c r="CC1025" s="2" t="s">
        <v>248</v>
      </c>
      <c r="CD1025" s="2" t="s">
        <v>248</v>
      </c>
      <c r="CE1025" s="2" t="s">
        <v>235</v>
      </c>
      <c r="CF1025" s="4">
        <v>121</v>
      </c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>
        <v>122</v>
      </c>
      <c r="GE1025" s="4">
        <v>121</v>
      </c>
      <c r="GF1025" s="4">
        <v>120</v>
      </c>
      <c r="GG1025" s="4">
        <v>119</v>
      </c>
      <c r="GH1025" s="4">
        <v>118</v>
      </c>
      <c r="GI1025" s="4">
        <v>117</v>
      </c>
      <c r="GJ1025" s="4">
        <v>116</v>
      </c>
      <c r="GK1025" s="4">
        <v>115</v>
      </c>
      <c r="GL1025" s="4">
        <v>114</v>
      </c>
      <c r="GM1025" s="4">
        <v>113</v>
      </c>
      <c r="GN1025" s="4">
        <v>112</v>
      </c>
      <c r="GO1025" s="4">
        <v>110</v>
      </c>
      <c r="GP1025" s="4">
        <v>108</v>
      </c>
      <c r="GQ1025" s="4">
        <v>103</v>
      </c>
      <c r="GR1025" s="4">
        <v>100</v>
      </c>
      <c r="GS1025" s="4">
        <v>96</v>
      </c>
      <c r="GT1025" s="4">
        <v>94</v>
      </c>
      <c r="GU1025" s="4">
        <v>93</v>
      </c>
      <c r="GV1025" s="4">
        <v>92</v>
      </c>
      <c r="GW1025" s="4">
        <v>91</v>
      </c>
      <c r="GX1025" s="4">
        <v>90</v>
      </c>
      <c r="GY1025" s="4">
        <v>89</v>
      </c>
      <c r="GZ1025" s="4">
        <v>88</v>
      </c>
      <c r="HA1025" s="4">
        <v>87</v>
      </c>
      <c r="HB1025" s="4">
        <v>86</v>
      </c>
      <c r="HC1025" s="4">
        <v>85</v>
      </c>
      <c r="HD1025" s="19">
        <v>122</v>
      </c>
      <c r="HE1025" s="19">
        <v>121</v>
      </c>
      <c r="HF1025" s="19">
        <v>120</v>
      </c>
      <c r="HG1025" s="19">
        <v>119</v>
      </c>
      <c r="HH1025" s="19">
        <v>118</v>
      </c>
      <c r="HI1025" s="19">
        <v>117</v>
      </c>
      <c r="HJ1025" s="19">
        <v>116</v>
      </c>
      <c r="HK1025" s="19">
        <v>115</v>
      </c>
      <c r="HL1025" s="19">
        <v>57</v>
      </c>
      <c r="HM1025" s="19">
        <v>56.5</v>
      </c>
      <c r="HN1025" s="19">
        <v>37.3</v>
      </c>
      <c r="HO1025" s="19">
        <v>27.5</v>
      </c>
      <c r="HP1025" s="19">
        <v>27</v>
      </c>
      <c r="HQ1025" s="19">
        <v>51.5</v>
      </c>
      <c r="HR1025" s="19">
        <v>50</v>
      </c>
      <c r="HS1025" s="19">
        <v>96</v>
      </c>
      <c r="HT1025" s="19">
        <v>94</v>
      </c>
      <c r="HU1025" s="19">
        <v>93</v>
      </c>
      <c r="HV1025" s="19">
        <v>92</v>
      </c>
      <c r="HW1025" s="19">
        <v>91</v>
      </c>
      <c r="HX1025" s="19">
        <v>90</v>
      </c>
      <c r="HY1025" s="19">
        <v>89</v>
      </c>
      <c r="HZ1025" s="19">
        <v>88</v>
      </c>
      <c r="IA1025" s="19">
        <v>87</v>
      </c>
      <c r="IB1025" s="19">
        <v>86</v>
      </c>
      <c r="IC1025" s="19">
        <v>85</v>
      </c>
    </row>
    <row r="1026">
      <c r="A1026" s="2" t="s">
        <v>4109</v>
      </c>
      <c r="B1026" s="2" t="s">
        <v>871</v>
      </c>
      <c r="C1026" s="2" t="s">
        <v>853</v>
      </c>
      <c r="D1026" s="2" t="s">
        <v>906</v>
      </c>
      <c r="E1026" s="2" t="s">
        <v>1301</v>
      </c>
      <c r="F1026" s="2" t="s">
        <v>4046</v>
      </c>
      <c r="G1026" s="2" t="s">
        <v>4047</v>
      </c>
      <c r="H1026" s="2" t="s">
        <v>4048</v>
      </c>
      <c r="I1026" s="2" t="s">
        <v>4049</v>
      </c>
      <c r="J1026" s="2" t="s">
        <v>877</v>
      </c>
      <c r="K1026" s="2" t="s">
        <v>2100</v>
      </c>
      <c r="L1026" s="3">
        <v>27.6</v>
      </c>
      <c r="M1026" s="3">
        <v>28.98</v>
      </c>
      <c r="N1026" s="3">
        <v>59.99</v>
      </c>
      <c r="O1026" s="2" t="s">
        <v>485</v>
      </c>
      <c r="P1026" s="2" t="s">
        <v>408</v>
      </c>
      <c r="Q1026" s="2" t="s">
        <v>234</v>
      </c>
      <c r="R1026" s="2" t="s">
        <v>235</v>
      </c>
      <c r="S1026" s="2" t="s">
        <v>4110</v>
      </c>
      <c r="T1026" s="2" t="s">
        <v>2541</v>
      </c>
      <c r="U1026" s="2" t="s">
        <v>552</v>
      </c>
      <c r="V1026" s="2" t="s">
        <v>238</v>
      </c>
      <c r="W1026" s="2" t="s">
        <v>329</v>
      </c>
      <c r="X1026" s="2" t="s">
        <v>4051</v>
      </c>
      <c r="Y1026" s="2" t="s">
        <v>1606</v>
      </c>
      <c r="Z1026" s="4"/>
      <c r="AA1026" s="4">
        <f>=ROUNDDOWN({0},0)</f>
      </c>
      <c r="AB1026" s="5">
        <v>2</v>
      </c>
      <c r="AC1026" s="2" t="s">
        <v>235</v>
      </c>
      <c r="AD1026" s="4"/>
      <c r="AE1026" s="4"/>
      <c r="AF1026" s="6">
        <v>65</v>
      </c>
      <c r="AG1026" s="6"/>
      <c r="AH1026" s="7">
        <v>0.8387</v>
      </c>
      <c r="AI1026" s="4"/>
      <c r="AJ1026" s="4">
        <f>=ROUNDDOWN({0},0)</f>
      </c>
      <c r="AK1026" s="5"/>
      <c r="AL1026" s="2" t="s">
        <v>235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235</v>
      </c>
      <c r="BD1026" s="8" t="s">
        <v>235</v>
      </c>
      <c r="BE1026" s="4" t="s">
        <v>235</v>
      </c>
      <c r="BF1026" s="8" t="s">
        <v>235</v>
      </c>
      <c r="BG1026" s="7" t="s">
        <v>235</v>
      </c>
      <c r="BH1026" s="7" t="s">
        <v>235</v>
      </c>
      <c r="BI1026" s="7"/>
      <c r="BJ1026" s="4">
        <v>1</v>
      </c>
      <c r="BK1026" s="8">
        <v>31.3</v>
      </c>
      <c r="BL1026" s="2" t="s">
        <v>1206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4053</v>
      </c>
      <c r="BV1026" s="2" t="s">
        <v>243</v>
      </c>
      <c r="BW1026" s="2" t="s">
        <v>235</v>
      </c>
      <c r="BX1026" s="2" t="s">
        <v>414</v>
      </c>
      <c r="BY1026" s="2" t="s">
        <v>245</v>
      </c>
      <c r="BZ1026" s="2" t="s">
        <v>232</v>
      </c>
      <c r="CA1026" s="2" t="s">
        <v>2559</v>
      </c>
      <c r="CB1026" s="2" t="s">
        <v>1893</v>
      </c>
      <c r="CC1026" s="2" t="s">
        <v>248</v>
      </c>
      <c r="CD1026" s="2" t="s">
        <v>248</v>
      </c>
      <c r="CE1026" s="2" t="s">
        <v>235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>
        <v>17</v>
      </c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19">
        <v>3.4</v>
      </c>
      <c r="HE1026" s="20">
        <v>0</v>
      </c>
      <c r="HF1026" s="20">
        <v>0</v>
      </c>
      <c r="HG1026" s="20">
        <v>0</v>
      </c>
      <c r="HH1026" s="20">
        <v>0</v>
      </c>
      <c r="HI1026" s="20">
        <v>0</v>
      </c>
      <c r="HJ1026" s="20">
        <v>0</v>
      </c>
      <c r="HK1026" s="20">
        <v>0</v>
      </c>
      <c r="HL1026" s="20">
        <v>0</v>
      </c>
      <c r="HM1026" s="20">
        <v>0</v>
      </c>
      <c r="HN1026" s="20">
        <v>0</v>
      </c>
      <c r="HO1026" s="20">
        <v>0</v>
      </c>
      <c r="HP1026" s="20">
        <v>0</v>
      </c>
      <c r="HQ1026" s="20">
        <v>0</v>
      </c>
      <c r="HR1026" s="20">
        <v>0</v>
      </c>
      <c r="HS1026" s="20">
        <v>0</v>
      </c>
      <c r="HT1026" s="20">
        <v>0</v>
      </c>
      <c r="HU1026" s="20">
        <v>0</v>
      </c>
      <c r="HV1026" s="20">
        <v>0</v>
      </c>
      <c r="HW1026" s="20">
        <v>0</v>
      </c>
      <c r="HX1026" s="20">
        <v>0</v>
      </c>
      <c r="HY1026" s="20">
        <v>0</v>
      </c>
      <c r="HZ1026" s="20">
        <v>0</v>
      </c>
      <c r="IA1026" s="20">
        <v>0</v>
      </c>
      <c r="IB1026" s="20">
        <v>0</v>
      </c>
      <c r="IC1026" s="20">
        <v>0</v>
      </c>
    </row>
    <row r="1027">
      <c r="A1027" s="2" t="s">
        <v>4111</v>
      </c>
      <c r="B1027" s="2" t="s">
        <v>871</v>
      </c>
      <c r="C1027" s="2" t="s">
        <v>853</v>
      </c>
      <c r="D1027" s="2" t="s">
        <v>361</v>
      </c>
      <c r="E1027" s="2" t="s">
        <v>872</v>
      </c>
      <c r="F1027" s="2" t="s">
        <v>4046</v>
      </c>
      <c r="G1027" s="2" t="s">
        <v>4047</v>
      </c>
      <c r="H1027" s="2" t="s">
        <v>4048</v>
      </c>
      <c r="I1027" s="2" t="s">
        <v>4065</v>
      </c>
      <c r="J1027" s="2" t="s">
        <v>877</v>
      </c>
      <c r="K1027" s="2" t="s">
        <v>567</v>
      </c>
      <c r="L1027" s="3">
        <v>33.77</v>
      </c>
      <c r="M1027" s="3">
        <v>35.46</v>
      </c>
      <c r="N1027" s="3">
        <v>64.99</v>
      </c>
      <c r="O1027" s="2" t="s">
        <v>232</v>
      </c>
      <c r="P1027" s="2" t="s">
        <v>1282</v>
      </c>
      <c r="Q1027" s="2" t="s">
        <v>234</v>
      </c>
      <c r="R1027" s="2" t="s">
        <v>235</v>
      </c>
      <c r="S1027" s="2" t="s">
        <v>4112</v>
      </c>
      <c r="T1027" s="2" t="s">
        <v>2541</v>
      </c>
      <c r="U1027" s="2" t="s">
        <v>552</v>
      </c>
      <c r="V1027" s="2" t="s">
        <v>238</v>
      </c>
      <c r="W1027" s="2" t="s">
        <v>329</v>
      </c>
      <c r="X1027" s="2" t="s">
        <v>4051</v>
      </c>
      <c r="Y1027" s="2" t="s">
        <v>4113</v>
      </c>
      <c r="Z1027" s="4">
        <v>413</v>
      </c>
      <c r="AA1027" s="4">
        <f>=ROUNDDOWN(137.666666666667,0)</f>
      </c>
      <c r="AB1027" s="5">
        <v>3</v>
      </c>
      <c r="AC1027" s="2" t="s">
        <v>235</v>
      </c>
      <c r="AD1027" s="4"/>
      <c r="AE1027" s="4"/>
      <c r="AF1027" s="6">
        <v>64</v>
      </c>
      <c r="AG1027" s="6"/>
      <c r="AH1027" s="7">
        <v>1</v>
      </c>
      <c r="AI1027" s="4"/>
      <c r="AJ1027" s="4">
        <f>=ROUNDDOWN({0},0)</f>
      </c>
      <c r="AK1027" s="5"/>
      <c r="AL1027" s="2" t="s">
        <v>235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235</v>
      </c>
      <c r="AW1027" s="8" t="s">
        <v>235</v>
      </c>
      <c r="AX1027" s="4" t="s">
        <v>235</v>
      </c>
      <c r="AY1027" s="8" t="s">
        <v>235</v>
      </c>
      <c r="AZ1027" s="7" t="s">
        <v>235</v>
      </c>
      <c r="BA1027" s="7" t="s">
        <v>235</v>
      </c>
      <c r="BB1027" s="7" t="s">
        <v>235</v>
      </c>
      <c r="BC1027" s="4" t="s">
        <v>235</v>
      </c>
      <c r="BD1027" s="8" t="s">
        <v>235</v>
      </c>
      <c r="BE1027" s="4" t="s">
        <v>235</v>
      </c>
      <c r="BF1027" s="8" t="s">
        <v>235</v>
      </c>
      <c r="BG1027" s="7" t="s">
        <v>235</v>
      </c>
      <c r="BH1027" s="7" t="s">
        <v>235</v>
      </c>
      <c r="BI1027" s="7"/>
      <c r="BJ1027" s="4">
        <v>7</v>
      </c>
      <c r="BK1027" s="8">
        <v>291.16</v>
      </c>
      <c r="BL1027" s="2" t="s">
        <v>4114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4067</v>
      </c>
      <c r="BV1027" s="2" t="s">
        <v>243</v>
      </c>
      <c r="BW1027" s="2" t="s">
        <v>235</v>
      </c>
      <c r="BX1027" s="2" t="s">
        <v>383</v>
      </c>
      <c r="BY1027" s="2" t="s">
        <v>245</v>
      </c>
      <c r="BZ1027" s="2" t="s">
        <v>232</v>
      </c>
      <c r="CA1027" s="2" t="s">
        <v>4113</v>
      </c>
      <c r="CB1027" s="2" t="s">
        <v>4115</v>
      </c>
      <c r="CC1027" s="2" t="s">
        <v>248</v>
      </c>
      <c r="CD1027" s="2" t="s">
        <v>248</v>
      </c>
      <c r="CE1027" s="2" t="s">
        <v>235</v>
      </c>
      <c r="CF1027" s="4">
        <v>413</v>
      </c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>
        <v>414</v>
      </c>
      <c r="GE1027" s="4">
        <v>403</v>
      </c>
      <c r="GF1027" s="4">
        <v>400</v>
      </c>
      <c r="GG1027" s="4">
        <v>396</v>
      </c>
      <c r="GH1027" s="4">
        <v>392</v>
      </c>
      <c r="GI1027" s="4">
        <v>388</v>
      </c>
      <c r="GJ1027" s="4">
        <v>380</v>
      </c>
      <c r="GK1027" s="4">
        <v>375</v>
      </c>
      <c r="GL1027" s="4">
        <v>370</v>
      </c>
      <c r="GM1027" s="4">
        <v>368</v>
      </c>
      <c r="GN1027" s="4">
        <v>363</v>
      </c>
      <c r="GO1027" s="4">
        <v>357</v>
      </c>
      <c r="GP1027" s="4">
        <v>351</v>
      </c>
      <c r="GQ1027" s="4">
        <v>339</v>
      </c>
      <c r="GR1027" s="4">
        <v>329</v>
      </c>
      <c r="GS1027" s="4">
        <v>318</v>
      </c>
      <c r="GT1027" s="4">
        <v>311</v>
      </c>
      <c r="GU1027" s="4">
        <v>306</v>
      </c>
      <c r="GV1027" s="4">
        <v>303</v>
      </c>
      <c r="GW1027" s="4">
        <v>300</v>
      </c>
      <c r="GX1027" s="4">
        <v>297</v>
      </c>
      <c r="GY1027" s="4">
        <v>294</v>
      </c>
      <c r="GZ1027" s="4">
        <v>291</v>
      </c>
      <c r="HA1027" s="4">
        <v>288</v>
      </c>
      <c r="HB1027" s="4">
        <v>285</v>
      </c>
      <c r="HC1027" s="4">
        <v>282</v>
      </c>
      <c r="HD1027" s="19">
        <v>69</v>
      </c>
      <c r="HE1027" s="19">
        <v>100.8</v>
      </c>
      <c r="HF1027" s="19">
        <v>80</v>
      </c>
      <c r="HG1027" s="19">
        <v>79.2</v>
      </c>
      <c r="HH1027" s="19">
        <v>65.3</v>
      </c>
      <c r="HI1027" s="19">
        <v>77.6</v>
      </c>
      <c r="HJ1027" s="19">
        <v>95</v>
      </c>
      <c r="HK1027" s="19">
        <v>93.8</v>
      </c>
      <c r="HL1027" s="19">
        <v>74</v>
      </c>
      <c r="HM1027" s="19">
        <v>52.6</v>
      </c>
      <c r="HN1027" s="19">
        <v>45.4</v>
      </c>
      <c r="HO1027" s="19">
        <v>35.7</v>
      </c>
      <c r="HP1027" s="19">
        <v>35.1</v>
      </c>
      <c r="HQ1027" s="19">
        <v>42.4</v>
      </c>
      <c r="HR1027" s="19">
        <v>54.8</v>
      </c>
      <c r="HS1027" s="19">
        <v>79.5</v>
      </c>
      <c r="HT1027" s="19">
        <v>77.8</v>
      </c>
      <c r="HU1027" s="19">
        <v>102</v>
      </c>
      <c r="HV1027" s="19">
        <v>101</v>
      </c>
      <c r="HW1027" s="19">
        <v>100</v>
      </c>
      <c r="HX1027" s="19">
        <v>99</v>
      </c>
      <c r="HY1027" s="19">
        <v>98</v>
      </c>
      <c r="HZ1027" s="19">
        <v>97</v>
      </c>
      <c r="IA1027" s="19">
        <v>96</v>
      </c>
      <c r="IB1027" s="19">
        <v>95</v>
      </c>
      <c r="IC1027" s="19">
        <v>94</v>
      </c>
    </row>
    <row r="1028">
      <c r="A1028" s="2" t="s">
        <v>4116</v>
      </c>
      <c r="B1028" s="2" t="s">
        <v>871</v>
      </c>
      <c r="C1028" s="2" t="s">
        <v>853</v>
      </c>
      <c r="D1028" s="2" t="s">
        <v>906</v>
      </c>
      <c r="E1028" s="2" t="s">
        <v>1301</v>
      </c>
      <c r="F1028" s="2" t="s">
        <v>4046</v>
      </c>
      <c r="G1028" s="2" t="s">
        <v>4047</v>
      </c>
      <c r="H1028" s="2" t="s">
        <v>4048</v>
      </c>
      <c r="I1028" s="2" t="s">
        <v>4049</v>
      </c>
      <c r="J1028" s="2" t="s">
        <v>877</v>
      </c>
      <c r="K1028" s="2" t="s">
        <v>567</v>
      </c>
      <c r="L1028" s="3">
        <v>30.36</v>
      </c>
      <c r="M1028" s="3">
        <v>31.88</v>
      </c>
      <c r="N1028" s="3">
        <v>64.99</v>
      </c>
      <c r="O1028" s="2" t="s">
        <v>232</v>
      </c>
      <c r="P1028" s="2" t="s">
        <v>233</v>
      </c>
      <c r="Q1028" s="2" t="s">
        <v>234</v>
      </c>
      <c r="R1028" s="2" t="s">
        <v>235</v>
      </c>
      <c r="S1028" s="2" t="s">
        <v>4112</v>
      </c>
      <c r="T1028" s="2" t="s">
        <v>2541</v>
      </c>
      <c r="U1028" s="2" t="s">
        <v>552</v>
      </c>
      <c r="V1028" s="2" t="s">
        <v>238</v>
      </c>
      <c r="W1028" s="2" t="s">
        <v>329</v>
      </c>
      <c r="X1028" s="2" t="s">
        <v>4051</v>
      </c>
      <c r="Y1028" s="2" t="s">
        <v>4113</v>
      </c>
      <c r="Z1028" s="4">
        <v>245</v>
      </c>
      <c r="AA1028" s="4">
        <f>=ROUNDDOWN(245,0)</f>
      </c>
      <c r="AB1028" s="5">
        <v>1</v>
      </c>
      <c r="AC1028" s="2" t="s">
        <v>235</v>
      </c>
      <c r="AD1028" s="4"/>
      <c r="AE1028" s="4"/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235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235</v>
      </c>
      <c r="AW1028" s="8" t="s">
        <v>235</v>
      </c>
      <c r="AX1028" s="4" t="s">
        <v>235</v>
      </c>
      <c r="AY1028" s="8" t="s">
        <v>235</v>
      </c>
      <c r="AZ1028" s="7" t="s">
        <v>235</v>
      </c>
      <c r="BA1028" s="7" t="s">
        <v>235</v>
      </c>
      <c r="BB1028" s="7" t="s">
        <v>235</v>
      </c>
      <c r="BC1028" s="4" t="s">
        <v>235</v>
      </c>
      <c r="BD1028" s="8" t="s">
        <v>235</v>
      </c>
      <c r="BE1028" s="4" t="s">
        <v>235</v>
      </c>
      <c r="BF1028" s="8" t="s">
        <v>235</v>
      </c>
      <c r="BG1028" s="7" t="s">
        <v>235</v>
      </c>
      <c r="BH1028" s="7" t="s">
        <v>235</v>
      </c>
      <c r="BI1028" s="7"/>
      <c r="BJ1028" s="4">
        <v>1</v>
      </c>
      <c r="BK1028" s="8">
        <v>33.06</v>
      </c>
      <c r="BL1028" s="2" t="s">
        <v>3232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4053</v>
      </c>
      <c r="BV1028" s="2" t="s">
        <v>243</v>
      </c>
      <c r="BW1028" s="2" t="s">
        <v>235</v>
      </c>
      <c r="BX1028" s="2" t="s">
        <v>244</v>
      </c>
      <c r="BY1028" s="2" t="s">
        <v>245</v>
      </c>
      <c r="BZ1028" s="2" t="s">
        <v>232</v>
      </c>
      <c r="CA1028" s="2" t="s">
        <v>4113</v>
      </c>
      <c r="CB1028" s="2" t="s">
        <v>4117</v>
      </c>
      <c r="CC1028" s="2" t="s">
        <v>248</v>
      </c>
      <c r="CD1028" s="2" t="s">
        <v>248</v>
      </c>
      <c r="CE1028" s="2" t="s">
        <v>235</v>
      </c>
      <c r="CF1028" s="4">
        <v>245</v>
      </c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>
        <v>245</v>
      </c>
      <c r="GE1028" s="4">
        <v>244</v>
      </c>
      <c r="GF1028" s="4">
        <v>243</v>
      </c>
      <c r="GG1028" s="4">
        <v>242</v>
      </c>
      <c r="GH1028" s="4">
        <v>241</v>
      </c>
      <c r="GI1028" s="4">
        <v>240</v>
      </c>
      <c r="GJ1028" s="4">
        <v>239</v>
      </c>
      <c r="GK1028" s="4">
        <v>238</v>
      </c>
      <c r="GL1028" s="4">
        <v>237</v>
      </c>
      <c r="GM1028" s="4">
        <v>236</v>
      </c>
      <c r="GN1028" s="4">
        <v>235</v>
      </c>
      <c r="GO1028" s="4">
        <v>233</v>
      </c>
      <c r="GP1028" s="4">
        <v>231</v>
      </c>
      <c r="GQ1028" s="4">
        <v>226</v>
      </c>
      <c r="GR1028" s="4">
        <v>220</v>
      </c>
      <c r="GS1028" s="4">
        <v>214</v>
      </c>
      <c r="GT1028" s="4">
        <v>210</v>
      </c>
      <c r="GU1028" s="4">
        <v>208</v>
      </c>
      <c r="GV1028" s="4">
        <v>207</v>
      </c>
      <c r="GW1028" s="4">
        <v>206</v>
      </c>
      <c r="GX1028" s="4">
        <v>205</v>
      </c>
      <c r="GY1028" s="4">
        <v>204</v>
      </c>
      <c r="GZ1028" s="4">
        <v>203</v>
      </c>
      <c r="HA1028" s="4">
        <v>202</v>
      </c>
      <c r="HB1028" s="4">
        <v>201</v>
      </c>
      <c r="HC1028" s="4">
        <v>200</v>
      </c>
      <c r="HD1028" s="19">
        <v>245</v>
      </c>
      <c r="HE1028" s="19">
        <v>244</v>
      </c>
      <c r="HF1028" s="19">
        <v>243</v>
      </c>
      <c r="HG1028" s="19">
        <v>242</v>
      </c>
      <c r="HH1028" s="19">
        <v>241</v>
      </c>
      <c r="HI1028" s="19">
        <v>240</v>
      </c>
      <c r="HJ1028" s="19">
        <v>239</v>
      </c>
      <c r="HK1028" s="19">
        <v>238</v>
      </c>
      <c r="HL1028" s="19">
        <v>118.5</v>
      </c>
      <c r="HM1028" s="19">
        <v>118</v>
      </c>
      <c r="HN1028" s="19">
        <v>58.8</v>
      </c>
      <c r="HO1028" s="19">
        <v>46.6</v>
      </c>
      <c r="HP1028" s="19">
        <v>46.2</v>
      </c>
      <c r="HQ1028" s="19">
        <v>56.5</v>
      </c>
      <c r="HR1028" s="19">
        <v>73.3</v>
      </c>
      <c r="HS1028" s="19">
        <v>107</v>
      </c>
      <c r="HT1028" s="19">
        <v>210</v>
      </c>
      <c r="HU1028" s="19">
        <v>208</v>
      </c>
      <c r="HV1028" s="19">
        <v>207</v>
      </c>
      <c r="HW1028" s="19">
        <v>206</v>
      </c>
      <c r="HX1028" s="19">
        <v>205</v>
      </c>
      <c r="HY1028" s="19">
        <v>204</v>
      </c>
      <c r="HZ1028" s="19">
        <v>203</v>
      </c>
      <c r="IA1028" s="19">
        <v>202</v>
      </c>
      <c r="IB1028" s="19">
        <v>201</v>
      </c>
      <c r="IC1028" s="19">
        <v>200</v>
      </c>
    </row>
    <row r="1029">
      <c r="A1029" s="2" t="s">
        <v>4118</v>
      </c>
      <c r="B1029" s="2" t="s">
        <v>871</v>
      </c>
      <c r="C1029" s="2" t="s">
        <v>853</v>
      </c>
      <c r="D1029" s="2" t="s">
        <v>906</v>
      </c>
      <c r="E1029" s="2" t="s">
        <v>1301</v>
      </c>
      <c r="F1029" s="2" t="s">
        <v>4046</v>
      </c>
      <c r="G1029" s="2" t="s">
        <v>4047</v>
      </c>
      <c r="H1029" s="2" t="s">
        <v>4048</v>
      </c>
      <c r="I1029" s="2" t="s">
        <v>4049</v>
      </c>
      <c r="J1029" s="2" t="s">
        <v>372</v>
      </c>
      <c r="K1029" s="2" t="s">
        <v>567</v>
      </c>
      <c r="L1029" s="3">
        <v>40.6</v>
      </c>
      <c r="M1029" s="3">
        <v>42.63</v>
      </c>
      <c r="N1029" s="3">
        <v>84.99</v>
      </c>
      <c r="O1029" s="2" t="s">
        <v>232</v>
      </c>
      <c r="P1029" s="2" t="s">
        <v>233</v>
      </c>
      <c r="Q1029" s="2" t="s">
        <v>234</v>
      </c>
      <c r="R1029" s="2" t="s">
        <v>235</v>
      </c>
      <c r="S1029" s="2" t="s">
        <v>4112</v>
      </c>
      <c r="T1029" s="2" t="s">
        <v>2541</v>
      </c>
      <c r="U1029" s="2" t="s">
        <v>264</v>
      </c>
      <c r="V1029" s="2" t="s">
        <v>238</v>
      </c>
      <c r="W1029" s="2" t="s">
        <v>329</v>
      </c>
      <c r="X1029" s="2" t="s">
        <v>4051</v>
      </c>
      <c r="Y1029" s="2" t="s">
        <v>4119</v>
      </c>
      <c r="Z1029" s="4">
        <v>221</v>
      </c>
      <c r="AA1029" s="4">
        <f>=ROUNDDOWN(170,0)</f>
      </c>
      <c r="AB1029" s="5">
        <v>1.3</v>
      </c>
      <c r="AC1029" s="2" t="s">
        <v>3646</v>
      </c>
      <c r="AD1029" s="4">
        <v>90</v>
      </c>
      <c r="AE1029" s="4">
        <v>90</v>
      </c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235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235</v>
      </c>
      <c r="AW1029" s="8" t="s">
        <v>235</v>
      </c>
      <c r="AX1029" s="4" t="s">
        <v>235</v>
      </c>
      <c r="AY1029" s="8" t="s">
        <v>235</v>
      </c>
      <c r="AZ1029" s="7" t="s">
        <v>235</v>
      </c>
      <c r="BA1029" s="7" t="s">
        <v>235</v>
      </c>
      <c r="BB1029" s="7"/>
      <c r="BC1029" s="4" t="s">
        <v>235</v>
      </c>
      <c r="BD1029" s="8" t="s">
        <v>235</v>
      </c>
      <c r="BE1029" s="4" t="s">
        <v>235</v>
      </c>
      <c r="BF1029" s="8" t="s">
        <v>235</v>
      </c>
      <c r="BG1029" s="7" t="s">
        <v>235</v>
      </c>
      <c r="BH1029" s="7" t="s">
        <v>235</v>
      </c>
      <c r="BI1029" s="7"/>
      <c r="BJ1029" s="4">
        <v>3</v>
      </c>
      <c r="BK1029" s="8">
        <v>131.85</v>
      </c>
      <c r="BL1029" s="2" t="s">
        <v>3048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4053</v>
      </c>
      <c r="BV1029" s="2" t="s">
        <v>243</v>
      </c>
      <c r="BW1029" s="2" t="s">
        <v>235</v>
      </c>
      <c r="BX1029" s="2" t="s">
        <v>244</v>
      </c>
      <c r="BY1029" s="2" t="s">
        <v>245</v>
      </c>
      <c r="BZ1029" s="2" t="s">
        <v>232</v>
      </c>
      <c r="CA1029" s="2" t="s">
        <v>4119</v>
      </c>
      <c r="CB1029" s="2" t="s">
        <v>4120</v>
      </c>
      <c r="CC1029" s="2" t="s">
        <v>248</v>
      </c>
      <c r="CD1029" s="2" t="s">
        <v>248</v>
      </c>
      <c r="CE1029" s="2" t="s">
        <v>235</v>
      </c>
      <c r="CF1029" s="4">
        <v>71</v>
      </c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>
        <v>150</v>
      </c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>
        <v>90</v>
      </c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>
        <v>131</v>
      </c>
      <c r="GE1029" s="4">
        <v>220</v>
      </c>
      <c r="GF1029" s="4">
        <v>219</v>
      </c>
      <c r="GG1029" s="4">
        <v>218</v>
      </c>
      <c r="GH1029" s="4">
        <v>217</v>
      </c>
      <c r="GI1029" s="4">
        <v>216</v>
      </c>
      <c r="GJ1029" s="4">
        <v>215</v>
      </c>
      <c r="GK1029" s="4">
        <v>214</v>
      </c>
      <c r="GL1029" s="4">
        <v>213</v>
      </c>
      <c r="GM1029" s="4">
        <v>212</v>
      </c>
      <c r="GN1029" s="4">
        <v>211</v>
      </c>
      <c r="GO1029" s="4">
        <v>209</v>
      </c>
      <c r="GP1029" s="4">
        <v>207</v>
      </c>
      <c r="GQ1029" s="4">
        <v>202</v>
      </c>
      <c r="GR1029" s="4">
        <v>199</v>
      </c>
      <c r="GS1029" s="4">
        <v>195</v>
      </c>
      <c r="GT1029" s="4">
        <v>193</v>
      </c>
      <c r="GU1029" s="4">
        <v>192</v>
      </c>
      <c r="GV1029" s="4">
        <v>191</v>
      </c>
      <c r="GW1029" s="4">
        <v>190</v>
      </c>
      <c r="GX1029" s="4">
        <v>189</v>
      </c>
      <c r="GY1029" s="4">
        <v>188</v>
      </c>
      <c r="GZ1029" s="4">
        <v>187</v>
      </c>
      <c r="HA1029" s="4">
        <v>186</v>
      </c>
      <c r="HB1029" s="4">
        <v>185</v>
      </c>
      <c r="HC1029" s="4">
        <v>184</v>
      </c>
      <c r="HD1029" s="19">
        <v>131</v>
      </c>
      <c r="HE1029" s="19">
        <v>220</v>
      </c>
      <c r="HF1029" s="19">
        <v>219</v>
      </c>
      <c r="HG1029" s="19">
        <v>218</v>
      </c>
      <c r="HH1029" s="19">
        <v>217</v>
      </c>
      <c r="HI1029" s="19">
        <v>216</v>
      </c>
      <c r="HJ1029" s="19">
        <v>215</v>
      </c>
      <c r="HK1029" s="19">
        <v>214</v>
      </c>
      <c r="HL1029" s="19">
        <v>106.5</v>
      </c>
      <c r="HM1029" s="19">
        <v>106</v>
      </c>
      <c r="HN1029" s="19">
        <v>70.3</v>
      </c>
      <c r="HO1029" s="19">
        <v>52.3</v>
      </c>
      <c r="HP1029" s="19">
        <v>51.8</v>
      </c>
      <c r="HQ1029" s="19">
        <v>101</v>
      </c>
      <c r="HR1029" s="19">
        <v>99.5</v>
      </c>
      <c r="HS1029" s="19">
        <v>195</v>
      </c>
      <c r="HT1029" s="19">
        <v>193</v>
      </c>
      <c r="HU1029" s="19">
        <v>192</v>
      </c>
      <c r="HV1029" s="19">
        <v>191</v>
      </c>
      <c r="HW1029" s="19">
        <v>190</v>
      </c>
      <c r="HX1029" s="19">
        <v>189</v>
      </c>
      <c r="HY1029" s="19">
        <v>188</v>
      </c>
      <c r="HZ1029" s="19">
        <v>187</v>
      </c>
      <c r="IA1029" s="19">
        <v>186</v>
      </c>
      <c r="IB1029" s="19">
        <v>185</v>
      </c>
      <c r="IC1029" s="19">
        <v>184</v>
      </c>
    </row>
    <row r="1030">
      <c r="A1030" s="2" t="s">
        <v>4121</v>
      </c>
      <c r="B1030" s="2" t="s">
        <v>871</v>
      </c>
      <c r="C1030" s="2" t="s">
        <v>324</v>
      </c>
      <c r="D1030" s="2" t="s">
        <v>906</v>
      </c>
      <c r="E1030" s="2" t="s">
        <v>907</v>
      </c>
      <c r="F1030" s="2" t="s">
        <v>4122</v>
      </c>
      <c r="G1030" s="2" t="s">
        <v>4123</v>
      </c>
      <c r="H1030" s="2" t="s">
        <v>4124</v>
      </c>
      <c r="I1030" s="2" t="s">
        <v>4125</v>
      </c>
      <c r="J1030" s="2" t="s">
        <v>365</v>
      </c>
      <c r="K1030" s="2" t="s">
        <v>316</v>
      </c>
      <c r="L1030" s="3">
        <v>58.8</v>
      </c>
      <c r="M1030" s="3">
        <v>61.73</v>
      </c>
      <c r="N1030" s="3">
        <v>119.99</v>
      </c>
      <c r="O1030" s="2" t="s">
        <v>232</v>
      </c>
      <c r="P1030" s="2" t="s">
        <v>233</v>
      </c>
      <c r="Q1030" s="2" t="s">
        <v>234</v>
      </c>
      <c r="R1030" s="2" t="s">
        <v>235</v>
      </c>
      <c r="S1030" s="2" t="s">
        <v>4126</v>
      </c>
      <c r="T1030" s="2" t="s">
        <v>4127</v>
      </c>
      <c r="U1030" s="2" t="s">
        <v>552</v>
      </c>
      <c r="V1030" s="2" t="s">
        <v>238</v>
      </c>
      <c r="W1030" s="2" t="s">
        <v>682</v>
      </c>
      <c r="X1030" s="2" t="s">
        <v>235</v>
      </c>
      <c r="Y1030" s="2" t="s">
        <v>4128</v>
      </c>
      <c r="Z1030" s="4">
        <v>32</v>
      </c>
      <c r="AA1030" s="4">
        <f>=ROUNDDOWN(14.5454545454545,0)</f>
      </c>
      <c r="AB1030" s="5">
        <v>2.2</v>
      </c>
      <c r="AC1030" s="2" t="s">
        <v>235</v>
      </c>
      <c r="AD1030" s="4"/>
      <c r="AE1030" s="4"/>
      <c r="AF1030" s="6">
        <v>78</v>
      </c>
      <c r="AG1030" s="6"/>
      <c r="AH1030" s="7">
        <v>1</v>
      </c>
      <c r="AI1030" s="4"/>
      <c r="AJ1030" s="4">
        <f>=ROUNDDOWN({0},0)</f>
      </c>
      <c r="AK1030" s="5"/>
      <c r="AL1030" s="2" t="s">
        <v>235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>
        <v>5</v>
      </c>
      <c r="BK1030" s="8">
        <v>364.68</v>
      </c>
      <c r="BL1030" s="2" t="s">
        <v>4129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4130</v>
      </c>
      <c r="BV1030" s="2" t="s">
        <v>243</v>
      </c>
      <c r="BW1030" s="2" t="s">
        <v>235</v>
      </c>
      <c r="BX1030" s="2" t="s">
        <v>244</v>
      </c>
      <c r="BY1030" s="2" t="s">
        <v>245</v>
      </c>
      <c r="BZ1030" s="2" t="s">
        <v>232</v>
      </c>
      <c r="CA1030" s="2" t="s">
        <v>4131</v>
      </c>
      <c r="CB1030" s="2" t="s">
        <v>4132</v>
      </c>
      <c r="CC1030" s="2" t="s">
        <v>248</v>
      </c>
      <c r="CD1030" s="2" t="s">
        <v>248</v>
      </c>
      <c r="CE1030" s="2" t="s">
        <v>235</v>
      </c>
      <c r="CF1030" s="4">
        <v>32</v>
      </c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>
        <v>34</v>
      </c>
      <c r="GE1030" s="4">
        <v>31</v>
      </c>
      <c r="GF1030" s="4">
        <v>29</v>
      </c>
      <c r="GG1030" s="4">
        <v>27</v>
      </c>
      <c r="GH1030" s="4">
        <v>26</v>
      </c>
      <c r="GI1030" s="4">
        <v>25</v>
      </c>
      <c r="GJ1030" s="4">
        <v>22</v>
      </c>
      <c r="GK1030" s="4">
        <v>20</v>
      </c>
      <c r="GL1030" s="4">
        <v>18</v>
      </c>
      <c r="GM1030" s="4">
        <v>17</v>
      </c>
      <c r="GN1030" s="4">
        <v>16</v>
      </c>
      <c r="GO1030" s="4">
        <v>14</v>
      </c>
      <c r="GP1030" s="4">
        <v>11</v>
      </c>
      <c r="GQ1030" s="4">
        <v>6</v>
      </c>
      <c r="GR1030" s="4">
        <v>2</v>
      </c>
      <c r="GS1030" s="4"/>
      <c r="GT1030" s="4"/>
      <c r="GU1030" s="4"/>
      <c r="GV1030" s="4"/>
      <c r="GW1030" s="4"/>
      <c r="GX1030" s="4"/>
      <c r="GY1030" s="4">
        <v>96</v>
      </c>
      <c r="GZ1030" s="4">
        <v>95</v>
      </c>
      <c r="HA1030" s="4">
        <v>93</v>
      </c>
      <c r="HB1030" s="4">
        <v>91</v>
      </c>
      <c r="HC1030" s="4">
        <v>86</v>
      </c>
      <c r="HD1030" s="19">
        <v>17</v>
      </c>
      <c r="HE1030" s="19">
        <v>15.5</v>
      </c>
      <c r="HF1030" s="19">
        <v>14.5</v>
      </c>
      <c r="HG1030" s="19">
        <v>13.5</v>
      </c>
      <c r="HH1030" s="19">
        <v>13</v>
      </c>
      <c r="HI1030" s="19">
        <v>12.5</v>
      </c>
      <c r="HJ1030" s="19">
        <v>11</v>
      </c>
      <c r="HK1030" s="19">
        <v>10</v>
      </c>
      <c r="HL1030" s="19">
        <v>9</v>
      </c>
      <c r="HM1030" s="19">
        <v>5.7</v>
      </c>
      <c r="HN1030" s="19">
        <v>4</v>
      </c>
      <c r="HO1030" s="19">
        <v>3.5</v>
      </c>
      <c r="HP1030" s="19">
        <v>3.7</v>
      </c>
      <c r="HQ1030" s="19">
        <v>3</v>
      </c>
      <c r="HR1030" s="19">
        <v>1</v>
      </c>
      <c r="HS1030" s="20">
        <v>0</v>
      </c>
      <c r="HT1030" s="20">
        <v>0</v>
      </c>
      <c r="HU1030" s="20">
        <v>0</v>
      </c>
      <c r="HV1030" s="20">
        <v>0</v>
      </c>
      <c r="HW1030" s="20">
        <v>0</v>
      </c>
      <c r="HX1030" s="20">
        <v>0</v>
      </c>
      <c r="HY1030" s="19">
        <v>48</v>
      </c>
      <c r="HZ1030" s="19">
        <v>31.7</v>
      </c>
      <c r="IA1030" s="19">
        <v>31</v>
      </c>
      <c r="IB1030" s="19">
        <v>30.3</v>
      </c>
      <c r="IC1030" s="19">
        <v>43</v>
      </c>
    </row>
    <row r="1031">
      <c r="A1031" s="2" t="s">
        <v>4133</v>
      </c>
      <c r="B1031" s="2" t="s">
        <v>871</v>
      </c>
      <c r="C1031" s="2" t="s">
        <v>4134</v>
      </c>
      <c r="D1031" s="2" t="s">
        <v>1452</v>
      </c>
      <c r="E1031" s="2" t="s">
        <v>1453</v>
      </c>
      <c r="F1031" s="2" t="s">
        <v>4135</v>
      </c>
      <c r="G1031" s="2" t="s">
        <v>4135</v>
      </c>
      <c r="H1031" s="2" t="s">
        <v>4135</v>
      </c>
      <c r="I1031" s="2" t="s">
        <v>4136</v>
      </c>
      <c r="J1031" s="2" t="s">
        <v>365</v>
      </c>
      <c r="K1031" s="2" t="s">
        <v>4137</v>
      </c>
      <c r="L1031" s="3">
        <v>102.14</v>
      </c>
      <c r="M1031" s="3">
        <v>107.25</v>
      </c>
      <c r="N1031" s="3">
        <v>299.99</v>
      </c>
      <c r="O1031" s="2" t="s">
        <v>232</v>
      </c>
      <c r="P1031" s="2" t="s">
        <v>408</v>
      </c>
      <c r="Q1031" s="2" t="s">
        <v>234</v>
      </c>
      <c r="R1031" s="2" t="s">
        <v>235</v>
      </c>
      <c r="S1031" s="2" t="s">
        <v>235</v>
      </c>
      <c r="T1031" s="2" t="s">
        <v>263</v>
      </c>
      <c r="U1031" s="2" t="s">
        <v>235</v>
      </c>
      <c r="V1031" s="2" t="s">
        <v>238</v>
      </c>
      <c r="W1031" s="2" t="s">
        <v>1157</v>
      </c>
      <c r="X1031" s="2" t="s">
        <v>235</v>
      </c>
      <c r="Y1031" s="2" t="s">
        <v>4062</v>
      </c>
      <c r="Z1031" s="4">
        <v>14</v>
      </c>
      <c r="AA1031" s="4">
        <f>=ROUNDDOWN(9.33333333333333,0)</f>
      </c>
      <c r="AB1031" s="5">
        <v>1.5</v>
      </c>
      <c r="AC1031" s="2" t="s">
        <v>235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235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>
        <v>6</v>
      </c>
      <c r="BK1031" s="8">
        <v>803.55</v>
      </c>
      <c r="BL1031" s="2" t="s">
        <v>4138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4139</v>
      </c>
      <c r="BV1031" s="2" t="s">
        <v>243</v>
      </c>
      <c r="BW1031" s="2" t="s">
        <v>235</v>
      </c>
      <c r="BX1031" s="2" t="s">
        <v>414</v>
      </c>
      <c r="BY1031" s="2" t="s">
        <v>245</v>
      </c>
      <c r="BZ1031" s="2" t="s">
        <v>232</v>
      </c>
      <c r="CA1031" s="2" t="s">
        <v>1577</v>
      </c>
      <c r="CB1031" s="2" t="s">
        <v>2550</v>
      </c>
      <c r="CC1031" s="2" t="s">
        <v>248</v>
      </c>
      <c r="CD1031" s="2" t="s">
        <v>248</v>
      </c>
      <c r="CE1031" s="2" t="s">
        <v>235</v>
      </c>
      <c r="CF1031" s="4">
        <v>14</v>
      </c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>
        <v>14</v>
      </c>
      <c r="GE1031" s="4">
        <v>12</v>
      </c>
      <c r="GF1031" s="4">
        <v>10</v>
      </c>
      <c r="GG1031" s="4">
        <v>8</v>
      </c>
      <c r="GH1031" s="4">
        <v>6</v>
      </c>
      <c r="GI1031" s="4">
        <v>4</v>
      </c>
      <c r="GJ1031" s="4">
        <v>2</v>
      </c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19">
        <v>7</v>
      </c>
      <c r="HE1031" s="19">
        <v>6</v>
      </c>
      <c r="HF1031" s="19">
        <v>5</v>
      </c>
      <c r="HG1031" s="19">
        <v>4</v>
      </c>
      <c r="HH1031" s="19">
        <v>3</v>
      </c>
      <c r="HI1031" s="19">
        <v>2</v>
      </c>
      <c r="HJ1031" s="19">
        <v>1</v>
      </c>
      <c r="HK1031" s="20">
        <v>0</v>
      </c>
      <c r="HL1031" s="20">
        <v>0</v>
      </c>
      <c r="HM1031" s="20">
        <v>0</v>
      </c>
      <c r="HN1031" s="20">
        <v>0</v>
      </c>
      <c r="HO1031" s="20">
        <v>0</v>
      </c>
      <c r="HP1031" s="20">
        <v>0</v>
      </c>
      <c r="HQ1031" s="20">
        <v>0</v>
      </c>
      <c r="HR1031" s="20">
        <v>0</v>
      </c>
      <c r="HS1031" s="20">
        <v>0</v>
      </c>
      <c r="HT1031" s="20">
        <v>0</v>
      </c>
      <c r="HU1031" s="20">
        <v>0</v>
      </c>
      <c r="HV1031" s="20">
        <v>0</v>
      </c>
      <c r="HW1031" s="20">
        <v>0</v>
      </c>
      <c r="HX1031" s="20">
        <v>0</v>
      </c>
      <c r="HY1031" s="20">
        <v>0</v>
      </c>
      <c r="HZ1031" s="20">
        <v>0</v>
      </c>
      <c r="IA1031" s="20">
        <v>0</v>
      </c>
      <c r="IB1031" s="20">
        <v>0</v>
      </c>
      <c r="IC1031" s="20">
        <v>0</v>
      </c>
    </row>
    <row r="1032">
      <c r="A1032" s="2" t="s">
        <v>4140</v>
      </c>
      <c r="B1032" s="2" t="s">
        <v>905</v>
      </c>
      <c r="C1032" s="2" t="s">
        <v>2746</v>
      </c>
      <c r="D1032" s="2" t="s">
        <v>1177</v>
      </c>
      <c r="E1032" s="2" t="s">
        <v>2747</v>
      </c>
      <c r="F1032" s="2" t="s">
        <v>4141</v>
      </c>
      <c r="G1032" s="2" t="s">
        <v>4141</v>
      </c>
      <c r="H1032" s="2" t="s">
        <v>4141</v>
      </c>
      <c r="I1032" s="2" t="s">
        <v>2749</v>
      </c>
      <c r="J1032" s="2" t="s">
        <v>394</v>
      </c>
      <c r="K1032" s="2" t="s">
        <v>231</v>
      </c>
      <c r="L1032" s="3">
        <v>46.73</v>
      </c>
      <c r="M1032" s="3">
        <v>49.07</v>
      </c>
      <c r="N1032" s="3">
        <v>104.99</v>
      </c>
      <c r="O1032" s="2" t="s">
        <v>232</v>
      </c>
      <c r="P1032" s="2" t="s">
        <v>233</v>
      </c>
      <c r="Q1032" s="2" t="s">
        <v>234</v>
      </c>
      <c r="R1032" s="2" t="s">
        <v>235</v>
      </c>
      <c r="S1032" s="2" t="s">
        <v>235</v>
      </c>
      <c r="T1032" s="2" t="s">
        <v>587</v>
      </c>
      <c r="U1032" s="2" t="s">
        <v>807</v>
      </c>
      <c r="V1032" s="2" t="s">
        <v>238</v>
      </c>
      <c r="W1032" s="2" t="s">
        <v>239</v>
      </c>
      <c r="X1032" s="2" t="s">
        <v>235</v>
      </c>
      <c r="Y1032" s="2" t="s">
        <v>4142</v>
      </c>
      <c r="Z1032" s="4">
        <v>31</v>
      </c>
      <c r="AA1032" s="4">
        <f>=ROUNDDOWN(3.1,0)</f>
      </c>
      <c r="AB1032" s="5">
        <v>10</v>
      </c>
      <c r="AC1032" s="2" t="s">
        <v>883</v>
      </c>
      <c r="AD1032" s="4">
        <v>300</v>
      </c>
      <c r="AE1032" s="4">
        <v>600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235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235</v>
      </c>
      <c r="AW1032" s="8" t="s">
        <v>235</v>
      </c>
      <c r="AX1032" s="4" t="s">
        <v>235</v>
      </c>
      <c r="AY1032" s="8" t="s">
        <v>235</v>
      </c>
      <c r="AZ1032" s="7" t="s">
        <v>235</v>
      </c>
      <c r="BA1032" s="7" t="s">
        <v>235</v>
      </c>
      <c r="BB1032" s="7"/>
      <c r="BC1032" s="4" t="s">
        <v>235</v>
      </c>
      <c r="BD1032" s="8" t="s">
        <v>235</v>
      </c>
      <c r="BE1032" s="4" t="s">
        <v>235</v>
      </c>
      <c r="BF1032" s="8" t="s">
        <v>235</v>
      </c>
      <c r="BG1032" s="7" t="s">
        <v>235</v>
      </c>
      <c r="BH1032" s="7" t="s">
        <v>235</v>
      </c>
      <c r="BI1032" s="7"/>
      <c r="BJ1032" s="4">
        <v>13</v>
      </c>
      <c r="BK1032" s="8">
        <v>669.75</v>
      </c>
      <c r="BL1032" s="2" t="s">
        <v>4143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4144</v>
      </c>
      <c r="BV1032" s="2" t="s">
        <v>243</v>
      </c>
      <c r="BW1032" s="2" t="s">
        <v>235</v>
      </c>
      <c r="BX1032" s="2" t="s">
        <v>4145</v>
      </c>
      <c r="BY1032" s="2" t="s">
        <v>245</v>
      </c>
      <c r="BZ1032" s="2" t="s">
        <v>232</v>
      </c>
      <c r="CA1032" s="2" t="s">
        <v>4146</v>
      </c>
      <c r="CB1032" s="2" t="s">
        <v>951</v>
      </c>
      <c r="CC1032" s="2" t="s">
        <v>248</v>
      </c>
      <c r="CD1032" s="2" t="s">
        <v>248</v>
      </c>
      <c r="CE1032" s="2" t="s">
        <v>235</v>
      </c>
      <c r="CF1032" s="4">
        <v>28</v>
      </c>
      <c r="CG1032" s="4">
        <v>3</v>
      </c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>
        <v>300</v>
      </c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>
        <v>300</v>
      </c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>
        <v>33</v>
      </c>
      <c r="GE1032" s="4">
        <v>327</v>
      </c>
      <c r="GF1032" s="4">
        <v>323</v>
      </c>
      <c r="GG1032" s="4">
        <v>319</v>
      </c>
      <c r="GH1032" s="4">
        <v>315</v>
      </c>
      <c r="GI1032" s="4">
        <v>302</v>
      </c>
      <c r="GJ1032" s="4">
        <v>589</v>
      </c>
      <c r="GK1032" s="4">
        <v>576</v>
      </c>
      <c r="GL1032" s="4">
        <v>563</v>
      </c>
      <c r="GM1032" s="4">
        <v>550</v>
      </c>
      <c r="GN1032" s="4">
        <v>540</v>
      </c>
      <c r="GO1032" s="4">
        <v>519</v>
      </c>
      <c r="GP1032" s="4">
        <v>488</v>
      </c>
      <c r="GQ1032" s="4">
        <v>455</v>
      </c>
      <c r="GR1032" s="4">
        <v>355</v>
      </c>
      <c r="GS1032" s="4">
        <v>269</v>
      </c>
      <c r="GT1032" s="4">
        <v>222</v>
      </c>
      <c r="GU1032" s="4">
        <v>201</v>
      </c>
      <c r="GV1032" s="4">
        <v>187</v>
      </c>
      <c r="GW1032" s="4">
        <v>173</v>
      </c>
      <c r="GX1032" s="4">
        <v>159</v>
      </c>
      <c r="GY1032" s="4">
        <v>145</v>
      </c>
      <c r="GZ1032" s="4">
        <v>140</v>
      </c>
      <c r="HA1032" s="4">
        <v>135</v>
      </c>
      <c r="HB1032" s="4">
        <v>130</v>
      </c>
      <c r="HC1032" s="4">
        <v>125</v>
      </c>
      <c r="HD1032" s="19">
        <v>8.3</v>
      </c>
      <c r="HE1032" s="19">
        <v>54.5</v>
      </c>
      <c r="HF1032" s="19">
        <v>40.4</v>
      </c>
      <c r="HG1032" s="19">
        <v>29</v>
      </c>
      <c r="HH1032" s="19">
        <v>24.2</v>
      </c>
      <c r="HI1032" s="19">
        <v>23.2</v>
      </c>
      <c r="HJ1032" s="19">
        <v>49.1</v>
      </c>
      <c r="HK1032" s="19">
        <v>41.1</v>
      </c>
      <c r="HL1032" s="19">
        <v>29.6</v>
      </c>
      <c r="HM1032" s="19">
        <v>22.9</v>
      </c>
      <c r="HN1032" s="19">
        <v>11.7</v>
      </c>
      <c r="HO1032" s="19">
        <v>8.4</v>
      </c>
      <c r="HP1032" s="19">
        <v>7.4</v>
      </c>
      <c r="HQ1032" s="19">
        <v>7.1</v>
      </c>
      <c r="HR1032" s="19">
        <v>8.5</v>
      </c>
      <c r="HS1032" s="19">
        <v>11.2</v>
      </c>
      <c r="HT1032" s="19">
        <v>13.9</v>
      </c>
      <c r="HU1032" s="19">
        <v>14.4</v>
      </c>
      <c r="HV1032" s="19">
        <v>15.6</v>
      </c>
      <c r="HW1032" s="19">
        <v>17.3</v>
      </c>
      <c r="HX1032" s="19">
        <v>22.7</v>
      </c>
      <c r="HY1032" s="19">
        <v>29</v>
      </c>
      <c r="HZ1032" s="19">
        <v>35</v>
      </c>
      <c r="IA1032" s="19">
        <v>33.8</v>
      </c>
      <c r="IB1032" s="19">
        <v>32.5</v>
      </c>
      <c r="IC1032" s="19">
        <v>41.7</v>
      </c>
    </row>
    <row r="1033">
      <c r="A1033" s="2" t="s">
        <v>4147</v>
      </c>
      <c r="B1033" s="2" t="s">
        <v>905</v>
      </c>
      <c r="C1033" s="2" t="s">
        <v>2746</v>
      </c>
      <c r="D1033" s="2" t="s">
        <v>1177</v>
      </c>
      <c r="E1033" s="2" t="s">
        <v>1178</v>
      </c>
      <c r="F1033" s="2" t="s">
        <v>4141</v>
      </c>
      <c r="G1033" s="2" t="s">
        <v>4141</v>
      </c>
      <c r="H1033" s="2" t="s">
        <v>4141</v>
      </c>
      <c r="I1033" s="2" t="s">
        <v>4148</v>
      </c>
      <c r="J1033" s="2" t="s">
        <v>993</v>
      </c>
      <c r="K1033" s="2" t="s">
        <v>231</v>
      </c>
      <c r="L1033" s="3">
        <v>33.87</v>
      </c>
      <c r="M1033" s="3">
        <v>35.56</v>
      </c>
      <c r="N1033" s="3">
        <v>74.99</v>
      </c>
      <c r="O1033" s="2" t="s">
        <v>232</v>
      </c>
      <c r="P1033" s="2" t="s">
        <v>233</v>
      </c>
      <c r="Q1033" s="2" t="s">
        <v>234</v>
      </c>
      <c r="R1033" s="2" t="s">
        <v>235</v>
      </c>
      <c r="S1033" s="2" t="s">
        <v>235</v>
      </c>
      <c r="T1033" s="2" t="s">
        <v>587</v>
      </c>
      <c r="U1033" s="2" t="s">
        <v>807</v>
      </c>
      <c r="V1033" s="2" t="s">
        <v>238</v>
      </c>
      <c r="W1033" s="2" t="s">
        <v>239</v>
      </c>
      <c r="X1033" s="2" t="s">
        <v>235</v>
      </c>
      <c r="Y1033" s="2" t="s">
        <v>4142</v>
      </c>
      <c r="Z1033" s="4">
        <v>995</v>
      </c>
      <c r="AA1033" s="4">
        <f>=ROUNDDOWN(195.098039215686,0)</f>
      </c>
      <c r="AB1033" s="5">
        <v>5.1</v>
      </c>
      <c r="AC1033" s="2" t="s">
        <v>159</v>
      </c>
      <c r="AD1033" s="4">
        <v>300</v>
      </c>
      <c r="AE1033" s="4">
        <v>300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235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235</v>
      </c>
      <c r="AW1033" s="8" t="s">
        <v>235</v>
      </c>
      <c r="AX1033" s="4" t="s">
        <v>235</v>
      </c>
      <c r="AY1033" s="8" t="s">
        <v>235</v>
      </c>
      <c r="AZ1033" s="7" t="s">
        <v>235</v>
      </c>
      <c r="BA1033" s="7" t="s">
        <v>235</v>
      </c>
      <c r="BB1033" s="7"/>
      <c r="BC1033" s="4" t="s">
        <v>235</v>
      </c>
      <c r="BD1033" s="8" t="s">
        <v>235</v>
      </c>
      <c r="BE1033" s="4" t="s">
        <v>235</v>
      </c>
      <c r="BF1033" s="8" t="s">
        <v>235</v>
      </c>
      <c r="BG1033" s="7" t="s">
        <v>235</v>
      </c>
      <c r="BH1033" s="7" t="s">
        <v>235</v>
      </c>
      <c r="BI1033" s="7"/>
      <c r="BJ1033" s="4">
        <v>7</v>
      </c>
      <c r="BK1033" s="8">
        <v>250.5</v>
      </c>
      <c r="BL1033" s="2" t="s">
        <v>4149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4150</v>
      </c>
      <c r="BV1033" s="2" t="s">
        <v>243</v>
      </c>
      <c r="BW1033" s="2" t="s">
        <v>235</v>
      </c>
      <c r="BX1033" s="2" t="s">
        <v>383</v>
      </c>
      <c r="BY1033" s="2" t="s">
        <v>245</v>
      </c>
      <c r="BZ1033" s="2" t="s">
        <v>232</v>
      </c>
      <c r="CA1033" s="2" t="s">
        <v>4146</v>
      </c>
      <c r="CB1033" s="2" t="s">
        <v>4151</v>
      </c>
      <c r="CC1033" s="2" t="s">
        <v>248</v>
      </c>
      <c r="CD1033" s="2" t="s">
        <v>248</v>
      </c>
      <c r="CE1033" s="2" t="s">
        <v>235</v>
      </c>
      <c r="CF1033" s="4">
        <v>689</v>
      </c>
      <c r="CG1033" s="4">
        <v>306</v>
      </c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>
        <v>300</v>
      </c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>
        <v>995</v>
      </c>
      <c r="GE1033" s="4">
        <v>993</v>
      </c>
      <c r="GF1033" s="4">
        <v>991</v>
      </c>
      <c r="GG1033" s="4">
        <v>989</v>
      </c>
      <c r="GH1033" s="4">
        <v>987</v>
      </c>
      <c r="GI1033" s="4">
        <v>967</v>
      </c>
      <c r="GJ1033" s="4">
        <v>1247</v>
      </c>
      <c r="GK1033" s="4">
        <v>1227</v>
      </c>
      <c r="GL1033" s="4">
        <v>1207</v>
      </c>
      <c r="GM1033" s="4">
        <v>1197</v>
      </c>
      <c r="GN1033" s="4">
        <v>1185</v>
      </c>
      <c r="GO1033" s="4">
        <v>1157</v>
      </c>
      <c r="GP1033" s="4">
        <v>1113</v>
      </c>
      <c r="GQ1033" s="4">
        <v>1061</v>
      </c>
      <c r="GR1033" s="4">
        <v>919</v>
      </c>
      <c r="GS1033" s="4">
        <v>757</v>
      </c>
      <c r="GT1033" s="4">
        <v>661</v>
      </c>
      <c r="GU1033" s="4">
        <v>593</v>
      </c>
      <c r="GV1033" s="4">
        <v>525</v>
      </c>
      <c r="GW1033" s="4">
        <v>503</v>
      </c>
      <c r="GX1033" s="4">
        <v>481</v>
      </c>
      <c r="GY1033" s="4">
        <v>459</v>
      </c>
      <c r="GZ1033" s="4">
        <v>454</v>
      </c>
      <c r="HA1033" s="4">
        <v>449</v>
      </c>
      <c r="HB1033" s="4">
        <v>444</v>
      </c>
      <c r="HC1033" s="4">
        <v>939</v>
      </c>
      <c r="HD1033" s="19">
        <v>497.5</v>
      </c>
      <c r="HE1033" s="19">
        <v>165.5</v>
      </c>
      <c r="HF1033" s="19">
        <v>90.1</v>
      </c>
      <c r="HG1033" s="19">
        <v>61.8</v>
      </c>
      <c r="HH1033" s="19">
        <v>49.4</v>
      </c>
      <c r="HI1033" s="19">
        <v>53.7</v>
      </c>
      <c r="HJ1033" s="19">
        <v>77.9</v>
      </c>
      <c r="HK1033" s="19">
        <v>68.2</v>
      </c>
      <c r="HL1033" s="19">
        <v>50.3</v>
      </c>
      <c r="HM1033" s="19">
        <v>35.2</v>
      </c>
      <c r="HN1033" s="19">
        <v>18</v>
      </c>
      <c r="HO1033" s="19">
        <v>11.6</v>
      </c>
      <c r="HP1033" s="19">
        <v>9.8</v>
      </c>
      <c r="HQ1033" s="19">
        <v>9.1</v>
      </c>
      <c r="HR1033" s="19">
        <v>9.4</v>
      </c>
      <c r="HS1033" s="19">
        <v>11.8</v>
      </c>
      <c r="HT1033" s="19">
        <v>14.7</v>
      </c>
      <c r="HU1033" s="19">
        <v>17.4</v>
      </c>
      <c r="HV1033" s="19">
        <v>29.2</v>
      </c>
      <c r="HW1033" s="19">
        <v>35.9</v>
      </c>
      <c r="HX1033" s="19">
        <v>53.4</v>
      </c>
      <c r="HY1033" s="19">
        <v>91.8</v>
      </c>
      <c r="HZ1033" s="19">
        <v>113.5</v>
      </c>
      <c r="IA1033" s="19">
        <v>112.3</v>
      </c>
      <c r="IB1033" s="19">
        <v>111</v>
      </c>
      <c r="IC1033" s="19">
        <v>313</v>
      </c>
    </row>
    <row r="1034">
      <c r="A1034" s="2" t="s">
        <v>4152</v>
      </c>
      <c r="B1034" s="2" t="s">
        <v>905</v>
      </c>
      <c r="C1034" s="2" t="s">
        <v>2746</v>
      </c>
      <c r="D1034" s="2" t="s">
        <v>1177</v>
      </c>
      <c r="E1034" s="2" t="s">
        <v>2747</v>
      </c>
      <c r="F1034" s="2" t="s">
        <v>4141</v>
      </c>
      <c r="G1034" s="2" t="s">
        <v>4141</v>
      </c>
      <c r="H1034" s="2" t="s">
        <v>4141</v>
      </c>
      <c r="I1034" s="2" t="s">
        <v>2749</v>
      </c>
      <c r="J1034" s="2" t="s">
        <v>394</v>
      </c>
      <c r="K1034" s="2" t="s">
        <v>1196</v>
      </c>
      <c r="L1034" s="3">
        <v>46.73</v>
      </c>
      <c r="M1034" s="3">
        <v>49.07</v>
      </c>
      <c r="N1034" s="3">
        <v>104.99</v>
      </c>
      <c r="O1034" s="2" t="s">
        <v>232</v>
      </c>
      <c r="P1034" s="2" t="s">
        <v>233</v>
      </c>
      <c r="Q1034" s="2" t="s">
        <v>234</v>
      </c>
      <c r="R1034" s="2" t="s">
        <v>235</v>
      </c>
      <c r="S1034" s="2" t="s">
        <v>235</v>
      </c>
      <c r="T1034" s="2" t="s">
        <v>587</v>
      </c>
      <c r="U1034" s="2" t="s">
        <v>807</v>
      </c>
      <c r="V1034" s="2" t="s">
        <v>238</v>
      </c>
      <c r="W1034" s="2" t="s">
        <v>239</v>
      </c>
      <c r="X1034" s="2" t="s">
        <v>235</v>
      </c>
      <c r="Y1034" s="2" t="s">
        <v>2632</v>
      </c>
      <c r="Z1034" s="4">
        <v>3</v>
      </c>
      <c r="AA1034" s="4">
        <f>=ROUNDDOWN(0.416666666666667,0)</f>
      </c>
      <c r="AB1034" s="5">
        <v>7.2</v>
      </c>
      <c r="AC1034" s="2" t="s">
        <v>883</v>
      </c>
      <c r="AD1034" s="4">
        <v>360</v>
      </c>
      <c r="AE1034" s="4">
        <v>360</v>
      </c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235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235</v>
      </c>
      <c r="AW1034" s="8" t="s">
        <v>235</v>
      </c>
      <c r="AX1034" s="4" t="s">
        <v>235</v>
      </c>
      <c r="AY1034" s="8" t="s">
        <v>235</v>
      </c>
      <c r="AZ1034" s="7" t="s">
        <v>235</v>
      </c>
      <c r="BA1034" s="7" t="s">
        <v>235</v>
      </c>
      <c r="BB1034" s="7"/>
      <c r="BC1034" s="4" t="s">
        <v>235</v>
      </c>
      <c r="BD1034" s="8" t="s">
        <v>235</v>
      </c>
      <c r="BE1034" s="4" t="s">
        <v>235</v>
      </c>
      <c r="BF1034" s="8" t="s">
        <v>235</v>
      </c>
      <c r="BG1034" s="7" t="s">
        <v>235</v>
      </c>
      <c r="BH1034" s="7" t="s">
        <v>235</v>
      </c>
      <c r="BI1034" s="7"/>
      <c r="BJ1034" s="4">
        <v>1</v>
      </c>
      <c r="BK1034" s="8">
        <v>51.63</v>
      </c>
      <c r="BL1034" s="2" t="s">
        <v>4143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4144</v>
      </c>
      <c r="BV1034" s="2" t="s">
        <v>243</v>
      </c>
      <c r="BW1034" s="2" t="s">
        <v>235</v>
      </c>
      <c r="BX1034" s="2" t="s">
        <v>4145</v>
      </c>
      <c r="BY1034" s="2" t="s">
        <v>245</v>
      </c>
      <c r="BZ1034" s="2" t="s">
        <v>232</v>
      </c>
      <c r="CA1034" s="2" t="s">
        <v>4153</v>
      </c>
      <c r="CB1034" s="2" t="s">
        <v>1408</v>
      </c>
      <c r="CC1034" s="2" t="s">
        <v>248</v>
      </c>
      <c r="CD1034" s="2" t="s">
        <v>248</v>
      </c>
      <c r="CE1034" s="2" t="s">
        <v>235</v>
      </c>
      <c r="CF1034" s="4"/>
      <c r="CG1034" s="4">
        <v>3</v>
      </c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>
        <v>360</v>
      </c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>
        <v>3</v>
      </c>
      <c r="GE1034" s="4">
        <v>360</v>
      </c>
      <c r="GF1034" s="4">
        <v>357</v>
      </c>
      <c r="GG1034" s="4">
        <v>354</v>
      </c>
      <c r="GH1034" s="4">
        <v>351</v>
      </c>
      <c r="GI1034" s="4">
        <v>344</v>
      </c>
      <c r="GJ1034" s="4">
        <v>337</v>
      </c>
      <c r="GK1034" s="4">
        <v>330</v>
      </c>
      <c r="GL1034" s="4">
        <v>323</v>
      </c>
      <c r="GM1034" s="4">
        <v>316</v>
      </c>
      <c r="GN1034" s="4">
        <v>310</v>
      </c>
      <c r="GO1034" s="4">
        <v>299</v>
      </c>
      <c r="GP1034" s="4">
        <v>282</v>
      </c>
      <c r="GQ1034" s="4">
        <v>264</v>
      </c>
      <c r="GR1034" s="4">
        <v>210</v>
      </c>
      <c r="GS1034" s="4">
        <v>164</v>
      </c>
      <c r="GT1034" s="4">
        <v>139</v>
      </c>
      <c r="GU1034" s="4">
        <v>128</v>
      </c>
      <c r="GV1034" s="4">
        <v>120</v>
      </c>
      <c r="GW1034" s="4">
        <v>199</v>
      </c>
      <c r="GX1034" s="4">
        <v>191</v>
      </c>
      <c r="GY1034" s="4">
        <v>183</v>
      </c>
      <c r="GZ1034" s="4">
        <v>179</v>
      </c>
      <c r="HA1034" s="4">
        <v>175</v>
      </c>
      <c r="HB1034" s="4">
        <v>171</v>
      </c>
      <c r="HC1034" s="4">
        <v>167</v>
      </c>
      <c r="HD1034" s="19">
        <v>1</v>
      </c>
      <c r="HE1034" s="19">
        <v>90</v>
      </c>
      <c r="HF1034" s="19">
        <v>71.4</v>
      </c>
      <c r="HG1034" s="19">
        <v>59</v>
      </c>
      <c r="HH1034" s="19">
        <v>50.1</v>
      </c>
      <c r="HI1034" s="19">
        <v>49.1</v>
      </c>
      <c r="HJ1034" s="19">
        <v>48.1</v>
      </c>
      <c r="HK1034" s="19">
        <v>41.3</v>
      </c>
      <c r="HL1034" s="19">
        <v>32.3</v>
      </c>
      <c r="HM1034" s="19">
        <v>24.3</v>
      </c>
      <c r="HN1034" s="19">
        <v>12.4</v>
      </c>
      <c r="HO1034" s="19">
        <v>8.8</v>
      </c>
      <c r="HP1034" s="19">
        <v>7.8</v>
      </c>
      <c r="HQ1034" s="19">
        <v>7.8</v>
      </c>
      <c r="HR1034" s="19">
        <v>9.5</v>
      </c>
      <c r="HS1034" s="19">
        <v>12.6</v>
      </c>
      <c r="HT1034" s="19">
        <v>15.4</v>
      </c>
      <c r="HU1034" s="19">
        <v>16</v>
      </c>
      <c r="HV1034" s="19">
        <v>17.1</v>
      </c>
      <c r="HW1034" s="19">
        <v>33.2</v>
      </c>
      <c r="HX1034" s="19">
        <v>38.2</v>
      </c>
      <c r="HY1034" s="19">
        <v>45.8</v>
      </c>
      <c r="HZ1034" s="19">
        <v>44.8</v>
      </c>
      <c r="IA1034" s="19">
        <v>58.3</v>
      </c>
      <c r="IB1034" s="19">
        <v>85.5</v>
      </c>
      <c r="IC1034" s="19">
        <v>83.5</v>
      </c>
    </row>
    <row r="1035">
      <c r="A1035" s="2" t="s">
        <v>4154</v>
      </c>
      <c r="B1035" s="2" t="s">
        <v>905</v>
      </c>
      <c r="C1035" s="2" t="s">
        <v>2746</v>
      </c>
      <c r="D1035" s="2" t="s">
        <v>1177</v>
      </c>
      <c r="E1035" s="2" t="s">
        <v>2747</v>
      </c>
      <c r="F1035" s="2" t="s">
        <v>4141</v>
      </c>
      <c r="G1035" s="2" t="s">
        <v>4141</v>
      </c>
      <c r="H1035" s="2" t="s">
        <v>4141</v>
      </c>
      <c r="I1035" s="2" t="s">
        <v>2749</v>
      </c>
      <c r="J1035" s="2" t="s">
        <v>261</v>
      </c>
      <c r="K1035" s="2" t="s">
        <v>1196</v>
      </c>
      <c r="L1035" s="3">
        <v>77.66</v>
      </c>
      <c r="M1035" s="3">
        <v>81.54</v>
      </c>
      <c r="N1035" s="3">
        <v>174.99</v>
      </c>
      <c r="O1035" s="2" t="s">
        <v>232</v>
      </c>
      <c r="P1035" s="2" t="s">
        <v>233</v>
      </c>
      <c r="Q1035" s="2" t="s">
        <v>234</v>
      </c>
      <c r="R1035" s="2" t="s">
        <v>235</v>
      </c>
      <c r="S1035" s="2" t="s">
        <v>235</v>
      </c>
      <c r="T1035" s="2" t="s">
        <v>587</v>
      </c>
      <c r="U1035" s="2" t="s">
        <v>807</v>
      </c>
      <c r="V1035" s="2" t="s">
        <v>238</v>
      </c>
      <c r="W1035" s="2" t="s">
        <v>239</v>
      </c>
      <c r="X1035" s="2" t="s">
        <v>235</v>
      </c>
      <c r="Y1035" s="2" t="s">
        <v>2632</v>
      </c>
      <c r="Z1035" s="4">
        <v>95</v>
      </c>
      <c r="AA1035" s="4">
        <f>=ROUNDDOWN(11.4457831325301,0)</f>
      </c>
      <c r="AB1035" s="5">
        <v>8.3</v>
      </c>
      <c r="AC1035" s="2" t="s">
        <v>167</v>
      </c>
      <c r="AD1035" s="4">
        <v>340</v>
      </c>
      <c r="AE1035" s="4">
        <v>340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235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235</v>
      </c>
      <c r="AW1035" s="8" t="s">
        <v>235</v>
      </c>
      <c r="AX1035" s="4" t="s">
        <v>235</v>
      </c>
      <c r="AY1035" s="8" t="s">
        <v>235</v>
      </c>
      <c r="AZ1035" s="7" t="s">
        <v>235</v>
      </c>
      <c r="BA1035" s="7" t="s">
        <v>235</v>
      </c>
      <c r="BB1035" s="7"/>
      <c r="BC1035" s="4" t="s">
        <v>235</v>
      </c>
      <c r="BD1035" s="8" t="s">
        <v>235</v>
      </c>
      <c r="BE1035" s="4" t="s">
        <v>235</v>
      </c>
      <c r="BF1035" s="8" t="s">
        <v>235</v>
      </c>
      <c r="BG1035" s="7" t="s">
        <v>235</v>
      </c>
      <c r="BH1035" s="7" t="s">
        <v>235</v>
      </c>
      <c r="BI1035" s="7"/>
      <c r="BJ1035" s="4">
        <v>6</v>
      </c>
      <c r="BK1035" s="8">
        <v>512.74</v>
      </c>
      <c r="BL1035" s="2" t="s">
        <v>4155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4144</v>
      </c>
      <c r="BV1035" s="2" t="s">
        <v>243</v>
      </c>
      <c r="BW1035" s="2" t="s">
        <v>235</v>
      </c>
      <c r="BX1035" s="2" t="s">
        <v>4145</v>
      </c>
      <c r="BY1035" s="2" t="s">
        <v>245</v>
      </c>
      <c r="BZ1035" s="2" t="s">
        <v>232</v>
      </c>
      <c r="CA1035" s="2" t="s">
        <v>4153</v>
      </c>
      <c r="CB1035" s="2" t="s">
        <v>921</v>
      </c>
      <c r="CC1035" s="2" t="s">
        <v>248</v>
      </c>
      <c r="CD1035" s="2" t="s">
        <v>248</v>
      </c>
      <c r="CE1035" s="2" t="s">
        <v>235</v>
      </c>
      <c r="CF1035" s="4">
        <v>95</v>
      </c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>
        <v>340</v>
      </c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>
        <v>96</v>
      </c>
      <c r="GE1035" s="4">
        <v>92</v>
      </c>
      <c r="GF1035" s="4">
        <v>89</v>
      </c>
      <c r="GG1035" s="4">
        <v>86</v>
      </c>
      <c r="GH1035" s="4">
        <v>83</v>
      </c>
      <c r="GI1035" s="4">
        <v>73</v>
      </c>
      <c r="GJ1035" s="4">
        <v>63</v>
      </c>
      <c r="GK1035" s="4">
        <v>393</v>
      </c>
      <c r="GL1035" s="4">
        <v>383</v>
      </c>
      <c r="GM1035" s="4">
        <v>376</v>
      </c>
      <c r="GN1035" s="4">
        <v>369</v>
      </c>
      <c r="GO1035" s="4">
        <v>355</v>
      </c>
      <c r="GP1035" s="4">
        <v>334</v>
      </c>
      <c r="GQ1035" s="4">
        <v>315</v>
      </c>
      <c r="GR1035" s="4">
        <v>260</v>
      </c>
      <c r="GS1035" s="4">
        <v>217</v>
      </c>
      <c r="GT1035" s="4">
        <v>195</v>
      </c>
      <c r="GU1035" s="4">
        <v>179</v>
      </c>
      <c r="GV1035" s="4">
        <v>169</v>
      </c>
      <c r="GW1035" s="4">
        <v>223</v>
      </c>
      <c r="GX1035" s="4">
        <v>213</v>
      </c>
      <c r="GY1035" s="4">
        <v>203</v>
      </c>
      <c r="GZ1035" s="4">
        <v>200</v>
      </c>
      <c r="HA1035" s="4">
        <v>197</v>
      </c>
      <c r="HB1035" s="4">
        <v>194</v>
      </c>
      <c r="HC1035" s="4">
        <v>191</v>
      </c>
      <c r="HD1035" s="19">
        <v>32</v>
      </c>
      <c r="HE1035" s="19">
        <v>18.4</v>
      </c>
      <c r="HF1035" s="19">
        <v>14.8</v>
      </c>
      <c r="HG1035" s="19">
        <v>10.8</v>
      </c>
      <c r="HH1035" s="19">
        <v>8.3</v>
      </c>
      <c r="HI1035" s="19">
        <v>8.1</v>
      </c>
      <c r="HJ1035" s="19">
        <v>7.9</v>
      </c>
      <c r="HK1035" s="19">
        <v>39.3</v>
      </c>
      <c r="HL1035" s="19">
        <v>31.9</v>
      </c>
      <c r="HM1035" s="19">
        <v>25.1</v>
      </c>
      <c r="HN1035" s="19">
        <v>13.7</v>
      </c>
      <c r="HO1035" s="19">
        <v>10.4</v>
      </c>
      <c r="HP1035" s="19">
        <v>9.5</v>
      </c>
      <c r="HQ1035" s="19">
        <v>9.3</v>
      </c>
      <c r="HR1035" s="19">
        <v>11.3</v>
      </c>
      <c r="HS1035" s="19">
        <v>15.5</v>
      </c>
      <c r="HT1035" s="19">
        <v>16.3</v>
      </c>
      <c r="HU1035" s="19">
        <v>17.9</v>
      </c>
      <c r="HV1035" s="19">
        <v>21.1</v>
      </c>
      <c r="HW1035" s="19">
        <v>37.2</v>
      </c>
      <c r="HX1035" s="19">
        <v>42.6</v>
      </c>
      <c r="HY1035" s="19">
        <v>67.7</v>
      </c>
      <c r="HZ1035" s="19">
        <v>66.7</v>
      </c>
      <c r="IA1035" s="19">
        <v>98.5</v>
      </c>
      <c r="IB1035" s="19">
        <v>97</v>
      </c>
      <c r="IC1035" s="19">
        <v>95.5</v>
      </c>
    </row>
    <row r="1036">
      <c r="A1036" s="2" t="s">
        <v>4156</v>
      </c>
      <c r="B1036" s="2" t="s">
        <v>905</v>
      </c>
      <c r="C1036" s="2" t="s">
        <v>2746</v>
      </c>
      <c r="D1036" s="2" t="s">
        <v>1177</v>
      </c>
      <c r="E1036" s="2" t="s">
        <v>2747</v>
      </c>
      <c r="F1036" s="2" t="s">
        <v>4141</v>
      </c>
      <c r="G1036" s="2" t="s">
        <v>4141</v>
      </c>
      <c r="H1036" s="2" t="s">
        <v>4141</v>
      </c>
      <c r="I1036" s="2" t="s">
        <v>2749</v>
      </c>
      <c r="J1036" s="2" t="s">
        <v>270</v>
      </c>
      <c r="K1036" s="2" t="s">
        <v>1196</v>
      </c>
      <c r="L1036" s="3">
        <v>83.84</v>
      </c>
      <c r="M1036" s="3">
        <v>88.03</v>
      </c>
      <c r="N1036" s="3">
        <v>174.99</v>
      </c>
      <c r="O1036" s="2" t="s">
        <v>232</v>
      </c>
      <c r="P1036" s="2" t="s">
        <v>233</v>
      </c>
      <c r="Q1036" s="2" t="s">
        <v>234</v>
      </c>
      <c r="R1036" s="2" t="s">
        <v>235</v>
      </c>
      <c r="S1036" s="2" t="s">
        <v>235</v>
      </c>
      <c r="T1036" s="2" t="s">
        <v>587</v>
      </c>
      <c r="U1036" s="2" t="s">
        <v>807</v>
      </c>
      <c r="V1036" s="2" t="s">
        <v>238</v>
      </c>
      <c r="W1036" s="2" t="s">
        <v>239</v>
      </c>
      <c r="X1036" s="2" t="s">
        <v>235</v>
      </c>
      <c r="Y1036" s="2" t="s">
        <v>2632</v>
      </c>
      <c r="Z1036" s="4">
        <v>3</v>
      </c>
      <c r="AA1036" s="4">
        <f>=ROUNDDOWN(0.132743362831858,0)</f>
      </c>
      <c r="AB1036" s="5">
        <v>22.6</v>
      </c>
      <c r="AC1036" s="2" t="s">
        <v>883</v>
      </c>
      <c r="AD1036" s="4">
        <v>300</v>
      </c>
      <c r="AE1036" s="4">
        <v>300</v>
      </c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235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235</v>
      </c>
      <c r="AW1036" s="8" t="s">
        <v>235</v>
      </c>
      <c r="AX1036" s="4" t="s">
        <v>235</v>
      </c>
      <c r="AY1036" s="8" t="s">
        <v>235</v>
      </c>
      <c r="AZ1036" s="7" t="s">
        <v>235</v>
      </c>
      <c r="BA1036" s="7" t="s">
        <v>235</v>
      </c>
      <c r="BB1036" s="7"/>
      <c r="BC1036" s="4" t="s">
        <v>235</v>
      </c>
      <c r="BD1036" s="8" t="s">
        <v>235</v>
      </c>
      <c r="BE1036" s="4" t="s">
        <v>235</v>
      </c>
      <c r="BF1036" s="8" t="s">
        <v>235</v>
      </c>
      <c r="BG1036" s="7" t="s">
        <v>235</v>
      </c>
      <c r="BH1036" s="7" t="s">
        <v>235</v>
      </c>
      <c r="BI1036" s="7"/>
      <c r="BJ1036" s="4"/>
      <c r="BK1036" s="8"/>
      <c r="BL1036" s="2" t="s">
        <v>1580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4144</v>
      </c>
      <c r="BV1036" s="2" t="s">
        <v>243</v>
      </c>
      <c r="BW1036" s="2" t="s">
        <v>235</v>
      </c>
      <c r="BX1036" s="2" t="s">
        <v>4145</v>
      </c>
      <c r="BY1036" s="2" t="s">
        <v>245</v>
      </c>
      <c r="BZ1036" s="2" t="s">
        <v>232</v>
      </c>
      <c r="CA1036" s="2" t="s">
        <v>4153</v>
      </c>
      <c r="CB1036" s="2" t="s">
        <v>4157</v>
      </c>
      <c r="CC1036" s="2" t="s">
        <v>248</v>
      </c>
      <c r="CD1036" s="2" t="s">
        <v>248</v>
      </c>
      <c r="CE1036" s="2" t="s">
        <v>235</v>
      </c>
      <c r="CF1036" s="4">
        <v>3</v>
      </c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>
        <v>300</v>
      </c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>
        <v>3</v>
      </c>
      <c r="GE1036" s="4">
        <v>300</v>
      </c>
      <c r="GF1036" s="4">
        <v>293</v>
      </c>
      <c r="GG1036" s="4">
        <v>286</v>
      </c>
      <c r="GH1036" s="4">
        <v>279</v>
      </c>
      <c r="GI1036" s="4">
        <v>268</v>
      </c>
      <c r="GJ1036" s="4">
        <v>257</v>
      </c>
      <c r="GK1036" s="4">
        <v>246</v>
      </c>
      <c r="GL1036" s="4">
        <v>235</v>
      </c>
      <c r="GM1036" s="4">
        <v>226</v>
      </c>
      <c r="GN1036" s="4">
        <v>215</v>
      </c>
      <c r="GO1036" s="4">
        <v>198</v>
      </c>
      <c r="GP1036" s="4">
        <v>177</v>
      </c>
      <c r="GQ1036" s="4">
        <v>159</v>
      </c>
      <c r="GR1036" s="4">
        <v>115</v>
      </c>
      <c r="GS1036" s="4">
        <v>73</v>
      </c>
      <c r="GT1036" s="4">
        <v>47</v>
      </c>
      <c r="GU1036" s="4">
        <v>29</v>
      </c>
      <c r="GV1036" s="4">
        <v>17</v>
      </c>
      <c r="GW1036" s="4">
        <v>224</v>
      </c>
      <c r="GX1036" s="4">
        <v>212</v>
      </c>
      <c r="GY1036" s="4">
        <v>200</v>
      </c>
      <c r="GZ1036" s="4">
        <v>188</v>
      </c>
      <c r="HA1036" s="4">
        <v>176</v>
      </c>
      <c r="HB1036" s="4">
        <v>164</v>
      </c>
      <c r="HC1036" s="4">
        <v>292</v>
      </c>
      <c r="HD1036" s="19">
        <v>0.4</v>
      </c>
      <c r="HE1036" s="19">
        <v>37.5</v>
      </c>
      <c r="HF1036" s="19">
        <v>32.6</v>
      </c>
      <c r="HG1036" s="19">
        <v>28.6</v>
      </c>
      <c r="HH1036" s="19">
        <v>25.4</v>
      </c>
      <c r="HI1036" s="19">
        <v>26.8</v>
      </c>
      <c r="HJ1036" s="19">
        <v>25.7</v>
      </c>
      <c r="HK1036" s="19">
        <v>20.5</v>
      </c>
      <c r="HL1036" s="19">
        <v>16.8</v>
      </c>
      <c r="HM1036" s="19">
        <v>13.3</v>
      </c>
      <c r="HN1036" s="19">
        <v>8.6</v>
      </c>
      <c r="HO1036" s="19">
        <v>6.4</v>
      </c>
      <c r="HP1036" s="19">
        <v>5.5</v>
      </c>
      <c r="HQ1036" s="19">
        <v>5</v>
      </c>
      <c r="HR1036" s="19">
        <v>4.8</v>
      </c>
      <c r="HS1036" s="19">
        <v>4.3</v>
      </c>
      <c r="HT1036" s="19">
        <v>3.4</v>
      </c>
      <c r="HU1036" s="19">
        <v>2.4</v>
      </c>
      <c r="HV1036" s="19">
        <v>1.4</v>
      </c>
      <c r="HW1036" s="19">
        <v>18.7</v>
      </c>
      <c r="HX1036" s="19">
        <v>17.7</v>
      </c>
      <c r="HY1036" s="19">
        <v>16.7</v>
      </c>
      <c r="HZ1036" s="19">
        <v>18.8</v>
      </c>
      <c r="IA1036" s="19">
        <v>22</v>
      </c>
      <c r="IB1036" s="19">
        <v>23.4</v>
      </c>
      <c r="IC1036" s="19">
        <v>58.4</v>
      </c>
    </row>
    <row r="1037">
      <c r="A1037" s="2" t="s">
        <v>4158</v>
      </c>
      <c r="B1037" s="2" t="s">
        <v>905</v>
      </c>
      <c r="C1037" s="2" t="s">
        <v>2746</v>
      </c>
      <c r="D1037" s="2" t="s">
        <v>1177</v>
      </c>
      <c r="E1037" s="2" t="s">
        <v>2747</v>
      </c>
      <c r="F1037" s="2" t="s">
        <v>4141</v>
      </c>
      <c r="G1037" s="2" t="s">
        <v>4141</v>
      </c>
      <c r="H1037" s="2" t="s">
        <v>4141</v>
      </c>
      <c r="I1037" s="2" t="s">
        <v>2749</v>
      </c>
      <c r="J1037" s="2" t="s">
        <v>394</v>
      </c>
      <c r="K1037" s="2" t="s">
        <v>1477</v>
      </c>
      <c r="L1037" s="3">
        <v>46.73</v>
      </c>
      <c r="M1037" s="3">
        <v>49.07</v>
      </c>
      <c r="N1037" s="3">
        <v>104.99</v>
      </c>
      <c r="O1037" s="2" t="s">
        <v>232</v>
      </c>
      <c r="P1037" s="2" t="s">
        <v>233</v>
      </c>
      <c r="Q1037" s="2" t="s">
        <v>234</v>
      </c>
      <c r="R1037" s="2" t="s">
        <v>235</v>
      </c>
      <c r="S1037" s="2" t="s">
        <v>235</v>
      </c>
      <c r="T1037" s="2" t="s">
        <v>587</v>
      </c>
      <c r="U1037" s="2" t="s">
        <v>807</v>
      </c>
      <c r="V1037" s="2" t="s">
        <v>238</v>
      </c>
      <c r="W1037" s="2" t="s">
        <v>239</v>
      </c>
      <c r="X1037" s="2" t="s">
        <v>235</v>
      </c>
      <c r="Y1037" s="2" t="s">
        <v>2632</v>
      </c>
      <c r="Z1037" s="4">
        <v>289</v>
      </c>
      <c r="AA1037" s="4">
        <f>=ROUNDDOWN(131.363636363636,0)</f>
      </c>
      <c r="AB1037" s="5">
        <v>2.2</v>
      </c>
      <c r="AC1037" s="2" t="s">
        <v>159</v>
      </c>
      <c r="AD1037" s="4">
        <v>300</v>
      </c>
      <c r="AE1037" s="4">
        <v>300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235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235</v>
      </c>
      <c r="AW1037" s="8" t="s">
        <v>235</v>
      </c>
      <c r="AX1037" s="4" t="s">
        <v>235</v>
      </c>
      <c r="AY1037" s="8" t="s">
        <v>235</v>
      </c>
      <c r="AZ1037" s="7" t="s">
        <v>235</v>
      </c>
      <c r="BA1037" s="7" t="s">
        <v>235</v>
      </c>
      <c r="BB1037" s="7"/>
      <c r="BC1037" s="4" t="s">
        <v>235</v>
      </c>
      <c r="BD1037" s="8" t="s">
        <v>235</v>
      </c>
      <c r="BE1037" s="4" t="s">
        <v>235</v>
      </c>
      <c r="BF1037" s="8" t="s">
        <v>235</v>
      </c>
      <c r="BG1037" s="7" t="s">
        <v>235</v>
      </c>
      <c r="BH1037" s="7" t="s">
        <v>235</v>
      </c>
      <c r="BI1037" s="7"/>
      <c r="BJ1037" s="4">
        <v>2</v>
      </c>
      <c r="BK1037" s="8">
        <v>103.53</v>
      </c>
      <c r="BL1037" s="2" t="s">
        <v>4159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4144</v>
      </c>
      <c r="BV1037" s="2" t="s">
        <v>243</v>
      </c>
      <c r="BW1037" s="2" t="s">
        <v>235</v>
      </c>
      <c r="BX1037" s="2" t="s">
        <v>4145</v>
      </c>
      <c r="BY1037" s="2" t="s">
        <v>245</v>
      </c>
      <c r="BZ1037" s="2" t="s">
        <v>232</v>
      </c>
      <c r="CA1037" s="2" t="s">
        <v>4153</v>
      </c>
      <c r="CB1037" s="2" t="s">
        <v>4160</v>
      </c>
      <c r="CC1037" s="2" t="s">
        <v>248</v>
      </c>
      <c r="CD1037" s="2" t="s">
        <v>248</v>
      </c>
      <c r="CE1037" s="2" t="s">
        <v>235</v>
      </c>
      <c r="CF1037" s="4">
        <v>289</v>
      </c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>
        <v>300</v>
      </c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>
        <v>289</v>
      </c>
      <c r="GE1037" s="4">
        <v>288</v>
      </c>
      <c r="GF1037" s="4">
        <v>287</v>
      </c>
      <c r="GG1037" s="4">
        <v>286</v>
      </c>
      <c r="GH1037" s="4">
        <v>285</v>
      </c>
      <c r="GI1037" s="4">
        <v>274</v>
      </c>
      <c r="GJ1037" s="4">
        <v>563</v>
      </c>
      <c r="GK1037" s="4">
        <v>552</v>
      </c>
      <c r="GL1037" s="4">
        <v>541</v>
      </c>
      <c r="GM1037" s="4">
        <v>530</v>
      </c>
      <c r="GN1037" s="4">
        <v>521</v>
      </c>
      <c r="GO1037" s="4">
        <v>503</v>
      </c>
      <c r="GP1037" s="4">
        <v>477</v>
      </c>
      <c r="GQ1037" s="4">
        <v>449</v>
      </c>
      <c r="GR1037" s="4">
        <v>364</v>
      </c>
      <c r="GS1037" s="4">
        <v>291</v>
      </c>
      <c r="GT1037" s="4">
        <v>251</v>
      </c>
      <c r="GU1037" s="4">
        <v>233</v>
      </c>
      <c r="GV1037" s="4">
        <v>221</v>
      </c>
      <c r="GW1037" s="4">
        <v>242</v>
      </c>
      <c r="GX1037" s="4">
        <v>230</v>
      </c>
      <c r="GY1037" s="4">
        <v>218</v>
      </c>
      <c r="GZ1037" s="4">
        <v>217</v>
      </c>
      <c r="HA1037" s="4">
        <v>216</v>
      </c>
      <c r="HB1037" s="4">
        <v>215</v>
      </c>
      <c r="HC1037" s="4">
        <v>214</v>
      </c>
      <c r="HD1037" s="19">
        <v>289</v>
      </c>
      <c r="HE1037" s="19">
        <v>72</v>
      </c>
      <c r="HF1037" s="19">
        <v>47.8</v>
      </c>
      <c r="HG1037" s="19">
        <v>35.8</v>
      </c>
      <c r="HH1037" s="19">
        <v>25.9</v>
      </c>
      <c r="HI1037" s="19">
        <v>24.9</v>
      </c>
      <c r="HJ1037" s="19">
        <v>56.3</v>
      </c>
      <c r="HK1037" s="19">
        <v>46</v>
      </c>
      <c r="HL1037" s="19">
        <v>33.8</v>
      </c>
      <c r="HM1037" s="19">
        <v>26.5</v>
      </c>
      <c r="HN1037" s="19">
        <v>13.4</v>
      </c>
      <c r="HO1037" s="19">
        <v>9.5</v>
      </c>
      <c r="HP1037" s="19">
        <v>8.5</v>
      </c>
      <c r="HQ1037" s="19">
        <v>8.3</v>
      </c>
      <c r="HR1037" s="19">
        <v>10.1</v>
      </c>
      <c r="HS1037" s="19">
        <v>14.6</v>
      </c>
      <c r="HT1037" s="19">
        <v>17.9</v>
      </c>
      <c r="HU1037" s="19">
        <v>19.4</v>
      </c>
      <c r="HV1037" s="19">
        <v>24.6</v>
      </c>
      <c r="HW1037" s="19">
        <v>40.3</v>
      </c>
      <c r="HX1037" s="19">
        <v>57.5</v>
      </c>
      <c r="HY1037" s="19">
        <v>218</v>
      </c>
      <c r="HZ1037" s="19">
        <v>217</v>
      </c>
      <c r="IA1037" s="19">
        <v>216</v>
      </c>
      <c r="IB1037" s="19">
        <v>215</v>
      </c>
      <c r="IC1037" s="19">
        <v>214</v>
      </c>
    </row>
    <row r="1038">
      <c r="A1038" s="2" t="s">
        <v>4161</v>
      </c>
      <c r="B1038" s="2" t="s">
        <v>905</v>
      </c>
      <c r="C1038" s="2" t="s">
        <v>2746</v>
      </c>
      <c r="D1038" s="2" t="s">
        <v>1177</v>
      </c>
      <c r="E1038" s="2" t="s">
        <v>2747</v>
      </c>
      <c r="F1038" s="2" t="s">
        <v>4141</v>
      </c>
      <c r="G1038" s="2" t="s">
        <v>4141</v>
      </c>
      <c r="H1038" s="2" t="s">
        <v>4141</v>
      </c>
      <c r="I1038" s="2" t="s">
        <v>2749</v>
      </c>
      <c r="J1038" s="2" t="s">
        <v>250</v>
      </c>
      <c r="K1038" s="2" t="s">
        <v>1477</v>
      </c>
      <c r="L1038" s="3">
        <v>52.63</v>
      </c>
      <c r="M1038" s="3">
        <v>55.26</v>
      </c>
      <c r="N1038" s="3">
        <v>114.99</v>
      </c>
      <c r="O1038" s="2" t="s">
        <v>232</v>
      </c>
      <c r="P1038" s="2" t="s">
        <v>233</v>
      </c>
      <c r="Q1038" s="2" t="s">
        <v>234</v>
      </c>
      <c r="R1038" s="2" t="s">
        <v>235</v>
      </c>
      <c r="S1038" s="2" t="s">
        <v>235</v>
      </c>
      <c r="T1038" s="2" t="s">
        <v>587</v>
      </c>
      <c r="U1038" s="2" t="s">
        <v>807</v>
      </c>
      <c r="V1038" s="2" t="s">
        <v>238</v>
      </c>
      <c r="W1038" s="2" t="s">
        <v>239</v>
      </c>
      <c r="X1038" s="2" t="s">
        <v>235</v>
      </c>
      <c r="Y1038" s="2" t="s">
        <v>2632</v>
      </c>
      <c r="Z1038" s="4">
        <v>1</v>
      </c>
      <c r="AA1038" s="4">
        <f>=ROUNDDOWN(0.10989010989011,0)</f>
      </c>
      <c r="AB1038" s="5">
        <v>9.1</v>
      </c>
      <c r="AC1038" s="2" t="s">
        <v>883</v>
      </c>
      <c r="AD1038" s="4">
        <v>300</v>
      </c>
      <c r="AE1038" s="4">
        <v>550</v>
      </c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235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235</v>
      </c>
      <c r="AW1038" s="8" t="s">
        <v>235</v>
      </c>
      <c r="AX1038" s="4" t="s">
        <v>235</v>
      </c>
      <c r="AY1038" s="8" t="s">
        <v>235</v>
      </c>
      <c r="AZ1038" s="7" t="s">
        <v>235</v>
      </c>
      <c r="BA1038" s="7" t="s">
        <v>235</v>
      </c>
      <c r="BB1038" s="7"/>
      <c r="BC1038" s="4" t="s">
        <v>235</v>
      </c>
      <c r="BD1038" s="8" t="s">
        <v>235</v>
      </c>
      <c r="BE1038" s="4" t="s">
        <v>235</v>
      </c>
      <c r="BF1038" s="8" t="s">
        <v>235</v>
      </c>
      <c r="BG1038" s="7" t="s">
        <v>235</v>
      </c>
      <c r="BH1038" s="7" t="s">
        <v>235</v>
      </c>
      <c r="BI1038" s="7"/>
      <c r="BJ1038" s="4"/>
      <c r="BK1038" s="8"/>
      <c r="BL1038" s="2" t="s">
        <v>4162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4144</v>
      </c>
      <c r="BV1038" s="2" t="s">
        <v>243</v>
      </c>
      <c r="BW1038" s="2" t="s">
        <v>235</v>
      </c>
      <c r="BX1038" s="2" t="s">
        <v>4145</v>
      </c>
      <c r="BY1038" s="2" t="s">
        <v>245</v>
      </c>
      <c r="BZ1038" s="2" t="s">
        <v>232</v>
      </c>
      <c r="CA1038" s="2" t="s">
        <v>4153</v>
      </c>
      <c r="CB1038" s="2" t="s">
        <v>4057</v>
      </c>
      <c r="CC1038" s="2" t="s">
        <v>248</v>
      </c>
      <c r="CD1038" s="2" t="s">
        <v>248</v>
      </c>
      <c r="CE1038" s="2" t="s">
        <v>235</v>
      </c>
      <c r="CF1038" s="4">
        <v>1</v>
      </c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>
        <v>300</v>
      </c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>
        <v>250</v>
      </c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>
        <v>1</v>
      </c>
      <c r="GE1038" s="4">
        <v>300</v>
      </c>
      <c r="GF1038" s="4">
        <v>297</v>
      </c>
      <c r="GG1038" s="4">
        <v>294</v>
      </c>
      <c r="GH1038" s="4">
        <v>291</v>
      </c>
      <c r="GI1038" s="4">
        <v>282</v>
      </c>
      <c r="GJ1038" s="4">
        <v>523</v>
      </c>
      <c r="GK1038" s="4">
        <v>514</v>
      </c>
      <c r="GL1038" s="4">
        <v>505</v>
      </c>
      <c r="GM1038" s="4">
        <v>500</v>
      </c>
      <c r="GN1038" s="4">
        <v>495</v>
      </c>
      <c r="GO1038" s="4">
        <v>481</v>
      </c>
      <c r="GP1038" s="4">
        <v>460</v>
      </c>
      <c r="GQ1038" s="4">
        <v>442</v>
      </c>
      <c r="GR1038" s="4">
        <v>385</v>
      </c>
      <c r="GS1038" s="4">
        <v>334</v>
      </c>
      <c r="GT1038" s="4">
        <v>304</v>
      </c>
      <c r="GU1038" s="4">
        <v>290</v>
      </c>
      <c r="GV1038" s="4">
        <v>279</v>
      </c>
      <c r="GW1038" s="4">
        <v>268</v>
      </c>
      <c r="GX1038" s="4">
        <v>257</v>
      </c>
      <c r="GY1038" s="4">
        <v>246</v>
      </c>
      <c r="GZ1038" s="4">
        <v>241</v>
      </c>
      <c r="HA1038" s="4">
        <v>236</v>
      </c>
      <c r="HB1038" s="4">
        <v>231</v>
      </c>
      <c r="HC1038" s="4">
        <v>226</v>
      </c>
      <c r="HD1038" s="19">
        <v>0.3</v>
      </c>
      <c r="HE1038" s="19">
        <v>75</v>
      </c>
      <c r="HF1038" s="19">
        <v>49.5</v>
      </c>
      <c r="HG1038" s="19">
        <v>36.8</v>
      </c>
      <c r="HH1038" s="19">
        <v>32.3</v>
      </c>
      <c r="HI1038" s="19">
        <v>35.3</v>
      </c>
      <c r="HJ1038" s="19">
        <v>74.7</v>
      </c>
      <c r="HK1038" s="19">
        <v>64.3</v>
      </c>
      <c r="HL1038" s="19">
        <v>45.9</v>
      </c>
      <c r="HM1038" s="19">
        <v>35.7</v>
      </c>
      <c r="HN1038" s="19">
        <v>17.7</v>
      </c>
      <c r="HO1038" s="19">
        <v>13</v>
      </c>
      <c r="HP1038" s="19">
        <v>11.8</v>
      </c>
      <c r="HQ1038" s="19">
        <v>11.6</v>
      </c>
      <c r="HR1038" s="19">
        <v>14.8</v>
      </c>
      <c r="HS1038" s="19">
        <v>20.9</v>
      </c>
      <c r="HT1038" s="19">
        <v>25.3</v>
      </c>
      <c r="HU1038" s="19">
        <v>26.4</v>
      </c>
      <c r="HV1038" s="19">
        <v>27.9</v>
      </c>
      <c r="HW1038" s="19">
        <v>33.5</v>
      </c>
      <c r="HX1038" s="19">
        <v>42.8</v>
      </c>
      <c r="HY1038" s="19">
        <v>49.2</v>
      </c>
      <c r="HZ1038" s="19">
        <v>60.3</v>
      </c>
      <c r="IA1038" s="19">
        <v>59</v>
      </c>
      <c r="IB1038" s="19">
        <v>77</v>
      </c>
      <c r="IC1038" s="19">
        <v>113</v>
      </c>
    </row>
    <row r="1039">
      <c r="A1039" s="2" t="s">
        <v>4163</v>
      </c>
      <c r="B1039" s="2" t="s">
        <v>905</v>
      </c>
      <c r="C1039" s="2" t="s">
        <v>2746</v>
      </c>
      <c r="D1039" s="2" t="s">
        <v>1177</v>
      </c>
      <c r="E1039" s="2" t="s">
        <v>2747</v>
      </c>
      <c r="F1039" s="2" t="s">
        <v>4141</v>
      </c>
      <c r="G1039" s="2" t="s">
        <v>4141</v>
      </c>
      <c r="H1039" s="2" t="s">
        <v>4141</v>
      </c>
      <c r="I1039" s="2" t="s">
        <v>2749</v>
      </c>
      <c r="J1039" s="2" t="s">
        <v>394</v>
      </c>
      <c r="K1039" s="2" t="s">
        <v>4164</v>
      </c>
      <c r="L1039" s="3">
        <v>46.73</v>
      </c>
      <c r="M1039" s="3">
        <v>49.07</v>
      </c>
      <c r="N1039" s="3">
        <v>104.99</v>
      </c>
      <c r="O1039" s="2" t="s">
        <v>232</v>
      </c>
      <c r="P1039" s="2" t="s">
        <v>1282</v>
      </c>
      <c r="Q1039" s="2" t="s">
        <v>234</v>
      </c>
      <c r="R1039" s="2" t="s">
        <v>235</v>
      </c>
      <c r="S1039" s="2" t="s">
        <v>235</v>
      </c>
      <c r="T1039" s="2" t="s">
        <v>587</v>
      </c>
      <c r="U1039" s="2" t="s">
        <v>807</v>
      </c>
      <c r="V1039" s="2" t="s">
        <v>238</v>
      </c>
      <c r="W1039" s="2" t="s">
        <v>239</v>
      </c>
      <c r="X1039" s="2" t="s">
        <v>235</v>
      </c>
      <c r="Y1039" s="2" t="s">
        <v>4142</v>
      </c>
      <c r="Z1039" s="4"/>
      <c r="AA1039" s="4">
        <f>=ROUNDDOWN({0},0)</f>
      </c>
      <c r="AB1039" s="5">
        <v>24.2</v>
      </c>
      <c r="AC1039" s="2" t="s">
        <v>883</v>
      </c>
      <c r="AD1039" s="4">
        <v>150</v>
      </c>
      <c r="AE1039" s="4">
        <v>600</v>
      </c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235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235</v>
      </c>
      <c r="AW1039" s="8" t="s">
        <v>235</v>
      </c>
      <c r="AX1039" s="4" t="s">
        <v>235</v>
      </c>
      <c r="AY1039" s="8" t="s">
        <v>235</v>
      </c>
      <c r="AZ1039" s="7" t="s">
        <v>235</v>
      </c>
      <c r="BA1039" s="7" t="s">
        <v>235</v>
      </c>
      <c r="BB1039" s="7"/>
      <c r="BC1039" s="4" t="s">
        <v>235</v>
      </c>
      <c r="BD1039" s="8" t="s">
        <v>235</v>
      </c>
      <c r="BE1039" s="4" t="s">
        <v>235</v>
      </c>
      <c r="BF1039" s="8" t="s">
        <v>235</v>
      </c>
      <c r="BG1039" s="7" t="s">
        <v>235</v>
      </c>
      <c r="BH1039" s="7" t="s">
        <v>235</v>
      </c>
      <c r="BI1039" s="7"/>
      <c r="BJ1039" s="4"/>
      <c r="BK1039" s="8"/>
      <c r="BL1039" s="2" t="s">
        <v>602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4144</v>
      </c>
      <c r="BV1039" s="2" t="s">
        <v>243</v>
      </c>
      <c r="BW1039" s="2" t="s">
        <v>235</v>
      </c>
      <c r="BX1039" s="2" t="s">
        <v>4145</v>
      </c>
      <c r="BY1039" s="2" t="s">
        <v>245</v>
      </c>
      <c r="BZ1039" s="2" t="s">
        <v>232</v>
      </c>
      <c r="CA1039" s="2" t="s">
        <v>4146</v>
      </c>
      <c r="CB1039" s="2" t="s">
        <v>951</v>
      </c>
      <c r="CC1039" s="2" t="s">
        <v>248</v>
      </c>
      <c r="CD1039" s="2" t="s">
        <v>248</v>
      </c>
      <c r="CE1039" s="2" t="s">
        <v>235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>
        <v>150</v>
      </c>
      <c r="DE1039" s="4">
        <v>150</v>
      </c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>
        <v>300</v>
      </c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>
        <v>300</v>
      </c>
      <c r="GF1039" s="4">
        <v>290</v>
      </c>
      <c r="GG1039" s="4">
        <v>280</v>
      </c>
      <c r="GH1039" s="4">
        <v>270</v>
      </c>
      <c r="GI1039" s="4">
        <v>255</v>
      </c>
      <c r="GJ1039" s="4">
        <v>540</v>
      </c>
      <c r="GK1039" s="4">
        <v>525</v>
      </c>
      <c r="GL1039" s="4">
        <v>510</v>
      </c>
      <c r="GM1039" s="4">
        <v>495</v>
      </c>
      <c r="GN1039" s="4">
        <v>483</v>
      </c>
      <c r="GO1039" s="4">
        <v>459</v>
      </c>
      <c r="GP1039" s="4">
        <v>423</v>
      </c>
      <c r="GQ1039" s="4">
        <v>385</v>
      </c>
      <c r="GR1039" s="4">
        <v>269</v>
      </c>
      <c r="GS1039" s="4">
        <v>170</v>
      </c>
      <c r="GT1039" s="4">
        <v>116</v>
      </c>
      <c r="GU1039" s="4">
        <v>92</v>
      </c>
      <c r="GV1039" s="4">
        <v>75</v>
      </c>
      <c r="GW1039" s="4">
        <v>140</v>
      </c>
      <c r="GX1039" s="4">
        <v>123</v>
      </c>
      <c r="GY1039" s="4">
        <v>106</v>
      </c>
      <c r="GZ1039" s="4">
        <v>94</v>
      </c>
      <c r="HA1039" s="4">
        <v>82</v>
      </c>
      <c r="HB1039" s="4">
        <v>70</v>
      </c>
      <c r="HC1039" s="4">
        <v>198</v>
      </c>
      <c r="HD1039" s="20">
        <v>0</v>
      </c>
      <c r="HE1039" s="19">
        <v>27.3</v>
      </c>
      <c r="HF1039" s="19">
        <v>24.2</v>
      </c>
      <c r="HG1039" s="19">
        <v>20</v>
      </c>
      <c r="HH1039" s="19">
        <v>18</v>
      </c>
      <c r="HI1039" s="19">
        <v>17</v>
      </c>
      <c r="HJ1039" s="19">
        <v>38.6</v>
      </c>
      <c r="HK1039" s="19">
        <v>32.8</v>
      </c>
      <c r="HL1039" s="19">
        <v>23.2</v>
      </c>
      <c r="HM1039" s="19">
        <v>17.7</v>
      </c>
      <c r="HN1039" s="19">
        <v>8.9</v>
      </c>
      <c r="HO1039" s="19">
        <v>6.4</v>
      </c>
      <c r="HP1039" s="19">
        <v>5.5</v>
      </c>
      <c r="HQ1039" s="19">
        <v>5.3</v>
      </c>
      <c r="HR1039" s="19">
        <v>5.6</v>
      </c>
      <c r="HS1039" s="19">
        <v>6.1</v>
      </c>
      <c r="HT1039" s="19">
        <v>6.1</v>
      </c>
      <c r="HU1039" s="19">
        <v>5.4</v>
      </c>
      <c r="HV1039" s="19">
        <v>4.7</v>
      </c>
      <c r="HW1039" s="19">
        <v>10</v>
      </c>
      <c r="HX1039" s="19">
        <v>9.5</v>
      </c>
      <c r="HY1039" s="19">
        <v>8.8</v>
      </c>
      <c r="HZ1039" s="19">
        <v>8.5</v>
      </c>
      <c r="IA1039" s="19">
        <v>8.2</v>
      </c>
      <c r="IB1039" s="19">
        <v>8.8</v>
      </c>
      <c r="IC1039" s="19">
        <v>28.3</v>
      </c>
    </row>
    <row r="1040">
      <c r="A1040" s="2" t="s">
        <v>4165</v>
      </c>
      <c r="B1040" s="2" t="s">
        <v>905</v>
      </c>
      <c r="C1040" s="2" t="s">
        <v>2746</v>
      </c>
      <c r="D1040" s="2" t="s">
        <v>1177</v>
      </c>
      <c r="E1040" s="2" t="s">
        <v>2747</v>
      </c>
      <c r="F1040" s="2" t="s">
        <v>4141</v>
      </c>
      <c r="G1040" s="2" t="s">
        <v>4141</v>
      </c>
      <c r="H1040" s="2" t="s">
        <v>4141</v>
      </c>
      <c r="I1040" s="2" t="s">
        <v>2749</v>
      </c>
      <c r="J1040" s="2" t="s">
        <v>250</v>
      </c>
      <c r="K1040" s="2" t="s">
        <v>4164</v>
      </c>
      <c r="L1040" s="3">
        <v>52.63</v>
      </c>
      <c r="M1040" s="3">
        <v>55.26</v>
      </c>
      <c r="N1040" s="3">
        <v>114.99</v>
      </c>
      <c r="O1040" s="2" t="s">
        <v>232</v>
      </c>
      <c r="P1040" s="2" t="s">
        <v>1282</v>
      </c>
      <c r="Q1040" s="2" t="s">
        <v>234</v>
      </c>
      <c r="R1040" s="2" t="s">
        <v>235</v>
      </c>
      <c r="S1040" s="2" t="s">
        <v>235</v>
      </c>
      <c r="T1040" s="2" t="s">
        <v>587</v>
      </c>
      <c r="U1040" s="2" t="s">
        <v>807</v>
      </c>
      <c r="V1040" s="2" t="s">
        <v>238</v>
      </c>
      <c r="W1040" s="2" t="s">
        <v>239</v>
      </c>
      <c r="X1040" s="2" t="s">
        <v>235</v>
      </c>
      <c r="Y1040" s="2" t="s">
        <v>4142</v>
      </c>
      <c r="Z1040" s="4"/>
      <c r="AA1040" s="4">
        <f>=ROUNDDOWN({0},0)</f>
      </c>
      <c r="AB1040" s="5">
        <v>26.3</v>
      </c>
      <c r="AC1040" s="2" t="s">
        <v>883</v>
      </c>
      <c r="AD1040" s="4">
        <v>300</v>
      </c>
      <c r="AE1040" s="4">
        <v>860</v>
      </c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235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235</v>
      </c>
      <c r="AW1040" s="8" t="s">
        <v>235</v>
      </c>
      <c r="AX1040" s="4" t="s">
        <v>235</v>
      </c>
      <c r="AY1040" s="8" t="s">
        <v>235</v>
      </c>
      <c r="AZ1040" s="7" t="s">
        <v>235</v>
      </c>
      <c r="BA1040" s="7" t="s">
        <v>235</v>
      </c>
      <c r="BB1040" s="7"/>
      <c r="BC1040" s="4" t="s">
        <v>235</v>
      </c>
      <c r="BD1040" s="8" t="s">
        <v>235</v>
      </c>
      <c r="BE1040" s="4" t="s">
        <v>235</v>
      </c>
      <c r="BF1040" s="8" t="s">
        <v>235</v>
      </c>
      <c r="BG1040" s="7" t="s">
        <v>235</v>
      </c>
      <c r="BH1040" s="7" t="s">
        <v>235</v>
      </c>
      <c r="BI1040" s="7"/>
      <c r="BJ1040" s="4"/>
      <c r="BK1040" s="8"/>
      <c r="BL1040" s="2" t="s">
        <v>3621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4144</v>
      </c>
      <c r="BV1040" s="2" t="s">
        <v>243</v>
      </c>
      <c r="BW1040" s="2" t="s">
        <v>235</v>
      </c>
      <c r="BX1040" s="2" t="s">
        <v>4145</v>
      </c>
      <c r="BY1040" s="2" t="s">
        <v>245</v>
      </c>
      <c r="BZ1040" s="2" t="s">
        <v>232</v>
      </c>
      <c r="CA1040" s="2" t="s">
        <v>4146</v>
      </c>
      <c r="CB1040" s="2" t="s">
        <v>4166</v>
      </c>
      <c r="CC1040" s="2" t="s">
        <v>248</v>
      </c>
      <c r="CD1040" s="2" t="s">
        <v>248</v>
      </c>
      <c r="CE1040" s="2" t="s">
        <v>235</v>
      </c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>
        <v>300</v>
      </c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>
        <v>260</v>
      </c>
      <c r="DU1040" s="4"/>
      <c r="DV1040" s="4"/>
      <c r="DW1040" s="4"/>
      <c r="DX1040" s="4"/>
      <c r="DY1040" s="4"/>
      <c r="DZ1040" s="4"/>
      <c r="EA1040" s="4"/>
      <c r="EB1040" s="4">
        <v>300</v>
      </c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>
        <v>300</v>
      </c>
      <c r="GF1040" s="4">
        <v>292</v>
      </c>
      <c r="GG1040" s="4">
        <v>284</v>
      </c>
      <c r="GH1040" s="4">
        <v>276</v>
      </c>
      <c r="GI1040" s="4">
        <v>256</v>
      </c>
      <c r="GJ1040" s="4">
        <v>496</v>
      </c>
      <c r="GK1040" s="4">
        <v>776</v>
      </c>
      <c r="GL1040" s="4">
        <v>756</v>
      </c>
      <c r="GM1040" s="4">
        <v>744</v>
      </c>
      <c r="GN1040" s="4">
        <v>732</v>
      </c>
      <c r="GO1040" s="4">
        <v>700</v>
      </c>
      <c r="GP1040" s="4">
        <v>654</v>
      </c>
      <c r="GQ1040" s="4">
        <v>614</v>
      </c>
      <c r="GR1040" s="4">
        <v>488</v>
      </c>
      <c r="GS1040" s="4">
        <v>374</v>
      </c>
      <c r="GT1040" s="4">
        <v>308</v>
      </c>
      <c r="GU1040" s="4">
        <v>276</v>
      </c>
      <c r="GV1040" s="4">
        <v>252</v>
      </c>
      <c r="GW1040" s="4">
        <v>246</v>
      </c>
      <c r="GX1040" s="4">
        <v>222</v>
      </c>
      <c r="GY1040" s="4">
        <v>198</v>
      </c>
      <c r="GZ1040" s="4">
        <v>185</v>
      </c>
      <c r="HA1040" s="4">
        <v>172</v>
      </c>
      <c r="HB1040" s="4">
        <v>159</v>
      </c>
      <c r="HC1040" s="4">
        <v>146</v>
      </c>
      <c r="HD1040" s="20">
        <v>0</v>
      </c>
      <c r="HE1040" s="19">
        <v>27.3</v>
      </c>
      <c r="HF1040" s="19">
        <v>20.9</v>
      </c>
      <c r="HG1040" s="19">
        <v>16.7</v>
      </c>
      <c r="HH1040" s="19">
        <v>13.8</v>
      </c>
      <c r="HI1040" s="19">
        <v>14.2</v>
      </c>
      <c r="HJ1040" s="19">
        <v>31</v>
      </c>
      <c r="HK1040" s="19">
        <v>40.8</v>
      </c>
      <c r="HL1040" s="19">
        <v>29.1</v>
      </c>
      <c r="HM1040" s="19">
        <v>23.3</v>
      </c>
      <c r="HN1040" s="19">
        <v>12</v>
      </c>
      <c r="HO1040" s="19">
        <v>8.5</v>
      </c>
      <c r="HP1040" s="19">
        <v>7.6</v>
      </c>
      <c r="HQ1040" s="19">
        <v>7.3</v>
      </c>
      <c r="HR1040" s="19">
        <v>8.3</v>
      </c>
      <c r="HS1040" s="19">
        <v>10.4</v>
      </c>
      <c r="HT1040" s="19">
        <v>11.8</v>
      </c>
      <c r="HU1040" s="19">
        <v>11.5</v>
      </c>
      <c r="HV1040" s="19">
        <v>12</v>
      </c>
      <c r="HW1040" s="19">
        <v>13.7</v>
      </c>
      <c r="HX1040" s="19">
        <v>13.9</v>
      </c>
      <c r="HY1040" s="19">
        <v>15.2</v>
      </c>
      <c r="HZ1040" s="19">
        <v>16.8</v>
      </c>
      <c r="IA1040" s="19">
        <v>19.1</v>
      </c>
      <c r="IB1040" s="19">
        <v>22.7</v>
      </c>
      <c r="IC1040" s="19">
        <v>29.2</v>
      </c>
    </row>
    <row r="1041">
      <c r="A1041" s="2" t="s">
        <v>4167</v>
      </c>
      <c r="B1041" s="2" t="s">
        <v>905</v>
      </c>
      <c r="C1041" s="2" t="s">
        <v>2746</v>
      </c>
      <c r="D1041" s="2" t="s">
        <v>1177</v>
      </c>
      <c r="E1041" s="2" t="s">
        <v>2747</v>
      </c>
      <c r="F1041" s="2" t="s">
        <v>4141</v>
      </c>
      <c r="G1041" s="2" t="s">
        <v>4141</v>
      </c>
      <c r="H1041" s="2" t="s">
        <v>4141</v>
      </c>
      <c r="I1041" s="2" t="s">
        <v>2749</v>
      </c>
      <c r="J1041" s="2" t="s">
        <v>270</v>
      </c>
      <c r="K1041" s="2" t="s">
        <v>4164</v>
      </c>
      <c r="L1041" s="3">
        <v>83.84</v>
      </c>
      <c r="M1041" s="3">
        <v>88.03</v>
      </c>
      <c r="N1041" s="3">
        <v>174.99</v>
      </c>
      <c r="O1041" s="2" t="s">
        <v>232</v>
      </c>
      <c r="P1041" s="2" t="s">
        <v>1282</v>
      </c>
      <c r="Q1041" s="2" t="s">
        <v>234</v>
      </c>
      <c r="R1041" s="2" t="s">
        <v>235</v>
      </c>
      <c r="S1041" s="2" t="s">
        <v>235</v>
      </c>
      <c r="T1041" s="2" t="s">
        <v>587</v>
      </c>
      <c r="U1041" s="2" t="s">
        <v>807</v>
      </c>
      <c r="V1041" s="2" t="s">
        <v>238</v>
      </c>
      <c r="W1041" s="2" t="s">
        <v>239</v>
      </c>
      <c r="X1041" s="2" t="s">
        <v>235</v>
      </c>
      <c r="Y1041" s="2" t="s">
        <v>4142</v>
      </c>
      <c r="Z1041" s="4">
        <v>2</v>
      </c>
      <c r="AA1041" s="4">
        <f>=ROUNDDOWN(0.0645161290322581,0)</f>
      </c>
      <c r="AB1041" s="5">
        <v>31</v>
      </c>
      <c r="AC1041" s="2" t="s">
        <v>3831</v>
      </c>
      <c r="AD1041" s="4">
        <v>300</v>
      </c>
      <c r="AE1041" s="4">
        <v>900</v>
      </c>
      <c r="AF1041" s="6">
        <v>65</v>
      </c>
      <c r="AG1041" s="6">
        <v>48</v>
      </c>
      <c r="AH1041" s="7">
        <v>0</v>
      </c>
      <c r="AI1041" s="4"/>
      <c r="AJ1041" s="4">
        <f>=ROUNDDOWN({0},0)</f>
      </c>
      <c r="AK1041" s="5"/>
      <c r="AL1041" s="2" t="s">
        <v>235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235</v>
      </c>
      <c r="AW1041" s="8" t="s">
        <v>235</v>
      </c>
      <c r="AX1041" s="4" t="s">
        <v>235</v>
      </c>
      <c r="AY1041" s="8" t="s">
        <v>235</v>
      </c>
      <c r="AZ1041" s="7" t="s">
        <v>235</v>
      </c>
      <c r="BA1041" s="7" t="s">
        <v>235</v>
      </c>
      <c r="BB1041" s="7"/>
      <c r="BC1041" s="4" t="s">
        <v>235</v>
      </c>
      <c r="BD1041" s="8" t="s">
        <v>235</v>
      </c>
      <c r="BE1041" s="4" t="s">
        <v>235</v>
      </c>
      <c r="BF1041" s="8" t="s">
        <v>235</v>
      </c>
      <c r="BG1041" s="7" t="s">
        <v>235</v>
      </c>
      <c r="BH1041" s="7" t="s">
        <v>235</v>
      </c>
      <c r="BI1041" s="7"/>
      <c r="BJ1041" s="4"/>
      <c r="BK1041" s="8"/>
      <c r="BL1041" s="2" t="s">
        <v>4168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4144</v>
      </c>
      <c r="BV1041" s="2" t="s">
        <v>243</v>
      </c>
      <c r="BW1041" s="2" t="s">
        <v>235</v>
      </c>
      <c r="BX1041" s="2" t="s">
        <v>4145</v>
      </c>
      <c r="BY1041" s="2" t="s">
        <v>245</v>
      </c>
      <c r="BZ1041" s="2" t="s">
        <v>232</v>
      </c>
      <c r="CA1041" s="2" t="s">
        <v>4146</v>
      </c>
      <c r="CB1041" s="2" t="s">
        <v>4169</v>
      </c>
      <c r="CC1041" s="2" t="s">
        <v>248</v>
      </c>
      <c r="CD1041" s="2" t="s">
        <v>248</v>
      </c>
      <c r="CE1041" s="2" t="s">
        <v>235</v>
      </c>
      <c r="CF1041" s="4">
        <v>2</v>
      </c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>
        <v>300</v>
      </c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>
        <v>300</v>
      </c>
      <c r="DU1041" s="4"/>
      <c r="DV1041" s="4"/>
      <c r="DW1041" s="4"/>
      <c r="DX1041" s="4"/>
      <c r="DY1041" s="4"/>
      <c r="DZ1041" s="4"/>
      <c r="EA1041" s="4"/>
      <c r="EB1041" s="4">
        <v>300</v>
      </c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>
        <v>2</v>
      </c>
      <c r="GE1041" s="4">
        <v>300</v>
      </c>
      <c r="GF1041" s="4">
        <v>290</v>
      </c>
      <c r="GG1041" s="4">
        <v>280</v>
      </c>
      <c r="GH1041" s="4">
        <v>270</v>
      </c>
      <c r="GI1041" s="4">
        <v>246</v>
      </c>
      <c r="GJ1041" s="4">
        <v>522</v>
      </c>
      <c r="GK1041" s="4">
        <v>798</v>
      </c>
      <c r="GL1041" s="4">
        <v>774</v>
      </c>
      <c r="GM1041" s="4">
        <v>755</v>
      </c>
      <c r="GN1041" s="4">
        <v>731</v>
      </c>
      <c r="GO1041" s="4">
        <v>695</v>
      </c>
      <c r="GP1041" s="4">
        <v>649</v>
      </c>
      <c r="GQ1041" s="4">
        <v>611</v>
      </c>
      <c r="GR1041" s="4">
        <v>515</v>
      </c>
      <c r="GS1041" s="4">
        <v>424</v>
      </c>
      <c r="GT1041" s="4">
        <v>466</v>
      </c>
      <c r="GU1041" s="4">
        <v>426</v>
      </c>
      <c r="GV1041" s="4">
        <v>398</v>
      </c>
      <c r="GW1041" s="4">
        <v>370</v>
      </c>
      <c r="GX1041" s="4">
        <v>342</v>
      </c>
      <c r="GY1041" s="4">
        <v>314</v>
      </c>
      <c r="GZ1041" s="4">
        <v>298</v>
      </c>
      <c r="HA1041" s="4">
        <v>282</v>
      </c>
      <c r="HB1041" s="4">
        <v>266</v>
      </c>
      <c r="HC1041" s="4">
        <v>350</v>
      </c>
      <c r="HD1041" s="19">
        <v>0.1</v>
      </c>
      <c r="HE1041" s="19">
        <v>10.7</v>
      </c>
      <c r="HF1041" s="19">
        <v>8.6</v>
      </c>
      <c r="HG1041" s="19">
        <v>7</v>
      </c>
      <c r="HH1041" s="19">
        <v>5.7</v>
      </c>
      <c r="HI1041" s="19">
        <v>5.4</v>
      </c>
      <c r="HJ1041" s="19">
        <v>11.4</v>
      </c>
      <c r="HK1041" s="19">
        <v>15.4</v>
      </c>
      <c r="HL1041" s="19">
        <v>12.5</v>
      </c>
      <c r="HM1041" s="19">
        <v>10.5</v>
      </c>
      <c r="HN1041" s="19">
        <v>6.8</v>
      </c>
      <c r="HO1041" s="19">
        <v>5.1</v>
      </c>
      <c r="HP1041" s="19">
        <v>4.6</v>
      </c>
      <c r="HQ1041" s="19">
        <v>4.5</v>
      </c>
      <c r="HR1041" s="19">
        <v>5.1</v>
      </c>
      <c r="HS1041" s="19">
        <v>6.3</v>
      </c>
      <c r="HT1041" s="19">
        <v>16</v>
      </c>
      <c r="HU1041" s="19">
        <v>15.3</v>
      </c>
      <c r="HV1041" s="19">
        <v>16.4</v>
      </c>
      <c r="HW1041" s="19">
        <v>18.1</v>
      </c>
      <c r="HX1041" s="19">
        <v>18.2</v>
      </c>
      <c r="HY1041" s="19">
        <v>20.8</v>
      </c>
      <c r="HZ1041" s="19">
        <v>26.9</v>
      </c>
      <c r="IA1041" s="19">
        <v>27.7</v>
      </c>
      <c r="IB1041" s="19">
        <v>29.6</v>
      </c>
      <c r="IC1041" s="19">
        <v>57.4</v>
      </c>
    </row>
    <row r="1042">
      <c r="A1042" s="2" t="s">
        <v>4170</v>
      </c>
      <c r="B1042" s="2" t="s">
        <v>905</v>
      </c>
      <c r="C1042" s="2" t="s">
        <v>2746</v>
      </c>
      <c r="D1042" s="2" t="s">
        <v>1177</v>
      </c>
      <c r="E1042" s="2" t="s">
        <v>2747</v>
      </c>
      <c r="F1042" s="2" t="s">
        <v>4141</v>
      </c>
      <c r="G1042" s="2" t="s">
        <v>4141</v>
      </c>
      <c r="H1042" s="2" t="s">
        <v>4141</v>
      </c>
      <c r="I1042" s="2" t="s">
        <v>2749</v>
      </c>
      <c r="J1042" s="2" t="s">
        <v>394</v>
      </c>
      <c r="K1042" s="2" t="s">
        <v>1546</v>
      </c>
      <c r="L1042" s="3">
        <v>46.73</v>
      </c>
      <c r="M1042" s="3">
        <v>49.07</v>
      </c>
      <c r="N1042" s="3">
        <v>104.99</v>
      </c>
      <c r="O1042" s="2" t="s">
        <v>232</v>
      </c>
      <c r="P1042" s="2" t="s">
        <v>233</v>
      </c>
      <c r="Q1042" s="2" t="s">
        <v>234</v>
      </c>
      <c r="R1042" s="2" t="s">
        <v>235</v>
      </c>
      <c r="S1042" s="2" t="s">
        <v>235</v>
      </c>
      <c r="T1042" s="2" t="s">
        <v>587</v>
      </c>
      <c r="U1042" s="2" t="s">
        <v>807</v>
      </c>
      <c r="V1042" s="2" t="s">
        <v>238</v>
      </c>
      <c r="W1042" s="2" t="s">
        <v>239</v>
      </c>
      <c r="X1042" s="2" t="s">
        <v>235</v>
      </c>
      <c r="Y1042" s="2" t="s">
        <v>2632</v>
      </c>
      <c r="Z1042" s="4">
        <v>279</v>
      </c>
      <c r="AA1042" s="4">
        <f>=ROUNDDOWN(55.8,0)</f>
      </c>
      <c r="AB1042" s="5">
        <v>5</v>
      </c>
      <c r="AC1042" s="2" t="s">
        <v>159</v>
      </c>
      <c r="AD1042" s="4">
        <v>140</v>
      </c>
      <c r="AE1042" s="4">
        <v>440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235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235</v>
      </c>
      <c r="AW1042" s="8" t="s">
        <v>235</v>
      </c>
      <c r="AX1042" s="4" t="s">
        <v>235</v>
      </c>
      <c r="AY1042" s="8" t="s">
        <v>235</v>
      </c>
      <c r="AZ1042" s="7" t="s">
        <v>235</v>
      </c>
      <c r="BA1042" s="7" t="s">
        <v>235</v>
      </c>
      <c r="BB1042" s="7"/>
      <c r="BC1042" s="4" t="s">
        <v>235</v>
      </c>
      <c r="BD1042" s="8" t="s">
        <v>235</v>
      </c>
      <c r="BE1042" s="4" t="s">
        <v>235</v>
      </c>
      <c r="BF1042" s="8" t="s">
        <v>235</v>
      </c>
      <c r="BG1042" s="7" t="s">
        <v>235</v>
      </c>
      <c r="BH1042" s="7" t="s">
        <v>235</v>
      </c>
      <c r="BI1042" s="7"/>
      <c r="BJ1042" s="4">
        <v>7</v>
      </c>
      <c r="BK1042" s="8">
        <v>359.46</v>
      </c>
      <c r="BL1042" s="2" t="s">
        <v>517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4144</v>
      </c>
      <c r="BV1042" s="2" t="s">
        <v>243</v>
      </c>
      <c r="BW1042" s="2" t="s">
        <v>235</v>
      </c>
      <c r="BX1042" s="2" t="s">
        <v>4145</v>
      </c>
      <c r="BY1042" s="2" t="s">
        <v>245</v>
      </c>
      <c r="BZ1042" s="2" t="s">
        <v>232</v>
      </c>
      <c r="CA1042" s="2" t="s">
        <v>4153</v>
      </c>
      <c r="CB1042" s="2" t="s">
        <v>1724</v>
      </c>
      <c r="CC1042" s="2" t="s">
        <v>248</v>
      </c>
      <c r="CD1042" s="2" t="s">
        <v>248</v>
      </c>
      <c r="CE1042" s="2" t="s">
        <v>235</v>
      </c>
      <c r="CF1042" s="4">
        <v>279</v>
      </c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>
        <v>140</v>
      </c>
      <c r="DU1042" s="4"/>
      <c r="DV1042" s="4"/>
      <c r="DW1042" s="4"/>
      <c r="DX1042" s="4"/>
      <c r="DY1042" s="4"/>
      <c r="DZ1042" s="4"/>
      <c r="EA1042" s="4"/>
      <c r="EB1042" s="4">
        <v>300</v>
      </c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>
        <v>283</v>
      </c>
      <c r="GE1042" s="4">
        <v>277</v>
      </c>
      <c r="GF1042" s="4">
        <v>275</v>
      </c>
      <c r="GG1042" s="4">
        <v>273</v>
      </c>
      <c r="GH1042" s="4">
        <v>271</v>
      </c>
      <c r="GI1042" s="4">
        <v>254</v>
      </c>
      <c r="GJ1042" s="4">
        <v>377</v>
      </c>
      <c r="GK1042" s="4">
        <v>660</v>
      </c>
      <c r="GL1042" s="4">
        <v>643</v>
      </c>
      <c r="GM1042" s="4">
        <v>626</v>
      </c>
      <c r="GN1042" s="4">
        <v>612</v>
      </c>
      <c r="GO1042" s="4">
        <v>585</v>
      </c>
      <c r="GP1042" s="4">
        <v>544</v>
      </c>
      <c r="GQ1042" s="4">
        <v>501</v>
      </c>
      <c r="GR1042" s="4">
        <v>370</v>
      </c>
      <c r="GS1042" s="4">
        <v>258</v>
      </c>
      <c r="GT1042" s="4">
        <v>197</v>
      </c>
      <c r="GU1042" s="4">
        <v>170</v>
      </c>
      <c r="GV1042" s="4">
        <v>151</v>
      </c>
      <c r="GW1042" s="4">
        <v>132</v>
      </c>
      <c r="GX1042" s="4">
        <v>113</v>
      </c>
      <c r="GY1042" s="4">
        <v>94</v>
      </c>
      <c r="GZ1042" s="4">
        <v>91</v>
      </c>
      <c r="HA1042" s="4">
        <v>88</v>
      </c>
      <c r="HB1042" s="4">
        <v>85</v>
      </c>
      <c r="HC1042" s="4">
        <v>82</v>
      </c>
      <c r="HD1042" s="19">
        <v>94.3</v>
      </c>
      <c r="HE1042" s="19">
        <v>46.2</v>
      </c>
      <c r="HF1042" s="19">
        <v>27.5</v>
      </c>
      <c r="HG1042" s="19">
        <v>21</v>
      </c>
      <c r="HH1042" s="19">
        <v>15.9</v>
      </c>
      <c r="HI1042" s="19">
        <v>14.9</v>
      </c>
      <c r="HJ1042" s="19">
        <v>23.6</v>
      </c>
      <c r="HK1042" s="19">
        <v>34.7</v>
      </c>
      <c r="HL1042" s="19">
        <v>25.7</v>
      </c>
      <c r="HM1042" s="19">
        <v>20.2</v>
      </c>
      <c r="HN1042" s="19">
        <v>10.2</v>
      </c>
      <c r="HO1042" s="19">
        <v>7.1</v>
      </c>
      <c r="HP1042" s="19">
        <v>6.3</v>
      </c>
      <c r="HQ1042" s="19">
        <v>6</v>
      </c>
      <c r="HR1042" s="19">
        <v>6.7</v>
      </c>
      <c r="HS1042" s="19">
        <v>8.1</v>
      </c>
      <c r="HT1042" s="19">
        <v>9.4</v>
      </c>
      <c r="HU1042" s="19">
        <v>8.9</v>
      </c>
      <c r="HV1042" s="19">
        <v>10.1</v>
      </c>
      <c r="HW1042" s="19">
        <v>12</v>
      </c>
      <c r="HX1042" s="19">
        <v>16.1</v>
      </c>
      <c r="HY1042" s="19">
        <v>31.3</v>
      </c>
      <c r="HZ1042" s="19">
        <v>30.3</v>
      </c>
      <c r="IA1042" s="19">
        <v>44</v>
      </c>
      <c r="IB1042" s="19">
        <v>42.5</v>
      </c>
      <c r="IC1042" s="19">
        <v>41</v>
      </c>
    </row>
    <row r="1043">
      <c r="A1043" s="2" t="s">
        <v>4171</v>
      </c>
      <c r="B1043" s="2" t="s">
        <v>905</v>
      </c>
      <c r="C1043" s="2" t="s">
        <v>2746</v>
      </c>
      <c r="D1043" s="2" t="s">
        <v>1177</v>
      </c>
      <c r="E1043" s="2" t="s">
        <v>2747</v>
      </c>
      <c r="F1043" s="2" t="s">
        <v>4141</v>
      </c>
      <c r="G1043" s="2" t="s">
        <v>4141</v>
      </c>
      <c r="H1043" s="2" t="s">
        <v>4141</v>
      </c>
      <c r="I1043" s="2" t="s">
        <v>2749</v>
      </c>
      <c r="J1043" s="2" t="s">
        <v>250</v>
      </c>
      <c r="K1043" s="2" t="s">
        <v>1546</v>
      </c>
      <c r="L1043" s="3">
        <v>52.63</v>
      </c>
      <c r="M1043" s="3">
        <v>55.26</v>
      </c>
      <c r="N1043" s="3">
        <v>114.99</v>
      </c>
      <c r="O1043" s="2" t="s">
        <v>232</v>
      </c>
      <c r="P1043" s="2" t="s">
        <v>233</v>
      </c>
      <c r="Q1043" s="2" t="s">
        <v>234</v>
      </c>
      <c r="R1043" s="2" t="s">
        <v>235</v>
      </c>
      <c r="S1043" s="2" t="s">
        <v>235</v>
      </c>
      <c r="T1043" s="2" t="s">
        <v>587</v>
      </c>
      <c r="U1043" s="2" t="s">
        <v>807</v>
      </c>
      <c r="V1043" s="2" t="s">
        <v>238</v>
      </c>
      <c r="W1043" s="2" t="s">
        <v>239</v>
      </c>
      <c r="X1043" s="2" t="s">
        <v>235</v>
      </c>
      <c r="Y1043" s="2" t="s">
        <v>2632</v>
      </c>
      <c r="Z1043" s="4">
        <v>281</v>
      </c>
      <c r="AA1043" s="4">
        <f>=ROUNDDOWN(29.2708333333333,0)</f>
      </c>
      <c r="AB1043" s="5">
        <v>9.6</v>
      </c>
      <c r="AC1043" s="2" t="s">
        <v>159</v>
      </c>
      <c r="AD1043" s="4">
        <v>160</v>
      </c>
      <c r="AE1043" s="4">
        <v>460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235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235</v>
      </c>
      <c r="AW1043" s="8" t="s">
        <v>235</v>
      </c>
      <c r="AX1043" s="4" t="s">
        <v>235</v>
      </c>
      <c r="AY1043" s="8" t="s">
        <v>235</v>
      </c>
      <c r="AZ1043" s="7" t="s">
        <v>235</v>
      </c>
      <c r="BA1043" s="7" t="s">
        <v>235</v>
      </c>
      <c r="BB1043" s="7"/>
      <c r="BC1043" s="4" t="s">
        <v>235</v>
      </c>
      <c r="BD1043" s="8" t="s">
        <v>235</v>
      </c>
      <c r="BE1043" s="4" t="s">
        <v>235</v>
      </c>
      <c r="BF1043" s="8" t="s">
        <v>235</v>
      </c>
      <c r="BG1043" s="7" t="s">
        <v>235</v>
      </c>
      <c r="BH1043" s="7" t="s">
        <v>235</v>
      </c>
      <c r="BI1043" s="7"/>
      <c r="BJ1043" s="4">
        <v>6</v>
      </c>
      <c r="BK1043" s="8">
        <v>391.87</v>
      </c>
      <c r="BL1043" s="2" t="s">
        <v>3477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4144</v>
      </c>
      <c r="BV1043" s="2" t="s">
        <v>243</v>
      </c>
      <c r="BW1043" s="2" t="s">
        <v>235</v>
      </c>
      <c r="BX1043" s="2" t="s">
        <v>4145</v>
      </c>
      <c r="BY1043" s="2" t="s">
        <v>245</v>
      </c>
      <c r="BZ1043" s="2" t="s">
        <v>232</v>
      </c>
      <c r="CA1043" s="2" t="s">
        <v>4153</v>
      </c>
      <c r="CB1043" s="2" t="s">
        <v>2932</v>
      </c>
      <c r="CC1043" s="2" t="s">
        <v>248</v>
      </c>
      <c r="CD1043" s="2" t="s">
        <v>248</v>
      </c>
      <c r="CE1043" s="2" t="s">
        <v>235</v>
      </c>
      <c r="CF1043" s="4">
        <v>281</v>
      </c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>
        <v>160</v>
      </c>
      <c r="DU1043" s="4"/>
      <c r="DV1043" s="4"/>
      <c r="DW1043" s="4"/>
      <c r="DX1043" s="4"/>
      <c r="DY1043" s="4"/>
      <c r="DZ1043" s="4"/>
      <c r="EA1043" s="4"/>
      <c r="EB1043" s="4">
        <v>300</v>
      </c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>
        <v>282</v>
      </c>
      <c r="GE1043" s="4">
        <v>278</v>
      </c>
      <c r="GF1043" s="4">
        <v>275</v>
      </c>
      <c r="GG1043" s="4">
        <v>272</v>
      </c>
      <c r="GH1043" s="4">
        <v>269</v>
      </c>
      <c r="GI1043" s="4">
        <v>245</v>
      </c>
      <c r="GJ1043" s="4">
        <v>381</v>
      </c>
      <c r="GK1043" s="4">
        <v>657</v>
      </c>
      <c r="GL1043" s="4">
        <v>633</v>
      </c>
      <c r="GM1043" s="4">
        <v>619</v>
      </c>
      <c r="GN1043" s="4">
        <v>605</v>
      </c>
      <c r="GO1043" s="4">
        <v>567</v>
      </c>
      <c r="GP1043" s="4">
        <v>512</v>
      </c>
      <c r="GQ1043" s="4">
        <v>464</v>
      </c>
      <c r="GR1043" s="4">
        <v>313</v>
      </c>
      <c r="GS1043" s="4">
        <v>176</v>
      </c>
      <c r="GT1043" s="4">
        <v>97</v>
      </c>
      <c r="GU1043" s="4">
        <v>59</v>
      </c>
      <c r="GV1043" s="4">
        <v>30</v>
      </c>
      <c r="GW1043" s="4">
        <v>142</v>
      </c>
      <c r="GX1043" s="4">
        <v>113</v>
      </c>
      <c r="GY1043" s="4">
        <v>84</v>
      </c>
      <c r="GZ1043" s="4">
        <v>79</v>
      </c>
      <c r="HA1043" s="4">
        <v>74</v>
      </c>
      <c r="HB1043" s="4">
        <v>69</v>
      </c>
      <c r="HC1043" s="4">
        <v>64</v>
      </c>
      <c r="HD1043" s="19">
        <v>94</v>
      </c>
      <c r="HE1043" s="19">
        <v>34.8</v>
      </c>
      <c r="HF1043" s="19">
        <v>19.6</v>
      </c>
      <c r="HG1043" s="19">
        <v>14.3</v>
      </c>
      <c r="HH1043" s="19">
        <v>11.2</v>
      </c>
      <c r="HI1043" s="19">
        <v>11.1</v>
      </c>
      <c r="HJ1043" s="19">
        <v>20.1</v>
      </c>
      <c r="HK1043" s="19">
        <v>29.9</v>
      </c>
      <c r="HL1043" s="19">
        <v>21.1</v>
      </c>
      <c r="HM1043" s="19">
        <v>15.9</v>
      </c>
      <c r="HN1043" s="19">
        <v>8.3</v>
      </c>
      <c r="HO1043" s="19">
        <v>5.8</v>
      </c>
      <c r="HP1043" s="19">
        <v>4.9</v>
      </c>
      <c r="HQ1043" s="19">
        <v>4.6</v>
      </c>
      <c r="HR1043" s="19">
        <v>4.4</v>
      </c>
      <c r="HS1043" s="19">
        <v>4</v>
      </c>
      <c r="HT1043" s="19">
        <v>3.1</v>
      </c>
      <c r="HU1043" s="19">
        <v>2</v>
      </c>
      <c r="HV1043" s="19">
        <v>1.3</v>
      </c>
      <c r="HW1043" s="19">
        <v>8.4</v>
      </c>
      <c r="HX1043" s="19">
        <v>10.3</v>
      </c>
      <c r="HY1043" s="19">
        <v>16.8</v>
      </c>
      <c r="HZ1043" s="19">
        <v>19.8</v>
      </c>
      <c r="IA1043" s="19">
        <v>18.5</v>
      </c>
      <c r="IB1043" s="19">
        <v>23</v>
      </c>
      <c r="IC1043" s="19">
        <v>32</v>
      </c>
    </row>
    <row r="1044">
      <c r="A1044" s="2" t="s">
        <v>4172</v>
      </c>
      <c r="B1044" s="2" t="s">
        <v>905</v>
      </c>
      <c r="C1044" s="2" t="s">
        <v>2746</v>
      </c>
      <c r="D1044" s="2" t="s">
        <v>1177</v>
      </c>
      <c r="E1044" s="2" t="s">
        <v>2747</v>
      </c>
      <c r="F1044" s="2" t="s">
        <v>4141</v>
      </c>
      <c r="G1044" s="2" t="s">
        <v>4141</v>
      </c>
      <c r="H1044" s="2" t="s">
        <v>4141</v>
      </c>
      <c r="I1044" s="2" t="s">
        <v>2749</v>
      </c>
      <c r="J1044" s="2" t="s">
        <v>270</v>
      </c>
      <c r="K1044" s="2" t="s">
        <v>1546</v>
      </c>
      <c r="L1044" s="3">
        <v>83.84</v>
      </c>
      <c r="M1044" s="3">
        <v>88.03</v>
      </c>
      <c r="N1044" s="3">
        <v>174.99</v>
      </c>
      <c r="O1044" s="2" t="s">
        <v>232</v>
      </c>
      <c r="P1044" s="2" t="s">
        <v>233</v>
      </c>
      <c r="Q1044" s="2" t="s">
        <v>234</v>
      </c>
      <c r="R1044" s="2" t="s">
        <v>235</v>
      </c>
      <c r="S1044" s="2" t="s">
        <v>235</v>
      </c>
      <c r="T1044" s="2" t="s">
        <v>587</v>
      </c>
      <c r="U1044" s="2" t="s">
        <v>807</v>
      </c>
      <c r="V1044" s="2" t="s">
        <v>238</v>
      </c>
      <c r="W1044" s="2" t="s">
        <v>239</v>
      </c>
      <c r="X1044" s="2" t="s">
        <v>235</v>
      </c>
      <c r="Y1044" s="2" t="s">
        <v>2632</v>
      </c>
      <c r="Z1044" s="4">
        <v>233</v>
      </c>
      <c r="AA1044" s="4">
        <f>=ROUNDDOWN(13.3142857142857,0)</f>
      </c>
      <c r="AB1044" s="5">
        <v>17.5</v>
      </c>
      <c r="AC1044" s="2" t="s">
        <v>159</v>
      </c>
      <c r="AD1044" s="4">
        <v>360</v>
      </c>
      <c r="AE1044" s="4">
        <v>660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235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235</v>
      </c>
      <c r="AW1044" s="8" t="s">
        <v>235</v>
      </c>
      <c r="AX1044" s="4" t="s">
        <v>235</v>
      </c>
      <c r="AY1044" s="8" t="s">
        <v>235</v>
      </c>
      <c r="AZ1044" s="7" t="s">
        <v>235</v>
      </c>
      <c r="BA1044" s="7" t="s">
        <v>235</v>
      </c>
      <c r="BB1044" s="7"/>
      <c r="BC1044" s="4" t="s">
        <v>235</v>
      </c>
      <c r="BD1044" s="8" t="s">
        <v>235</v>
      </c>
      <c r="BE1044" s="4" t="s">
        <v>235</v>
      </c>
      <c r="BF1044" s="8" t="s">
        <v>235</v>
      </c>
      <c r="BG1044" s="7" t="s">
        <v>235</v>
      </c>
      <c r="BH1044" s="7" t="s">
        <v>235</v>
      </c>
      <c r="BI1044" s="7"/>
      <c r="BJ1044" s="4">
        <v>6</v>
      </c>
      <c r="BK1044" s="8">
        <v>553.26</v>
      </c>
      <c r="BL1044" s="2" t="s">
        <v>4173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4144</v>
      </c>
      <c r="BV1044" s="2" t="s">
        <v>243</v>
      </c>
      <c r="BW1044" s="2" t="s">
        <v>235</v>
      </c>
      <c r="BX1044" s="2" t="s">
        <v>4145</v>
      </c>
      <c r="BY1044" s="2" t="s">
        <v>245</v>
      </c>
      <c r="BZ1044" s="2" t="s">
        <v>232</v>
      </c>
      <c r="CA1044" s="2" t="s">
        <v>4153</v>
      </c>
      <c r="CB1044" s="2" t="s">
        <v>913</v>
      </c>
      <c r="CC1044" s="2" t="s">
        <v>248</v>
      </c>
      <c r="CD1044" s="2" t="s">
        <v>248</v>
      </c>
      <c r="CE1044" s="2" t="s">
        <v>235</v>
      </c>
      <c r="CF1044" s="4">
        <v>233</v>
      </c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>
        <v>360</v>
      </c>
      <c r="DU1044" s="4"/>
      <c r="DV1044" s="4"/>
      <c r="DW1044" s="4"/>
      <c r="DX1044" s="4"/>
      <c r="DY1044" s="4"/>
      <c r="DZ1044" s="4"/>
      <c r="EA1044" s="4"/>
      <c r="EB1044" s="4">
        <v>300</v>
      </c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>
        <v>234</v>
      </c>
      <c r="GE1044" s="4">
        <v>228</v>
      </c>
      <c r="GF1044" s="4">
        <v>223</v>
      </c>
      <c r="GG1044" s="4">
        <v>218</v>
      </c>
      <c r="GH1044" s="4">
        <v>213</v>
      </c>
      <c r="GI1044" s="4">
        <v>182</v>
      </c>
      <c r="GJ1044" s="4">
        <v>511</v>
      </c>
      <c r="GK1044" s="4">
        <v>780</v>
      </c>
      <c r="GL1044" s="4">
        <v>749</v>
      </c>
      <c r="GM1044" s="4">
        <v>724</v>
      </c>
      <c r="GN1044" s="4">
        <v>693</v>
      </c>
      <c r="GO1044" s="4">
        <v>646</v>
      </c>
      <c r="GP1044" s="4">
        <v>587</v>
      </c>
      <c r="GQ1044" s="4">
        <v>537</v>
      </c>
      <c r="GR1044" s="4">
        <v>413</v>
      </c>
      <c r="GS1044" s="4">
        <v>295</v>
      </c>
      <c r="GT1044" s="4">
        <v>221</v>
      </c>
      <c r="GU1044" s="4">
        <v>171</v>
      </c>
      <c r="GV1044" s="4">
        <v>137</v>
      </c>
      <c r="GW1044" s="4">
        <v>225</v>
      </c>
      <c r="GX1044" s="4">
        <v>191</v>
      </c>
      <c r="GY1044" s="4">
        <v>157</v>
      </c>
      <c r="GZ1044" s="4">
        <v>148</v>
      </c>
      <c r="HA1044" s="4">
        <v>139</v>
      </c>
      <c r="HB1044" s="4">
        <v>130</v>
      </c>
      <c r="HC1044" s="4">
        <v>121</v>
      </c>
      <c r="HD1044" s="19">
        <v>46.8</v>
      </c>
      <c r="HE1044" s="19">
        <v>19</v>
      </c>
      <c r="HF1044" s="19">
        <v>12.4</v>
      </c>
      <c r="HG1044" s="19">
        <v>9.1</v>
      </c>
      <c r="HH1044" s="19">
        <v>6.9</v>
      </c>
      <c r="HI1044" s="19">
        <v>6.1</v>
      </c>
      <c r="HJ1044" s="19">
        <v>17</v>
      </c>
      <c r="HK1044" s="19">
        <v>22.9</v>
      </c>
      <c r="HL1044" s="19">
        <v>18.7</v>
      </c>
      <c r="HM1044" s="19">
        <v>15.4</v>
      </c>
      <c r="HN1044" s="19">
        <v>9.9</v>
      </c>
      <c r="HO1044" s="19">
        <v>7.3</v>
      </c>
      <c r="HP1044" s="19">
        <v>6.4</v>
      </c>
      <c r="HQ1044" s="19">
        <v>5.8</v>
      </c>
      <c r="HR1044" s="19">
        <v>6</v>
      </c>
      <c r="HS1044" s="19">
        <v>6.1</v>
      </c>
      <c r="HT1044" s="19">
        <v>5.8</v>
      </c>
      <c r="HU1044" s="19">
        <v>5</v>
      </c>
      <c r="HV1044" s="19">
        <v>4.9</v>
      </c>
      <c r="HW1044" s="19">
        <v>10.2</v>
      </c>
      <c r="HX1044" s="19">
        <v>12.7</v>
      </c>
      <c r="HY1044" s="19">
        <v>17.4</v>
      </c>
      <c r="HZ1044" s="19">
        <v>18.5</v>
      </c>
      <c r="IA1044" s="19">
        <v>23.2</v>
      </c>
      <c r="IB1044" s="19">
        <v>26</v>
      </c>
      <c r="IC1044" s="19">
        <v>30.3</v>
      </c>
    </row>
    <row r="1045">
      <c r="A1045" s="2" t="s">
        <v>4174</v>
      </c>
      <c r="B1045" s="2" t="s">
        <v>905</v>
      </c>
      <c r="C1045" s="2" t="s">
        <v>2746</v>
      </c>
      <c r="D1045" s="2" t="s">
        <v>1177</v>
      </c>
      <c r="E1045" s="2" t="s">
        <v>1178</v>
      </c>
      <c r="F1045" s="2" t="s">
        <v>4141</v>
      </c>
      <c r="G1045" s="2" t="s">
        <v>4141</v>
      </c>
      <c r="H1045" s="2" t="s">
        <v>4141</v>
      </c>
      <c r="I1045" s="2" t="s">
        <v>4148</v>
      </c>
      <c r="J1045" s="2" t="s">
        <v>993</v>
      </c>
      <c r="K1045" s="2" t="s">
        <v>1546</v>
      </c>
      <c r="L1045" s="3">
        <v>33.87</v>
      </c>
      <c r="M1045" s="3">
        <v>35.56</v>
      </c>
      <c r="N1045" s="3">
        <v>74.99</v>
      </c>
      <c r="O1045" s="2" t="s">
        <v>232</v>
      </c>
      <c r="P1045" s="2" t="s">
        <v>233</v>
      </c>
      <c r="Q1045" s="2" t="s">
        <v>234</v>
      </c>
      <c r="R1045" s="2" t="s">
        <v>235</v>
      </c>
      <c r="S1045" s="2" t="s">
        <v>235</v>
      </c>
      <c r="T1045" s="2" t="s">
        <v>587</v>
      </c>
      <c r="U1045" s="2" t="s">
        <v>807</v>
      </c>
      <c r="V1045" s="2" t="s">
        <v>238</v>
      </c>
      <c r="W1045" s="2" t="s">
        <v>239</v>
      </c>
      <c r="X1045" s="2" t="s">
        <v>235</v>
      </c>
      <c r="Y1045" s="2" t="s">
        <v>4175</v>
      </c>
      <c r="Z1045" s="4"/>
      <c r="AA1045" s="4">
        <f>=ROUNDDOWN({0},0)</f>
      </c>
      <c r="AB1045" s="5">
        <v>20.3</v>
      </c>
      <c r="AC1045" s="2" t="s">
        <v>3831</v>
      </c>
      <c r="AD1045" s="4">
        <v>300</v>
      </c>
      <c r="AE1045" s="4">
        <v>880</v>
      </c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235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235</v>
      </c>
      <c r="AW1045" s="8" t="s">
        <v>235</v>
      </c>
      <c r="AX1045" s="4" t="s">
        <v>235</v>
      </c>
      <c r="AY1045" s="8" t="s">
        <v>235</v>
      </c>
      <c r="AZ1045" s="7" t="s">
        <v>235</v>
      </c>
      <c r="BA1045" s="7" t="s">
        <v>235</v>
      </c>
      <c r="BB1045" s="7"/>
      <c r="BC1045" s="4" t="s">
        <v>235</v>
      </c>
      <c r="BD1045" s="8" t="s">
        <v>235</v>
      </c>
      <c r="BE1045" s="4" t="s">
        <v>235</v>
      </c>
      <c r="BF1045" s="8" t="s">
        <v>235</v>
      </c>
      <c r="BG1045" s="7" t="s">
        <v>235</v>
      </c>
      <c r="BH1045" s="7" t="s">
        <v>235</v>
      </c>
      <c r="BI1045" s="7"/>
      <c r="BJ1045" s="4"/>
      <c r="BK1045" s="8"/>
      <c r="BL1045" s="2" t="s">
        <v>4176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4150</v>
      </c>
      <c r="BV1045" s="2" t="s">
        <v>243</v>
      </c>
      <c r="BW1045" s="2" t="s">
        <v>235</v>
      </c>
      <c r="BX1045" s="2" t="s">
        <v>383</v>
      </c>
      <c r="BY1045" s="2" t="s">
        <v>245</v>
      </c>
      <c r="BZ1045" s="2" t="s">
        <v>232</v>
      </c>
      <c r="CA1045" s="2" t="s">
        <v>830</v>
      </c>
      <c r="CB1045" s="2" t="s">
        <v>2366</v>
      </c>
      <c r="CC1045" s="2" t="s">
        <v>248</v>
      </c>
      <c r="CD1045" s="2" t="s">
        <v>248</v>
      </c>
      <c r="CE1045" s="2" t="s">
        <v>235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>
        <v>300</v>
      </c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>
        <v>280</v>
      </c>
      <c r="DU1045" s="4"/>
      <c r="DV1045" s="4"/>
      <c r="DW1045" s="4"/>
      <c r="DX1045" s="4"/>
      <c r="DY1045" s="4"/>
      <c r="DZ1045" s="4"/>
      <c r="EA1045" s="4"/>
      <c r="EB1045" s="4">
        <v>300</v>
      </c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>
        <v>300</v>
      </c>
      <c r="GF1045" s="4">
        <v>292</v>
      </c>
      <c r="GG1045" s="4">
        <v>284</v>
      </c>
      <c r="GH1045" s="4">
        <v>276</v>
      </c>
      <c r="GI1045" s="4">
        <v>262</v>
      </c>
      <c r="GJ1045" s="4">
        <v>528</v>
      </c>
      <c r="GK1045" s="4">
        <v>814</v>
      </c>
      <c r="GL1045" s="4">
        <v>800</v>
      </c>
      <c r="GM1045" s="4">
        <v>793</v>
      </c>
      <c r="GN1045" s="4">
        <v>785</v>
      </c>
      <c r="GO1045" s="4">
        <v>765</v>
      </c>
      <c r="GP1045" s="4">
        <v>734</v>
      </c>
      <c r="GQ1045" s="4">
        <v>698</v>
      </c>
      <c r="GR1045" s="4">
        <v>599</v>
      </c>
      <c r="GS1045" s="4">
        <v>486</v>
      </c>
      <c r="GT1045" s="4">
        <v>419</v>
      </c>
      <c r="GU1045" s="4">
        <v>371</v>
      </c>
      <c r="GV1045" s="4">
        <v>323</v>
      </c>
      <c r="GW1045" s="4">
        <v>308</v>
      </c>
      <c r="GX1045" s="4">
        <v>293</v>
      </c>
      <c r="GY1045" s="4">
        <v>278</v>
      </c>
      <c r="GZ1045" s="4">
        <v>260</v>
      </c>
      <c r="HA1045" s="4">
        <v>242</v>
      </c>
      <c r="HB1045" s="4">
        <v>224</v>
      </c>
      <c r="HC1045" s="4">
        <v>206</v>
      </c>
      <c r="HD1045" s="20">
        <v>0</v>
      </c>
      <c r="HE1045" s="19">
        <v>30</v>
      </c>
      <c r="HF1045" s="19">
        <v>26.5</v>
      </c>
      <c r="HG1045" s="19">
        <v>23.7</v>
      </c>
      <c r="HH1045" s="19">
        <v>19.7</v>
      </c>
      <c r="HI1045" s="19">
        <v>21.8</v>
      </c>
      <c r="HJ1045" s="19">
        <v>48</v>
      </c>
      <c r="HK1045" s="19">
        <v>67.8</v>
      </c>
      <c r="HL1045" s="19">
        <v>50</v>
      </c>
      <c r="HM1045" s="19">
        <v>33</v>
      </c>
      <c r="HN1045" s="19">
        <v>17.1</v>
      </c>
      <c r="HO1045" s="19">
        <v>10.9</v>
      </c>
      <c r="HP1045" s="19">
        <v>9.3</v>
      </c>
      <c r="HQ1045" s="19">
        <v>8.5</v>
      </c>
      <c r="HR1045" s="19">
        <v>8.7</v>
      </c>
      <c r="HS1045" s="19">
        <v>11</v>
      </c>
      <c r="HT1045" s="19">
        <v>13.1</v>
      </c>
      <c r="HU1045" s="19">
        <v>16.1</v>
      </c>
      <c r="HV1045" s="19">
        <v>20.2</v>
      </c>
      <c r="HW1045" s="19">
        <v>19.3</v>
      </c>
      <c r="HX1045" s="19">
        <v>17.2</v>
      </c>
      <c r="HY1045" s="19">
        <v>15.4</v>
      </c>
      <c r="HZ1045" s="19">
        <v>16.3</v>
      </c>
      <c r="IA1045" s="19">
        <v>17.3</v>
      </c>
      <c r="IB1045" s="19">
        <v>18.7</v>
      </c>
      <c r="IC1045" s="19">
        <v>20.6</v>
      </c>
    </row>
    <row r="1046">
      <c r="A1046" s="2" t="s">
        <v>4177</v>
      </c>
      <c r="B1046" s="2" t="s">
        <v>905</v>
      </c>
      <c r="C1046" s="2" t="s">
        <v>2746</v>
      </c>
      <c r="D1046" s="2" t="s">
        <v>1177</v>
      </c>
      <c r="E1046" s="2" t="s">
        <v>2747</v>
      </c>
      <c r="F1046" s="2" t="s">
        <v>4141</v>
      </c>
      <c r="G1046" s="2" t="s">
        <v>4141</v>
      </c>
      <c r="H1046" s="2" t="s">
        <v>4141</v>
      </c>
      <c r="I1046" s="2" t="s">
        <v>2749</v>
      </c>
      <c r="J1046" s="2" t="s">
        <v>394</v>
      </c>
      <c r="K1046" s="2" t="s">
        <v>2718</v>
      </c>
      <c r="L1046" s="3">
        <v>46.73</v>
      </c>
      <c r="M1046" s="3">
        <v>49.07</v>
      </c>
      <c r="N1046" s="3">
        <v>104.99</v>
      </c>
      <c r="O1046" s="2" t="s">
        <v>232</v>
      </c>
      <c r="P1046" s="2" t="s">
        <v>233</v>
      </c>
      <c r="Q1046" s="2" t="s">
        <v>234</v>
      </c>
      <c r="R1046" s="2" t="s">
        <v>235</v>
      </c>
      <c r="S1046" s="2" t="s">
        <v>235</v>
      </c>
      <c r="T1046" s="2" t="s">
        <v>587</v>
      </c>
      <c r="U1046" s="2" t="s">
        <v>807</v>
      </c>
      <c r="V1046" s="2" t="s">
        <v>238</v>
      </c>
      <c r="W1046" s="2" t="s">
        <v>239</v>
      </c>
      <c r="X1046" s="2" t="s">
        <v>235</v>
      </c>
      <c r="Y1046" s="2" t="s">
        <v>4142</v>
      </c>
      <c r="Z1046" s="4">
        <v>57</v>
      </c>
      <c r="AA1046" s="4">
        <f>=ROUNDDOWN(21.9230769230769,0)</f>
      </c>
      <c r="AB1046" s="5">
        <v>2.6</v>
      </c>
      <c r="AC1046" s="2" t="s">
        <v>167</v>
      </c>
      <c r="AD1046" s="4">
        <v>300</v>
      </c>
      <c r="AE1046" s="4">
        <v>300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235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235</v>
      </c>
      <c r="AW1046" s="8" t="s">
        <v>235</v>
      </c>
      <c r="AX1046" s="4" t="s">
        <v>235</v>
      </c>
      <c r="AY1046" s="8" t="s">
        <v>235</v>
      </c>
      <c r="AZ1046" s="7" t="s">
        <v>235</v>
      </c>
      <c r="BA1046" s="7" t="s">
        <v>235</v>
      </c>
      <c r="BB1046" s="7"/>
      <c r="BC1046" s="4" t="s">
        <v>235</v>
      </c>
      <c r="BD1046" s="8" t="s">
        <v>235</v>
      </c>
      <c r="BE1046" s="4" t="s">
        <v>235</v>
      </c>
      <c r="BF1046" s="8" t="s">
        <v>235</v>
      </c>
      <c r="BG1046" s="7" t="s">
        <v>235</v>
      </c>
      <c r="BH1046" s="7" t="s">
        <v>235</v>
      </c>
      <c r="BI1046" s="7"/>
      <c r="BJ1046" s="4">
        <v>4</v>
      </c>
      <c r="BK1046" s="8">
        <v>206.2</v>
      </c>
      <c r="BL1046" s="2" t="s">
        <v>3736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4144</v>
      </c>
      <c r="BV1046" s="2" t="s">
        <v>243</v>
      </c>
      <c r="BW1046" s="2" t="s">
        <v>235</v>
      </c>
      <c r="BX1046" s="2" t="s">
        <v>4145</v>
      </c>
      <c r="BY1046" s="2" t="s">
        <v>245</v>
      </c>
      <c r="BZ1046" s="2" t="s">
        <v>232</v>
      </c>
      <c r="CA1046" s="2" t="s">
        <v>4146</v>
      </c>
      <c r="CB1046" s="2" t="s">
        <v>4169</v>
      </c>
      <c r="CC1046" s="2" t="s">
        <v>248</v>
      </c>
      <c r="CD1046" s="2" t="s">
        <v>248</v>
      </c>
      <c r="CE1046" s="2" t="s">
        <v>235</v>
      </c>
      <c r="CF1046" s="4">
        <v>57</v>
      </c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>
        <v>300</v>
      </c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>
        <v>57</v>
      </c>
      <c r="GE1046" s="4">
        <v>56</v>
      </c>
      <c r="GF1046" s="4">
        <v>55</v>
      </c>
      <c r="GG1046" s="4">
        <v>54</v>
      </c>
      <c r="GH1046" s="4">
        <v>53</v>
      </c>
      <c r="GI1046" s="4">
        <v>49</v>
      </c>
      <c r="GJ1046" s="4">
        <v>45</v>
      </c>
      <c r="GK1046" s="4">
        <v>341</v>
      </c>
      <c r="GL1046" s="4">
        <v>337</v>
      </c>
      <c r="GM1046" s="4">
        <v>333</v>
      </c>
      <c r="GN1046" s="4">
        <v>330</v>
      </c>
      <c r="GO1046" s="4">
        <v>324</v>
      </c>
      <c r="GP1046" s="4">
        <v>314</v>
      </c>
      <c r="GQ1046" s="4">
        <v>304</v>
      </c>
      <c r="GR1046" s="4">
        <v>273</v>
      </c>
      <c r="GS1046" s="4">
        <v>247</v>
      </c>
      <c r="GT1046" s="4">
        <v>233</v>
      </c>
      <c r="GU1046" s="4">
        <v>227</v>
      </c>
      <c r="GV1046" s="4">
        <v>223</v>
      </c>
      <c r="GW1046" s="4">
        <v>219</v>
      </c>
      <c r="GX1046" s="4">
        <v>215</v>
      </c>
      <c r="GY1046" s="4">
        <v>211</v>
      </c>
      <c r="GZ1046" s="4">
        <v>209</v>
      </c>
      <c r="HA1046" s="4">
        <v>207</v>
      </c>
      <c r="HB1046" s="4">
        <v>205</v>
      </c>
      <c r="HC1046" s="4">
        <v>203</v>
      </c>
      <c r="HD1046" s="19">
        <v>57</v>
      </c>
      <c r="HE1046" s="19">
        <v>28</v>
      </c>
      <c r="HF1046" s="19">
        <v>27.5</v>
      </c>
      <c r="HG1046" s="19">
        <v>18</v>
      </c>
      <c r="HH1046" s="19">
        <v>13.3</v>
      </c>
      <c r="HI1046" s="19">
        <v>12.3</v>
      </c>
      <c r="HJ1046" s="19">
        <v>11.3</v>
      </c>
      <c r="HK1046" s="19">
        <v>85.3</v>
      </c>
      <c r="HL1046" s="19">
        <v>56.2</v>
      </c>
      <c r="HM1046" s="19">
        <v>47.6</v>
      </c>
      <c r="HN1046" s="19">
        <v>23.6</v>
      </c>
      <c r="HO1046" s="19">
        <v>17.1</v>
      </c>
      <c r="HP1046" s="19">
        <v>15.7</v>
      </c>
      <c r="HQ1046" s="19">
        <v>16</v>
      </c>
      <c r="HR1046" s="19">
        <v>22.8</v>
      </c>
      <c r="HS1046" s="19">
        <v>35.3</v>
      </c>
      <c r="HT1046" s="19">
        <v>58.3</v>
      </c>
      <c r="HU1046" s="19">
        <v>56.8</v>
      </c>
      <c r="HV1046" s="19">
        <v>55.8</v>
      </c>
      <c r="HW1046" s="19">
        <v>73</v>
      </c>
      <c r="HX1046" s="19">
        <v>107.5</v>
      </c>
      <c r="HY1046" s="19">
        <v>105.5</v>
      </c>
      <c r="HZ1046" s="19">
        <v>104.5</v>
      </c>
      <c r="IA1046" s="19">
        <v>103.5</v>
      </c>
      <c r="IB1046" s="19">
        <v>205</v>
      </c>
      <c r="IC1046" s="19">
        <v>203</v>
      </c>
    </row>
    <row r="1047">
      <c r="A1047" s="2" t="s">
        <v>4178</v>
      </c>
      <c r="B1047" s="2" t="s">
        <v>905</v>
      </c>
      <c r="C1047" s="2" t="s">
        <v>2746</v>
      </c>
      <c r="D1047" s="2" t="s">
        <v>1177</v>
      </c>
      <c r="E1047" s="2" t="s">
        <v>2747</v>
      </c>
      <c r="F1047" s="2" t="s">
        <v>4141</v>
      </c>
      <c r="G1047" s="2" t="s">
        <v>4141</v>
      </c>
      <c r="H1047" s="2" t="s">
        <v>4141</v>
      </c>
      <c r="I1047" s="2" t="s">
        <v>2749</v>
      </c>
      <c r="J1047" s="2" t="s">
        <v>250</v>
      </c>
      <c r="K1047" s="2" t="s">
        <v>2718</v>
      </c>
      <c r="L1047" s="3">
        <v>52.63</v>
      </c>
      <c r="M1047" s="3">
        <v>55.26</v>
      </c>
      <c r="N1047" s="3">
        <v>114.99</v>
      </c>
      <c r="O1047" s="2" t="s">
        <v>232</v>
      </c>
      <c r="P1047" s="2" t="s">
        <v>233</v>
      </c>
      <c r="Q1047" s="2" t="s">
        <v>234</v>
      </c>
      <c r="R1047" s="2" t="s">
        <v>235</v>
      </c>
      <c r="S1047" s="2" t="s">
        <v>235</v>
      </c>
      <c r="T1047" s="2" t="s">
        <v>587</v>
      </c>
      <c r="U1047" s="2" t="s">
        <v>807</v>
      </c>
      <c r="V1047" s="2" t="s">
        <v>238</v>
      </c>
      <c r="W1047" s="2" t="s">
        <v>239</v>
      </c>
      <c r="X1047" s="2" t="s">
        <v>235</v>
      </c>
      <c r="Y1047" s="2" t="s">
        <v>4142</v>
      </c>
      <c r="Z1047" s="4">
        <v>278</v>
      </c>
      <c r="AA1047" s="4">
        <f>=ROUNDDOWN(32.7058823529412,0)</f>
      </c>
      <c r="AB1047" s="5">
        <v>8.5</v>
      </c>
      <c r="AC1047" s="2" t="s">
        <v>235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235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235</v>
      </c>
      <c r="AW1047" s="8" t="s">
        <v>235</v>
      </c>
      <c r="AX1047" s="4" t="s">
        <v>235</v>
      </c>
      <c r="AY1047" s="8" t="s">
        <v>235</v>
      </c>
      <c r="AZ1047" s="7" t="s">
        <v>235</v>
      </c>
      <c r="BA1047" s="7" t="s">
        <v>235</v>
      </c>
      <c r="BB1047" s="7"/>
      <c r="BC1047" s="4" t="s">
        <v>235</v>
      </c>
      <c r="BD1047" s="8" t="s">
        <v>235</v>
      </c>
      <c r="BE1047" s="4" t="s">
        <v>235</v>
      </c>
      <c r="BF1047" s="8" t="s">
        <v>235</v>
      </c>
      <c r="BG1047" s="7" t="s">
        <v>235</v>
      </c>
      <c r="BH1047" s="7" t="s">
        <v>235</v>
      </c>
      <c r="BI1047" s="7"/>
      <c r="BJ1047" s="4">
        <v>3</v>
      </c>
      <c r="BK1047" s="8">
        <v>175.06</v>
      </c>
      <c r="BL1047" s="2" t="s">
        <v>4179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4144</v>
      </c>
      <c r="BV1047" s="2" t="s">
        <v>243</v>
      </c>
      <c r="BW1047" s="2" t="s">
        <v>235</v>
      </c>
      <c r="BX1047" s="2" t="s">
        <v>4145</v>
      </c>
      <c r="BY1047" s="2" t="s">
        <v>245</v>
      </c>
      <c r="BZ1047" s="2" t="s">
        <v>232</v>
      </c>
      <c r="CA1047" s="2" t="s">
        <v>4146</v>
      </c>
      <c r="CB1047" s="2" t="s">
        <v>4180</v>
      </c>
      <c r="CC1047" s="2" t="s">
        <v>248</v>
      </c>
      <c r="CD1047" s="2" t="s">
        <v>248</v>
      </c>
      <c r="CE1047" s="2" t="s">
        <v>235</v>
      </c>
      <c r="CF1047" s="4">
        <v>278</v>
      </c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>
        <v>278</v>
      </c>
      <c r="GE1047" s="4">
        <v>275</v>
      </c>
      <c r="GF1047" s="4">
        <v>272</v>
      </c>
      <c r="GG1047" s="4">
        <v>269</v>
      </c>
      <c r="GH1047" s="4">
        <v>266</v>
      </c>
      <c r="GI1047" s="4">
        <v>261</v>
      </c>
      <c r="GJ1047" s="4">
        <v>256</v>
      </c>
      <c r="GK1047" s="4">
        <v>251</v>
      </c>
      <c r="GL1047" s="4">
        <v>246</v>
      </c>
      <c r="GM1047" s="4">
        <v>243</v>
      </c>
      <c r="GN1047" s="4">
        <v>240</v>
      </c>
      <c r="GO1047" s="4">
        <v>232</v>
      </c>
      <c r="GP1047" s="4">
        <v>220</v>
      </c>
      <c r="GQ1047" s="4">
        <v>210</v>
      </c>
      <c r="GR1047" s="4">
        <v>178</v>
      </c>
      <c r="GS1047" s="4">
        <v>149</v>
      </c>
      <c r="GT1047" s="4">
        <v>132</v>
      </c>
      <c r="GU1047" s="4">
        <v>124</v>
      </c>
      <c r="GV1047" s="4">
        <v>118</v>
      </c>
      <c r="GW1047" s="4">
        <v>112</v>
      </c>
      <c r="GX1047" s="4">
        <v>106</v>
      </c>
      <c r="GY1047" s="4">
        <v>100</v>
      </c>
      <c r="GZ1047" s="4">
        <v>95</v>
      </c>
      <c r="HA1047" s="4">
        <v>90</v>
      </c>
      <c r="HB1047" s="4">
        <v>85</v>
      </c>
      <c r="HC1047" s="4">
        <v>80</v>
      </c>
      <c r="HD1047" s="19">
        <v>92.7</v>
      </c>
      <c r="HE1047" s="19">
        <v>68.8</v>
      </c>
      <c r="HF1047" s="19">
        <v>68</v>
      </c>
      <c r="HG1047" s="19">
        <v>67.3</v>
      </c>
      <c r="HH1047" s="19">
        <v>53.2</v>
      </c>
      <c r="HI1047" s="19">
        <v>65.3</v>
      </c>
      <c r="HJ1047" s="19">
        <v>64</v>
      </c>
      <c r="HK1047" s="19">
        <v>50.2</v>
      </c>
      <c r="HL1047" s="19">
        <v>41</v>
      </c>
      <c r="HM1047" s="19">
        <v>30.4</v>
      </c>
      <c r="HN1047" s="19">
        <v>15</v>
      </c>
      <c r="HO1047" s="19">
        <v>11</v>
      </c>
      <c r="HP1047" s="19">
        <v>10</v>
      </c>
      <c r="HQ1047" s="19">
        <v>9.5</v>
      </c>
      <c r="HR1047" s="19">
        <v>11.9</v>
      </c>
      <c r="HS1047" s="19">
        <v>16.6</v>
      </c>
      <c r="HT1047" s="19">
        <v>22</v>
      </c>
      <c r="HU1047" s="19">
        <v>20.7</v>
      </c>
      <c r="HV1047" s="19">
        <v>19.7</v>
      </c>
      <c r="HW1047" s="19">
        <v>18.7</v>
      </c>
      <c r="HX1047" s="19">
        <v>21.2</v>
      </c>
      <c r="HY1047" s="19">
        <v>20</v>
      </c>
      <c r="HZ1047" s="19">
        <v>23.8</v>
      </c>
      <c r="IA1047" s="19">
        <v>22.5</v>
      </c>
      <c r="IB1047" s="19">
        <v>28.3</v>
      </c>
      <c r="IC1047" s="19">
        <v>40</v>
      </c>
    </row>
    <row r="1048">
      <c r="A1048" s="2" t="s">
        <v>4181</v>
      </c>
      <c r="B1048" s="2" t="s">
        <v>905</v>
      </c>
      <c r="C1048" s="2" t="s">
        <v>2746</v>
      </c>
      <c r="D1048" s="2" t="s">
        <v>1177</v>
      </c>
      <c r="E1048" s="2" t="s">
        <v>2747</v>
      </c>
      <c r="F1048" s="2" t="s">
        <v>4141</v>
      </c>
      <c r="G1048" s="2" t="s">
        <v>4141</v>
      </c>
      <c r="H1048" s="2" t="s">
        <v>4141</v>
      </c>
      <c r="I1048" s="2" t="s">
        <v>2749</v>
      </c>
      <c r="J1048" s="2" t="s">
        <v>261</v>
      </c>
      <c r="K1048" s="2" t="s">
        <v>2718</v>
      </c>
      <c r="L1048" s="3">
        <v>77.66</v>
      </c>
      <c r="M1048" s="3">
        <v>81.54</v>
      </c>
      <c r="N1048" s="3">
        <v>174.99</v>
      </c>
      <c r="O1048" s="2" t="s">
        <v>232</v>
      </c>
      <c r="P1048" s="2" t="s">
        <v>233</v>
      </c>
      <c r="Q1048" s="2" t="s">
        <v>234</v>
      </c>
      <c r="R1048" s="2" t="s">
        <v>235</v>
      </c>
      <c r="S1048" s="2" t="s">
        <v>235</v>
      </c>
      <c r="T1048" s="2" t="s">
        <v>587</v>
      </c>
      <c r="U1048" s="2" t="s">
        <v>807</v>
      </c>
      <c r="V1048" s="2" t="s">
        <v>238</v>
      </c>
      <c r="W1048" s="2" t="s">
        <v>239</v>
      </c>
      <c r="X1048" s="2" t="s">
        <v>235</v>
      </c>
      <c r="Y1048" s="2" t="s">
        <v>4142</v>
      </c>
      <c r="Z1048" s="4">
        <v>80</v>
      </c>
      <c r="AA1048" s="4">
        <f>=ROUNDDOWN(7.14285714285714,0)</f>
      </c>
      <c r="AB1048" s="5">
        <v>11.2</v>
      </c>
      <c r="AC1048" s="2" t="s">
        <v>167</v>
      </c>
      <c r="AD1048" s="4">
        <v>300</v>
      </c>
      <c r="AE1048" s="4">
        <v>300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235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235</v>
      </c>
      <c r="AW1048" s="8" t="s">
        <v>235</v>
      </c>
      <c r="AX1048" s="4" t="s">
        <v>235</v>
      </c>
      <c r="AY1048" s="8" t="s">
        <v>235</v>
      </c>
      <c r="AZ1048" s="7" t="s">
        <v>235</v>
      </c>
      <c r="BA1048" s="7" t="s">
        <v>235</v>
      </c>
      <c r="BB1048" s="7"/>
      <c r="BC1048" s="4" t="s">
        <v>235</v>
      </c>
      <c r="BD1048" s="8" t="s">
        <v>235</v>
      </c>
      <c r="BE1048" s="4" t="s">
        <v>235</v>
      </c>
      <c r="BF1048" s="8" t="s">
        <v>235</v>
      </c>
      <c r="BG1048" s="7" t="s">
        <v>235</v>
      </c>
      <c r="BH1048" s="7" t="s">
        <v>235</v>
      </c>
      <c r="BI1048" s="7"/>
      <c r="BJ1048" s="4">
        <v>8</v>
      </c>
      <c r="BK1048" s="8">
        <v>690.87</v>
      </c>
      <c r="BL1048" s="2" t="s">
        <v>4182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4144</v>
      </c>
      <c r="BV1048" s="2" t="s">
        <v>243</v>
      </c>
      <c r="BW1048" s="2" t="s">
        <v>235</v>
      </c>
      <c r="BX1048" s="2" t="s">
        <v>4145</v>
      </c>
      <c r="BY1048" s="2" t="s">
        <v>245</v>
      </c>
      <c r="BZ1048" s="2" t="s">
        <v>232</v>
      </c>
      <c r="CA1048" s="2" t="s">
        <v>4146</v>
      </c>
      <c r="CB1048" s="2" t="s">
        <v>4183</v>
      </c>
      <c r="CC1048" s="2" t="s">
        <v>248</v>
      </c>
      <c r="CD1048" s="2" t="s">
        <v>248</v>
      </c>
      <c r="CE1048" s="2" t="s">
        <v>235</v>
      </c>
      <c r="CF1048" s="4">
        <v>59</v>
      </c>
      <c r="CG1048" s="4">
        <v>21</v>
      </c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>
        <v>300</v>
      </c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>
        <v>80</v>
      </c>
      <c r="GE1048" s="4">
        <v>76</v>
      </c>
      <c r="GF1048" s="4">
        <v>72</v>
      </c>
      <c r="GG1048" s="4">
        <v>68</v>
      </c>
      <c r="GH1048" s="4">
        <v>64</v>
      </c>
      <c r="GI1048" s="4">
        <v>54</v>
      </c>
      <c r="GJ1048" s="4">
        <v>44</v>
      </c>
      <c r="GK1048" s="4">
        <v>334</v>
      </c>
      <c r="GL1048" s="4">
        <v>324</v>
      </c>
      <c r="GM1048" s="4">
        <v>317</v>
      </c>
      <c r="GN1048" s="4">
        <v>310</v>
      </c>
      <c r="GO1048" s="4">
        <v>296</v>
      </c>
      <c r="GP1048" s="4">
        <v>275</v>
      </c>
      <c r="GQ1048" s="4">
        <v>256</v>
      </c>
      <c r="GR1048" s="4">
        <v>201</v>
      </c>
      <c r="GS1048" s="4">
        <v>158</v>
      </c>
      <c r="GT1048" s="4">
        <v>136</v>
      </c>
      <c r="GU1048" s="4">
        <v>120</v>
      </c>
      <c r="GV1048" s="4">
        <v>110</v>
      </c>
      <c r="GW1048" s="4">
        <v>100</v>
      </c>
      <c r="GX1048" s="4">
        <v>90</v>
      </c>
      <c r="GY1048" s="4">
        <v>80</v>
      </c>
      <c r="GZ1048" s="4">
        <v>76</v>
      </c>
      <c r="HA1048" s="4">
        <v>72</v>
      </c>
      <c r="HB1048" s="4">
        <v>68</v>
      </c>
      <c r="HC1048" s="4">
        <v>64</v>
      </c>
      <c r="HD1048" s="19">
        <v>20</v>
      </c>
      <c r="HE1048" s="19">
        <v>12.7</v>
      </c>
      <c r="HF1048" s="19">
        <v>10.3</v>
      </c>
      <c r="HG1048" s="19">
        <v>8.5</v>
      </c>
      <c r="HH1048" s="19">
        <v>6.4</v>
      </c>
      <c r="HI1048" s="19">
        <v>6</v>
      </c>
      <c r="HJ1048" s="19">
        <v>5.5</v>
      </c>
      <c r="HK1048" s="19">
        <v>33.4</v>
      </c>
      <c r="HL1048" s="19">
        <v>27</v>
      </c>
      <c r="HM1048" s="19">
        <v>21.1</v>
      </c>
      <c r="HN1048" s="19">
        <v>11.5</v>
      </c>
      <c r="HO1048" s="19">
        <v>8.7</v>
      </c>
      <c r="HP1048" s="19">
        <v>7.9</v>
      </c>
      <c r="HQ1048" s="19">
        <v>7.5</v>
      </c>
      <c r="HR1048" s="19">
        <v>8.7</v>
      </c>
      <c r="HS1048" s="19">
        <v>11.3</v>
      </c>
      <c r="HT1048" s="19">
        <v>11.3</v>
      </c>
      <c r="HU1048" s="19">
        <v>12</v>
      </c>
      <c r="HV1048" s="19">
        <v>13.8</v>
      </c>
      <c r="HW1048" s="19">
        <v>14.3</v>
      </c>
      <c r="HX1048" s="19">
        <v>15</v>
      </c>
      <c r="HY1048" s="19">
        <v>20</v>
      </c>
      <c r="HZ1048" s="19">
        <v>19</v>
      </c>
      <c r="IA1048" s="19">
        <v>24</v>
      </c>
      <c r="IB1048" s="19">
        <v>34</v>
      </c>
      <c r="IC1048" s="19">
        <v>32</v>
      </c>
    </row>
    <row r="1049">
      <c r="A1049" s="2" t="s">
        <v>4184</v>
      </c>
      <c r="B1049" s="2" t="s">
        <v>905</v>
      </c>
      <c r="C1049" s="2" t="s">
        <v>980</v>
      </c>
      <c r="D1049" s="2" t="s">
        <v>361</v>
      </c>
      <c r="E1049" s="2" t="s">
        <v>924</v>
      </c>
      <c r="F1049" s="2" t="s">
        <v>4185</v>
      </c>
      <c r="G1049" s="2" t="s">
        <v>4185</v>
      </c>
      <c r="H1049" s="2" t="s">
        <v>4185</v>
      </c>
      <c r="I1049" s="2" t="s">
        <v>4186</v>
      </c>
      <c r="J1049" s="2" t="s">
        <v>365</v>
      </c>
      <c r="K1049" s="2" t="s">
        <v>600</v>
      </c>
      <c r="L1049" s="3">
        <v>34.5</v>
      </c>
      <c r="M1049" s="3">
        <v>36.22</v>
      </c>
      <c r="N1049" s="3">
        <v>74.99</v>
      </c>
      <c r="O1049" s="2" t="s">
        <v>407</v>
      </c>
      <c r="P1049" s="2" t="s">
        <v>408</v>
      </c>
      <c r="Q1049" s="2" t="s">
        <v>234</v>
      </c>
      <c r="R1049" s="2" t="s">
        <v>235</v>
      </c>
      <c r="S1049" s="2" t="s">
        <v>4187</v>
      </c>
      <c r="T1049" s="2" t="s">
        <v>3960</v>
      </c>
      <c r="U1049" s="2" t="s">
        <v>552</v>
      </c>
      <c r="V1049" s="2" t="s">
        <v>1222</v>
      </c>
      <c r="W1049" s="2" t="s">
        <v>1798</v>
      </c>
      <c r="X1049" s="2" t="s">
        <v>235</v>
      </c>
      <c r="Y1049" s="2" t="s">
        <v>3025</v>
      </c>
      <c r="Z1049" s="4"/>
      <c r="AA1049" s="4">
        <f>=ROUNDDOWN({0},0)</f>
      </c>
      <c r="AB1049" s="5">
        <v>14.8</v>
      </c>
      <c r="AC1049" s="2" t="s">
        <v>235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235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4188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4189</v>
      </c>
      <c r="BV1049" s="2" t="s">
        <v>243</v>
      </c>
      <c r="BW1049" s="2" t="s">
        <v>235</v>
      </c>
      <c r="BX1049" s="2" t="s">
        <v>414</v>
      </c>
      <c r="BY1049" s="2" t="s">
        <v>245</v>
      </c>
      <c r="BZ1049" s="2" t="s">
        <v>232</v>
      </c>
      <c r="CA1049" s="2" t="s">
        <v>4190</v>
      </c>
      <c r="CB1049" s="2" t="s">
        <v>4191</v>
      </c>
      <c r="CC1049" s="2" t="s">
        <v>248</v>
      </c>
      <c r="CD1049" s="2" t="s">
        <v>248</v>
      </c>
      <c r="CE1049" s="2" t="s">
        <v>235</v>
      </c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20">
        <v>0</v>
      </c>
      <c r="HE1049" s="20">
        <v>0</v>
      </c>
      <c r="HF1049" s="20">
        <v>0</v>
      </c>
      <c r="HG1049" s="20">
        <v>0</v>
      </c>
      <c r="HH1049" s="20">
        <v>0</v>
      </c>
      <c r="HI1049" s="20">
        <v>0</v>
      </c>
      <c r="HJ1049" s="20">
        <v>0</v>
      </c>
      <c r="HK1049" s="20">
        <v>0</v>
      </c>
      <c r="HL1049" s="20">
        <v>0</v>
      </c>
      <c r="HM1049" s="20">
        <v>0</v>
      </c>
      <c r="HN1049" s="20">
        <v>0</v>
      </c>
      <c r="HO1049" s="20">
        <v>0</v>
      </c>
      <c r="HP1049" s="20">
        <v>0</v>
      </c>
      <c r="HQ1049" s="20">
        <v>0</v>
      </c>
      <c r="HR1049" s="20">
        <v>0</v>
      </c>
      <c r="HS1049" s="20">
        <v>0</v>
      </c>
      <c r="HT1049" s="20">
        <v>0</v>
      </c>
      <c r="HU1049" s="20">
        <v>0</v>
      </c>
      <c r="HV1049" s="20">
        <v>0</v>
      </c>
      <c r="HW1049" s="20">
        <v>0</v>
      </c>
      <c r="HX1049" s="20">
        <v>0</v>
      </c>
      <c r="HY1049" s="20">
        <v>0</v>
      </c>
      <c r="HZ1049" s="20">
        <v>0</v>
      </c>
      <c r="IA1049" s="20">
        <v>0</v>
      </c>
      <c r="IB1049" s="20">
        <v>0</v>
      </c>
      <c r="IC1049" s="20">
        <v>0</v>
      </c>
    </row>
    <row r="1050">
      <c r="A1050" s="2" t="s">
        <v>4192</v>
      </c>
      <c r="B1050" s="2" t="s">
        <v>1071</v>
      </c>
      <c r="C1050" s="2" t="s">
        <v>324</v>
      </c>
      <c r="D1050" s="2" t="s">
        <v>4193</v>
      </c>
      <c r="E1050" s="2" t="s">
        <v>4194</v>
      </c>
      <c r="F1050" s="2" t="s">
        <v>4195</v>
      </c>
      <c r="G1050" s="2" t="s">
        <v>4196</v>
      </c>
      <c r="H1050" s="2" t="s">
        <v>4197</v>
      </c>
      <c r="I1050" s="2" t="s">
        <v>4198</v>
      </c>
      <c r="J1050" s="2" t="s">
        <v>806</v>
      </c>
      <c r="K1050" s="2" t="s">
        <v>975</v>
      </c>
      <c r="L1050" s="3">
        <v>475</v>
      </c>
      <c r="M1050" s="3">
        <v>498.75</v>
      </c>
      <c r="N1050" s="3">
        <v>999</v>
      </c>
      <c r="O1050" s="2" t="s">
        <v>407</v>
      </c>
      <c r="P1050" s="2" t="s">
        <v>408</v>
      </c>
      <c r="Q1050" s="2" t="s">
        <v>234</v>
      </c>
      <c r="R1050" s="2" t="s">
        <v>235</v>
      </c>
      <c r="S1050" s="2" t="s">
        <v>4199</v>
      </c>
      <c r="T1050" s="2" t="s">
        <v>235</v>
      </c>
      <c r="U1050" s="2" t="s">
        <v>235</v>
      </c>
      <c r="V1050" s="2" t="s">
        <v>238</v>
      </c>
      <c r="W1050" s="2" t="s">
        <v>1157</v>
      </c>
      <c r="X1050" s="2" t="s">
        <v>235</v>
      </c>
      <c r="Y1050" s="2" t="s">
        <v>4200</v>
      </c>
      <c r="Z1050" s="4">
        <v>63</v>
      </c>
      <c r="AA1050" s="4">
        <f>=ROUNDDOWN(126,0)</f>
      </c>
      <c r="AB1050" s="5">
        <v>0.5</v>
      </c>
      <c r="AC1050" s="2" t="s">
        <v>235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235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235</v>
      </c>
      <c r="AW1050" s="8" t="s">
        <v>235</v>
      </c>
      <c r="AX1050" s="4" t="s">
        <v>235</v>
      </c>
      <c r="AY1050" s="8" t="s">
        <v>235</v>
      </c>
      <c r="AZ1050" s="7" t="s">
        <v>235</v>
      </c>
      <c r="BA1050" s="7" t="s">
        <v>235</v>
      </c>
      <c r="BB1050" s="7"/>
      <c r="BC1050" s="4" t="s">
        <v>235</v>
      </c>
      <c r="BD1050" s="8" t="s">
        <v>235</v>
      </c>
      <c r="BE1050" s="4" t="s">
        <v>235</v>
      </c>
      <c r="BF1050" s="8" t="s">
        <v>235</v>
      </c>
      <c r="BG1050" s="7" t="s">
        <v>235</v>
      </c>
      <c r="BH1050" s="7" t="s">
        <v>235</v>
      </c>
      <c r="BI1050" s="7"/>
      <c r="BJ1050" s="4">
        <v>2</v>
      </c>
      <c r="BK1050" s="8">
        <v>241.46</v>
      </c>
      <c r="BL1050" s="2" t="s">
        <v>1634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4201</v>
      </c>
      <c r="BV1050" s="2" t="s">
        <v>1488</v>
      </c>
      <c r="BW1050" s="2" t="s">
        <v>235</v>
      </c>
      <c r="BX1050" s="2" t="s">
        <v>414</v>
      </c>
      <c r="BY1050" s="2" t="s">
        <v>245</v>
      </c>
      <c r="BZ1050" s="2" t="s">
        <v>232</v>
      </c>
      <c r="CA1050" s="2" t="s">
        <v>4202</v>
      </c>
      <c r="CB1050" s="2" t="s">
        <v>4203</v>
      </c>
      <c r="CC1050" s="2" t="s">
        <v>248</v>
      </c>
      <c r="CD1050" s="2" t="s">
        <v>248</v>
      </c>
      <c r="CE1050" s="2" t="s">
        <v>235</v>
      </c>
      <c r="CF1050" s="4"/>
      <c r="CG1050" s="4">
        <v>63</v>
      </c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>
        <v>64</v>
      </c>
      <c r="GE1050" s="4">
        <v>63</v>
      </c>
      <c r="GF1050" s="4">
        <v>62</v>
      </c>
      <c r="GG1050" s="4">
        <v>61</v>
      </c>
      <c r="GH1050" s="4">
        <v>60</v>
      </c>
      <c r="GI1050" s="4">
        <v>59</v>
      </c>
      <c r="GJ1050" s="4">
        <v>58</v>
      </c>
      <c r="GK1050" s="4">
        <v>57</v>
      </c>
      <c r="GL1050" s="4">
        <v>56</v>
      </c>
      <c r="GM1050" s="4">
        <v>55</v>
      </c>
      <c r="GN1050" s="4">
        <v>55</v>
      </c>
      <c r="GO1050" s="4">
        <v>54</v>
      </c>
      <c r="GP1050" s="4">
        <v>53</v>
      </c>
      <c r="GQ1050" s="4">
        <v>50</v>
      </c>
      <c r="GR1050" s="4">
        <v>49</v>
      </c>
      <c r="GS1050" s="4">
        <v>49</v>
      </c>
      <c r="GT1050" s="4">
        <v>49</v>
      </c>
      <c r="GU1050" s="4">
        <v>48</v>
      </c>
      <c r="GV1050" s="4">
        <v>47</v>
      </c>
      <c r="GW1050" s="4">
        <v>46</v>
      </c>
      <c r="GX1050" s="4">
        <v>45</v>
      </c>
      <c r="GY1050" s="4">
        <v>44</v>
      </c>
      <c r="GZ1050" s="4">
        <v>43</v>
      </c>
      <c r="HA1050" s="4">
        <v>42</v>
      </c>
      <c r="HB1050" s="4">
        <v>41</v>
      </c>
      <c r="HC1050" s="4">
        <v>40</v>
      </c>
      <c r="HD1050" s="19">
        <v>64</v>
      </c>
      <c r="HE1050" s="19">
        <v>63</v>
      </c>
      <c r="HF1050" s="19">
        <v>62</v>
      </c>
      <c r="HG1050" s="19">
        <v>61</v>
      </c>
      <c r="HH1050" s="19">
        <v>60</v>
      </c>
      <c r="HI1050" s="19">
        <v>59</v>
      </c>
      <c r="HJ1050" s="19">
        <v>58</v>
      </c>
      <c r="HK1050" s="19">
        <v>57</v>
      </c>
      <c r="HL1050" s="19">
        <v>56</v>
      </c>
      <c r="HM1050" s="19">
        <v>55</v>
      </c>
      <c r="HN1050" s="19">
        <v>27.5</v>
      </c>
      <c r="HO1050" s="19">
        <v>54</v>
      </c>
      <c r="HP1050" s="19">
        <v>53</v>
      </c>
      <c r="HQ1050" s="20">
        <v>0</v>
      </c>
      <c r="HR1050" s="9"/>
      <c r="HS1050" s="19">
        <v>49</v>
      </c>
      <c r="HT1050" s="19">
        <v>49</v>
      </c>
      <c r="HU1050" s="19">
        <v>48</v>
      </c>
      <c r="HV1050" s="19">
        <v>47</v>
      </c>
      <c r="HW1050" s="19">
        <v>46</v>
      </c>
      <c r="HX1050" s="19">
        <v>45</v>
      </c>
      <c r="HY1050" s="19">
        <v>44</v>
      </c>
      <c r="HZ1050" s="19">
        <v>43</v>
      </c>
      <c r="IA1050" s="19">
        <v>42</v>
      </c>
      <c r="IB1050" s="19">
        <v>41</v>
      </c>
      <c r="IC1050" s="19">
        <v>40</v>
      </c>
    </row>
    <row r="1051">
      <c r="A1051" s="2" t="s">
        <v>4204</v>
      </c>
      <c r="B1051" s="2" t="s">
        <v>1071</v>
      </c>
      <c r="C1051" s="2" t="s">
        <v>324</v>
      </c>
      <c r="D1051" s="2" t="s">
        <v>4193</v>
      </c>
      <c r="E1051" s="2" t="s">
        <v>330</v>
      </c>
      <c r="F1051" s="2" t="s">
        <v>4195</v>
      </c>
      <c r="G1051" s="2" t="s">
        <v>4196</v>
      </c>
      <c r="H1051" s="2" t="s">
        <v>4197</v>
      </c>
      <c r="I1051" s="2" t="s">
        <v>235</v>
      </c>
      <c r="J1051" s="2" t="s">
        <v>4205</v>
      </c>
      <c r="K1051" s="2" t="s">
        <v>975</v>
      </c>
      <c r="L1051" s="3">
        <v>331.43</v>
      </c>
      <c r="M1051" s="3"/>
      <c r="N1051" s="3"/>
      <c r="O1051" s="2" t="s">
        <v>407</v>
      </c>
      <c r="P1051" s="2" t="s">
        <v>235</v>
      </c>
      <c r="Q1051" s="2" t="s">
        <v>235</v>
      </c>
      <c r="R1051" s="2" t="s">
        <v>2425</v>
      </c>
      <c r="S1051" s="2" t="s">
        <v>235</v>
      </c>
      <c r="T1051" s="2" t="s">
        <v>235</v>
      </c>
      <c r="U1051" s="2" t="s">
        <v>235</v>
      </c>
      <c r="V1051" s="2" t="s">
        <v>235</v>
      </c>
      <c r="W1051" s="2" t="s">
        <v>235</v>
      </c>
      <c r="X1051" s="2" t="s">
        <v>235</v>
      </c>
      <c r="Y1051" s="2" t="s">
        <v>235</v>
      </c>
      <c r="Z1051" s="4">
        <v>78</v>
      </c>
      <c r="AA1051" s="4">
        <f>=ROUNDDOWN({0},0)</f>
      </c>
      <c r="AB1051" s="5"/>
      <c r="AC1051" s="2" t="s">
        <v>235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235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235</v>
      </c>
      <c r="AW1051" s="8" t="s">
        <v>235</v>
      </c>
      <c r="AX1051" s="4" t="s">
        <v>235</v>
      </c>
      <c r="AY1051" s="8" t="s">
        <v>235</v>
      </c>
      <c r="AZ1051" s="7" t="s">
        <v>235</v>
      </c>
      <c r="BA1051" s="7" t="s">
        <v>235</v>
      </c>
      <c r="BB1051" s="7"/>
      <c r="BC1051" s="4" t="s">
        <v>235</v>
      </c>
      <c r="BD1051" s="8" t="s">
        <v>235</v>
      </c>
      <c r="BE1051" s="4" t="s">
        <v>235</v>
      </c>
      <c r="BF1051" s="8" t="s">
        <v>235</v>
      </c>
      <c r="BG1051" s="7" t="s">
        <v>235</v>
      </c>
      <c r="BH1051" s="7" t="s">
        <v>235</v>
      </c>
      <c r="BI1051" s="7"/>
      <c r="BJ1051" s="4"/>
      <c r="BK1051" s="8"/>
      <c r="BL1051" s="2" t="s">
        <v>235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235</v>
      </c>
      <c r="BV1051" s="2" t="s">
        <v>235</v>
      </c>
      <c r="BW1051" s="2" t="s">
        <v>235</v>
      </c>
      <c r="BX1051" s="2" t="s">
        <v>235</v>
      </c>
      <c r="BY1051" s="2" t="s">
        <v>235</v>
      </c>
      <c r="BZ1051" s="2" t="s">
        <v>235</v>
      </c>
      <c r="CA1051" s="2" t="s">
        <v>235</v>
      </c>
      <c r="CB1051" s="2" t="s">
        <v>235</v>
      </c>
      <c r="CC1051" s="2" t="s">
        <v>235</v>
      </c>
      <c r="CD1051" s="2" t="s">
        <v>235</v>
      </c>
      <c r="CE1051" s="2" t="s">
        <v>235</v>
      </c>
      <c r="CF1051" s="4"/>
      <c r="CG1051" s="4">
        <v>78</v>
      </c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</row>
    <row r="1052">
      <c r="A1052" s="2" t="s">
        <v>4206</v>
      </c>
      <c r="B1052" s="2" t="s">
        <v>1071</v>
      </c>
      <c r="C1052" s="2" t="s">
        <v>324</v>
      </c>
      <c r="D1052" s="2" t="s">
        <v>4193</v>
      </c>
      <c r="E1052" s="2" t="s">
        <v>330</v>
      </c>
      <c r="F1052" s="2" t="s">
        <v>4195</v>
      </c>
      <c r="G1052" s="2" t="s">
        <v>4196</v>
      </c>
      <c r="H1052" s="2" t="s">
        <v>4197</v>
      </c>
      <c r="I1052" s="2" t="s">
        <v>235</v>
      </c>
      <c r="J1052" s="2" t="s">
        <v>4207</v>
      </c>
      <c r="K1052" s="2" t="s">
        <v>975</v>
      </c>
      <c r="L1052" s="3">
        <v>333.57</v>
      </c>
      <c r="M1052" s="3"/>
      <c r="N1052" s="3"/>
      <c r="O1052" s="2" t="s">
        <v>407</v>
      </c>
      <c r="P1052" s="2" t="s">
        <v>235</v>
      </c>
      <c r="Q1052" s="2" t="s">
        <v>235</v>
      </c>
      <c r="R1052" s="2" t="s">
        <v>2425</v>
      </c>
      <c r="S1052" s="2" t="s">
        <v>235</v>
      </c>
      <c r="T1052" s="2" t="s">
        <v>235</v>
      </c>
      <c r="U1052" s="2" t="s">
        <v>235</v>
      </c>
      <c r="V1052" s="2" t="s">
        <v>235</v>
      </c>
      <c r="W1052" s="2" t="s">
        <v>235</v>
      </c>
      <c r="X1052" s="2" t="s">
        <v>235</v>
      </c>
      <c r="Y1052" s="2" t="s">
        <v>235</v>
      </c>
      <c r="Z1052" s="4">
        <v>64</v>
      </c>
      <c r="AA1052" s="4">
        <f>=ROUNDDOWN({0},0)</f>
      </c>
      <c r="AB1052" s="5"/>
      <c r="AC1052" s="2" t="s">
        <v>235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235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235</v>
      </c>
      <c r="AW1052" s="8" t="s">
        <v>235</v>
      </c>
      <c r="AX1052" s="4" t="s">
        <v>235</v>
      </c>
      <c r="AY1052" s="8" t="s">
        <v>235</v>
      </c>
      <c r="AZ1052" s="7" t="s">
        <v>235</v>
      </c>
      <c r="BA1052" s="7" t="s">
        <v>235</v>
      </c>
      <c r="BB1052" s="7"/>
      <c r="BC1052" s="4" t="s">
        <v>235</v>
      </c>
      <c r="BD1052" s="8" t="s">
        <v>235</v>
      </c>
      <c r="BE1052" s="4" t="s">
        <v>235</v>
      </c>
      <c r="BF1052" s="8" t="s">
        <v>235</v>
      </c>
      <c r="BG1052" s="7" t="s">
        <v>235</v>
      </c>
      <c r="BH1052" s="7" t="s">
        <v>235</v>
      </c>
      <c r="BI1052" s="7"/>
      <c r="BJ1052" s="4"/>
      <c r="BK1052" s="8"/>
      <c r="BL1052" s="2" t="s">
        <v>235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235</v>
      </c>
      <c r="BV1052" s="2" t="s">
        <v>235</v>
      </c>
      <c r="BW1052" s="2" t="s">
        <v>235</v>
      </c>
      <c r="BX1052" s="2" t="s">
        <v>235</v>
      </c>
      <c r="BY1052" s="2" t="s">
        <v>235</v>
      </c>
      <c r="BZ1052" s="2" t="s">
        <v>235</v>
      </c>
      <c r="CA1052" s="2" t="s">
        <v>235</v>
      </c>
      <c r="CB1052" s="2" t="s">
        <v>235</v>
      </c>
      <c r="CC1052" s="2" t="s">
        <v>235</v>
      </c>
      <c r="CD1052" s="2" t="s">
        <v>235</v>
      </c>
      <c r="CE1052" s="2" t="s">
        <v>235</v>
      </c>
      <c r="CF1052" s="4"/>
      <c r="CG1052" s="4">
        <v>64</v>
      </c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</row>
    <row r="1053">
      <c r="A1053" s="2" t="s">
        <v>4208</v>
      </c>
      <c r="B1053" s="2" t="s">
        <v>817</v>
      </c>
      <c r="C1053" s="2" t="s">
        <v>324</v>
      </c>
      <c r="D1053" s="2" t="s">
        <v>818</v>
      </c>
      <c r="E1053" s="2" t="s">
        <v>1689</v>
      </c>
      <c r="F1053" s="2" t="s">
        <v>4209</v>
      </c>
      <c r="G1053" s="2" t="s">
        <v>4209</v>
      </c>
      <c r="H1053" s="2" t="s">
        <v>4209</v>
      </c>
      <c r="I1053" s="2" t="s">
        <v>4210</v>
      </c>
      <c r="J1053" s="2" t="s">
        <v>4211</v>
      </c>
      <c r="K1053" s="2" t="s">
        <v>2386</v>
      </c>
      <c r="L1053" s="3">
        <v>49.63</v>
      </c>
      <c r="M1053" s="3">
        <v>52.11</v>
      </c>
      <c r="N1053" s="3">
        <v>96.04</v>
      </c>
      <c r="O1053" s="2" t="s">
        <v>232</v>
      </c>
      <c r="P1053" s="2" t="s">
        <v>965</v>
      </c>
      <c r="Q1053" s="2" t="s">
        <v>234</v>
      </c>
      <c r="R1053" s="2" t="s">
        <v>235</v>
      </c>
      <c r="S1053" s="2" t="s">
        <v>4212</v>
      </c>
      <c r="T1053" s="2" t="s">
        <v>235</v>
      </c>
      <c r="U1053" s="2" t="s">
        <v>552</v>
      </c>
      <c r="V1053" s="2" t="s">
        <v>4213</v>
      </c>
      <c r="W1053" s="2" t="s">
        <v>1157</v>
      </c>
      <c r="X1053" s="2" t="s">
        <v>235</v>
      </c>
      <c r="Y1053" s="2" t="s">
        <v>240</v>
      </c>
      <c r="Z1053" s="4">
        <v>582</v>
      </c>
      <c r="AA1053" s="4">
        <f>=ROUNDDOWN(116.4,0)</f>
      </c>
      <c r="AB1053" s="5">
        <v>5</v>
      </c>
      <c r="AC1053" s="2" t="s">
        <v>235</v>
      </c>
      <c r="AD1053" s="4"/>
      <c r="AE1053" s="4"/>
      <c r="AF1053" s="6">
        <v>61</v>
      </c>
      <c r="AG1053" s="6">
        <v>44</v>
      </c>
      <c r="AH1053" s="7">
        <v>1</v>
      </c>
      <c r="AI1053" s="4"/>
      <c r="AJ1053" s="4">
        <f>=ROUNDDOWN({0},0)</f>
      </c>
      <c r="AK1053" s="5"/>
      <c r="AL1053" s="2" t="s">
        <v>235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>
        <v>14</v>
      </c>
      <c r="BK1053" s="8">
        <v>885.56</v>
      </c>
      <c r="BL1053" s="2" t="s">
        <v>4214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4215</v>
      </c>
      <c r="BV1053" s="2" t="s">
        <v>828</v>
      </c>
      <c r="BW1053" s="2" t="s">
        <v>235</v>
      </c>
      <c r="BX1053" s="2" t="s">
        <v>244</v>
      </c>
      <c r="BY1053" s="2" t="s">
        <v>245</v>
      </c>
      <c r="BZ1053" s="2" t="s">
        <v>232</v>
      </c>
      <c r="CA1053" s="2" t="s">
        <v>2015</v>
      </c>
      <c r="CB1053" s="2" t="s">
        <v>4216</v>
      </c>
      <c r="CC1053" s="2" t="s">
        <v>248</v>
      </c>
      <c r="CD1053" s="2" t="s">
        <v>248</v>
      </c>
      <c r="CE1053" s="2" t="s">
        <v>235</v>
      </c>
      <c r="CF1053" s="4"/>
      <c r="CG1053" s="4">
        <v>459</v>
      </c>
      <c r="CH1053" s="4"/>
      <c r="CI1053" s="4">
        <v>123</v>
      </c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>
        <v>596</v>
      </c>
      <c r="GE1053" s="4">
        <v>590</v>
      </c>
      <c r="GF1053" s="4">
        <v>585</v>
      </c>
      <c r="GG1053" s="4">
        <v>580</v>
      </c>
      <c r="GH1053" s="4">
        <v>575</v>
      </c>
      <c r="GI1053" s="4">
        <v>570</v>
      </c>
      <c r="GJ1053" s="4">
        <v>565</v>
      </c>
      <c r="GK1053" s="4">
        <v>560</v>
      </c>
      <c r="GL1053" s="4">
        <v>555</v>
      </c>
      <c r="GM1053" s="4">
        <v>550</v>
      </c>
      <c r="GN1053" s="4">
        <v>545</v>
      </c>
      <c r="GO1053" s="4">
        <v>540</v>
      </c>
      <c r="GP1053" s="4">
        <v>535</v>
      </c>
      <c r="GQ1053" s="4">
        <v>530</v>
      </c>
      <c r="GR1053" s="4">
        <v>525</v>
      </c>
      <c r="GS1053" s="4">
        <v>519</v>
      </c>
      <c r="GT1053" s="4">
        <v>513</v>
      </c>
      <c r="GU1053" s="4">
        <v>507</v>
      </c>
      <c r="GV1053" s="4">
        <v>502</v>
      </c>
      <c r="GW1053" s="4">
        <v>498</v>
      </c>
      <c r="GX1053" s="4">
        <v>494</v>
      </c>
      <c r="GY1053" s="4">
        <v>490</v>
      </c>
      <c r="GZ1053" s="4">
        <v>485</v>
      </c>
      <c r="HA1053" s="4">
        <v>480</v>
      </c>
      <c r="HB1053" s="4">
        <v>475</v>
      </c>
      <c r="HC1053" s="4">
        <v>470</v>
      </c>
      <c r="HD1053" s="19">
        <v>125.2</v>
      </c>
      <c r="HE1053" s="19">
        <v>124</v>
      </c>
      <c r="HF1053" s="19">
        <v>123</v>
      </c>
      <c r="HG1053" s="19">
        <v>122</v>
      </c>
      <c r="HH1053" s="19">
        <v>121</v>
      </c>
      <c r="HI1053" s="19">
        <v>120</v>
      </c>
      <c r="HJ1053" s="19">
        <v>119</v>
      </c>
      <c r="HK1053" s="19">
        <v>118</v>
      </c>
      <c r="HL1053" s="19">
        <v>117</v>
      </c>
      <c r="HM1053" s="19">
        <v>116</v>
      </c>
      <c r="HN1053" s="19">
        <v>115</v>
      </c>
      <c r="HO1053" s="19">
        <v>114</v>
      </c>
      <c r="HP1053" s="19">
        <v>113</v>
      </c>
      <c r="HQ1053" s="19">
        <v>101.8</v>
      </c>
      <c r="HR1053" s="19">
        <v>100.9</v>
      </c>
      <c r="HS1053" s="19">
        <v>109.9</v>
      </c>
      <c r="HT1053" s="19">
        <v>108.8</v>
      </c>
      <c r="HU1053" s="19">
        <v>123.9</v>
      </c>
      <c r="HV1053" s="19">
        <v>122.7</v>
      </c>
      <c r="HW1053" s="19">
        <v>105.8</v>
      </c>
      <c r="HX1053" s="19">
        <v>104.9</v>
      </c>
      <c r="HY1053" s="19">
        <v>104</v>
      </c>
      <c r="HZ1053" s="19">
        <v>103</v>
      </c>
      <c r="IA1053" s="19">
        <v>102</v>
      </c>
      <c r="IB1053" s="19">
        <v>101</v>
      </c>
      <c r="IC1053" s="19">
        <v>100</v>
      </c>
    </row>
    <row r="1054">
      <c r="A1054" s="2" t="s">
        <v>4217</v>
      </c>
      <c r="B1054" s="2" t="s">
        <v>871</v>
      </c>
      <c r="C1054" s="2" t="s">
        <v>324</v>
      </c>
      <c r="D1054" s="2" t="s">
        <v>1452</v>
      </c>
      <c r="E1054" s="2" t="s">
        <v>1895</v>
      </c>
      <c r="F1054" s="2" t="s">
        <v>4218</v>
      </c>
      <c r="G1054" s="2" t="s">
        <v>4219</v>
      </c>
      <c r="H1054" s="2" t="s">
        <v>1419</v>
      </c>
      <c r="I1054" s="2" t="s">
        <v>4220</v>
      </c>
      <c r="J1054" s="2" t="s">
        <v>372</v>
      </c>
      <c r="K1054" s="2" t="s">
        <v>600</v>
      </c>
      <c r="L1054" s="3">
        <v>42.85</v>
      </c>
      <c r="M1054" s="3">
        <v>44.99</v>
      </c>
      <c r="N1054" s="3">
        <v>89.99</v>
      </c>
      <c r="O1054" s="2" t="s">
        <v>407</v>
      </c>
      <c r="P1054" s="2" t="s">
        <v>408</v>
      </c>
      <c r="Q1054" s="2" t="s">
        <v>234</v>
      </c>
      <c r="R1054" s="2" t="s">
        <v>235</v>
      </c>
      <c r="S1054" s="2" t="s">
        <v>4221</v>
      </c>
      <c r="T1054" s="2" t="s">
        <v>235</v>
      </c>
      <c r="U1054" s="2" t="s">
        <v>552</v>
      </c>
      <c r="V1054" s="2" t="s">
        <v>238</v>
      </c>
      <c r="W1054" s="2" t="s">
        <v>239</v>
      </c>
      <c r="X1054" s="2" t="s">
        <v>1354</v>
      </c>
      <c r="Y1054" s="2" t="s">
        <v>4222</v>
      </c>
      <c r="Z1054" s="4">
        <v>96</v>
      </c>
      <c r="AA1054" s="4">
        <f>=ROUNDDOWN(48,0)</f>
      </c>
      <c r="AB1054" s="5">
        <v>2</v>
      </c>
      <c r="AC1054" s="2" t="s">
        <v>235</v>
      </c>
      <c r="AD1054" s="4"/>
      <c r="AE1054" s="4"/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235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>
        <v>8</v>
      </c>
      <c r="BK1054" s="8">
        <v>275.23</v>
      </c>
      <c r="BL1054" s="2" t="s">
        <v>4223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4224</v>
      </c>
      <c r="BV1054" s="2" t="s">
        <v>243</v>
      </c>
      <c r="BW1054" s="2" t="s">
        <v>235</v>
      </c>
      <c r="BX1054" s="2" t="s">
        <v>414</v>
      </c>
      <c r="BY1054" s="2" t="s">
        <v>245</v>
      </c>
      <c r="BZ1054" s="2" t="s">
        <v>232</v>
      </c>
      <c r="CA1054" s="2" t="s">
        <v>4072</v>
      </c>
      <c r="CB1054" s="2" t="s">
        <v>4225</v>
      </c>
      <c r="CC1054" s="2" t="s">
        <v>492</v>
      </c>
      <c r="CD1054" s="2" t="s">
        <v>248</v>
      </c>
      <c r="CE1054" s="2" t="s">
        <v>235</v>
      </c>
      <c r="CF1054" s="4">
        <v>96</v>
      </c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>
        <v>96</v>
      </c>
      <c r="GE1054" s="4">
        <v>94</v>
      </c>
      <c r="GF1054" s="4">
        <v>92</v>
      </c>
      <c r="GG1054" s="4">
        <v>90</v>
      </c>
      <c r="GH1054" s="4">
        <v>88</v>
      </c>
      <c r="GI1054" s="4">
        <v>86</v>
      </c>
      <c r="GJ1054" s="4">
        <v>84</v>
      </c>
      <c r="GK1054" s="4">
        <v>82</v>
      </c>
      <c r="GL1054" s="4">
        <v>80</v>
      </c>
      <c r="GM1054" s="4">
        <v>78</v>
      </c>
      <c r="GN1054" s="4">
        <v>76</v>
      </c>
      <c r="GO1054" s="4">
        <v>74</v>
      </c>
      <c r="GP1054" s="4">
        <v>72</v>
      </c>
      <c r="GQ1054" s="4">
        <v>68</v>
      </c>
      <c r="GR1054" s="4">
        <v>65</v>
      </c>
      <c r="GS1054" s="4">
        <v>62</v>
      </c>
      <c r="GT1054" s="4">
        <v>60</v>
      </c>
      <c r="GU1054" s="4">
        <v>59</v>
      </c>
      <c r="GV1054" s="4">
        <v>57</v>
      </c>
      <c r="GW1054" s="4">
        <v>55</v>
      </c>
      <c r="GX1054" s="4">
        <v>53</v>
      </c>
      <c r="GY1054" s="4">
        <v>51</v>
      </c>
      <c r="GZ1054" s="4">
        <v>49</v>
      </c>
      <c r="HA1054" s="4">
        <v>47</v>
      </c>
      <c r="HB1054" s="4">
        <v>45</v>
      </c>
      <c r="HC1054" s="4">
        <v>43</v>
      </c>
      <c r="HD1054" s="19">
        <v>48</v>
      </c>
      <c r="HE1054" s="19">
        <v>47</v>
      </c>
      <c r="HF1054" s="19">
        <v>46</v>
      </c>
      <c r="HG1054" s="19">
        <v>45</v>
      </c>
      <c r="HH1054" s="19">
        <v>44</v>
      </c>
      <c r="HI1054" s="19">
        <v>43</v>
      </c>
      <c r="HJ1054" s="19">
        <v>42</v>
      </c>
      <c r="HK1054" s="19">
        <v>41</v>
      </c>
      <c r="HL1054" s="19">
        <v>40</v>
      </c>
      <c r="HM1054" s="19">
        <v>39</v>
      </c>
      <c r="HN1054" s="19">
        <v>25.3</v>
      </c>
      <c r="HO1054" s="19">
        <v>24.7</v>
      </c>
      <c r="HP1054" s="19">
        <v>24</v>
      </c>
      <c r="HQ1054" s="19">
        <v>34</v>
      </c>
      <c r="HR1054" s="19">
        <v>32.5</v>
      </c>
      <c r="HS1054" s="19">
        <v>31</v>
      </c>
      <c r="HT1054" s="19">
        <v>30</v>
      </c>
      <c r="HU1054" s="19">
        <v>29.5</v>
      </c>
      <c r="HV1054" s="19">
        <v>28.5</v>
      </c>
      <c r="HW1054" s="19">
        <v>27.5</v>
      </c>
      <c r="HX1054" s="19">
        <v>26.5</v>
      </c>
      <c r="HY1054" s="19">
        <v>25.5</v>
      </c>
      <c r="HZ1054" s="19">
        <v>24.5</v>
      </c>
      <c r="IA1054" s="19">
        <v>23.5</v>
      </c>
      <c r="IB1054" s="19">
        <v>22.5</v>
      </c>
      <c r="IC1054" s="19">
        <v>21.5</v>
      </c>
    </row>
    <row r="1055">
      <c r="A1055" s="2" t="s">
        <v>4226</v>
      </c>
      <c r="B1055" s="2" t="s">
        <v>255</v>
      </c>
      <c r="C1055" s="2" t="s">
        <v>256</v>
      </c>
      <c r="D1055" s="2" t="s">
        <v>4227</v>
      </c>
      <c r="E1055" s="2" t="s">
        <v>4228</v>
      </c>
      <c r="F1055" s="2" t="s">
        <v>4229</v>
      </c>
      <c r="G1055" s="2" t="s">
        <v>4229</v>
      </c>
      <c r="H1055" s="2" t="s">
        <v>4229</v>
      </c>
      <c r="I1055" s="2" t="s">
        <v>4230</v>
      </c>
      <c r="J1055" s="2" t="s">
        <v>365</v>
      </c>
      <c r="K1055" s="2" t="s">
        <v>4231</v>
      </c>
      <c r="L1055" s="3">
        <v>240</v>
      </c>
      <c r="M1055" s="3">
        <v>252</v>
      </c>
      <c r="N1055" s="3">
        <v>599.99</v>
      </c>
      <c r="O1055" s="2" t="s">
        <v>232</v>
      </c>
      <c r="P1055" s="2" t="s">
        <v>262</v>
      </c>
      <c r="Q1055" s="2" t="s">
        <v>234</v>
      </c>
      <c r="R1055" s="2" t="s">
        <v>235</v>
      </c>
      <c r="S1055" s="2" t="s">
        <v>235</v>
      </c>
      <c r="T1055" s="2" t="s">
        <v>302</v>
      </c>
      <c r="U1055" s="2" t="s">
        <v>552</v>
      </c>
      <c r="V1055" s="2" t="s">
        <v>238</v>
      </c>
      <c r="W1055" s="2" t="s">
        <v>329</v>
      </c>
      <c r="X1055" s="2" t="s">
        <v>1052</v>
      </c>
      <c r="Y1055" s="2" t="s">
        <v>644</v>
      </c>
      <c r="Z1055" s="4">
        <v>208</v>
      </c>
      <c r="AA1055" s="4">
        <f>=ROUNDDOWN(52,0)</f>
      </c>
      <c r="AB1055" s="5">
        <v>4</v>
      </c>
      <c r="AC1055" s="2" t="s">
        <v>235</v>
      </c>
      <c r="AD1055" s="4"/>
      <c r="AE1055" s="4"/>
      <c r="AF1055" s="6"/>
      <c r="AG1055" s="6">
        <v>50</v>
      </c>
      <c r="AH1055" s="7">
        <v>1</v>
      </c>
      <c r="AI1055" s="4"/>
      <c r="AJ1055" s="4">
        <f>=ROUNDDOWN({0},0)</f>
      </c>
      <c r="AK1055" s="5"/>
      <c r="AL1055" s="2" t="s">
        <v>235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235</v>
      </c>
      <c r="AW1055" s="8" t="s">
        <v>235</v>
      </c>
      <c r="AX1055" s="4" t="s">
        <v>235</v>
      </c>
      <c r="AY1055" s="8" t="s">
        <v>235</v>
      </c>
      <c r="AZ1055" s="7" t="s">
        <v>235</v>
      </c>
      <c r="BA1055" s="7" t="s">
        <v>235</v>
      </c>
      <c r="BB1055" s="7"/>
      <c r="BC1055" s="4" t="s">
        <v>235</v>
      </c>
      <c r="BD1055" s="8" t="s">
        <v>235</v>
      </c>
      <c r="BE1055" s="4" t="s">
        <v>235</v>
      </c>
      <c r="BF1055" s="8" t="s">
        <v>235</v>
      </c>
      <c r="BG1055" s="7" t="s">
        <v>235</v>
      </c>
      <c r="BH1055" s="7" t="s">
        <v>235</v>
      </c>
      <c r="BI1055" s="7"/>
      <c r="BJ1055" s="4">
        <v>8</v>
      </c>
      <c r="BK1055" s="8">
        <v>1656</v>
      </c>
      <c r="BL1055" s="2" t="s">
        <v>2696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4232</v>
      </c>
      <c r="BV1055" s="2" t="s">
        <v>235</v>
      </c>
      <c r="BW1055" s="2" t="s">
        <v>235</v>
      </c>
      <c r="BX1055" s="2" t="s">
        <v>244</v>
      </c>
      <c r="BY1055" s="2" t="s">
        <v>245</v>
      </c>
      <c r="BZ1055" s="2" t="s">
        <v>232</v>
      </c>
      <c r="CA1055" s="2" t="s">
        <v>235</v>
      </c>
      <c r="CB1055" s="2" t="s">
        <v>235</v>
      </c>
      <c r="CC1055" s="2" t="s">
        <v>248</v>
      </c>
      <c r="CD1055" s="2" t="s">
        <v>248</v>
      </c>
      <c r="CE1055" s="2" t="s">
        <v>235</v>
      </c>
      <c r="CF1055" s="4"/>
      <c r="CG1055" s="4"/>
      <c r="CH1055" s="4"/>
      <c r="CI1055" s="4">
        <v>208</v>
      </c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>
        <v>208</v>
      </c>
      <c r="GE1055" s="4">
        <v>203</v>
      </c>
      <c r="GF1055" s="4">
        <v>199</v>
      </c>
      <c r="GG1055" s="4">
        <v>195</v>
      </c>
      <c r="GH1055" s="4">
        <v>191</v>
      </c>
      <c r="GI1055" s="4">
        <v>187</v>
      </c>
      <c r="GJ1055" s="4">
        <v>181</v>
      </c>
      <c r="GK1055" s="4">
        <v>176</v>
      </c>
      <c r="GL1055" s="4">
        <v>171</v>
      </c>
      <c r="GM1055" s="4">
        <v>167</v>
      </c>
      <c r="GN1055" s="4">
        <v>163</v>
      </c>
      <c r="GO1055" s="4">
        <v>158</v>
      </c>
      <c r="GP1055" s="4">
        <v>153</v>
      </c>
      <c r="GQ1055" s="4">
        <v>144</v>
      </c>
      <c r="GR1055" s="4">
        <v>138</v>
      </c>
      <c r="GS1055" s="4">
        <v>132</v>
      </c>
      <c r="GT1055" s="4">
        <v>128</v>
      </c>
      <c r="GU1055" s="4">
        <v>125</v>
      </c>
      <c r="GV1055" s="4">
        <v>121</v>
      </c>
      <c r="GW1055" s="4">
        <v>117</v>
      </c>
      <c r="GX1055" s="4">
        <v>113</v>
      </c>
      <c r="GY1055" s="4">
        <v>109</v>
      </c>
      <c r="GZ1055" s="4">
        <v>105</v>
      </c>
      <c r="HA1055" s="4">
        <v>101</v>
      </c>
      <c r="HB1055" s="4">
        <v>97</v>
      </c>
      <c r="HC1055" s="4">
        <v>93</v>
      </c>
      <c r="HD1055" s="19">
        <v>52</v>
      </c>
      <c r="HE1055" s="19">
        <v>50.8</v>
      </c>
      <c r="HF1055" s="19">
        <v>49.8</v>
      </c>
      <c r="HG1055" s="19">
        <v>39</v>
      </c>
      <c r="HH1055" s="19">
        <v>38.2</v>
      </c>
      <c r="HI1055" s="19">
        <v>37.4</v>
      </c>
      <c r="HJ1055" s="19">
        <v>45.3</v>
      </c>
      <c r="HK1055" s="19">
        <v>44</v>
      </c>
      <c r="HL1055" s="19">
        <v>42.8</v>
      </c>
      <c r="HM1055" s="19">
        <v>27.8</v>
      </c>
      <c r="HN1055" s="19">
        <v>27.2</v>
      </c>
      <c r="HO1055" s="19">
        <v>26.3</v>
      </c>
      <c r="HP1055" s="19">
        <v>25.5</v>
      </c>
      <c r="HQ1055" s="19">
        <v>28.8</v>
      </c>
      <c r="HR1055" s="19">
        <v>34.5</v>
      </c>
      <c r="HS1055" s="19">
        <v>33</v>
      </c>
      <c r="HT1055" s="19">
        <v>32</v>
      </c>
      <c r="HU1055" s="19">
        <v>31.3</v>
      </c>
      <c r="HV1055" s="19">
        <v>30.3</v>
      </c>
      <c r="HW1055" s="19">
        <v>29.3</v>
      </c>
      <c r="HX1055" s="19">
        <v>28.3</v>
      </c>
      <c r="HY1055" s="19">
        <v>27.3</v>
      </c>
      <c r="HZ1055" s="19">
        <v>26.3</v>
      </c>
      <c r="IA1055" s="19">
        <v>25.3</v>
      </c>
      <c r="IB1055" s="19">
        <v>24.3</v>
      </c>
      <c r="IC1055" s="19">
        <v>23.3</v>
      </c>
    </row>
    <row r="1056">
      <c r="A1056" s="2" t="s">
        <v>4233</v>
      </c>
      <c r="B1056" s="2" t="s">
        <v>255</v>
      </c>
      <c r="C1056" s="2" t="s">
        <v>256</v>
      </c>
      <c r="D1056" s="2" t="s">
        <v>4227</v>
      </c>
      <c r="E1056" s="2" t="s">
        <v>4228</v>
      </c>
      <c r="F1056" s="2" t="s">
        <v>4229</v>
      </c>
      <c r="G1056" s="2" t="s">
        <v>4229</v>
      </c>
      <c r="H1056" s="2" t="s">
        <v>4229</v>
      </c>
      <c r="I1056" s="2" t="s">
        <v>4230</v>
      </c>
      <c r="J1056" s="2" t="s">
        <v>372</v>
      </c>
      <c r="K1056" s="2" t="s">
        <v>4231</v>
      </c>
      <c r="L1056" s="3">
        <v>280</v>
      </c>
      <c r="M1056" s="3">
        <v>294</v>
      </c>
      <c r="N1056" s="3">
        <v>699.99</v>
      </c>
      <c r="O1056" s="2" t="s">
        <v>232</v>
      </c>
      <c r="P1056" s="2" t="s">
        <v>262</v>
      </c>
      <c r="Q1056" s="2" t="s">
        <v>234</v>
      </c>
      <c r="R1056" s="2" t="s">
        <v>235</v>
      </c>
      <c r="S1056" s="2" t="s">
        <v>235</v>
      </c>
      <c r="T1056" s="2" t="s">
        <v>302</v>
      </c>
      <c r="U1056" s="2" t="s">
        <v>552</v>
      </c>
      <c r="V1056" s="2" t="s">
        <v>238</v>
      </c>
      <c r="W1056" s="2" t="s">
        <v>329</v>
      </c>
      <c r="X1056" s="2" t="s">
        <v>1052</v>
      </c>
      <c r="Y1056" s="2" t="s">
        <v>644</v>
      </c>
      <c r="Z1056" s="4">
        <v>279</v>
      </c>
      <c r="AA1056" s="4">
        <f>=ROUNDDOWN(46.5,0)</f>
      </c>
      <c r="AB1056" s="5">
        <v>6</v>
      </c>
      <c r="AC1056" s="2" t="s">
        <v>235</v>
      </c>
      <c r="AD1056" s="4"/>
      <c r="AE1056" s="4"/>
      <c r="AF1056" s="6"/>
      <c r="AG1056" s="6">
        <v>50</v>
      </c>
      <c r="AH1056" s="7">
        <v>1</v>
      </c>
      <c r="AI1056" s="4"/>
      <c r="AJ1056" s="4">
        <f>=ROUNDDOWN({0},0)</f>
      </c>
      <c r="AK1056" s="5"/>
      <c r="AL1056" s="2" t="s">
        <v>235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235</v>
      </c>
      <c r="AW1056" s="8" t="s">
        <v>235</v>
      </c>
      <c r="AX1056" s="4" t="s">
        <v>235</v>
      </c>
      <c r="AY1056" s="8" t="s">
        <v>235</v>
      </c>
      <c r="AZ1056" s="7" t="s">
        <v>235</v>
      </c>
      <c r="BA1056" s="7" t="s">
        <v>235</v>
      </c>
      <c r="BB1056" s="7"/>
      <c r="BC1056" s="4" t="s">
        <v>235</v>
      </c>
      <c r="BD1056" s="8" t="s">
        <v>235</v>
      </c>
      <c r="BE1056" s="4" t="s">
        <v>235</v>
      </c>
      <c r="BF1056" s="8" t="s">
        <v>235</v>
      </c>
      <c r="BG1056" s="7" t="s">
        <v>235</v>
      </c>
      <c r="BH1056" s="7" t="s">
        <v>235</v>
      </c>
      <c r="BI1056" s="7"/>
      <c r="BJ1056" s="4">
        <v>5</v>
      </c>
      <c r="BK1056" s="8">
        <v>644</v>
      </c>
      <c r="BL1056" s="2" t="s">
        <v>2696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4232</v>
      </c>
      <c r="BV1056" s="2" t="s">
        <v>235</v>
      </c>
      <c r="BW1056" s="2" t="s">
        <v>235</v>
      </c>
      <c r="BX1056" s="2" t="s">
        <v>244</v>
      </c>
      <c r="BY1056" s="2" t="s">
        <v>245</v>
      </c>
      <c r="BZ1056" s="2" t="s">
        <v>232</v>
      </c>
      <c r="CA1056" s="2" t="s">
        <v>235</v>
      </c>
      <c r="CB1056" s="2" t="s">
        <v>235</v>
      </c>
      <c r="CC1056" s="2" t="s">
        <v>248</v>
      </c>
      <c r="CD1056" s="2" t="s">
        <v>248</v>
      </c>
      <c r="CE1056" s="2" t="s">
        <v>235</v>
      </c>
      <c r="CF1056" s="4"/>
      <c r="CG1056" s="4"/>
      <c r="CH1056" s="4"/>
      <c r="CI1056" s="4">
        <v>279</v>
      </c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>
        <v>281</v>
      </c>
      <c r="GE1056" s="4">
        <v>269</v>
      </c>
      <c r="GF1056" s="4">
        <v>263</v>
      </c>
      <c r="GG1056" s="4">
        <v>257</v>
      </c>
      <c r="GH1056" s="4">
        <v>251</v>
      </c>
      <c r="GI1056" s="4">
        <v>245</v>
      </c>
      <c r="GJ1056" s="4">
        <v>237</v>
      </c>
      <c r="GK1056" s="4">
        <v>229</v>
      </c>
      <c r="GL1056" s="4">
        <v>222</v>
      </c>
      <c r="GM1056" s="4">
        <v>215</v>
      </c>
      <c r="GN1056" s="4">
        <v>210</v>
      </c>
      <c r="GO1056" s="4">
        <v>203</v>
      </c>
      <c r="GP1056" s="4">
        <v>196</v>
      </c>
      <c r="GQ1056" s="4">
        <v>184</v>
      </c>
      <c r="GR1056" s="4">
        <v>175</v>
      </c>
      <c r="GS1056" s="4">
        <v>167</v>
      </c>
      <c r="GT1056" s="4">
        <v>162</v>
      </c>
      <c r="GU1056" s="4">
        <v>158</v>
      </c>
      <c r="GV1056" s="4">
        <v>151</v>
      </c>
      <c r="GW1056" s="4">
        <v>145</v>
      </c>
      <c r="GX1056" s="4">
        <v>139</v>
      </c>
      <c r="GY1056" s="4">
        <v>133</v>
      </c>
      <c r="GZ1056" s="4">
        <v>127</v>
      </c>
      <c r="HA1056" s="4">
        <v>121</v>
      </c>
      <c r="HB1056" s="4">
        <v>115</v>
      </c>
      <c r="HC1056" s="4">
        <v>108</v>
      </c>
      <c r="HD1056" s="19">
        <v>35.1</v>
      </c>
      <c r="HE1056" s="19">
        <v>44.8</v>
      </c>
      <c r="HF1056" s="19">
        <v>43.8</v>
      </c>
      <c r="HG1056" s="19">
        <v>36.7</v>
      </c>
      <c r="HH1056" s="19">
        <v>35.9</v>
      </c>
      <c r="HI1056" s="19">
        <v>30.6</v>
      </c>
      <c r="HJ1056" s="19">
        <v>33.9</v>
      </c>
      <c r="HK1056" s="19">
        <v>38.2</v>
      </c>
      <c r="HL1056" s="19">
        <v>37</v>
      </c>
      <c r="HM1056" s="19">
        <v>26.9</v>
      </c>
      <c r="HN1056" s="19">
        <v>23.3</v>
      </c>
      <c r="HO1056" s="19">
        <v>22.6</v>
      </c>
      <c r="HP1056" s="19">
        <v>24.5</v>
      </c>
      <c r="HQ1056" s="19">
        <v>30.7</v>
      </c>
      <c r="HR1056" s="19">
        <v>29.2</v>
      </c>
      <c r="HS1056" s="19">
        <v>27.8</v>
      </c>
      <c r="HT1056" s="19">
        <v>27</v>
      </c>
      <c r="HU1056" s="19">
        <v>26.3</v>
      </c>
      <c r="HV1056" s="19">
        <v>25.2</v>
      </c>
      <c r="HW1056" s="19">
        <v>24.2</v>
      </c>
      <c r="HX1056" s="19">
        <v>23.2</v>
      </c>
      <c r="HY1056" s="19">
        <v>22.2</v>
      </c>
      <c r="HZ1056" s="19">
        <v>21.2</v>
      </c>
      <c r="IA1056" s="19">
        <v>20.2</v>
      </c>
      <c r="IB1056" s="19">
        <v>19.2</v>
      </c>
      <c r="IC1056" s="19">
        <v>18</v>
      </c>
    </row>
    <row r="1057">
      <c r="A1057" s="2" t="s">
        <v>4234</v>
      </c>
      <c r="B1057" s="2" t="s">
        <v>255</v>
      </c>
      <c r="C1057" s="2" t="s">
        <v>256</v>
      </c>
      <c r="D1057" s="2" t="s">
        <v>4227</v>
      </c>
      <c r="E1057" s="2" t="s">
        <v>4228</v>
      </c>
      <c r="F1057" s="2" t="s">
        <v>4229</v>
      </c>
      <c r="G1057" s="2" t="s">
        <v>4229</v>
      </c>
      <c r="H1057" s="2" t="s">
        <v>4229</v>
      </c>
      <c r="I1057" s="2" t="s">
        <v>4230</v>
      </c>
      <c r="J1057" s="2" t="s">
        <v>365</v>
      </c>
      <c r="K1057" s="2" t="s">
        <v>287</v>
      </c>
      <c r="L1057" s="3">
        <v>240</v>
      </c>
      <c r="M1057" s="3">
        <v>252</v>
      </c>
      <c r="N1057" s="3">
        <v>599.99</v>
      </c>
      <c r="O1057" s="2" t="s">
        <v>232</v>
      </c>
      <c r="P1057" s="2" t="s">
        <v>262</v>
      </c>
      <c r="Q1057" s="2" t="s">
        <v>234</v>
      </c>
      <c r="R1057" s="2" t="s">
        <v>235</v>
      </c>
      <c r="S1057" s="2" t="s">
        <v>235</v>
      </c>
      <c r="T1057" s="2" t="s">
        <v>302</v>
      </c>
      <c r="U1057" s="2" t="s">
        <v>552</v>
      </c>
      <c r="V1057" s="2" t="s">
        <v>238</v>
      </c>
      <c r="W1057" s="2" t="s">
        <v>329</v>
      </c>
      <c r="X1057" s="2" t="s">
        <v>1052</v>
      </c>
      <c r="Y1057" s="2" t="s">
        <v>644</v>
      </c>
      <c r="Z1057" s="4">
        <v>215</v>
      </c>
      <c r="AA1057" s="4">
        <f>=ROUNDDOWN(53.75,0)</f>
      </c>
      <c r="AB1057" s="5">
        <v>4</v>
      </c>
      <c r="AC1057" s="2" t="s">
        <v>235</v>
      </c>
      <c r="AD1057" s="4"/>
      <c r="AE1057" s="4"/>
      <c r="AF1057" s="6"/>
      <c r="AG1057" s="6">
        <v>50</v>
      </c>
      <c r="AH1057" s="7">
        <v>1</v>
      </c>
      <c r="AI1057" s="4"/>
      <c r="AJ1057" s="4">
        <f>=ROUNDDOWN({0},0)</f>
      </c>
      <c r="AK1057" s="5"/>
      <c r="AL1057" s="2" t="s">
        <v>235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235</v>
      </c>
      <c r="AW1057" s="8" t="s">
        <v>235</v>
      </c>
      <c r="AX1057" s="4" t="s">
        <v>235</v>
      </c>
      <c r="AY1057" s="8" t="s">
        <v>235</v>
      </c>
      <c r="AZ1057" s="7" t="s">
        <v>235</v>
      </c>
      <c r="BA1057" s="7" t="s">
        <v>235</v>
      </c>
      <c r="BB1057" s="7"/>
      <c r="BC1057" s="4" t="s">
        <v>235</v>
      </c>
      <c r="BD1057" s="8" t="s">
        <v>235</v>
      </c>
      <c r="BE1057" s="4" t="s">
        <v>235</v>
      </c>
      <c r="BF1057" s="8" t="s">
        <v>235</v>
      </c>
      <c r="BG1057" s="7" t="s">
        <v>235</v>
      </c>
      <c r="BH1057" s="7" t="s">
        <v>235</v>
      </c>
      <c r="BI1057" s="7"/>
      <c r="BJ1057" s="4">
        <v>3</v>
      </c>
      <c r="BK1057" s="8">
        <v>552</v>
      </c>
      <c r="BL1057" s="2" t="s">
        <v>2696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4232</v>
      </c>
      <c r="BV1057" s="2" t="s">
        <v>235</v>
      </c>
      <c r="BW1057" s="2" t="s">
        <v>235</v>
      </c>
      <c r="BX1057" s="2" t="s">
        <v>244</v>
      </c>
      <c r="BY1057" s="2" t="s">
        <v>245</v>
      </c>
      <c r="BZ1057" s="2" t="s">
        <v>232</v>
      </c>
      <c r="CA1057" s="2" t="s">
        <v>235</v>
      </c>
      <c r="CB1057" s="2" t="s">
        <v>235</v>
      </c>
      <c r="CC1057" s="2" t="s">
        <v>248</v>
      </c>
      <c r="CD1057" s="2" t="s">
        <v>248</v>
      </c>
      <c r="CE1057" s="2" t="s">
        <v>235</v>
      </c>
      <c r="CF1057" s="4"/>
      <c r="CG1057" s="4"/>
      <c r="CH1057" s="4"/>
      <c r="CI1057" s="4">
        <v>215</v>
      </c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>
        <v>215</v>
      </c>
      <c r="GE1057" s="4">
        <v>208</v>
      </c>
      <c r="GF1057" s="4">
        <v>204</v>
      </c>
      <c r="GG1057" s="4">
        <v>200</v>
      </c>
      <c r="GH1057" s="4">
        <v>196</v>
      </c>
      <c r="GI1057" s="4">
        <v>192</v>
      </c>
      <c r="GJ1057" s="4">
        <v>186</v>
      </c>
      <c r="GK1057" s="4">
        <v>181</v>
      </c>
      <c r="GL1057" s="4">
        <v>176</v>
      </c>
      <c r="GM1057" s="4">
        <v>172</v>
      </c>
      <c r="GN1057" s="4">
        <v>168</v>
      </c>
      <c r="GO1057" s="4">
        <v>163</v>
      </c>
      <c r="GP1057" s="4">
        <v>158</v>
      </c>
      <c r="GQ1057" s="4">
        <v>149</v>
      </c>
      <c r="GR1057" s="4">
        <v>143</v>
      </c>
      <c r="GS1057" s="4">
        <v>137</v>
      </c>
      <c r="GT1057" s="4">
        <v>133</v>
      </c>
      <c r="GU1057" s="4">
        <v>130</v>
      </c>
      <c r="GV1057" s="4">
        <v>126</v>
      </c>
      <c r="GW1057" s="4">
        <v>122</v>
      </c>
      <c r="GX1057" s="4">
        <v>118</v>
      </c>
      <c r="GY1057" s="4">
        <v>114</v>
      </c>
      <c r="GZ1057" s="4">
        <v>110</v>
      </c>
      <c r="HA1057" s="4">
        <v>106</v>
      </c>
      <c r="HB1057" s="4">
        <v>102</v>
      </c>
      <c r="HC1057" s="4">
        <v>98</v>
      </c>
      <c r="HD1057" s="19">
        <v>43</v>
      </c>
      <c r="HE1057" s="19">
        <v>52</v>
      </c>
      <c r="HF1057" s="19">
        <v>51</v>
      </c>
      <c r="HG1057" s="19">
        <v>40</v>
      </c>
      <c r="HH1057" s="19">
        <v>39.2</v>
      </c>
      <c r="HI1057" s="19">
        <v>38.4</v>
      </c>
      <c r="HJ1057" s="19">
        <v>46.5</v>
      </c>
      <c r="HK1057" s="19">
        <v>45.3</v>
      </c>
      <c r="HL1057" s="19">
        <v>44</v>
      </c>
      <c r="HM1057" s="19">
        <v>28.7</v>
      </c>
      <c r="HN1057" s="19">
        <v>28</v>
      </c>
      <c r="HO1057" s="19">
        <v>27.2</v>
      </c>
      <c r="HP1057" s="19">
        <v>26.3</v>
      </c>
      <c r="HQ1057" s="19">
        <v>29.8</v>
      </c>
      <c r="HR1057" s="19">
        <v>35.8</v>
      </c>
      <c r="HS1057" s="19">
        <v>34.3</v>
      </c>
      <c r="HT1057" s="19">
        <v>33.3</v>
      </c>
      <c r="HU1057" s="19">
        <v>32.5</v>
      </c>
      <c r="HV1057" s="19">
        <v>31.5</v>
      </c>
      <c r="HW1057" s="9"/>
      <c r="HX1057" s="19">
        <v>29.5</v>
      </c>
      <c r="HY1057" s="19">
        <v>28.5</v>
      </c>
      <c r="HZ1057" s="19">
        <v>27.5</v>
      </c>
      <c r="IA1057" s="19">
        <v>26.5</v>
      </c>
      <c r="IB1057" s="19">
        <v>25.5</v>
      </c>
      <c r="IC1057" s="19">
        <v>24.5</v>
      </c>
    </row>
    <row r="1058">
      <c r="A1058" s="2" t="s">
        <v>4235</v>
      </c>
      <c r="B1058" s="2" t="s">
        <v>255</v>
      </c>
      <c r="C1058" s="2" t="s">
        <v>256</v>
      </c>
      <c r="D1058" s="2" t="s">
        <v>4227</v>
      </c>
      <c r="E1058" s="2" t="s">
        <v>4228</v>
      </c>
      <c r="F1058" s="2" t="s">
        <v>4229</v>
      </c>
      <c r="G1058" s="2" t="s">
        <v>4229</v>
      </c>
      <c r="H1058" s="2" t="s">
        <v>4229</v>
      </c>
      <c r="I1058" s="2" t="s">
        <v>4230</v>
      </c>
      <c r="J1058" s="2" t="s">
        <v>372</v>
      </c>
      <c r="K1058" s="2" t="s">
        <v>287</v>
      </c>
      <c r="L1058" s="3">
        <v>280</v>
      </c>
      <c r="M1058" s="3">
        <v>294</v>
      </c>
      <c r="N1058" s="3">
        <v>699.99</v>
      </c>
      <c r="O1058" s="2" t="s">
        <v>232</v>
      </c>
      <c r="P1058" s="2" t="s">
        <v>262</v>
      </c>
      <c r="Q1058" s="2" t="s">
        <v>234</v>
      </c>
      <c r="R1058" s="2" t="s">
        <v>235</v>
      </c>
      <c r="S1058" s="2" t="s">
        <v>235</v>
      </c>
      <c r="T1058" s="2" t="s">
        <v>302</v>
      </c>
      <c r="U1058" s="2" t="s">
        <v>552</v>
      </c>
      <c r="V1058" s="2" t="s">
        <v>238</v>
      </c>
      <c r="W1058" s="2" t="s">
        <v>329</v>
      </c>
      <c r="X1058" s="2" t="s">
        <v>1052</v>
      </c>
      <c r="Y1058" s="2" t="s">
        <v>644</v>
      </c>
      <c r="Z1058" s="4">
        <v>289</v>
      </c>
      <c r="AA1058" s="4">
        <f>=ROUNDDOWN(48.1666666666667,0)</f>
      </c>
      <c r="AB1058" s="5">
        <v>6</v>
      </c>
      <c r="AC1058" s="2" t="s">
        <v>235</v>
      </c>
      <c r="AD1058" s="4"/>
      <c r="AE1058" s="4"/>
      <c r="AF1058" s="6"/>
      <c r="AG1058" s="6">
        <v>50</v>
      </c>
      <c r="AH1058" s="7">
        <v>1</v>
      </c>
      <c r="AI1058" s="4"/>
      <c r="AJ1058" s="4">
        <f>=ROUNDDOWN({0},0)</f>
      </c>
      <c r="AK1058" s="5"/>
      <c r="AL1058" s="2" t="s">
        <v>235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235</v>
      </c>
      <c r="AW1058" s="8" t="s">
        <v>235</v>
      </c>
      <c r="AX1058" s="4" t="s">
        <v>235</v>
      </c>
      <c r="AY1058" s="8" t="s">
        <v>235</v>
      </c>
      <c r="AZ1058" s="7" t="s">
        <v>235</v>
      </c>
      <c r="BA1058" s="7" t="s">
        <v>235</v>
      </c>
      <c r="BB1058" s="7"/>
      <c r="BC1058" s="4" t="s">
        <v>235</v>
      </c>
      <c r="BD1058" s="8" t="s">
        <v>235</v>
      </c>
      <c r="BE1058" s="4" t="s">
        <v>235</v>
      </c>
      <c r="BF1058" s="8" t="s">
        <v>235</v>
      </c>
      <c r="BG1058" s="7" t="s">
        <v>235</v>
      </c>
      <c r="BH1058" s="7" t="s">
        <v>235</v>
      </c>
      <c r="BI1058" s="7"/>
      <c r="BJ1058" s="4">
        <v>1</v>
      </c>
      <c r="BK1058" s="8"/>
      <c r="BL1058" s="2" t="s">
        <v>1949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4232</v>
      </c>
      <c r="BV1058" s="2" t="s">
        <v>235</v>
      </c>
      <c r="BW1058" s="2" t="s">
        <v>235</v>
      </c>
      <c r="BX1058" s="2" t="s">
        <v>244</v>
      </c>
      <c r="BY1058" s="2" t="s">
        <v>245</v>
      </c>
      <c r="BZ1058" s="2" t="s">
        <v>232</v>
      </c>
      <c r="CA1058" s="2" t="s">
        <v>235</v>
      </c>
      <c r="CB1058" s="2" t="s">
        <v>235</v>
      </c>
      <c r="CC1058" s="2" t="s">
        <v>248</v>
      </c>
      <c r="CD1058" s="2" t="s">
        <v>248</v>
      </c>
      <c r="CE1058" s="2" t="s">
        <v>235</v>
      </c>
      <c r="CF1058" s="4"/>
      <c r="CG1058" s="4"/>
      <c r="CH1058" s="4"/>
      <c r="CI1058" s="4">
        <v>289</v>
      </c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>
        <v>289</v>
      </c>
      <c r="GE1058" s="4">
        <v>275</v>
      </c>
      <c r="GF1058" s="4">
        <v>269</v>
      </c>
      <c r="GG1058" s="4">
        <v>263</v>
      </c>
      <c r="GH1058" s="4">
        <v>257</v>
      </c>
      <c r="GI1058" s="4">
        <v>251</v>
      </c>
      <c r="GJ1058" s="4">
        <v>243</v>
      </c>
      <c r="GK1058" s="4">
        <v>235</v>
      </c>
      <c r="GL1058" s="4">
        <v>228</v>
      </c>
      <c r="GM1058" s="4">
        <v>221</v>
      </c>
      <c r="GN1058" s="4">
        <v>216</v>
      </c>
      <c r="GO1058" s="4">
        <v>209</v>
      </c>
      <c r="GP1058" s="4">
        <v>202</v>
      </c>
      <c r="GQ1058" s="4">
        <v>190</v>
      </c>
      <c r="GR1058" s="4">
        <v>181</v>
      </c>
      <c r="GS1058" s="4">
        <v>173</v>
      </c>
      <c r="GT1058" s="4">
        <v>168</v>
      </c>
      <c r="GU1058" s="4">
        <v>164</v>
      </c>
      <c r="GV1058" s="4">
        <v>157</v>
      </c>
      <c r="GW1058" s="4">
        <v>151</v>
      </c>
      <c r="GX1058" s="4">
        <v>145</v>
      </c>
      <c r="GY1058" s="4">
        <v>139</v>
      </c>
      <c r="GZ1058" s="4">
        <v>133</v>
      </c>
      <c r="HA1058" s="4">
        <v>127</v>
      </c>
      <c r="HB1058" s="4">
        <v>121</v>
      </c>
      <c r="HC1058" s="4">
        <v>114</v>
      </c>
      <c r="HD1058" s="19">
        <v>36.1</v>
      </c>
      <c r="HE1058" s="19">
        <v>45.8</v>
      </c>
      <c r="HF1058" s="19">
        <v>44.8</v>
      </c>
      <c r="HG1058" s="19">
        <v>37.6</v>
      </c>
      <c r="HH1058" s="19">
        <v>36.7</v>
      </c>
      <c r="HI1058" s="19">
        <v>31.4</v>
      </c>
      <c r="HJ1058" s="19">
        <v>34.7</v>
      </c>
      <c r="HK1058" s="19">
        <v>39.2</v>
      </c>
      <c r="HL1058" s="19">
        <v>38</v>
      </c>
      <c r="HM1058" s="19">
        <v>27.6</v>
      </c>
      <c r="HN1058" s="19">
        <v>24</v>
      </c>
      <c r="HO1058" s="19">
        <v>23.2</v>
      </c>
      <c r="HP1058" s="19">
        <v>25.3</v>
      </c>
      <c r="HQ1058" s="19">
        <v>31.7</v>
      </c>
      <c r="HR1058" s="19">
        <v>30.2</v>
      </c>
      <c r="HS1058" s="19">
        <v>28.8</v>
      </c>
      <c r="HT1058" s="19">
        <v>28</v>
      </c>
      <c r="HU1058" s="19">
        <v>27.3</v>
      </c>
      <c r="HV1058" s="19">
        <v>26.2</v>
      </c>
      <c r="HW1058" s="19">
        <v>25.2</v>
      </c>
      <c r="HX1058" s="19">
        <v>24.2</v>
      </c>
      <c r="HY1058" s="19">
        <v>23.2</v>
      </c>
      <c r="HZ1058" s="19">
        <v>22.2</v>
      </c>
      <c r="IA1058" s="19">
        <v>21.2</v>
      </c>
      <c r="IB1058" s="19">
        <v>20.2</v>
      </c>
      <c r="IC1058" s="19">
        <v>19</v>
      </c>
    </row>
    <row r="1059">
      <c r="A1059" s="2" t="s">
        <v>4236</v>
      </c>
      <c r="B1059" s="2" t="s">
        <v>255</v>
      </c>
      <c r="C1059" s="2" t="s">
        <v>256</v>
      </c>
      <c r="D1059" s="2" t="s">
        <v>4227</v>
      </c>
      <c r="E1059" s="2" t="s">
        <v>4228</v>
      </c>
      <c r="F1059" s="2" t="s">
        <v>4229</v>
      </c>
      <c r="G1059" s="2" t="s">
        <v>4229</v>
      </c>
      <c r="H1059" s="2" t="s">
        <v>4229</v>
      </c>
      <c r="I1059" s="2" t="s">
        <v>4230</v>
      </c>
      <c r="J1059" s="2" t="s">
        <v>372</v>
      </c>
      <c r="K1059" s="2" t="s">
        <v>302</v>
      </c>
      <c r="L1059" s="3">
        <v>280</v>
      </c>
      <c r="M1059" s="3">
        <v>294</v>
      </c>
      <c r="N1059" s="3">
        <v>699.99</v>
      </c>
      <c r="O1059" s="2" t="s">
        <v>232</v>
      </c>
      <c r="P1059" s="2" t="s">
        <v>262</v>
      </c>
      <c r="Q1059" s="2" t="s">
        <v>234</v>
      </c>
      <c r="R1059" s="2" t="s">
        <v>235</v>
      </c>
      <c r="S1059" s="2" t="s">
        <v>235</v>
      </c>
      <c r="T1059" s="2" t="s">
        <v>302</v>
      </c>
      <c r="U1059" s="2" t="s">
        <v>552</v>
      </c>
      <c r="V1059" s="2" t="s">
        <v>238</v>
      </c>
      <c r="W1059" s="2" t="s">
        <v>329</v>
      </c>
      <c r="X1059" s="2" t="s">
        <v>1052</v>
      </c>
      <c r="Y1059" s="2" t="s">
        <v>644</v>
      </c>
      <c r="Z1059" s="4">
        <v>278</v>
      </c>
      <c r="AA1059" s="4">
        <f>=ROUNDDOWN(46.3333333333333,0)</f>
      </c>
      <c r="AB1059" s="5">
        <v>6</v>
      </c>
      <c r="AC1059" s="2" t="s">
        <v>235</v>
      </c>
      <c r="AD1059" s="4"/>
      <c r="AE1059" s="4"/>
      <c r="AF1059" s="6"/>
      <c r="AG1059" s="6">
        <v>50</v>
      </c>
      <c r="AH1059" s="7">
        <v>1</v>
      </c>
      <c r="AI1059" s="4"/>
      <c r="AJ1059" s="4">
        <f>=ROUNDDOWN({0},0)</f>
      </c>
      <c r="AK1059" s="5"/>
      <c r="AL1059" s="2" t="s">
        <v>235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 t="s">
        <v>235</v>
      </c>
      <c r="BD1059" s="8" t="s">
        <v>235</v>
      </c>
      <c r="BE1059" s="4" t="s">
        <v>235</v>
      </c>
      <c r="BF1059" s="8" t="s">
        <v>235</v>
      </c>
      <c r="BG1059" s="7" t="s">
        <v>235</v>
      </c>
      <c r="BH1059" s="7" t="s">
        <v>235</v>
      </c>
      <c r="BI1059" s="7"/>
      <c r="BJ1059" s="4">
        <v>14</v>
      </c>
      <c r="BK1059" s="8"/>
      <c r="BL1059" s="2" t="s">
        <v>1949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4232</v>
      </c>
      <c r="BV1059" s="2" t="s">
        <v>235</v>
      </c>
      <c r="BW1059" s="2" t="s">
        <v>235</v>
      </c>
      <c r="BX1059" s="2" t="s">
        <v>244</v>
      </c>
      <c r="BY1059" s="2" t="s">
        <v>245</v>
      </c>
      <c r="BZ1059" s="2" t="s">
        <v>232</v>
      </c>
      <c r="CA1059" s="2" t="s">
        <v>235</v>
      </c>
      <c r="CB1059" s="2" t="s">
        <v>235</v>
      </c>
      <c r="CC1059" s="2" t="s">
        <v>248</v>
      </c>
      <c r="CD1059" s="2" t="s">
        <v>248</v>
      </c>
      <c r="CE1059" s="2" t="s">
        <v>235</v>
      </c>
      <c r="CF1059" s="4"/>
      <c r="CG1059" s="4"/>
      <c r="CH1059" s="4"/>
      <c r="CI1059" s="4">
        <v>278</v>
      </c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>
        <v>278</v>
      </c>
      <c r="GE1059" s="4">
        <v>264</v>
      </c>
      <c r="GF1059" s="4">
        <v>258</v>
      </c>
      <c r="GG1059" s="4">
        <v>252</v>
      </c>
      <c r="GH1059" s="4">
        <v>246</v>
      </c>
      <c r="GI1059" s="4">
        <v>240</v>
      </c>
      <c r="GJ1059" s="4">
        <v>232</v>
      </c>
      <c r="GK1059" s="4">
        <v>224</v>
      </c>
      <c r="GL1059" s="4">
        <v>217</v>
      </c>
      <c r="GM1059" s="4">
        <v>210</v>
      </c>
      <c r="GN1059" s="4">
        <v>205</v>
      </c>
      <c r="GO1059" s="4">
        <v>198</v>
      </c>
      <c r="GP1059" s="4">
        <v>191</v>
      </c>
      <c r="GQ1059" s="4">
        <v>179</v>
      </c>
      <c r="GR1059" s="4">
        <v>170</v>
      </c>
      <c r="GS1059" s="4">
        <v>162</v>
      </c>
      <c r="GT1059" s="4">
        <v>157</v>
      </c>
      <c r="GU1059" s="4">
        <v>153</v>
      </c>
      <c r="GV1059" s="4">
        <v>146</v>
      </c>
      <c r="GW1059" s="4">
        <v>140</v>
      </c>
      <c r="GX1059" s="4">
        <v>134</v>
      </c>
      <c r="GY1059" s="4">
        <v>128</v>
      </c>
      <c r="GZ1059" s="4">
        <v>122</v>
      </c>
      <c r="HA1059" s="4">
        <v>116</v>
      </c>
      <c r="HB1059" s="4">
        <v>110</v>
      </c>
      <c r="HC1059" s="4">
        <v>103</v>
      </c>
      <c r="HD1059" s="19">
        <v>34.8</v>
      </c>
      <c r="HE1059" s="19">
        <v>44</v>
      </c>
      <c r="HF1059" s="19">
        <v>43</v>
      </c>
      <c r="HG1059" s="19">
        <v>36</v>
      </c>
      <c r="HH1059" s="19">
        <v>35.1</v>
      </c>
      <c r="HI1059" s="19">
        <v>30</v>
      </c>
      <c r="HJ1059" s="19">
        <v>33.1</v>
      </c>
      <c r="HK1059" s="19">
        <v>37.3</v>
      </c>
      <c r="HL1059" s="19">
        <v>36.2</v>
      </c>
      <c r="HM1059" s="19">
        <v>26.3</v>
      </c>
      <c r="HN1059" s="19">
        <v>22.8</v>
      </c>
      <c r="HO1059" s="19">
        <v>22</v>
      </c>
      <c r="HP1059" s="19">
        <v>23.9</v>
      </c>
      <c r="HQ1059" s="19">
        <v>29.8</v>
      </c>
      <c r="HR1059" s="19">
        <v>28.3</v>
      </c>
      <c r="HS1059" s="19">
        <v>27</v>
      </c>
      <c r="HT1059" s="19">
        <v>26.2</v>
      </c>
      <c r="HU1059" s="19">
        <v>25.5</v>
      </c>
      <c r="HV1059" s="19">
        <v>24.3</v>
      </c>
      <c r="HW1059" s="19">
        <v>23.3</v>
      </c>
      <c r="HX1059" s="19">
        <v>22.3</v>
      </c>
      <c r="HY1059" s="19">
        <v>21.3</v>
      </c>
      <c r="HZ1059" s="19">
        <v>20.3</v>
      </c>
      <c r="IA1059" s="19">
        <v>19.3</v>
      </c>
      <c r="IB1059" s="19">
        <v>18.3</v>
      </c>
      <c r="IC1059" s="19">
        <v>17.2</v>
      </c>
    </row>
    <row r="1060">
      <c r="A1060" s="2" t="s">
        <v>4237</v>
      </c>
      <c r="B1060" s="2" t="s">
        <v>255</v>
      </c>
      <c r="C1060" s="2" t="s">
        <v>256</v>
      </c>
      <c r="D1060" s="2" t="s">
        <v>4227</v>
      </c>
      <c r="E1060" s="2" t="s">
        <v>4228</v>
      </c>
      <c r="F1060" s="2" t="s">
        <v>4229</v>
      </c>
      <c r="G1060" s="2" t="s">
        <v>4229</v>
      </c>
      <c r="H1060" s="2" t="s">
        <v>4229</v>
      </c>
      <c r="I1060" s="2" t="s">
        <v>4230</v>
      </c>
      <c r="J1060" s="2" t="s">
        <v>365</v>
      </c>
      <c r="K1060" s="2" t="s">
        <v>793</v>
      </c>
      <c r="L1060" s="3">
        <v>240</v>
      </c>
      <c r="M1060" s="3">
        <v>252</v>
      </c>
      <c r="N1060" s="3">
        <v>599.99</v>
      </c>
      <c r="O1060" s="2" t="s">
        <v>232</v>
      </c>
      <c r="P1060" s="2" t="s">
        <v>262</v>
      </c>
      <c r="Q1060" s="2" t="s">
        <v>234</v>
      </c>
      <c r="R1060" s="2" t="s">
        <v>235</v>
      </c>
      <c r="S1060" s="2" t="s">
        <v>235</v>
      </c>
      <c r="T1060" s="2" t="s">
        <v>302</v>
      </c>
      <c r="U1060" s="2" t="s">
        <v>552</v>
      </c>
      <c r="V1060" s="2" t="s">
        <v>238</v>
      </c>
      <c r="W1060" s="2" t="s">
        <v>329</v>
      </c>
      <c r="X1060" s="2" t="s">
        <v>1052</v>
      </c>
      <c r="Y1060" s="2" t="s">
        <v>644</v>
      </c>
      <c r="Z1060" s="4">
        <v>213</v>
      </c>
      <c r="AA1060" s="4">
        <f>=ROUNDDOWN(53.25,0)</f>
      </c>
      <c r="AB1060" s="5">
        <v>4</v>
      </c>
      <c r="AC1060" s="2" t="s">
        <v>235</v>
      </c>
      <c r="AD1060" s="4"/>
      <c r="AE1060" s="4"/>
      <c r="AF1060" s="6"/>
      <c r="AG1060" s="6">
        <v>50</v>
      </c>
      <c r="AH1060" s="7">
        <v>1</v>
      </c>
      <c r="AI1060" s="4"/>
      <c r="AJ1060" s="4">
        <f>=ROUNDDOWN({0},0)</f>
      </c>
      <c r="AK1060" s="5"/>
      <c r="AL1060" s="2" t="s">
        <v>235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235</v>
      </c>
      <c r="AW1060" s="8" t="s">
        <v>235</v>
      </c>
      <c r="AX1060" s="4" t="s">
        <v>235</v>
      </c>
      <c r="AY1060" s="8" t="s">
        <v>235</v>
      </c>
      <c r="AZ1060" s="7" t="s">
        <v>235</v>
      </c>
      <c r="BA1060" s="7" t="s">
        <v>235</v>
      </c>
      <c r="BB1060" s="7"/>
      <c r="BC1060" s="4" t="s">
        <v>235</v>
      </c>
      <c r="BD1060" s="8" t="s">
        <v>235</v>
      </c>
      <c r="BE1060" s="4" t="s">
        <v>235</v>
      </c>
      <c r="BF1060" s="8" t="s">
        <v>235</v>
      </c>
      <c r="BG1060" s="7" t="s">
        <v>235</v>
      </c>
      <c r="BH1060" s="7" t="s">
        <v>235</v>
      </c>
      <c r="BI1060" s="7"/>
      <c r="BJ1060" s="4">
        <v>3</v>
      </c>
      <c r="BK1060" s="8"/>
      <c r="BL1060" s="2" t="s">
        <v>1949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4232</v>
      </c>
      <c r="BV1060" s="2" t="s">
        <v>235</v>
      </c>
      <c r="BW1060" s="2" t="s">
        <v>235</v>
      </c>
      <c r="BX1060" s="2" t="s">
        <v>244</v>
      </c>
      <c r="BY1060" s="2" t="s">
        <v>245</v>
      </c>
      <c r="BZ1060" s="2" t="s">
        <v>232</v>
      </c>
      <c r="CA1060" s="2" t="s">
        <v>235</v>
      </c>
      <c r="CB1060" s="2" t="s">
        <v>235</v>
      </c>
      <c r="CC1060" s="2" t="s">
        <v>248</v>
      </c>
      <c r="CD1060" s="2" t="s">
        <v>248</v>
      </c>
      <c r="CE1060" s="2" t="s">
        <v>235</v>
      </c>
      <c r="CF1060" s="4"/>
      <c r="CG1060" s="4"/>
      <c r="CH1060" s="4"/>
      <c r="CI1060" s="4">
        <v>213</v>
      </c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>
        <v>213</v>
      </c>
      <c r="GE1060" s="4">
        <v>202</v>
      </c>
      <c r="GF1060" s="4">
        <v>198</v>
      </c>
      <c r="GG1060" s="4">
        <v>194</v>
      </c>
      <c r="GH1060" s="4">
        <v>190</v>
      </c>
      <c r="GI1060" s="4">
        <v>186</v>
      </c>
      <c r="GJ1060" s="4">
        <v>180</v>
      </c>
      <c r="GK1060" s="4">
        <v>175</v>
      </c>
      <c r="GL1060" s="4">
        <v>170</v>
      </c>
      <c r="GM1060" s="4">
        <v>166</v>
      </c>
      <c r="GN1060" s="4">
        <v>162</v>
      </c>
      <c r="GO1060" s="4">
        <v>157</v>
      </c>
      <c r="GP1060" s="4">
        <v>152</v>
      </c>
      <c r="GQ1060" s="4">
        <v>143</v>
      </c>
      <c r="GR1060" s="4">
        <v>137</v>
      </c>
      <c r="GS1060" s="4">
        <v>131</v>
      </c>
      <c r="GT1060" s="4">
        <v>127</v>
      </c>
      <c r="GU1060" s="4">
        <v>124</v>
      </c>
      <c r="GV1060" s="4">
        <v>120</v>
      </c>
      <c r="GW1060" s="4">
        <v>116</v>
      </c>
      <c r="GX1060" s="4">
        <v>112</v>
      </c>
      <c r="GY1060" s="4">
        <v>108</v>
      </c>
      <c r="GZ1060" s="4">
        <v>104</v>
      </c>
      <c r="HA1060" s="4">
        <v>100</v>
      </c>
      <c r="HB1060" s="4">
        <v>96</v>
      </c>
      <c r="HC1060" s="4">
        <v>92</v>
      </c>
      <c r="HD1060" s="19">
        <v>35.5</v>
      </c>
      <c r="HE1060" s="19">
        <v>50.5</v>
      </c>
      <c r="HF1060" s="19">
        <v>49.5</v>
      </c>
      <c r="HG1060" s="19">
        <v>38.8</v>
      </c>
      <c r="HH1060" s="19">
        <v>38</v>
      </c>
      <c r="HI1060" s="19">
        <v>37.2</v>
      </c>
      <c r="HJ1060" s="19">
        <v>45</v>
      </c>
      <c r="HK1060" s="19">
        <v>43.8</v>
      </c>
      <c r="HL1060" s="19">
        <v>42.5</v>
      </c>
      <c r="HM1060" s="19">
        <v>27.7</v>
      </c>
      <c r="HN1060" s="19">
        <v>27</v>
      </c>
      <c r="HO1060" s="19">
        <v>26.2</v>
      </c>
      <c r="HP1060" s="19">
        <v>25.3</v>
      </c>
      <c r="HQ1060" s="19">
        <v>28.6</v>
      </c>
      <c r="HR1060" s="19">
        <v>34.3</v>
      </c>
      <c r="HS1060" s="19">
        <v>32.8</v>
      </c>
      <c r="HT1060" s="19">
        <v>31.8</v>
      </c>
      <c r="HU1060" s="19">
        <v>31</v>
      </c>
      <c r="HV1060" s="19">
        <v>30</v>
      </c>
      <c r="HW1060" s="19">
        <v>29</v>
      </c>
      <c r="HX1060" s="19">
        <v>28</v>
      </c>
      <c r="HY1060" s="19">
        <v>27</v>
      </c>
      <c r="HZ1060" s="19">
        <v>26</v>
      </c>
      <c r="IA1060" s="19">
        <v>25</v>
      </c>
      <c r="IB1060" s="19">
        <v>24</v>
      </c>
      <c r="IC1060" s="19">
        <v>23</v>
      </c>
    </row>
    <row r="1061">
      <c r="A1061" s="2" t="s">
        <v>4238</v>
      </c>
      <c r="B1061" s="2" t="s">
        <v>255</v>
      </c>
      <c r="C1061" s="2" t="s">
        <v>256</v>
      </c>
      <c r="D1061" s="2" t="s">
        <v>4227</v>
      </c>
      <c r="E1061" s="2" t="s">
        <v>4228</v>
      </c>
      <c r="F1061" s="2" t="s">
        <v>4229</v>
      </c>
      <c r="G1061" s="2" t="s">
        <v>4229</v>
      </c>
      <c r="H1061" s="2" t="s">
        <v>4229</v>
      </c>
      <c r="I1061" s="2" t="s">
        <v>4230</v>
      </c>
      <c r="J1061" s="2" t="s">
        <v>372</v>
      </c>
      <c r="K1061" s="2" t="s">
        <v>793</v>
      </c>
      <c r="L1061" s="3">
        <v>280</v>
      </c>
      <c r="M1061" s="3">
        <v>294</v>
      </c>
      <c r="N1061" s="3">
        <v>699.99</v>
      </c>
      <c r="O1061" s="2" t="s">
        <v>232</v>
      </c>
      <c r="P1061" s="2" t="s">
        <v>262</v>
      </c>
      <c r="Q1061" s="2" t="s">
        <v>234</v>
      </c>
      <c r="R1061" s="2" t="s">
        <v>235</v>
      </c>
      <c r="S1061" s="2" t="s">
        <v>235</v>
      </c>
      <c r="T1061" s="2" t="s">
        <v>302</v>
      </c>
      <c r="U1061" s="2" t="s">
        <v>552</v>
      </c>
      <c r="V1061" s="2" t="s">
        <v>238</v>
      </c>
      <c r="W1061" s="2" t="s">
        <v>329</v>
      </c>
      <c r="X1061" s="2" t="s">
        <v>1052</v>
      </c>
      <c r="Y1061" s="2" t="s">
        <v>644</v>
      </c>
      <c r="Z1061" s="4">
        <v>282</v>
      </c>
      <c r="AA1061" s="4">
        <f>=ROUNDDOWN(47,0)</f>
      </c>
      <c r="AB1061" s="5">
        <v>6</v>
      </c>
      <c r="AC1061" s="2" t="s">
        <v>235</v>
      </c>
      <c r="AD1061" s="4"/>
      <c r="AE1061" s="4"/>
      <c r="AF1061" s="6"/>
      <c r="AG1061" s="6">
        <v>50</v>
      </c>
      <c r="AH1061" s="7">
        <v>1</v>
      </c>
      <c r="AI1061" s="4"/>
      <c r="AJ1061" s="4">
        <f>=ROUNDDOWN({0},0)</f>
      </c>
      <c r="AK1061" s="5"/>
      <c r="AL1061" s="2" t="s">
        <v>235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235</v>
      </c>
      <c r="AW1061" s="8" t="s">
        <v>235</v>
      </c>
      <c r="AX1061" s="4" t="s">
        <v>235</v>
      </c>
      <c r="AY1061" s="8" t="s">
        <v>235</v>
      </c>
      <c r="AZ1061" s="7" t="s">
        <v>235</v>
      </c>
      <c r="BA1061" s="7" t="s">
        <v>235</v>
      </c>
      <c r="BB1061" s="7"/>
      <c r="BC1061" s="4" t="s">
        <v>235</v>
      </c>
      <c r="BD1061" s="8" t="s">
        <v>235</v>
      </c>
      <c r="BE1061" s="4" t="s">
        <v>235</v>
      </c>
      <c r="BF1061" s="8" t="s">
        <v>235</v>
      </c>
      <c r="BG1061" s="7" t="s">
        <v>235</v>
      </c>
      <c r="BH1061" s="7" t="s">
        <v>235</v>
      </c>
      <c r="BI1061" s="7"/>
      <c r="BJ1061" s="4">
        <v>4</v>
      </c>
      <c r="BK1061" s="8"/>
      <c r="BL1061" s="2" t="s">
        <v>1949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4232</v>
      </c>
      <c r="BV1061" s="2" t="s">
        <v>235</v>
      </c>
      <c r="BW1061" s="2" t="s">
        <v>235</v>
      </c>
      <c r="BX1061" s="2" t="s">
        <v>244</v>
      </c>
      <c r="BY1061" s="2" t="s">
        <v>245</v>
      </c>
      <c r="BZ1061" s="2" t="s">
        <v>232</v>
      </c>
      <c r="CA1061" s="2" t="s">
        <v>235</v>
      </c>
      <c r="CB1061" s="2" t="s">
        <v>235</v>
      </c>
      <c r="CC1061" s="2" t="s">
        <v>248</v>
      </c>
      <c r="CD1061" s="2" t="s">
        <v>248</v>
      </c>
      <c r="CE1061" s="2" t="s">
        <v>235</v>
      </c>
      <c r="CF1061" s="4"/>
      <c r="CG1061" s="4"/>
      <c r="CH1061" s="4"/>
      <c r="CI1061" s="4">
        <v>282</v>
      </c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>
        <v>282</v>
      </c>
      <c r="GE1061" s="4">
        <v>268</v>
      </c>
      <c r="GF1061" s="4">
        <v>262</v>
      </c>
      <c r="GG1061" s="4">
        <v>256</v>
      </c>
      <c r="GH1061" s="4">
        <v>250</v>
      </c>
      <c r="GI1061" s="4">
        <v>244</v>
      </c>
      <c r="GJ1061" s="4">
        <v>236</v>
      </c>
      <c r="GK1061" s="4">
        <v>228</v>
      </c>
      <c r="GL1061" s="4">
        <v>221</v>
      </c>
      <c r="GM1061" s="4">
        <v>214</v>
      </c>
      <c r="GN1061" s="4">
        <v>209</v>
      </c>
      <c r="GO1061" s="4">
        <v>202</v>
      </c>
      <c r="GP1061" s="4">
        <v>195</v>
      </c>
      <c r="GQ1061" s="4">
        <v>183</v>
      </c>
      <c r="GR1061" s="4">
        <v>174</v>
      </c>
      <c r="GS1061" s="4">
        <v>166</v>
      </c>
      <c r="GT1061" s="4">
        <v>161</v>
      </c>
      <c r="GU1061" s="4">
        <v>157</v>
      </c>
      <c r="GV1061" s="4">
        <v>150</v>
      </c>
      <c r="GW1061" s="4">
        <v>144</v>
      </c>
      <c r="GX1061" s="4">
        <v>138</v>
      </c>
      <c r="GY1061" s="4">
        <v>132</v>
      </c>
      <c r="GZ1061" s="4">
        <v>126</v>
      </c>
      <c r="HA1061" s="4">
        <v>120</v>
      </c>
      <c r="HB1061" s="4">
        <v>114</v>
      </c>
      <c r="HC1061" s="4">
        <v>107</v>
      </c>
      <c r="HD1061" s="19">
        <v>35.3</v>
      </c>
      <c r="HE1061" s="19">
        <v>44.7</v>
      </c>
      <c r="HF1061" s="19">
        <v>43.7</v>
      </c>
      <c r="HG1061" s="19">
        <v>36.6</v>
      </c>
      <c r="HH1061" s="19">
        <v>35.7</v>
      </c>
      <c r="HI1061" s="19">
        <v>30.5</v>
      </c>
      <c r="HJ1061" s="19">
        <v>33.7</v>
      </c>
      <c r="HK1061" s="19">
        <v>38</v>
      </c>
      <c r="HL1061" s="19">
        <v>36.8</v>
      </c>
      <c r="HM1061" s="19">
        <v>26.8</v>
      </c>
      <c r="HN1061" s="19">
        <v>23.2</v>
      </c>
      <c r="HO1061" s="19">
        <v>22.4</v>
      </c>
      <c r="HP1061" s="19">
        <v>24.4</v>
      </c>
      <c r="HQ1061" s="19">
        <v>30.5</v>
      </c>
      <c r="HR1061" s="19">
        <v>29</v>
      </c>
      <c r="HS1061" s="19">
        <v>27.7</v>
      </c>
      <c r="HT1061" s="19">
        <v>26.8</v>
      </c>
      <c r="HU1061" s="19">
        <v>26.2</v>
      </c>
      <c r="HV1061" s="19">
        <v>25</v>
      </c>
      <c r="HW1061" s="19">
        <v>24</v>
      </c>
      <c r="HX1061" s="19">
        <v>23</v>
      </c>
      <c r="HY1061" s="19">
        <v>22</v>
      </c>
      <c r="HZ1061" s="19">
        <v>21</v>
      </c>
      <c r="IA1061" s="19">
        <v>20</v>
      </c>
      <c r="IB1061" s="19">
        <v>19</v>
      </c>
      <c r="IC1061" s="19">
        <v>17.8</v>
      </c>
    </row>
    <row r="1062">
      <c r="A1062" s="2" t="s">
        <v>4239</v>
      </c>
      <c r="B1062" s="2" t="s">
        <v>255</v>
      </c>
      <c r="C1062" s="2" t="s">
        <v>256</v>
      </c>
      <c r="D1062" s="2" t="s">
        <v>4227</v>
      </c>
      <c r="E1062" s="2" t="s">
        <v>4228</v>
      </c>
      <c r="F1062" s="2" t="s">
        <v>4229</v>
      </c>
      <c r="G1062" s="2" t="s">
        <v>4229</v>
      </c>
      <c r="H1062" s="2" t="s">
        <v>4229</v>
      </c>
      <c r="I1062" s="2" t="s">
        <v>4230</v>
      </c>
      <c r="J1062" s="2" t="s">
        <v>365</v>
      </c>
      <c r="K1062" s="2" t="s">
        <v>316</v>
      </c>
      <c r="L1062" s="3">
        <v>240</v>
      </c>
      <c r="M1062" s="3">
        <v>252</v>
      </c>
      <c r="N1062" s="3">
        <v>599.99</v>
      </c>
      <c r="O1062" s="2" t="s">
        <v>232</v>
      </c>
      <c r="P1062" s="2" t="s">
        <v>262</v>
      </c>
      <c r="Q1062" s="2" t="s">
        <v>234</v>
      </c>
      <c r="R1062" s="2" t="s">
        <v>235</v>
      </c>
      <c r="S1062" s="2" t="s">
        <v>235</v>
      </c>
      <c r="T1062" s="2" t="s">
        <v>302</v>
      </c>
      <c r="U1062" s="2" t="s">
        <v>552</v>
      </c>
      <c r="V1062" s="2" t="s">
        <v>238</v>
      </c>
      <c r="W1062" s="2" t="s">
        <v>329</v>
      </c>
      <c r="X1062" s="2" t="s">
        <v>1052</v>
      </c>
      <c r="Y1062" s="2" t="s">
        <v>644</v>
      </c>
      <c r="Z1062" s="4">
        <v>214</v>
      </c>
      <c r="AA1062" s="4">
        <f>=ROUNDDOWN(53.5,0)</f>
      </c>
      <c r="AB1062" s="5">
        <v>4</v>
      </c>
      <c r="AC1062" s="2" t="s">
        <v>235</v>
      </c>
      <c r="AD1062" s="4"/>
      <c r="AE1062" s="4"/>
      <c r="AF1062" s="6"/>
      <c r="AG1062" s="6">
        <v>50</v>
      </c>
      <c r="AH1062" s="7">
        <v>1</v>
      </c>
      <c r="AI1062" s="4"/>
      <c r="AJ1062" s="4">
        <f>=ROUNDDOWN({0},0)</f>
      </c>
      <c r="AK1062" s="5"/>
      <c r="AL1062" s="2" t="s">
        <v>235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235</v>
      </c>
      <c r="AW1062" s="8" t="s">
        <v>235</v>
      </c>
      <c r="AX1062" s="4" t="s">
        <v>235</v>
      </c>
      <c r="AY1062" s="8" t="s">
        <v>235</v>
      </c>
      <c r="AZ1062" s="7" t="s">
        <v>235</v>
      </c>
      <c r="BA1062" s="7" t="s">
        <v>235</v>
      </c>
      <c r="BB1062" s="7"/>
      <c r="BC1062" s="4" t="s">
        <v>235</v>
      </c>
      <c r="BD1062" s="8" t="s">
        <v>235</v>
      </c>
      <c r="BE1062" s="4" t="s">
        <v>235</v>
      </c>
      <c r="BF1062" s="8" t="s">
        <v>235</v>
      </c>
      <c r="BG1062" s="7" t="s">
        <v>235</v>
      </c>
      <c r="BH1062" s="7" t="s">
        <v>235</v>
      </c>
      <c r="BI1062" s="7"/>
      <c r="BJ1062" s="4">
        <v>6</v>
      </c>
      <c r="BK1062" s="8">
        <v>552</v>
      </c>
      <c r="BL1062" s="2" t="s">
        <v>2696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4232</v>
      </c>
      <c r="BV1062" s="2" t="s">
        <v>235</v>
      </c>
      <c r="BW1062" s="2" t="s">
        <v>235</v>
      </c>
      <c r="BX1062" s="2" t="s">
        <v>244</v>
      </c>
      <c r="BY1062" s="2" t="s">
        <v>245</v>
      </c>
      <c r="BZ1062" s="2" t="s">
        <v>232</v>
      </c>
      <c r="CA1062" s="2" t="s">
        <v>235</v>
      </c>
      <c r="CB1062" s="2" t="s">
        <v>235</v>
      </c>
      <c r="CC1062" s="2" t="s">
        <v>248</v>
      </c>
      <c r="CD1062" s="2" t="s">
        <v>248</v>
      </c>
      <c r="CE1062" s="2" t="s">
        <v>235</v>
      </c>
      <c r="CF1062" s="4"/>
      <c r="CG1062" s="4"/>
      <c r="CH1062" s="4"/>
      <c r="CI1062" s="4">
        <v>214</v>
      </c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>
        <v>214</v>
      </c>
      <c r="GE1062" s="4">
        <v>205</v>
      </c>
      <c r="GF1062" s="4">
        <v>201</v>
      </c>
      <c r="GG1062" s="4">
        <v>197</v>
      </c>
      <c r="GH1062" s="4">
        <v>193</v>
      </c>
      <c r="GI1062" s="4">
        <v>189</v>
      </c>
      <c r="GJ1062" s="4">
        <v>183</v>
      </c>
      <c r="GK1062" s="4">
        <v>178</v>
      </c>
      <c r="GL1062" s="4">
        <v>173</v>
      </c>
      <c r="GM1062" s="4">
        <v>169</v>
      </c>
      <c r="GN1062" s="4">
        <v>165</v>
      </c>
      <c r="GO1062" s="4">
        <v>160</v>
      </c>
      <c r="GP1062" s="4">
        <v>155</v>
      </c>
      <c r="GQ1062" s="4">
        <v>146</v>
      </c>
      <c r="GR1062" s="4">
        <v>140</v>
      </c>
      <c r="GS1062" s="4">
        <v>134</v>
      </c>
      <c r="GT1062" s="4">
        <v>130</v>
      </c>
      <c r="GU1062" s="4">
        <v>127</v>
      </c>
      <c r="GV1062" s="4">
        <v>123</v>
      </c>
      <c r="GW1062" s="4">
        <v>119</v>
      </c>
      <c r="GX1062" s="4">
        <v>115</v>
      </c>
      <c r="GY1062" s="4">
        <v>111</v>
      </c>
      <c r="GZ1062" s="4">
        <v>107</v>
      </c>
      <c r="HA1062" s="4">
        <v>103</v>
      </c>
      <c r="HB1062" s="4">
        <v>99</v>
      </c>
      <c r="HC1062" s="4">
        <v>95</v>
      </c>
      <c r="HD1062" s="19">
        <v>42.8</v>
      </c>
      <c r="HE1062" s="19">
        <v>51.3</v>
      </c>
      <c r="HF1062" s="19">
        <v>50.3</v>
      </c>
      <c r="HG1062" s="19">
        <v>39.4</v>
      </c>
      <c r="HH1062" s="19">
        <v>38.6</v>
      </c>
      <c r="HI1062" s="19">
        <v>37.8</v>
      </c>
      <c r="HJ1062" s="19">
        <v>45.8</v>
      </c>
      <c r="HK1062" s="19">
        <v>44.5</v>
      </c>
      <c r="HL1062" s="19">
        <v>43.3</v>
      </c>
      <c r="HM1062" s="19">
        <v>28.2</v>
      </c>
      <c r="HN1062" s="19">
        <v>27.5</v>
      </c>
      <c r="HO1062" s="19">
        <v>26.7</v>
      </c>
      <c r="HP1062" s="19">
        <v>25.8</v>
      </c>
      <c r="HQ1062" s="19">
        <v>29.2</v>
      </c>
      <c r="HR1062" s="19">
        <v>35</v>
      </c>
      <c r="HS1062" s="19">
        <v>33.5</v>
      </c>
      <c r="HT1062" s="19">
        <v>32.5</v>
      </c>
      <c r="HU1062" s="19">
        <v>31.8</v>
      </c>
      <c r="HV1062" s="19">
        <v>30.8</v>
      </c>
      <c r="HW1062" s="19">
        <v>29.8</v>
      </c>
      <c r="HX1062" s="19">
        <v>28.8</v>
      </c>
      <c r="HY1062" s="19">
        <v>27.8</v>
      </c>
      <c r="HZ1062" s="19">
        <v>26.8</v>
      </c>
      <c r="IA1062" s="19">
        <v>25.8</v>
      </c>
      <c r="IB1062" s="19">
        <v>24.8</v>
      </c>
      <c r="IC1062" s="19">
        <v>23.8</v>
      </c>
    </row>
    <row r="1063">
      <c r="A1063" s="2" t="s">
        <v>4240</v>
      </c>
      <c r="B1063" s="2" t="s">
        <v>255</v>
      </c>
      <c r="C1063" s="2" t="s">
        <v>256</v>
      </c>
      <c r="D1063" s="2" t="s">
        <v>4227</v>
      </c>
      <c r="E1063" s="2" t="s">
        <v>4228</v>
      </c>
      <c r="F1063" s="2" t="s">
        <v>4229</v>
      </c>
      <c r="G1063" s="2" t="s">
        <v>4229</v>
      </c>
      <c r="H1063" s="2" t="s">
        <v>4229</v>
      </c>
      <c r="I1063" s="2" t="s">
        <v>4230</v>
      </c>
      <c r="J1063" s="2" t="s">
        <v>372</v>
      </c>
      <c r="K1063" s="2" t="s">
        <v>316</v>
      </c>
      <c r="L1063" s="3">
        <v>280</v>
      </c>
      <c r="M1063" s="3">
        <v>294</v>
      </c>
      <c r="N1063" s="3">
        <v>699.99</v>
      </c>
      <c r="O1063" s="2" t="s">
        <v>232</v>
      </c>
      <c r="P1063" s="2" t="s">
        <v>262</v>
      </c>
      <c r="Q1063" s="2" t="s">
        <v>234</v>
      </c>
      <c r="R1063" s="2" t="s">
        <v>235</v>
      </c>
      <c r="S1063" s="2" t="s">
        <v>235</v>
      </c>
      <c r="T1063" s="2" t="s">
        <v>302</v>
      </c>
      <c r="U1063" s="2" t="s">
        <v>552</v>
      </c>
      <c r="V1063" s="2" t="s">
        <v>238</v>
      </c>
      <c r="W1063" s="2" t="s">
        <v>329</v>
      </c>
      <c r="X1063" s="2" t="s">
        <v>1052</v>
      </c>
      <c r="Y1063" s="2" t="s">
        <v>644</v>
      </c>
      <c r="Z1063" s="4">
        <v>276</v>
      </c>
      <c r="AA1063" s="4">
        <f>=ROUNDDOWN(46,0)</f>
      </c>
      <c r="AB1063" s="5">
        <v>6</v>
      </c>
      <c r="AC1063" s="2" t="s">
        <v>235</v>
      </c>
      <c r="AD1063" s="4"/>
      <c r="AE1063" s="4"/>
      <c r="AF1063" s="6"/>
      <c r="AG1063" s="6">
        <v>50</v>
      </c>
      <c r="AH1063" s="7">
        <v>1</v>
      </c>
      <c r="AI1063" s="4"/>
      <c r="AJ1063" s="4">
        <f>=ROUNDDOWN({0},0)</f>
      </c>
      <c r="AK1063" s="5"/>
      <c r="AL1063" s="2" t="s">
        <v>235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235</v>
      </c>
      <c r="AW1063" s="8" t="s">
        <v>235</v>
      </c>
      <c r="AX1063" s="4" t="s">
        <v>235</v>
      </c>
      <c r="AY1063" s="8" t="s">
        <v>235</v>
      </c>
      <c r="AZ1063" s="7" t="s">
        <v>235</v>
      </c>
      <c r="BA1063" s="7" t="s">
        <v>235</v>
      </c>
      <c r="BB1063" s="7"/>
      <c r="BC1063" s="4" t="s">
        <v>235</v>
      </c>
      <c r="BD1063" s="8" t="s">
        <v>235</v>
      </c>
      <c r="BE1063" s="4" t="s">
        <v>235</v>
      </c>
      <c r="BF1063" s="8" t="s">
        <v>235</v>
      </c>
      <c r="BG1063" s="7" t="s">
        <v>235</v>
      </c>
      <c r="BH1063" s="7" t="s">
        <v>235</v>
      </c>
      <c r="BI1063" s="7"/>
      <c r="BJ1063" s="4">
        <v>11</v>
      </c>
      <c r="BK1063" s="8">
        <v>644</v>
      </c>
      <c r="BL1063" s="2" t="s">
        <v>2696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4232</v>
      </c>
      <c r="BV1063" s="2" t="s">
        <v>235</v>
      </c>
      <c r="BW1063" s="2" t="s">
        <v>235</v>
      </c>
      <c r="BX1063" s="2" t="s">
        <v>244</v>
      </c>
      <c r="BY1063" s="2" t="s">
        <v>245</v>
      </c>
      <c r="BZ1063" s="2" t="s">
        <v>232</v>
      </c>
      <c r="CA1063" s="2" t="s">
        <v>235</v>
      </c>
      <c r="CB1063" s="2" t="s">
        <v>235</v>
      </c>
      <c r="CC1063" s="2" t="s">
        <v>248</v>
      </c>
      <c r="CD1063" s="2" t="s">
        <v>248</v>
      </c>
      <c r="CE1063" s="2" t="s">
        <v>235</v>
      </c>
      <c r="CF1063" s="4"/>
      <c r="CG1063" s="4"/>
      <c r="CH1063" s="4"/>
      <c r="CI1063" s="4">
        <v>276</v>
      </c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>
        <v>276</v>
      </c>
      <c r="GE1063" s="4">
        <v>264</v>
      </c>
      <c r="GF1063" s="4">
        <v>258</v>
      </c>
      <c r="GG1063" s="4">
        <v>252</v>
      </c>
      <c r="GH1063" s="4">
        <v>246</v>
      </c>
      <c r="GI1063" s="4">
        <v>240</v>
      </c>
      <c r="GJ1063" s="4">
        <v>232</v>
      </c>
      <c r="GK1063" s="4">
        <v>224</v>
      </c>
      <c r="GL1063" s="4">
        <v>217</v>
      </c>
      <c r="GM1063" s="4">
        <v>210</v>
      </c>
      <c r="GN1063" s="4">
        <v>205</v>
      </c>
      <c r="GO1063" s="4">
        <v>198</v>
      </c>
      <c r="GP1063" s="4">
        <v>191</v>
      </c>
      <c r="GQ1063" s="4">
        <v>179</v>
      </c>
      <c r="GR1063" s="4">
        <v>170</v>
      </c>
      <c r="GS1063" s="4">
        <v>162</v>
      </c>
      <c r="GT1063" s="4">
        <v>157</v>
      </c>
      <c r="GU1063" s="4">
        <v>153</v>
      </c>
      <c r="GV1063" s="4">
        <v>146</v>
      </c>
      <c r="GW1063" s="4">
        <v>140</v>
      </c>
      <c r="GX1063" s="4">
        <v>134</v>
      </c>
      <c r="GY1063" s="4">
        <v>128</v>
      </c>
      <c r="GZ1063" s="4">
        <v>122</v>
      </c>
      <c r="HA1063" s="4">
        <v>116</v>
      </c>
      <c r="HB1063" s="4">
        <v>110</v>
      </c>
      <c r="HC1063" s="4">
        <v>103</v>
      </c>
      <c r="HD1063" s="19">
        <v>34.5</v>
      </c>
      <c r="HE1063" s="19">
        <v>44</v>
      </c>
      <c r="HF1063" s="19">
        <v>43</v>
      </c>
      <c r="HG1063" s="19">
        <v>36</v>
      </c>
      <c r="HH1063" s="19">
        <v>35.1</v>
      </c>
      <c r="HI1063" s="19">
        <v>30</v>
      </c>
      <c r="HJ1063" s="19">
        <v>33.1</v>
      </c>
      <c r="HK1063" s="19">
        <v>37.3</v>
      </c>
      <c r="HL1063" s="19">
        <v>36.2</v>
      </c>
      <c r="HM1063" s="19">
        <v>26.3</v>
      </c>
      <c r="HN1063" s="19">
        <v>22.8</v>
      </c>
      <c r="HO1063" s="19">
        <v>22</v>
      </c>
      <c r="HP1063" s="19">
        <v>23.9</v>
      </c>
      <c r="HQ1063" s="19">
        <v>29.8</v>
      </c>
      <c r="HR1063" s="19">
        <v>28.3</v>
      </c>
      <c r="HS1063" s="19">
        <v>27</v>
      </c>
      <c r="HT1063" s="19">
        <v>26.2</v>
      </c>
      <c r="HU1063" s="19">
        <v>25.5</v>
      </c>
      <c r="HV1063" s="19">
        <v>24.3</v>
      </c>
      <c r="HW1063" s="19">
        <v>23.3</v>
      </c>
      <c r="HX1063" s="19">
        <v>22.3</v>
      </c>
      <c r="HY1063" s="19">
        <v>21.3</v>
      </c>
      <c r="HZ1063" s="19">
        <v>20.3</v>
      </c>
      <c r="IA1063" s="19">
        <v>19.3</v>
      </c>
      <c r="IB1063" s="19">
        <v>18.3</v>
      </c>
      <c r="IC1063" s="19">
        <v>17.2</v>
      </c>
    </row>
    <row r="1064">
      <c r="A1064" s="2" t="s">
        <v>4241</v>
      </c>
      <c r="B1064" s="2" t="s">
        <v>871</v>
      </c>
      <c r="C1064" s="2" t="s">
        <v>606</v>
      </c>
      <c r="D1064" s="2" t="s">
        <v>361</v>
      </c>
      <c r="E1064" s="2" t="s">
        <v>924</v>
      </c>
      <c r="F1064" s="2" t="s">
        <v>4242</v>
      </c>
      <c r="G1064" s="2" t="s">
        <v>4243</v>
      </c>
      <c r="H1064" s="2" t="s">
        <v>4244</v>
      </c>
      <c r="I1064" s="2" t="s">
        <v>4245</v>
      </c>
      <c r="J1064" s="2" t="s">
        <v>372</v>
      </c>
      <c r="K1064" s="2" t="s">
        <v>4246</v>
      </c>
      <c r="L1064" s="3">
        <v>28.85</v>
      </c>
      <c r="M1064" s="3">
        <v>30.29</v>
      </c>
      <c r="N1064" s="3">
        <v>59.99</v>
      </c>
      <c r="O1064" s="2" t="s">
        <v>232</v>
      </c>
      <c r="P1064" s="2" t="s">
        <v>233</v>
      </c>
      <c r="Q1064" s="2" t="s">
        <v>234</v>
      </c>
      <c r="R1064" s="2" t="s">
        <v>235</v>
      </c>
      <c r="S1064" s="2" t="s">
        <v>4247</v>
      </c>
      <c r="T1064" s="2" t="s">
        <v>2257</v>
      </c>
      <c r="U1064" s="2" t="s">
        <v>552</v>
      </c>
      <c r="V1064" s="2" t="s">
        <v>880</v>
      </c>
      <c r="W1064" s="2" t="s">
        <v>4248</v>
      </c>
      <c r="X1064" s="2" t="s">
        <v>239</v>
      </c>
      <c r="Y1064" s="2" t="s">
        <v>1421</v>
      </c>
      <c r="Z1064" s="4">
        <v>839</v>
      </c>
      <c r="AA1064" s="4">
        <f>=ROUNDDOWN(65.546875,0)</f>
      </c>
      <c r="AB1064" s="5">
        <v>12.8</v>
      </c>
      <c r="AC1064" s="2" t="s">
        <v>235</v>
      </c>
      <c r="AD1064" s="4"/>
      <c r="AE1064" s="4"/>
      <c r="AF1064" s="6">
        <v>63</v>
      </c>
      <c r="AG1064" s="6"/>
      <c r="AH1064" s="7">
        <v>1</v>
      </c>
      <c r="AI1064" s="4"/>
      <c r="AJ1064" s="4">
        <f>=ROUNDDOWN({0},0)</f>
      </c>
      <c r="AK1064" s="5"/>
      <c r="AL1064" s="2" t="s">
        <v>235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>
        <v>54</v>
      </c>
      <c r="BK1064" s="8">
        <v>1557.48</v>
      </c>
      <c r="BL1064" s="2" t="s">
        <v>4249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4250</v>
      </c>
      <c r="BV1064" s="2" t="s">
        <v>243</v>
      </c>
      <c r="BW1064" s="2" t="s">
        <v>235</v>
      </c>
      <c r="BX1064" s="2" t="s">
        <v>619</v>
      </c>
      <c r="BY1064" s="2" t="s">
        <v>245</v>
      </c>
      <c r="BZ1064" s="2" t="s">
        <v>232</v>
      </c>
      <c r="CA1064" s="2" t="s">
        <v>4251</v>
      </c>
      <c r="CB1064" s="2" t="s">
        <v>2743</v>
      </c>
      <c r="CC1064" s="2" t="s">
        <v>248</v>
      </c>
      <c r="CD1064" s="2" t="s">
        <v>248</v>
      </c>
      <c r="CE1064" s="2" t="s">
        <v>235</v>
      </c>
      <c r="CF1064" s="4">
        <v>821</v>
      </c>
      <c r="CG1064" s="4"/>
      <c r="CH1064" s="4"/>
      <c r="CI1064" s="4">
        <v>18</v>
      </c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>
        <v>842</v>
      </c>
      <c r="GE1064" s="4">
        <v>826</v>
      </c>
      <c r="GF1064" s="4">
        <v>813</v>
      </c>
      <c r="GG1064" s="4">
        <v>800</v>
      </c>
      <c r="GH1064" s="4">
        <v>787</v>
      </c>
      <c r="GI1064" s="4">
        <v>774</v>
      </c>
      <c r="GJ1064" s="4">
        <v>761</v>
      </c>
      <c r="GK1064" s="4">
        <v>748</v>
      </c>
      <c r="GL1064" s="4">
        <v>735</v>
      </c>
      <c r="GM1064" s="4">
        <v>722</v>
      </c>
      <c r="GN1064" s="4">
        <v>706</v>
      </c>
      <c r="GO1064" s="4">
        <v>689</v>
      </c>
      <c r="GP1064" s="4">
        <v>667</v>
      </c>
      <c r="GQ1064" s="4">
        <v>637</v>
      </c>
      <c r="GR1064" s="4">
        <v>617</v>
      </c>
      <c r="GS1064" s="4">
        <v>597</v>
      </c>
      <c r="GT1064" s="4">
        <v>585</v>
      </c>
      <c r="GU1064" s="4">
        <v>573</v>
      </c>
      <c r="GV1064" s="4">
        <v>559</v>
      </c>
      <c r="GW1064" s="4">
        <v>546</v>
      </c>
      <c r="GX1064" s="4">
        <v>533</v>
      </c>
      <c r="GY1064" s="4">
        <v>520</v>
      </c>
      <c r="GZ1064" s="4">
        <v>507</v>
      </c>
      <c r="HA1064" s="4">
        <v>494</v>
      </c>
      <c r="HB1064" s="4">
        <v>481</v>
      </c>
      <c r="HC1064" s="4">
        <v>467</v>
      </c>
      <c r="HD1064" s="19">
        <v>60.1</v>
      </c>
      <c r="HE1064" s="19">
        <v>63.5</v>
      </c>
      <c r="HF1064" s="19">
        <v>62.5</v>
      </c>
      <c r="HG1064" s="19">
        <v>61.5</v>
      </c>
      <c r="HH1064" s="19">
        <v>60.5</v>
      </c>
      <c r="HI1064" s="19">
        <v>59.5</v>
      </c>
      <c r="HJ1064" s="19">
        <v>54.4</v>
      </c>
      <c r="HK1064" s="19">
        <v>49.9</v>
      </c>
      <c r="HL1064" s="19">
        <v>43.2</v>
      </c>
      <c r="HM1064" s="19">
        <v>34.4</v>
      </c>
      <c r="HN1064" s="19">
        <v>32.1</v>
      </c>
      <c r="HO1064" s="19">
        <v>30</v>
      </c>
      <c r="HP1064" s="19">
        <v>33.4</v>
      </c>
      <c r="HQ1064" s="19">
        <v>39.8</v>
      </c>
      <c r="HR1064" s="19">
        <v>44.1</v>
      </c>
      <c r="HS1064" s="19">
        <v>45.9</v>
      </c>
      <c r="HT1064" s="19">
        <v>45</v>
      </c>
      <c r="HU1064" s="19">
        <v>44.1</v>
      </c>
      <c r="HV1064" s="19">
        <v>43</v>
      </c>
      <c r="HW1064" s="19">
        <v>42</v>
      </c>
      <c r="HX1064" s="19">
        <v>41</v>
      </c>
      <c r="HY1064" s="19">
        <v>40</v>
      </c>
      <c r="HZ1064" s="19">
        <v>39</v>
      </c>
      <c r="IA1064" s="19">
        <v>35.3</v>
      </c>
      <c r="IB1064" s="19">
        <v>34.4</v>
      </c>
      <c r="IC1064" s="19">
        <v>33.4</v>
      </c>
    </row>
    <row r="1065">
      <c r="A1065" s="2" t="s">
        <v>4252</v>
      </c>
      <c r="B1065" s="2" t="s">
        <v>1529</v>
      </c>
      <c r="C1065" s="2" t="s">
        <v>1381</v>
      </c>
      <c r="D1065" s="2" t="s">
        <v>1086</v>
      </c>
      <c r="E1065" s="2" t="s">
        <v>4253</v>
      </c>
      <c r="F1065" s="2" t="s">
        <v>4254</v>
      </c>
      <c r="G1065" s="2" t="s">
        <v>4254</v>
      </c>
      <c r="H1065" s="2" t="s">
        <v>4254</v>
      </c>
      <c r="I1065" s="2" t="s">
        <v>4253</v>
      </c>
      <c r="J1065" s="2" t="s">
        <v>897</v>
      </c>
      <c r="K1065" s="2" t="s">
        <v>612</v>
      </c>
      <c r="L1065" s="3">
        <v>270.71</v>
      </c>
      <c r="M1065" s="3">
        <v>284.25</v>
      </c>
      <c r="N1065" s="3">
        <v>799</v>
      </c>
      <c r="O1065" s="2" t="s">
        <v>232</v>
      </c>
      <c r="P1065" s="2" t="s">
        <v>1533</v>
      </c>
      <c r="Q1065" s="2" t="s">
        <v>234</v>
      </c>
      <c r="R1065" s="2" t="s">
        <v>235</v>
      </c>
      <c r="S1065" s="2" t="s">
        <v>235</v>
      </c>
      <c r="T1065" s="2" t="s">
        <v>235</v>
      </c>
      <c r="U1065" s="2" t="s">
        <v>807</v>
      </c>
      <c r="V1065" s="2" t="s">
        <v>238</v>
      </c>
      <c r="W1065" s="2" t="s">
        <v>235</v>
      </c>
      <c r="X1065" s="2" t="s">
        <v>235</v>
      </c>
      <c r="Y1065" s="2" t="s">
        <v>2279</v>
      </c>
      <c r="Z1065" s="4">
        <v>35</v>
      </c>
      <c r="AA1065" s="4">
        <f>=ROUNDDOWN(50,0)</f>
      </c>
      <c r="AB1065" s="5">
        <v>0.7</v>
      </c>
      <c r="AC1065" s="2" t="s">
        <v>235</v>
      </c>
      <c r="AD1065" s="4"/>
      <c r="AE1065" s="4"/>
      <c r="AF1065" s="6">
        <v>66</v>
      </c>
      <c r="AG1065" s="6"/>
      <c r="AH1065" s="7">
        <v>1</v>
      </c>
      <c r="AI1065" s="4"/>
      <c r="AJ1065" s="4">
        <f>=ROUNDDOWN({0},0)</f>
      </c>
      <c r="AK1065" s="5"/>
      <c r="AL1065" s="2" t="s">
        <v>235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235</v>
      </c>
      <c r="AW1065" s="8" t="s">
        <v>235</v>
      </c>
      <c r="AX1065" s="4" t="s">
        <v>235</v>
      </c>
      <c r="AY1065" s="8" t="s">
        <v>235</v>
      </c>
      <c r="AZ1065" s="7" t="s">
        <v>235</v>
      </c>
      <c r="BA1065" s="7" t="s">
        <v>235</v>
      </c>
      <c r="BB1065" s="7" t="s">
        <v>235</v>
      </c>
      <c r="BC1065" s="4" t="s">
        <v>235</v>
      </c>
      <c r="BD1065" s="8" t="s">
        <v>235</v>
      </c>
      <c r="BE1065" s="4" t="s">
        <v>235</v>
      </c>
      <c r="BF1065" s="8" t="s">
        <v>235</v>
      </c>
      <c r="BG1065" s="7" t="s">
        <v>235</v>
      </c>
      <c r="BH1065" s="7" t="s">
        <v>235</v>
      </c>
      <c r="BI1065" s="7"/>
      <c r="BJ1065" s="4">
        <v>2</v>
      </c>
      <c r="BK1065" s="8">
        <v>534.39</v>
      </c>
      <c r="BL1065" s="2" t="s">
        <v>900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4255</v>
      </c>
      <c r="BV1065" s="2" t="s">
        <v>1424</v>
      </c>
      <c r="BW1065" s="2" t="s">
        <v>235</v>
      </c>
      <c r="BX1065" s="2" t="s">
        <v>244</v>
      </c>
      <c r="BY1065" s="2" t="s">
        <v>245</v>
      </c>
      <c r="BZ1065" s="2" t="s">
        <v>232</v>
      </c>
      <c r="CA1065" s="2" t="s">
        <v>941</v>
      </c>
      <c r="CB1065" s="2" t="s">
        <v>235</v>
      </c>
      <c r="CC1065" s="2" t="s">
        <v>248</v>
      </c>
      <c r="CD1065" s="2" t="s">
        <v>248</v>
      </c>
      <c r="CE1065" s="2" t="s">
        <v>235</v>
      </c>
      <c r="CF1065" s="4"/>
      <c r="CG1065" s="4">
        <v>33</v>
      </c>
      <c r="CH1065" s="4"/>
      <c r="CI1065" s="4">
        <v>2</v>
      </c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>
        <v>33</v>
      </c>
      <c r="GE1065" s="4">
        <v>32</v>
      </c>
      <c r="GF1065" s="4">
        <v>31</v>
      </c>
      <c r="GG1065" s="4">
        <v>30</v>
      </c>
      <c r="GH1065" s="4">
        <v>29</v>
      </c>
      <c r="GI1065" s="4">
        <v>28</v>
      </c>
      <c r="GJ1065" s="4">
        <v>27</v>
      </c>
      <c r="GK1065" s="4">
        <v>26</v>
      </c>
      <c r="GL1065" s="4">
        <v>25</v>
      </c>
      <c r="GM1065" s="4">
        <v>24</v>
      </c>
      <c r="GN1065" s="4">
        <v>23</v>
      </c>
      <c r="GO1065" s="4">
        <v>22</v>
      </c>
      <c r="GP1065" s="4">
        <v>21</v>
      </c>
      <c r="GQ1065" s="4">
        <v>19</v>
      </c>
      <c r="GR1065" s="4">
        <v>18</v>
      </c>
      <c r="GS1065" s="4">
        <v>17</v>
      </c>
      <c r="GT1065" s="4">
        <v>16</v>
      </c>
      <c r="GU1065" s="4">
        <v>15</v>
      </c>
      <c r="GV1065" s="4">
        <v>14</v>
      </c>
      <c r="GW1065" s="4">
        <v>13</v>
      </c>
      <c r="GX1065" s="4">
        <v>12</v>
      </c>
      <c r="GY1065" s="4">
        <v>11</v>
      </c>
      <c r="GZ1065" s="4">
        <v>10</v>
      </c>
      <c r="HA1065" s="4">
        <v>9</v>
      </c>
      <c r="HB1065" s="4">
        <v>8</v>
      </c>
      <c r="HC1065" s="4">
        <v>7</v>
      </c>
      <c r="HD1065" s="19">
        <v>33</v>
      </c>
      <c r="HE1065" s="19">
        <v>32</v>
      </c>
      <c r="HF1065" s="19">
        <v>31</v>
      </c>
      <c r="HG1065" s="19">
        <v>30</v>
      </c>
      <c r="HH1065" s="19">
        <v>29</v>
      </c>
      <c r="HI1065" s="19">
        <v>28</v>
      </c>
      <c r="HJ1065" s="19">
        <v>27</v>
      </c>
      <c r="HK1065" s="19">
        <v>26</v>
      </c>
      <c r="HL1065" s="19">
        <v>25</v>
      </c>
      <c r="HM1065" s="19">
        <v>24</v>
      </c>
      <c r="HN1065" s="19">
        <v>23</v>
      </c>
      <c r="HO1065" s="19">
        <v>22</v>
      </c>
      <c r="HP1065" s="19">
        <v>21</v>
      </c>
      <c r="HQ1065" s="19">
        <v>19</v>
      </c>
      <c r="HR1065" s="19">
        <v>18</v>
      </c>
      <c r="HS1065" s="19">
        <v>17</v>
      </c>
      <c r="HT1065" s="19">
        <v>16</v>
      </c>
      <c r="HU1065" s="19">
        <v>15</v>
      </c>
      <c r="HV1065" s="19">
        <v>14</v>
      </c>
      <c r="HW1065" s="19">
        <v>13</v>
      </c>
      <c r="HX1065" s="19">
        <v>12</v>
      </c>
      <c r="HY1065" s="19">
        <v>11</v>
      </c>
      <c r="HZ1065" s="19">
        <v>10</v>
      </c>
      <c r="IA1065" s="19">
        <v>9</v>
      </c>
      <c r="IB1065" s="19">
        <v>8</v>
      </c>
      <c r="IC1065" s="19">
        <v>7</v>
      </c>
    </row>
    <row r="1066">
      <c r="A1066" s="2" t="s">
        <v>4256</v>
      </c>
      <c r="B1066" s="2" t="s">
        <v>1529</v>
      </c>
      <c r="C1066" s="2" t="s">
        <v>1381</v>
      </c>
      <c r="D1066" s="2" t="s">
        <v>4257</v>
      </c>
      <c r="E1066" s="2" t="s">
        <v>4258</v>
      </c>
      <c r="F1066" s="2" t="s">
        <v>4254</v>
      </c>
      <c r="G1066" s="2" t="s">
        <v>4254</v>
      </c>
      <c r="H1066" s="2" t="s">
        <v>4254</v>
      </c>
      <c r="I1066" s="2" t="s">
        <v>4259</v>
      </c>
      <c r="J1066" s="2" t="s">
        <v>897</v>
      </c>
      <c r="K1066" s="2" t="s">
        <v>612</v>
      </c>
      <c r="L1066" s="3">
        <v>427.86</v>
      </c>
      <c r="M1066" s="3">
        <v>449.25</v>
      </c>
      <c r="N1066" s="3">
        <v>1299</v>
      </c>
      <c r="O1066" s="2" t="s">
        <v>232</v>
      </c>
      <c r="P1066" s="2" t="s">
        <v>1533</v>
      </c>
      <c r="Q1066" s="2" t="s">
        <v>492</v>
      </c>
      <c r="R1066" s="2" t="s">
        <v>235</v>
      </c>
      <c r="S1066" s="2" t="s">
        <v>235</v>
      </c>
      <c r="T1066" s="2" t="s">
        <v>235</v>
      </c>
      <c r="U1066" s="2" t="s">
        <v>807</v>
      </c>
      <c r="V1066" s="2" t="s">
        <v>238</v>
      </c>
      <c r="W1066" s="2" t="s">
        <v>235</v>
      </c>
      <c r="X1066" s="2" t="s">
        <v>235</v>
      </c>
      <c r="Y1066" s="2" t="s">
        <v>2279</v>
      </c>
      <c r="Z1066" s="4">
        <v>9</v>
      </c>
      <c r="AA1066" s="4">
        <f>=ROUNDDOWN(9,0)</f>
      </c>
      <c r="AB1066" s="5">
        <v>1</v>
      </c>
      <c r="AC1066" s="2" t="s">
        <v>235</v>
      </c>
      <c r="AD1066" s="4"/>
      <c r="AE1066" s="4"/>
      <c r="AF1066" s="6">
        <v>66</v>
      </c>
      <c r="AG1066" s="6"/>
      <c r="AH1066" s="7">
        <v>1</v>
      </c>
      <c r="AI1066" s="4"/>
      <c r="AJ1066" s="4">
        <f>=ROUNDDOWN({0},0)</f>
      </c>
      <c r="AK1066" s="5"/>
      <c r="AL1066" s="2" t="s">
        <v>235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235</v>
      </c>
      <c r="AW1066" s="8" t="s">
        <v>235</v>
      </c>
      <c r="AX1066" s="4" t="s">
        <v>235</v>
      </c>
      <c r="AY1066" s="8" t="s">
        <v>235</v>
      </c>
      <c r="AZ1066" s="7" t="s">
        <v>235</v>
      </c>
      <c r="BA1066" s="7" t="s">
        <v>235</v>
      </c>
      <c r="BB1066" s="7" t="s">
        <v>235</v>
      </c>
      <c r="BC1066" s="4" t="s">
        <v>235</v>
      </c>
      <c r="BD1066" s="8" t="s">
        <v>235</v>
      </c>
      <c r="BE1066" s="4" t="s">
        <v>235</v>
      </c>
      <c r="BF1066" s="8" t="s">
        <v>235</v>
      </c>
      <c r="BG1066" s="7" t="s">
        <v>235</v>
      </c>
      <c r="BH1066" s="7" t="s">
        <v>235</v>
      </c>
      <c r="BI1066" s="7"/>
      <c r="BJ1066" s="4">
        <v>2</v>
      </c>
      <c r="BK1066" s="8">
        <v>664.89</v>
      </c>
      <c r="BL1066" s="2" t="s">
        <v>900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4260</v>
      </c>
      <c r="BV1066" s="2" t="s">
        <v>1448</v>
      </c>
      <c r="BW1066" s="2" t="s">
        <v>235</v>
      </c>
      <c r="BX1066" s="2" t="s">
        <v>244</v>
      </c>
      <c r="BY1066" s="2" t="s">
        <v>245</v>
      </c>
      <c r="BZ1066" s="2" t="s">
        <v>232</v>
      </c>
      <c r="CA1066" s="2" t="s">
        <v>1376</v>
      </c>
      <c r="CB1066" s="2" t="s">
        <v>1664</v>
      </c>
      <c r="CC1066" s="2" t="s">
        <v>248</v>
      </c>
      <c r="CD1066" s="2" t="s">
        <v>248</v>
      </c>
      <c r="CE1066" s="2" t="s">
        <v>235</v>
      </c>
      <c r="CF1066" s="4"/>
      <c r="CG1066" s="4">
        <v>6</v>
      </c>
      <c r="CH1066" s="4"/>
      <c r="CI1066" s="4">
        <v>3</v>
      </c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>
        <v>11</v>
      </c>
      <c r="GE1066" s="4">
        <v>6</v>
      </c>
      <c r="GF1066" s="4">
        <v>5</v>
      </c>
      <c r="GG1066" s="4">
        <v>4</v>
      </c>
      <c r="GH1066" s="4">
        <v>3</v>
      </c>
      <c r="GI1066" s="4">
        <v>2</v>
      </c>
      <c r="GJ1066" s="4">
        <v>1</v>
      </c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>
        <v>32</v>
      </c>
      <c r="GY1066" s="4">
        <v>31</v>
      </c>
      <c r="GZ1066" s="4">
        <v>30</v>
      </c>
      <c r="HA1066" s="4">
        <v>29</v>
      </c>
      <c r="HB1066" s="4">
        <v>28</v>
      </c>
      <c r="HC1066" s="4">
        <v>27</v>
      </c>
      <c r="HD1066" s="19">
        <v>5.5</v>
      </c>
      <c r="HE1066" s="19">
        <v>6</v>
      </c>
      <c r="HF1066" s="19">
        <v>5</v>
      </c>
      <c r="HG1066" s="19">
        <v>4</v>
      </c>
      <c r="HH1066" s="19">
        <v>3</v>
      </c>
      <c r="HI1066" s="19">
        <v>2</v>
      </c>
      <c r="HJ1066" s="19">
        <v>1</v>
      </c>
      <c r="HK1066" s="20">
        <v>0</v>
      </c>
      <c r="HL1066" s="20">
        <v>0</v>
      </c>
      <c r="HM1066" s="20">
        <v>0</v>
      </c>
      <c r="HN1066" s="20">
        <v>0</v>
      </c>
      <c r="HO1066" s="20">
        <v>0</v>
      </c>
      <c r="HP1066" s="20">
        <v>0</v>
      </c>
      <c r="HQ1066" s="20">
        <v>0</v>
      </c>
      <c r="HR1066" s="20">
        <v>0</v>
      </c>
      <c r="HS1066" s="20">
        <v>0</v>
      </c>
      <c r="HT1066" s="20">
        <v>0</v>
      </c>
      <c r="HU1066" s="20">
        <v>0</v>
      </c>
      <c r="HV1066" s="20">
        <v>0</v>
      </c>
      <c r="HW1066" s="20">
        <v>0</v>
      </c>
      <c r="HX1066" s="19">
        <v>32</v>
      </c>
      <c r="HY1066" s="19">
        <v>31</v>
      </c>
      <c r="HZ1066" s="19">
        <v>30</v>
      </c>
      <c r="IA1066" s="19">
        <v>29</v>
      </c>
      <c r="IB1066" s="19">
        <v>28</v>
      </c>
      <c r="IC1066" s="19">
        <v>27</v>
      </c>
    </row>
    <row r="1067">
      <c r="A1067" s="2" t="s">
        <v>4261</v>
      </c>
      <c r="B1067" s="2" t="s">
        <v>852</v>
      </c>
      <c r="C1067" s="2" t="s">
        <v>324</v>
      </c>
      <c r="D1067" s="2" t="s">
        <v>854</v>
      </c>
      <c r="E1067" s="2" t="s">
        <v>2622</v>
      </c>
      <c r="F1067" s="2" t="s">
        <v>4262</v>
      </c>
      <c r="G1067" s="2" t="s">
        <v>4262</v>
      </c>
      <c r="H1067" s="2" t="s">
        <v>4262</v>
      </c>
      <c r="I1067" s="2" t="s">
        <v>4263</v>
      </c>
      <c r="J1067" s="2" t="s">
        <v>4264</v>
      </c>
      <c r="K1067" s="2" t="s">
        <v>4265</v>
      </c>
      <c r="L1067" s="3">
        <v>26.37</v>
      </c>
      <c r="M1067" s="3">
        <v>27.69</v>
      </c>
      <c r="N1067" s="3">
        <v>54.99</v>
      </c>
      <c r="O1067" s="2" t="s">
        <v>232</v>
      </c>
      <c r="P1067" s="2" t="s">
        <v>878</v>
      </c>
      <c r="Q1067" s="2" t="s">
        <v>234</v>
      </c>
      <c r="R1067" s="2" t="s">
        <v>235</v>
      </c>
      <c r="S1067" s="2" t="s">
        <v>235</v>
      </c>
      <c r="T1067" s="2" t="s">
        <v>879</v>
      </c>
      <c r="U1067" s="2" t="s">
        <v>807</v>
      </c>
      <c r="V1067" s="2" t="s">
        <v>238</v>
      </c>
      <c r="W1067" s="2" t="s">
        <v>329</v>
      </c>
      <c r="X1067" s="2" t="s">
        <v>235</v>
      </c>
      <c r="Y1067" s="2" t="s">
        <v>4266</v>
      </c>
      <c r="Z1067" s="4">
        <v>115</v>
      </c>
      <c r="AA1067" s="4">
        <f>=ROUNDDOWN(14.375,0)</f>
      </c>
      <c r="AB1067" s="5">
        <v>8</v>
      </c>
      <c r="AC1067" s="2" t="s">
        <v>235</v>
      </c>
      <c r="AD1067" s="4"/>
      <c r="AE1067" s="4"/>
      <c r="AF1067" s="6">
        <v>65</v>
      </c>
      <c r="AG1067" s="6"/>
      <c r="AH1067" s="7">
        <v>0.9032</v>
      </c>
      <c r="AI1067" s="4"/>
      <c r="AJ1067" s="4">
        <f>=ROUNDDOWN({0},0)</f>
      </c>
      <c r="AK1067" s="5"/>
      <c r="AL1067" s="2" t="s">
        <v>235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235</v>
      </c>
      <c r="AW1067" s="8" t="s">
        <v>235</v>
      </c>
      <c r="AX1067" s="4" t="s">
        <v>235</v>
      </c>
      <c r="AY1067" s="8" t="s">
        <v>235</v>
      </c>
      <c r="AZ1067" s="7" t="s">
        <v>235</v>
      </c>
      <c r="BA1067" s="7" t="s">
        <v>235</v>
      </c>
      <c r="BB1067" s="7"/>
      <c r="BC1067" s="4" t="s">
        <v>235</v>
      </c>
      <c r="BD1067" s="8" t="s">
        <v>235</v>
      </c>
      <c r="BE1067" s="4" t="s">
        <v>235</v>
      </c>
      <c r="BF1067" s="8" t="s">
        <v>235</v>
      </c>
      <c r="BG1067" s="7" t="s">
        <v>235</v>
      </c>
      <c r="BH1067" s="7" t="s">
        <v>235</v>
      </c>
      <c r="BI1067" s="7"/>
      <c r="BJ1067" s="4">
        <v>87</v>
      </c>
      <c r="BK1067" s="8">
        <v>2637.84</v>
      </c>
      <c r="BL1067" s="2" t="s">
        <v>2683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4267</v>
      </c>
      <c r="BV1067" s="2" t="s">
        <v>235</v>
      </c>
      <c r="BW1067" s="2" t="s">
        <v>235</v>
      </c>
      <c r="BX1067" s="2" t="s">
        <v>244</v>
      </c>
      <c r="BY1067" s="2" t="s">
        <v>245</v>
      </c>
      <c r="BZ1067" s="2" t="s">
        <v>232</v>
      </c>
      <c r="CA1067" s="2" t="s">
        <v>235</v>
      </c>
      <c r="CB1067" s="2" t="s">
        <v>235</v>
      </c>
      <c r="CC1067" s="2" t="s">
        <v>248</v>
      </c>
      <c r="CD1067" s="2" t="s">
        <v>248</v>
      </c>
      <c r="CE1067" s="2" t="s">
        <v>235</v>
      </c>
      <c r="CF1067" s="4">
        <v>115</v>
      </c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>
        <v>115</v>
      </c>
      <c r="GE1067" s="4">
        <v>111</v>
      </c>
      <c r="GF1067" s="4">
        <v>108</v>
      </c>
      <c r="GG1067" s="4">
        <v>105</v>
      </c>
      <c r="GH1067" s="4">
        <v>102</v>
      </c>
      <c r="GI1067" s="4">
        <v>94</v>
      </c>
      <c r="GJ1067" s="4">
        <v>82</v>
      </c>
      <c r="GK1067" s="4">
        <v>72</v>
      </c>
      <c r="GL1067" s="4">
        <v>60</v>
      </c>
      <c r="GM1067" s="4">
        <v>49</v>
      </c>
      <c r="GN1067" s="4">
        <v>40</v>
      </c>
      <c r="GO1067" s="4">
        <v>29</v>
      </c>
      <c r="GP1067" s="4">
        <v>18</v>
      </c>
      <c r="GQ1067" s="4">
        <v>6</v>
      </c>
      <c r="GR1067" s="4"/>
      <c r="GS1067" s="4"/>
      <c r="GT1067" s="4"/>
      <c r="GU1067" s="4"/>
      <c r="GV1067" s="4"/>
      <c r="GW1067" s="4">
        <v>208</v>
      </c>
      <c r="GX1067" s="4">
        <v>161</v>
      </c>
      <c r="GY1067" s="4">
        <v>150</v>
      </c>
      <c r="GZ1067" s="4">
        <v>138</v>
      </c>
      <c r="HA1067" s="4">
        <v>130</v>
      </c>
      <c r="HB1067" s="4">
        <v>122</v>
      </c>
      <c r="HC1067" s="4">
        <v>113</v>
      </c>
      <c r="HD1067" s="19">
        <v>38.3</v>
      </c>
      <c r="HE1067" s="19">
        <v>27.8</v>
      </c>
      <c r="HF1067" s="19">
        <v>18</v>
      </c>
      <c r="HG1067" s="19">
        <v>13.1</v>
      </c>
      <c r="HH1067" s="19">
        <v>10.2</v>
      </c>
      <c r="HI1067" s="19">
        <v>8.5</v>
      </c>
      <c r="HJ1067" s="19">
        <v>8.2</v>
      </c>
      <c r="HK1067" s="19">
        <v>6.5</v>
      </c>
      <c r="HL1067" s="19">
        <v>6</v>
      </c>
      <c r="HM1067" s="19">
        <v>4.5</v>
      </c>
      <c r="HN1067" s="19">
        <v>4</v>
      </c>
      <c r="HO1067" s="19">
        <v>3.6</v>
      </c>
      <c r="HP1067" s="19">
        <v>3</v>
      </c>
      <c r="HQ1067" s="19">
        <v>1.5</v>
      </c>
      <c r="HR1067" s="20">
        <v>0</v>
      </c>
      <c r="HS1067" s="20">
        <v>0</v>
      </c>
      <c r="HT1067" s="20">
        <v>0</v>
      </c>
      <c r="HU1067" s="20">
        <v>0</v>
      </c>
      <c r="HV1067" s="20">
        <v>0</v>
      </c>
      <c r="HW1067" s="19">
        <v>10.4</v>
      </c>
      <c r="HX1067" s="19">
        <v>16.1</v>
      </c>
      <c r="HY1067" s="19">
        <v>16.7</v>
      </c>
      <c r="HZ1067" s="19">
        <v>17.3</v>
      </c>
      <c r="IA1067" s="19">
        <v>16.3</v>
      </c>
      <c r="IB1067" s="19">
        <v>15.3</v>
      </c>
      <c r="IC1067" s="19">
        <v>14.1</v>
      </c>
    </row>
    <row r="1068">
      <c r="A1068" s="2" t="s">
        <v>4268</v>
      </c>
      <c r="B1068" s="2" t="s">
        <v>852</v>
      </c>
      <c r="C1068" s="2" t="s">
        <v>324</v>
      </c>
      <c r="D1068" s="2" t="s">
        <v>854</v>
      </c>
      <c r="E1068" s="2" t="s">
        <v>2622</v>
      </c>
      <c r="F1068" s="2" t="s">
        <v>4262</v>
      </c>
      <c r="G1068" s="2" t="s">
        <v>4262</v>
      </c>
      <c r="H1068" s="2" t="s">
        <v>4262</v>
      </c>
      <c r="I1068" s="2" t="s">
        <v>4263</v>
      </c>
      <c r="J1068" s="2" t="s">
        <v>2624</v>
      </c>
      <c r="K1068" s="2" t="s">
        <v>4265</v>
      </c>
      <c r="L1068" s="3">
        <v>29.88</v>
      </c>
      <c r="M1068" s="3">
        <v>31.37</v>
      </c>
      <c r="N1068" s="3">
        <v>64.99</v>
      </c>
      <c r="O1068" s="2" t="s">
        <v>232</v>
      </c>
      <c r="P1068" s="2" t="s">
        <v>878</v>
      </c>
      <c r="Q1068" s="2" t="s">
        <v>234</v>
      </c>
      <c r="R1068" s="2" t="s">
        <v>235</v>
      </c>
      <c r="S1068" s="2" t="s">
        <v>235</v>
      </c>
      <c r="T1068" s="2" t="s">
        <v>879</v>
      </c>
      <c r="U1068" s="2" t="s">
        <v>807</v>
      </c>
      <c r="V1068" s="2" t="s">
        <v>238</v>
      </c>
      <c r="W1068" s="2" t="s">
        <v>329</v>
      </c>
      <c r="X1068" s="2" t="s">
        <v>235</v>
      </c>
      <c r="Y1068" s="2" t="s">
        <v>4266</v>
      </c>
      <c r="Z1068" s="4">
        <v>284</v>
      </c>
      <c r="AA1068" s="4">
        <f>=ROUNDDOWN(23.6666666666667,0)</f>
      </c>
      <c r="AB1068" s="5">
        <v>12</v>
      </c>
      <c r="AC1068" s="2" t="s">
        <v>235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235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235</v>
      </c>
      <c r="AW1068" s="8" t="s">
        <v>235</v>
      </c>
      <c r="AX1068" s="4" t="s">
        <v>235</v>
      </c>
      <c r="AY1068" s="8" t="s">
        <v>235</v>
      </c>
      <c r="AZ1068" s="7" t="s">
        <v>235</v>
      </c>
      <c r="BA1068" s="7" t="s">
        <v>235</v>
      </c>
      <c r="BB1068" s="7"/>
      <c r="BC1068" s="4" t="s">
        <v>235</v>
      </c>
      <c r="BD1068" s="8" t="s">
        <v>235</v>
      </c>
      <c r="BE1068" s="4" t="s">
        <v>235</v>
      </c>
      <c r="BF1068" s="8" t="s">
        <v>235</v>
      </c>
      <c r="BG1068" s="7" t="s">
        <v>235</v>
      </c>
      <c r="BH1068" s="7" t="s">
        <v>235</v>
      </c>
      <c r="BI1068" s="7"/>
      <c r="BJ1068" s="4">
        <v>88</v>
      </c>
      <c r="BK1068" s="8">
        <v>3039.06</v>
      </c>
      <c r="BL1068" s="2" t="s">
        <v>4269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4267</v>
      </c>
      <c r="BV1068" s="2" t="s">
        <v>235</v>
      </c>
      <c r="BW1068" s="2" t="s">
        <v>235</v>
      </c>
      <c r="BX1068" s="2" t="s">
        <v>244</v>
      </c>
      <c r="BY1068" s="2" t="s">
        <v>245</v>
      </c>
      <c r="BZ1068" s="2" t="s">
        <v>232</v>
      </c>
      <c r="CA1068" s="2" t="s">
        <v>235</v>
      </c>
      <c r="CB1068" s="2" t="s">
        <v>235</v>
      </c>
      <c r="CC1068" s="2" t="s">
        <v>248</v>
      </c>
      <c r="CD1068" s="2" t="s">
        <v>248</v>
      </c>
      <c r="CE1068" s="2" t="s">
        <v>235</v>
      </c>
      <c r="CF1068" s="4">
        <v>284</v>
      </c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>
        <v>290</v>
      </c>
      <c r="GE1068" s="4">
        <v>285</v>
      </c>
      <c r="GF1068" s="4">
        <v>281</v>
      </c>
      <c r="GG1068" s="4">
        <v>275</v>
      </c>
      <c r="GH1068" s="4">
        <v>260</v>
      </c>
      <c r="GI1068" s="4">
        <v>246</v>
      </c>
      <c r="GJ1068" s="4">
        <v>228</v>
      </c>
      <c r="GK1068" s="4">
        <v>216</v>
      </c>
      <c r="GL1068" s="4">
        <v>202</v>
      </c>
      <c r="GM1068" s="4">
        <v>190</v>
      </c>
      <c r="GN1068" s="4">
        <v>177</v>
      </c>
      <c r="GO1068" s="4">
        <v>163</v>
      </c>
      <c r="GP1068" s="4">
        <v>150</v>
      </c>
      <c r="GQ1068" s="4">
        <v>135</v>
      </c>
      <c r="GR1068" s="4">
        <v>123</v>
      </c>
      <c r="GS1068" s="4">
        <v>110</v>
      </c>
      <c r="GT1068" s="4">
        <v>98</v>
      </c>
      <c r="GU1068" s="4">
        <v>86</v>
      </c>
      <c r="GV1068" s="4">
        <v>72</v>
      </c>
      <c r="GW1068" s="4">
        <v>243</v>
      </c>
      <c r="GX1068" s="4">
        <v>231</v>
      </c>
      <c r="GY1068" s="4">
        <v>219</v>
      </c>
      <c r="GZ1068" s="4">
        <v>207</v>
      </c>
      <c r="HA1068" s="4">
        <v>195</v>
      </c>
      <c r="HB1068" s="4">
        <v>183</v>
      </c>
      <c r="HC1068" s="4">
        <v>170</v>
      </c>
      <c r="HD1068" s="19">
        <v>36.3</v>
      </c>
      <c r="HE1068" s="19">
        <v>28.5</v>
      </c>
      <c r="HF1068" s="19">
        <v>21.6</v>
      </c>
      <c r="HG1068" s="19">
        <v>18.3</v>
      </c>
      <c r="HH1068" s="19">
        <v>18.6</v>
      </c>
      <c r="HI1068" s="19">
        <v>17.6</v>
      </c>
      <c r="HJ1068" s="19">
        <v>17.5</v>
      </c>
      <c r="HK1068" s="19">
        <v>16.6</v>
      </c>
      <c r="HL1068" s="19">
        <v>15.5</v>
      </c>
      <c r="HM1068" s="19">
        <v>13.6</v>
      </c>
      <c r="HN1068" s="19">
        <v>12.6</v>
      </c>
      <c r="HO1068" s="19">
        <v>12.5</v>
      </c>
      <c r="HP1068" s="19">
        <v>11.5</v>
      </c>
      <c r="HQ1068" s="19">
        <v>11.3</v>
      </c>
      <c r="HR1068" s="19">
        <v>9.5</v>
      </c>
      <c r="HS1068" s="19">
        <v>9.2</v>
      </c>
      <c r="HT1068" s="19">
        <v>8.2</v>
      </c>
      <c r="HU1068" s="19">
        <v>7.2</v>
      </c>
      <c r="HV1068" s="19">
        <v>6</v>
      </c>
      <c r="HW1068" s="19">
        <v>20.3</v>
      </c>
      <c r="HX1068" s="19">
        <v>19.3</v>
      </c>
      <c r="HY1068" s="19">
        <v>18.3</v>
      </c>
      <c r="HZ1068" s="19">
        <v>17.3</v>
      </c>
      <c r="IA1068" s="19">
        <v>16.3</v>
      </c>
      <c r="IB1068" s="19">
        <v>15.3</v>
      </c>
      <c r="IC1068" s="19">
        <v>14.2</v>
      </c>
    </row>
    <row r="1069">
      <c r="A1069" s="2" t="s">
        <v>4270</v>
      </c>
      <c r="B1069" s="2" t="s">
        <v>852</v>
      </c>
      <c r="C1069" s="2" t="s">
        <v>324</v>
      </c>
      <c r="D1069" s="2" t="s">
        <v>854</v>
      </c>
      <c r="E1069" s="2" t="s">
        <v>2622</v>
      </c>
      <c r="F1069" s="2" t="s">
        <v>4262</v>
      </c>
      <c r="G1069" s="2" t="s">
        <v>4262</v>
      </c>
      <c r="H1069" s="2" t="s">
        <v>4262</v>
      </c>
      <c r="I1069" s="2" t="s">
        <v>4263</v>
      </c>
      <c r="J1069" s="2" t="s">
        <v>4271</v>
      </c>
      <c r="K1069" s="2" t="s">
        <v>4265</v>
      </c>
      <c r="L1069" s="3">
        <v>31.52</v>
      </c>
      <c r="M1069" s="3">
        <v>33.1</v>
      </c>
      <c r="N1069" s="3">
        <v>69.99</v>
      </c>
      <c r="O1069" s="2" t="s">
        <v>232</v>
      </c>
      <c r="P1069" s="2" t="s">
        <v>878</v>
      </c>
      <c r="Q1069" s="2" t="s">
        <v>234</v>
      </c>
      <c r="R1069" s="2" t="s">
        <v>235</v>
      </c>
      <c r="S1069" s="2" t="s">
        <v>235</v>
      </c>
      <c r="T1069" s="2" t="s">
        <v>879</v>
      </c>
      <c r="U1069" s="2" t="s">
        <v>807</v>
      </c>
      <c r="V1069" s="2" t="s">
        <v>238</v>
      </c>
      <c r="W1069" s="2" t="s">
        <v>329</v>
      </c>
      <c r="X1069" s="2" t="s">
        <v>235</v>
      </c>
      <c r="Y1069" s="2" t="s">
        <v>4266</v>
      </c>
      <c r="Z1069" s="4">
        <v>193</v>
      </c>
      <c r="AA1069" s="4">
        <f>=ROUNDDOWN(17.5454545454545,0)</f>
      </c>
      <c r="AB1069" s="5">
        <v>11</v>
      </c>
      <c r="AC1069" s="2" t="s">
        <v>235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235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235</v>
      </c>
      <c r="AW1069" s="8" t="s">
        <v>235</v>
      </c>
      <c r="AX1069" s="4" t="s">
        <v>235</v>
      </c>
      <c r="AY1069" s="8" t="s">
        <v>235</v>
      </c>
      <c r="AZ1069" s="7" t="s">
        <v>235</v>
      </c>
      <c r="BA1069" s="7" t="s">
        <v>235</v>
      </c>
      <c r="BB1069" s="7"/>
      <c r="BC1069" s="4" t="s">
        <v>235</v>
      </c>
      <c r="BD1069" s="8" t="s">
        <v>235</v>
      </c>
      <c r="BE1069" s="4" t="s">
        <v>235</v>
      </c>
      <c r="BF1069" s="8" t="s">
        <v>235</v>
      </c>
      <c r="BG1069" s="7" t="s">
        <v>235</v>
      </c>
      <c r="BH1069" s="7" t="s">
        <v>235</v>
      </c>
      <c r="BI1069" s="7"/>
      <c r="BJ1069" s="4">
        <v>68</v>
      </c>
      <c r="BK1069" s="8">
        <v>2460.14</v>
      </c>
      <c r="BL1069" s="2" t="s">
        <v>4269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4267</v>
      </c>
      <c r="BV1069" s="2" t="s">
        <v>235</v>
      </c>
      <c r="BW1069" s="2" t="s">
        <v>235</v>
      </c>
      <c r="BX1069" s="2" t="s">
        <v>244</v>
      </c>
      <c r="BY1069" s="2" t="s">
        <v>245</v>
      </c>
      <c r="BZ1069" s="2" t="s">
        <v>232</v>
      </c>
      <c r="CA1069" s="2" t="s">
        <v>235</v>
      </c>
      <c r="CB1069" s="2" t="s">
        <v>235</v>
      </c>
      <c r="CC1069" s="2" t="s">
        <v>248</v>
      </c>
      <c r="CD1069" s="2" t="s">
        <v>248</v>
      </c>
      <c r="CE1069" s="2" t="s">
        <v>235</v>
      </c>
      <c r="CF1069" s="4">
        <v>193</v>
      </c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>
        <v>193</v>
      </c>
      <c r="GE1069" s="4">
        <v>188</v>
      </c>
      <c r="GF1069" s="4">
        <v>184</v>
      </c>
      <c r="GG1069" s="4">
        <v>180</v>
      </c>
      <c r="GH1069" s="4">
        <v>172</v>
      </c>
      <c r="GI1069" s="4">
        <v>160</v>
      </c>
      <c r="GJ1069" s="4">
        <v>144</v>
      </c>
      <c r="GK1069" s="4">
        <v>133</v>
      </c>
      <c r="GL1069" s="4">
        <v>121</v>
      </c>
      <c r="GM1069" s="4">
        <v>110</v>
      </c>
      <c r="GN1069" s="4">
        <v>98</v>
      </c>
      <c r="GO1069" s="4">
        <v>85</v>
      </c>
      <c r="GP1069" s="4">
        <v>73</v>
      </c>
      <c r="GQ1069" s="4">
        <v>59</v>
      </c>
      <c r="GR1069" s="4">
        <v>48</v>
      </c>
      <c r="GS1069" s="4">
        <v>36</v>
      </c>
      <c r="GT1069" s="4">
        <v>25</v>
      </c>
      <c r="GU1069" s="4">
        <v>14</v>
      </c>
      <c r="GV1069" s="4">
        <v>2</v>
      </c>
      <c r="GW1069" s="4">
        <v>229</v>
      </c>
      <c r="GX1069" s="4">
        <v>211</v>
      </c>
      <c r="GY1069" s="4">
        <v>200</v>
      </c>
      <c r="GZ1069" s="4">
        <v>189</v>
      </c>
      <c r="HA1069" s="4">
        <v>178</v>
      </c>
      <c r="HB1069" s="4">
        <v>167</v>
      </c>
      <c r="HC1069" s="4">
        <v>155</v>
      </c>
      <c r="HD1069" s="19">
        <v>38.6</v>
      </c>
      <c r="HE1069" s="19">
        <v>26.9</v>
      </c>
      <c r="HF1069" s="19">
        <v>18.4</v>
      </c>
      <c r="HG1069" s="19">
        <v>15</v>
      </c>
      <c r="HH1069" s="19">
        <v>13.2</v>
      </c>
      <c r="HI1069" s="19">
        <v>13.3</v>
      </c>
      <c r="HJ1069" s="19">
        <v>12</v>
      </c>
      <c r="HK1069" s="19">
        <v>11.1</v>
      </c>
      <c r="HL1069" s="19">
        <v>10.1</v>
      </c>
      <c r="HM1069" s="19">
        <v>8.5</v>
      </c>
      <c r="HN1069" s="19">
        <v>8.2</v>
      </c>
      <c r="HO1069" s="19">
        <v>7.1</v>
      </c>
      <c r="HP1069" s="19">
        <v>6.1</v>
      </c>
      <c r="HQ1069" s="19">
        <v>5.4</v>
      </c>
      <c r="HR1069" s="19">
        <v>4</v>
      </c>
      <c r="HS1069" s="19">
        <v>3.6</v>
      </c>
      <c r="HT1069" s="19">
        <v>2.3</v>
      </c>
      <c r="HU1069" s="19">
        <v>1.3</v>
      </c>
      <c r="HV1069" s="19">
        <v>0.2</v>
      </c>
      <c r="HW1069" s="19">
        <v>17.6</v>
      </c>
      <c r="HX1069" s="19">
        <v>19.2</v>
      </c>
      <c r="HY1069" s="19">
        <v>18.2</v>
      </c>
      <c r="HZ1069" s="19">
        <v>17.2</v>
      </c>
      <c r="IA1069" s="19">
        <v>16.2</v>
      </c>
      <c r="IB1069" s="19">
        <v>15.2</v>
      </c>
      <c r="IC1069" s="19">
        <v>14.1</v>
      </c>
    </row>
    <row r="1070">
      <c r="A1070" s="2" t="s">
        <v>4272</v>
      </c>
      <c r="B1070" s="2" t="s">
        <v>852</v>
      </c>
      <c r="C1070" s="2" t="s">
        <v>324</v>
      </c>
      <c r="D1070" s="2" t="s">
        <v>854</v>
      </c>
      <c r="E1070" s="2" t="s">
        <v>2622</v>
      </c>
      <c r="F1070" s="2" t="s">
        <v>4262</v>
      </c>
      <c r="G1070" s="2" t="s">
        <v>4262</v>
      </c>
      <c r="H1070" s="2" t="s">
        <v>4262</v>
      </c>
      <c r="I1070" s="2" t="s">
        <v>4263</v>
      </c>
      <c r="J1070" s="2" t="s">
        <v>2640</v>
      </c>
      <c r="K1070" s="2" t="s">
        <v>4265</v>
      </c>
      <c r="L1070" s="3">
        <v>32.38</v>
      </c>
      <c r="M1070" s="3">
        <v>34</v>
      </c>
      <c r="N1070" s="3">
        <v>69.99</v>
      </c>
      <c r="O1070" s="2" t="s">
        <v>232</v>
      </c>
      <c r="P1070" s="2" t="s">
        <v>878</v>
      </c>
      <c r="Q1070" s="2" t="s">
        <v>234</v>
      </c>
      <c r="R1070" s="2" t="s">
        <v>235</v>
      </c>
      <c r="S1070" s="2" t="s">
        <v>235</v>
      </c>
      <c r="T1070" s="2" t="s">
        <v>879</v>
      </c>
      <c r="U1070" s="2" t="s">
        <v>807</v>
      </c>
      <c r="V1070" s="2" t="s">
        <v>238</v>
      </c>
      <c r="W1070" s="2" t="s">
        <v>329</v>
      </c>
      <c r="X1070" s="2" t="s">
        <v>235</v>
      </c>
      <c r="Y1070" s="2" t="s">
        <v>4266</v>
      </c>
      <c r="Z1070" s="4">
        <v>82</v>
      </c>
      <c r="AA1070" s="4">
        <f>=ROUNDDOWN(6.83333333333333,0)</f>
      </c>
      <c r="AB1070" s="5">
        <v>12</v>
      </c>
      <c r="AC1070" s="2" t="s">
        <v>235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235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235</v>
      </c>
      <c r="AW1070" s="8" t="s">
        <v>235</v>
      </c>
      <c r="AX1070" s="4" t="s">
        <v>235</v>
      </c>
      <c r="AY1070" s="8" t="s">
        <v>235</v>
      </c>
      <c r="AZ1070" s="7" t="s">
        <v>235</v>
      </c>
      <c r="BA1070" s="7" t="s">
        <v>235</v>
      </c>
      <c r="BB1070" s="7"/>
      <c r="BC1070" s="4" t="s">
        <v>235</v>
      </c>
      <c r="BD1070" s="8" t="s">
        <v>235</v>
      </c>
      <c r="BE1070" s="4" t="s">
        <v>235</v>
      </c>
      <c r="BF1070" s="8" t="s">
        <v>235</v>
      </c>
      <c r="BG1070" s="7" t="s">
        <v>235</v>
      </c>
      <c r="BH1070" s="7" t="s">
        <v>235</v>
      </c>
      <c r="BI1070" s="7"/>
      <c r="BJ1070" s="4">
        <v>48</v>
      </c>
      <c r="BK1070" s="8">
        <v>1787.52</v>
      </c>
      <c r="BL1070" s="2" t="s">
        <v>1226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4267</v>
      </c>
      <c r="BV1070" s="2" t="s">
        <v>235</v>
      </c>
      <c r="BW1070" s="2" t="s">
        <v>235</v>
      </c>
      <c r="BX1070" s="2" t="s">
        <v>244</v>
      </c>
      <c r="BY1070" s="2" t="s">
        <v>245</v>
      </c>
      <c r="BZ1070" s="2" t="s">
        <v>232</v>
      </c>
      <c r="CA1070" s="2" t="s">
        <v>235</v>
      </c>
      <c r="CB1070" s="2" t="s">
        <v>235</v>
      </c>
      <c r="CC1070" s="2" t="s">
        <v>248</v>
      </c>
      <c r="CD1070" s="2" t="s">
        <v>248</v>
      </c>
      <c r="CE1070" s="2" t="s">
        <v>235</v>
      </c>
      <c r="CF1070" s="4">
        <v>82</v>
      </c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>
        <v>82</v>
      </c>
      <c r="GE1070" s="4">
        <v>77</v>
      </c>
      <c r="GF1070" s="4">
        <v>68</v>
      </c>
      <c r="GG1070" s="4">
        <v>54</v>
      </c>
      <c r="GH1070" s="4">
        <v>39</v>
      </c>
      <c r="GI1070" s="4">
        <v>25</v>
      </c>
      <c r="GJ1070" s="4">
        <v>7</v>
      </c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>
        <v>301</v>
      </c>
      <c r="GX1070" s="4">
        <v>231</v>
      </c>
      <c r="GY1070" s="4">
        <v>219</v>
      </c>
      <c r="GZ1070" s="4">
        <v>207</v>
      </c>
      <c r="HA1070" s="4">
        <v>195</v>
      </c>
      <c r="HB1070" s="4">
        <v>183</v>
      </c>
      <c r="HC1070" s="4">
        <v>170</v>
      </c>
      <c r="HD1070" s="19">
        <v>7.5</v>
      </c>
      <c r="HE1070" s="19">
        <v>5.9</v>
      </c>
      <c r="HF1070" s="19">
        <v>4.5</v>
      </c>
      <c r="HG1070" s="19">
        <v>3.9</v>
      </c>
      <c r="HH1070" s="19">
        <v>3.5</v>
      </c>
      <c r="HI1070" s="19">
        <v>3.1</v>
      </c>
      <c r="HJ1070" s="19">
        <v>1.4</v>
      </c>
      <c r="HK1070" s="20">
        <v>0</v>
      </c>
      <c r="HL1070" s="20">
        <v>0</v>
      </c>
      <c r="HM1070" s="20">
        <v>0</v>
      </c>
      <c r="HN1070" s="20">
        <v>0</v>
      </c>
      <c r="HO1070" s="20">
        <v>0</v>
      </c>
      <c r="HP1070" s="20">
        <v>0</v>
      </c>
      <c r="HQ1070" s="20">
        <v>0</v>
      </c>
      <c r="HR1070" s="20">
        <v>0</v>
      </c>
      <c r="HS1070" s="20">
        <v>0</v>
      </c>
      <c r="HT1070" s="20">
        <v>0</v>
      </c>
      <c r="HU1070" s="20">
        <v>0</v>
      </c>
      <c r="HV1070" s="20">
        <v>0</v>
      </c>
      <c r="HW1070" s="19">
        <v>11.6</v>
      </c>
      <c r="HX1070" s="19">
        <v>19.3</v>
      </c>
      <c r="HY1070" s="19">
        <v>18.3</v>
      </c>
      <c r="HZ1070" s="19">
        <v>17.3</v>
      </c>
      <c r="IA1070" s="19">
        <v>16.3</v>
      </c>
      <c r="IB1070" s="19">
        <v>15.3</v>
      </c>
      <c r="IC1070" s="19">
        <v>14.2</v>
      </c>
    </row>
    <row r="1071">
      <c r="A1071" s="2" t="s">
        <v>4273</v>
      </c>
      <c r="B1071" s="2" t="s">
        <v>852</v>
      </c>
      <c r="C1071" s="2" t="s">
        <v>324</v>
      </c>
      <c r="D1071" s="2" t="s">
        <v>854</v>
      </c>
      <c r="E1071" s="2" t="s">
        <v>2622</v>
      </c>
      <c r="F1071" s="2" t="s">
        <v>4262</v>
      </c>
      <c r="G1071" s="2" t="s">
        <v>4262</v>
      </c>
      <c r="H1071" s="2" t="s">
        <v>4262</v>
      </c>
      <c r="I1071" s="2" t="s">
        <v>4263</v>
      </c>
      <c r="J1071" s="2" t="s">
        <v>2631</v>
      </c>
      <c r="K1071" s="2" t="s">
        <v>4265</v>
      </c>
      <c r="L1071" s="3">
        <v>35.56</v>
      </c>
      <c r="M1071" s="3">
        <v>37.34</v>
      </c>
      <c r="N1071" s="3">
        <v>74.99</v>
      </c>
      <c r="O1071" s="2" t="s">
        <v>232</v>
      </c>
      <c r="P1071" s="2" t="s">
        <v>878</v>
      </c>
      <c r="Q1071" s="2" t="s">
        <v>234</v>
      </c>
      <c r="R1071" s="2" t="s">
        <v>235</v>
      </c>
      <c r="S1071" s="2" t="s">
        <v>235</v>
      </c>
      <c r="T1071" s="2" t="s">
        <v>879</v>
      </c>
      <c r="U1071" s="2" t="s">
        <v>807</v>
      </c>
      <c r="V1071" s="2" t="s">
        <v>238</v>
      </c>
      <c r="W1071" s="2" t="s">
        <v>329</v>
      </c>
      <c r="X1071" s="2" t="s">
        <v>235</v>
      </c>
      <c r="Y1071" s="2" t="s">
        <v>4266</v>
      </c>
      <c r="Z1071" s="4">
        <v>193</v>
      </c>
      <c r="AA1071" s="4">
        <f>=ROUNDDOWN(21.4444444444444,0)</f>
      </c>
      <c r="AB1071" s="5">
        <v>9</v>
      </c>
      <c r="AC1071" s="2" t="s">
        <v>235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235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235</v>
      </c>
      <c r="AW1071" s="8" t="s">
        <v>235</v>
      </c>
      <c r="AX1071" s="4" t="s">
        <v>235</v>
      </c>
      <c r="AY1071" s="8" t="s">
        <v>235</v>
      </c>
      <c r="AZ1071" s="7" t="s">
        <v>235</v>
      </c>
      <c r="BA1071" s="7" t="s">
        <v>235</v>
      </c>
      <c r="BB1071" s="7"/>
      <c r="BC1071" s="4" t="s">
        <v>235</v>
      </c>
      <c r="BD1071" s="8" t="s">
        <v>235</v>
      </c>
      <c r="BE1071" s="4" t="s">
        <v>235</v>
      </c>
      <c r="BF1071" s="8" t="s">
        <v>235</v>
      </c>
      <c r="BG1071" s="7" t="s">
        <v>235</v>
      </c>
      <c r="BH1071" s="7" t="s">
        <v>235</v>
      </c>
      <c r="BI1071" s="7"/>
      <c r="BJ1071" s="4">
        <v>34</v>
      </c>
      <c r="BK1071" s="8">
        <v>1390.26</v>
      </c>
      <c r="BL1071" s="2" t="s">
        <v>2683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4267</v>
      </c>
      <c r="BV1071" s="2" t="s">
        <v>235</v>
      </c>
      <c r="BW1071" s="2" t="s">
        <v>235</v>
      </c>
      <c r="BX1071" s="2" t="s">
        <v>244</v>
      </c>
      <c r="BY1071" s="2" t="s">
        <v>245</v>
      </c>
      <c r="BZ1071" s="2" t="s">
        <v>232</v>
      </c>
      <c r="CA1071" s="2" t="s">
        <v>235</v>
      </c>
      <c r="CB1071" s="2" t="s">
        <v>235</v>
      </c>
      <c r="CC1071" s="2" t="s">
        <v>248</v>
      </c>
      <c r="CD1071" s="2" t="s">
        <v>248</v>
      </c>
      <c r="CE1071" s="2" t="s">
        <v>235</v>
      </c>
      <c r="CF1071" s="4">
        <v>193</v>
      </c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>
        <v>193</v>
      </c>
      <c r="GE1071" s="4">
        <v>189</v>
      </c>
      <c r="GF1071" s="4">
        <v>186</v>
      </c>
      <c r="GG1071" s="4">
        <v>176</v>
      </c>
      <c r="GH1071" s="4">
        <v>165</v>
      </c>
      <c r="GI1071" s="4">
        <v>155</v>
      </c>
      <c r="GJ1071" s="4">
        <v>142</v>
      </c>
      <c r="GK1071" s="4">
        <v>133</v>
      </c>
      <c r="GL1071" s="4">
        <v>123</v>
      </c>
      <c r="GM1071" s="4">
        <v>114</v>
      </c>
      <c r="GN1071" s="4">
        <v>104</v>
      </c>
      <c r="GO1071" s="4">
        <v>94</v>
      </c>
      <c r="GP1071" s="4">
        <v>84</v>
      </c>
      <c r="GQ1071" s="4">
        <v>73</v>
      </c>
      <c r="GR1071" s="4">
        <v>64</v>
      </c>
      <c r="GS1071" s="4">
        <v>54</v>
      </c>
      <c r="GT1071" s="4">
        <v>45</v>
      </c>
      <c r="GU1071" s="4">
        <v>36</v>
      </c>
      <c r="GV1071" s="4">
        <v>26</v>
      </c>
      <c r="GW1071" s="4">
        <v>182</v>
      </c>
      <c r="GX1071" s="4">
        <v>173</v>
      </c>
      <c r="GY1071" s="4">
        <v>164</v>
      </c>
      <c r="GZ1071" s="4">
        <v>155</v>
      </c>
      <c r="HA1071" s="4">
        <v>146</v>
      </c>
      <c r="HB1071" s="4">
        <v>137</v>
      </c>
      <c r="HC1071" s="4">
        <v>127</v>
      </c>
      <c r="HD1071" s="19">
        <v>27.6</v>
      </c>
      <c r="HE1071" s="19">
        <v>23.6</v>
      </c>
      <c r="HF1071" s="19">
        <v>16.9</v>
      </c>
      <c r="HG1071" s="19">
        <v>16</v>
      </c>
      <c r="HH1071" s="19">
        <v>16.5</v>
      </c>
      <c r="HI1071" s="19">
        <v>15.5</v>
      </c>
      <c r="HJ1071" s="19">
        <v>14.2</v>
      </c>
      <c r="HK1071" s="19">
        <v>13.3</v>
      </c>
      <c r="HL1071" s="19">
        <v>12.3</v>
      </c>
      <c r="HM1071" s="19">
        <v>11.4</v>
      </c>
      <c r="HN1071" s="19">
        <v>10.4</v>
      </c>
      <c r="HO1071" s="19">
        <v>9.4</v>
      </c>
      <c r="HP1071" s="19">
        <v>8.4</v>
      </c>
      <c r="HQ1071" s="19">
        <v>8.1</v>
      </c>
      <c r="HR1071" s="19">
        <v>6.4</v>
      </c>
      <c r="HS1071" s="19">
        <v>6</v>
      </c>
      <c r="HT1071" s="19">
        <v>5</v>
      </c>
      <c r="HU1071" s="19">
        <v>4</v>
      </c>
      <c r="HV1071" s="19">
        <v>2.9</v>
      </c>
      <c r="HW1071" s="19">
        <v>20.2</v>
      </c>
      <c r="HX1071" s="19">
        <v>19.2</v>
      </c>
      <c r="HY1071" s="19">
        <v>18.2</v>
      </c>
      <c r="HZ1071" s="19">
        <v>17.2</v>
      </c>
      <c r="IA1071" s="19">
        <v>16.2</v>
      </c>
      <c r="IB1071" s="19">
        <v>15.2</v>
      </c>
      <c r="IC1071" s="19">
        <v>14.1</v>
      </c>
    </row>
    <row r="1072">
      <c r="A1072" s="2" t="s">
        <v>4274</v>
      </c>
      <c r="B1072" s="2" t="s">
        <v>852</v>
      </c>
      <c r="C1072" s="2" t="s">
        <v>324</v>
      </c>
      <c r="D1072" s="2" t="s">
        <v>854</v>
      </c>
      <c r="E1072" s="2" t="s">
        <v>2622</v>
      </c>
      <c r="F1072" s="2" t="s">
        <v>4262</v>
      </c>
      <c r="G1072" s="2" t="s">
        <v>4262</v>
      </c>
      <c r="H1072" s="2" t="s">
        <v>4262</v>
      </c>
      <c r="I1072" s="2" t="s">
        <v>4263</v>
      </c>
      <c r="J1072" s="2" t="s">
        <v>4275</v>
      </c>
      <c r="K1072" s="2" t="s">
        <v>4265</v>
      </c>
      <c r="L1072" s="3">
        <v>36.85</v>
      </c>
      <c r="M1072" s="3">
        <v>38.69</v>
      </c>
      <c r="N1072" s="3">
        <v>79.99</v>
      </c>
      <c r="O1072" s="2" t="s">
        <v>232</v>
      </c>
      <c r="P1072" s="2" t="s">
        <v>878</v>
      </c>
      <c r="Q1072" s="2" t="s">
        <v>234</v>
      </c>
      <c r="R1072" s="2" t="s">
        <v>235</v>
      </c>
      <c r="S1072" s="2" t="s">
        <v>235</v>
      </c>
      <c r="T1072" s="2" t="s">
        <v>879</v>
      </c>
      <c r="U1072" s="2" t="s">
        <v>807</v>
      </c>
      <c r="V1072" s="2" t="s">
        <v>238</v>
      </c>
      <c r="W1072" s="2" t="s">
        <v>329</v>
      </c>
      <c r="X1072" s="2" t="s">
        <v>235</v>
      </c>
      <c r="Y1072" s="2" t="s">
        <v>4266</v>
      </c>
      <c r="Z1072" s="4">
        <v>306</v>
      </c>
      <c r="AA1072" s="4">
        <f>=ROUNDDOWN(20.4,0)</f>
      </c>
      <c r="AB1072" s="5">
        <v>15</v>
      </c>
      <c r="AC1072" s="2" t="s">
        <v>235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235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235</v>
      </c>
      <c r="AW1072" s="8" t="s">
        <v>235</v>
      </c>
      <c r="AX1072" s="4" t="s">
        <v>235</v>
      </c>
      <c r="AY1072" s="8" t="s">
        <v>235</v>
      </c>
      <c r="AZ1072" s="7" t="s">
        <v>235</v>
      </c>
      <c r="BA1072" s="7" t="s">
        <v>235</v>
      </c>
      <c r="BB1072" s="7"/>
      <c r="BC1072" s="4" t="s">
        <v>235</v>
      </c>
      <c r="BD1072" s="8" t="s">
        <v>235</v>
      </c>
      <c r="BE1072" s="4" t="s">
        <v>235</v>
      </c>
      <c r="BF1072" s="8" t="s">
        <v>235</v>
      </c>
      <c r="BG1072" s="7" t="s">
        <v>235</v>
      </c>
      <c r="BH1072" s="7" t="s">
        <v>235</v>
      </c>
      <c r="BI1072" s="7"/>
      <c r="BJ1072" s="4">
        <v>101</v>
      </c>
      <c r="BK1072" s="8">
        <v>4280.38</v>
      </c>
      <c r="BL1072" s="2" t="s">
        <v>2683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4267</v>
      </c>
      <c r="BV1072" s="2" t="s">
        <v>235</v>
      </c>
      <c r="BW1072" s="2" t="s">
        <v>235</v>
      </c>
      <c r="BX1072" s="2" t="s">
        <v>244</v>
      </c>
      <c r="BY1072" s="2" t="s">
        <v>245</v>
      </c>
      <c r="BZ1072" s="2" t="s">
        <v>232</v>
      </c>
      <c r="CA1072" s="2" t="s">
        <v>235</v>
      </c>
      <c r="CB1072" s="2" t="s">
        <v>235</v>
      </c>
      <c r="CC1072" s="2" t="s">
        <v>248</v>
      </c>
      <c r="CD1072" s="2" t="s">
        <v>248</v>
      </c>
      <c r="CE1072" s="2" t="s">
        <v>235</v>
      </c>
      <c r="CF1072" s="4">
        <v>306</v>
      </c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>
        <v>311</v>
      </c>
      <c r="GE1072" s="4">
        <v>288</v>
      </c>
      <c r="GF1072" s="4">
        <v>273</v>
      </c>
      <c r="GG1072" s="4">
        <v>256</v>
      </c>
      <c r="GH1072" s="4">
        <v>237</v>
      </c>
      <c r="GI1072" s="4">
        <v>220</v>
      </c>
      <c r="GJ1072" s="4">
        <v>198</v>
      </c>
      <c r="GK1072" s="4">
        <v>183</v>
      </c>
      <c r="GL1072" s="4">
        <v>166</v>
      </c>
      <c r="GM1072" s="4">
        <v>151</v>
      </c>
      <c r="GN1072" s="4">
        <v>135</v>
      </c>
      <c r="GO1072" s="4">
        <v>118</v>
      </c>
      <c r="GP1072" s="4">
        <v>102</v>
      </c>
      <c r="GQ1072" s="4">
        <v>83</v>
      </c>
      <c r="GR1072" s="4">
        <v>68</v>
      </c>
      <c r="GS1072" s="4">
        <v>52</v>
      </c>
      <c r="GT1072" s="4">
        <v>37</v>
      </c>
      <c r="GU1072" s="4">
        <v>22</v>
      </c>
      <c r="GV1072" s="4">
        <v>5</v>
      </c>
      <c r="GW1072" s="4">
        <v>319</v>
      </c>
      <c r="GX1072" s="4">
        <v>294</v>
      </c>
      <c r="GY1072" s="4">
        <v>279</v>
      </c>
      <c r="GZ1072" s="4">
        <v>264</v>
      </c>
      <c r="HA1072" s="4">
        <v>249</v>
      </c>
      <c r="HB1072" s="4">
        <v>234</v>
      </c>
      <c r="HC1072" s="4">
        <v>218</v>
      </c>
      <c r="HD1072" s="19">
        <v>17.3</v>
      </c>
      <c r="HE1072" s="19">
        <v>16.9</v>
      </c>
      <c r="HF1072" s="19">
        <v>14.4</v>
      </c>
      <c r="HG1072" s="19">
        <v>14.2</v>
      </c>
      <c r="HH1072" s="19">
        <v>13.2</v>
      </c>
      <c r="HI1072" s="19">
        <v>12.9</v>
      </c>
      <c r="HJ1072" s="19">
        <v>12.4</v>
      </c>
      <c r="HK1072" s="19">
        <v>11.4</v>
      </c>
      <c r="HL1072" s="19">
        <v>10.4</v>
      </c>
      <c r="HM1072" s="19">
        <v>8.9</v>
      </c>
      <c r="HN1072" s="19">
        <v>7.9</v>
      </c>
      <c r="HO1072" s="19">
        <v>7.4</v>
      </c>
      <c r="HP1072" s="19">
        <v>6.4</v>
      </c>
      <c r="HQ1072" s="19">
        <v>5.5</v>
      </c>
      <c r="HR1072" s="19">
        <v>4.3</v>
      </c>
      <c r="HS1072" s="19">
        <v>4</v>
      </c>
      <c r="HT1072" s="19">
        <v>2.3</v>
      </c>
      <c r="HU1072" s="19">
        <v>1.4</v>
      </c>
      <c r="HV1072" s="19">
        <v>0.3</v>
      </c>
      <c r="HW1072" s="19">
        <v>17.7</v>
      </c>
      <c r="HX1072" s="19">
        <v>19.6</v>
      </c>
      <c r="HY1072" s="19">
        <v>18.6</v>
      </c>
      <c r="HZ1072" s="19">
        <v>17.6</v>
      </c>
      <c r="IA1072" s="19">
        <v>16.6</v>
      </c>
      <c r="IB1072" s="19">
        <v>15.6</v>
      </c>
      <c r="IC1072" s="19">
        <v>14.5</v>
      </c>
    </row>
    <row r="1073">
      <c r="A1073" s="2" t="s">
        <v>4276</v>
      </c>
      <c r="B1073" s="2" t="s">
        <v>852</v>
      </c>
      <c r="C1073" s="2" t="s">
        <v>324</v>
      </c>
      <c r="D1073" s="2" t="s">
        <v>854</v>
      </c>
      <c r="E1073" s="2" t="s">
        <v>2622</v>
      </c>
      <c r="F1073" s="2" t="s">
        <v>4262</v>
      </c>
      <c r="G1073" s="2" t="s">
        <v>4262</v>
      </c>
      <c r="H1073" s="2" t="s">
        <v>4262</v>
      </c>
      <c r="I1073" s="2" t="s">
        <v>4263</v>
      </c>
      <c r="J1073" s="2" t="s">
        <v>2645</v>
      </c>
      <c r="K1073" s="2" t="s">
        <v>4265</v>
      </c>
      <c r="L1073" s="3">
        <v>37.91</v>
      </c>
      <c r="M1073" s="3">
        <v>39.81</v>
      </c>
      <c r="N1073" s="3">
        <v>79.99</v>
      </c>
      <c r="O1073" s="2" t="s">
        <v>232</v>
      </c>
      <c r="P1073" s="2" t="s">
        <v>878</v>
      </c>
      <c r="Q1073" s="2" t="s">
        <v>234</v>
      </c>
      <c r="R1073" s="2" t="s">
        <v>235</v>
      </c>
      <c r="S1073" s="2" t="s">
        <v>235</v>
      </c>
      <c r="T1073" s="2" t="s">
        <v>879</v>
      </c>
      <c r="U1073" s="2" t="s">
        <v>807</v>
      </c>
      <c r="V1073" s="2" t="s">
        <v>238</v>
      </c>
      <c r="W1073" s="2" t="s">
        <v>329</v>
      </c>
      <c r="X1073" s="2" t="s">
        <v>235</v>
      </c>
      <c r="Y1073" s="2" t="s">
        <v>4266</v>
      </c>
      <c r="Z1073" s="4">
        <v>370</v>
      </c>
      <c r="AA1073" s="4">
        <f>=ROUNDDOWN(18.5,0)</f>
      </c>
      <c r="AB1073" s="5">
        <v>20</v>
      </c>
      <c r="AC1073" s="2" t="s">
        <v>235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235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235</v>
      </c>
      <c r="AW1073" s="8" t="s">
        <v>235</v>
      </c>
      <c r="AX1073" s="4" t="s">
        <v>235</v>
      </c>
      <c r="AY1073" s="8" t="s">
        <v>235</v>
      </c>
      <c r="AZ1073" s="7" t="s">
        <v>235</v>
      </c>
      <c r="BA1073" s="7" t="s">
        <v>235</v>
      </c>
      <c r="BB1073" s="7"/>
      <c r="BC1073" s="4" t="s">
        <v>235</v>
      </c>
      <c r="BD1073" s="8" t="s">
        <v>235</v>
      </c>
      <c r="BE1073" s="4" t="s">
        <v>235</v>
      </c>
      <c r="BF1073" s="8" t="s">
        <v>235</v>
      </c>
      <c r="BG1073" s="7" t="s">
        <v>235</v>
      </c>
      <c r="BH1073" s="7" t="s">
        <v>235</v>
      </c>
      <c r="BI1073" s="7"/>
      <c r="BJ1073" s="4">
        <v>130</v>
      </c>
      <c r="BK1073" s="8">
        <v>5730.02</v>
      </c>
      <c r="BL1073" s="2" t="s">
        <v>4269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4267</v>
      </c>
      <c r="BV1073" s="2" t="s">
        <v>235</v>
      </c>
      <c r="BW1073" s="2" t="s">
        <v>235</v>
      </c>
      <c r="BX1073" s="2" t="s">
        <v>244</v>
      </c>
      <c r="BY1073" s="2" t="s">
        <v>245</v>
      </c>
      <c r="BZ1073" s="2" t="s">
        <v>232</v>
      </c>
      <c r="CA1073" s="2" t="s">
        <v>235</v>
      </c>
      <c r="CB1073" s="2" t="s">
        <v>235</v>
      </c>
      <c r="CC1073" s="2" t="s">
        <v>248</v>
      </c>
      <c r="CD1073" s="2" t="s">
        <v>248</v>
      </c>
      <c r="CE1073" s="2" t="s">
        <v>235</v>
      </c>
      <c r="CF1073" s="4">
        <v>370</v>
      </c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>
        <v>376</v>
      </c>
      <c r="GE1073" s="4">
        <v>345</v>
      </c>
      <c r="GF1073" s="4">
        <v>322</v>
      </c>
      <c r="GG1073" s="4">
        <v>295</v>
      </c>
      <c r="GH1073" s="4">
        <v>265</v>
      </c>
      <c r="GI1073" s="4">
        <v>237</v>
      </c>
      <c r="GJ1073" s="4">
        <v>207</v>
      </c>
      <c r="GK1073" s="4">
        <v>182</v>
      </c>
      <c r="GL1073" s="4">
        <v>152</v>
      </c>
      <c r="GM1073" s="4">
        <v>125</v>
      </c>
      <c r="GN1073" s="4">
        <v>104</v>
      </c>
      <c r="GO1073" s="4">
        <v>79</v>
      </c>
      <c r="GP1073" s="4">
        <v>55</v>
      </c>
      <c r="GQ1073" s="4">
        <v>28</v>
      </c>
      <c r="GR1073" s="4">
        <v>4</v>
      </c>
      <c r="GS1073" s="4"/>
      <c r="GT1073" s="4"/>
      <c r="GU1073" s="4"/>
      <c r="GV1073" s="4"/>
      <c r="GW1073" s="4">
        <v>496</v>
      </c>
      <c r="GX1073" s="4">
        <v>399</v>
      </c>
      <c r="GY1073" s="4">
        <v>375</v>
      </c>
      <c r="GZ1073" s="4">
        <v>350</v>
      </c>
      <c r="HA1073" s="4">
        <v>330</v>
      </c>
      <c r="HB1073" s="4">
        <v>310</v>
      </c>
      <c r="HC1073" s="4">
        <v>289</v>
      </c>
      <c r="HD1073" s="19">
        <v>13.4</v>
      </c>
      <c r="HE1073" s="19">
        <v>12.8</v>
      </c>
      <c r="HF1073" s="19">
        <v>11.1</v>
      </c>
      <c r="HG1073" s="19">
        <v>10.5</v>
      </c>
      <c r="HH1073" s="19">
        <v>9.5</v>
      </c>
      <c r="HI1073" s="19">
        <v>8.5</v>
      </c>
      <c r="HJ1073" s="19">
        <v>8</v>
      </c>
      <c r="HK1073" s="19">
        <v>7</v>
      </c>
      <c r="HL1073" s="19">
        <v>6.3</v>
      </c>
      <c r="HM1073" s="19">
        <v>5.2</v>
      </c>
      <c r="HN1073" s="19">
        <v>4.2</v>
      </c>
      <c r="HO1073" s="19">
        <v>4</v>
      </c>
      <c r="HP1073" s="19">
        <v>3.4</v>
      </c>
      <c r="HQ1073" s="19">
        <v>2.5</v>
      </c>
      <c r="HR1073" s="19">
        <v>0.7</v>
      </c>
      <c r="HS1073" s="20">
        <v>0</v>
      </c>
      <c r="HT1073" s="20">
        <v>0</v>
      </c>
      <c r="HU1073" s="20">
        <v>0</v>
      </c>
      <c r="HV1073" s="20">
        <v>0</v>
      </c>
      <c r="HW1073" s="19">
        <v>11.8</v>
      </c>
      <c r="HX1073" s="19">
        <v>18.1</v>
      </c>
      <c r="HY1073" s="19">
        <v>17</v>
      </c>
      <c r="HZ1073" s="19">
        <v>17.5</v>
      </c>
      <c r="IA1073" s="19">
        <v>16.5</v>
      </c>
      <c r="IB1073" s="19">
        <v>15.5</v>
      </c>
      <c r="IC1073" s="19">
        <v>14.5</v>
      </c>
    </row>
    <row r="1074">
      <c r="A1074" s="2" t="s">
        <v>4277</v>
      </c>
      <c r="B1074" s="2" t="s">
        <v>852</v>
      </c>
      <c r="C1074" s="2" t="s">
        <v>324</v>
      </c>
      <c r="D1074" s="2" t="s">
        <v>854</v>
      </c>
      <c r="E1074" s="2" t="s">
        <v>2622</v>
      </c>
      <c r="F1074" s="2" t="s">
        <v>4262</v>
      </c>
      <c r="G1074" s="2" t="s">
        <v>4262</v>
      </c>
      <c r="H1074" s="2" t="s">
        <v>4262</v>
      </c>
      <c r="I1074" s="2" t="s">
        <v>4263</v>
      </c>
      <c r="J1074" s="2" t="s">
        <v>2634</v>
      </c>
      <c r="K1074" s="2" t="s">
        <v>4265</v>
      </c>
      <c r="L1074" s="3">
        <v>42.07</v>
      </c>
      <c r="M1074" s="3">
        <v>44.17</v>
      </c>
      <c r="N1074" s="3">
        <v>89.99</v>
      </c>
      <c r="O1074" s="2" t="s">
        <v>232</v>
      </c>
      <c r="P1074" s="2" t="s">
        <v>878</v>
      </c>
      <c r="Q1074" s="2" t="s">
        <v>234</v>
      </c>
      <c r="R1074" s="2" t="s">
        <v>235</v>
      </c>
      <c r="S1074" s="2" t="s">
        <v>235</v>
      </c>
      <c r="T1074" s="2" t="s">
        <v>879</v>
      </c>
      <c r="U1074" s="2" t="s">
        <v>807</v>
      </c>
      <c r="V1074" s="2" t="s">
        <v>238</v>
      </c>
      <c r="W1074" s="2" t="s">
        <v>329</v>
      </c>
      <c r="X1074" s="2" t="s">
        <v>235</v>
      </c>
      <c r="Y1074" s="2" t="s">
        <v>4266</v>
      </c>
      <c r="Z1074" s="4">
        <v>113</v>
      </c>
      <c r="AA1074" s="4">
        <f>=ROUNDDOWN(16.1428571428571,0)</f>
      </c>
      <c r="AB1074" s="5">
        <v>7</v>
      </c>
      <c r="AC1074" s="2" t="s">
        <v>235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235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235</v>
      </c>
      <c r="AW1074" s="8" t="s">
        <v>235</v>
      </c>
      <c r="AX1074" s="4" t="s">
        <v>235</v>
      </c>
      <c r="AY1074" s="8" t="s">
        <v>235</v>
      </c>
      <c r="AZ1074" s="7" t="s">
        <v>235</v>
      </c>
      <c r="BA1074" s="7" t="s">
        <v>235</v>
      </c>
      <c r="BB1074" s="7"/>
      <c r="BC1074" s="4" t="s">
        <v>235</v>
      </c>
      <c r="BD1074" s="8" t="s">
        <v>235</v>
      </c>
      <c r="BE1074" s="4" t="s">
        <v>235</v>
      </c>
      <c r="BF1074" s="8" t="s">
        <v>235</v>
      </c>
      <c r="BG1074" s="7" t="s">
        <v>235</v>
      </c>
      <c r="BH1074" s="7" t="s">
        <v>235</v>
      </c>
      <c r="BI1074" s="7"/>
      <c r="BJ1074" s="4">
        <v>68</v>
      </c>
      <c r="BK1074" s="8">
        <v>3289.84</v>
      </c>
      <c r="BL1074" s="2" t="s">
        <v>2683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4267</v>
      </c>
      <c r="BV1074" s="2" t="s">
        <v>235</v>
      </c>
      <c r="BW1074" s="2" t="s">
        <v>235</v>
      </c>
      <c r="BX1074" s="2" t="s">
        <v>244</v>
      </c>
      <c r="BY1074" s="2" t="s">
        <v>245</v>
      </c>
      <c r="BZ1074" s="2" t="s">
        <v>232</v>
      </c>
      <c r="CA1074" s="2" t="s">
        <v>235</v>
      </c>
      <c r="CB1074" s="2" t="s">
        <v>235</v>
      </c>
      <c r="CC1074" s="2" t="s">
        <v>248</v>
      </c>
      <c r="CD1074" s="2" t="s">
        <v>248</v>
      </c>
      <c r="CE1074" s="2" t="s">
        <v>235</v>
      </c>
      <c r="CF1074" s="4">
        <v>113</v>
      </c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>
        <v>113</v>
      </c>
      <c r="GE1074" s="4">
        <v>111</v>
      </c>
      <c r="GF1074" s="4">
        <v>109</v>
      </c>
      <c r="GG1074" s="4">
        <v>107</v>
      </c>
      <c r="GH1074" s="4">
        <v>98</v>
      </c>
      <c r="GI1074" s="4">
        <v>90</v>
      </c>
      <c r="GJ1074" s="4">
        <v>79</v>
      </c>
      <c r="GK1074" s="4">
        <v>72</v>
      </c>
      <c r="GL1074" s="4">
        <v>64</v>
      </c>
      <c r="GM1074" s="4">
        <v>57</v>
      </c>
      <c r="GN1074" s="4">
        <v>50</v>
      </c>
      <c r="GO1074" s="4">
        <v>42</v>
      </c>
      <c r="GP1074" s="4">
        <v>35</v>
      </c>
      <c r="GQ1074" s="4">
        <v>27</v>
      </c>
      <c r="GR1074" s="4">
        <v>20</v>
      </c>
      <c r="GS1074" s="4">
        <v>13</v>
      </c>
      <c r="GT1074" s="4">
        <v>6</v>
      </c>
      <c r="GU1074" s="4"/>
      <c r="GV1074" s="4"/>
      <c r="GW1074" s="4">
        <v>153</v>
      </c>
      <c r="GX1074" s="4">
        <v>134</v>
      </c>
      <c r="GY1074" s="4">
        <v>127</v>
      </c>
      <c r="GZ1074" s="4">
        <v>120</v>
      </c>
      <c r="HA1074" s="4">
        <v>113</v>
      </c>
      <c r="HB1074" s="4">
        <v>106</v>
      </c>
      <c r="HC1074" s="4">
        <v>99</v>
      </c>
      <c r="HD1074" s="19">
        <v>28.3</v>
      </c>
      <c r="HE1074" s="19">
        <v>22.2</v>
      </c>
      <c r="HF1074" s="19">
        <v>13.6</v>
      </c>
      <c r="HG1074" s="19">
        <v>11.9</v>
      </c>
      <c r="HH1074" s="19">
        <v>12.3</v>
      </c>
      <c r="HI1074" s="19">
        <v>11.3</v>
      </c>
      <c r="HJ1074" s="19">
        <v>11.3</v>
      </c>
      <c r="HK1074" s="19">
        <v>9</v>
      </c>
      <c r="HL1074" s="19">
        <v>9.1</v>
      </c>
      <c r="HM1074" s="19">
        <v>7.1</v>
      </c>
      <c r="HN1074" s="19">
        <v>6.3</v>
      </c>
      <c r="HO1074" s="19">
        <v>6</v>
      </c>
      <c r="HP1074" s="19">
        <v>5</v>
      </c>
      <c r="HQ1074" s="19">
        <v>3.9</v>
      </c>
      <c r="HR1074" s="19">
        <v>3.3</v>
      </c>
      <c r="HS1074" s="19">
        <v>3.3</v>
      </c>
      <c r="HT1074" s="19">
        <v>0.9</v>
      </c>
      <c r="HU1074" s="20">
        <v>0</v>
      </c>
      <c r="HV1074" s="20">
        <v>0</v>
      </c>
      <c r="HW1074" s="19">
        <v>15.3</v>
      </c>
      <c r="HX1074" s="19">
        <v>19.1</v>
      </c>
      <c r="HY1074" s="19">
        <v>18.1</v>
      </c>
      <c r="HZ1074" s="19">
        <v>17.1</v>
      </c>
      <c r="IA1074" s="19">
        <v>16.1</v>
      </c>
      <c r="IB1074" s="19">
        <v>15.1</v>
      </c>
      <c r="IC1074" s="19">
        <v>14.1</v>
      </c>
    </row>
    <row r="1075">
      <c r="A1075" s="2" t="s">
        <v>4278</v>
      </c>
      <c r="B1075" s="2" t="s">
        <v>852</v>
      </c>
      <c r="C1075" s="2" t="s">
        <v>324</v>
      </c>
      <c r="D1075" s="2" t="s">
        <v>854</v>
      </c>
      <c r="E1075" s="2" t="s">
        <v>2622</v>
      </c>
      <c r="F1075" s="2" t="s">
        <v>4262</v>
      </c>
      <c r="G1075" s="2" t="s">
        <v>4262</v>
      </c>
      <c r="H1075" s="2" t="s">
        <v>4262</v>
      </c>
      <c r="I1075" s="2" t="s">
        <v>4263</v>
      </c>
      <c r="J1075" s="2" t="s">
        <v>4264</v>
      </c>
      <c r="K1075" s="2" t="s">
        <v>4279</v>
      </c>
      <c r="L1075" s="3">
        <v>26.37</v>
      </c>
      <c r="M1075" s="3">
        <v>27.69</v>
      </c>
      <c r="N1075" s="3">
        <v>54.99</v>
      </c>
      <c r="O1075" s="2" t="s">
        <v>232</v>
      </c>
      <c r="P1075" s="2" t="s">
        <v>878</v>
      </c>
      <c r="Q1075" s="2" t="s">
        <v>234</v>
      </c>
      <c r="R1075" s="2" t="s">
        <v>235</v>
      </c>
      <c r="S1075" s="2" t="s">
        <v>235</v>
      </c>
      <c r="T1075" s="2" t="s">
        <v>879</v>
      </c>
      <c r="U1075" s="2" t="s">
        <v>807</v>
      </c>
      <c r="V1075" s="2" t="s">
        <v>238</v>
      </c>
      <c r="W1075" s="2" t="s">
        <v>329</v>
      </c>
      <c r="X1075" s="2" t="s">
        <v>235</v>
      </c>
      <c r="Y1075" s="2" t="s">
        <v>4266</v>
      </c>
      <c r="Z1075" s="4">
        <v>76</v>
      </c>
      <c r="AA1075" s="4">
        <f>=ROUNDDOWN(19,0)</f>
      </c>
      <c r="AB1075" s="5">
        <v>4</v>
      </c>
      <c r="AC1075" s="2" t="s">
        <v>235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235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235</v>
      </c>
      <c r="AW1075" s="8" t="s">
        <v>235</v>
      </c>
      <c r="AX1075" s="4" t="s">
        <v>235</v>
      </c>
      <c r="AY1075" s="8" t="s">
        <v>235</v>
      </c>
      <c r="AZ1075" s="7" t="s">
        <v>235</v>
      </c>
      <c r="BA1075" s="7" t="s">
        <v>235</v>
      </c>
      <c r="BB1075" s="7"/>
      <c r="BC1075" s="4" t="s">
        <v>235</v>
      </c>
      <c r="BD1075" s="8" t="s">
        <v>235</v>
      </c>
      <c r="BE1075" s="4" t="s">
        <v>235</v>
      </c>
      <c r="BF1075" s="8" t="s">
        <v>235</v>
      </c>
      <c r="BG1075" s="7" t="s">
        <v>235</v>
      </c>
      <c r="BH1075" s="7" t="s">
        <v>235</v>
      </c>
      <c r="BI1075" s="7"/>
      <c r="BJ1075" s="4">
        <v>15</v>
      </c>
      <c r="BK1075" s="8">
        <v>454.8</v>
      </c>
      <c r="BL1075" s="2" t="s">
        <v>2683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4267</v>
      </c>
      <c r="BV1075" s="2" t="s">
        <v>235</v>
      </c>
      <c r="BW1075" s="2" t="s">
        <v>235</v>
      </c>
      <c r="BX1075" s="2" t="s">
        <v>244</v>
      </c>
      <c r="BY1075" s="2" t="s">
        <v>245</v>
      </c>
      <c r="BZ1075" s="2" t="s">
        <v>232</v>
      </c>
      <c r="CA1075" s="2" t="s">
        <v>235</v>
      </c>
      <c r="CB1075" s="2" t="s">
        <v>235</v>
      </c>
      <c r="CC1075" s="2" t="s">
        <v>248</v>
      </c>
      <c r="CD1075" s="2" t="s">
        <v>248</v>
      </c>
      <c r="CE1075" s="2" t="s">
        <v>235</v>
      </c>
      <c r="CF1075" s="4">
        <v>76</v>
      </c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>
        <v>82</v>
      </c>
      <c r="GE1075" s="4">
        <v>81</v>
      </c>
      <c r="GF1075" s="4">
        <v>80</v>
      </c>
      <c r="GG1075" s="4">
        <v>76</v>
      </c>
      <c r="GH1075" s="4">
        <v>71</v>
      </c>
      <c r="GI1075" s="4">
        <v>66</v>
      </c>
      <c r="GJ1075" s="4">
        <v>60</v>
      </c>
      <c r="GK1075" s="4">
        <v>56</v>
      </c>
      <c r="GL1075" s="4">
        <v>51</v>
      </c>
      <c r="GM1075" s="4">
        <v>47</v>
      </c>
      <c r="GN1075" s="4">
        <v>43</v>
      </c>
      <c r="GO1075" s="4">
        <v>39</v>
      </c>
      <c r="GP1075" s="4">
        <v>35</v>
      </c>
      <c r="GQ1075" s="4">
        <v>30</v>
      </c>
      <c r="GR1075" s="4">
        <v>26</v>
      </c>
      <c r="GS1075" s="4">
        <v>22</v>
      </c>
      <c r="GT1075" s="4">
        <v>18</v>
      </c>
      <c r="GU1075" s="4">
        <v>14</v>
      </c>
      <c r="GV1075" s="4">
        <v>9</v>
      </c>
      <c r="GW1075" s="4">
        <v>178</v>
      </c>
      <c r="GX1075" s="4">
        <v>174</v>
      </c>
      <c r="GY1075" s="4">
        <v>170</v>
      </c>
      <c r="GZ1075" s="4">
        <v>166</v>
      </c>
      <c r="HA1075" s="4">
        <v>162</v>
      </c>
      <c r="HB1075" s="4">
        <v>158</v>
      </c>
      <c r="HC1075" s="4">
        <v>154</v>
      </c>
      <c r="HD1075" s="19">
        <v>27.3</v>
      </c>
      <c r="HE1075" s="19">
        <v>20.3</v>
      </c>
      <c r="HF1075" s="19">
        <v>16</v>
      </c>
      <c r="HG1075" s="19">
        <v>15.2</v>
      </c>
      <c r="HH1075" s="19">
        <v>14.2</v>
      </c>
      <c r="HI1075" s="19">
        <v>13.2</v>
      </c>
      <c r="HJ1075" s="19">
        <v>15</v>
      </c>
      <c r="HK1075" s="19">
        <v>14</v>
      </c>
      <c r="HL1075" s="19">
        <v>12.8</v>
      </c>
      <c r="HM1075" s="19">
        <v>11.8</v>
      </c>
      <c r="HN1075" s="19">
        <v>10.8</v>
      </c>
      <c r="HO1075" s="19">
        <v>9.8</v>
      </c>
      <c r="HP1075" s="19">
        <v>8.8</v>
      </c>
      <c r="HQ1075" s="19">
        <v>7.5</v>
      </c>
      <c r="HR1075" s="19">
        <v>6.5</v>
      </c>
      <c r="HS1075" s="19">
        <v>5.5</v>
      </c>
      <c r="HT1075" s="19">
        <v>4.5</v>
      </c>
      <c r="HU1075" s="19">
        <v>3.5</v>
      </c>
      <c r="HV1075" s="19">
        <v>2.3</v>
      </c>
      <c r="HW1075" s="19">
        <v>44.5</v>
      </c>
      <c r="HX1075" s="19">
        <v>43.5</v>
      </c>
      <c r="HY1075" s="19">
        <v>42.5</v>
      </c>
      <c r="HZ1075" s="19">
        <v>41.5</v>
      </c>
      <c r="IA1075" s="19">
        <v>40.5</v>
      </c>
      <c r="IB1075" s="19">
        <v>39.5</v>
      </c>
      <c r="IC1075" s="19">
        <v>38.5</v>
      </c>
    </row>
    <row r="1076">
      <c r="A1076" s="2" t="s">
        <v>4280</v>
      </c>
      <c r="B1076" s="2" t="s">
        <v>852</v>
      </c>
      <c r="C1076" s="2" t="s">
        <v>324</v>
      </c>
      <c r="D1076" s="2" t="s">
        <v>854</v>
      </c>
      <c r="E1076" s="2" t="s">
        <v>2622</v>
      </c>
      <c r="F1076" s="2" t="s">
        <v>4262</v>
      </c>
      <c r="G1076" s="2" t="s">
        <v>4262</v>
      </c>
      <c r="H1076" s="2" t="s">
        <v>4262</v>
      </c>
      <c r="I1076" s="2" t="s">
        <v>4263</v>
      </c>
      <c r="J1076" s="2" t="s">
        <v>2624</v>
      </c>
      <c r="K1076" s="2" t="s">
        <v>4279</v>
      </c>
      <c r="L1076" s="3">
        <v>29.88</v>
      </c>
      <c r="M1076" s="3">
        <v>31.37</v>
      </c>
      <c r="N1076" s="3">
        <v>64.99</v>
      </c>
      <c r="O1076" s="2" t="s">
        <v>232</v>
      </c>
      <c r="P1076" s="2" t="s">
        <v>878</v>
      </c>
      <c r="Q1076" s="2" t="s">
        <v>234</v>
      </c>
      <c r="R1076" s="2" t="s">
        <v>235</v>
      </c>
      <c r="S1076" s="2" t="s">
        <v>235</v>
      </c>
      <c r="T1076" s="2" t="s">
        <v>879</v>
      </c>
      <c r="U1076" s="2" t="s">
        <v>807</v>
      </c>
      <c r="V1076" s="2" t="s">
        <v>238</v>
      </c>
      <c r="W1076" s="2" t="s">
        <v>329</v>
      </c>
      <c r="X1076" s="2" t="s">
        <v>235</v>
      </c>
      <c r="Y1076" s="2" t="s">
        <v>4266</v>
      </c>
      <c r="Z1076" s="4">
        <v>126</v>
      </c>
      <c r="AA1076" s="4">
        <f>=ROUNDDOWN(21,0)</f>
      </c>
      <c r="AB1076" s="5">
        <v>6</v>
      </c>
      <c r="AC1076" s="2" t="s">
        <v>235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235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235</v>
      </c>
      <c r="AW1076" s="8" t="s">
        <v>235</v>
      </c>
      <c r="AX1076" s="4" t="s">
        <v>235</v>
      </c>
      <c r="AY1076" s="8" t="s">
        <v>235</v>
      </c>
      <c r="AZ1076" s="7" t="s">
        <v>235</v>
      </c>
      <c r="BA1076" s="7" t="s">
        <v>235</v>
      </c>
      <c r="BB1076" s="7"/>
      <c r="BC1076" s="4" t="s">
        <v>235</v>
      </c>
      <c r="BD1076" s="8" t="s">
        <v>235</v>
      </c>
      <c r="BE1076" s="4" t="s">
        <v>235</v>
      </c>
      <c r="BF1076" s="8" t="s">
        <v>235</v>
      </c>
      <c r="BG1076" s="7" t="s">
        <v>235</v>
      </c>
      <c r="BH1076" s="7" t="s">
        <v>235</v>
      </c>
      <c r="BI1076" s="7"/>
      <c r="BJ1076" s="4">
        <v>30</v>
      </c>
      <c r="BK1076" s="8">
        <v>1030.8</v>
      </c>
      <c r="BL1076" s="2" t="s">
        <v>1226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4267</v>
      </c>
      <c r="BV1076" s="2" t="s">
        <v>235</v>
      </c>
      <c r="BW1076" s="2" t="s">
        <v>235</v>
      </c>
      <c r="BX1076" s="2" t="s">
        <v>244</v>
      </c>
      <c r="BY1076" s="2" t="s">
        <v>245</v>
      </c>
      <c r="BZ1076" s="2" t="s">
        <v>232</v>
      </c>
      <c r="CA1076" s="2" t="s">
        <v>235</v>
      </c>
      <c r="CB1076" s="2" t="s">
        <v>235</v>
      </c>
      <c r="CC1076" s="2" t="s">
        <v>248</v>
      </c>
      <c r="CD1076" s="2" t="s">
        <v>248</v>
      </c>
      <c r="CE1076" s="2" t="s">
        <v>235</v>
      </c>
      <c r="CF1076" s="4">
        <v>126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>
        <v>132</v>
      </c>
      <c r="GE1076" s="4">
        <v>130</v>
      </c>
      <c r="GF1076" s="4">
        <v>126</v>
      </c>
      <c r="GG1076" s="4">
        <v>119</v>
      </c>
      <c r="GH1076" s="4">
        <v>111</v>
      </c>
      <c r="GI1076" s="4">
        <v>104</v>
      </c>
      <c r="GJ1076" s="4">
        <v>95</v>
      </c>
      <c r="GK1076" s="4">
        <v>89</v>
      </c>
      <c r="GL1076" s="4">
        <v>82</v>
      </c>
      <c r="GM1076" s="4">
        <v>76</v>
      </c>
      <c r="GN1076" s="4">
        <v>70</v>
      </c>
      <c r="GO1076" s="4">
        <v>63</v>
      </c>
      <c r="GP1076" s="4">
        <v>57</v>
      </c>
      <c r="GQ1076" s="4">
        <v>50</v>
      </c>
      <c r="GR1076" s="4">
        <v>44</v>
      </c>
      <c r="GS1076" s="4">
        <v>38</v>
      </c>
      <c r="GT1076" s="4">
        <v>32</v>
      </c>
      <c r="GU1076" s="4">
        <v>26</v>
      </c>
      <c r="GV1076" s="4">
        <v>19</v>
      </c>
      <c r="GW1076" s="4">
        <v>270</v>
      </c>
      <c r="GX1076" s="4">
        <v>264</v>
      </c>
      <c r="GY1076" s="4">
        <v>258</v>
      </c>
      <c r="GZ1076" s="4">
        <v>252</v>
      </c>
      <c r="HA1076" s="4">
        <v>246</v>
      </c>
      <c r="HB1076" s="4">
        <v>240</v>
      </c>
      <c r="HC1076" s="4">
        <v>234</v>
      </c>
      <c r="HD1076" s="19">
        <v>26.4</v>
      </c>
      <c r="HE1076" s="19">
        <v>21.7</v>
      </c>
      <c r="HF1076" s="19">
        <v>15.8</v>
      </c>
      <c r="HG1076" s="19">
        <v>14.9</v>
      </c>
      <c r="HH1076" s="19">
        <v>15.9</v>
      </c>
      <c r="HI1076" s="19">
        <v>14.9</v>
      </c>
      <c r="HJ1076" s="19">
        <v>15.8</v>
      </c>
      <c r="HK1076" s="19">
        <v>14.8</v>
      </c>
      <c r="HL1076" s="19">
        <v>13.7</v>
      </c>
      <c r="HM1076" s="19">
        <v>12.7</v>
      </c>
      <c r="HN1076" s="19">
        <v>11.7</v>
      </c>
      <c r="HO1076" s="19">
        <v>10.5</v>
      </c>
      <c r="HP1076" s="19">
        <v>9.5</v>
      </c>
      <c r="HQ1076" s="19">
        <v>8.3</v>
      </c>
      <c r="HR1076" s="19">
        <v>7.3</v>
      </c>
      <c r="HS1076" s="19">
        <v>6.3</v>
      </c>
      <c r="HT1076" s="19">
        <v>5.3</v>
      </c>
      <c r="HU1076" s="19">
        <v>4.3</v>
      </c>
      <c r="HV1076" s="19">
        <v>3.2</v>
      </c>
      <c r="HW1076" s="19">
        <v>45</v>
      </c>
      <c r="HX1076" s="19">
        <v>44</v>
      </c>
      <c r="HY1076" s="19">
        <v>43</v>
      </c>
      <c r="HZ1076" s="19">
        <v>42</v>
      </c>
      <c r="IA1076" s="19">
        <v>41</v>
      </c>
      <c r="IB1076" s="19">
        <v>40</v>
      </c>
      <c r="IC1076" s="19">
        <v>39</v>
      </c>
    </row>
    <row r="1077">
      <c r="A1077" s="2" t="s">
        <v>4281</v>
      </c>
      <c r="B1077" s="2" t="s">
        <v>852</v>
      </c>
      <c r="C1077" s="2" t="s">
        <v>324</v>
      </c>
      <c r="D1077" s="2" t="s">
        <v>854</v>
      </c>
      <c r="E1077" s="2" t="s">
        <v>2622</v>
      </c>
      <c r="F1077" s="2" t="s">
        <v>4262</v>
      </c>
      <c r="G1077" s="2" t="s">
        <v>4262</v>
      </c>
      <c r="H1077" s="2" t="s">
        <v>4262</v>
      </c>
      <c r="I1077" s="2" t="s">
        <v>4263</v>
      </c>
      <c r="J1077" s="2" t="s">
        <v>4271</v>
      </c>
      <c r="K1077" s="2" t="s">
        <v>4279</v>
      </c>
      <c r="L1077" s="3">
        <v>31.52</v>
      </c>
      <c r="M1077" s="3">
        <v>33.1</v>
      </c>
      <c r="N1077" s="3">
        <v>69.99</v>
      </c>
      <c r="O1077" s="2" t="s">
        <v>232</v>
      </c>
      <c r="P1077" s="2" t="s">
        <v>878</v>
      </c>
      <c r="Q1077" s="2" t="s">
        <v>234</v>
      </c>
      <c r="R1077" s="2" t="s">
        <v>235</v>
      </c>
      <c r="S1077" s="2" t="s">
        <v>235</v>
      </c>
      <c r="T1077" s="2" t="s">
        <v>879</v>
      </c>
      <c r="U1077" s="2" t="s">
        <v>807</v>
      </c>
      <c r="V1077" s="2" t="s">
        <v>238</v>
      </c>
      <c r="W1077" s="2" t="s">
        <v>329</v>
      </c>
      <c r="X1077" s="2" t="s">
        <v>235</v>
      </c>
      <c r="Y1077" s="2" t="s">
        <v>4266</v>
      </c>
      <c r="Z1077" s="4">
        <v>167</v>
      </c>
      <c r="AA1077" s="4">
        <f>=ROUNDDOWN(33.4,0)</f>
      </c>
      <c r="AB1077" s="5">
        <v>5</v>
      </c>
      <c r="AC1077" s="2" t="s">
        <v>235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235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235</v>
      </c>
      <c r="AW1077" s="8" t="s">
        <v>235</v>
      </c>
      <c r="AX1077" s="4" t="s">
        <v>235</v>
      </c>
      <c r="AY1077" s="8" t="s">
        <v>235</v>
      </c>
      <c r="AZ1077" s="7" t="s">
        <v>235</v>
      </c>
      <c r="BA1077" s="7" t="s">
        <v>235</v>
      </c>
      <c r="BB1077" s="7"/>
      <c r="BC1077" s="4" t="s">
        <v>235</v>
      </c>
      <c r="BD1077" s="8" t="s">
        <v>235</v>
      </c>
      <c r="BE1077" s="4" t="s">
        <v>235</v>
      </c>
      <c r="BF1077" s="8" t="s">
        <v>235</v>
      </c>
      <c r="BG1077" s="7" t="s">
        <v>235</v>
      </c>
      <c r="BH1077" s="7" t="s">
        <v>235</v>
      </c>
      <c r="BI1077" s="7"/>
      <c r="BJ1077" s="4">
        <v>17</v>
      </c>
      <c r="BK1077" s="8">
        <v>616.25</v>
      </c>
      <c r="BL1077" s="2" t="s">
        <v>2683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4267</v>
      </c>
      <c r="BV1077" s="2" t="s">
        <v>235</v>
      </c>
      <c r="BW1077" s="2" t="s">
        <v>235</v>
      </c>
      <c r="BX1077" s="2" t="s">
        <v>244</v>
      </c>
      <c r="BY1077" s="2" t="s">
        <v>245</v>
      </c>
      <c r="BZ1077" s="2" t="s">
        <v>232</v>
      </c>
      <c r="CA1077" s="2" t="s">
        <v>235</v>
      </c>
      <c r="CB1077" s="2" t="s">
        <v>235</v>
      </c>
      <c r="CC1077" s="2" t="s">
        <v>248</v>
      </c>
      <c r="CD1077" s="2" t="s">
        <v>248</v>
      </c>
      <c r="CE1077" s="2" t="s">
        <v>235</v>
      </c>
      <c r="CF1077" s="4">
        <v>167</v>
      </c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>
        <v>167</v>
      </c>
      <c r="GE1077" s="4">
        <v>155</v>
      </c>
      <c r="GF1077" s="4">
        <v>150</v>
      </c>
      <c r="GG1077" s="4">
        <v>144</v>
      </c>
      <c r="GH1077" s="4">
        <v>138</v>
      </c>
      <c r="GI1077" s="4">
        <v>132</v>
      </c>
      <c r="GJ1077" s="4">
        <v>125</v>
      </c>
      <c r="GK1077" s="4">
        <v>120</v>
      </c>
      <c r="GL1077" s="4">
        <v>114</v>
      </c>
      <c r="GM1077" s="4">
        <v>109</v>
      </c>
      <c r="GN1077" s="4">
        <v>104</v>
      </c>
      <c r="GO1077" s="4">
        <v>98</v>
      </c>
      <c r="GP1077" s="4">
        <v>93</v>
      </c>
      <c r="GQ1077" s="4">
        <v>87</v>
      </c>
      <c r="GR1077" s="4">
        <v>82</v>
      </c>
      <c r="GS1077" s="4">
        <v>77</v>
      </c>
      <c r="GT1077" s="4">
        <v>72</v>
      </c>
      <c r="GU1077" s="4">
        <v>67</v>
      </c>
      <c r="GV1077" s="4">
        <v>61</v>
      </c>
      <c r="GW1077" s="4">
        <v>229</v>
      </c>
      <c r="GX1077" s="4">
        <v>224</v>
      </c>
      <c r="GY1077" s="4">
        <v>219</v>
      </c>
      <c r="GZ1077" s="4">
        <v>214</v>
      </c>
      <c r="HA1077" s="4">
        <v>209</v>
      </c>
      <c r="HB1077" s="4">
        <v>204</v>
      </c>
      <c r="HC1077" s="4">
        <v>199</v>
      </c>
      <c r="HD1077" s="19">
        <v>23.9</v>
      </c>
      <c r="HE1077" s="19">
        <v>25.8</v>
      </c>
      <c r="HF1077" s="19">
        <v>25</v>
      </c>
      <c r="HG1077" s="19">
        <v>24</v>
      </c>
      <c r="HH1077" s="19">
        <v>23</v>
      </c>
      <c r="HI1077" s="19">
        <v>22</v>
      </c>
      <c r="HJ1077" s="19">
        <v>25</v>
      </c>
      <c r="HK1077" s="19">
        <v>20</v>
      </c>
      <c r="HL1077" s="19">
        <v>22.8</v>
      </c>
      <c r="HM1077" s="19">
        <v>18.2</v>
      </c>
      <c r="HN1077" s="19">
        <v>17.3</v>
      </c>
      <c r="HO1077" s="19">
        <v>19.6</v>
      </c>
      <c r="HP1077" s="19">
        <v>18.6</v>
      </c>
      <c r="HQ1077" s="19">
        <v>17.4</v>
      </c>
      <c r="HR1077" s="19">
        <v>16.4</v>
      </c>
      <c r="HS1077" s="19">
        <v>15.4</v>
      </c>
      <c r="HT1077" s="19">
        <v>14.4</v>
      </c>
      <c r="HU1077" s="19">
        <v>13.4</v>
      </c>
      <c r="HV1077" s="19">
        <v>12.2</v>
      </c>
      <c r="HW1077" s="19">
        <v>45.8</v>
      </c>
      <c r="HX1077" s="19">
        <v>44.8</v>
      </c>
      <c r="HY1077" s="19">
        <v>43.8</v>
      </c>
      <c r="HZ1077" s="19">
        <v>42.8</v>
      </c>
      <c r="IA1077" s="19">
        <v>41.8</v>
      </c>
      <c r="IB1077" s="19">
        <v>40.8</v>
      </c>
      <c r="IC1077" s="19">
        <v>39.8</v>
      </c>
    </row>
    <row r="1078">
      <c r="A1078" s="2" t="s">
        <v>4282</v>
      </c>
      <c r="B1078" s="2" t="s">
        <v>852</v>
      </c>
      <c r="C1078" s="2" t="s">
        <v>324</v>
      </c>
      <c r="D1078" s="2" t="s">
        <v>854</v>
      </c>
      <c r="E1078" s="2" t="s">
        <v>2622</v>
      </c>
      <c r="F1078" s="2" t="s">
        <v>4262</v>
      </c>
      <c r="G1078" s="2" t="s">
        <v>4262</v>
      </c>
      <c r="H1078" s="2" t="s">
        <v>4262</v>
      </c>
      <c r="I1078" s="2" t="s">
        <v>4263</v>
      </c>
      <c r="J1078" s="2" t="s">
        <v>2640</v>
      </c>
      <c r="K1078" s="2" t="s">
        <v>4279</v>
      </c>
      <c r="L1078" s="3">
        <v>32.38</v>
      </c>
      <c r="M1078" s="3">
        <v>34</v>
      </c>
      <c r="N1078" s="3">
        <v>69.99</v>
      </c>
      <c r="O1078" s="2" t="s">
        <v>232</v>
      </c>
      <c r="P1078" s="2" t="s">
        <v>878</v>
      </c>
      <c r="Q1078" s="2" t="s">
        <v>234</v>
      </c>
      <c r="R1078" s="2" t="s">
        <v>235</v>
      </c>
      <c r="S1078" s="2" t="s">
        <v>235</v>
      </c>
      <c r="T1078" s="2" t="s">
        <v>879</v>
      </c>
      <c r="U1078" s="2" t="s">
        <v>807</v>
      </c>
      <c r="V1078" s="2" t="s">
        <v>238</v>
      </c>
      <c r="W1078" s="2" t="s">
        <v>329</v>
      </c>
      <c r="X1078" s="2" t="s">
        <v>235</v>
      </c>
      <c r="Y1078" s="2" t="s">
        <v>4283</v>
      </c>
      <c r="Z1078" s="4">
        <v>159</v>
      </c>
      <c r="AA1078" s="4">
        <f>=ROUNDDOWN(39.75,0)</f>
      </c>
      <c r="AB1078" s="5">
        <v>4</v>
      </c>
      <c r="AC1078" s="2" t="s">
        <v>235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235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235</v>
      </c>
      <c r="AW1078" s="8" t="s">
        <v>235</v>
      </c>
      <c r="AX1078" s="4" t="s">
        <v>235</v>
      </c>
      <c r="AY1078" s="8" t="s">
        <v>235</v>
      </c>
      <c r="AZ1078" s="7" t="s">
        <v>235</v>
      </c>
      <c r="BA1078" s="7" t="s">
        <v>235</v>
      </c>
      <c r="BB1078" s="7"/>
      <c r="BC1078" s="4" t="s">
        <v>235</v>
      </c>
      <c r="BD1078" s="8" t="s">
        <v>235</v>
      </c>
      <c r="BE1078" s="4" t="s">
        <v>235</v>
      </c>
      <c r="BF1078" s="8" t="s">
        <v>235</v>
      </c>
      <c r="BG1078" s="7" t="s">
        <v>235</v>
      </c>
      <c r="BH1078" s="7" t="s">
        <v>235</v>
      </c>
      <c r="BI1078" s="7"/>
      <c r="BJ1078" s="4">
        <v>15</v>
      </c>
      <c r="BK1078" s="8">
        <v>558.6</v>
      </c>
      <c r="BL1078" s="2" t="s">
        <v>2683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4267</v>
      </c>
      <c r="BV1078" s="2" t="s">
        <v>235</v>
      </c>
      <c r="BW1078" s="2" t="s">
        <v>235</v>
      </c>
      <c r="BX1078" s="2" t="s">
        <v>244</v>
      </c>
      <c r="BY1078" s="2" t="s">
        <v>245</v>
      </c>
      <c r="BZ1078" s="2" t="s">
        <v>232</v>
      </c>
      <c r="CA1078" s="2" t="s">
        <v>235</v>
      </c>
      <c r="CB1078" s="2" t="s">
        <v>235</v>
      </c>
      <c r="CC1078" s="2" t="s">
        <v>248</v>
      </c>
      <c r="CD1078" s="2" t="s">
        <v>248</v>
      </c>
      <c r="CE1078" s="2" t="s">
        <v>235</v>
      </c>
      <c r="CF1078" s="4">
        <v>159</v>
      </c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>
        <v>159</v>
      </c>
      <c r="GE1078" s="4">
        <v>157</v>
      </c>
      <c r="GF1078" s="4">
        <v>155</v>
      </c>
      <c r="GG1078" s="4">
        <v>153</v>
      </c>
      <c r="GH1078" s="4">
        <v>149</v>
      </c>
      <c r="GI1078" s="4">
        <v>145</v>
      </c>
      <c r="GJ1078" s="4">
        <v>140</v>
      </c>
      <c r="GK1078" s="4">
        <v>136</v>
      </c>
      <c r="GL1078" s="4">
        <v>132</v>
      </c>
      <c r="GM1078" s="4">
        <v>128</v>
      </c>
      <c r="GN1078" s="4">
        <v>124</v>
      </c>
      <c r="GO1078" s="4">
        <v>119</v>
      </c>
      <c r="GP1078" s="4">
        <v>115</v>
      </c>
      <c r="GQ1078" s="4">
        <v>110</v>
      </c>
      <c r="GR1078" s="4">
        <v>106</v>
      </c>
      <c r="GS1078" s="4">
        <v>102</v>
      </c>
      <c r="GT1078" s="4">
        <v>98</v>
      </c>
      <c r="GU1078" s="4">
        <v>94</v>
      </c>
      <c r="GV1078" s="4">
        <v>90</v>
      </c>
      <c r="GW1078" s="4">
        <v>184</v>
      </c>
      <c r="GX1078" s="4">
        <v>180</v>
      </c>
      <c r="GY1078" s="4">
        <v>176</v>
      </c>
      <c r="GZ1078" s="4">
        <v>172</v>
      </c>
      <c r="HA1078" s="4">
        <v>168</v>
      </c>
      <c r="HB1078" s="4">
        <v>164</v>
      </c>
      <c r="HC1078" s="4">
        <v>160</v>
      </c>
      <c r="HD1078" s="19">
        <v>79.5</v>
      </c>
      <c r="HE1078" s="19">
        <v>52.3</v>
      </c>
      <c r="HF1078" s="19">
        <v>38.8</v>
      </c>
      <c r="HG1078" s="19">
        <v>38.3</v>
      </c>
      <c r="HH1078" s="19">
        <v>37.3</v>
      </c>
      <c r="HI1078" s="19">
        <v>36.3</v>
      </c>
      <c r="HJ1078" s="19">
        <v>35</v>
      </c>
      <c r="HK1078" s="19">
        <v>34</v>
      </c>
      <c r="HL1078" s="19">
        <v>33</v>
      </c>
      <c r="HM1078" s="19">
        <v>32</v>
      </c>
      <c r="HN1078" s="19">
        <v>31</v>
      </c>
      <c r="HO1078" s="19">
        <v>29.8</v>
      </c>
      <c r="HP1078" s="19">
        <v>28.8</v>
      </c>
      <c r="HQ1078" s="19">
        <v>27.5</v>
      </c>
      <c r="HR1078" s="19">
        <v>26.5</v>
      </c>
      <c r="HS1078" s="19">
        <v>25.5</v>
      </c>
      <c r="HT1078" s="19">
        <v>24.5</v>
      </c>
      <c r="HU1078" s="19">
        <v>23.5</v>
      </c>
      <c r="HV1078" s="19">
        <v>22.5</v>
      </c>
      <c r="HW1078" s="19">
        <v>46</v>
      </c>
      <c r="HX1078" s="19">
        <v>45</v>
      </c>
      <c r="HY1078" s="19">
        <v>44</v>
      </c>
      <c r="HZ1078" s="19">
        <v>43</v>
      </c>
      <c r="IA1078" s="19">
        <v>42</v>
      </c>
      <c r="IB1078" s="19">
        <v>41</v>
      </c>
      <c r="IC1078" s="19">
        <v>40</v>
      </c>
    </row>
    <row r="1079">
      <c r="A1079" s="2" t="s">
        <v>4284</v>
      </c>
      <c r="B1079" s="2" t="s">
        <v>852</v>
      </c>
      <c r="C1079" s="2" t="s">
        <v>324</v>
      </c>
      <c r="D1079" s="2" t="s">
        <v>854</v>
      </c>
      <c r="E1079" s="2" t="s">
        <v>2622</v>
      </c>
      <c r="F1079" s="2" t="s">
        <v>4262</v>
      </c>
      <c r="G1079" s="2" t="s">
        <v>4262</v>
      </c>
      <c r="H1079" s="2" t="s">
        <v>4262</v>
      </c>
      <c r="I1079" s="2" t="s">
        <v>4263</v>
      </c>
      <c r="J1079" s="2" t="s">
        <v>2631</v>
      </c>
      <c r="K1079" s="2" t="s">
        <v>4279</v>
      </c>
      <c r="L1079" s="3">
        <v>35.56</v>
      </c>
      <c r="M1079" s="3">
        <v>37.34</v>
      </c>
      <c r="N1079" s="3">
        <v>74.99</v>
      </c>
      <c r="O1079" s="2" t="s">
        <v>232</v>
      </c>
      <c r="P1079" s="2" t="s">
        <v>878</v>
      </c>
      <c r="Q1079" s="2" t="s">
        <v>234</v>
      </c>
      <c r="R1079" s="2" t="s">
        <v>235</v>
      </c>
      <c r="S1079" s="2" t="s">
        <v>235</v>
      </c>
      <c r="T1079" s="2" t="s">
        <v>879</v>
      </c>
      <c r="U1079" s="2" t="s">
        <v>807</v>
      </c>
      <c r="V1079" s="2" t="s">
        <v>238</v>
      </c>
      <c r="W1079" s="2" t="s">
        <v>329</v>
      </c>
      <c r="X1079" s="2" t="s">
        <v>235</v>
      </c>
      <c r="Y1079" s="2" t="s">
        <v>4266</v>
      </c>
      <c r="Z1079" s="4">
        <v>86</v>
      </c>
      <c r="AA1079" s="4">
        <f>=ROUNDDOWN(21.5,0)</f>
      </c>
      <c r="AB1079" s="5">
        <v>4</v>
      </c>
      <c r="AC1079" s="2" t="s">
        <v>235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235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235</v>
      </c>
      <c r="AW1079" s="8" t="s">
        <v>235</v>
      </c>
      <c r="AX1079" s="4" t="s">
        <v>235</v>
      </c>
      <c r="AY1079" s="8" t="s">
        <v>235</v>
      </c>
      <c r="AZ1079" s="7" t="s">
        <v>235</v>
      </c>
      <c r="BA1079" s="7" t="s">
        <v>235</v>
      </c>
      <c r="BB1079" s="7"/>
      <c r="BC1079" s="4" t="s">
        <v>235</v>
      </c>
      <c r="BD1079" s="8" t="s">
        <v>235</v>
      </c>
      <c r="BE1079" s="4" t="s">
        <v>235</v>
      </c>
      <c r="BF1079" s="8" t="s">
        <v>235</v>
      </c>
      <c r="BG1079" s="7" t="s">
        <v>235</v>
      </c>
      <c r="BH1079" s="7" t="s">
        <v>235</v>
      </c>
      <c r="BI1079" s="7"/>
      <c r="BJ1079" s="4">
        <v>31</v>
      </c>
      <c r="BK1079" s="8">
        <v>1267.59</v>
      </c>
      <c r="BL1079" s="2" t="s">
        <v>2683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4267</v>
      </c>
      <c r="BV1079" s="2" t="s">
        <v>235</v>
      </c>
      <c r="BW1079" s="2" t="s">
        <v>235</v>
      </c>
      <c r="BX1079" s="2" t="s">
        <v>244</v>
      </c>
      <c r="BY1079" s="2" t="s">
        <v>245</v>
      </c>
      <c r="BZ1079" s="2" t="s">
        <v>232</v>
      </c>
      <c r="CA1079" s="2" t="s">
        <v>235</v>
      </c>
      <c r="CB1079" s="2" t="s">
        <v>235</v>
      </c>
      <c r="CC1079" s="2" t="s">
        <v>248</v>
      </c>
      <c r="CD1079" s="2" t="s">
        <v>248</v>
      </c>
      <c r="CE1079" s="2" t="s">
        <v>235</v>
      </c>
      <c r="CF1079" s="4">
        <v>86</v>
      </c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>
        <v>86</v>
      </c>
      <c r="GE1079" s="4">
        <v>85</v>
      </c>
      <c r="GF1079" s="4">
        <v>84</v>
      </c>
      <c r="GG1079" s="4">
        <v>83</v>
      </c>
      <c r="GH1079" s="4">
        <v>82</v>
      </c>
      <c r="GI1079" s="4">
        <v>79</v>
      </c>
      <c r="GJ1079" s="4">
        <v>73</v>
      </c>
      <c r="GK1079" s="4">
        <v>69</v>
      </c>
      <c r="GL1079" s="4">
        <v>64</v>
      </c>
      <c r="GM1079" s="4">
        <v>60</v>
      </c>
      <c r="GN1079" s="4">
        <v>56</v>
      </c>
      <c r="GO1079" s="4">
        <v>52</v>
      </c>
      <c r="GP1079" s="4">
        <v>48</v>
      </c>
      <c r="GQ1079" s="4">
        <v>43</v>
      </c>
      <c r="GR1079" s="4">
        <v>39</v>
      </c>
      <c r="GS1079" s="4">
        <v>35</v>
      </c>
      <c r="GT1079" s="4">
        <v>31</v>
      </c>
      <c r="GU1079" s="4">
        <v>27</v>
      </c>
      <c r="GV1079" s="4">
        <v>22</v>
      </c>
      <c r="GW1079" s="4">
        <v>178</v>
      </c>
      <c r="GX1079" s="4">
        <v>174</v>
      </c>
      <c r="GY1079" s="4">
        <v>170</v>
      </c>
      <c r="GZ1079" s="4">
        <v>166</v>
      </c>
      <c r="HA1079" s="4">
        <v>162</v>
      </c>
      <c r="HB1079" s="4">
        <v>158</v>
      </c>
      <c r="HC1079" s="4">
        <v>154</v>
      </c>
      <c r="HD1079" s="19">
        <v>86</v>
      </c>
      <c r="HE1079" s="19">
        <v>42.5</v>
      </c>
      <c r="HF1079" s="19">
        <v>28</v>
      </c>
      <c r="HG1079" s="19">
        <v>20.8</v>
      </c>
      <c r="HH1079" s="19">
        <v>20.5</v>
      </c>
      <c r="HI1079" s="19">
        <v>15.8</v>
      </c>
      <c r="HJ1079" s="19">
        <v>18.3</v>
      </c>
      <c r="HK1079" s="19">
        <v>17.3</v>
      </c>
      <c r="HL1079" s="19">
        <v>16</v>
      </c>
      <c r="HM1079" s="19">
        <v>15</v>
      </c>
      <c r="HN1079" s="19">
        <v>14</v>
      </c>
      <c r="HO1079" s="19">
        <v>13</v>
      </c>
      <c r="HP1079" s="19">
        <v>12</v>
      </c>
      <c r="HQ1079" s="19">
        <v>10.8</v>
      </c>
      <c r="HR1079" s="19">
        <v>9.8</v>
      </c>
      <c r="HS1079" s="19">
        <v>8.8</v>
      </c>
      <c r="HT1079" s="19">
        <v>7.8</v>
      </c>
      <c r="HU1079" s="19">
        <v>6.8</v>
      </c>
      <c r="HV1079" s="19">
        <v>5.5</v>
      </c>
      <c r="HW1079" s="19">
        <v>44.5</v>
      </c>
      <c r="HX1079" s="19">
        <v>43.5</v>
      </c>
      <c r="HY1079" s="19">
        <v>42.5</v>
      </c>
      <c r="HZ1079" s="19">
        <v>41.5</v>
      </c>
      <c r="IA1079" s="19">
        <v>40.5</v>
      </c>
      <c r="IB1079" s="19">
        <v>39.5</v>
      </c>
      <c r="IC1079" s="19">
        <v>38.5</v>
      </c>
    </row>
    <row r="1080">
      <c r="A1080" s="2" t="s">
        <v>4285</v>
      </c>
      <c r="B1080" s="2" t="s">
        <v>852</v>
      </c>
      <c r="C1080" s="2" t="s">
        <v>324</v>
      </c>
      <c r="D1080" s="2" t="s">
        <v>854</v>
      </c>
      <c r="E1080" s="2" t="s">
        <v>2622</v>
      </c>
      <c r="F1080" s="2" t="s">
        <v>4262</v>
      </c>
      <c r="G1080" s="2" t="s">
        <v>4262</v>
      </c>
      <c r="H1080" s="2" t="s">
        <v>4262</v>
      </c>
      <c r="I1080" s="2" t="s">
        <v>4263</v>
      </c>
      <c r="J1080" s="2" t="s">
        <v>4275</v>
      </c>
      <c r="K1080" s="2" t="s">
        <v>4279</v>
      </c>
      <c r="L1080" s="3">
        <v>36.85</v>
      </c>
      <c r="M1080" s="3">
        <v>38.69</v>
      </c>
      <c r="N1080" s="3">
        <v>79.99</v>
      </c>
      <c r="O1080" s="2" t="s">
        <v>232</v>
      </c>
      <c r="P1080" s="2" t="s">
        <v>878</v>
      </c>
      <c r="Q1080" s="2" t="s">
        <v>234</v>
      </c>
      <c r="R1080" s="2" t="s">
        <v>235</v>
      </c>
      <c r="S1080" s="2" t="s">
        <v>235</v>
      </c>
      <c r="T1080" s="2" t="s">
        <v>879</v>
      </c>
      <c r="U1080" s="2" t="s">
        <v>807</v>
      </c>
      <c r="V1080" s="2" t="s">
        <v>238</v>
      </c>
      <c r="W1080" s="2" t="s">
        <v>329</v>
      </c>
      <c r="X1080" s="2" t="s">
        <v>235</v>
      </c>
      <c r="Y1080" s="2" t="s">
        <v>4266</v>
      </c>
      <c r="Z1080" s="4">
        <v>161</v>
      </c>
      <c r="AA1080" s="4">
        <f>=ROUNDDOWN(53.6666666666667,0)</f>
      </c>
      <c r="AB1080" s="5">
        <v>3</v>
      </c>
      <c r="AC1080" s="2" t="s">
        <v>235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235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235</v>
      </c>
      <c r="AW1080" s="8" t="s">
        <v>235</v>
      </c>
      <c r="AX1080" s="4" t="s">
        <v>235</v>
      </c>
      <c r="AY1080" s="8" t="s">
        <v>235</v>
      </c>
      <c r="AZ1080" s="7" t="s">
        <v>235</v>
      </c>
      <c r="BA1080" s="7" t="s">
        <v>235</v>
      </c>
      <c r="BB1080" s="7"/>
      <c r="BC1080" s="4" t="s">
        <v>235</v>
      </c>
      <c r="BD1080" s="8" t="s">
        <v>235</v>
      </c>
      <c r="BE1080" s="4" t="s">
        <v>235</v>
      </c>
      <c r="BF1080" s="8" t="s">
        <v>235</v>
      </c>
      <c r="BG1080" s="7" t="s">
        <v>235</v>
      </c>
      <c r="BH1080" s="7" t="s">
        <v>235</v>
      </c>
      <c r="BI1080" s="7"/>
      <c r="BJ1080" s="4">
        <v>21</v>
      </c>
      <c r="BK1080" s="8">
        <v>889.98</v>
      </c>
      <c r="BL1080" s="2" t="s">
        <v>2683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4267</v>
      </c>
      <c r="BV1080" s="2" t="s">
        <v>235</v>
      </c>
      <c r="BW1080" s="2" t="s">
        <v>235</v>
      </c>
      <c r="BX1080" s="2" t="s">
        <v>244</v>
      </c>
      <c r="BY1080" s="2" t="s">
        <v>245</v>
      </c>
      <c r="BZ1080" s="2" t="s">
        <v>232</v>
      </c>
      <c r="CA1080" s="2" t="s">
        <v>235</v>
      </c>
      <c r="CB1080" s="2" t="s">
        <v>235</v>
      </c>
      <c r="CC1080" s="2" t="s">
        <v>248</v>
      </c>
      <c r="CD1080" s="2" t="s">
        <v>248</v>
      </c>
      <c r="CE1080" s="2" t="s">
        <v>235</v>
      </c>
      <c r="CF1080" s="4">
        <v>161</v>
      </c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>
        <v>167</v>
      </c>
      <c r="GE1080" s="4">
        <v>160</v>
      </c>
      <c r="GF1080" s="4">
        <v>159</v>
      </c>
      <c r="GG1080" s="4">
        <v>158</v>
      </c>
      <c r="GH1080" s="4">
        <v>157</v>
      </c>
      <c r="GI1080" s="4">
        <v>155</v>
      </c>
      <c r="GJ1080" s="4">
        <v>151</v>
      </c>
      <c r="GK1080" s="4">
        <v>147</v>
      </c>
      <c r="GL1080" s="4">
        <v>143</v>
      </c>
      <c r="GM1080" s="4">
        <v>137</v>
      </c>
      <c r="GN1080" s="4">
        <v>134</v>
      </c>
      <c r="GO1080" s="4">
        <v>131</v>
      </c>
      <c r="GP1080" s="4">
        <v>128</v>
      </c>
      <c r="GQ1080" s="4">
        <v>124</v>
      </c>
      <c r="GR1080" s="4">
        <v>118</v>
      </c>
      <c r="GS1080" s="4">
        <v>115</v>
      </c>
      <c r="GT1080" s="4">
        <v>111</v>
      </c>
      <c r="GU1080" s="4">
        <v>107</v>
      </c>
      <c r="GV1080" s="4">
        <v>102</v>
      </c>
      <c r="GW1080" s="4">
        <v>136</v>
      </c>
      <c r="GX1080" s="4">
        <v>133</v>
      </c>
      <c r="GY1080" s="4">
        <v>130</v>
      </c>
      <c r="GZ1080" s="4">
        <v>124</v>
      </c>
      <c r="HA1080" s="4">
        <v>121</v>
      </c>
      <c r="HB1080" s="4">
        <v>118</v>
      </c>
      <c r="HC1080" s="4">
        <v>115</v>
      </c>
      <c r="HD1080" s="19">
        <v>83.5</v>
      </c>
      <c r="HE1080" s="19">
        <v>160</v>
      </c>
      <c r="HF1080" s="19">
        <v>79.5</v>
      </c>
      <c r="HG1080" s="19">
        <v>52.7</v>
      </c>
      <c r="HH1080" s="19">
        <v>39.3</v>
      </c>
      <c r="HI1080" s="19">
        <v>38.8</v>
      </c>
      <c r="HJ1080" s="19">
        <v>37.8</v>
      </c>
      <c r="HK1080" s="19">
        <v>36.8</v>
      </c>
      <c r="HL1080" s="19">
        <v>35.8</v>
      </c>
      <c r="HM1080" s="19">
        <v>45.7</v>
      </c>
      <c r="HN1080" s="19">
        <v>33.5</v>
      </c>
      <c r="HO1080" s="19">
        <v>32.8</v>
      </c>
      <c r="HP1080" s="19">
        <v>32</v>
      </c>
      <c r="HQ1080" s="19">
        <v>31</v>
      </c>
      <c r="HR1080" s="19">
        <v>29.5</v>
      </c>
      <c r="HS1080" s="19">
        <v>28.8</v>
      </c>
      <c r="HT1080" s="19">
        <v>27.8</v>
      </c>
      <c r="HU1080" s="19">
        <v>26.8</v>
      </c>
      <c r="HV1080" s="19">
        <v>25.5</v>
      </c>
      <c r="HW1080" s="19">
        <v>34</v>
      </c>
      <c r="HX1080" s="19">
        <v>33.3</v>
      </c>
      <c r="HY1080" s="19">
        <v>32.5</v>
      </c>
      <c r="HZ1080" s="19">
        <v>41.3</v>
      </c>
      <c r="IA1080" s="19">
        <v>40.3</v>
      </c>
      <c r="IB1080" s="19">
        <v>39.3</v>
      </c>
      <c r="IC1080" s="19">
        <v>38.3</v>
      </c>
    </row>
    <row r="1081">
      <c r="A1081" s="2" t="s">
        <v>4286</v>
      </c>
      <c r="B1081" s="2" t="s">
        <v>852</v>
      </c>
      <c r="C1081" s="2" t="s">
        <v>324</v>
      </c>
      <c r="D1081" s="2" t="s">
        <v>854</v>
      </c>
      <c r="E1081" s="2" t="s">
        <v>2622</v>
      </c>
      <c r="F1081" s="2" t="s">
        <v>4262</v>
      </c>
      <c r="G1081" s="2" t="s">
        <v>4262</v>
      </c>
      <c r="H1081" s="2" t="s">
        <v>4262</v>
      </c>
      <c r="I1081" s="2" t="s">
        <v>4263</v>
      </c>
      <c r="J1081" s="2" t="s">
        <v>2645</v>
      </c>
      <c r="K1081" s="2" t="s">
        <v>4279</v>
      </c>
      <c r="L1081" s="3">
        <v>37.91</v>
      </c>
      <c r="M1081" s="3">
        <v>39.81</v>
      </c>
      <c r="N1081" s="3">
        <v>79.99</v>
      </c>
      <c r="O1081" s="2" t="s">
        <v>232</v>
      </c>
      <c r="P1081" s="2" t="s">
        <v>878</v>
      </c>
      <c r="Q1081" s="2" t="s">
        <v>234</v>
      </c>
      <c r="R1081" s="2" t="s">
        <v>235</v>
      </c>
      <c r="S1081" s="2" t="s">
        <v>235</v>
      </c>
      <c r="T1081" s="2" t="s">
        <v>879</v>
      </c>
      <c r="U1081" s="2" t="s">
        <v>807</v>
      </c>
      <c r="V1081" s="2" t="s">
        <v>238</v>
      </c>
      <c r="W1081" s="2" t="s">
        <v>329</v>
      </c>
      <c r="X1081" s="2" t="s">
        <v>235</v>
      </c>
      <c r="Y1081" s="2" t="s">
        <v>4283</v>
      </c>
      <c r="Z1081" s="4">
        <v>176</v>
      </c>
      <c r="AA1081" s="4">
        <f>=ROUNDDOWN(29.3333333333333,0)</f>
      </c>
      <c r="AB1081" s="5">
        <v>6</v>
      </c>
      <c r="AC1081" s="2" t="s">
        <v>235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235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235</v>
      </c>
      <c r="AW1081" s="8" t="s">
        <v>235</v>
      </c>
      <c r="AX1081" s="4" t="s">
        <v>235</v>
      </c>
      <c r="AY1081" s="8" t="s">
        <v>235</v>
      </c>
      <c r="AZ1081" s="7" t="s">
        <v>235</v>
      </c>
      <c r="BA1081" s="7" t="s">
        <v>235</v>
      </c>
      <c r="BB1081" s="7"/>
      <c r="BC1081" s="4" t="s">
        <v>235</v>
      </c>
      <c r="BD1081" s="8" t="s">
        <v>235</v>
      </c>
      <c r="BE1081" s="4" t="s">
        <v>235</v>
      </c>
      <c r="BF1081" s="8" t="s">
        <v>235</v>
      </c>
      <c r="BG1081" s="7" t="s">
        <v>235</v>
      </c>
      <c r="BH1081" s="7" t="s">
        <v>235</v>
      </c>
      <c r="BI1081" s="7"/>
      <c r="BJ1081" s="4">
        <v>36</v>
      </c>
      <c r="BK1081" s="8">
        <v>1569.24</v>
      </c>
      <c r="BL1081" s="2" t="s">
        <v>1226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4267</v>
      </c>
      <c r="BV1081" s="2" t="s">
        <v>235</v>
      </c>
      <c r="BW1081" s="2" t="s">
        <v>235</v>
      </c>
      <c r="BX1081" s="2" t="s">
        <v>244</v>
      </c>
      <c r="BY1081" s="2" t="s">
        <v>245</v>
      </c>
      <c r="BZ1081" s="2" t="s">
        <v>232</v>
      </c>
      <c r="CA1081" s="2" t="s">
        <v>235</v>
      </c>
      <c r="CB1081" s="2" t="s">
        <v>235</v>
      </c>
      <c r="CC1081" s="2" t="s">
        <v>248</v>
      </c>
      <c r="CD1081" s="2" t="s">
        <v>248</v>
      </c>
      <c r="CE1081" s="2" t="s">
        <v>235</v>
      </c>
      <c r="CF1081" s="4">
        <v>176</v>
      </c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>
        <v>182</v>
      </c>
      <c r="GE1081" s="4">
        <v>174</v>
      </c>
      <c r="GF1081" s="4">
        <v>172</v>
      </c>
      <c r="GG1081" s="4">
        <v>170</v>
      </c>
      <c r="GH1081" s="4">
        <v>168</v>
      </c>
      <c r="GI1081" s="4">
        <v>160</v>
      </c>
      <c r="GJ1081" s="4">
        <v>151</v>
      </c>
      <c r="GK1081" s="4">
        <v>144</v>
      </c>
      <c r="GL1081" s="4">
        <v>136</v>
      </c>
      <c r="GM1081" s="4">
        <v>127</v>
      </c>
      <c r="GN1081" s="4">
        <v>121</v>
      </c>
      <c r="GO1081" s="4">
        <v>113</v>
      </c>
      <c r="GP1081" s="4">
        <v>106</v>
      </c>
      <c r="GQ1081" s="4">
        <v>98</v>
      </c>
      <c r="GR1081" s="4">
        <v>88</v>
      </c>
      <c r="GS1081" s="4">
        <v>82</v>
      </c>
      <c r="GT1081" s="4">
        <v>76</v>
      </c>
      <c r="GU1081" s="4">
        <v>70</v>
      </c>
      <c r="GV1081" s="4">
        <v>63</v>
      </c>
      <c r="GW1081" s="4">
        <v>274</v>
      </c>
      <c r="GX1081" s="4">
        <v>267</v>
      </c>
      <c r="GY1081" s="4">
        <v>260</v>
      </c>
      <c r="GZ1081" s="4">
        <v>252</v>
      </c>
      <c r="HA1081" s="4">
        <v>246</v>
      </c>
      <c r="HB1081" s="4">
        <v>240</v>
      </c>
      <c r="HC1081" s="4">
        <v>234</v>
      </c>
      <c r="HD1081" s="19">
        <v>45.5</v>
      </c>
      <c r="HE1081" s="19">
        <v>43.5</v>
      </c>
      <c r="HF1081" s="19">
        <v>34.4</v>
      </c>
      <c r="HG1081" s="19">
        <v>28.3</v>
      </c>
      <c r="HH1081" s="19">
        <v>21</v>
      </c>
      <c r="HI1081" s="19">
        <v>20</v>
      </c>
      <c r="HJ1081" s="19">
        <v>18.9</v>
      </c>
      <c r="HK1081" s="19">
        <v>18</v>
      </c>
      <c r="HL1081" s="19">
        <v>17</v>
      </c>
      <c r="HM1081" s="19">
        <v>18.1</v>
      </c>
      <c r="HN1081" s="19">
        <v>15.1</v>
      </c>
      <c r="HO1081" s="19">
        <v>14.1</v>
      </c>
      <c r="HP1081" s="19">
        <v>13.3</v>
      </c>
      <c r="HQ1081" s="19">
        <v>14</v>
      </c>
      <c r="HR1081" s="19">
        <v>14.7</v>
      </c>
      <c r="HS1081" s="19">
        <v>13.7</v>
      </c>
      <c r="HT1081" s="19">
        <v>12.7</v>
      </c>
      <c r="HU1081" s="19">
        <v>10</v>
      </c>
      <c r="HV1081" s="19">
        <v>9</v>
      </c>
      <c r="HW1081" s="19">
        <v>39.1</v>
      </c>
      <c r="HX1081" s="19">
        <v>38.1</v>
      </c>
      <c r="HY1081" s="19">
        <v>43.3</v>
      </c>
      <c r="HZ1081" s="19">
        <v>42</v>
      </c>
      <c r="IA1081" s="19">
        <v>41</v>
      </c>
      <c r="IB1081" s="19">
        <v>40</v>
      </c>
      <c r="IC1081" s="19">
        <v>39</v>
      </c>
    </row>
    <row r="1082">
      <c r="A1082" s="2" t="s">
        <v>4287</v>
      </c>
      <c r="B1082" s="2" t="s">
        <v>852</v>
      </c>
      <c r="C1082" s="2" t="s">
        <v>324</v>
      </c>
      <c r="D1082" s="2" t="s">
        <v>854</v>
      </c>
      <c r="E1082" s="2" t="s">
        <v>2622</v>
      </c>
      <c r="F1082" s="2" t="s">
        <v>4262</v>
      </c>
      <c r="G1082" s="2" t="s">
        <v>4262</v>
      </c>
      <c r="H1082" s="2" t="s">
        <v>4262</v>
      </c>
      <c r="I1082" s="2" t="s">
        <v>4263</v>
      </c>
      <c r="J1082" s="2" t="s">
        <v>2634</v>
      </c>
      <c r="K1082" s="2" t="s">
        <v>4279</v>
      </c>
      <c r="L1082" s="3">
        <v>42.07</v>
      </c>
      <c r="M1082" s="3">
        <v>44.17</v>
      </c>
      <c r="N1082" s="3">
        <v>89.99</v>
      </c>
      <c r="O1082" s="2" t="s">
        <v>232</v>
      </c>
      <c r="P1082" s="2" t="s">
        <v>878</v>
      </c>
      <c r="Q1082" s="2" t="s">
        <v>234</v>
      </c>
      <c r="R1082" s="2" t="s">
        <v>235</v>
      </c>
      <c r="S1082" s="2" t="s">
        <v>235</v>
      </c>
      <c r="T1082" s="2" t="s">
        <v>879</v>
      </c>
      <c r="U1082" s="2" t="s">
        <v>807</v>
      </c>
      <c r="V1082" s="2" t="s">
        <v>238</v>
      </c>
      <c r="W1082" s="2" t="s">
        <v>329</v>
      </c>
      <c r="X1082" s="2" t="s">
        <v>235</v>
      </c>
      <c r="Y1082" s="2" t="s">
        <v>4283</v>
      </c>
      <c r="Z1082" s="4">
        <v>85</v>
      </c>
      <c r="AA1082" s="4">
        <f>=ROUNDDOWN(28.3333333333333,0)</f>
      </c>
      <c r="AB1082" s="5">
        <v>3</v>
      </c>
      <c r="AC1082" s="2" t="s">
        <v>235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235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235</v>
      </c>
      <c r="AW1082" s="8" t="s">
        <v>235</v>
      </c>
      <c r="AX1082" s="4" t="s">
        <v>235</v>
      </c>
      <c r="AY1082" s="8" t="s">
        <v>235</v>
      </c>
      <c r="AZ1082" s="7" t="s">
        <v>235</v>
      </c>
      <c r="BA1082" s="7" t="s">
        <v>235</v>
      </c>
      <c r="BB1082" s="7"/>
      <c r="BC1082" s="4" t="s">
        <v>235</v>
      </c>
      <c r="BD1082" s="8" t="s">
        <v>235</v>
      </c>
      <c r="BE1082" s="4" t="s">
        <v>235</v>
      </c>
      <c r="BF1082" s="8" t="s">
        <v>235</v>
      </c>
      <c r="BG1082" s="7" t="s">
        <v>235</v>
      </c>
      <c r="BH1082" s="7" t="s">
        <v>235</v>
      </c>
      <c r="BI1082" s="7"/>
      <c r="BJ1082" s="4"/>
      <c r="BK1082" s="8"/>
      <c r="BL1082" s="2" t="s">
        <v>235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4267</v>
      </c>
      <c r="BV1082" s="2" t="s">
        <v>235</v>
      </c>
      <c r="BW1082" s="2" t="s">
        <v>235</v>
      </c>
      <c r="BX1082" s="2" t="s">
        <v>244</v>
      </c>
      <c r="BY1082" s="2" t="s">
        <v>245</v>
      </c>
      <c r="BZ1082" s="2" t="s">
        <v>232</v>
      </c>
      <c r="CA1082" s="2" t="s">
        <v>235</v>
      </c>
      <c r="CB1082" s="2" t="s">
        <v>235</v>
      </c>
      <c r="CC1082" s="2" t="s">
        <v>248</v>
      </c>
      <c r="CD1082" s="2" t="s">
        <v>248</v>
      </c>
      <c r="CE1082" s="2" t="s">
        <v>235</v>
      </c>
      <c r="CF1082" s="4">
        <v>85</v>
      </c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>
        <v>85</v>
      </c>
      <c r="GE1082" s="4">
        <v>84</v>
      </c>
      <c r="GF1082" s="4">
        <v>83</v>
      </c>
      <c r="GG1082" s="4">
        <v>82</v>
      </c>
      <c r="GH1082" s="4">
        <v>81</v>
      </c>
      <c r="GI1082" s="4">
        <v>80</v>
      </c>
      <c r="GJ1082" s="4">
        <v>77</v>
      </c>
      <c r="GK1082" s="4">
        <v>74</v>
      </c>
      <c r="GL1082" s="4">
        <v>71</v>
      </c>
      <c r="GM1082" s="4">
        <v>68</v>
      </c>
      <c r="GN1082" s="4">
        <v>65</v>
      </c>
      <c r="GO1082" s="4">
        <v>62</v>
      </c>
      <c r="GP1082" s="4">
        <v>59</v>
      </c>
      <c r="GQ1082" s="4">
        <v>55</v>
      </c>
      <c r="GR1082" s="4">
        <v>52</v>
      </c>
      <c r="GS1082" s="4">
        <v>49</v>
      </c>
      <c r="GT1082" s="4">
        <v>46</v>
      </c>
      <c r="GU1082" s="4">
        <v>43</v>
      </c>
      <c r="GV1082" s="4">
        <v>40</v>
      </c>
      <c r="GW1082" s="4">
        <v>133</v>
      </c>
      <c r="GX1082" s="4">
        <v>130</v>
      </c>
      <c r="GY1082" s="4">
        <v>127</v>
      </c>
      <c r="GZ1082" s="4">
        <v>124</v>
      </c>
      <c r="HA1082" s="4">
        <v>121</v>
      </c>
      <c r="HB1082" s="4">
        <v>118</v>
      </c>
      <c r="HC1082" s="4">
        <v>115</v>
      </c>
      <c r="HD1082" s="19">
        <v>85</v>
      </c>
      <c r="HE1082" s="19">
        <v>84</v>
      </c>
      <c r="HF1082" s="19">
        <v>41.5</v>
      </c>
      <c r="HG1082" s="19">
        <v>41</v>
      </c>
      <c r="HH1082" s="19">
        <v>40.5</v>
      </c>
      <c r="HI1082" s="19">
        <v>26.7</v>
      </c>
      <c r="HJ1082" s="19">
        <v>25.7</v>
      </c>
      <c r="HK1082" s="19">
        <v>24.7</v>
      </c>
      <c r="HL1082" s="19">
        <v>23.7</v>
      </c>
      <c r="HM1082" s="19">
        <v>22.7</v>
      </c>
      <c r="HN1082" s="19">
        <v>21.7</v>
      </c>
      <c r="HO1082" s="19">
        <v>20.7</v>
      </c>
      <c r="HP1082" s="19">
        <v>19.7</v>
      </c>
      <c r="HQ1082" s="19">
        <v>18.3</v>
      </c>
      <c r="HR1082" s="19">
        <v>17.3</v>
      </c>
      <c r="HS1082" s="19">
        <v>16.3</v>
      </c>
      <c r="HT1082" s="19">
        <v>15.3</v>
      </c>
      <c r="HU1082" s="19">
        <v>14.3</v>
      </c>
      <c r="HV1082" s="19">
        <v>13.3</v>
      </c>
      <c r="HW1082" s="19">
        <v>44.3</v>
      </c>
      <c r="HX1082" s="19">
        <v>43.3</v>
      </c>
      <c r="HY1082" s="19">
        <v>42.3</v>
      </c>
      <c r="HZ1082" s="19">
        <v>41.3</v>
      </c>
      <c r="IA1082" s="19">
        <v>40.3</v>
      </c>
      <c r="IB1082" s="19">
        <v>39.3</v>
      </c>
      <c r="IC1082" s="19">
        <v>38.3</v>
      </c>
    </row>
    <row r="1083">
      <c r="A1083" s="2" t="s">
        <v>4288</v>
      </c>
      <c r="B1083" s="2" t="s">
        <v>905</v>
      </c>
      <c r="C1083" s="2" t="s">
        <v>324</v>
      </c>
      <c r="D1083" s="2" t="s">
        <v>981</v>
      </c>
      <c r="E1083" s="2" t="s">
        <v>982</v>
      </c>
      <c r="F1083" s="2" t="s">
        <v>4289</v>
      </c>
      <c r="G1083" s="2" t="s">
        <v>4289</v>
      </c>
      <c r="H1083" s="2" t="s">
        <v>4289</v>
      </c>
      <c r="I1083" s="2" t="s">
        <v>4290</v>
      </c>
      <c r="J1083" s="2" t="s">
        <v>270</v>
      </c>
      <c r="K1083" s="2" t="s">
        <v>2718</v>
      </c>
      <c r="L1083" s="3">
        <v>32.9</v>
      </c>
      <c r="M1083" s="3">
        <v>34.55</v>
      </c>
      <c r="N1083" s="3">
        <v>69.99</v>
      </c>
      <c r="O1083" s="2" t="s">
        <v>232</v>
      </c>
      <c r="P1083" s="2" t="s">
        <v>233</v>
      </c>
      <c r="Q1083" s="2" t="s">
        <v>234</v>
      </c>
      <c r="R1083" s="2" t="s">
        <v>235</v>
      </c>
      <c r="S1083" s="2" t="s">
        <v>4291</v>
      </c>
      <c r="T1083" s="2" t="s">
        <v>263</v>
      </c>
      <c r="U1083" s="2" t="s">
        <v>807</v>
      </c>
      <c r="V1083" s="2" t="s">
        <v>238</v>
      </c>
      <c r="W1083" s="2" t="s">
        <v>239</v>
      </c>
      <c r="X1083" s="2" t="s">
        <v>410</v>
      </c>
      <c r="Y1083" s="2" t="s">
        <v>4292</v>
      </c>
      <c r="Z1083" s="4"/>
      <c r="AA1083" s="4">
        <f>=ROUNDDOWN({0},0)</f>
      </c>
      <c r="AB1083" s="5">
        <v>7</v>
      </c>
      <c r="AC1083" s="2" t="s">
        <v>2410</v>
      </c>
      <c r="AD1083" s="4">
        <v>336</v>
      </c>
      <c r="AE1083" s="4">
        <v>336</v>
      </c>
      <c r="AF1083" s="6">
        <v>78</v>
      </c>
      <c r="AG1083" s="6"/>
      <c r="AH1083" s="7">
        <v>0.4839</v>
      </c>
      <c r="AI1083" s="4"/>
      <c r="AJ1083" s="4">
        <f>=ROUNDDOWN({0},0)</f>
      </c>
      <c r="AK1083" s="5"/>
      <c r="AL1083" s="2" t="s">
        <v>235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>
        <v>84</v>
      </c>
      <c r="BK1083" s="8">
        <v>3021.61</v>
      </c>
      <c r="BL1083" s="2" t="s">
        <v>4293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4294</v>
      </c>
      <c r="BV1083" s="2" t="s">
        <v>243</v>
      </c>
      <c r="BW1083" s="2" t="s">
        <v>235</v>
      </c>
      <c r="BX1083" s="2" t="s">
        <v>244</v>
      </c>
      <c r="BY1083" s="2" t="s">
        <v>245</v>
      </c>
      <c r="BZ1083" s="2" t="s">
        <v>232</v>
      </c>
      <c r="CA1083" s="2" t="s">
        <v>2279</v>
      </c>
      <c r="CB1083" s="2" t="s">
        <v>3585</v>
      </c>
      <c r="CC1083" s="2" t="s">
        <v>248</v>
      </c>
      <c r="CD1083" s="2" t="s">
        <v>248</v>
      </c>
      <c r="CE1083" s="2" t="s">
        <v>235</v>
      </c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>
        <v>336</v>
      </c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>
        <v>336</v>
      </c>
      <c r="GN1083" s="4">
        <v>309</v>
      </c>
      <c r="GO1083" s="4">
        <v>296</v>
      </c>
      <c r="GP1083" s="4">
        <v>280</v>
      </c>
      <c r="GQ1083" s="4">
        <v>267</v>
      </c>
      <c r="GR1083" s="4">
        <v>260</v>
      </c>
      <c r="GS1083" s="4">
        <v>253</v>
      </c>
      <c r="GT1083" s="4">
        <v>246</v>
      </c>
      <c r="GU1083" s="4">
        <v>239</v>
      </c>
      <c r="GV1083" s="4">
        <v>231</v>
      </c>
      <c r="GW1083" s="4">
        <v>224</v>
      </c>
      <c r="GX1083" s="4">
        <v>217</v>
      </c>
      <c r="GY1083" s="4">
        <v>210</v>
      </c>
      <c r="GZ1083" s="4">
        <v>203</v>
      </c>
      <c r="HA1083" s="4">
        <v>194</v>
      </c>
      <c r="HB1083" s="4">
        <v>185</v>
      </c>
      <c r="HC1083" s="4">
        <v>175</v>
      </c>
      <c r="HD1083" s="20">
        <v>0</v>
      </c>
      <c r="HE1083" s="20">
        <v>0</v>
      </c>
      <c r="HF1083" s="20">
        <v>0</v>
      </c>
      <c r="HG1083" s="20">
        <v>0</v>
      </c>
      <c r="HH1083" s="20">
        <v>0</v>
      </c>
      <c r="HI1083" s="20">
        <v>0</v>
      </c>
      <c r="HJ1083" s="20">
        <v>0</v>
      </c>
      <c r="HK1083" s="20">
        <v>0</v>
      </c>
      <c r="HL1083" s="20">
        <v>0</v>
      </c>
      <c r="HM1083" s="19">
        <v>19.8</v>
      </c>
      <c r="HN1083" s="19">
        <v>25.8</v>
      </c>
      <c r="HO1083" s="19">
        <v>26.9</v>
      </c>
      <c r="HP1083" s="19">
        <v>35</v>
      </c>
      <c r="HQ1083" s="19">
        <v>38.1</v>
      </c>
      <c r="HR1083" s="19">
        <v>37.1</v>
      </c>
      <c r="HS1083" s="19">
        <v>36.1</v>
      </c>
      <c r="HT1083" s="19">
        <v>35.1</v>
      </c>
      <c r="HU1083" s="19">
        <v>34.1</v>
      </c>
      <c r="HV1083" s="19">
        <v>33</v>
      </c>
      <c r="HW1083" s="19">
        <v>28</v>
      </c>
      <c r="HX1083" s="19">
        <v>27.1</v>
      </c>
      <c r="HY1083" s="19">
        <v>23.3</v>
      </c>
      <c r="HZ1083" s="19">
        <v>22.6</v>
      </c>
      <c r="IA1083" s="19">
        <v>19.4</v>
      </c>
      <c r="IB1083" s="19">
        <v>16.8</v>
      </c>
      <c r="IC1083" s="19">
        <v>14.6</v>
      </c>
    </row>
    <row r="1084">
      <c r="A1084" s="2" t="s">
        <v>4295</v>
      </c>
      <c r="B1084" s="2" t="s">
        <v>871</v>
      </c>
      <c r="C1084" s="2" t="s">
        <v>2142</v>
      </c>
      <c r="D1084" s="2" t="s">
        <v>1452</v>
      </c>
      <c r="E1084" s="2" t="s">
        <v>1453</v>
      </c>
      <c r="F1084" s="2" t="s">
        <v>4296</v>
      </c>
      <c r="G1084" s="2" t="s">
        <v>4296</v>
      </c>
      <c r="H1084" s="2" t="s">
        <v>4296</v>
      </c>
      <c r="I1084" s="2" t="s">
        <v>4297</v>
      </c>
      <c r="J1084" s="2" t="s">
        <v>365</v>
      </c>
      <c r="K1084" s="2" t="s">
        <v>287</v>
      </c>
      <c r="L1084" s="3">
        <v>68.09</v>
      </c>
      <c r="M1084" s="3">
        <v>71.49</v>
      </c>
      <c r="N1084" s="3">
        <v>199.99</v>
      </c>
      <c r="O1084" s="2" t="s">
        <v>407</v>
      </c>
      <c r="P1084" s="2" t="s">
        <v>408</v>
      </c>
      <c r="Q1084" s="2" t="s">
        <v>234</v>
      </c>
      <c r="R1084" s="2" t="s">
        <v>235</v>
      </c>
      <c r="S1084" s="2" t="s">
        <v>235</v>
      </c>
      <c r="T1084" s="2" t="s">
        <v>263</v>
      </c>
      <c r="U1084" s="2" t="s">
        <v>235</v>
      </c>
      <c r="V1084" s="2" t="s">
        <v>238</v>
      </c>
      <c r="W1084" s="2" t="s">
        <v>682</v>
      </c>
      <c r="X1084" s="2" t="s">
        <v>235</v>
      </c>
      <c r="Y1084" s="2" t="s">
        <v>1363</v>
      </c>
      <c r="Z1084" s="4">
        <v>10</v>
      </c>
      <c r="AA1084" s="4">
        <f>=ROUNDDOWN(10,0)</f>
      </c>
      <c r="AB1084" s="5">
        <v>1</v>
      </c>
      <c r="AC1084" s="2" t="s">
        <v>235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235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>
        <v>4</v>
      </c>
      <c r="BK1084" s="8">
        <v>319.98</v>
      </c>
      <c r="BL1084" s="2" t="s">
        <v>2440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4298</v>
      </c>
      <c r="BV1084" s="2" t="s">
        <v>243</v>
      </c>
      <c r="BW1084" s="2" t="s">
        <v>235</v>
      </c>
      <c r="BX1084" s="2" t="s">
        <v>414</v>
      </c>
      <c r="BY1084" s="2" t="s">
        <v>245</v>
      </c>
      <c r="BZ1084" s="2" t="s">
        <v>232</v>
      </c>
      <c r="CA1084" s="2" t="s">
        <v>1577</v>
      </c>
      <c r="CB1084" s="2" t="s">
        <v>2150</v>
      </c>
      <c r="CC1084" s="2" t="s">
        <v>248</v>
      </c>
      <c r="CD1084" s="2" t="s">
        <v>248</v>
      </c>
      <c r="CE1084" s="2" t="s">
        <v>235</v>
      </c>
      <c r="CF1084" s="4">
        <v>10</v>
      </c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>
        <v>10</v>
      </c>
      <c r="GE1084" s="4">
        <v>9</v>
      </c>
      <c r="GF1084" s="4">
        <v>8</v>
      </c>
      <c r="GG1084" s="4">
        <v>7</v>
      </c>
      <c r="GH1084" s="4">
        <v>6</v>
      </c>
      <c r="GI1084" s="4">
        <v>5</v>
      </c>
      <c r="GJ1084" s="4">
        <v>4</v>
      </c>
      <c r="GK1084" s="4">
        <v>3</v>
      </c>
      <c r="GL1084" s="4">
        <v>2</v>
      </c>
      <c r="GM1084" s="4">
        <v>1</v>
      </c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19">
        <v>10</v>
      </c>
      <c r="HE1084" s="19">
        <v>9</v>
      </c>
      <c r="HF1084" s="19">
        <v>8</v>
      </c>
      <c r="HG1084" s="19">
        <v>7</v>
      </c>
      <c r="HH1084" s="19">
        <v>6</v>
      </c>
      <c r="HI1084" s="19">
        <v>5</v>
      </c>
      <c r="HJ1084" s="19">
        <v>4</v>
      </c>
      <c r="HK1084" s="19">
        <v>3</v>
      </c>
      <c r="HL1084" s="19">
        <v>1</v>
      </c>
      <c r="HM1084" s="19">
        <v>0.5</v>
      </c>
      <c r="HN1084" s="20">
        <v>0</v>
      </c>
      <c r="HO1084" s="20">
        <v>0</v>
      </c>
      <c r="HP1084" s="20">
        <v>0</v>
      </c>
      <c r="HQ1084" s="20">
        <v>0</v>
      </c>
      <c r="HR1084" s="20">
        <v>0</v>
      </c>
      <c r="HS1084" s="20">
        <v>0</v>
      </c>
      <c r="HT1084" s="20">
        <v>0</v>
      </c>
      <c r="HU1084" s="20">
        <v>0</v>
      </c>
      <c r="HV1084" s="20">
        <v>0</v>
      </c>
      <c r="HW1084" s="20">
        <v>0</v>
      </c>
      <c r="HX1084" s="20">
        <v>0</v>
      </c>
      <c r="HY1084" s="20">
        <v>0</v>
      </c>
      <c r="HZ1084" s="20">
        <v>0</v>
      </c>
      <c r="IA1084" s="20">
        <v>0</v>
      </c>
      <c r="IB1084" s="20">
        <v>0</v>
      </c>
      <c r="IC1084" s="20">
        <v>0</v>
      </c>
    </row>
    <row r="1085">
      <c r="A1085" s="2" t="s">
        <v>4299</v>
      </c>
      <c r="B1085" s="2" t="s">
        <v>871</v>
      </c>
      <c r="C1085" s="2" t="s">
        <v>324</v>
      </c>
      <c r="D1085" s="2" t="s">
        <v>361</v>
      </c>
      <c r="E1085" s="2" t="s">
        <v>872</v>
      </c>
      <c r="F1085" s="2" t="s">
        <v>4300</v>
      </c>
      <c r="G1085" s="2" t="s">
        <v>1751</v>
      </c>
      <c r="H1085" s="2" t="s">
        <v>4301</v>
      </c>
      <c r="I1085" s="2" t="s">
        <v>1861</v>
      </c>
      <c r="J1085" s="2" t="s">
        <v>272</v>
      </c>
      <c r="K1085" s="2" t="s">
        <v>4302</v>
      </c>
      <c r="L1085" s="3">
        <v>71.9</v>
      </c>
      <c r="M1085" s="3">
        <v>75.5</v>
      </c>
      <c r="N1085" s="3">
        <v>149.99</v>
      </c>
      <c r="O1085" s="2" t="s">
        <v>232</v>
      </c>
      <c r="P1085" s="2" t="s">
        <v>233</v>
      </c>
      <c r="Q1085" s="2" t="s">
        <v>234</v>
      </c>
      <c r="R1085" s="2" t="s">
        <v>235</v>
      </c>
      <c r="S1085" s="2" t="s">
        <v>4303</v>
      </c>
      <c r="T1085" s="2" t="s">
        <v>1863</v>
      </c>
      <c r="U1085" s="2" t="s">
        <v>742</v>
      </c>
      <c r="V1085" s="2" t="s">
        <v>1458</v>
      </c>
      <c r="W1085" s="2" t="s">
        <v>1029</v>
      </c>
      <c r="X1085" s="2" t="s">
        <v>671</v>
      </c>
      <c r="Y1085" s="2" t="s">
        <v>756</v>
      </c>
      <c r="Z1085" s="4"/>
      <c r="AA1085" s="4">
        <f>=ROUNDDOWN({0},0)</f>
      </c>
      <c r="AB1085" s="5">
        <v>6</v>
      </c>
      <c r="AC1085" s="2" t="s">
        <v>179</v>
      </c>
      <c r="AD1085" s="4">
        <v>220</v>
      </c>
      <c r="AE1085" s="4">
        <v>220</v>
      </c>
      <c r="AF1085" s="6">
        <v>66</v>
      </c>
      <c r="AG1085" s="6"/>
      <c r="AH1085" s="7">
        <v>0.0968</v>
      </c>
      <c r="AI1085" s="4"/>
      <c r="AJ1085" s="4">
        <f>=ROUNDDOWN({0},0)</f>
      </c>
      <c r="AK1085" s="5"/>
      <c r="AL1085" s="2" t="s">
        <v>235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>
        <v>12</v>
      </c>
      <c r="BK1085" s="8">
        <v>938.36</v>
      </c>
      <c r="BL1085" s="2" t="s">
        <v>4304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4305</v>
      </c>
      <c r="BV1085" s="2" t="s">
        <v>243</v>
      </c>
      <c r="BW1085" s="2" t="s">
        <v>235</v>
      </c>
      <c r="BX1085" s="2" t="s">
        <v>383</v>
      </c>
      <c r="BY1085" s="2" t="s">
        <v>245</v>
      </c>
      <c r="BZ1085" s="2" t="s">
        <v>232</v>
      </c>
      <c r="CA1085" s="2" t="s">
        <v>4101</v>
      </c>
      <c r="CB1085" s="2" t="s">
        <v>4306</v>
      </c>
      <c r="CC1085" s="2" t="s">
        <v>248</v>
      </c>
      <c r="CD1085" s="2" t="s">
        <v>248</v>
      </c>
      <c r="CE1085" s="2" t="s">
        <v>235</v>
      </c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>
        <v>220</v>
      </c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>
        <v>220</v>
      </c>
      <c r="GO1085" s="4">
        <v>201</v>
      </c>
      <c r="GP1085" s="4">
        <v>193</v>
      </c>
      <c r="GQ1085" s="4">
        <v>181</v>
      </c>
      <c r="GR1085" s="4">
        <v>165</v>
      </c>
      <c r="GS1085" s="4">
        <v>153</v>
      </c>
      <c r="GT1085" s="4">
        <v>141</v>
      </c>
      <c r="GU1085" s="4">
        <v>135</v>
      </c>
      <c r="GV1085" s="4">
        <v>128</v>
      </c>
      <c r="GW1085" s="4">
        <v>122</v>
      </c>
      <c r="GX1085" s="4">
        <v>117</v>
      </c>
      <c r="GY1085" s="4">
        <v>112</v>
      </c>
      <c r="GZ1085" s="4">
        <v>107</v>
      </c>
      <c r="HA1085" s="4">
        <v>102</v>
      </c>
      <c r="HB1085" s="4">
        <v>96</v>
      </c>
      <c r="HC1085" s="4">
        <v>86</v>
      </c>
      <c r="HD1085" s="20">
        <v>0</v>
      </c>
      <c r="HE1085" s="20">
        <v>0</v>
      </c>
      <c r="HF1085" s="20">
        <v>0</v>
      </c>
      <c r="HG1085" s="20">
        <v>0</v>
      </c>
      <c r="HH1085" s="20">
        <v>0</v>
      </c>
      <c r="HI1085" s="20">
        <v>0</v>
      </c>
      <c r="HJ1085" s="20">
        <v>0</v>
      </c>
      <c r="HK1085" s="20">
        <v>0</v>
      </c>
      <c r="HL1085" s="20">
        <v>0</v>
      </c>
      <c r="HM1085" s="20">
        <v>0</v>
      </c>
      <c r="HN1085" s="19">
        <v>15.7</v>
      </c>
      <c r="HO1085" s="19">
        <v>16.8</v>
      </c>
      <c r="HP1085" s="19">
        <v>14.8</v>
      </c>
      <c r="HQ1085" s="19">
        <v>15.1</v>
      </c>
      <c r="HR1085" s="19">
        <v>18.3</v>
      </c>
      <c r="HS1085" s="19">
        <v>19.1</v>
      </c>
      <c r="HT1085" s="19">
        <v>23.5</v>
      </c>
      <c r="HU1085" s="19">
        <v>22.5</v>
      </c>
      <c r="HV1085" s="19">
        <v>25.6</v>
      </c>
      <c r="HW1085" s="19">
        <v>24.4</v>
      </c>
      <c r="HX1085" s="19">
        <v>23.4</v>
      </c>
      <c r="HY1085" s="19">
        <v>18.7</v>
      </c>
      <c r="HZ1085" s="19">
        <v>15.3</v>
      </c>
      <c r="IA1085" s="19">
        <v>14.6</v>
      </c>
      <c r="IB1085" s="19">
        <v>13.7</v>
      </c>
      <c r="IC1085" s="19">
        <v>14.3</v>
      </c>
    </row>
    <row r="1086">
      <c r="A1086" s="2" t="s">
        <v>4307</v>
      </c>
      <c r="B1086" s="2" t="s">
        <v>905</v>
      </c>
      <c r="C1086" s="2" t="s">
        <v>324</v>
      </c>
      <c r="D1086" s="2" t="s">
        <v>361</v>
      </c>
      <c r="E1086" s="2" t="s">
        <v>924</v>
      </c>
      <c r="F1086" s="2" t="s">
        <v>4308</v>
      </c>
      <c r="G1086" s="2" t="s">
        <v>875</v>
      </c>
      <c r="H1086" s="2" t="s">
        <v>875</v>
      </c>
      <c r="I1086" s="2" t="s">
        <v>4309</v>
      </c>
      <c r="J1086" s="2" t="s">
        <v>877</v>
      </c>
      <c r="K1086" s="2" t="s">
        <v>378</v>
      </c>
      <c r="L1086" s="3">
        <v>33.33</v>
      </c>
      <c r="M1086" s="3">
        <v>35</v>
      </c>
      <c r="N1086" s="3">
        <v>72.49</v>
      </c>
      <c r="O1086" s="2" t="s">
        <v>232</v>
      </c>
      <c r="P1086" s="2" t="s">
        <v>233</v>
      </c>
      <c r="Q1086" s="2" t="s">
        <v>234</v>
      </c>
      <c r="R1086" s="2" t="s">
        <v>235</v>
      </c>
      <c r="S1086" s="2" t="s">
        <v>4310</v>
      </c>
      <c r="T1086" s="2" t="s">
        <v>912</v>
      </c>
      <c r="U1086" s="2" t="s">
        <v>278</v>
      </c>
      <c r="V1086" s="2" t="s">
        <v>238</v>
      </c>
      <c r="W1086" s="2" t="s">
        <v>329</v>
      </c>
      <c r="X1086" s="2" t="s">
        <v>1157</v>
      </c>
      <c r="Y1086" s="2" t="s">
        <v>2893</v>
      </c>
      <c r="Z1086" s="4">
        <v>192</v>
      </c>
      <c r="AA1086" s="4">
        <f>=ROUNDDOWN(96,0)</f>
      </c>
      <c r="AB1086" s="5">
        <v>2</v>
      </c>
      <c r="AC1086" s="2" t="s">
        <v>235</v>
      </c>
      <c r="AD1086" s="4"/>
      <c r="AE1086" s="4"/>
      <c r="AF1086" s="6">
        <v>66</v>
      </c>
      <c r="AG1086" s="6"/>
      <c r="AH1086" s="7">
        <v>1</v>
      </c>
      <c r="AI1086" s="4"/>
      <c r="AJ1086" s="4">
        <f>=ROUNDDOWN({0},0)</f>
      </c>
      <c r="AK1086" s="5"/>
      <c r="AL1086" s="2" t="s">
        <v>235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 t="s">
        <v>235</v>
      </c>
      <c r="BD1086" s="8" t="s">
        <v>235</v>
      </c>
      <c r="BE1086" s="4" t="s">
        <v>235</v>
      </c>
      <c r="BF1086" s="8" t="s">
        <v>235</v>
      </c>
      <c r="BG1086" s="7" t="s">
        <v>235</v>
      </c>
      <c r="BH1086" s="7" t="s">
        <v>235</v>
      </c>
      <c r="BI1086" s="7"/>
      <c r="BJ1086" s="4">
        <v>20</v>
      </c>
      <c r="BK1086" s="8">
        <v>760.64</v>
      </c>
      <c r="BL1086" s="2" t="s">
        <v>4311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4312</v>
      </c>
      <c r="BV1086" s="2" t="s">
        <v>243</v>
      </c>
      <c r="BW1086" s="2" t="s">
        <v>235</v>
      </c>
      <c r="BX1086" s="2" t="s">
        <v>244</v>
      </c>
      <c r="BY1086" s="2" t="s">
        <v>245</v>
      </c>
      <c r="BZ1086" s="2" t="s">
        <v>232</v>
      </c>
      <c r="CA1086" s="2" t="s">
        <v>686</v>
      </c>
      <c r="CB1086" s="2" t="s">
        <v>1387</v>
      </c>
      <c r="CC1086" s="2" t="s">
        <v>248</v>
      </c>
      <c r="CD1086" s="2" t="s">
        <v>248</v>
      </c>
      <c r="CE1086" s="2" t="s">
        <v>235</v>
      </c>
      <c r="CF1086" s="4">
        <v>164</v>
      </c>
      <c r="CG1086" s="4"/>
      <c r="CH1086" s="4"/>
      <c r="CI1086" s="4">
        <v>28</v>
      </c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>
        <v>193</v>
      </c>
      <c r="GE1086" s="4">
        <v>189</v>
      </c>
      <c r="GF1086" s="4">
        <v>188</v>
      </c>
      <c r="GG1086" s="4">
        <v>187</v>
      </c>
      <c r="GH1086" s="4">
        <v>186</v>
      </c>
      <c r="GI1086" s="4">
        <v>182</v>
      </c>
      <c r="GJ1086" s="4">
        <v>178</v>
      </c>
      <c r="GK1086" s="4">
        <v>174</v>
      </c>
      <c r="GL1086" s="4">
        <v>170</v>
      </c>
      <c r="GM1086" s="4">
        <v>166</v>
      </c>
      <c r="GN1086" s="4">
        <v>160</v>
      </c>
      <c r="GO1086" s="4">
        <v>150</v>
      </c>
      <c r="GP1086" s="4">
        <v>139</v>
      </c>
      <c r="GQ1086" s="4">
        <v>116</v>
      </c>
      <c r="GR1086" s="4">
        <v>101</v>
      </c>
      <c r="GS1086" s="4">
        <v>86</v>
      </c>
      <c r="GT1086" s="4">
        <v>77</v>
      </c>
      <c r="GU1086" s="4">
        <v>70</v>
      </c>
      <c r="GV1086" s="4">
        <v>66</v>
      </c>
      <c r="GW1086" s="4">
        <v>62</v>
      </c>
      <c r="GX1086" s="4">
        <v>58</v>
      </c>
      <c r="GY1086" s="4">
        <v>55</v>
      </c>
      <c r="GZ1086" s="4">
        <v>53</v>
      </c>
      <c r="HA1086" s="4">
        <v>51</v>
      </c>
      <c r="HB1086" s="4">
        <v>49</v>
      </c>
      <c r="HC1086" s="4">
        <v>47</v>
      </c>
      <c r="HD1086" s="19">
        <v>96.5</v>
      </c>
      <c r="HE1086" s="19">
        <v>94.5</v>
      </c>
      <c r="HF1086" s="19">
        <v>94</v>
      </c>
      <c r="HG1086" s="19">
        <v>62.3</v>
      </c>
      <c r="HH1086" s="19">
        <v>46.5</v>
      </c>
      <c r="HI1086" s="19">
        <v>45.5</v>
      </c>
      <c r="HJ1086" s="19">
        <v>44.5</v>
      </c>
      <c r="HK1086" s="19">
        <v>29</v>
      </c>
      <c r="HL1086" s="19">
        <v>21.3</v>
      </c>
      <c r="HM1086" s="19">
        <v>13.8</v>
      </c>
      <c r="HN1086" s="19">
        <v>10.7</v>
      </c>
      <c r="HO1086" s="19">
        <v>9.4</v>
      </c>
      <c r="HP1086" s="19">
        <v>8.7</v>
      </c>
      <c r="HQ1086" s="19">
        <v>9.7</v>
      </c>
      <c r="HR1086" s="19">
        <v>11.2</v>
      </c>
      <c r="HS1086" s="19">
        <v>14.3</v>
      </c>
      <c r="HT1086" s="19">
        <v>15.4</v>
      </c>
      <c r="HU1086" s="19">
        <v>17.5</v>
      </c>
      <c r="HV1086" s="19">
        <v>22</v>
      </c>
      <c r="HW1086" s="19">
        <v>20.7</v>
      </c>
      <c r="HX1086" s="19">
        <v>29</v>
      </c>
      <c r="HY1086" s="19">
        <v>27.5</v>
      </c>
      <c r="HZ1086" s="19">
        <v>26.5</v>
      </c>
      <c r="IA1086" s="19">
        <v>25.5</v>
      </c>
      <c r="IB1086" s="19">
        <v>24.5</v>
      </c>
      <c r="IC1086" s="19">
        <v>23.5</v>
      </c>
    </row>
    <row r="1087">
      <c r="A1087" s="2" t="s">
        <v>4313</v>
      </c>
      <c r="B1087" s="2" t="s">
        <v>905</v>
      </c>
      <c r="C1087" s="2" t="s">
        <v>324</v>
      </c>
      <c r="D1087" s="2" t="s">
        <v>361</v>
      </c>
      <c r="E1087" s="2" t="s">
        <v>924</v>
      </c>
      <c r="F1087" s="2" t="s">
        <v>4308</v>
      </c>
      <c r="G1087" s="2" t="s">
        <v>875</v>
      </c>
      <c r="H1087" s="2" t="s">
        <v>875</v>
      </c>
      <c r="I1087" s="2" t="s">
        <v>4309</v>
      </c>
      <c r="J1087" s="2" t="s">
        <v>877</v>
      </c>
      <c r="K1087" s="2" t="s">
        <v>287</v>
      </c>
      <c r="L1087" s="3">
        <v>33.33</v>
      </c>
      <c r="M1087" s="3">
        <v>35</v>
      </c>
      <c r="N1087" s="3">
        <v>72.49</v>
      </c>
      <c r="O1087" s="2" t="s">
        <v>232</v>
      </c>
      <c r="P1087" s="2" t="s">
        <v>233</v>
      </c>
      <c r="Q1087" s="2" t="s">
        <v>234</v>
      </c>
      <c r="R1087" s="2" t="s">
        <v>235</v>
      </c>
      <c r="S1087" s="2" t="s">
        <v>4314</v>
      </c>
      <c r="T1087" s="2" t="s">
        <v>912</v>
      </c>
      <c r="U1087" s="2" t="s">
        <v>278</v>
      </c>
      <c r="V1087" s="2" t="s">
        <v>238</v>
      </c>
      <c r="W1087" s="2" t="s">
        <v>329</v>
      </c>
      <c r="X1087" s="2" t="s">
        <v>1157</v>
      </c>
      <c r="Y1087" s="2" t="s">
        <v>2893</v>
      </c>
      <c r="Z1087" s="4">
        <v>164</v>
      </c>
      <c r="AA1087" s="4">
        <f>=ROUNDDOWN(96.4705882352941,0)</f>
      </c>
      <c r="AB1087" s="5">
        <v>1.7</v>
      </c>
      <c r="AC1087" s="2" t="s">
        <v>4315</v>
      </c>
      <c r="AD1087" s="4">
        <v>70</v>
      </c>
      <c r="AE1087" s="4">
        <v>70</v>
      </c>
      <c r="AF1087" s="6">
        <v>66</v>
      </c>
      <c r="AG1087" s="6"/>
      <c r="AH1087" s="7">
        <v>1</v>
      </c>
      <c r="AI1087" s="4"/>
      <c r="AJ1087" s="4">
        <f>=ROUNDDOWN({0},0)</f>
      </c>
      <c r="AK1087" s="5"/>
      <c r="AL1087" s="2" t="s">
        <v>235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235</v>
      </c>
      <c r="AW1087" s="8" t="s">
        <v>235</v>
      </c>
      <c r="AX1087" s="4" t="s">
        <v>235</v>
      </c>
      <c r="AY1087" s="8" t="s">
        <v>235</v>
      </c>
      <c r="AZ1087" s="7" t="s">
        <v>235</v>
      </c>
      <c r="BA1087" s="7" t="s">
        <v>235</v>
      </c>
      <c r="BB1087" s="7"/>
      <c r="BC1087" s="4" t="s">
        <v>235</v>
      </c>
      <c r="BD1087" s="8" t="s">
        <v>235</v>
      </c>
      <c r="BE1087" s="4" t="s">
        <v>235</v>
      </c>
      <c r="BF1087" s="8" t="s">
        <v>235</v>
      </c>
      <c r="BG1087" s="7" t="s">
        <v>235</v>
      </c>
      <c r="BH1087" s="7" t="s">
        <v>235</v>
      </c>
      <c r="BI1087" s="7"/>
      <c r="BJ1087" s="4">
        <v>8</v>
      </c>
      <c r="BK1087" s="8">
        <v>292.86</v>
      </c>
      <c r="BL1087" s="2" t="s">
        <v>4316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4312</v>
      </c>
      <c r="BV1087" s="2" t="s">
        <v>243</v>
      </c>
      <c r="BW1087" s="2" t="s">
        <v>235</v>
      </c>
      <c r="BX1087" s="2" t="s">
        <v>244</v>
      </c>
      <c r="BY1087" s="2" t="s">
        <v>245</v>
      </c>
      <c r="BZ1087" s="2" t="s">
        <v>232</v>
      </c>
      <c r="CA1087" s="2" t="s">
        <v>686</v>
      </c>
      <c r="CB1087" s="2" t="s">
        <v>2855</v>
      </c>
      <c r="CC1087" s="2" t="s">
        <v>248</v>
      </c>
      <c r="CD1087" s="2" t="s">
        <v>248</v>
      </c>
      <c r="CE1087" s="2" t="s">
        <v>235</v>
      </c>
      <c r="CF1087" s="4">
        <v>147</v>
      </c>
      <c r="CG1087" s="4"/>
      <c r="CH1087" s="4"/>
      <c r="CI1087" s="4">
        <v>17</v>
      </c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>
        <v>70</v>
      </c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>
        <v>164</v>
      </c>
      <c r="GE1087" s="4">
        <v>163</v>
      </c>
      <c r="GF1087" s="4">
        <v>162</v>
      </c>
      <c r="GG1087" s="4">
        <v>161</v>
      </c>
      <c r="GH1087" s="4">
        <v>159</v>
      </c>
      <c r="GI1087" s="4">
        <v>152</v>
      </c>
      <c r="GJ1087" s="4">
        <v>144</v>
      </c>
      <c r="GK1087" s="4">
        <v>137</v>
      </c>
      <c r="GL1087" s="4">
        <v>131</v>
      </c>
      <c r="GM1087" s="4">
        <v>126</v>
      </c>
      <c r="GN1087" s="4">
        <v>119</v>
      </c>
      <c r="GO1087" s="4">
        <v>108</v>
      </c>
      <c r="GP1087" s="4">
        <v>96</v>
      </c>
      <c r="GQ1087" s="4">
        <v>142</v>
      </c>
      <c r="GR1087" s="4">
        <v>126</v>
      </c>
      <c r="GS1087" s="4">
        <v>111</v>
      </c>
      <c r="GT1087" s="4">
        <v>102</v>
      </c>
      <c r="GU1087" s="4">
        <v>96</v>
      </c>
      <c r="GV1087" s="4">
        <v>93</v>
      </c>
      <c r="GW1087" s="4">
        <v>90</v>
      </c>
      <c r="GX1087" s="4">
        <v>87</v>
      </c>
      <c r="GY1087" s="4">
        <v>85</v>
      </c>
      <c r="GZ1087" s="4">
        <v>84</v>
      </c>
      <c r="HA1087" s="4">
        <v>83</v>
      </c>
      <c r="HB1087" s="4">
        <v>82</v>
      </c>
      <c r="HC1087" s="4">
        <v>81</v>
      </c>
      <c r="HD1087" s="19">
        <v>164</v>
      </c>
      <c r="HE1087" s="19">
        <v>54.3</v>
      </c>
      <c r="HF1087" s="19">
        <v>40.5</v>
      </c>
      <c r="HG1087" s="19">
        <v>26.8</v>
      </c>
      <c r="HH1087" s="19">
        <v>22.7</v>
      </c>
      <c r="HI1087" s="19">
        <v>25.3</v>
      </c>
      <c r="HJ1087" s="19">
        <v>24</v>
      </c>
      <c r="HK1087" s="19">
        <v>19.6</v>
      </c>
      <c r="HL1087" s="19">
        <v>14.6</v>
      </c>
      <c r="HM1087" s="19">
        <v>9</v>
      </c>
      <c r="HN1087" s="19">
        <v>7.4</v>
      </c>
      <c r="HO1087" s="19">
        <v>6.4</v>
      </c>
      <c r="HP1087" s="19">
        <v>6</v>
      </c>
      <c r="HQ1087" s="19">
        <v>11.8</v>
      </c>
      <c r="HR1087" s="19">
        <v>15.8</v>
      </c>
      <c r="HS1087" s="19">
        <v>22.2</v>
      </c>
      <c r="HT1087" s="19">
        <v>25.5</v>
      </c>
      <c r="HU1087" s="19">
        <v>32</v>
      </c>
      <c r="HV1087" s="19">
        <v>46.5</v>
      </c>
      <c r="HW1087" s="19">
        <v>45</v>
      </c>
      <c r="HX1087" s="19">
        <v>87</v>
      </c>
      <c r="HY1087" s="19">
        <v>85</v>
      </c>
      <c r="HZ1087" s="19">
        <v>84</v>
      </c>
      <c r="IA1087" s="19">
        <v>83</v>
      </c>
      <c r="IB1087" s="19">
        <v>82</v>
      </c>
      <c r="IC1087" s="19">
        <v>81</v>
      </c>
    </row>
    <row r="1088">
      <c r="A1088" s="2" t="s">
        <v>4317</v>
      </c>
      <c r="B1088" s="2" t="s">
        <v>905</v>
      </c>
      <c r="C1088" s="2" t="s">
        <v>324</v>
      </c>
      <c r="D1088" s="2" t="s">
        <v>361</v>
      </c>
      <c r="E1088" s="2" t="s">
        <v>924</v>
      </c>
      <c r="F1088" s="2" t="s">
        <v>4308</v>
      </c>
      <c r="G1088" s="2" t="s">
        <v>875</v>
      </c>
      <c r="H1088" s="2" t="s">
        <v>875</v>
      </c>
      <c r="I1088" s="2" t="s">
        <v>4309</v>
      </c>
      <c r="J1088" s="2" t="s">
        <v>365</v>
      </c>
      <c r="K1088" s="2" t="s">
        <v>287</v>
      </c>
      <c r="L1088" s="3">
        <v>44.8</v>
      </c>
      <c r="M1088" s="3">
        <v>47.04</v>
      </c>
      <c r="N1088" s="3">
        <v>94.99</v>
      </c>
      <c r="O1088" s="2" t="s">
        <v>232</v>
      </c>
      <c r="P1088" s="2" t="s">
        <v>336</v>
      </c>
      <c r="Q1088" s="2" t="s">
        <v>234</v>
      </c>
      <c r="R1088" s="2" t="s">
        <v>235</v>
      </c>
      <c r="S1088" s="2" t="s">
        <v>4314</v>
      </c>
      <c r="T1088" s="2" t="s">
        <v>912</v>
      </c>
      <c r="U1088" s="2" t="s">
        <v>552</v>
      </c>
      <c r="V1088" s="2" t="s">
        <v>238</v>
      </c>
      <c r="W1088" s="2" t="s">
        <v>329</v>
      </c>
      <c r="X1088" s="2" t="s">
        <v>1157</v>
      </c>
      <c r="Y1088" s="2" t="s">
        <v>2893</v>
      </c>
      <c r="Z1088" s="4">
        <v>561</v>
      </c>
      <c r="AA1088" s="4">
        <f>=ROUNDDOWN(215.769230769231,0)</f>
      </c>
      <c r="AB1088" s="5">
        <v>2.6</v>
      </c>
      <c r="AC1088" s="2" t="s">
        <v>4315</v>
      </c>
      <c r="AD1088" s="4">
        <v>300</v>
      </c>
      <c r="AE1088" s="4">
        <v>300</v>
      </c>
      <c r="AF1088" s="6">
        <v>66</v>
      </c>
      <c r="AG1088" s="6"/>
      <c r="AH1088" s="7">
        <v>1</v>
      </c>
      <c r="AI1088" s="4"/>
      <c r="AJ1088" s="4">
        <f>=ROUNDDOWN({0},0)</f>
      </c>
      <c r="AK1088" s="5"/>
      <c r="AL1088" s="2" t="s">
        <v>235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235</v>
      </c>
      <c r="AW1088" s="8" t="s">
        <v>235</v>
      </c>
      <c r="AX1088" s="4" t="s">
        <v>235</v>
      </c>
      <c r="AY1088" s="8" t="s">
        <v>235</v>
      </c>
      <c r="AZ1088" s="7" t="s">
        <v>235</v>
      </c>
      <c r="BA1088" s="7" t="s">
        <v>235</v>
      </c>
      <c r="BB1088" s="7"/>
      <c r="BC1088" s="4" t="s">
        <v>235</v>
      </c>
      <c r="BD1088" s="8" t="s">
        <v>235</v>
      </c>
      <c r="BE1088" s="4" t="s">
        <v>235</v>
      </c>
      <c r="BF1088" s="8" t="s">
        <v>235</v>
      </c>
      <c r="BG1088" s="7" t="s">
        <v>235</v>
      </c>
      <c r="BH1088" s="7" t="s">
        <v>235</v>
      </c>
      <c r="BI1088" s="7"/>
      <c r="BJ1088" s="4">
        <v>14</v>
      </c>
      <c r="BK1088" s="8">
        <v>648.25</v>
      </c>
      <c r="BL1088" s="2" t="s">
        <v>4318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4312</v>
      </c>
      <c r="BV1088" s="2" t="s">
        <v>243</v>
      </c>
      <c r="BW1088" s="2" t="s">
        <v>235</v>
      </c>
      <c r="BX1088" s="2" t="s">
        <v>244</v>
      </c>
      <c r="BY1088" s="2" t="s">
        <v>245</v>
      </c>
      <c r="BZ1088" s="2" t="s">
        <v>232</v>
      </c>
      <c r="CA1088" s="2" t="s">
        <v>686</v>
      </c>
      <c r="CB1088" s="2" t="s">
        <v>4319</v>
      </c>
      <c r="CC1088" s="2" t="s">
        <v>248</v>
      </c>
      <c r="CD1088" s="2" t="s">
        <v>248</v>
      </c>
      <c r="CE1088" s="2" t="s">
        <v>235</v>
      </c>
      <c r="CF1088" s="4">
        <v>463</v>
      </c>
      <c r="CG1088" s="4"/>
      <c r="CH1088" s="4"/>
      <c r="CI1088" s="4">
        <v>98</v>
      </c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>
        <v>300</v>
      </c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>
        <v>563</v>
      </c>
      <c r="GE1088" s="4">
        <v>557</v>
      </c>
      <c r="GF1088" s="4">
        <v>552</v>
      </c>
      <c r="GG1088" s="4">
        <v>547</v>
      </c>
      <c r="GH1088" s="4">
        <v>542</v>
      </c>
      <c r="GI1088" s="4">
        <v>521</v>
      </c>
      <c r="GJ1088" s="4">
        <v>500</v>
      </c>
      <c r="GK1088" s="4">
        <v>479</v>
      </c>
      <c r="GL1088" s="4">
        <v>458</v>
      </c>
      <c r="GM1088" s="4">
        <v>437</v>
      </c>
      <c r="GN1088" s="4">
        <v>410</v>
      </c>
      <c r="GO1088" s="4">
        <v>366</v>
      </c>
      <c r="GP1088" s="4">
        <v>318</v>
      </c>
      <c r="GQ1088" s="4">
        <v>514</v>
      </c>
      <c r="GR1088" s="4">
        <v>443</v>
      </c>
      <c r="GS1088" s="4">
        <v>369</v>
      </c>
      <c r="GT1088" s="4">
        <v>326</v>
      </c>
      <c r="GU1088" s="4">
        <v>299</v>
      </c>
      <c r="GV1088" s="4">
        <v>286</v>
      </c>
      <c r="GW1088" s="4">
        <v>273</v>
      </c>
      <c r="GX1088" s="4">
        <v>260</v>
      </c>
      <c r="GY1088" s="4">
        <v>254</v>
      </c>
      <c r="GZ1088" s="4">
        <v>251</v>
      </c>
      <c r="HA1088" s="4">
        <v>248</v>
      </c>
      <c r="HB1088" s="4">
        <v>245</v>
      </c>
      <c r="HC1088" s="4">
        <v>242</v>
      </c>
      <c r="HD1088" s="19">
        <v>112.6</v>
      </c>
      <c r="HE1088" s="19">
        <v>61.9</v>
      </c>
      <c r="HF1088" s="19">
        <v>42.5</v>
      </c>
      <c r="HG1088" s="19">
        <v>32.2</v>
      </c>
      <c r="HH1088" s="19">
        <v>25.8</v>
      </c>
      <c r="HI1088" s="19">
        <v>24.8</v>
      </c>
      <c r="HJ1088" s="19">
        <v>22.7</v>
      </c>
      <c r="HK1088" s="19">
        <v>17.1</v>
      </c>
      <c r="HL1088" s="19">
        <v>13.1</v>
      </c>
      <c r="HM1088" s="19">
        <v>7.8</v>
      </c>
      <c r="HN1088" s="19">
        <v>6.1</v>
      </c>
      <c r="HO1088" s="19">
        <v>4.9</v>
      </c>
      <c r="HP1088" s="19">
        <v>4.4</v>
      </c>
      <c r="HQ1088" s="19">
        <v>9.5</v>
      </c>
      <c r="HR1088" s="19">
        <v>11.4</v>
      </c>
      <c r="HS1088" s="19">
        <v>15.4</v>
      </c>
      <c r="HT1088" s="19">
        <v>20.4</v>
      </c>
      <c r="HU1088" s="19">
        <v>27.2</v>
      </c>
      <c r="HV1088" s="19">
        <v>31.8</v>
      </c>
      <c r="HW1088" s="19">
        <v>45.5</v>
      </c>
      <c r="HX1088" s="19">
        <v>65</v>
      </c>
      <c r="HY1088" s="19">
        <v>84.7</v>
      </c>
      <c r="HZ1088" s="19">
        <v>83.7</v>
      </c>
      <c r="IA1088" s="19">
        <v>82.7</v>
      </c>
      <c r="IB1088" s="19">
        <v>122.5</v>
      </c>
      <c r="IC1088" s="19">
        <v>121</v>
      </c>
    </row>
    <row r="1089">
      <c r="A1089" s="2" t="s">
        <v>4320</v>
      </c>
      <c r="B1089" s="2" t="s">
        <v>905</v>
      </c>
      <c r="C1089" s="2" t="s">
        <v>324</v>
      </c>
      <c r="D1089" s="2" t="s">
        <v>361</v>
      </c>
      <c r="E1089" s="2" t="s">
        <v>924</v>
      </c>
      <c r="F1089" s="2" t="s">
        <v>4308</v>
      </c>
      <c r="G1089" s="2" t="s">
        <v>875</v>
      </c>
      <c r="H1089" s="2" t="s">
        <v>875</v>
      </c>
      <c r="I1089" s="2" t="s">
        <v>4309</v>
      </c>
      <c r="J1089" s="2" t="s">
        <v>372</v>
      </c>
      <c r="K1089" s="2" t="s">
        <v>287</v>
      </c>
      <c r="L1089" s="3">
        <v>51.71</v>
      </c>
      <c r="M1089" s="3">
        <v>54.3</v>
      </c>
      <c r="N1089" s="3">
        <v>104.99</v>
      </c>
      <c r="O1089" s="2" t="s">
        <v>232</v>
      </c>
      <c r="P1089" s="2" t="s">
        <v>336</v>
      </c>
      <c r="Q1089" s="2" t="s">
        <v>234</v>
      </c>
      <c r="R1089" s="2" t="s">
        <v>235</v>
      </c>
      <c r="S1089" s="2" t="s">
        <v>4314</v>
      </c>
      <c r="T1089" s="2" t="s">
        <v>912</v>
      </c>
      <c r="U1089" s="2" t="s">
        <v>552</v>
      </c>
      <c r="V1089" s="2" t="s">
        <v>238</v>
      </c>
      <c r="W1089" s="2" t="s">
        <v>329</v>
      </c>
      <c r="X1089" s="2" t="s">
        <v>1157</v>
      </c>
      <c r="Y1089" s="2" t="s">
        <v>2893</v>
      </c>
      <c r="Z1089" s="4">
        <v>439</v>
      </c>
      <c r="AA1089" s="4">
        <f>=ROUNDDOWN(109.75,0)</f>
      </c>
      <c r="AB1089" s="5">
        <v>4</v>
      </c>
      <c r="AC1089" s="2" t="s">
        <v>4315</v>
      </c>
      <c r="AD1089" s="4">
        <v>430</v>
      </c>
      <c r="AE1089" s="4">
        <v>430</v>
      </c>
      <c r="AF1089" s="6">
        <v>66</v>
      </c>
      <c r="AG1089" s="6"/>
      <c r="AH1089" s="7">
        <v>1</v>
      </c>
      <c r="AI1089" s="4"/>
      <c r="AJ1089" s="4">
        <f>=ROUNDDOWN({0},0)</f>
      </c>
      <c r="AK1089" s="5"/>
      <c r="AL1089" s="2" t="s">
        <v>235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235</v>
      </c>
      <c r="AW1089" s="8" t="s">
        <v>235</v>
      </c>
      <c r="AX1089" s="4" t="s">
        <v>235</v>
      </c>
      <c r="AY1089" s="8" t="s">
        <v>235</v>
      </c>
      <c r="AZ1089" s="7" t="s">
        <v>235</v>
      </c>
      <c r="BA1089" s="7" t="s">
        <v>235</v>
      </c>
      <c r="BB1089" s="7"/>
      <c r="BC1089" s="4" t="s">
        <v>235</v>
      </c>
      <c r="BD1089" s="8" t="s">
        <v>235</v>
      </c>
      <c r="BE1089" s="4" t="s">
        <v>235</v>
      </c>
      <c r="BF1089" s="8" t="s">
        <v>235</v>
      </c>
      <c r="BG1089" s="7" t="s">
        <v>235</v>
      </c>
      <c r="BH1089" s="7" t="s">
        <v>235</v>
      </c>
      <c r="BI1089" s="7"/>
      <c r="BJ1089" s="4">
        <v>25</v>
      </c>
      <c r="BK1089" s="8">
        <v>1356.71</v>
      </c>
      <c r="BL1089" s="2" t="s">
        <v>4321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4312</v>
      </c>
      <c r="BV1089" s="2" t="s">
        <v>243</v>
      </c>
      <c r="BW1089" s="2" t="s">
        <v>235</v>
      </c>
      <c r="BX1089" s="2" t="s">
        <v>244</v>
      </c>
      <c r="BY1089" s="2" t="s">
        <v>245</v>
      </c>
      <c r="BZ1089" s="2" t="s">
        <v>232</v>
      </c>
      <c r="CA1089" s="2" t="s">
        <v>686</v>
      </c>
      <c r="CB1089" s="2" t="s">
        <v>1379</v>
      </c>
      <c r="CC1089" s="2" t="s">
        <v>248</v>
      </c>
      <c r="CD1089" s="2" t="s">
        <v>248</v>
      </c>
      <c r="CE1089" s="2" t="s">
        <v>235</v>
      </c>
      <c r="CF1089" s="4">
        <v>358</v>
      </c>
      <c r="CG1089" s="4"/>
      <c r="CH1089" s="4"/>
      <c r="CI1089" s="4">
        <v>81</v>
      </c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>
        <v>430</v>
      </c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>
        <v>439</v>
      </c>
      <c r="GE1089" s="4">
        <v>430</v>
      </c>
      <c r="GF1089" s="4">
        <v>425</v>
      </c>
      <c r="GG1089" s="4">
        <v>420</v>
      </c>
      <c r="GH1089" s="4">
        <v>415</v>
      </c>
      <c r="GI1089" s="4">
        <v>394</v>
      </c>
      <c r="GJ1089" s="4">
        <v>373</v>
      </c>
      <c r="GK1089" s="4">
        <v>352</v>
      </c>
      <c r="GL1089" s="4">
        <v>331</v>
      </c>
      <c r="GM1089" s="4">
        <v>310</v>
      </c>
      <c r="GN1089" s="4">
        <v>283</v>
      </c>
      <c r="GO1089" s="4">
        <v>240</v>
      </c>
      <c r="GP1089" s="4">
        <v>194</v>
      </c>
      <c r="GQ1089" s="4">
        <v>523</v>
      </c>
      <c r="GR1089" s="4">
        <v>454</v>
      </c>
      <c r="GS1089" s="4">
        <v>382</v>
      </c>
      <c r="GT1089" s="4">
        <v>339</v>
      </c>
      <c r="GU1089" s="4">
        <v>311</v>
      </c>
      <c r="GV1089" s="4">
        <v>297</v>
      </c>
      <c r="GW1089" s="4">
        <v>283</v>
      </c>
      <c r="GX1089" s="4">
        <v>269</v>
      </c>
      <c r="GY1089" s="4">
        <v>262</v>
      </c>
      <c r="GZ1089" s="4">
        <v>258</v>
      </c>
      <c r="HA1089" s="4">
        <v>254</v>
      </c>
      <c r="HB1089" s="4">
        <v>250</v>
      </c>
      <c r="HC1089" s="4">
        <v>246</v>
      </c>
      <c r="HD1089" s="19">
        <v>73.2</v>
      </c>
      <c r="HE1089" s="19">
        <v>47.8</v>
      </c>
      <c r="HF1089" s="19">
        <v>32.7</v>
      </c>
      <c r="HG1089" s="19">
        <v>24.7</v>
      </c>
      <c r="HH1089" s="19">
        <v>19.8</v>
      </c>
      <c r="HI1089" s="19">
        <v>18.8</v>
      </c>
      <c r="HJ1089" s="19">
        <v>17</v>
      </c>
      <c r="HK1089" s="19">
        <v>12.6</v>
      </c>
      <c r="HL1089" s="19">
        <v>9.7</v>
      </c>
      <c r="HM1089" s="19">
        <v>5.7</v>
      </c>
      <c r="HN1089" s="19">
        <v>4.4</v>
      </c>
      <c r="HO1089" s="19">
        <v>3.3</v>
      </c>
      <c r="HP1089" s="19">
        <v>2.7</v>
      </c>
      <c r="HQ1089" s="19">
        <v>9.9</v>
      </c>
      <c r="HR1089" s="19">
        <v>11.6</v>
      </c>
      <c r="HS1089" s="19">
        <v>15.3</v>
      </c>
      <c r="HT1089" s="19">
        <v>18.8</v>
      </c>
      <c r="HU1089" s="19">
        <v>25.9</v>
      </c>
      <c r="HV1089" s="19">
        <v>29.7</v>
      </c>
      <c r="HW1089" s="19">
        <v>40.4</v>
      </c>
      <c r="HX1089" s="19">
        <v>53.8</v>
      </c>
      <c r="HY1089" s="19">
        <v>65.5</v>
      </c>
      <c r="HZ1089" s="19">
        <v>64.5</v>
      </c>
      <c r="IA1089" s="19">
        <v>63.5</v>
      </c>
      <c r="IB1089" s="19">
        <v>62.5</v>
      </c>
      <c r="IC1089" s="19">
        <v>61.5</v>
      </c>
    </row>
    <row r="1090">
      <c r="A1090" s="2" t="s">
        <v>4322</v>
      </c>
      <c r="B1090" s="2" t="s">
        <v>871</v>
      </c>
      <c r="C1090" s="2" t="s">
        <v>606</v>
      </c>
      <c r="D1090" s="2" t="s">
        <v>361</v>
      </c>
      <c r="E1090" s="2" t="s">
        <v>872</v>
      </c>
      <c r="F1090" s="2" t="s">
        <v>4323</v>
      </c>
      <c r="G1090" s="2" t="s">
        <v>4324</v>
      </c>
      <c r="H1090" s="2" t="s">
        <v>4325</v>
      </c>
      <c r="I1090" s="2" t="s">
        <v>924</v>
      </c>
      <c r="J1090" s="2" t="s">
        <v>877</v>
      </c>
      <c r="K1090" s="2" t="s">
        <v>612</v>
      </c>
      <c r="L1090" s="3">
        <v>26.12</v>
      </c>
      <c r="M1090" s="3">
        <v>27.43</v>
      </c>
      <c r="N1090" s="3">
        <v>54.99</v>
      </c>
      <c r="O1090" s="2" t="s">
        <v>232</v>
      </c>
      <c r="P1090" s="2" t="s">
        <v>878</v>
      </c>
      <c r="Q1090" s="2" t="s">
        <v>234</v>
      </c>
      <c r="R1090" s="2" t="s">
        <v>235</v>
      </c>
      <c r="S1090" s="2" t="s">
        <v>235</v>
      </c>
      <c r="T1090" s="2" t="s">
        <v>879</v>
      </c>
      <c r="U1090" s="2" t="s">
        <v>278</v>
      </c>
      <c r="V1090" s="2" t="s">
        <v>986</v>
      </c>
      <c r="W1090" s="2" t="s">
        <v>986</v>
      </c>
      <c r="X1090" s="2" t="s">
        <v>235</v>
      </c>
      <c r="Y1090" s="2" t="s">
        <v>1321</v>
      </c>
      <c r="Z1090" s="4">
        <v>348</v>
      </c>
      <c r="AA1090" s="4">
        <f>=ROUNDDOWN(49.0140845070422,0)</f>
      </c>
      <c r="AB1090" s="5">
        <v>7.1</v>
      </c>
      <c r="AC1090" s="2" t="s">
        <v>235</v>
      </c>
      <c r="AD1090" s="4"/>
      <c r="AE1090" s="4"/>
      <c r="AF1090" s="6">
        <v>63</v>
      </c>
      <c r="AG1090" s="6">
        <v>46</v>
      </c>
      <c r="AH1090" s="7">
        <v>1</v>
      </c>
      <c r="AI1090" s="4"/>
      <c r="AJ1090" s="4">
        <f>=ROUNDDOWN({0},0)</f>
      </c>
      <c r="AK1090" s="5"/>
      <c r="AL1090" s="2" t="s">
        <v>235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235</v>
      </c>
      <c r="AW1090" s="8" t="s">
        <v>235</v>
      </c>
      <c r="AX1090" s="4" t="s">
        <v>235</v>
      </c>
      <c r="AY1090" s="8" t="s">
        <v>235</v>
      </c>
      <c r="AZ1090" s="7" t="s">
        <v>235</v>
      </c>
      <c r="BA1090" s="7" t="s">
        <v>235</v>
      </c>
      <c r="BB1090" s="7"/>
      <c r="BC1090" s="4" t="s">
        <v>235</v>
      </c>
      <c r="BD1090" s="8" t="s">
        <v>235</v>
      </c>
      <c r="BE1090" s="4" t="s">
        <v>235</v>
      </c>
      <c r="BF1090" s="8" t="s">
        <v>235</v>
      </c>
      <c r="BG1090" s="7" t="s">
        <v>235</v>
      </c>
      <c r="BH1090" s="7" t="s">
        <v>235</v>
      </c>
      <c r="BI1090" s="7"/>
      <c r="BJ1090" s="4">
        <v>32</v>
      </c>
      <c r="BK1090" s="8">
        <v>949.38</v>
      </c>
      <c r="BL1090" s="2" t="s">
        <v>659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4326</v>
      </c>
      <c r="BV1090" s="2" t="s">
        <v>235</v>
      </c>
      <c r="BW1090" s="2" t="s">
        <v>235</v>
      </c>
      <c r="BX1090" s="2" t="s">
        <v>619</v>
      </c>
      <c r="BY1090" s="2" t="s">
        <v>245</v>
      </c>
      <c r="BZ1090" s="2" t="s">
        <v>232</v>
      </c>
      <c r="CA1090" s="2" t="s">
        <v>235</v>
      </c>
      <c r="CB1090" s="2" t="s">
        <v>235</v>
      </c>
      <c r="CC1090" s="2" t="s">
        <v>248</v>
      </c>
      <c r="CD1090" s="2" t="s">
        <v>248</v>
      </c>
      <c r="CE1090" s="2" t="s">
        <v>235</v>
      </c>
      <c r="CF1090" s="4">
        <v>259</v>
      </c>
      <c r="CG1090" s="4"/>
      <c r="CH1090" s="4"/>
      <c r="CI1090" s="4">
        <v>89</v>
      </c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>
        <v>360</v>
      </c>
      <c r="GE1090" s="4">
        <v>349</v>
      </c>
      <c r="GF1090" s="4">
        <v>346</v>
      </c>
      <c r="GG1090" s="4">
        <v>343</v>
      </c>
      <c r="GH1090" s="4">
        <v>340</v>
      </c>
      <c r="GI1090" s="4">
        <v>337</v>
      </c>
      <c r="GJ1090" s="4">
        <v>323</v>
      </c>
      <c r="GK1090" s="4">
        <v>314</v>
      </c>
      <c r="GL1090" s="4">
        <v>306</v>
      </c>
      <c r="GM1090" s="4">
        <v>301</v>
      </c>
      <c r="GN1090" s="4">
        <v>292</v>
      </c>
      <c r="GO1090" s="4">
        <v>282</v>
      </c>
      <c r="GP1090" s="4">
        <v>272</v>
      </c>
      <c r="GQ1090" s="4">
        <v>260</v>
      </c>
      <c r="GR1090" s="4">
        <v>248</v>
      </c>
      <c r="GS1090" s="4">
        <v>240</v>
      </c>
      <c r="GT1090" s="4">
        <v>233</v>
      </c>
      <c r="GU1090" s="4">
        <v>226</v>
      </c>
      <c r="GV1090" s="4">
        <v>218</v>
      </c>
      <c r="GW1090" s="4">
        <v>211</v>
      </c>
      <c r="GX1090" s="4">
        <v>204</v>
      </c>
      <c r="GY1090" s="4">
        <v>197</v>
      </c>
      <c r="GZ1090" s="4">
        <v>190</v>
      </c>
      <c r="HA1090" s="4">
        <v>183</v>
      </c>
      <c r="HB1090" s="4">
        <v>176</v>
      </c>
      <c r="HC1090" s="4">
        <v>169</v>
      </c>
      <c r="HD1090" s="19">
        <v>67.7</v>
      </c>
      <c r="HE1090" s="19">
        <v>109</v>
      </c>
      <c r="HF1090" s="19">
        <v>54</v>
      </c>
      <c r="HG1090" s="19">
        <v>46.4</v>
      </c>
      <c r="HH1090" s="19">
        <v>36.1</v>
      </c>
      <c r="HI1090" s="19">
        <v>35.8</v>
      </c>
      <c r="HJ1090" s="19">
        <v>37.5</v>
      </c>
      <c r="HK1090" s="19">
        <v>36.3</v>
      </c>
      <c r="HL1090" s="19">
        <v>35.3</v>
      </c>
      <c r="HM1090" s="19">
        <v>27.9</v>
      </c>
      <c r="HN1090" s="19">
        <v>27.1</v>
      </c>
      <c r="HO1090" s="19">
        <v>26.1</v>
      </c>
      <c r="HP1090" s="19">
        <v>25.1</v>
      </c>
      <c r="HQ1090" s="19">
        <v>27.3</v>
      </c>
      <c r="HR1090" s="19">
        <v>33</v>
      </c>
      <c r="HS1090" s="19">
        <v>31.9</v>
      </c>
      <c r="HT1090" s="19">
        <v>30.9</v>
      </c>
      <c r="HU1090" s="19">
        <v>29.9</v>
      </c>
      <c r="HV1090" s="19">
        <v>28.8</v>
      </c>
      <c r="HW1090" s="19">
        <v>27.8</v>
      </c>
      <c r="HX1090" s="19">
        <v>26.8</v>
      </c>
      <c r="HY1090" s="19">
        <v>25.8</v>
      </c>
      <c r="HZ1090" s="19">
        <v>24.8</v>
      </c>
      <c r="IA1090" s="19">
        <v>23.8</v>
      </c>
      <c r="IB1090" s="19">
        <v>22.8</v>
      </c>
      <c r="IC1090" s="19">
        <v>21.8</v>
      </c>
    </row>
    <row r="1091">
      <c r="A1091" s="2" t="s">
        <v>4327</v>
      </c>
      <c r="B1091" s="2" t="s">
        <v>871</v>
      </c>
      <c r="C1091" s="2" t="s">
        <v>606</v>
      </c>
      <c r="D1091" s="2" t="s">
        <v>361</v>
      </c>
      <c r="E1091" s="2" t="s">
        <v>872</v>
      </c>
      <c r="F1091" s="2" t="s">
        <v>4323</v>
      </c>
      <c r="G1091" s="2" t="s">
        <v>4324</v>
      </c>
      <c r="H1091" s="2" t="s">
        <v>4325</v>
      </c>
      <c r="I1091" s="2" t="s">
        <v>924</v>
      </c>
      <c r="J1091" s="2" t="s">
        <v>365</v>
      </c>
      <c r="K1091" s="2" t="s">
        <v>612</v>
      </c>
      <c r="L1091" s="3">
        <v>31.5</v>
      </c>
      <c r="M1091" s="3">
        <v>33.08</v>
      </c>
      <c r="N1091" s="3">
        <v>64.99</v>
      </c>
      <c r="O1091" s="2" t="s">
        <v>232</v>
      </c>
      <c r="P1091" s="2" t="s">
        <v>878</v>
      </c>
      <c r="Q1091" s="2" t="s">
        <v>234</v>
      </c>
      <c r="R1091" s="2" t="s">
        <v>235</v>
      </c>
      <c r="S1091" s="2" t="s">
        <v>235</v>
      </c>
      <c r="T1091" s="2" t="s">
        <v>879</v>
      </c>
      <c r="U1091" s="2" t="s">
        <v>552</v>
      </c>
      <c r="V1091" s="2" t="s">
        <v>986</v>
      </c>
      <c r="W1091" s="2" t="s">
        <v>986</v>
      </c>
      <c r="X1091" s="2" t="s">
        <v>235</v>
      </c>
      <c r="Y1091" s="2" t="s">
        <v>1321</v>
      </c>
      <c r="Z1091" s="4">
        <v>749</v>
      </c>
      <c r="AA1091" s="4">
        <f>=ROUNDDOWN(136.181818181818,0)</f>
      </c>
      <c r="AB1091" s="5">
        <v>5.5</v>
      </c>
      <c r="AC1091" s="2" t="s">
        <v>235</v>
      </c>
      <c r="AD1091" s="4"/>
      <c r="AE1091" s="4"/>
      <c r="AF1091" s="6">
        <v>63</v>
      </c>
      <c r="AG1091" s="6">
        <v>46</v>
      </c>
      <c r="AH1091" s="7">
        <v>1</v>
      </c>
      <c r="AI1091" s="4"/>
      <c r="AJ1091" s="4">
        <f>=ROUNDDOWN({0},0)</f>
      </c>
      <c r="AK1091" s="5"/>
      <c r="AL1091" s="2" t="s">
        <v>235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235</v>
      </c>
      <c r="AW1091" s="8" t="s">
        <v>235</v>
      </c>
      <c r="AX1091" s="4" t="s">
        <v>235</v>
      </c>
      <c r="AY1091" s="8" t="s">
        <v>235</v>
      </c>
      <c r="AZ1091" s="7" t="s">
        <v>235</v>
      </c>
      <c r="BA1091" s="7" t="s">
        <v>235</v>
      </c>
      <c r="BB1091" s="7"/>
      <c r="BC1091" s="4" t="s">
        <v>235</v>
      </c>
      <c r="BD1091" s="8" t="s">
        <v>235</v>
      </c>
      <c r="BE1091" s="4" t="s">
        <v>235</v>
      </c>
      <c r="BF1091" s="8" t="s">
        <v>235</v>
      </c>
      <c r="BG1091" s="7" t="s">
        <v>235</v>
      </c>
      <c r="BH1091" s="7" t="s">
        <v>235</v>
      </c>
      <c r="BI1091" s="7"/>
      <c r="BJ1091" s="4">
        <v>16</v>
      </c>
      <c r="BK1091" s="8">
        <v>585.13</v>
      </c>
      <c r="BL1091" s="2" t="s">
        <v>4328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4326</v>
      </c>
      <c r="BV1091" s="2" t="s">
        <v>235</v>
      </c>
      <c r="BW1091" s="2" t="s">
        <v>235</v>
      </c>
      <c r="BX1091" s="2" t="s">
        <v>619</v>
      </c>
      <c r="BY1091" s="2" t="s">
        <v>245</v>
      </c>
      <c r="BZ1091" s="2" t="s">
        <v>232</v>
      </c>
      <c r="CA1091" s="2" t="s">
        <v>235</v>
      </c>
      <c r="CB1091" s="2" t="s">
        <v>235</v>
      </c>
      <c r="CC1091" s="2" t="s">
        <v>248</v>
      </c>
      <c r="CD1091" s="2" t="s">
        <v>248</v>
      </c>
      <c r="CE1091" s="2" t="s">
        <v>235</v>
      </c>
      <c r="CF1091" s="4">
        <v>536</v>
      </c>
      <c r="CG1091" s="4"/>
      <c r="CH1091" s="4"/>
      <c r="CI1091" s="4">
        <v>213</v>
      </c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>
        <v>759</v>
      </c>
      <c r="GE1091" s="4">
        <v>750</v>
      </c>
      <c r="GF1091" s="4">
        <v>745</v>
      </c>
      <c r="GG1091" s="4">
        <v>740</v>
      </c>
      <c r="GH1091" s="4">
        <v>735</v>
      </c>
      <c r="GI1091" s="4">
        <v>730</v>
      </c>
      <c r="GJ1091" s="4">
        <v>725</v>
      </c>
      <c r="GK1091" s="4">
        <v>720</v>
      </c>
      <c r="GL1091" s="4">
        <v>715</v>
      </c>
      <c r="GM1091" s="4">
        <v>710</v>
      </c>
      <c r="GN1091" s="4">
        <v>703</v>
      </c>
      <c r="GO1091" s="4">
        <v>695</v>
      </c>
      <c r="GP1091" s="4">
        <v>684</v>
      </c>
      <c r="GQ1091" s="4">
        <v>671</v>
      </c>
      <c r="GR1091" s="4">
        <v>661</v>
      </c>
      <c r="GS1091" s="4">
        <v>654</v>
      </c>
      <c r="GT1091" s="4">
        <v>648</v>
      </c>
      <c r="GU1091" s="4">
        <v>642</v>
      </c>
      <c r="GV1091" s="4">
        <v>636</v>
      </c>
      <c r="GW1091" s="4">
        <v>631</v>
      </c>
      <c r="GX1091" s="4">
        <v>626</v>
      </c>
      <c r="GY1091" s="4">
        <v>621</v>
      </c>
      <c r="GZ1091" s="4">
        <v>616</v>
      </c>
      <c r="HA1091" s="4">
        <v>611</v>
      </c>
      <c r="HB1091" s="4">
        <v>605</v>
      </c>
      <c r="HC1091" s="4">
        <v>598</v>
      </c>
      <c r="HD1091" s="19">
        <v>121.9</v>
      </c>
      <c r="HE1091" s="19">
        <v>142.8</v>
      </c>
      <c r="HF1091" s="19">
        <v>141.8</v>
      </c>
      <c r="HG1091" s="19">
        <v>140.8</v>
      </c>
      <c r="HH1091" s="19">
        <v>139.8</v>
      </c>
      <c r="HI1091" s="19">
        <v>138.8</v>
      </c>
      <c r="HJ1091" s="19">
        <v>137.8</v>
      </c>
      <c r="HK1091" s="19">
        <v>115.2</v>
      </c>
      <c r="HL1091" s="19">
        <v>84.8</v>
      </c>
      <c r="HM1091" s="19">
        <v>67.4</v>
      </c>
      <c r="HN1091" s="19">
        <v>66.7</v>
      </c>
      <c r="HO1091" s="19">
        <v>65.9</v>
      </c>
      <c r="HP1091" s="19">
        <v>64.8</v>
      </c>
      <c r="HQ1091" s="19">
        <v>91.5</v>
      </c>
      <c r="HR1091" s="19">
        <v>104.9</v>
      </c>
      <c r="HS1091" s="19">
        <v>103.7</v>
      </c>
      <c r="HT1091" s="19">
        <v>102.7</v>
      </c>
      <c r="HU1091" s="19">
        <v>121.3</v>
      </c>
      <c r="HV1091" s="19">
        <v>120.1</v>
      </c>
      <c r="HW1091" s="19">
        <v>119.1</v>
      </c>
      <c r="HX1091" s="19">
        <v>118.1</v>
      </c>
      <c r="HY1091" s="19">
        <v>98</v>
      </c>
      <c r="HZ1091" s="19">
        <v>97.2</v>
      </c>
      <c r="IA1091" s="19">
        <v>96.3</v>
      </c>
      <c r="IB1091" s="19">
        <v>95.3</v>
      </c>
      <c r="IC1091" s="19">
        <v>94.2</v>
      </c>
    </row>
    <row r="1092">
      <c r="A1092" s="2" t="s">
        <v>4329</v>
      </c>
      <c r="B1092" s="2" t="s">
        <v>871</v>
      </c>
      <c r="C1092" s="2" t="s">
        <v>606</v>
      </c>
      <c r="D1092" s="2" t="s">
        <v>361</v>
      </c>
      <c r="E1092" s="2" t="s">
        <v>872</v>
      </c>
      <c r="F1092" s="2" t="s">
        <v>4323</v>
      </c>
      <c r="G1092" s="2" t="s">
        <v>4324</v>
      </c>
      <c r="H1092" s="2" t="s">
        <v>4325</v>
      </c>
      <c r="I1092" s="2" t="s">
        <v>924</v>
      </c>
      <c r="J1092" s="2" t="s">
        <v>372</v>
      </c>
      <c r="K1092" s="2" t="s">
        <v>612</v>
      </c>
      <c r="L1092" s="3">
        <v>36.69</v>
      </c>
      <c r="M1092" s="3">
        <v>38.52</v>
      </c>
      <c r="N1092" s="3">
        <v>79.99</v>
      </c>
      <c r="O1092" s="2" t="s">
        <v>232</v>
      </c>
      <c r="P1092" s="2" t="s">
        <v>878</v>
      </c>
      <c r="Q1092" s="2" t="s">
        <v>234</v>
      </c>
      <c r="R1092" s="2" t="s">
        <v>235</v>
      </c>
      <c r="S1092" s="2" t="s">
        <v>235</v>
      </c>
      <c r="T1092" s="2" t="s">
        <v>879</v>
      </c>
      <c r="U1092" s="2" t="s">
        <v>552</v>
      </c>
      <c r="V1092" s="2" t="s">
        <v>986</v>
      </c>
      <c r="W1092" s="2" t="s">
        <v>986</v>
      </c>
      <c r="X1092" s="2" t="s">
        <v>235</v>
      </c>
      <c r="Y1092" s="2" t="s">
        <v>1321</v>
      </c>
      <c r="Z1092" s="4">
        <v>494</v>
      </c>
      <c r="AA1092" s="4">
        <f>=ROUNDDOWN(69.5774647887324,0)</f>
      </c>
      <c r="AB1092" s="5">
        <v>7.1</v>
      </c>
      <c r="AC1092" s="2" t="s">
        <v>235</v>
      </c>
      <c r="AD1092" s="4"/>
      <c r="AE1092" s="4"/>
      <c r="AF1092" s="6">
        <v>63</v>
      </c>
      <c r="AG1092" s="6">
        <v>46</v>
      </c>
      <c r="AH1092" s="7">
        <v>1</v>
      </c>
      <c r="AI1092" s="4"/>
      <c r="AJ1092" s="4">
        <f>=ROUNDDOWN({0},0)</f>
      </c>
      <c r="AK1092" s="5"/>
      <c r="AL1092" s="2" t="s">
        <v>235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235</v>
      </c>
      <c r="AW1092" s="8" t="s">
        <v>235</v>
      </c>
      <c r="AX1092" s="4" t="s">
        <v>235</v>
      </c>
      <c r="AY1092" s="8" t="s">
        <v>235</v>
      </c>
      <c r="AZ1092" s="7" t="s">
        <v>235</v>
      </c>
      <c r="BA1092" s="7" t="s">
        <v>235</v>
      </c>
      <c r="BB1092" s="7"/>
      <c r="BC1092" s="4" t="s">
        <v>235</v>
      </c>
      <c r="BD1092" s="8" t="s">
        <v>235</v>
      </c>
      <c r="BE1092" s="4" t="s">
        <v>235</v>
      </c>
      <c r="BF1092" s="8" t="s">
        <v>235</v>
      </c>
      <c r="BG1092" s="7" t="s">
        <v>235</v>
      </c>
      <c r="BH1092" s="7" t="s">
        <v>235</v>
      </c>
      <c r="BI1092" s="7"/>
      <c r="BJ1092" s="4">
        <v>14</v>
      </c>
      <c r="BK1092" s="8">
        <v>595.46</v>
      </c>
      <c r="BL1092" s="2" t="s">
        <v>592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4326</v>
      </c>
      <c r="BV1092" s="2" t="s">
        <v>235</v>
      </c>
      <c r="BW1092" s="2" t="s">
        <v>235</v>
      </c>
      <c r="BX1092" s="2" t="s">
        <v>619</v>
      </c>
      <c r="BY1092" s="2" t="s">
        <v>245</v>
      </c>
      <c r="BZ1092" s="2" t="s">
        <v>232</v>
      </c>
      <c r="CA1092" s="2" t="s">
        <v>235</v>
      </c>
      <c r="CB1092" s="2" t="s">
        <v>235</v>
      </c>
      <c r="CC1092" s="2" t="s">
        <v>248</v>
      </c>
      <c r="CD1092" s="2" t="s">
        <v>248</v>
      </c>
      <c r="CE1092" s="2" t="s">
        <v>235</v>
      </c>
      <c r="CF1092" s="4">
        <v>360</v>
      </c>
      <c r="CG1092" s="4"/>
      <c r="CH1092" s="4"/>
      <c r="CI1092" s="4">
        <v>134</v>
      </c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>
        <v>495</v>
      </c>
      <c r="GE1092" s="4">
        <v>487</v>
      </c>
      <c r="GF1092" s="4">
        <v>481</v>
      </c>
      <c r="GG1092" s="4">
        <v>475</v>
      </c>
      <c r="GH1092" s="4">
        <v>469</v>
      </c>
      <c r="GI1092" s="4">
        <v>463</v>
      </c>
      <c r="GJ1092" s="4">
        <v>457</v>
      </c>
      <c r="GK1092" s="4">
        <v>451</v>
      </c>
      <c r="GL1092" s="4">
        <v>445</v>
      </c>
      <c r="GM1092" s="4">
        <v>439</v>
      </c>
      <c r="GN1092" s="4">
        <v>432</v>
      </c>
      <c r="GO1092" s="4">
        <v>424</v>
      </c>
      <c r="GP1092" s="4">
        <v>412</v>
      </c>
      <c r="GQ1092" s="4">
        <v>398</v>
      </c>
      <c r="GR1092" s="4">
        <v>386</v>
      </c>
      <c r="GS1092" s="4">
        <v>379</v>
      </c>
      <c r="GT1092" s="4">
        <v>372</v>
      </c>
      <c r="GU1092" s="4">
        <v>365</v>
      </c>
      <c r="GV1092" s="4">
        <v>359</v>
      </c>
      <c r="GW1092" s="4">
        <v>353</v>
      </c>
      <c r="GX1092" s="4">
        <v>345</v>
      </c>
      <c r="GY1092" s="4">
        <v>337</v>
      </c>
      <c r="GZ1092" s="4">
        <v>329</v>
      </c>
      <c r="HA1092" s="4">
        <v>321</v>
      </c>
      <c r="HB1092" s="4">
        <v>313</v>
      </c>
      <c r="HC1092" s="4">
        <v>304</v>
      </c>
      <c r="HD1092" s="19">
        <v>78.7</v>
      </c>
      <c r="HE1092" s="19">
        <v>77.4</v>
      </c>
      <c r="HF1092" s="19">
        <v>76.4</v>
      </c>
      <c r="HG1092" s="19">
        <v>75.4</v>
      </c>
      <c r="HH1092" s="19">
        <v>74.4</v>
      </c>
      <c r="HI1092" s="19">
        <v>73.4</v>
      </c>
      <c r="HJ1092" s="19">
        <v>72.4</v>
      </c>
      <c r="HK1092" s="19">
        <v>71.4</v>
      </c>
      <c r="HL1092" s="19">
        <v>46.9</v>
      </c>
      <c r="HM1092" s="19">
        <v>37.6</v>
      </c>
      <c r="HN1092" s="19">
        <v>34.2</v>
      </c>
      <c r="HO1092" s="19">
        <v>33.5</v>
      </c>
      <c r="HP1092" s="19">
        <v>39.7</v>
      </c>
      <c r="HQ1092" s="19">
        <v>50.2</v>
      </c>
      <c r="HR1092" s="19">
        <v>53.3</v>
      </c>
      <c r="HS1092" s="19">
        <v>59.4</v>
      </c>
      <c r="HT1092" s="19">
        <v>58.3</v>
      </c>
      <c r="HU1092" s="19">
        <v>57.2</v>
      </c>
      <c r="HV1092" s="19">
        <v>41.9</v>
      </c>
      <c r="HW1092" s="19">
        <v>41.2</v>
      </c>
      <c r="HX1092" s="19">
        <v>40.2</v>
      </c>
      <c r="HY1092" s="19">
        <v>39.2</v>
      </c>
      <c r="HZ1092" s="19">
        <v>38.2</v>
      </c>
      <c r="IA1092" s="19">
        <v>37.2</v>
      </c>
      <c r="IB1092" s="19">
        <v>36.2</v>
      </c>
      <c r="IC1092" s="19">
        <v>35.1</v>
      </c>
    </row>
    <row r="1093">
      <c r="A1093" s="2" t="s">
        <v>4330</v>
      </c>
      <c r="B1093" s="2" t="s">
        <v>871</v>
      </c>
      <c r="C1093" s="2" t="s">
        <v>606</v>
      </c>
      <c r="D1093" s="2" t="s">
        <v>361</v>
      </c>
      <c r="E1093" s="2" t="s">
        <v>872</v>
      </c>
      <c r="F1093" s="2" t="s">
        <v>4323</v>
      </c>
      <c r="G1093" s="2" t="s">
        <v>4324</v>
      </c>
      <c r="H1093" s="2" t="s">
        <v>4325</v>
      </c>
      <c r="I1093" s="2" t="s">
        <v>924</v>
      </c>
      <c r="J1093" s="2" t="s">
        <v>877</v>
      </c>
      <c r="K1093" s="2" t="s">
        <v>889</v>
      </c>
      <c r="L1093" s="3">
        <v>26.12</v>
      </c>
      <c r="M1093" s="3">
        <v>27.43</v>
      </c>
      <c r="N1093" s="3">
        <v>54.99</v>
      </c>
      <c r="O1093" s="2" t="s">
        <v>232</v>
      </c>
      <c r="P1093" s="2" t="s">
        <v>878</v>
      </c>
      <c r="Q1093" s="2" t="s">
        <v>234</v>
      </c>
      <c r="R1093" s="2" t="s">
        <v>235</v>
      </c>
      <c r="S1093" s="2" t="s">
        <v>235</v>
      </c>
      <c r="T1093" s="2" t="s">
        <v>879</v>
      </c>
      <c r="U1093" s="2" t="s">
        <v>278</v>
      </c>
      <c r="V1093" s="2" t="s">
        <v>986</v>
      </c>
      <c r="W1093" s="2" t="s">
        <v>986</v>
      </c>
      <c r="X1093" s="2" t="s">
        <v>235</v>
      </c>
      <c r="Y1093" s="2" t="s">
        <v>1321</v>
      </c>
      <c r="Z1093" s="4">
        <v>260</v>
      </c>
      <c r="AA1093" s="4">
        <f>=ROUNDDOWN(68.4210526315789,0)</f>
      </c>
      <c r="AB1093" s="5">
        <v>3.8</v>
      </c>
      <c r="AC1093" s="2" t="s">
        <v>235</v>
      </c>
      <c r="AD1093" s="4"/>
      <c r="AE1093" s="4"/>
      <c r="AF1093" s="6">
        <v>63</v>
      </c>
      <c r="AG1093" s="6">
        <v>46</v>
      </c>
      <c r="AH1093" s="7">
        <v>1</v>
      </c>
      <c r="AI1093" s="4"/>
      <c r="AJ1093" s="4">
        <f>=ROUNDDOWN({0},0)</f>
      </c>
      <c r="AK1093" s="5"/>
      <c r="AL1093" s="2" t="s">
        <v>235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235</v>
      </c>
      <c r="AW1093" s="8" t="s">
        <v>235</v>
      </c>
      <c r="AX1093" s="4" t="s">
        <v>235</v>
      </c>
      <c r="AY1093" s="8" t="s">
        <v>235</v>
      </c>
      <c r="AZ1093" s="7" t="s">
        <v>235</v>
      </c>
      <c r="BA1093" s="7" t="s">
        <v>235</v>
      </c>
      <c r="BB1093" s="7"/>
      <c r="BC1093" s="4" t="s">
        <v>235</v>
      </c>
      <c r="BD1093" s="8" t="s">
        <v>235</v>
      </c>
      <c r="BE1093" s="4" t="s">
        <v>235</v>
      </c>
      <c r="BF1093" s="8" t="s">
        <v>235</v>
      </c>
      <c r="BG1093" s="7" t="s">
        <v>235</v>
      </c>
      <c r="BH1093" s="7" t="s">
        <v>235</v>
      </c>
      <c r="BI1093" s="7"/>
      <c r="BJ1093" s="4">
        <v>16</v>
      </c>
      <c r="BK1093" s="8">
        <v>488.28</v>
      </c>
      <c r="BL1093" s="2" t="s">
        <v>2844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4326</v>
      </c>
      <c r="BV1093" s="2" t="s">
        <v>235</v>
      </c>
      <c r="BW1093" s="2" t="s">
        <v>235</v>
      </c>
      <c r="BX1093" s="2" t="s">
        <v>619</v>
      </c>
      <c r="BY1093" s="2" t="s">
        <v>245</v>
      </c>
      <c r="BZ1093" s="2" t="s">
        <v>232</v>
      </c>
      <c r="CA1093" s="2" t="s">
        <v>235</v>
      </c>
      <c r="CB1093" s="2" t="s">
        <v>235</v>
      </c>
      <c r="CC1093" s="2" t="s">
        <v>248</v>
      </c>
      <c r="CD1093" s="2" t="s">
        <v>248</v>
      </c>
      <c r="CE1093" s="2" t="s">
        <v>235</v>
      </c>
      <c r="CF1093" s="4">
        <v>172</v>
      </c>
      <c r="CG1093" s="4"/>
      <c r="CH1093" s="4"/>
      <c r="CI1093" s="4">
        <v>88</v>
      </c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>
        <v>260</v>
      </c>
      <c r="GE1093" s="4">
        <v>258</v>
      </c>
      <c r="GF1093" s="4">
        <v>256</v>
      </c>
      <c r="GG1093" s="4">
        <v>254</v>
      </c>
      <c r="GH1093" s="4">
        <v>252</v>
      </c>
      <c r="GI1093" s="4">
        <v>250</v>
      </c>
      <c r="GJ1093" s="4">
        <v>248</v>
      </c>
      <c r="GK1093" s="4">
        <v>246</v>
      </c>
      <c r="GL1093" s="4">
        <v>244</v>
      </c>
      <c r="GM1093" s="4">
        <v>242</v>
      </c>
      <c r="GN1093" s="4">
        <v>239</v>
      </c>
      <c r="GO1093" s="4">
        <v>236</v>
      </c>
      <c r="GP1093" s="4">
        <v>232</v>
      </c>
      <c r="GQ1093" s="4">
        <v>227</v>
      </c>
      <c r="GR1093" s="4">
        <v>223</v>
      </c>
      <c r="GS1093" s="4">
        <v>220</v>
      </c>
      <c r="GT1093" s="4">
        <v>218</v>
      </c>
      <c r="GU1093" s="4">
        <v>216</v>
      </c>
      <c r="GV1093" s="4">
        <v>214</v>
      </c>
      <c r="GW1093" s="4">
        <v>212</v>
      </c>
      <c r="GX1093" s="4">
        <v>210</v>
      </c>
      <c r="GY1093" s="4">
        <v>208</v>
      </c>
      <c r="GZ1093" s="4">
        <v>206</v>
      </c>
      <c r="HA1093" s="4">
        <v>204</v>
      </c>
      <c r="HB1093" s="4">
        <v>202</v>
      </c>
      <c r="HC1093" s="4">
        <v>200</v>
      </c>
      <c r="HD1093" s="19">
        <v>43</v>
      </c>
      <c r="HE1093" s="19">
        <v>42.5</v>
      </c>
      <c r="HF1093" s="19">
        <v>42</v>
      </c>
      <c r="HG1093" s="19">
        <v>41.5</v>
      </c>
      <c r="HH1093" s="19">
        <v>41</v>
      </c>
      <c r="HI1093" s="19">
        <v>40.5</v>
      </c>
      <c r="HJ1093" s="19">
        <v>40</v>
      </c>
      <c r="HK1093" s="19">
        <v>39.5</v>
      </c>
      <c r="HL1093" s="19">
        <v>26</v>
      </c>
      <c r="HM1093" s="19">
        <v>19.3</v>
      </c>
      <c r="HN1093" s="19">
        <v>18.9</v>
      </c>
      <c r="HO1093" s="19">
        <v>18.5</v>
      </c>
      <c r="HP1093" s="19">
        <v>18</v>
      </c>
      <c r="HQ1093" s="19">
        <v>23.2</v>
      </c>
      <c r="HR1093" s="19">
        <v>33.8</v>
      </c>
      <c r="HS1093" s="19">
        <v>33</v>
      </c>
      <c r="HT1093" s="19">
        <v>32.5</v>
      </c>
      <c r="HU1093" s="19">
        <v>32</v>
      </c>
      <c r="HV1093" s="19">
        <v>31.5</v>
      </c>
      <c r="HW1093" s="19">
        <v>31</v>
      </c>
      <c r="HX1093" s="19">
        <v>30.5</v>
      </c>
      <c r="HY1093" s="19">
        <v>30</v>
      </c>
      <c r="HZ1093" s="19">
        <v>29.5</v>
      </c>
      <c r="IA1093" s="19">
        <v>29</v>
      </c>
      <c r="IB1093" s="19">
        <v>28.5</v>
      </c>
      <c r="IC1093" s="19">
        <v>28</v>
      </c>
    </row>
    <row r="1094">
      <c r="A1094" s="2" t="s">
        <v>4331</v>
      </c>
      <c r="B1094" s="2" t="s">
        <v>871</v>
      </c>
      <c r="C1094" s="2" t="s">
        <v>606</v>
      </c>
      <c r="D1094" s="2" t="s">
        <v>361</v>
      </c>
      <c r="E1094" s="2" t="s">
        <v>872</v>
      </c>
      <c r="F1094" s="2" t="s">
        <v>4323</v>
      </c>
      <c r="G1094" s="2" t="s">
        <v>4324</v>
      </c>
      <c r="H1094" s="2" t="s">
        <v>4325</v>
      </c>
      <c r="I1094" s="2" t="s">
        <v>924</v>
      </c>
      <c r="J1094" s="2" t="s">
        <v>365</v>
      </c>
      <c r="K1094" s="2" t="s">
        <v>889</v>
      </c>
      <c r="L1094" s="3">
        <v>31.5</v>
      </c>
      <c r="M1094" s="3">
        <v>33.08</v>
      </c>
      <c r="N1094" s="3">
        <v>64.99</v>
      </c>
      <c r="O1094" s="2" t="s">
        <v>232</v>
      </c>
      <c r="P1094" s="2" t="s">
        <v>878</v>
      </c>
      <c r="Q1094" s="2" t="s">
        <v>234</v>
      </c>
      <c r="R1094" s="2" t="s">
        <v>235</v>
      </c>
      <c r="S1094" s="2" t="s">
        <v>235</v>
      </c>
      <c r="T1094" s="2" t="s">
        <v>879</v>
      </c>
      <c r="U1094" s="2" t="s">
        <v>552</v>
      </c>
      <c r="V1094" s="2" t="s">
        <v>986</v>
      </c>
      <c r="W1094" s="2" t="s">
        <v>986</v>
      </c>
      <c r="X1094" s="2" t="s">
        <v>235</v>
      </c>
      <c r="Y1094" s="2" t="s">
        <v>1321</v>
      </c>
      <c r="Z1094" s="4">
        <v>487</v>
      </c>
      <c r="AA1094" s="4">
        <f>=ROUNDDOWN(157.096774193548,0)</f>
      </c>
      <c r="AB1094" s="5">
        <v>3.1</v>
      </c>
      <c r="AC1094" s="2" t="s">
        <v>235</v>
      </c>
      <c r="AD1094" s="4"/>
      <c r="AE1094" s="4"/>
      <c r="AF1094" s="6">
        <v>63</v>
      </c>
      <c r="AG1094" s="6">
        <v>46</v>
      </c>
      <c r="AH1094" s="7">
        <v>1</v>
      </c>
      <c r="AI1094" s="4"/>
      <c r="AJ1094" s="4">
        <f>=ROUNDDOWN({0},0)</f>
      </c>
      <c r="AK1094" s="5"/>
      <c r="AL1094" s="2" t="s">
        <v>235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235</v>
      </c>
      <c r="AW1094" s="8" t="s">
        <v>235</v>
      </c>
      <c r="AX1094" s="4" t="s">
        <v>235</v>
      </c>
      <c r="AY1094" s="8" t="s">
        <v>235</v>
      </c>
      <c r="AZ1094" s="7" t="s">
        <v>235</v>
      </c>
      <c r="BA1094" s="7" t="s">
        <v>235</v>
      </c>
      <c r="BB1094" s="7"/>
      <c r="BC1094" s="4" t="s">
        <v>235</v>
      </c>
      <c r="BD1094" s="8" t="s">
        <v>235</v>
      </c>
      <c r="BE1094" s="4" t="s">
        <v>235</v>
      </c>
      <c r="BF1094" s="8" t="s">
        <v>235</v>
      </c>
      <c r="BG1094" s="7" t="s">
        <v>235</v>
      </c>
      <c r="BH1094" s="7" t="s">
        <v>235</v>
      </c>
      <c r="BI1094" s="7"/>
      <c r="BJ1094" s="4">
        <v>12</v>
      </c>
      <c r="BK1094" s="8">
        <v>431.06</v>
      </c>
      <c r="BL1094" s="2" t="s">
        <v>4332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4326</v>
      </c>
      <c r="BV1094" s="2" t="s">
        <v>235</v>
      </c>
      <c r="BW1094" s="2" t="s">
        <v>235</v>
      </c>
      <c r="BX1094" s="2" t="s">
        <v>619</v>
      </c>
      <c r="BY1094" s="2" t="s">
        <v>245</v>
      </c>
      <c r="BZ1094" s="2" t="s">
        <v>232</v>
      </c>
      <c r="CA1094" s="2" t="s">
        <v>235</v>
      </c>
      <c r="CB1094" s="2" t="s">
        <v>2855</v>
      </c>
      <c r="CC1094" s="2" t="s">
        <v>248</v>
      </c>
      <c r="CD1094" s="2" t="s">
        <v>248</v>
      </c>
      <c r="CE1094" s="2" t="s">
        <v>235</v>
      </c>
      <c r="CF1094" s="4">
        <v>347</v>
      </c>
      <c r="CG1094" s="4"/>
      <c r="CH1094" s="4"/>
      <c r="CI1094" s="4">
        <v>140</v>
      </c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>
        <v>489</v>
      </c>
      <c r="GE1094" s="4">
        <v>486</v>
      </c>
      <c r="GF1094" s="4">
        <v>483</v>
      </c>
      <c r="GG1094" s="4">
        <v>480</v>
      </c>
      <c r="GH1094" s="4">
        <v>477</v>
      </c>
      <c r="GI1094" s="4">
        <v>474</v>
      </c>
      <c r="GJ1094" s="4">
        <v>471</v>
      </c>
      <c r="GK1094" s="4">
        <v>468</v>
      </c>
      <c r="GL1094" s="4">
        <v>465</v>
      </c>
      <c r="GM1094" s="4">
        <v>462</v>
      </c>
      <c r="GN1094" s="4">
        <v>458</v>
      </c>
      <c r="GO1094" s="4">
        <v>453</v>
      </c>
      <c r="GP1094" s="4">
        <v>447</v>
      </c>
      <c r="GQ1094" s="4">
        <v>439</v>
      </c>
      <c r="GR1094" s="4">
        <v>433</v>
      </c>
      <c r="GS1094" s="4">
        <v>429</v>
      </c>
      <c r="GT1094" s="4">
        <v>426</v>
      </c>
      <c r="GU1094" s="4">
        <v>423</v>
      </c>
      <c r="GV1094" s="4">
        <v>420</v>
      </c>
      <c r="GW1094" s="4">
        <v>417</v>
      </c>
      <c r="GX1094" s="4">
        <v>414</v>
      </c>
      <c r="GY1094" s="4">
        <v>411</v>
      </c>
      <c r="GZ1094" s="4">
        <v>408</v>
      </c>
      <c r="HA1094" s="4">
        <v>405</v>
      </c>
      <c r="HB1094" s="4">
        <v>402</v>
      </c>
      <c r="HC1094" s="4">
        <v>399</v>
      </c>
      <c r="HD1094" s="19">
        <v>157.3</v>
      </c>
      <c r="HE1094" s="19">
        <v>156.3</v>
      </c>
      <c r="HF1094" s="19">
        <v>155.3</v>
      </c>
      <c r="HG1094" s="19">
        <v>154.3</v>
      </c>
      <c r="HH1094" s="19">
        <v>153.3</v>
      </c>
      <c r="HI1094" s="19">
        <v>152.3</v>
      </c>
      <c r="HJ1094" s="19">
        <v>151.3</v>
      </c>
      <c r="HK1094" s="19">
        <v>150.3</v>
      </c>
      <c r="HL1094" s="19">
        <v>88.5</v>
      </c>
      <c r="HM1094" s="19">
        <v>74.2</v>
      </c>
      <c r="HN1094" s="19">
        <v>73.5</v>
      </c>
      <c r="HO1094" s="19">
        <v>72.7</v>
      </c>
      <c r="HP1094" s="19">
        <v>71.7</v>
      </c>
      <c r="HQ1094" s="19">
        <v>114.2</v>
      </c>
      <c r="HR1094" s="19">
        <v>138.5</v>
      </c>
      <c r="HS1094" s="19">
        <v>137.3</v>
      </c>
      <c r="HT1094" s="19">
        <v>136.3</v>
      </c>
      <c r="HU1094" s="19">
        <v>135.3</v>
      </c>
      <c r="HV1094" s="19">
        <v>134.3</v>
      </c>
      <c r="HW1094" s="19">
        <v>133.3</v>
      </c>
      <c r="HX1094" s="19">
        <v>132.3</v>
      </c>
      <c r="HY1094" s="19">
        <v>131.3</v>
      </c>
      <c r="HZ1094" s="19">
        <v>130.3</v>
      </c>
      <c r="IA1094" s="19">
        <v>129.3</v>
      </c>
      <c r="IB1094" s="19">
        <v>128.3</v>
      </c>
      <c r="IC1094" s="19">
        <v>127.3</v>
      </c>
    </row>
    <row r="1095">
      <c r="A1095" s="2" t="s">
        <v>4333</v>
      </c>
      <c r="B1095" s="2" t="s">
        <v>871</v>
      </c>
      <c r="C1095" s="2" t="s">
        <v>606</v>
      </c>
      <c r="D1095" s="2" t="s">
        <v>361</v>
      </c>
      <c r="E1095" s="2" t="s">
        <v>872</v>
      </c>
      <c r="F1095" s="2" t="s">
        <v>4323</v>
      </c>
      <c r="G1095" s="2" t="s">
        <v>4324</v>
      </c>
      <c r="H1095" s="2" t="s">
        <v>4325</v>
      </c>
      <c r="I1095" s="2" t="s">
        <v>924</v>
      </c>
      <c r="J1095" s="2" t="s">
        <v>372</v>
      </c>
      <c r="K1095" s="2" t="s">
        <v>889</v>
      </c>
      <c r="L1095" s="3">
        <v>36.69</v>
      </c>
      <c r="M1095" s="3">
        <v>38.52</v>
      </c>
      <c r="N1095" s="3">
        <v>79.99</v>
      </c>
      <c r="O1095" s="2" t="s">
        <v>232</v>
      </c>
      <c r="P1095" s="2" t="s">
        <v>878</v>
      </c>
      <c r="Q1095" s="2" t="s">
        <v>234</v>
      </c>
      <c r="R1095" s="2" t="s">
        <v>235</v>
      </c>
      <c r="S1095" s="2" t="s">
        <v>235</v>
      </c>
      <c r="T1095" s="2" t="s">
        <v>879</v>
      </c>
      <c r="U1095" s="2" t="s">
        <v>552</v>
      </c>
      <c r="V1095" s="2" t="s">
        <v>986</v>
      </c>
      <c r="W1095" s="2" t="s">
        <v>986</v>
      </c>
      <c r="X1095" s="2" t="s">
        <v>235</v>
      </c>
      <c r="Y1095" s="2" t="s">
        <v>1321</v>
      </c>
      <c r="Z1095" s="4">
        <v>374</v>
      </c>
      <c r="AA1095" s="4">
        <f>=ROUNDDOWN(196.842105263158,0)</f>
      </c>
      <c r="AB1095" s="5">
        <v>1.9</v>
      </c>
      <c r="AC1095" s="2" t="s">
        <v>235</v>
      </c>
      <c r="AD1095" s="4"/>
      <c r="AE1095" s="4"/>
      <c r="AF1095" s="6">
        <v>63</v>
      </c>
      <c r="AG1095" s="6">
        <v>46</v>
      </c>
      <c r="AH1095" s="7">
        <v>1</v>
      </c>
      <c r="AI1095" s="4"/>
      <c r="AJ1095" s="4">
        <f>=ROUNDDOWN({0},0)</f>
      </c>
      <c r="AK1095" s="5"/>
      <c r="AL1095" s="2" t="s">
        <v>235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235</v>
      </c>
      <c r="AW1095" s="8" t="s">
        <v>235</v>
      </c>
      <c r="AX1095" s="4" t="s">
        <v>235</v>
      </c>
      <c r="AY1095" s="8" t="s">
        <v>235</v>
      </c>
      <c r="AZ1095" s="7" t="s">
        <v>235</v>
      </c>
      <c r="BA1095" s="7" t="s">
        <v>235</v>
      </c>
      <c r="BB1095" s="7"/>
      <c r="BC1095" s="4" t="s">
        <v>235</v>
      </c>
      <c r="BD1095" s="8" t="s">
        <v>235</v>
      </c>
      <c r="BE1095" s="4" t="s">
        <v>235</v>
      </c>
      <c r="BF1095" s="8" t="s">
        <v>235</v>
      </c>
      <c r="BG1095" s="7" t="s">
        <v>235</v>
      </c>
      <c r="BH1095" s="7" t="s">
        <v>235</v>
      </c>
      <c r="BI1095" s="7"/>
      <c r="BJ1095" s="4">
        <v>1</v>
      </c>
      <c r="BK1095" s="8">
        <v>42.07</v>
      </c>
      <c r="BL1095" s="2" t="s">
        <v>1122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4326</v>
      </c>
      <c r="BV1095" s="2" t="s">
        <v>235</v>
      </c>
      <c r="BW1095" s="2" t="s">
        <v>235</v>
      </c>
      <c r="BX1095" s="2" t="s">
        <v>619</v>
      </c>
      <c r="BY1095" s="2" t="s">
        <v>245</v>
      </c>
      <c r="BZ1095" s="2" t="s">
        <v>232</v>
      </c>
      <c r="CA1095" s="2" t="s">
        <v>235</v>
      </c>
      <c r="CB1095" s="2" t="s">
        <v>235</v>
      </c>
      <c r="CC1095" s="2" t="s">
        <v>248</v>
      </c>
      <c r="CD1095" s="2" t="s">
        <v>248</v>
      </c>
      <c r="CE1095" s="2" t="s">
        <v>235</v>
      </c>
      <c r="CF1095" s="4">
        <v>267</v>
      </c>
      <c r="CG1095" s="4"/>
      <c r="CH1095" s="4"/>
      <c r="CI1095" s="4">
        <v>107</v>
      </c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>
        <v>374</v>
      </c>
      <c r="GE1095" s="4">
        <v>372</v>
      </c>
      <c r="GF1095" s="4">
        <v>370</v>
      </c>
      <c r="GG1095" s="4">
        <v>368</v>
      </c>
      <c r="GH1095" s="4">
        <v>366</v>
      </c>
      <c r="GI1095" s="4">
        <v>364</v>
      </c>
      <c r="GJ1095" s="4">
        <v>362</v>
      </c>
      <c r="GK1095" s="4">
        <v>360</v>
      </c>
      <c r="GL1095" s="4">
        <v>358</v>
      </c>
      <c r="GM1095" s="4">
        <v>356</v>
      </c>
      <c r="GN1095" s="4">
        <v>354</v>
      </c>
      <c r="GO1095" s="4">
        <v>352</v>
      </c>
      <c r="GP1095" s="4">
        <v>348</v>
      </c>
      <c r="GQ1095" s="4">
        <v>344</v>
      </c>
      <c r="GR1095" s="4">
        <v>340</v>
      </c>
      <c r="GS1095" s="4">
        <v>338</v>
      </c>
      <c r="GT1095" s="4">
        <v>336</v>
      </c>
      <c r="GU1095" s="4">
        <v>334</v>
      </c>
      <c r="GV1095" s="4">
        <v>332</v>
      </c>
      <c r="GW1095" s="4">
        <v>330</v>
      </c>
      <c r="GX1095" s="4">
        <v>328</v>
      </c>
      <c r="GY1095" s="4">
        <v>326</v>
      </c>
      <c r="GZ1095" s="4">
        <v>324</v>
      </c>
      <c r="HA1095" s="4">
        <v>322</v>
      </c>
      <c r="HB1095" s="4">
        <v>320</v>
      </c>
      <c r="HC1095" s="4">
        <v>318</v>
      </c>
      <c r="HD1095" s="19">
        <v>187</v>
      </c>
      <c r="HE1095" s="19">
        <v>186</v>
      </c>
      <c r="HF1095" s="19">
        <v>185</v>
      </c>
      <c r="HG1095" s="19">
        <v>184</v>
      </c>
      <c r="HH1095" s="19">
        <v>183</v>
      </c>
      <c r="HI1095" s="19">
        <v>182</v>
      </c>
      <c r="HJ1095" s="19">
        <v>181</v>
      </c>
      <c r="HK1095" s="19">
        <v>180</v>
      </c>
      <c r="HL1095" s="19">
        <v>179</v>
      </c>
      <c r="HM1095" s="19">
        <v>89</v>
      </c>
      <c r="HN1095" s="19">
        <v>88.5</v>
      </c>
      <c r="HO1095" s="19">
        <v>88</v>
      </c>
      <c r="HP1095" s="19">
        <v>87</v>
      </c>
      <c r="HQ1095" s="19">
        <v>172</v>
      </c>
      <c r="HR1095" s="19">
        <v>170</v>
      </c>
      <c r="HS1095" s="19">
        <v>169</v>
      </c>
      <c r="HT1095" s="19">
        <v>168</v>
      </c>
      <c r="HU1095" s="19">
        <v>167</v>
      </c>
      <c r="HV1095" s="19">
        <v>166</v>
      </c>
      <c r="HW1095" s="19">
        <v>165</v>
      </c>
      <c r="HX1095" s="19">
        <v>164</v>
      </c>
      <c r="HY1095" s="19">
        <v>163</v>
      </c>
      <c r="HZ1095" s="19">
        <v>162</v>
      </c>
      <c r="IA1095" s="19">
        <v>161</v>
      </c>
      <c r="IB1095" s="19">
        <v>160</v>
      </c>
      <c r="IC1095" s="19">
        <v>159</v>
      </c>
    </row>
    <row r="1096">
      <c r="A1096" s="2" t="s">
        <v>4334</v>
      </c>
      <c r="B1096" s="2" t="s">
        <v>871</v>
      </c>
      <c r="C1096" s="2" t="s">
        <v>606</v>
      </c>
      <c r="D1096" s="2" t="s">
        <v>361</v>
      </c>
      <c r="E1096" s="2" t="s">
        <v>872</v>
      </c>
      <c r="F1096" s="2" t="s">
        <v>4323</v>
      </c>
      <c r="G1096" s="2" t="s">
        <v>4324</v>
      </c>
      <c r="H1096" s="2" t="s">
        <v>4325</v>
      </c>
      <c r="I1096" s="2" t="s">
        <v>924</v>
      </c>
      <c r="J1096" s="2" t="s">
        <v>877</v>
      </c>
      <c r="K1096" s="2" t="s">
        <v>1172</v>
      </c>
      <c r="L1096" s="3">
        <v>26.12</v>
      </c>
      <c r="M1096" s="3">
        <v>27.43</v>
      </c>
      <c r="N1096" s="3">
        <v>54.99</v>
      </c>
      <c r="O1096" s="2" t="s">
        <v>232</v>
      </c>
      <c r="P1096" s="2" t="s">
        <v>878</v>
      </c>
      <c r="Q1096" s="2" t="s">
        <v>234</v>
      </c>
      <c r="R1096" s="2" t="s">
        <v>235</v>
      </c>
      <c r="S1096" s="2" t="s">
        <v>235</v>
      </c>
      <c r="T1096" s="2" t="s">
        <v>879</v>
      </c>
      <c r="U1096" s="2" t="s">
        <v>278</v>
      </c>
      <c r="V1096" s="2" t="s">
        <v>986</v>
      </c>
      <c r="W1096" s="2" t="s">
        <v>986</v>
      </c>
      <c r="X1096" s="2" t="s">
        <v>235</v>
      </c>
      <c r="Y1096" s="2" t="s">
        <v>1321</v>
      </c>
      <c r="Z1096" s="4">
        <v>138</v>
      </c>
      <c r="AA1096" s="4">
        <f>=ROUNDDOWN(10.2222222222222,0)</f>
      </c>
      <c r="AB1096" s="5">
        <v>13.5</v>
      </c>
      <c r="AC1096" s="2" t="s">
        <v>235</v>
      </c>
      <c r="AD1096" s="4"/>
      <c r="AE1096" s="4"/>
      <c r="AF1096" s="6">
        <v>63</v>
      </c>
      <c r="AG1096" s="6">
        <v>46</v>
      </c>
      <c r="AH1096" s="7">
        <v>1</v>
      </c>
      <c r="AI1096" s="4"/>
      <c r="AJ1096" s="4">
        <f>=ROUNDDOWN({0},0)</f>
      </c>
      <c r="AK1096" s="5"/>
      <c r="AL1096" s="2" t="s">
        <v>235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235</v>
      </c>
      <c r="AW1096" s="8" t="s">
        <v>235</v>
      </c>
      <c r="AX1096" s="4" t="s">
        <v>235</v>
      </c>
      <c r="AY1096" s="8" t="s">
        <v>235</v>
      </c>
      <c r="AZ1096" s="7" t="s">
        <v>235</v>
      </c>
      <c r="BA1096" s="7" t="s">
        <v>235</v>
      </c>
      <c r="BB1096" s="7"/>
      <c r="BC1096" s="4" t="s">
        <v>235</v>
      </c>
      <c r="BD1096" s="8" t="s">
        <v>235</v>
      </c>
      <c r="BE1096" s="4" t="s">
        <v>235</v>
      </c>
      <c r="BF1096" s="8" t="s">
        <v>235</v>
      </c>
      <c r="BG1096" s="7" t="s">
        <v>235</v>
      </c>
      <c r="BH1096" s="7" t="s">
        <v>235</v>
      </c>
      <c r="BI1096" s="7"/>
      <c r="BJ1096" s="4">
        <v>62</v>
      </c>
      <c r="BK1096" s="8">
        <v>1807.35</v>
      </c>
      <c r="BL1096" s="2" t="s">
        <v>4335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4326</v>
      </c>
      <c r="BV1096" s="2" t="s">
        <v>235</v>
      </c>
      <c r="BW1096" s="2" t="s">
        <v>235</v>
      </c>
      <c r="BX1096" s="2" t="s">
        <v>619</v>
      </c>
      <c r="BY1096" s="2" t="s">
        <v>245</v>
      </c>
      <c r="BZ1096" s="2" t="s">
        <v>232</v>
      </c>
      <c r="CA1096" s="2" t="s">
        <v>235</v>
      </c>
      <c r="CB1096" s="2" t="s">
        <v>235</v>
      </c>
      <c r="CC1096" s="2" t="s">
        <v>248</v>
      </c>
      <c r="CD1096" s="2" t="s">
        <v>248</v>
      </c>
      <c r="CE1096" s="2" t="s">
        <v>235</v>
      </c>
      <c r="CF1096" s="4">
        <v>112</v>
      </c>
      <c r="CG1096" s="4"/>
      <c r="CH1096" s="4"/>
      <c r="CI1096" s="4">
        <v>26</v>
      </c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>
        <v>153</v>
      </c>
      <c r="GE1096" s="4">
        <v>137</v>
      </c>
      <c r="GF1096" s="4">
        <v>121</v>
      </c>
      <c r="GG1096" s="4">
        <v>102</v>
      </c>
      <c r="GH1096" s="4">
        <v>81</v>
      </c>
      <c r="GI1096" s="4">
        <v>52</v>
      </c>
      <c r="GJ1096" s="4">
        <v>25</v>
      </c>
      <c r="GK1096" s="4">
        <v>3</v>
      </c>
      <c r="GL1096" s="4"/>
      <c r="GM1096" s="4"/>
      <c r="GN1096" s="4"/>
      <c r="GO1096" s="4"/>
      <c r="GP1096" s="4"/>
      <c r="GQ1096" s="4"/>
      <c r="GR1096" s="4">
        <v>363</v>
      </c>
      <c r="GS1096" s="4">
        <v>256</v>
      </c>
      <c r="GT1096" s="4">
        <v>237</v>
      </c>
      <c r="GU1096" s="4">
        <v>649</v>
      </c>
      <c r="GV1096" s="4">
        <v>624</v>
      </c>
      <c r="GW1096" s="4">
        <v>610</v>
      </c>
      <c r="GX1096" s="4">
        <v>596</v>
      </c>
      <c r="GY1096" s="4">
        <v>582</v>
      </c>
      <c r="GZ1096" s="4">
        <v>568</v>
      </c>
      <c r="HA1096" s="4">
        <v>554</v>
      </c>
      <c r="HB1096" s="4">
        <v>540</v>
      </c>
      <c r="HC1096" s="4">
        <v>525</v>
      </c>
      <c r="HD1096" s="19">
        <v>7.7</v>
      </c>
      <c r="HE1096" s="19">
        <v>5.9</v>
      </c>
      <c r="HF1096" s="19">
        <v>4.4</v>
      </c>
      <c r="HG1096" s="19">
        <v>3.9</v>
      </c>
      <c r="HH1096" s="19">
        <v>3</v>
      </c>
      <c r="HI1096" s="19">
        <v>1.9</v>
      </c>
      <c r="HJ1096" s="19">
        <v>1.4</v>
      </c>
      <c r="HK1096" s="19">
        <v>0.3</v>
      </c>
      <c r="HL1096" s="20">
        <v>0</v>
      </c>
      <c r="HM1096" s="20">
        <v>0</v>
      </c>
      <c r="HN1096" s="20">
        <v>0</v>
      </c>
      <c r="HO1096" s="20">
        <v>0</v>
      </c>
      <c r="HP1096" s="20">
        <v>0</v>
      </c>
      <c r="HQ1096" s="20">
        <v>0</v>
      </c>
      <c r="HR1096" s="19">
        <v>4.8</v>
      </c>
      <c r="HS1096" s="19">
        <v>9.9</v>
      </c>
      <c r="HT1096" s="19">
        <v>11.9</v>
      </c>
      <c r="HU1096" s="19">
        <v>37.8</v>
      </c>
      <c r="HV1096" s="19">
        <v>44</v>
      </c>
      <c r="HW1096" s="19">
        <v>43</v>
      </c>
      <c r="HX1096" s="19">
        <v>42</v>
      </c>
      <c r="HY1096" s="19">
        <v>41</v>
      </c>
      <c r="HZ1096" s="19">
        <v>40</v>
      </c>
      <c r="IA1096" s="19">
        <v>39</v>
      </c>
      <c r="IB1096" s="19">
        <v>38</v>
      </c>
      <c r="IC1096" s="19">
        <v>36.9</v>
      </c>
    </row>
    <row r="1097">
      <c r="A1097" s="2" t="s">
        <v>4336</v>
      </c>
      <c r="B1097" s="2" t="s">
        <v>871</v>
      </c>
      <c r="C1097" s="2" t="s">
        <v>606</v>
      </c>
      <c r="D1097" s="2" t="s">
        <v>361</v>
      </c>
      <c r="E1097" s="2" t="s">
        <v>872</v>
      </c>
      <c r="F1097" s="2" t="s">
        <v>4323</v>
      </c>
      <c r="G1097" s="2" t="s">
        <v>4324</v>
      </c>
      <c r="H1097" s="2" t="s">
        <v>4325</v>
      </c>
      <c r="I1097" s="2" t="s">
        <v>924</v>
      </c>
      <c r="J1097" s="2" t="s">
        <v>365</v>
      </c>
      <c r="K1097" s="2" t="s">
        <v>1172</v>
      </c>
      <c r="L1097" s="3">
        <v>31.5</v>
      </c>
      <c r="M1097" s="3">
        <v>33.08</v>
      </c>
      <c r="N1097" s="3">
        <v>64.99</v>
      </c>
      <c r="O1097" s="2" t="s">
        <v>232</v>
      </c>
      <c r="P1097" s="2" t="s">
        <v>878</v>
      </c>
      <c r="Q1097" s="2" t="s">
        <v>234</v>
      </c>
      <c r="R1097" s="2" t="s">
        <v>235</v>
      </c>
      <c r="S1097" s="2" t="s">
        <v>235</v>
      </c>
      <c r="T1097" s="2" t="s">
        <v>879</v>
      </c>
      <c r="U1097" s="2" t="s">
        <v>552</v>
      </c>
      <c r="V1097" s="2" t="s">
        <v>986</v>
      </c>
      <c r="W1097" s="2" t="s">
        <v>986</v>
      </c>
      <c r="X1097" s="2" t="s">
        <v>235</v>
      </c>
      <c r="Y1097" s="2" t="s">
        <v>1321</v>
      </c>
      <c r="Z1097" s="4">
        <v>534</v>
      </c>
      <c r="AA1097" s="4">
        <f>=ROUNDDOWN(79.7014925373134,0)</f>
      </c>
      <c r="AB1097" s="5">
        <v>6.7</v>
      </c>
      <c r="AC1097" s="2" t="s">
        <v>235</v>
      </c>
      <c r="AD1097" s="4"/>
      <c r="AE1097" s="4"/>
      <c r="AF1097" s="6">
        <v>63</v>
      </c>
      <c r="AG1097" s="6">
        <v>46</v>
      </c>
      <c r="AH1097" s="7">
        <v>1</v>
      </c>
      <c r="AI1097" s="4"/>
      <c r="AJ1097" s="4">
        <f>=ROUNDDOWN({0},0)</f>
      </c>
      <c r="AK1097" s="5"/>
      <c r="AL1097" s="2" t="s">
        <v>235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235</v>
      </c>
      <c r="AW1097" s="8" t="s">
        <v>235</v>
      </c>
      <c r="AX1097" s="4" t="s">
        <v>235</v>
      </c>
      <c r="AY1097" s="8" t="s">
        <v>235</v>
      </c>
      <c r="AZ1097" s="7" t="s">
        <v>235</v>
      </c>
      <c r="BA1097" s="7" t="s">
        <v>235</v>
      </c>
      <c r="BB1097" s="7"/>
      <c r="BC1097" s="4" t="s">
        <v>235</v>
      </c>
      <c r="BD1097" s="8" t="s">
        <v>235</v>
      </c>
      <c r="BE1097" s="4" t="s">
        <v>235</v>
      </c>
      <c r="BF1097" s="8" t="s">
        <v>235</v>
      </c>
      <c r="BG1097" s="7" t="s">
        <v>235</v>
      </c>
      <c r="BH1097" s="7" t="s">
        <v>235</v>
      </c>
      <c r="BI1097" s="7"/>
      <c r="BJ1097" s="4">
        <v>25</v>
      </c>
      <c r="BK1097" s="8">
        <v>915.28</v>
      </c>
      <c r="BL1097" s="2" t="s">
        <v>4318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4326</v>
      </c>
      <c r="BV1097" s="2" t="s">
        <v>235</v>
      </c>
      <c r="BW1097" s="2" t="s">
        <v>235</v>
      </c>
      <c r="BX1097" s="2" t="s">
        <v>619</v>
      </c>
      <c r="BY1097" s="2" t="s">
        <v>245</v>
      </c>
      <c r="BZ1097" s="2" t="s">
        <v>232</v>
      </c>
      <c r="CA1097" s="2" t="s">
        <v>235</v>
      </c>
      <c r="CB1097" s="2" t="s">
        <v>235</v>
      </c>
      <c r="CC1097" s="2" t="s">
        <v>248</v>
      </c>
      <c r="CD1097" s="2" t="s">
        <v>248</v>
      </c>
      <c r="CE1097" s="2" t="s">
        <v>235</v>
      </c>
      <c r="CF1097" s="4">
        <v>371</v>
      </c>
      <c r="CG1097" s="4"/>
      <c r="CH1097" s="4"/>
      <c r="CI1097" s="4">
        <v>163</v>
      </c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>
        <v>534</v>
      </c>
      <c r="GE1097" s="4">
        <v>527</v>
      </c>
      <c r="GF1097" s="4">
        <v>521</v>
      </c>
      <c r="GG1097" s="4">
        <v>515</v>
      </c>
      <c r="GH1097" s="4">
        <v>509</v>
      </c>
      <c r="GI1097" s="4">
        <v>503</v>
      </c>
      <c r="GJ1097" s="4">
        <v>497</v>
      </c>
      <c r="GK1097" s="4">
        <v>491</v>
      </c>
      <c r="GL1097" s="4">
        <v>485</v>
      </c>
      <c r="GM1097" s="4">
        <v>479</v>
      </c>
      <c r="GN1097" s="4">
        <v>471</v>
      </c>
      <c r="GO1097" s="4">
        <v>461</v>
      </c>
      <c r="GP1097" s="4">
        <v>448</v>
      </c>
      <c r="GQ1097" s="4">
        <v>431</v>
      </c>
      <c r="GR1097" s="4">
        <v>419</v>
      </c>
      <c r="GS1097" s="4">
        <v>410</v>
      </c>
      <c r="GT1097" s="4">
        <v>402</v>
      </c>
      <c r="GU1097" s="4">
        <v>415</v>
      </c>
      <c r="GV1097" s="4">
        <v>408</v>
      </c>
      <c r="GW1097" s="4">
        <v>401</v>
      </c>
      <c r="GX1097" s="4">
        <v>394</v>
      </c>
      <c r="GY1097" s="4">
        <v>387</v>
      </c>
      <c r="GZ1097" s="4">
        <v>380</v>
      </c>
      <c r="HA1097" s="4">
        <v>373</v>
      </c>
      <c r="HB1097" s="4">
        <v>366</v>
      </c>
      <c r="HC1097" s="4">
        <v>358</v>
      </c>
      <c r="HD1097" s="19">
        <v>118.6</v>
      </c>
      <c r="HE1097" s="19">
        <v>117.5</v>
      </c>
      <c r="HF1097" s="19">
        <v>116.5</v>
      </c>
      <c r="HG1097" s="19">
        <v>115.5</v>
      </c>
      <c r="HH1097" s="19">
        <v>114.5</v>
      </c>
      <c r="HI1097" s="19">
        <v>113.5</v>
      </c>
      <c r="HJ1097" s="19">
        <v>106.9</v>
      </c>
      <c r="HK1097" s="19">
        <v>105.9</v>
      </c>
      <c r="HL1097" s="19">
        <v>59.4</v>
      </c>
      <c r="HM1097" s="19">
        <v>54.8</v>
      </c>
      <c r="HN1097" s="19">
        <v>52.7</v>
      </c>
      <c r="HO1097" s="19">
        <v>51.9</v>
      </c>
      <c r="HP1097" s="19">
        <v>52.2</v>
      </c>
      <c r="HQ1097" s="19">
        <v>90.8</v>
      </c>
      <c r="HR1097" s="19">
        <v>91.7</v>
      </c>
      <c r="HS1097" s="19">
        <v>93.8</v>
      </c>
      <c r="HT1097" s="19">
        <v>92.7</v>
      </c>
      <c r="HU1097" s="19">
        <v>93.4</v>
      </c>
      <c r="HV1097" s="19">
        <v>92.4</v>
      </c>
      <c r="HW1097" s="19">
        <v>91.4</v>
      </c>
      <c r="HX1097" s="19">
        <v>90.4</v>
      </c>
      <c r="HY1097" s="19">
        <v>89.4</v>
      </c>
      <c r="HZ1097" s="19">
        <v>88.4</v>
      </c>
      <c r="IA1097" s="19">
        <v>87.4</v>
      </c>
      <c r="IB1097" s="19">
        <v>86.4</v>
      </c>
      <c r="IC1097" s="19">
        <v>85.3</v>
      </c>
    </row>
    <row r="1098">
      <c r="A1098" s="2" t="s">
        <v>4337</v>
      </c>
      <c r="B1098" s="2" t="s">
        <v>871</v>
      </c>
      <c r="C1098" s="2" t="s">
        <v>606</v>
      </c>
      <c r="D1098" s="2" t="s">
        <v>361</v>
      </c>
      <c r="E1098" s="2" t="s">
        <v>872</v>
      </c>
      <c r="F1098" s="2" t="s">
        <v>4323</v>
      </c>
      <c r="G1098" s="2" t="s">
        <v>4324</v>
      </c>
      <c r="H1098" s="2" t="s">
        <v>4325</v>
      </c>
      <c r="I1098" s="2" t="s">
        <v>924</v>
      </c>
      <c r="J1098" s="2" t="s">
        <v>372</v>
      </c>
      <c r="K1098" s="2" t="s">
        <v>1172</v>
      </c>
      <c r="L1098" s="3">
        <v>36.69</v>
      </c>
      <c r="M1098" s="3">
        <v>38.52</v>
      </c>
      <c r="N1098" s="3">
        <v>79.99</v>
      </c>
      <c r="O1098" s="2" t="s">
        <v>232</v>
      </c>
      <c r="P1098" s="2" t="s">
        <v>878</v>
      </c>
      <c r="Q1098" s="2" t="s">
        <v>234</v>
      </c>
      <c r="R1098" s="2" t="s">
        <v>235</v>
      </c>
      <c r="S1098" s="2" t="s">
        <v>235</v>
      </c>
      <c r="T1098" s="2" t="s">
        <v>879</v>
      </c>
      <c r="U1098" s="2" t="s">
        <v>552</v>
      </c>
      <c r="V1098" s="2" t="s">
        <v>986</v>
      </c>
      <c r="W1098" s="2" t="s">
        <v>986</v>
      </c>
      <c r="X1098" s="2" t="s">
        <v>235</v>
      </c>
      <c r="Y1098" s="2" t="s">
        <v>1321</v>
      </c>
      <c r="Z1098" s="4">
        <v>195</v>
      </c>
      <c r="AA1098" s="4">
        <f>=ROUNDDOWN(23.4939759036145,0)</f>
      </c>
      <c r="AB1098" s="5">
        <v>8.3</v>
      </c>
      <c r="AC1098" s="2" t="s">
        <v>235</v>
      </c>
      <c r="AD1098" s="4"/>
      <c r="AE1098" s="4"/>
      <c r="AF1098" s="6">
        <v>63</v>
      </c>
      <c r="AG1098" s="6">
        <v>46</v>
      </c>
      <c r="AH1098" s="7">
        <v>1</v>
      </c>
      <c r="AI1098" s="4"/>
      <c r="AJ1098" s="4">
        <f>=ROUNDDOWN({0},0)</f>
      </c>
      <c r="AK1098" s="5"/>
      <c r="AL1098" s="2" t="s">
        <v>235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235</v>
      </c>
      <c r="AW1098" s="8" t="s">
        <v>235</v>
      </c>
      <c r="AX1098" s="4" t="s">
        <v>235</v>
      </c>
      <c r="AY1098" s="8" t="s">
        <v>235</v>
      </c>
      <c r="AZ1098" s="7" t="s">
        <v>235</v>
      </c>
      <c r="BA1098" s="7" t="s">
        <v>235</v>
      </c>
      <c r="BB1098" s="7"/>
      <c r="BC1098" s="4" t="s">
        <v>235</v>
      </c>
      <c r="BD1098" s="8" t="s">
        <v>235</v>
      </c>
      <c r="BE1098" s="4" t="s">
        <v>235</v>
      </c>
      <c r="BF1098" s="8" t="s">
        <v>235</v>
      </c>
      <c r="BG1098" s="7" t="s">
        <v>235</v>
      </c>
      <c r="BH1098" s="7" t="s">
        <v>235</v>
      </c>
      <c r="BI1098" s="7"/>
      <c r="BJ1098" s="4">
        <v>17</v>
      </c>
      <c r="BK1098" s="8">
        <v>718.43</v>
      </c>
      <c r="BL1098" s="2" t="s">
        <v>592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4326</v>
      </c>
      <c r="BV1098" s="2" t="s">
        <v>235</v>
      </c>
      <c r="BW1098" s="2" t="s">
        <v>235</v>
      </c>
      <c r="BX1098" s="2" t="s">
        <v>619</v>
      </c>
      <c r="BY1098" s="2" t="s">
        <v>245</v>
      </c>
      <c r="BZ1098" s="2" t="s">
        <v>232</v>
      </c>
      <c r="CA1098" s="2" t="s">
        <v>235</v>
      </c>
      <c r="CB1098" s="2" t="s">
        <v>1656</v>
      </c>
      <c r="CC1098" s="2" t="s">
        <v>248</v>
      </c>
      <c r="CD1098" s="2" t="s">
        <v>248</v>
      </c>
      <c r="CE1098" s="2" t="s">
        <v>235</v>
      </c>
      <c r="CF1098" s="4">
        <v>162</v>
      </c>
      <c r="CG1098" s="4"/>
      <c r="CH1098" s="4"/>
      <c r="CI1098" s="4">
        <v>33</v>
      </c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>
        <v>199</v>
      </c>
      <c r="GE1098" s="4">
        <v>190</v>
      </c>
      <c r="GF1098" s="4">
        <v>185</v>
      </c>
      <c r="GG1098" s="4">
        <v>180</v>
      </c>
      <c r="GH1098" s="4">
        <v>175</v>
      </c>
      <c r="GI1098" s="4">
        <v>170</v>
      </c>
      <c r="GJ1098" s="4">
        <v>165</v>
      </c>
      <c r="GK1098" s="4">
        <v>160</v>
      </c>
      <c r="GL1098" s="4">
        <v>155</v>
      </c>
      <c r="GM1098" s="4">
        <v>150</v>
      </c>
      <c r="GN1098" s="4">
        <v>144</v>
      </c>
      <c r="GO1098" s="4">
        <v>138</v>
      </c>
      <c r="GP1098" s="4">
        <v>128</v>
      </c>
      <c r="GQ1098" s="4">
        <v>117</v>
      </c>
      <c r="GR1098" s="4">
        <v>107</v>
      </c>
      <c r="GS1098" s="4">
        <v>101</v>
      </c>
      <c r="GT1098" s="4">
        <v>95</v>
      </c>
      <c r="GU1098" s="4">
        <v>89</v>
      </c>
      <c r="GV1098" s="4">
        <v>84</v>
      </c>
      <c r="GW1098" s="4">
        <v>79</v>
      </c>
      <c r="GX1098" s="4">
        <v>74</v>
      </c>
      <c r="GY1098" s="4">
        <v>69</v>
      </c>
      <c r="GZ1098" s="4">
        <v>64</v>
      </c>
      <c r="HA1098" s="4">
        <v>59</v>
      </c>
      <c r="HB1098" s="4">
        <v>54</v>
      </c>
      <c r="HC1098" s="4">
        <v>48</v>
      </c>
      <c r="HD1098" s="19">
        <v>33.1</v>
      </c>
      <c r="HE1098" s="19">
        <v>35.8</v>
      </c>
      <c r="HF1098" s="19">
        <v>34.8</v>
      </c>
      <c r="HG1098" s="19">
        <v>33.8</v>
      </c>
      <c r="HH1098" s="19">
        <v>32.8</v>
      </c>
      <c r="HI1098" s="19">
        <v>31.8</v>
      </c>
      <c r="HJ1098" s="19">
        <v>30.8</v>
      </c>
      <c r="HK1098" s="19">
        <v>29.8</v>
      </c>
      <c r="HL1098" s="19">
        <v>23.4</v>
      </c>
      <c r="HM1098" s="19">
        <v>15</v>
      </c>
      <c r="HN1098" s="19">
        <v>13.3</v>
      </c>
      <c r="HO1098" s="19">
        <v>12.8</v>
      </c>
      <c r="HP1098" s="19">
        <v>12.7</v>
      </c>
      <c r="HQ1098" s="19">
        <v>17.3</v>
      </c>
      <c r="HR1098" s="19">
        <v>17.1</v>
      </c>
      <c r="HS1098" s="19">
        <v>18.3</v>
      </c>
      <c r="HT1098" s="19">
        <v>17.2</v>
      </c>
      <c r="HU1098" s="19">
        <v>16</v>
      </c>
      <c r="HV1098" s="19">
        <v>15</v>
      </c>
      <c r="HW1098" s="19">
        <v>14</v>
      </c>
      <c r="HX1098" s="19">
        <v>13</v>
      </c>
      <c r="HY1098" s="19">
        <v>12</v>
      </c>
      <c r="HZ1098" s="19">
        <v>11</v>
      </c>
      <c r="IA1098" s="19">
        <v>10</v>
      </c>
      <c r="IB1098" s="19">
        <v>9</v>
      </c>
      <c r="IC1098" s="19">
        <v>7.9</v>
      </c>
    </row>
    <row r="1099">
      <c r="A1099" s="2" t="s">
        <v>4338</v>
      </c>
      <c r="B1099" s="2" t="s">
        <v>871</v>
      </c>
      <c r="C1099" s="2" t="s">
        <v>606</v>
      </c>
      <c r="D1099" s="2" t="s">
        <v>361</v>
      </c>
      <c r="E1099" s="2" t="s">
        <v>872</v>
      </c>
      <c r="F1099" s="2" t="s">
        <v>4323</v>
      </c>
      <c r="G1099" s="2" t="s">
        <v>4324</v>
      </c>
      <c r="H1099" s="2" t="s">
        <v>4325</v>
      </c>
      <c r="I1099" s="2" t="s">
        <v>924</v>
      </c>
      <c r="J1099" s="2" t="s">
        <v>877</v>
      </c>
      <c r="K1099" s="2" t="s">
        <v>3995</v>
      </c>
      <c r="L1099" s="3">
        <v>26.12</v>
      </c>
      <c r="M1099" s="3">
        <v>27.43</v>
      </c>
      <c r="N1099" s="3">
        <v>54.99</v>
      </c>
      <c r="O1099" s="2" t="s">
        <v>232</v>
      </c>
      <c r="P1099" s="2" t="s">
        <v>878</v>
      </c>
      <c r="Q1099" s="2" t="s">
        <v>234</v>
      </c>
      <c r="R1099" s="2" t="s">
        <v>235</v>
      </c>
      <c r="S1099" s="2" t="s">
        <v>235</v>
      </c>
      <c r="T1099" s="2" t="s">
        <v>879</v>
      </c>
      <c r="U1099" s="2" t="s">
        <v>278</v>
      </c>
      <c r="V1099" s="2" t="s">
        <v>986</v>
      </c>
      <c r="W1099" s="2" t="s">
        <v>986</v>
      </c>
      <c r="X1099" s="2" t="s">
        <v>235</v>
      </c>
      <c r="Y1099" s="2" t="s">
        <v>1321</v>
      </c>
      <c r="Z1099" s="4">
        <v>183</v>
      </c>
      <c r="AA1099" s="4">
        <f>=ROUNDDOWN(45.75,0)</f>
      </c>
      <c r="AB1099" s="5">
        <v>4</v>
      </c>
      <c r="AC1099" s="2" t="s">
        <v>235</v>
      </c>
      <c r="AD1099" s="4"/>
      <c r="AE1099" s="4"/>
      <c r="AF1099" s="6">
        <v>63</v>
      </c>
      <c r="AG1099" s="6">
        <v>46</v>
      </c>
      <c r="AH1099" s="7">
        <v>1</v>
      </c>
      <c r="AI1099" s="4"/>
      <c r="AJ1099" s="4">
        <f>=ROUNDDOWN({0},0)</f>
      </c>
      <c r="AK1099" s="5"/>
      <c r="AL1099" s="2" t="s">
        <v>235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235</v>
      </c>
      <c r="AW1099" s="8" t="s">
        <v>235</v>
      </c>
      <c r="AX1099" s="4" t="s">
        <v>235</v>
      </c>
      <c r="AY1099" s="8" t="s">
        <v>235</v>
      </c>
      <c r="AZ1099" s="7" t="s">
        <v>235</v>
      </c>
      <c r="BA1099" s="7" t="s">
        <v>235</v>
      </c>
      <c r="BB1099" s="7"/>
      <c r="BC1099" s="4" t="s">
        <v>235</v>
      </c>
      <c r="BD1099" s="8" t="s">
        <v>235</v>
      </c>
      <c r="BE1099" s="4" t="s">
        <v>235</v>
      </c>
      <c r="BF1099" s="8" t="s">
        <v>235</v>
      </c>
      <c r="BG1099" s="7" t="s">
        <v>235</v>
      </c>
      <c r="BH1099" s="7" t="s">
        <v>235</v>
      </c>
      <c r="BI1099" s="7"/>
      <c r="BJ1099" s="4">
        <v>14</v>
      </c>
      <c r="BK1099" s="8">
        <v>422.88</v>
      </c>
      <c r="BL1099" s="2" t="s">
        <v>659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4326</v>
      </c>
      <c r="BV1099" s="2" t="s">
        <v>235</v>
      </c>
      <c r="BW1099" s="2" t="s">
        <v>235</v>
      </c>
      <c r="BX1099" s="2" t="s">
        <v>619</v>
      </c>
      <c r="BY1099" s="2" t="s">
        <v>245</v>
      </c>
      <c r="BZ1099" s="2" t="s">
        <v>232</v>
      </c>
      <c r="CA1099" s="2" t="s">
        <v>235</v>
      </c>
      <c r="CB1099" s="2" t="s">
        <v>2903</v>
      </c>
      <c r="CC1099" s="2" t="s">
        <v>248</v>
      </c>
      <c r="CD1099" s="2" t="s">
        <v>248</v>
      </c>
      <c r="CE1099" s="2" t="s">
        <v>235</v>
      </c>
      <c r="CF1099" s="4">
        <v>137</v>
      </c>
      <c r="CG1099" s="4"/>
      <c r="CH1099" s="4"/>
      <c r="CI1099" s="4">
        <v>46</v>
      </c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>
        <v>189</v>
      </c>
      <c r="GE1099" s="4">
        <v>179</v>
      </c>
      <c r="GF1099" s="4">
        <v>176</v>
      </c>
      <c r="GG1099" s="4">
        <v>173</v>
      </c>
      <c r="GH1099" s="4">
        <v>170</v>
      </c>
      <c r="GI1099" s="4">
        <v>167</v>
      </c>
      <c r="GJ1099" s="4">
        <v>164</v>
      </c>
      <c r="GK1099" s="4">
        <v>161</v>
      </c>
      <c r="GL1099" s="4">
        <v>156</v>
      </c>
      <c r="GM1099" s="4">
        <v>152</v>
      </c>
      <c r="GN1099" s="4">
        <v>146</v>
      </c>
      <c r="GO1099" s="4">
        <v>139</v>
      </c>
      <c r="GP1099" s="4">
        <v>131</v>
      </c>
      <c r="GQ1099" s="4">
        <v>121</v>
      </c>
      <c r="GR1099" s="4">
        <v>114</v>
      </c>
      <c r="GS1099" s="4">
        <v>108</v>
      </c>
      <c r="GT1099" s="4">
        <v>103</v>
      </c>
      <c r="GU1099" s="4">
        <v>98</v>
      </c>
      <c r="GV1099" s="4">
        <v>94</v>
      </c>
      <c r="GW1099" s="4">
        <v>89</v>
      </c>
      <c r="GX1099" s="4">
        <v>84</v>
      </c>
      <c r="GY1099" s="4">
        <v>79</v>
      </c>
      <c r="GZ1099" s="4">
        <v>74</v>
      </c>
      <c r="HA1099" s="4">
        <v>69</v>
      </c>
      <c r="HB1099" s="4">
        <v>64</v>
      </c>
      <c r="HC1099" s="4">
        <v>59</v>
      </c>
      <c r="HD1099" s="19">
        <v>35.4</v>
      </c>
      <c r="HE1099" s="19">
        <v>55.3</v>
      </c>
      <c r="HF1099" s="19">
        <v>54.3</v>
      </c>
      <c r="HG1099" s="19">
        <v>53.3</v>
      </c>
      <c r="HH1099" s="19">
        <v>52.3</v>
      </c>
      <c r="HI1099" s="19">
        <v>51.3</v>
      </c>
      <c r="HJ1099" s="19">
        <v>30.4</v>
      </c>
      <c r="HK1099" s="19">
        <v>24.7</v>
      </c>
      <c r="HL1099" s="19">
        <v>23.8</v>
      </c>
      <c r="HM1099" s="19">
        <v>17.4</v>
      </c>
      <c r="HN1099" s="19">
        <v>16.7</v>
      </c>
      <c r="HO1099" s="19">
        <v>15.8</v>
      </c>
      <c r="HP1099" s="19">
        <v>19.5</v>
      </c>
      <c r="HQ1099" s="19">
        <v>17.8</v>
      </c>
      <c r="HR1099" s="19">
        <v>20.6</v>
      </c>
      <c r="HS1099" s="19">
        <v>19.4</v>
      </c>
      <c r="HT1099" s="19">
        <v>18.4</v>
      </c>
      <c r="HU1099" s="19">
        <v>17.4</v>
      </c>
      <c r="HV1099" s="19">
        <v>16.7</v>
      </c>
      <c r="HW1099" s="19">
        <v>15.7</v>
      </c>
      <c r="HX1099" s="19">
        <v>14.7</v>
      </c>
      <c r="HY1099" s="19">
        <v>10.7</v>
      </c>
      <c r="HZ1099" s="19">
        <v>10.8</v>
      </c>
      <c r="IA1099" s="19">
        <v>8.4</v>
      </c>
      <c r="IB1099" s="19">
        <v>8</v>
      </c>
      <c r="IC1099" s="19">
        <v>7.4</v>
      </c>
    </row>
    <row r="1100">
      <c r="A1100" s="2" t="s">
        <v>4339</v>
      </c>
      <c r="B1100" s="2" t="s">
        <v>871</v>
      </c>
      <c r="C1100" s="2" t="s">
        <v>606</v>
      </c>
      <c r="D1100" s="2" t="s">
        <v>361</v>
      </c>
      <c r="E1100" s="2" t="s">
        <v>872</v>
      </c>
      <c r="F1100" s="2" t="s">
        <v>4323</v>
      </c>
      <c r="G1100" s="2" t="s">
        <v>4324</v>
      </c>
      <c r="H1100" s="2" t="s">
        <v>4325</v>
      </c>
      <c r="I1100" s="2" t="s">
        <v>924</v>
      </c>
      <c r="J1100" s="2" t="s">
        <v>372</v>
      </c>
      <c r="K1100" s="2" t="s">
        <v>3995</v>
      </c>
      <c r="L1100" s="3">
        <v>36.69</v>
      </c>
      <c r="M1100" s="3">
        <v>38.52</v>
      </c>
      <c r="N1100" s="3">
        <v>79.99</v>
      </c>
      <c r="O1100" s="2" t="s">
        <v>232</v>
      </c>
      <c r="P1100" s="2" t="s">
        <v>878</v>
      </c>
      <c r="Q1100" s="2" t="s">
        <v>234</v>
      </c>
      <c r="R1100" s="2" t="s">
        <v>235</v>
      </c>
      <c r="S1100" s="2" t="s">
        <v>235</v>
      </c>
      <c r="T1100" s="2" t="s">
        <v>879</v>
      </c>
      <c r="U1100" s="2" t="s">
        <v>552</v>
      </c>
      <c r="V1100" s="2" t="s">
        <v>986</v>
      </c>
      <c r="W1100" s="2" t="s">
        <v>986</v>
      </c>
      <c r="X1100" s="2" t="s">
        <v>235</v>
      </c>
      <c r="Y1100" s="2" t="s">
        <v>1321</v>
      </c>
      <c r="Z1100" s="4">
        <v>171</v>
      </c>
      <c r="AA1100" s="4">
        <f>=ROUNDDOWN(24.4285714285714,0)</f>
      </c>
      <c r="AB1100" s="5">
        <v>7</v>
      </c>
      <c r="AC1100" s="2" t="s">
        <v>235</v>
      </c>
      <c r="AD1100" s="4"/>
      <c r="AE1100" s="4"/>
      <c r="AF1100" s="6">
        <v>63</v>
      </c>
      <c r="AG1100" s="6">
        <v>46</v>
      </c>
      <c r="AH1100" s="7">
        <v>1</v>
      </c>
      <c r="AI1100" s="4"/>
      <c r="AJ1100" s="4">
        <f>=ROUNDDOWN({0},0)</f>
      </c>
      <c r="AK1100" s="5"/>
      <c r="AL1100" s="2" t="s">
        <v>235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235</v>
      </c>
      <c r="AW1100" s="8" t="s">
        <v>235</v>
      </c>
      <c r="AX1100" s="4" t="s">
        <v>235</v>
      </c>
      <c r="AY1100" s="8" t="s">
        <v>235</v>
      </c>
      <c r="AZ1100" s="7" t="s">
        <v>235</v>
      </c>
      <c r="BA1100" s="7" t="s">
        <v>235</v>
      </c>
      <c r="BB1100" s="7"/>
      <c r="BC1100" s="4" t="s">
        <v>235</v>
      </c>
      <c r="BD1100" s="8" t="s">
        <v>235</v>
      </c>
      <c r="BE1100" s="4" t="s">
        <v>235</v>
      </c>
      <c r="BF1100" s="8" t="s">
        <v>235</v>
      </c>
      <c r="BG1100" s="7" t="s">
        <v>235</v>
      </c>
      <c r="BH1100" s="7" t="s">
        <v>235</v>
      </c>
      <c r="BI1100" s="7"/>
      <c r="BJ1100" s="4">
        <v>23</v>
      </c>
      <c r="BK1100" s="8">
        <v>1002.99</v>
      </c>
      <c r="BL1100" s="2" t="s">
        <v>4316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4326</v>
      </c>
      <c r="BV1100" s="2" t="s">
        <v>235</v>
      </c>
      <c r="BW1100" s="2" t="s">
        <v>235</v>
      </c>
      <c r="BX1100" s="2" t="s">
        <v>619</v>
      </c>
      <c r="BY1100" s="2" t="s">
        <v>245</v>
      </c>
      <c r="BZ1100" s="2" t="s">
        <v>232</v>
      </c>
      <c r="CA1100" s="2" t="s">
        <v>235</v>
      </c>
      <c r="CB1100" s="2" t="s">
        <v>2132</v>
      </c>
      <c r="CC1100" s="2" t="s">
        <v>248</v>
      </c>
      <c r="CD1100" s="2" t="s">
        <v>248</v>
      </c>
      <c r="CE1100" s="2" t="s">
        <v>235</v>
      </c>
      <c r="CF1100" s="4">
        <v>137</v>
      </c>
      <c r="CG1100" s="4"/>
      <c r="CH1100" s="4"/>
      <c r="CI1100" s="4">
        <v>34</v>
      </c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>
        <v>174</v>
      </c>
      <c r="GE1100" s="4">
        <v>166</v>
      </c>
      <c r="GF1100" s="4">
        <v>160</v>
      </c>
      <c r="GG1100" s="4">
        <v>154</v>
      </c>
      <c r="GH1100" s="4">
        <v>148</v>
      </c>
      <c r="GI1100" s="4">
        <v>142</v>
      </c>
      <c r="GJ1100" s="4">
        <v>136</v>
      </c>
      <c r="GK1100" s="4">
        <v>129</v>
      </c>
      <c r="GL1100" s="4">
        <v>122</v>
      </c>
      <c r="GM1100" s="4">
        <v>116</v>
      </c>
      <c r="GN1100" s="4">
        <v>107</v>
      </c>
      <c r="GO1100" s="4">
        <v>97</v>
      </c>
      <c r="GP1100" s="4">
        <v>83</v>
      </c>
      <c r="GQ1100" s="4">
        <v>67</v>
      </c>
      <c r="GR1100" s="4">
        <v>219</v>
      </c>
      <c r="GS1100" s="4">
        <v>210</v>
      </c>
      <c r="GT1100" s="4">
        <v>201</v>
      </c>
      <c r="GU1100" s="4">
        <v>436</v>
      </c>
      <c r="GV1100" s="4">
        <v>428</v>
      </c>
      <c r="GW1100" s="4">
        <v>420</v>
      </c>
      <c r="GX1100" s="4">
        <v>412</v>
      </c>
      <c r="GY1100" s="4">
        <v>404</v>
      </c>
      <c r="GZ1100" s="4">
        <v>396</v>
      </c>
      <c r="HA1100" s="4">
        <v>388</v>
      </c>
      <c r="HB1100" s="4">
        <v>380</v>
      </c>
      <c r="HC1100" s="4">
        <v>371</v>
      </c>
      <c r="HD1100" s="19">
        <v>26.2</v>
      </c>
      <c r="HE1100" s="19">
        <v>24.9</v>
      </c>
      <c r="HF1100" s="19">
        <v>23.9</v>
      </c>
      <c r="HG1100" s="19">
        <v>22.9</v>
      </c>
      <c r="HH1100" s="19">
        <v>21.9</v>
      </c>
      <c r="HI1100" s="19">
        <v>20.9</v>
      </c>
      <c r="HJ1100" s="19">
        <v>17.1</v>
      </c>
      <c r="HK1100" s="19">
        <v>14.3</v>
      </c>
      <c r="HL1100" s="19">
        <v>11</v>
      </c>
      <c r="HM1100" s="19">
        <v>8.4</v>
      </c>
      <c r="HN1100" s="19">
        <v>6.4</v>
      </c>
      <c r="HO1100" s="19">
        <v>6</v>
      </c>
      <c r="HP1100" s="19">
        <v>5.2</v>
      </c>
      <c r="HQ1100" s="19">
        <v>4.2</v>
      </c>
      <c r="HR1100" s="19">
        <v>32</v>
      </c>
      <c r="HS1100" s="19">
        <v>31</v>
      </c>
      <c r="HT1100" s="19">
        <v>30.7</v>
      </c>
      <c r="HU1100" s="19">
        <v>54</v>
      </c>
      <c r="HV1100" s="19">
        <v>53</v>
      </c>
      <c r="HW1100" s="19">
        <v>52</v>
      </c>
      <c r="HX1100" s="19">
        <v>51</v>
      </c>
      <c r="HY1100" s="19">
        <v>50</v>
      </c>
      <c r="HZ1100" s="19">
        <v>49</v>
      </c>
      <c r="IA1100" s="19">
        <v>48</v>
      </c>
      <c r="IB1100" s="19">
        <v>47</v>
      </c>
      <c r="IC1100" s="19">
        <v>45.9</v>
      </c>
    </row>
    <row r="1101">
      <c r="A1101" s="2" t="s">
        <v>4340</v>
      </c>
      <c r="B1101" s="2" t="s">
        <v>871</v>
      </c>
      <c r="C1101" s="2" t="s">
        <v>606</v>
      </c>
      <c r="D1101" s="2" t="s">
        <v>361</v>
      </c>
      <c r="E1101" s="2" t="s">
        <v>872</v>
      </c>
      <c r="F1101" s="2" t="s">
        <v>4323</v>
      </c>
      <c r="G1101" s="2" t="s">
        <v>4324</v>
      </c>
      <c r="H1101" s="2" t="s">
        <v>4325</v>
      </c>
      <c r="I1101" s="2" t="s">
        <v>924</v>
      </c>
      <c r="J1101" s="2" t="s">
        <v>877</v>
      </c>
      <c r="K1101" s="2" t="s">
        <v>316</v>
      </c>
      <c r="L1101" s="3">
        <v>26.12</v>
      </c>
      <c r="M1101" s="3">
        <v>27.43</v>
      </c>
      <c r="N1101" s="3">
        <v>54.99</v>
      </c>
      <c r="O1101" s="2" t="s">
        <v>232</v>
      </c>
      <c r="P1101" s="2" t="s">
        <v>878</v>
      </c>
      <c r="Q1101" s="2" t="s">
        <v>234</v>
      </c>
      <c r="R1101" s="2" t="s">
        <v>235</v>
      </c>
      <c r="S1101" s="2" t="s">
        <v>235</v>
      </c>
      <c r="T1101" s="2" t="s">
        <v>879</v>
      </c>
      <c r="U1101" s="2" t="s">
        <v>278</v>
      </c>
      <c r="V1101" s="2" t="s">
        <v>986</v>
      </c>
      <c r="W1101" s="2" t="s">
        <v>986</v>
      </c>
      <c r="X1101" s="2" t="s">
        <v>235</v>
      </c>
      <c r="Y1101" s="2" t="s">
        <v>1321</v>
      </c>
      <c r="Z1101" s="4">
        <v>343</v>
      </c>
      <c r="AA1101" s="4">
        <f>=ROUNDDOWN(43.4177215189873,0)</f>
      </c>
      <c r="AB1101" s="5">
        <v>7.9</v>
      </c>
      <c r="AC1101" s="2" t="s">
        <v>235</v>
      </c>
      <c r="AD1101" s="4"/>
      <c r="AE1101" s="4"/>
      <c r="AF1101" s="6">
        <v>63</v>
      </c>
      <c r="AG1101" s="6">
        <v>46</v>
      </c>
      <c r="AH1101" s="7">
        <v>1</v>
      </c>
      <c r="AI1101" s="4"/>
      <c r="AJ1101" s="4">
        <f>=ROUNDDOWN({0},0)</f>
      </c>
      <c r="AK1101" s="5"/>
      <c r="AL1101" s="2" t="s">
        <v>235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235</v>
      </c>
      <c r="AW1101" s="8" t="s">
        <v>235</v>
      </c>
      <c r="AX1101" s="4" t="s">
        <v>235</v>
      </c>
      <c r="AY1101" s="8" t="s">
        <v>235</v>
      </c>
      <c r="AZ1101" s="7" t="s">
        <v>235</v>
      </c>
      <c r="BA1101" s="7" t="s">
        <v>235</v>
      </c>
      <c r="BB1101" s="7"/>
      <c r="BC1101" s="4" t="s">
        <v>235</v>
      </c>
      <c r="BD1101" s="8" t="s">
        <v>235</v>
      </c>
      <c r="BE1101" s="4" t="s">
        <v>235</v>
      </c>
      <c r="BF1101" s="8" t="s">
        <v>235</v>
      </c>
      <c r="BG1101" s="7" t="s">
        <v>235</v>
      </c>
      <c r="BH1101" s="7" t="s">
        <v>235</v>
      </c>
      <c r="BI1101" s="7"/>
      <c r="BJ1101" s="4">
        <v>60</v>
      </c>
      <c r="BK1101" s="8">
        <v>1834.38</v>
      </c>
      <c r="BL1101" s="2" t="s">
        <v>4341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4326</v>
      </c>
      <c r="BV1101" s="2" t="s">
        <v>235</v>
      </c>
      <c r="BW1101" s="2" t="s">
        <v>235</v>
      </c>
      <c r="BX1101" s="2" t="s">
        <v>619</v>
      </c>
      <c r="BY1101" s="2" t="s">
        <v>245</v>
      </c>
      <c r="BZ1101" s="2" t="s">
        <v>232</v>
      </c>
      <c r="CA1101" s="2" t="s">
        <v>235</v>
      </c>
      <c r="CB1101" s="2" t="s">
        <v>235</v>
      </c>
      <c r="CC1101" s="2" t="s">
        <v>248</v>
      </c>
      <c r="CD1101" s="2" t="s">
        <v>248</v>
      </c>
      <c r="CE1101" s="2" t="s">
        <v>235</v>
      </c>
      <c r="CF1101" s="4">
        <v>242</v>
      </c>
      <c r="CG1101" s="4"/>
      <c r="CH1101" s="4"/>
      <c r="CI1101" s="4">
        <v>101</v>
      </c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>
        <v>343</v>
      </c>
      <c r="GE1101" s="4">
        <v>333</v>
      </c>
      <c r="GF1101" s="4">
        <v>327</v>
      </c>
      <c r="GG1101" s="4">
        <v>321</v>
      </c>
      <c r="GH1101" s="4">
        <v>313</v>
      </c>
      <c r="GI1101" s="4">
        <v>302</v>
      </c>
      <c r="GJ1101" s="4">
        <v>288</v>
      </c>
      <c r="GK1101" s="4">
        <v>277</v>
      </c>
      <c r="GL1101" s="4">
        <v>267</v>
      </c>
      <c r="GM1101" s="4">
        <v>258</v>
      </c>
      <c r="GN1101" s="4">
        <v>245</v>
      </c>
      <c r="GO1101" s="4">
        <v>232</v>
      </c>
      <c r="GP1101" s="4">
        <v>216</v>
      </c>
      <c r="GQ1101" s="4">
        <v>197</v>
      </c>
      <c r="GR1101" s="4">
        <v>183</v>
      </c>
      <c r="GS1101" s="4">
        <v>171</v>
      </c>
      <c r="GT1101" s="4">
        <v>161</v>
      </c>
      <c r="GU1101" s="4">
        <v>151</v>
      </c>
      <c r="GV1101" s="4">
        <v>141</v>
      </c>
      <c r="GW1101" s="4">
        <v>132</v>
      </c>
      <c r="GX1101" s="4">
        <v>123</v>
      </c>
      <c r="GY1101" s="4">
        <v>114</v>
      </c>
      <c r="GZ1101" s="4">
        <v>105</v>
      </c>
      <c r="HA1101" s="4">
        <v>96</v>
      </c>
      <c r="HB1101" s="4">
        <v>87</v>
      </c>
      <c r="HC1101" s="4">
        <v>77</v>
      </c>
      <c r="HD1101" s="19">
        <v>49.5</v>
      </c>
      <c r="HE1101" s="19">
        <v>48</v>
      </c>
      <c r="HF1101" s="19">
        <v>32.5</v>
      </c>
      <c r="HG1101" s="19">
        <v>29.9</v>
      </c>
      <c r="HH1101" s="19">
        <v>29.1</v>
      </c>
      <c r="HI1101" s="19">
        <v>28.1</v>
      </c>
      <c r="HJ1101" s="19">
        <v>26.8</v>
      </c>
      <c r="HK1101" s="19">
        <v>22.4</v>
      </c>
      <c r="HL1101" s="19">
        <v>20.3</v>
      </c>
      <c r="HM1101" s="19">
        <v>16.7</v>
      </c>
      <c r="HN1101" s="19">
        <v>15.8</v>
      </c>
      <c r="HO1101" s="19">
        <v>15</v>
      </c>
      <c r="HP1101" s="19">
        <v>16.3</v>
      </c>
      <c r="HQ1101" s="19">
        <v>15.8</v>
      </c>
      <c r="HR1101" s="19">
        <v>18</v>
      </c>
      <c r="HS1101" s="19">
        <v>16.7</v>
      </c>
      <c r="HT1101" s="19">
        <v>17.1</v>
      </c>
      <c r="HU1101" s="19">
        <v>16</v>
      </c>
      <c r="HV1101" s="19">
        <v>15</v>
      </c>
      <c r="HW1101" s="19">
        <v>14</v>
      </c>
      <c r="HX1101" s="19">
        <v>13</v>
      </c>
      <c r="HY1101" s="19">
        <v>12</v>
      </c>
      <c r="HZ1101" s="19">
        <v>11</v>
      </c>
      <c r="IA1101" s="19">
        <v>10</v>
      </c>
      <c r="IB1101" s="19">
        <v>9</v>
      </c>
      <c r="IC1101" s="19">
        <v>7.9</v>
      </c>
    </row>
    <row r="1102">
      <c r="A1102" s="2" t="s">
        <v>4342</v>
      </c>
      <c r="B1102" s="2" t="s">
        <v>871</v>
      </c>
      <c r="C1102" s="2" t="s">
        <v>606</v>
      </c>
      <c r="D1102" s="2" t="s">
        <v>361</v>
      </c>
      <c r="E1102" s="2" t="s">
        <v>872</v>
      </c>
      <c r="F1102" s="2" t="s">
        <v>4323</v>
      </c>
      <c r="G1102" s="2" t="s">
        <v>4324</v>
      </c>
      <c r="H1102" s="2" t="s">
        <v>4325</v>
      </c>
      <c r="I1102" s="2" t="s">
        <v>924</v>
      </c>
      <c r="J1102" s="2" t="s">
        <v>365</v>
      </c>
      <c r="K1102" s="2" t="s">
        <v>316</v>
      </c>
      <c r="L1102" s="3">
        <v>31.5</v>
      </c>
      <c r="M1102" s="3">
        <v>33.08</v>
      </c>
      <c r="N1102" s="3">
        <v>64.99</v>
      </c>
      <c r="O1102" s="2" t="s">
        <v>232</v>
      </c>
      <c r="P1102" s="2" t="s">
        <v>878</v>
      </c>
      <c r="Q1102" s="2" t="s">
        <v>234</v>
      </c>
      <c r="R1102" s="2" t="s">
        <v>235</v>
      </c>
      <c r="S1102" s="2" t="s">
        <v>235</v>
      </c>
      <c r="T1102" s="2" t="s">
        <v>879</v>
      </c>
      <c r="U1102" s="2" t="s">
        <v>552</v>
      </c>
      <c r="V1102" s="2" t="s">
        <v>986</v>
      </c>
      <c r="W1102" s="2" t="s">
        <v>986</v>
      </c>
      <c r="X1102" s="2" t="s">
        <v>235</v>
      </c>
      <c r="Y1102" s="2" t="s">
        <v>1321</v>
      </c>
      <c r="Z1102" s="4">
        <v>712</v>
      </c>
      <c r="AA1102" s="4">
        <f>=ROUNDDOWN(203.428571428571,0)</f>
      </c>
      <c r="AB1102" s="5">
        <v>3.5</v>
      </c>
      <c r="AC1102" s="2" t="s">
        <v>235</v>
      </c>
      <c r="AD1102" s="4"/>
      <c r="AE1102" s="4"/>
      <c r="AF1102" s="6">
        <v>63</v>
      </c>
      <c r="AG1102" s="6">
        <v>46</v>
      </c>
      <c r="AH1102" s="7">
        <v>1</v>
      </c>
      <c r="AI1102" s="4"/>
      <c r="AJ1102" s="4">
        <f>=ROUNDDOWN({0},0)</f>
      </c>
      <c r="AK1102" s="5"/>
      <c r="AL1102" s="2" t="s">
        <v>235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235</v>
      </c>
      <c r="AW1102" s="8" t="s">
        <v>235</v>
      </c>
      <c r="AX1102" s="4" t="s">
        <v>235</v>
      </c>
      <c r="AY1102" s="8" t="s">
        <v>235</v>
      </c>
      <c r="AZ1102" s="7" t="s">
        <v>235</v>
      </c>
      <c r="BA1102" s="7" t="s">
        <v>235</v>
      </c>
      <c r="BB1102" s="7"/>
      <c r="BC1102" s="4" t="s">
        <v>235</v>
      </c>
      <c r="BD1102" s="8" t="s">
        <v>235</v>
      </c>
      <c r="BE1102" s="4" t="s">
        <v>235</v>
      </c>
      <c r="BF1102" s="8" t="s">
        <v>235</v>
      </c>
      <c r="BG1102" s="7" t="s">
        <v>235</v>
      </c>
      <c r="BH1102" s="7" t="s">
        <v>235</v>
      </c>
      <c r="BI1102" s="7"/>
      <c r="BJ1102" s="4">
        <v>22</v>
      </c>
      <c r="BK1102" s="8">
        <v>881.19</v>
      </c>
      <c r="BL1102" s="2" t="s">
        <v>1642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4326</v>
      </c>
      <c r="BV1102" s="2" t="s">
        <v>235</v>
      </c>
      <c r="BW1102" s="2" t="s">
        <v>235</v>
      </c>
      <c r="BX1102" s="2" t="s">
        <v>619</v>
      </c>
      <c r="BY1102" s="2" t="s">
        <v>245</v>
      </c>
      <c r="BZ1102" s="2" t="s">
        <v>232</v>
      </c>
      <c r="CA1102" s="2" t="s">
        <v>235</v>
      </c>
      <c r="CB1102" s="2" t="s">
        <v>235</v>
      </c>
      <c r="CC1102" s="2" t="s">
        <v>248</v>
      </c>
      <c r="CD1102" s="2" t="s">
        <v>248</v>
      </c>
      <c r="CE1102" s="2" t="s">
        <v>235</v>
      </c>
      <c r="CF1102" s="4">
        <v>494</v>
      </c>
      <c r="CG1102" s="4"/>
      <c r="CH1102" s="4"/>
      <c r="CI1102" s="4">
        <v>218</v>
      </c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>
        <v>713</v>
      </c>
      <c r="GE1102" s="4">
        <v>707</v>
      </c>
      <c r="GF1102" s="4">
        <v>702</v>
      </c>
      <c r="GG1102" s="4">
        <v>697</v>
      </c>
      <c r="GH1102" s="4">
        <v>691</v>
      </c>
      <c r="GI1102" s="4">
        <v>687</v>
      </c>
      <c r="GJ1102" s="4">
        <v>680</v>
      </c>
      <c r="GK1102" s="4">
        <v>675</v>
      </c>
      <c r="GL1102" s="4">
        <v>670</v>
      </c>
      <c r="GM1102" s="4">
        <v>666</v>
      </c>
      <c r="GN1102" s="4">
        <v>660</v>
      </c>
      <c r="GO1102" s="4">
        <v>652</v>
      </c>
      <c r="GP1102" s="4">
        <v>642</v>
      </c>
      <c r="GQ1102" s="4">
        <v>630</v>
      </c>
      <c r="GR1102" s="4">
        <v>622</v>
      </c>
      <c r="GS1102" s="4">
        <v>616</v>
      </c>
      <c r="GT1102" s="4">
        <v>610</v>
      </c>
      <c r="GU1102" s="4">
        <v>604</v>
      </c>
      <c r="GV1102" s="4">
        <v>599</v>
      </c>
      <c r="GW1102" s="4">
        <v>594</v>
      </c>
      <c r="GX1102" s="4">
        <v>589</v>
      </c>
      <c r="GY1102" s="4">
        <v>584</v>
      </c>
      <c r="GZ1102" s="4">
        <v>579</v>
      </c>
      <c r="HA1102" s="4">
        <v>574</v>
      </c>
      <c r="HB1102" s="4">
        <v>569</v>
      </c>
      <c r="HC1102" s="4">
        <v>563</v>
      </c>
      <c r="HD1102" s="19">
        <v>170.9</v>
      </c>
      <c r="HE1102" s="19">
        <v>169.8</v>
      </c>
      <c r="HF1102" s="19">
        <v>168.8</v>
      </c>
      <c r="HG1102" s="19">
        <v>167.8</v>
      </c>
      <c r="HH1102" s="19">
        <v>166.7</v>
      </c>
      <c r="HI1102" s="19">
        <v>165.8</v>
      </c>
      <c r="HJ1102" s="19">
        <v>164.5</v>
      </c>
      <c r="HK1102" s="19">
        <v>163.5</v>
      </c>
      <c r="HL1102" s="19">
        <v>90.9</v>
      </c>
      <c r="HM1102" s="19">
        <v>84.9</v>
      </c>
      <c r="HN1102" s="19">
        <v>84.3</v>
      </c>
      <c r="HO1102" s="19">
        <v>83.4</v>
      </c>
      <c r="HP1102" s="19">
        <v>87.5</v>
      </c>
      <c r="HQ1102" s="19">
        <v>143.4</v>
      </c>
      <c r="HR1102" s="19">
        <v>141.8</v>
      </c>
      <c r="HS1102" s="19">
        <v>151.3</v>
      </c>
      <c r="HT1102" s="19">
        <v>150.2</v>
      </c>
      <c r="HU1102" s="19">
        <v>149</v>
      </c>
      <c r="HV1102" s="19">
        <v>148</v>
      </c>
      <c r="HW1102" s="19">
        <v>147</v>
      </c>
      <c r="HX1102" s="19">
        <v>146</v>
      </c>
      <c r="HY1102" s="19">
        <v>145</v>
      </c>
      <c r="HZ1102" s="19">
        <v>144</v>
      </c>
      <c r="IA1102" s="19">
        <v>143</v>
      </c>
      <c r="IB1102" s="19">
        <v>142</v>
      </c>
      <c r="IC1102" s="19">
        <v>140.9</v>
      </c>
    </row>
    <row r="1103">
      <c r="A1103" s="2" t="s">
        <v>4343</v>
      </c>
      <c r="B1103" s="2" t="s">
        <v>871</v>
      </c>
      <c r="C1103" s="2" t="s">
        <v>606</v>
      </c>
      <c r="D1103" s="2" t="s">
        <v>361</v>
      </c>
      <c r="E1103" s="2" t="s">
        <v>872</v>
      </c>
      <c r="F1103" s="2" t="s">
        <v>4323</v>
      </c>
      <c r="G1103" s="2" t="s">
        <v>4324</v>
      </c>
      <c r="H1103" s="2" t="s">
        <v>4325</v>
      </c>
      <c r="I1103" s="2" t="s">
        <v>924</v>
      </c>
      <c r="J1103" s="2" t="s">
        <v>372</v>
      </c>
      <c r="K1103" s="2" t="s">
        <v>316</v>
      </c>
      <c r="L1103" s="3">
        <v>36.69</v>
      </c>
      <c r="M1103" s="3">
        <v>38.52</v>
      </c>
      <c r="N1103" s="3">
        <v>79.99</v>
      </c>
      <c r="O1103" s="2" t="s">
        <v>232</v>
      </c>
      <c r="P1103" s="2" t="s">
        <v>878</v>
      </c>
      <c r="Q1103" s="2" t="s">
        <v>234</v>
      </c>
      <c r="R1103" s="2" t="s">
        <v>235</v>
      </c>
      <c r="S1103" s="2" t="s">
        <v>235</v>
      </c>
      <c r="T1103" s="2" t="s">
        <v>879</v>
      </c>
      <c r="U1103" s="2" t="s">
        <v>552</v>
      </c>
      <c r="V1103" s="2" t="s">
        <v>986</v>
      </c>
      <c r="W1103" s="2" t="s">
        <v>986</v>
      </c>
      <c r="X1103" s="2" t="s">
        <v>235</v>
      </c>
      <c r="Y1103" s="2" t="s">
        <v>1321</v>
      </c>
      <c r="Z1103" s="4">
        <v>494</v>
      </c>
      <c r="AA1103" s="4">
        <f>=ROUNDDOWN(91.4814814814815,0)</f>
      </c>
      <c r="AB1103" s="5">
        <v>5.4</v>
      </c>
      <c r="AC1103" s="2" t="s">
        <v>235</v>
      </c>
      <c r="AD1103" s="4"/>
      <c r="AE1103" s="4"/>
      <c r="AF1103" s="6">
        <v>63</v>
      </c>
      <c r="AG1103" s="6">
        <v>46</v>
      </c>
      <c r="AH1103" s="7">
        <v>1</v>
      </c>
      <c r="AI1103" s="4"/>
      <c r="AJ1103" s="4">
        <f>=ROUNDDOWN({0},0)</f>
      </c>
      <c r="AK1103" s="5"/>
      <c r="AL1103" s="2" t="s">
        <v>235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235</v>
      </c>
      <c r="AW1103" s="8" t="s">
        <v>235</v>
      </c>
      <c r="AX1103" s="4" t="s">
        <v>235</v>
      </c>
      <c r="AY1103" s="8" t="s">
        <v>235</v>
      </c>
      <c r="AZ1103" s="7" t="s">
        <v>235</v>
      </c>
      <c r="BA1103" s="7" t="s">
        <v>235</v>
      </c>
      <c r="BB1103" s="7"/>
      <c r="BC1103" s="4" t="s">
        <v>235</v>
      </c>
      <c r="BD1103" s="8" t="s">
        <v>235</v>
      </c>
      <c r="BE1103" s="4" t="s">
        <v>235</v>
      </c>
      <c r="BF1103" s="8" t="s">
        <v>235</v>
      </c>
      <c r="BG1103" s="7" t="s">
        <v>235</v>
      </c>
      <c r="BH1103" s="7" t="s">
        <v>235</v>
      </c>
      <c r="BI1103" s="7"/>
      <c r="BJ1103" s="4">
        <v>18</v>
      </c>
      <c r="BK1103" s="8">
        <v>834.06</v>
      </c>
      <c r="BL1103" s="2" t="s">
        <v>4344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4326</v>
      </c>
      <c r="BV1103" s="2" t="s">
        <v>235</v>
      </c>
      <c r="BW1103" s="2" t="s">
        <v>235</v>
      </c>
      <c r="BX1103" s="2" t="s">
        <v>619</v>
      </c>
      <c r="BY1103" s="2" t="s">
        <v>245</v>
      </c>
      <c r="BZ1103" s="2" t="s">
        <v>232</v>
      </c>
      <c r="CA1103" s="2" t="s">
        <v>235</v>
      </c>
      <c r="CB1103" s="2" t="s">
        <v>235</v>
      </c>
      <c r="CC1103" s="2" t="s">
        <v>248</v>
      </c>
      <c r="CD1103" s="2" t="s">
        <v>248</v>
      </c>
      <c r="CE1103" s="2" t="s">
        <v>235</v>
      </c>
      <c r="CF1103" s="4">
        <v>355</v>
      </c>
      <c r="CG1103" s="4"/>
      <c r="CH1103" s="4"/>
      <c r="CI1103" s="4">
        <v>139</v>
      </c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>
        <v>494</v>
      </c>
      <c r="GE1103" s="4">
        <v>488</v>
      </c>
      <c r="GF1103" s="4">
        <v>483</v>
      </c>
      <c r="GG1103" s="4">
        <v>478</v>
      </c>
      <c r="GH1103" s="4">
        <v>473</v>
      </c>
      <c r="GI1103" s="4">
        <v>468</v>
      </c>
      <c r="GJ1103" s="4">
        <v>463</v>
      </c>
      <c r="GK1103" s="4">
        <v>458</v>
      </c>
      <c r="GL1103" s="4">
        <v>453</v>
      </c>
      <c r="GM1103" s="4">
        <v>448</v>
      </c>
      <c r="GN1103" s="4">
        <v>442</v>
      </c>
      <c r="GO1103" s="4">
        <v>435</v>
      </c>
      <c r="GP1103" s="4">
        <v>425</v>
      </c>
      <c r="GQ1103" s="4">
        <v>413</v>
      </c>
      <c r="GR1103" s="4">
        <v>403</v>
      </c>
      <c r="GS1103" s="4">
        <v>397</v>
      </c>
      <c r="GT1103" s="4">
        <v>391</v>
      </c>
      <c r="GU1103" s="4">
        <v>385</v>
      </c>
      <c r="GV1103" s="4">
        <v>380</v>
      </c>
      <c r="GW1103" s="4">
        <v>375</v>
      </c>
      <c r="GX1103" s="4">
        <v>370</v>
      </c>
      <c r="GY1103" s="4">
        <v>365</v>
      </c>
      <c r="GZ1103" s="4">
        <v>360</v>
      </c>
      <c r="HA1103" s="4">
        <v>355</v>
      </c>
      <c r="HB1103" s="4">
        <v>350</v>
      </c>
      <c r="HC1103" s="4">
        <v>344</v>
      </c>
      <c r="HD1103" s="19">
        <v>93.9</v>
      </c>
      <c r="HE1103" s="19">
        <v>92.8</v>
      </c>
      <c r="HF1103" s="19">
        <v>91.8</v>
      </c>
      <c r="HG1103" s="19">
        <v>90.8</v>
      </c>
      <c r="HH1103" s="19">
        <v>89.8</v>
      </c>
      <c r="HI1103" s="19">
        <v>88.8</v>
      </c>
      <c r="HJ1103" s="19">
        <v>87.8</v>
      </c>
      <c r="HK1103" s="19">
        <v>72.9</v>
      </c>
      <c r="HL1103" s="19">
        <v>61.8</v>
      </c>
      <c r="HM1103" s="19">
        <v>47.9</v>
      </c>
      <c r="HN1103" s="19">
        <v>41.8</v>
      </c>
      <c r="HO1103" s="19">
        <v>41.1</v>
      </c>
      <c r="HP1103" s="19">
        <v>50</v>
      </c>
      <c r="HQ1103" s="19">
        <v>65</v>
      </c>
      <c r="HR1103" s="19">
        <v>63.3</v>
      </c>
      <c r="HS1103" s="19">
        <v>62.3</v>
      </c>
      <c r="HT1103" s="19">
        <v>73.4</v>
      </c>
      <c r="HU1103" s="19">
        <v>72.3</v>
      </c>
      <c r="HV1103" s="19">
        <v>71.3</v>
      </c>
      <c r="HW1103" s="19">
        <v>70.3</v>
      </c>
      <c r="HX1103" s="19">
        <v>69.3</v>
      </c>
      <c r="HY1103" s="19">
        <v>68.3</v>
      </c>
      <c r="HZ1103" s="19">
        <v>67.3</v>
      </c>
      <c r="IA1103" s="19">
        <v>66.3</v>
      </c>
      <c r="IB1103" s="19">
        <v>65.3</v>
      </c>
      <c r="IC1103" s="19">
        <v>64.1</v>
      </c>
    </row>
    <row r="1104">
      <c r="A1104" s="2" t="s">
        <v>4345</v>
      </c>
      <c r="B1104" s="2" t="s">
        <v>817</v>
      </c>
      <c r="C1104" s="2" t="s">
        <v>1085</v>
      </c>
      <c r="D1104" s="2" t="s">
        <v>818</v>
      </c>
      <c r="E1104" s="2" t="s">
        <v>4346</v>
      </c>
      <c r="F1104" s="2" t="s">
        <v>4347</v>
      </c>
      <c r="G1104" s="2" t="s">
        <v>4347</v>
      </c>
      <c r="H1104" s="2" t="s">
        <v>4347</v>
      </c>
      <c r="I1104" s="2" t="s">
        <v>4348</v>
      </c>
      <c r="J1104" s="2" t="s">
        <v>806</v>
      </c>
      <c r="K1104" s="2" t="s">
        <v>4349</v>
      </c>
      <c r="L1104" s="3">
        <v>25.71</v>
      </c>
      <c r="M1104" s="3">
        <v>27</v>
      </c>
      <c r="N1104" s="3">
        <v>59.99</v>
      </c>
      <c r="O1104" s="2" t="s">
        <v>485</v>
      </c>
      <c r="P1104" s="2" t="s">
        <v>408</v>
      </c>
      <c r="Q1104" s="2" t="s">
        <v>234</v>
      </c>
      <c r="R1104" s="2" t="s">
        <v>235</v>
      </c>
      <c r="S1104" s="2" t="s">
        <v>235</v>
      </c>
      <c r="T1104" s="2" t="s">
        <v>235</v>
      </c>
      <c r="U1104" s="2" t="s">
        <v>552</v>
      </c>
      <c r="V1104" s="2" t="s">
        <v>1555</v>
      </c>
      <c r="W1104" s="2" t="s">
        <v>3881</v>
      </c>
      <c r="X1104" s="2" t="s">
        <v>671</v>
      </c>
      <c r="Y1104" s="2" t="s">
        <v>4350</v>
      </c>
      <c r="Z1104" s="4">
        <v>1</v>
      </c>
      <c r="AA1104" s="4">
        <f>=ROUNDDOWN(0.625,0)</f>
      </c>
      <c r="AB1104" s="5">
        <v>1.6</v>
      </c>
      <c r="AC1104" s="2" t="s">
        <v>235</v>
      </c>
      <c r="AD1104" s="4"/>
      <c r="AE1104" s="4"/>
      <c r="AF1104" s="6">
        <v>61</v>
      </c>
      <c r="AG1104" s="6"/>
      <c r="AH1104" s="7">
        <v>1</v>
      </c>
      <c r="AI1104" s="4"/>
      <c r="AJ1104" s="4">
        <f>=ROUNDDOWN({0},0)</f>
      </c>
      <c r="AK1104" s="5"/>
      <c r="AL1104" s="2" t="s">
        <v>235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>
        <v>10</v>
      </c>
      <c r="BK1104" s="8">
        <v>299.07</v>
      </c>
      <c r="BL1104" s="2" t="s">
        <v>4351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4352</v>
      </c>
      <c r="BV1104" s="2" t="s">
        <v>828</v>
      </c>
      <c r="BW1104" s="2" t="s">
        <v>235</v>
      </c>
      <c r="BX1104" s="2" t="s">
        <v>414</v>
      </c>
      <c r="BY1104" s="2" t="s">
        <v>245</v>
      </c>
      <c r="BZ1104" s="2" t="s">
        <v>232</v>
      </c>
      <c r="CA1104" s="2" t="s">
        <v>4353</v>
      </c>
      <c r="CB1104" s="2" t="s">
        <v>934</v>
      </c>
      <c r="CC1104" s="2" t="s">
        <v>248</v>
      </c>
      <c r="CD1104" s="2" t="s">
        <v>248</v>
      </c>
      <c r="CE1104" s="2" t="s">
        <v>235</v>
      </c>
      <c r="CF1104" s="4"/>
      <c r="CG1104" s="4">
        <v>1</v>
      </c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>
        <v>2</v>
      </c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19">
        <v>2</v>
      </c>
      <c r="HE1104" s="20">
        <v>0</v>
      </c>
      <c r="HF1104" s="20">
        <v>0</v>
      </c>
      <c r="HG1104" s="20">
        <v>0</v>
      </c>
      <c r="HH1104" s="20">
        <v>0</v>
      </c>
      <c r="HI1104" s="20">
        <v>0</v>
      </c>
      <c r="HJ1104" s="20">
        <v>0</v>
      </c>
      <c r="HK1104" s="20">
        <v>0</v>
      </c>
      <c r="HL1104" s="20">
        <v>0</v>
      </c>
      <c r="HM1104" s="20">
        <v>0</v>
      </c>
      <c r="HN1104" s="20">
        <v>0</v>
      </c>
      <c r="HO1104" s="20">
        <v>0</v>
      </c>
      <c r="HP1104" s="20">
        <v>0</v>
      </c>
      <c r="HQ1104" s="20">
        <v>0</v>
      </c>
      <c r="HR1104" s="20">
        <v>0</v>
      </c>
      <c r="HS1104" s="20">
        <v>0</v>
      </c>
      <c r="HT1104" s="20">
        <v>0</v>
      </c>
      <c r="HU1104" s="20">
        <v>0</v>
      </c>
      <c r="HV1104" s="20">
        <v>0</v>
      </c>
      <c r="HW1104" s="20">
        <v>0</v>
      </c>
      <c r="HX1104" s="20">
        <v>0</v>
      </c>
      <c r="HY1104" s="20">
        <v>0</v>
      </c>
      <c r="HZ1104" s="20">
        <v>0</v>
      </c>
      <c r="IA1104" s="20">
        <v>0</v>
      </c>
      <c r="IB1104" s="20">
        <v>0</v>
      </c>
      <c r="IC1104" s="20">
        <v>0</v>
      </c>
    </row>
    <row r="1105">
      <c r="A1105" s="2" t="s">
        <v>4354</v>
      </c>
      <c r="B1105" s="2" t="s">
        <v>871</v>
      </c>
      <c r="C1105" s="2" t="s">
        <v>403</v>
      </c>
      <c r="D1105" s="2" t="s">
        <v>361</v>
      </c>
      <c r="E1105" s="2" t="s">
        <v>1024</v>
      </c>
      <c r="F1105" s="2" t="s">
        <v>4355</v>
      </c>
      <c r="G1105" s="2" t="s">
        <v>4356</v>
      </c>
      <c r="H1105" s="2" t="s">
        <v>4357</v>
      </c>
      <c r="I1105" s="2" t="s">
        <v>4358</v>
      </c>
      <c r="J1105" s="2" t="s">
        <v>250</v>
      </c>
      <c r="K1105" s="2" t="s">
        <v>843</v>
      </c>
      <c r="L1105" s="3">
        <v>24</v>
      </c>
      <c r="M1105" s="3">
        <v>25.2</v>
      </c>
      <c r="N1105" s="3">
        <v>49.99</v>
      </c>
      <c r="O1105" s="2" t="s">
        <v>485</v>
      </c>
      <c r="P1105" s="2" t="s">
        <v>408</v>
      </c>
      <c r="Q1105" s="2" t="s">
        <v>234</v>
      </c>
      <c r="R1105" s="2" t="s">
        <v>235</v>
      </c>
      <c r="S1105" s="2" t="s">
        <v>4359</v>
      </c>
      <c r="T1105" s="2" t="s">
        <v>501</v>
      </c>
      <c r="U1105" s="2" t="s">
        <v>3619</v>
      </c>
      <c r="V1105" s="2" t="s">
        <v>1472</v>
      </c>
      <c r="W1105" s="2" t="s">
        <v>239</v>
      </c>
      <c r="X1105" s="2" t="s">
        <v>682</v>
      </c>
      <c r="Y1105" s="2" t="s">
        <v>4360</v>
      </c>
      <c r="Z1105" s="4"/>
      <c r="AA1105" s="4">
        <f>=ROUNDDOWN({0},0)</f>
      </c>
      <c r="AB1105" s="5">
        <v>30</v>
      </c>
      <c r="AC1105" s="2" t="s">
        <v>235</v>
      </c>
      <c r="AD1105" s="4"/>
      <c r="AE1105" s="4"/>
      <c r="AF1105" s="6">
        <v>64</v>
      </c>
      <c r="AG1105" s="6"/>
      <c r="AH1105" s="7">
        <v>0</v>
      </c>
      <c r="AI1105" s="4"/>
      <c r="AJ1105" s="4">
        <f>=ROUNDDOWN({0},0)</f>
      </c>
      <c r="AK1105" s="5"/>
      <c r="AL1105" s="2" t="s">
        <v>235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4361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4362</v>
      </c>
      <c r="BV1105" s="2" t="s">
        <v>243</v>
      </c>
      <c r="BW1105" s="2" t="s">
        <v>235</v>
      </c>
      <c r="BX1105" s="2" t="s">
        <v>414</v>
      </c>
      <c r="BY1105" s="2" t="s">
        <v>245</v>
      </c>
      <c r="BZ1105" s="2" t="s">
        <v>232</v>
      </c>
      <c r="CA1105" s="2" t="s">
        <v>4363</v>
      </c>
      <c r="CB1105" s="2" t="s">
        <v>1803</v>
      </c>
      <c r="CC1105" s="2" t="s">
        <v>248</v>
      </c>
      <c r="CD1105" s="2" t="s">
        <v>248</v>
      </c>
      <c r="CE1105" s="2" t="s">
        <v>235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20">
        <v>0</v>
      </c>
      <c r="HE1105" s="20">
        <v>0</v>
      </c>
      <c r="HF1105" s="20">
        <v>0</v>
      </c>
      <c r="HG1105" s="20">
        <v>0</v>
      </c>
      <c r="HH1105" s="20">
        <v>0</v>
      </c>
      <c r="HI1105" s="20">
        <v>0</v>
      </c>
      <c r="HJ1105" s="20">
        <v>0</v>
      </c>
      <c r="HK1105" s="20">
        <v>0</v>
      </c>
      <c r="HL1105" s="20">
        <v>0</v>
      </c>
      <c r="HM1105" s="20">
        <v>0</v>
      </c>
      <c r="HN1105" s="20">
        <v>0</v>
      </c>
      <c r="HO1105" s="20">
        <v>0</v>
      </c>
      <c r="HP1105" s="20">
        <v>0</v>
      </c>
      <c r="HQ1105" s="20">
        <v>0</v>
      </c>
      <c r="HR1105" s="20">
        <v>0</v>
      </c>
      <c r="HS1105" s="20">
        <v>0</v>
      </c>
      <c r="HT1105" s="20">
        <v>0</v>
      </c>
      <c r="HU1105" s="20">
        <v>0</v>
      </c>
      <c r="HV1105" s="20">
        <v>0</v>
      </c>
      <c r="HW1105" s="20">
        <v>0</v>
      </c>
      <c r="HX1105" s="20">
        <v>0</v>
      </c>
      <c r="HY1105" s="20">
        <v>0</v>
      </c>
      <c r="HZ1105" s="20">
        <v>0</v>
      </c>
      <c r="IA1105" s="20">
        <v>0</v>
      </c>
      <c r="IB1105" s="20">
        <v>0</v>
      </c>
      <c r="IC1105" s="20">
        <v>0</v>
      </c>
    </row>
    <row r="1106">
      <c r="A1106" s="2" t="s">
        <v>4364</v>
      </c>
      <c r="B1106" s="2" t="s">
        <v>871</v>
      </c>
      <c r="C1106" s="2" t="s">
        <v>2443</v>
      </c>
      <c r="D1106" s="2" t="s">
        <v>906</v>
      </c>
      <c r="E1106" s="2" t="s">
        <v>1301</v>
      </c>
      <c r="F1106" s="2" t="s">
        <v>4365</v>
      </c>
      <c r="G1106" s="2" t="s">
        <v>4366</v>
      </c>
      <c r="H1106" s="2" t="s">
        <v>4367</v>
      </c>
      <c r="I1106" s="2" t="s">
        <v>4368</v>
      </c>
      <c r="J1106" s="2" t="s">
        <v>394</v>
      </c>
      <c r="K1106" s="2" t="s">
        <v>889</v>
      </c>
      <c r="L1106" s="3">
        <v>31.97</v>
      </c>
      <c r="M1106" s="3">
        <v>33.57</v>
      </c>
      <c r="N1106" s="3">
        <v>69.99</v>
      </c>
      <c r="O1106" s="2" t="s">
        <v>232</v>
      </c>
      <c r="P1106" s="2" t="s">
        <v>878</v>
      </c>
      <c r="Q1106" s="2" t="s">
        <v>234</v>
      </c>
      <c r="R1106" s="2" t="s">
        <v>235</v>
      </c>
      <c r="S1106" s="2" t="s">
        <v>235</v>
      </c>
      <c r="T1106" s="2" t="s">
        <v>4369</v>
      </c>
      <c r="U1106" s="2" t="s">
        <v>278</v>
      </c>
      <c r="V1106" s="2" t="s">
        <v>880</v>
      </c>
      <c r="W1106" s="2" t="s">
        <v>882</v>
      </c>
      <c r="X1106" s="2" t="s">
        <v>235</v>
      </c>
      <c r="Y1106" s="2" t="s">
        <v>644</v>
      </c>
      <c r="Z1106" s="4">
        <v>160</v>
      </c>
      <c r="AA1106" s="4">
        <f>=ROUNDDOWN(53.3333333333333,0)</f>
      </c>
      <c r="AB1106" s="5">
        <v>3</v>
      </c>
      <c r="AC1106" s="2" t="s">
        <v>4370</v>
      </c>
      <c r="AD1106" s="4">
        <v>170</v>
      </c>
      <c r="AE1106" s="4">
        <v>170</v>
      </c>
      <c r="AF1106" s="6">
        <v>67</v>
      </c>
      <c r="AG1106" s="6"/>
      <c r="AH1106" s="7">
        <v>1</v>
      </c>
      <c r="AI1106" s="4"/>
      <c r="AJ1106" s="4">
        <f>=ROUNDDOWN({0},0)</f>
      </c>
      <c r="AK1106" s="5"/>
      <c r="AL1106" s="2" t="s">
        <v>235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235</v>
      </c>
      <c r="AW1106" s="8" t="s">
        <v>235</v>
      </c>
      <c r="AX1106" s="4" t="s">
        <v>235</v>
      </c>
      <c r="AY1106" s="8" t="s">
        <v>235</v>
      </c>
      <c r="AZ1106" s="7" t="s">
        <v>235</v>
      </c>
      <c r="BA1106" s="7" t="s">
        <v>235</v>
      </c>
      <c r="BB1106" s="7"/>
      <c r="BC1106" s="4" t="s">
        <v>235</v>
      </c>
      <c r="BD1106" s="8" t="s">
        <v>235</v>
      </c>
      <c r="BE1106" s="4" t="s">
        <v>235</v>
      </c>
      <c r="BF1106" s="8" t="s">
        <v>235</v>
      </c>
      <c r="BG1106" s="7" t="s">
        <v>235</v>
      </c>
      <c r="BH1106" s="7" t="s">
        <v>235</v>
      </c>
      <c r="BI1106" s="7"/>
      <c r="BJ1106" s="4">
        <v>66</v>
      </c>
      <c r="BK1106" s="8">
        <v>2412.64</v>
      </c>
      <c r="BL1106" s="2" t="s">
        <v>4269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4371</v>
      </c>
      <c r="BV1106" s="2" t="s">
        <v>235</v>
      </c>
      <c r="BW1106" s="2" t="s">
        <v>235</v>
      </c>
      <c r="BX1106" s="2" t="s">
        <v>244</v>
      </c>
      <c r="BY1106" s="2" t="s">
        <v>245</v>
      </c>
      <c r="BZ1106" s="2" t="s">
        <v>232</v>
      </c>
      <c r="CA1106" s="2" t="s">
        <v>235</v>
      </c>
      <c r="CB1106" s="2" t="s">
        <v>235</v>
      </c>
      <c r="CC1106" s="2" t="s">
        <v>248</v>
      </c>
      <c r="CD1106" s="2" t="s">
        <v>248</v>
      </c>
      <c r="CE1106" s="2" t="s">
        <v>235</v>
      </c>
      <c r="CF1106" s="4">
        <v>160</v>
      </c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>
        <v>170</v>
      </c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>
        <v>160</v>
      </c>
      <c r="GE1106" s="4">
        <v>329</v>
      </c>
      <c r="GF1106" s="4">
        <v>328</v>
      </c>
      <c r="GG1106" s="4">
        <v>327</v>
      </c>
      <c r="GH1106" s="4">
        <v>326</v>
      </c>
      <c r="GI1106" s="4">
        <v>325</v>
      </c>
      <c r="GJ1106" s="4">
        <v>323</v>
      </c>
      <c r="GK1106" s="4">
        <v>321</v>
      </c>
      <c r="GL1106" s="4">
        <v>319</v>
      </c>
      <c r="GM1106" s="4">
        <v>317</v>
      </c>
      <c r="GN1106" s="4">
        <v>313</v>
      </c>
      <c r="GO1106" s="4">
        <v>305</v>
      </c>
      <c r="GP1106" s="4">
        <v>298</v>
      </c>
      <c r="GQ1106" s="4">
        <v>287</v>
      </c>
      <c r="GR1106" s="4">
        <v>278</v>
      </c>
      <c r="GS1106" s="4">
        <v>270</v>
      </c>
      <c r="GT1106" s="4">
        <v>264</v>
      </c>
      <c r="GU1106" s="4">
        <v>259</v>
      </c>
      <c r="GV1106" s="4">
        <v>254</v>
      </c>
      <c r="GW1106" s="4">
        <v>249</v>
      </c>
      <c r="GX1106" s="4">
        <v>244</v>
      </c>
      <c r="GY1106" s="4">
        <v>239</v>
      </c>
      <c r="GZ1106" s="4">
        <v>234</v>
      </c>
      <c r="HA1106" s="4">
        <v>229</v>
      </c>
      <c r="HB1106" s="4">
        <v>224</v>
      </c>
      <c r="HC1106" s="4">
        <v>219</v>
      </c>
      <c r="HD1106" s="19">
        <v>160</v>
      </c>
      <c r="HE1106" s="19">
        <v>329</v>
      </c>
      <c r="HF1106" s="19">
        <v>328</v>
      </c>
      <c r="HG1106" s="19">
        <v>163.5</v>
      </c>
      <c r="HH1106" s="19">
        <v>163</v>
      </c>
      <c r="HI1106" s="19">
        <v>162.5</v>
      </c>
      <c r="HJ1106" s="19">
        <v>161.5</v>
      </c>
      <c r="HK1106" s="19">
        <v>80.3</v>
      </c>
      <c r="HL1106" s="19">
        <v>63.8</v>
      </c>
      <c r="HM1106" s="19">
        <v>39.6</v>
      </c>
      <c r="HN1106" s="19">
        <v>34.8</v>
      </c>
      <c r="HO1106" s="19">
        <v>33.9</v>
      </c>
      <c r="HP1106" s="19">
        <v>37.3</v>
      </c>
      <c r="HQ1106" s="19">
        <v>41</v>
      </c>
      <c r="HR1106" s="19">
        <v>46.3</v>
      </c>
      <c r="HS1106" s="19">
        <v>54</v>
      </c>
      <c r="HT1106" s="19">
        <v>52.8</v>
      </c>
      <c r="HU1106" s="19">
        <v>51.8</v>
      </c>
      <c r="HV1106" s="19">
        <v>50.8</v>
      </c>
      <c r="HW1106" s="19">
        <v>49.8</v>
      </c>
      <c r="HX1106" s="19">
        <v>48.8</v>
      </c>
      <c r="HY1106" s="19">
        <v>47.8</v>
      </c>
      <c r="HZ1106" s="19">
        <v>46.8</v>
      </c>
      <c r="IA1106" s="19">
        <v>45.8</v>
      </c>
      <c r="IB1106" s="19">
        <v>44.8</v>
      </c>
      <c r="IC1106" s="19">
        <v>43.8</v>
      </c>
    </row>
    <row r="1107">
      <c r="A1107" s="2" t="s">
        <v>4372</v>
      </c>
      <c r="B1107" s="2" t="s">
        <v>871</v>
      </c>
      <c r="C1107" s="2" t="s">
        <v>2443</v>
      </c>
      <c r="D1107" s="2" t="s">
        <v>906</v>
      </c>
      <c r="E1107" s="2" t="s">
        <v>1301</v>
      </c>
      <c r="F1107" s="2" t="s">
        <v>4365</v>
      </c>
      <c r="G1107" s="2" t="s">
        <v>4366</v>
      </c>
      <c r="H1107" s="2" t="s">
        <v>4367</v>
      </c>
      <c r="I1107" s="2" t="s">
        <v>4368</v>
      </c>
      <c r="J1107" s="2" t="s">
        <v>365</v>
      </c>
      <c r="K1107" s="2" t="s">
        <v>889</v>
      </c>
      <c r="L1107" s="3">
        <v>37.23</v>
      </c>
      <c r="M1107" s="3">
        <v>39.09</v>
      </c>
      <c r="N1107" s="3">
        <v>79.99</v>
      </c>
      <c r="O1107" s="2" t="s">
        <v>232</v>
      </c>
      <c r="P1107" s="2" t="s">
        <v>878</v>
      </c>
      <c r="Q1107" s="2" t="s">
        <v>234</v>
      </c>
      <c r="R1107" s="2" t="s">
        <v>235</v>
      </c>
      <c r="S1107" s="2" t="s">
        <v>235</v>
      </c>
      <c r="T1107" s="2" t="s">
        <v>4369</v>
      </c>
      <c r="U1107" s="2" t="s">
        <v>552</v>
      </c>
      <c r="V1107" s="2" t="s">
        <v>880</v>
      </c>
      <c r="W1107" s="2" t="s">
        <v>882</v>
      </c>
      <c r="X1107" s="2" t="s">
        <v>235</v>
      </c>
      <c r="Y1107" s="2" t="s">
        <v>644</v>
      </c>
      <c r="Z1107" s="4">
        <v>261</v>
      </c>
      <c r="AA1107" s="4">
        <f>=ROUNDDOWN(163.125,0)</f>
      </c>
      <c r="AB1107" s="5">
        <v>1.6</v>
      </c>
      <c r="AC1107" s="2" t="s">
        <v>4370</v>
      </c>
      <c r="AD1107" s="4">
        <v>289</v>
      </c>
      <c r="AE1107" s="4">
        <v>289</v>
      </c>
      <c r="AF1107" s="6">
        <v>67</v>
      </c>
      <c r="AG1107" s="6"/>
      <c r="AH1107" s="7">
        <v>1</v>
      </c>
      <c r="AI1107" s="4"/>
      <c r="AJ1107" s="4">
        <f>=ROUNDDOWN({0},0)</f>
      </c>
      <c r="AK1107" s="5"/>
      <c r="AL1107" s="2" t="s">
        <v>235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235</v>
      </c>
      <c r="AW1107" s="8" t="s">
        <v>235</v>
      </c>
      <c r="AX1107" s="4" t="s">
        <v>235</v>
      </c>
      <c r="AY1107" s="8" t="s">
        <v>235</v>
      </c>
      <c r="AZ1107" s="7" t="s">
        <v>235</v>
      </c>
      <c r="BA1107" s="7" t="s">
        <v>235</v>
      </c>
      <c r="BB1107" s="7"/>
      <c r="BC1107" s="4" t="s">
        <v>235</v>
      </c>
      <c r="BD1107" s="8" t="s">
        <v>235</v>
      </c>
      <c r="BE1107" s="4" t="s">
        <v>235</v>
      </c>
      <c r="BF1107" s="8" t="s">
        <v>235</v>
      </c>
      <c r="BG1107" s="7" t="s">
        <v>235</v>
      </c>
      <c r="BH1107" s="7" t="s">
        <v>235</v>
      </c>
      <c r="BI1107" s="7"/>
      <c r="BJ1107" s="4">
        <v>21</v>
      </c>
      <c r="BK1107" s="8">
        <v>899.01</v>
      </c>
      <c r="BL1107" s="2" t="s">
        <v>2683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4371</v>
      </c>
      <c r="BV1107" s="2" t="s">
        <v>235</v>
      </c>
      <c r="BW1107" s="2" t="s">
        <v>235</v>
      </c>
      <c r="BX1107" s="2" t="s">
        <v>244</v>
      </c>
      <c r="BY1107" s="2" t="s">
        <v>245</v>
      </c>
      <c r="BZ1107" s="2" t="s">
        <v>232</v>
      </c>
      <c r="CA1107" s="2" t="s">
        <v>235</v>
      </c>
      <c r="CB1107" s="2" t="s">
        <v>235</v>
      </c>
      <c r="CC1107" s="2" t="s">
        <v>248</v>
      </c>
      <c r="CD1107" s="2" t="s">
        <v>248</v>
      </c>
      <c r="CE1107" s="2" t="s">
        <v>235</v>
      </c>
      <c r="CF1107" s="4">
        <v>261</v>
      </c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>
        <v>289</v>
      </c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>
        <v>262</v>
      </c>
      <c r="GE1107" s="4">
        <v>547</v>
      </c>
      <c r="GF1107" s="4">
        <v>541</v>
      </c>
      <c r="GG1107" s="4">
        <v>535</v>
      </c>
      <c r="GH1107" s="4">
        <v>525</v>
      </c>
      <c r="GI1107" s="4">
        <v>515</v>
      </c>
      <c r="GJ1107" s="4">
        <v>497</v>
      </c>
      <c r="GK1107" s="4">
        <v>481</v>
      </c>
      <c r="GL1107" s="4">
        <v>466</v>
      </c>
      <c r="GM1107" s="4">
        <v>453</v>
      </c>
      <c r="GN1107" s="4">
        <v>437</v>
      </c>
      <c r="GO1107" s="4">
        <v>414</v>
      </c>
      <c r="GP1107" s="4">
        <v>396</v>
      </c>
      <c r="GQ1107" s="4">
        <v>357</v>
      </c>
      <c r="GR1107" s="4">
        <v>328</v>
      </c>
      <c r="GS1107" s="4">
        <v>303</v>
      </c>
      <c r="GT1107" s="4">
        <v>287</v>
      </c>
      <c r="GU1107" s="4">
        <v>278</v>
      </c>
      <c r="GV1107" s="4">
        <v>266</v>
      </c>
      <c r="GW1107" s="4">
        <v>255</v>
      </c>
      <c r="GX1107" s="4">
        <v>244</v>
      </c>
      <c r="GY1107" s="4">
        <v>233</v>
      </c>
      <c r="GZ1107" s="4">
        <v>222</v>
      </c>
      <c r="HA1107" s="4">
        <v>211</v>
      </c>
      <c r="HB1107" s="4">
        <v>200</v>
      </c>
      <c r="HC1107" s="4">
        <v>188</v>
      </c>
      <c r="HD1107" s="19">
        <v>43.7</v>
      </c>
      <c r="HE1107" s="19">
        <v>68.4</v>
      </c>
      <c r="HF1107" s="19">
        <v>49.2</v>
      </c>
      <c r="HG1107" s="19">
        <v>38.2</v>
      </c>
      <c r="HH1107" s="19">
        <v>35</v>
      </c>
      <c r="HI1107" s="19">
        <v>32.2</v>
      </c>
      <c r="HJ1107" s="19">
        <v>33.1</v>
      </c>
      <c r="HK1107" s="19">
        <v>28.3</v>
      </c>
      <c r="HL1107" s="19">
        <v>25.9</v>
      </c>
      <c r="HM1107" s="19">
        <v>18.9</v>
      </c>
      <c r="HN1107" s="19">
        <v>16.2</v>
      </c>
      <c r="HO1107" s="19">
        <v>14.8</v>
      </c>
      <c r="HP1107" s="19">
        <v>14.7</v>
      </c>
      <c r="HQ1107" s="19">
        <v>17.9</v>
      </c>
      <c r="HR1107" s="19">
        <v>20.5</v>
      </c>
      <c r="HS1107" s="19">
        <v>25.3</v>
      </c>
      <c r="HT1107" s="19">
        <v>26.1</v>
      </c>
      <c r="HU1107" s="19">
        <v>25.3</v>
      </c>
      <c r="HV1107" s="19">
        <v>24.2</v>
      </c>
      <c r="HW1107" s="19">
        <v>23.2</v>
      </c>
      <c r="HX1107" s="19">
        <v>22.2</v>
      </c>
      <c r="HY1107" s="19">
        <v>21.2</v>
      </c>
      <c r="HZ1107" s="19">
        <v>20.2</v>
      </c>
      <c r="IA1107" s="19">
        <v>19.2</v>
      </c>
      <c r="IB1107" s="19">
        <v>18.2</v>
      </c>
      <c r="IC1107" s="19">
        <v>17.1</v>
      </c>
    </row>
    <row r="1108">
      <c r="A1108" s="2" t="s">
        <v>4373</v>
      </c>
      <c r="B1108" s="2" t="s">
        <v>1529</v>
      </c>
      <c r="C1108" s="2" t="s">
        <v>1381</v>
      </c>
      <c r="D1108" s="2" t="s">
        <v>4374</v>
      </c>
      <c r="E1108" s="2" t="s">
        <v>4375</v>
      </c>
      <c r="F1108" s="2" t="s">
        <v>4376</v>
      </c>
      <c r="G1108" s="2" t="s">
        <v>4376</v>
      </c>
      <c r="H1108" s="2" t="s">
        <v>4376</v>
      </c>
      <c r="I1108" s="2" t="s">
        <v>4375</v>
      </c>
      <c r="J1108" s="2" t="s">
        <v>897</v>
      </c>
      <c r="K1108" s="2" t="s">
        <v>378</v>
      </c>
      <c r="L1108" s="3">
        <v>356.43</v>
      </c>
      <c r="M1108" s="3">
        <v>374.25</v>
      </c>
      <c r="N1108" s="3">
        <v>999</v>
      </c>
      <c r="O1108" s="2" t="s">
        <v>232</v>
      </c>
      <c r="P1108" s="2" t="s">
        <v>1533</v>
      </c>
      <c r="Q1108" s="2" t="s">
        <v>492</v>
      </c>
      <c r="R1108" s="2" t="s">
        <v>235</v>
      </c>
      <c r="S1108" s="2" t="s">
        <v>235</v>
      </c>
      <c r="T1108" s="2" t="s">
        <v>235</v>
      </c>
      <c r="U1108" s="2" t="s">
        <v>807</v>
      </c>
      <c r="V1108" s="2" t="s">
        <v>238</v>
      </c>
      <c r="W1108" s="2" t="s">
        <v>235</v>
      </c>
      <c r="X1108" s="2" t="s">
        <v>235</v>
      </c>
      <c r="Y1108" s="2" t="s">
        <v>931</v>
      </c>
      <c r="Z1108" s="4">
        <v>15</v>
      </c>
      <c r="AA1108" s="4">
        <f>=ROUNDDOWN(37.5,0)</f>
      </c>
      <c r="AB1108" s="5">
        <v>0.4</v>
      </c>
      <c r="AC1108" s="2" t="s">
        <v>235</v>
      </c>
      <c r="AD1108" s="4"/>
      <c r="AE1108" s="4"/>
      <c r="AF1108" s="6"/>
      <c r="AG1108" s="6"/>
      <c r="AH1108" s="7">
        <v>1</v>
      </c>
      <c r="AI1108" s="4"/>
      <c r="AJ1108" s="4">
        <f>=ROUNDDOWN({0},0)</f>
      </c>
      <c r="AK1108" s="5"/>
      <c r="AL1108" s="2" t="s">
        <v>235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235</v>
      </c>
      <c r="BD1108" s="8" t="s">
        <v>235</v>
      </c>
      <c r="BE1108" s="4" t="s">
        <v>235</v>
      </c>
      <c r="BF1108" s="8" t="s">
        <v>235</v>
      </c>
      <c r="BG1108" s="7" t="s">
        <v>235</v>
      </c>
      <c r="BH1108" s="7" t="s">
        <v>235</v>
      </c>
      <c r="BI1108" s="7"/>
      <c r="BJ1108" s="4">
        <v>4</v>
      </c>
      <c r="BK1108" s="8">
        <v>1474.82</v>
      </c>
      <c r="BL1108" s="2" t="s">
        <v>900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4377</v>
      </c>
      <c r="BV1108" s="2" t="s">
        <v>1488</v>
      </c>
      <c r="BW1108" s="2" t="s">
        <v>235</v>
      </c>
      <c r="BX1108" s="2" t="s">
        <v>244</v>
      </c>
      <c r="BY1108" s="2" t="s">
        <v>245</v>
      </c>
      <c r="BZ1108" s="2" t="s">
        <v>232</v>
      </c>
      <c r="CA1108" s="2" t="s">
        <v>1536</v>
      </c>
      <c r="CB1108" s="2" t="s">
        <v>235</v>
      </c>
      <c r="CC1108" s="2" t="s">
        <v>248</v>
      </c>
      <c r="CD1108" s="2" t="s">
        <v>248</v>
      </c>
      <c r="CE1108" s="2" t="s">
        <v>235</v>
      </c>
      <c r="CF1108" s="4"/>
      <c r="CG1108" s="4">
        <v>2</v>
      </c>
      <c r="CH1108" s="4"/>
      <c r="CI1108" s="4">
        <v>13</v>
      </c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  <c r="HU1108" s="9"/>
      <c r="HV1108" s="9"/>
      <c r="HW1108" s="9"/>
      <c r="HX1108" s="9"/>
      <c r="HY1108" s="9"/>
      <c r="HZ1108" s="9"/>
      <c r="IA1108" s="9"/>
      <c r="IB1108" s="9"/>
      <c r="IC1108" s="9"/>
    </row>
    <row r="1109">
      <c r="A1109" s="2" t="s">
        <v>4378</v>
      </c>
      <c r="B1109" s="2" t="s">
        <v>1529</v>
      </c>
      <c r="C1109" s="2" t="s">
        <v>1381</v>
      </c>
      <c r="D1109" s="2" t="s">
        <v>4379</v>
      </c>
      <c r="E1109" s="2" t="s">
        <v>4380</v>
      </c>
      <c r="F1109" s="2" t="s">
        <v>4376</v>
      </c>
      <c r="G1109" s="2" t="s">
        <v>4376</v>
      </c>
      <c r="H1109" s="2" t="s">
        <v>4376</v>
      </c>
      <c r="I1109" s="2" t="s">
        <v>4381</v>
      </c>
      <c r="J1109" s="2" t="s">
        <v>897</v>
      </c>
      <c r="K1109" s="2" t="s">
        <v>4382</v>
      </c>
      <c r="L1109" s="3">
        <v>313.57</v>
      </c>
      <c r="M1109" s="3">
        <v>329.25</v>
      </c>
      <c r="N1109" s="3">
        <v>869</v>
      </c>
      <c r="O1109" s="2" t="s">
        <v>232</v>
      </c>
      <c r="P1109" s="2" t="s">
        <v>1533</v>
      </c>
      <c r="Q1109" s="2" t="s">
        <v>492</v>
      </c>
      <c r="R1109" s="2" t="s">
        <v>235</v>
      </c>
      <c r="S1109" s="2" t="s">
        <v>235</v>
      </c>
      <c r="T1109" s="2" t="s">
        <v>235</v>
      </c>
      <c r="U1109" s="2" t="s">
        <v>807</v>
      </c>
      <c r="V1109" s="2" t="s">
        <v>238</v>
      </c>
      <c r="W1109" s="2" t="s">
        <v>235</v>
      </c>
      <c r="X1109" s="2" t="s">
        <v>235</v>
      </c>
      <c r="Y1109" s="2" t="s">
        <v>931</v>
      </c>
      <c r="Z1109" s="4">
        <v>88</v>
      </c>
      <c r="AA1109" s="4">
        <f>=ROUNDDOWN(73.3333333333333,0)</f>
      </c>
      <c r="AB1109" s="5">
        <v>1.2</v>
      </c>
      <c r="AC1109" s="2" t="s">
        <v>235</v>
      </c>
      <c r="AD1109" s="4"/>
      <c r="AE1109" s="4"/>
      <c r="AF1109" s="6"/>
      <c r="AG1109" s="6"/>
      <c r="AH1109" s="7">
        <v>0</v>
      </c>
      <c r="AI1109" s="4"/>
      <c r="AJ1109" s="4">
        <f>=ROUNDDOWN({0},0)</f>
      </c>
      <c r="AK1109" s="5"/>
      <c r="AL1109" s="2" t="s">
        <v>235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235</v>
      </c>
      <c r="AW1109" s="8" t="s">
        <v>235</v>
      </c>
      <c r="AX1109" s="4" t="s">
        <v>235</v>
      </c>
      <c r="AY1109" s="8" t="s">
        <v>235</v>
      </c>
      <c r="AZ1109" s="7" t="s">
        <v>235</v>
      </c>
      <c r="BA1109" s="7" t="s">
        <v>235</v>
      </c>
      <c r="BB1109" s="7" t="s">
        <v>235</v>
      </c>
      <c r="BC1109" s="4" t="s">
        <v>235</v>
      </c>
      <c r="BD1109" s="8" t="s">
        <v>235</v>
      </c>
      <c r="BE1109" s="4" t="s">
        <v>235</v>
      </c>
      <c r="BF1109" s="8" t="s">
        <v>235</v>
      </c>
      <c r="BG1109" s="7" t="s">
        <v>235</v>
      </c>
      <c r="BH1109" s="7" t="s">
        <v>235</v>
      </c>
      <c r="BI1109" s="7"/>
      <c r="BJ1109" s="4"/>
      <c r="BK1109" s="8"/>
      <c r="BL1109" s="2" t="s">
        <v>900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4383</v>
      </c>
      <c r="BV1109" s="2" t="s">
        <v>4384</v>
      </c>
      <c r="BW1109" s="2" t="s">
        <v>235</v>
      </c>
      <c r="BX1109" s="2" t="s">
        <v>244</v>
      </c>
      <c r="BY1109" s="2" t="s">
        <v>245</v>
      </c>
      <c r="BZ1109" s="2" t="s">
        <v>232</v>
      </c>
      <c r="CA1109" s="2" t="s">
        <v>1536</v>
      </c>
      <c r="CB1109" s="2" t="s">
        <v>235</v>
      </c>
      <c r="CC1109" s="2" t="s">
        <v>248</v>
      </c>
      <c r="CD1109" s="2" t="s">
        <v>248</v>
      </c>
      <c r="CE1109" s="2" t="s">
        <v>235</v>
      </c>
      <c r="CF1109" s="4"/>
      <c r="CG1109" s="4">
        <v>88</v>
      </c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9"/>
    </row>
    <row r="1110">
      <c r="A1110" s="2" t="s">
        <v>4385</v>
      </c>
      <c r="B1110" s="2" t="s">
        <v>1529</v>
      </c>
      <c r="C1110" s="2" t="s">
        <v>1381</v>
      </c>
      <c r="D1110" s="2" t="s">
        <v>4193</v>
      </c>
      <c r="E1110" s="2" t="s">
        <v>4198</v>
      </c>
      <c r="F1110" s="2" t="s">
        <v>4376</v>
      </c>
      <c r="G1110" s="2" t="s">
        <v>4376</v>
      </c>
      <c r="H1110" s="2" t="s">
        <v>4376</v>
      </c>
      <c r="I1110" s="2" t="s">
        <v>4386</v>
      </c>
      <c r="J1110" s="2" t="s">
        <v>897</v>
      </c>
      <c r="K1110" s="2" t="s">
        <v>4382</v>
      </c>
      <c r="L1110" s="3">
        <v>570.71</v>
      </c>
      <c r="M1110" s="3">
        <v>599.25</v>
      </c>
      <c r="N1110" s="3">
        <v>1599</v>
      </c>
      <c r="O1110" s="2" t="s">
        <v>232</v>
      </c>
      <c r="P1110" s="2" t="s">
        <v>1533</v>
      </c>
      <c r="Q1110" s="2" t="s">
        <v>492</v>
      </c>
      <c r="R1110" s="2" t="s">
        <v>235</v>
      </c>
      <c r="S1110" s="2" t="s">
        <v>235</v>
      </c>
      <c r="T1110" s="2" t="s">
        <v>235</v>
      </c>
      <c r="U1110" s="2" t="s">
        <v>807</v>
      </c>
      <c r="V1110" s="2" t="s">
        <v>238</v>
      </c>
      <c r="W1110" s="2" t="s">
        <v>235</v>
      </c>
      <c r="X1110" s="2" t="s">
        <v>235</v>
      </c>
      <c r="Y1110" s="2" t="s">
        <v>931</v>
      </c>
      <c r="Z1110" s="4">
        <v>14</v>
      </c>
      <c r="AA1110" s="4">
        <f>=ROUNDDOWN(140,0)</f>
      </c>
      <c r="AB1110" s="5">
        <v>0.1</v>
      </c>
      <c r="AC1110" s="2" t="s">
        <v>235</v>
      </c>
      <c r="AD1110" s="4"/>
      <c r="AE1110" s="4"/>
      <c r="AF1110" s="6"/>
      <c r="AG1110" s="6"/>
      <c r="AH1110" s="7">
        <v>1</v>
      </c>
      <c r="AI1110" s="4"/>
      <c r="AJ1110" s="4">
        <f>=ROUNDDOWN({0},0)</f>
      </c>
      <c r="AK1110" s="5"/>
      <c r="AL1110" s="2" t="s">
        <v>235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235</v>
      </c>
      <c r="AW1110" s="8" t="s">
        <v>235</v>
      </c>
      <c r="AX1110" s="4" t="s">
        <v>235</v>
      </c>
      <c r="AY1110" s="8" t="s">
        <v>235</v>
      </c>
      <c r="AZ1110" s="7" t="s">
        <v>235</v>
      </c>
      <c r="BA1110" s="7" t="s">
        <v>235</v>
      </c>
      <c r="BB1110" s="7" t="s">
        <v>235</v>
      </c>
      <c r="BC1110" s="4" t="s">
        <v>235</v>
      </c>
      <c r="BD1110" s="8" t="s">
        <v>235</v>
      </c>
      <c r="BE1110" s="4" t="s">
        <v>235</v>
      </c>
      <c r="BF1110" s="8" t="s">
        <v>235</v>
      </c>
      <c r="BG1110" s="7" t="s">
        <v>235</v>
      </c>
      <c r="BH1110" s="7" t="s">
        <v>235</v>
      </c>
      <c r="BI1110" s="7"/>
      <c r="BJ1110" s="4">
        <v>1</v>
      </c>
      <c r="BK1110" s="8">
        <v>844.37</v>
      </c>
      <c r="BL1110" s="2" t="s">
        <v>900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4387</v>
      </c>
      <c r="BV1110" s="2" t="s">
        <v>1488</v>
      </c>
      <c r="BW1110" s="2" t="s">
        <v>235</v>
      </c>
      <c r="BX1110" s="2" t="s">
        <v>244</v>
      </c>
      <c r="BY1110" s="2" t="s">
        <v>245</v>
      </c>
      <c r="BZ1110" s="2" t="s">
        <v>232</v>
      </c>
      <c r="CA1110" s="2" t="s">
        <v>1536</v>
      </c>
      <c r="CB1110" s="2" t="s">
        <v>2954</v>
      </c>
      <c r="CC1110" s="2" t="s">
        <v>248</v>
      </c>
      <c r="CD1110" s="2" t="s">
        <v>248</v>
      </c>
      <c r="CE1110" s="2" t="s">
        <v>235</v>
      </c>
      <c r="CF1110" s="4"/>
      <c r="CG1110" s="4"/>
      <c r="CH1110" s="4"/>
      <c r="CI1110" s="4">
        <v>14</v>
      </c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  <c r="HU1110" s="9"/>
      <c r="HV1110" s="9"/>
      <c r="HW1110" s="9"/>
      <c r="HX1110" s="9"/>
      <c r="HY1110" s="9"/>
      <c r="HZ1110" s="9"/>
      <c r="IA1110" s="9"/>
      <c r="IB1110" s="9"/>
      <c r="IC1110" s="9"/>
    </row>
    <row r="1111">
      <c r="A1111" s="2" t="s">
        <v>4388</v>
      </c>
      <c r="B1111" s="2" t="s">
        <v>817</v>
      </c>
      <c r="C1111" s="2" t="s">
        <v>923</v>
      </c>
      <c r="D1111" s="2" t="s">
        <v>818</v>
      </c>
      <c r="E1111" s="2" t="s">
        <v>819</v>
      </c>
      <c r="F1111" s="2" t="s">
        <v>4389</v>
      </c>
      <c r="G1111" s="2" t="s">
        <v>4389</v>
      </c>
      <c r="H1111" s="2" t="s">
        <v>4389</v>
      </c>
      <c r="I1111" s="2" t="s">
        <v>4390</v>
      </c>
      <c r="J1111" s="2" t="s">
        <v>806</v>
      </c>
      <c r="K1111" s="2" t="s">
        <v>2386</v>
      </c>
      <c r="L1111" s="3">
        <v>22.66</v>
      </c>
      <c r="M1111" s="3">
        <v>23.79</v>
      </c>
      <c r="N1111" s="3">
        <v>52.99</v>
      </c>
      <c r="O1111" s="2" t="s">
        <v>485</v>
      </c>
      <c r="P1111" s="2" t="s">
        <v>408</v>
      </c>
      <c r="Q1111" s="2" t="s">
        <v>234</v>
      </c>
      <c r="R1111" s="2" t="s">
        <v>235</v>
      </c>
      <c r="S1111" s="2" t="s">
        <v>4391</v>
      </c>
      <c r="T1111" s="2" t="s">
        <v>235</v>
      </c>
      <c r="U1111" s="2" t="s">
        <v>278</v>
      </c>
      <c r="V1111" s="2" t="s">
        <v>824</v>
      </c>
      <c r="W1111" s="2" t="s">
        <v>682</v>
      </c>
      <c r="X1111" s="2" t="s">
        <v>235</v>
      </c>
      <c r="Y1111" s="2" t="s">
        <v>1924</v>
      </c>
      <c r="Z1111" s="4">
        <v>53</v>
      </c>
      <c r="AA1111" s="4">
        <f>=ROUNDDOWN(176.666666666667,0)</f>
      </c>
      <c r="AB1111" s="5">
        <v>0.3</v>
      </c>
      <c r="AC1111" s="2" t="s">
        <v>235</v>
      </c>
      <c r="AD1111" s="4"/>
      <c r="AE1111" s="4"/>
      <c r="AF1111" s="6">
        <v>63</v>
      </c>
      <c r="AG1111" s="6"/>
      <c r="AH1111" s="7">
        <v>1</v>
      </c>
      <c r="AI1111" s="4"/>
      <c r="AJ1111" s="4">
        <f>=ROUNDDOWN({0},0)</f>
      </c>
      <c r="AK1111" s="5"/>
      <c r="AL1111" s="2" t="s">
        <v>235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>
        <v>1</v>
      </c>
      <c r="BK1111" s="8">
        <v>53.77</v>
      </c>
      <c r="BL1111" s="2" t="s">
        <v>4392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4393</v>
      </c>
      <c r="BV1111" s="2" t="s">
        <v>828</v>
      </c>
      <c r="BW1111" s="2" t="s">
        <v>235</v>
      </c>
      <c r="BX1111" s="2" t="s">
        <v>414</v>
      </c>
      <c r="BY1111" s="2" t="s">
        <v>245</v>
      </c>
      <c r="BZ1111" s="2" t="s">
        <v>232</v>
      </c>
      <c r="CA1111" s="2" t="s">
        <v>1927</v>
      </c>
      <c r="CB1111" s="2" t="s">
        <v>4394</v>
      </c>
      <c r="CC1111" s="2" t="s">
        <v>492</v>
      </c>
      <c r="CD1111" s="2" t="s">
        <v>248</v>
      </c>
      <c r="CE1111" s="2" t="s">
        <v>235</v>
      </c>
      <c r="CF1111" s="4"/>
      <c r="CG1111" s="4">
        <v>53</v>
      </c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>
        <v>53</v>
      </c>
      <c r="GE1111" s="4">
        <v>53</v>
      </c>
      <c r="GF1111" s="4">
        <v>53</v>
      </c>
      <c r="GG1111" s="4">
        <v>53</v>
      </c>
      <c r="GH1111" s="4">
        <v>53</v>
      </c>
      <c r="GI1111" s="4">
        <v>53</v>
      </c>
      <c r="GJ1111" s="4">
        <v>53</v>
      </c>
      <c r="GK1111" s="4">
        <v>53</v>
      </c>
      <c r="GL1111" s="4">
        <v>53</v>
      </c>
      <c r="GM1111" s="4">
        <v>53</v>
      </c>
      <c r="GN1111" s="4">
        <v>53</v>
      </c>
      <c r="GO1111" s="4">
        <v>53</v>
      </c>
      <c r="GP1111" s="4">
        <v>53</v>
      </c>
      <c r="GQ1111" s="4">
        <v>53</v>
      </c>
      <c r="GR1111" s="4">
        <v>53</v>
      </c>
      <c r="GS1111" s="4">
        <v>53</v>
      </c>
      <c r="GT1111" s="4">
        <v>53</v>
      </c>
      <c r="GU1111" s="4">
        <v>53</v>
      </c>
      <c r="GV1111" s="4">
        <v>53</v>
      </c>
      <c r="GW1111" s="4">
        <v>53</v>
      </c>
      <c r="GX1111" s="4">
        <v>53</v>
      </c>
      <c r="GY1111" s="4">
        <v>53</v>
      </c>
      <c r="GZ1111" s="4">
        <v>53</v>
      </c>
      <c r="HA1111" s="4">
        <v>53</v>
      </c>
      <c r="HB1111" s="4">
        <v>53</v>
      </c>
      <c r="HC1111" s="4">
        <v>53</v>
      </c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9"/>
      <c r="HT1111" s="9"/>
      <c r="HU1111" s="9"/>
      <c r="HV1111" s="9"/>
      <c r="HW1111" s="9"/>
      <c r="HX1111" s="9"/>
      <c r="HY1111" s="9"/>
      <c r="HZ1111" s="9"/>
      <c r="IA1111" s="9"/>
      <c r="IB1111" s="9"/>
      <c r="IC1111" s="9"/>
    </row>
    <row r="1112">
      <c r="A1112" s="2" t="s">
        <v>4395</v>
      </c>
      <c r="B1112" s="2" t="s">
        <v>224</v>
      </c>
      <c r="C1112" s="2" t="s">
        <v>1036</v>
      </c>
      <c r="D1112" s="2" t="s">
        <v>990</v>
      </c>
      <c r="E1112" s="2" t="s">
        <v>2509</v>
      </c>
      <c r="F1112" s="2" t="s">
        <v>4396</v>
      </c>
      <c r="G1112" s="2" t="s">
        <v>4396</v>
      </c>
      <c r="H1112" s="2" t="s">
        <v>4396</v>
      </c>
      <c r="I1112" s="2" t="s">
        <v>4397</v>
      </c>
      <c r="J1112" s="2" t="s">
        <v>4398</v>
      </c>
      <c r="K1112" s="2" t="s">
        <v>292</v>
      </c>
      <c r="L1112" s="3">
        <v>28.41</v>
      </c>
      <c r="M1112" s="3">
        <v>29.83</v>
      </c>
      <c r="N1112" s="3">
        <v>64.99</v>
      </c>
      <c r="O1112" s="2" t="s">
        <v>407</v>
      </c>
      <c r="P1112" s="2" t="s">
        <v>408</v>
      </c>
      <c r="Q1112" s="2" t="s">
        <v>234</v>
      </c>
      <c r="R1112" s="2" t="s">
        <v>235</v>
      </c>
      <c r="S1112" s="2" t="s">
        <v>4399</v>
      </c>
      <c r="T1112" s="2" t="s">
        <v>235</v>
      </c>
      <c r="U1112" s="2" t="s">
        <v>235</v>
      </c>
      <c r="V1112" s="2" t="s">
        <v>238</v>
      </c>
      <c r="W1112" s="2" t="s">
        <v>239</v>
      </c>
      <c r="X1112" s="2" t="s">
        <v>235</v>
      </c>
      <c r="Y1112" s="2" t="s">
        <v>4400</v>
      </c>
      <c r="Z1112" s="4">
        <v>658</v>
      </c>
      <c r="AA1112" s="4">
        <f>=ROUNDDOWN(346.315789473684,0)</f>
      </c>
      <c r="AB1112" s="5">
        <v>1.9</v>
      </c>
      <c r="AC1112" s="2" t="s">
        <v>235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235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235</v>
      </c>
      <c r="BD1112" s="8" t="s">
        <v>235</v>
      </c>
      <c r="BE1112" s="4" t="s">
        <v>235</v>
      </c>
      <c r="BF1112" s="8" t="s">
        <v>235</v>
      </c>
      <c r="BG1112" s="7" t="s">
        <v>235</v>
      </c>
      <c r="BH1112" s="7" t="s">
        <v>235</v>
      </c>
      <c r="BI1112" s="7"/>
      <c r="BJ1112" s="4">
        <v>2</v>
      </c>
      <c r="BK1112" s="8">
        <v>60.1</v>
      </c>
      <c r="BL1112" s="2" t="s">
        <v>4401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4402</v>
      </c>
      <c r="BV1112" s="2" t="s">
        <v>243</v>
      </c>
      <c r="BW1112" s="2" t="s">
        <v>235</v>
      </c>
      <c r="BX1112" s="2" t="s">
        <v>414</v>
      </c>
      <c r="BY1112" s="2" t="s">
        <v>245</v>
      </c>
      <c r="BZ1112" s="2" t="s">
        <v>232</v>
      </c>
      <c r="CA1112" s="2" t="s">
        <v>1905</v>
      </c>
      <c r="CB1112" s="2" t="s">
        <v>1935</v>
      </c>
      <c r="CC1112" s="2" t="s">
        <v>248</v>
      </c>
      <c r="CD1112" s="2" t="s">
        <v>248</v>
      </c>
      <c r="CE1112" s="2" t="s">
        <v>235</v>
      </c>
      <c r="CF1112" s="4">
        <v>658</v>
      </c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>
        <v>658</v>
      </c>
      <c r="GE1112" s="4">
        <v>650</v>
      </c>
      <c r="GF1112" s="4">
        <v>649</v>
      </c>
      <c r="GG1112" s="4">
        <v>648</v>
      </c>
      <c r="GH1112" s="4">
        <v>645</v>
      </c>
      <c r="GI1112" s="4">
        <v>640</v>
      </c>
      <c r="GJ1112" s="4">
        <v>631</v>
      </c>
      <c r="GK1112" s="4">
        <v>624</v>
      </c>
      <c r="GL1112" s="4">
        <v>615</v>
      </c>
      <c r="GM1112" s="4">
        <v>608</v>
      </c>
      <c r="GN1112" s="4">
        <v>604</v>
      </c>
      <c r="GO1112" s="4">
        <v>593</v>
      </c>
      <c r="GP1112" s="4">
        <v>585</v>
      </c>
      <c r="GQ1112" s="4">
        <v>576</v>
      </c>
      <c r="GR1112" s="4">
        <v>569</v>
      </c>
      <c r="GS1112" s="4">
        <v>559</v>
      </c>
      <c r="GT1112" s="4">
        <v>552</v>
      </c>
      <c r="GU1112" s="4">
        <v>548</v>
      </c>
      <c r="GV1112" s="4">
        <v>539</v>
      </c>
      <c r="GW1112" s="4">
        <v>534</v>
      </c>
      <c r="GX1112" s="4">
        <v>532</v>
      </c>
      <c r="GY1112" s="4">
        <v>530</v>
      </c>
      <c r="GZ1112" s="4">
        <v>529</v>
      </c>
      <c r="HA1112" s="4">
        <v>528</v>
      </c>
      <c r="HB1112" s="4">
        <v>527</v>
      </c>
      <c r="HC1112" s="4">
        <v>526</v>
      </c>
      <c r="HD1112" s="19">
        <v>219.3</v>
      </c>
      <c r="HE1112" s="19">
        <v>325</v>
      </c>
      <c r="HF1112" s="19">
        <v>162.3</v>
      </c>
      <c r="HG1112" s="19">
        <v>108</v>
      </c>
      <c r="HH1112" s="19">
        <v>80.6</v>
      </c>
      <c r="HI1112" s="19">
        <v>80</v>
      </c>
      <c r="HJ1112" s="19">
        <v>90.1</v>
      </c>
      <c r="HK1112" s="19">
        <v>78</v>
      </c>
      <c r="HL1112" s="19">
        <v>76.9</v>
      </c>
      <c r="HM1112" s="19">
        <v>76</v>
      </c>
      <c r="HN1112" s="19">
        <v>67.1</v>
      </c>
      <c r="HO1112" s="19">
        <v>74.1</v>
      </c>
      <c r="HP1112" s="19">
        <v>73.1</v>
      </c>
      <c r="HQ1112" s="19">
        <v>82.3</v>
      </c>
      <c r="HR1112" s="19">
        <v>71.1</v>
      </c>
      <c r="HS1112" s="19">
        <v>93.2</v>
      </c>
      <c r="HT1112" s="19">
        <v>110.4</v>
      </c>
      <c r="HU1112" s="19">
        <v>137</v>
      </c>
      <c r="HV1112" s="19">
        <v>269.5</v>
      </c>
      <c r="HW1112" s="19">
        <v>267</v>
      </c>
      <c r="HX1112" s="19">
        <v>532</v>
      </c>
      <c r="HY1112" s="19">
        <v>530</v>
      </c>
      <c r="HZ1112" s="19">
        <v>529</v>
      </c>
      <c r="IA1112" s="19">
        <v>528</v>
      </c>
      <c r="IB1112" s="19">
        <v>527</v>
      </c>
      <c r="IC1112" s="19">
        <v>526</v>
      </c>
    </row>
    <row r="1113">
      <c r="A1113" s="2" t="s">
        <v>4403</v>
      </c>
      <c r="B1113" s="2" t="s">
        <v>224</v>
      </c>
      <c r="C1113" s="2" t="s">
        <v>1036</v>
      </c>
      <c r="D1113" s="2" t="s">
        <v>990</v>
      </c>
      <c r="E1113" s="2" t="s">
        <v>2509</v>
      </c>
      <c r="F1113" s="2" t="s">
        <v>4396</v>
      </c>
      <c r="G1113" s="2" t="s">
        <v>4396</v>
      </c>
      <c r="H1113" s="2" t="s">
        <v>4396</v>
      </c>
      <c r="I1113" s="2" t="s">
        <v>4397</v>
      </c>
      <c r="J1113" s="2" t="s">
        <v>4398</v>
      </c>
      <c r="K1113" s="2" t="s">
        <v>1463</v>
      </c>
      <c r="L1113" s="3">
        <v>25.14</v>
      </c>
      <c r="M1113" s="3">
        <v>26.4</v>
      </c>
      <c r="N1113" s="3">
        <v>54.99</v>
      </c>
      <c r="O1113" s="2" t="s">
        <v>407</v>
      </c>
      <c r="P1113" s="2" t="s">
        <v>408</v>
      </c>
      <c r="Q1113" s="2" t="s">
        <v>234</v>
      </c>
      <c r="R1113" s="2" t="s">
        <v>235</v>
      </c>
      <c r="S1113" s="2" t="s">
        <v>4404</v>
      </c>
      <c r="T1113" s="2" t="s">
        <v>235</v>
      </c>
      <c r="U1113" s="2" t="s">
        <v>235</v>
      </c>
      <c r="V1113" s="2" t="s">
        <v>238</v>
      </c>
      <c r="W1113" s="2" t="s">
        <v>239</v>
      </c>
      <c r="X1113" s="2" t="s">
        <v>235</v>
      </c>
      <c r="Y1113" s="2" t="s">
        <v>4400</v>
      </c>
      <c r="Z1113" s="4">
        <v>717</v>
      </c>
      <c r="AA1113" s="4">
        <f>=ROUNDDOWN(478,0)</f>
      </c>
      <c r="AB1113" s="5">
        <v>1.5</v>
      </c>
      <c r="AC1113" s="2" t="s">
        <v>235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235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 t="s">
        <v>235</v>
      </c>
      <c r="BD1113" s="8" t="s">
        <v>235</v>
      </c>
      <c r="BE1113" s="4" t="s">
        <v>235</v>
      </c>
      <c r="BF1113" s="8" t="s">
        <v>235</v>
      </c>
      <c r="BG1113" s="7" t="s">
        <v>235</v>
      </c>
      <c r="BH1113" s="7" t="s">
        <v>235</v>
      </c>
      <c r="BI1113" s="7"/>
      <c r="BJ1113" s="4">
        <v>2</v>
      </c>
      <c r="BK1113" s="8">
        <v>57.82</v>
      </c>
      <c r="BL1113" s="2" t="s">
        <v>4405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4402</v>
      </c>
      <c r="BV1113" s="2" t="s">
        <v>243</v>
      </c>
      <c r="BW1113" s="2" t="s">
        <v>235</v>
      </c>
      <c r="BX1113" s="2" t="s">
        <v>414</v>
      </c>
      <c r="BY1113" s="2" t="s">
        <v>245</v>
      </c>
      <c r="BZ1113" s="2" t="s">
        <v>232</v>
      </c>
      <c r="CA1113" s="2" t="s">
        <v>1905</v>
      </c>
      <c r="CB1113" s="2" t="s">
        <v>4406</v>
      </c>
      <c r="CC1113" s="2" t="s">
        <v>248</v>
      </c>
      <c r="CD1113" s="2" t="s">
        <v>248</v>
      </c>
      <c r="CE1113" s="2" t="s">
        <v>235</v>
      </c>
      <c r="CF1113" s="4">
        <v>717</v>
      </c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>
        <v>718</v>
      </c>
      <c r="GE1113" s="4">
        <v>717</v>
      </c>
      <c r="GF1113" s="4">
        <v>717</v>
      </c>
      <c r="GG1113" s="4">
        <v>717</v>
      </c>
      <c r="GH1113" s="4">
        <v>717</v>
      </c>
      <c r="GI1113" s="4">
        <v>716</v>
      </c>
      <c r="GJ1113" s="4">
        <v>715</v>
      </c>
      <c r="GK1113" s="4">
        <v>714</v>
      </c>
      <c r="GL1113" s="4">
        <v>713</v>
      </c>
      <c r="GM1113" s="4">
        <v>712</v>
      </c>
      <c r="GN1113" s="4">
        <v>711</v>
      </c>
      <c r="GO1113" s="4">
        <v>708</v>
      </c>
      <c r="GP1113" s="4">
        <v>704</v>
      </c>
      <c r="GQ1113" s="4">
        <v>696</v>
      </c>
      <c r="GR1113" s="4">
        <v>690</v>
      </c>
      <c r="GS1113" s="4">
        <v>681</v>
      </c>
      <c r="GT1113" s="4">
        <v>675</v>
      </c>
      <c r="GU1113" s="4">
        <v>672</v>
      </c>
      <c r="GV1113" s="4">
        <v>664</v>
      </c>
      <c r="GW1113" s="4">
        <v>660</v>
      </c>
      <c r="GX1113" s="4">
        <v>659</v>
      </c>
      <c r="GY1113" s="4">
        <v>658</v>
      </c>
      <c r="GZ1113" s="4">
        <v>657</v>
      </c>
      <c r="HA1113" s="4">
        <v>657</v>
      </c>
      <c r="HB1113" s="4">
        <v>657</v>
      </c>
      <c r="HC1113" s="4">
        <v>657</v>
      </c>
      <c r="HD1113" s="20">
        <v>0</v>
      </c>
      <c r="HE1113" s="9"/>
      <c r="HF1113" s="9"/>
      <c r="HG1113" s="19">
        <v>717</v>
      </c>
      <c r="HH1113" s="19">
        <v>717</v>
      </c>
      <c r="HI1113" s="19">
        <v>716</v>
      </c>
      <c r="HJ1113" s="19">
        <v>715</v>
      </c>
      <c r="HK1113" s="19">
        <v>357</v>
      </c>
      <c r="HL1113" s="19">
        <v>356.5</v>
      </c>
      <c r="HM1113" s="19">
        <v>178</v>
      </c>
      <c r="HN1113" s="19">
        <v>142.2</v>
      </c>
      <c r="HO1113" s="19">
        <v>101.1</v>
      </c>
      <c r="HP1113" s="19">
        <v>100.6</v>
      </c>
      <c r="HQ1113" s="19">
        <v>116</v>
      </c>
      <c r="HR1113" s="19">
        <v>115</v>
      </c>
      <c r="HS1113" s="19">
        <v>136.2</v>
      </c>
      <c r="HT1113" s="19">
        <v>168.8</v>
      </c>
      <c r="HU1113" s="19">
        <v>168</v>
      </c>
      <c r="HV1113" s="19">
        <v>332</v>
      </c>
      <c r="HW1113" s="19">
        <v>660</v>
      </c>
      <c r="HX1113" s="20">
        <v>0</v>
      </c>
      <c r="HY1113" s="20">
        <v>0</v>
      </c>
      <c r="HZ1113" s="9"/>
      <c r="IA1113" s="9"/>
      <c r="IB1113" s="9"/>
      <c r="IC1113" s="9"/>
    </row>
    <row r="1114">
      <c r="A1114" s="2" t="s">
        <v>4407</v>
      </c>
      <c r="B1114" s="2" t="s">
        <v>255</v>
      </c>
      <c r="C1114" s="2" t="s">
        <v>2023</v>
      </c>
      <c r="D1114" s="2" t="s">
        <v>361</v>
      </c>
      <c r="E1114" s="2" t="s">
        <v>872</v>
      </c>
      <c r="F1114" s="2" t="s">
        <v>4408</v>
      </c>
      <c r="G1114" s="2" t="s">
        <v>4408</v>
      </c>
      <c r="H1114" s="2" t="s">
        <v>4408</v>
      </c>
      <c r="I1114" s="2" t="s">
        <v>4409</v>
      </c>
      <c r="J1114" s="2" t="s">
        <v>250</v>
      </c>
      <c r="K1114" s="2" t="s">
        <v>292</v>
      </c>
      <c r="L1114" s="3">
        <v>93.31</v>
      </c>
      <c r="M1114" s="3">
        <v>97.98</v>
      </c>
      <c r="N1114" s="3">
        <v>204.99</v>
      </c>
      <c r="O1114" s="2" t="s">
        <v>232</v>
      </c>
      <c r="P1114" s="2" t="s">
        <v>965</v>
      </c>
      <c r="Q1114" s="2" t="s">
        <v>234</v>
      </c>
      <c r="R1114" s="2" t="s">
        <v>235</v>
      </c>
      <c r="S1114" s="2" t="s">
        <v>4410</v>
      </c>
      <c r="T1114" s="2" t="s">
        <v>2235</v>
      </c>
      <c r="U1114" s="2" t="s">
        <v>614</v>
      </c>
      <c r="V1114" s="2" t="s">
        <v>1132</v>
      </c>
      <c r="W1114" s="2" t="s">
        <v>671</v>
      </c>
      <c r="X1114" s="2" t="s">
        <v>1596</v>
      </c>
      <c r="Y1114" s="2" t="s">
        <v>4411</v>
      </c>
      <c r="Z1114" s="4">
        <v>124</v>
      </c>
      <c r="AA1114" s="4">
        <f>=ROUNDDOWN(137.777777777778,0)</f>
      </c>
      <c r="AB1114" s="5">
        <v>0.9</v>
      </c>
      <c r="AC1114" s="2" t="s">
        <v>235</v>
      </c>
      <c r="AD1114" s="4"/>
      <c r="AE1114" s="4"/>
      <c r="AF1114" s="6">
        <v>79</v>
      </c>
      <c r="AG1114" s="6"/>
      <c r="AH1114" s="7">
        <v>1</v>
      </c>
      <c r="AI1114" s="4"/>
      <c r="AJ1114" s="4">
        <f>=ROUNDDOWN({0},0)</f>
      </c>
      <c r="AK1114" s="5"/>
      <c r="AL1114" s="2" t="s">
        <v>235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>
        <v>4</v>
      </c>
      <c r="BK1114" s="8">
        <v>402.64</v>
      </c>
      <c r="BL1114" s="2" t="s">
        <v>4412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4413</v>
      </c>
      <c r="BV1114" s="2" t="s">
        <v>243</v>
      </c>
      <c r="BW1114" s="2" t="s">
        <v>235</v>
      </c>
      <c r="BX1114" s="2" t="s">
        <v>244</v>
      </c>
      <c r="BY1114" s="2" t="s">
        <v>245</v>
      </c>
      <c r="BZ1114" s="2" t="s">
        <v>232</v>
      </c>
      <c r="CA1114" s="2" t="s">
        <v>4414</v>
      </c>
      <c r="CB1114" s="2" t="s">
        <v>4415</v>
      </c>
      <c r="CC1114" s="2" t="s">
        <v>248</v>
      </c>
      <c r="CD1114" s="2" t="s">
        <v>248</v>
      </c>
      <c r="CE1114" s="2" t="s">
        <v>235</v>
      </c>
      <c r="CF1114" s="4">
        <v>124</v>
      </c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>
        <v>125</v>
      </c>
      <c r="GE1114" s="4">
        <v>123</v>
      </c>
      <c r="GF1114" s="4">
        <v>122</v>
      </c>
      <c r="GG1114" s="4">
        <v>120</v>
      </c>
      <c r="GH1114" s="4">
        <v>120</v>
      </c>
      <c r="GI1114" s="4">
        <v>119</v>
      </c>
      <c r="GJ1114" s="4">
        <v>118</v>
      </c>
      <c r="GK1114" s="4">
        <v>117</v>
      </c>
      <c r="GL1114" s="4">
        <v>115</v>
      </c>
      <c r="GM1114" s="4">
        <v>114</v>
      </c>
      <c r="GN1114" s="4">
        <v>111</v>
      </c>
      <c r="GO1114" s="4">
        <v>108</v>
      </c>
      <c r="GP1114" s="4">
        <v>107</v>
      </c>
      <c r="GQ1114" s="4">
        <v>106</v>
      </c>
      <c r="GR1114" s="4">
        <v>105</v>
      </c>
      <c r="GS1114" s="4">
        <v>105</v>
      </c>
      <c r="GT1114" s="4">
        <v>104</v>
      </c>
      <c r="GU1114" s="4">
        <v>104</v>
      </c>
      <c r="GV1114" s="4">
        <v>104</v>
      </c>
      <c r="GW1114" s="4">
        <v>103</v>
      </c>
      <c r="GX1114" s="4">
        <v>102</v>
      </c>
      <c r="GY1114" s="4">
        <v>101</v>
      </c>
      <c r="GZ1114" s="4">
        <v>100</v>
      </c>
      <c r="HA1114" s="4">
        <v>99</v>
      </c>
      <c r="HB1114" s="4">
        <v>98</v>
      </c>
      <c r="HC1114" s="4">
        <v>97</v>
      </c>
      <c r="HD1114" s="19">
        <v>125</v>
      </c>
      <c r="HE1114" s="19">
        <v>123</v>
      </c>
      <c r="HF1114" s="19">
        <v>122</v>
      </c>
      <c r="HG1114" s="19">
        <v>120</v>
      </c>
      <c r="HH1114" s="19">
        <v>120</v>
      </c>
      <c r="HI1114" s="19">
        <v>119</v>
      </c>
      <c r="HJ1114" s="19">
        <v>59</v>
      </c>
      <c r="HK1114" s="19">
        <v>58.5</v>
      </c>
      <c r="HL1114" s="19">
        <v>57.5</v>
      </c>
      <c r="HM1114" s="19">
        <v>57</v>
      </c>
      <c r="HN1114" s="19">
        <v>55.5</v>
      </c>
      <c r="HO1114" s="19">
        <v>108</v>
      </c>
      <c r="HP1114" s="19">
        <v>107</v>
      </c>
      <c r="HQ1114" s="20">
        <v>0</v>
      </c>
      <c r="HR1114" s="9"/>
      <c r="HS1114" s="20">
        <v>0</v>
      </c>
      <c r="HT1114" s="9"/>
      <c r="HU1114" s="19">
        <v>104</v>
      </c>
      <c r="HV1114" s="19">
        <v>104</v>
      </c>
      <c r="HW1114" s="19">
        <v>103</v>
      </c>
      <c r="HX1114" s="19">
        <v>102</v>
      </c>
      <c r="HY1114" s="19">
        <v>101</v>
      </c>
      <c r="HZ1114" s="19">
        <v>100</v>
      </c>
      <c r="IA1114" s="19">
        <v>99</v>
      </c>
      <c r="IB1114" s="19">
        <v>98</v>
      </c>
      <c r="IC1114" s="19">
        <v>97</v>
      </c>
    </row>
    <row r="1115">
      <c r="A1115" s="2" t="s">
        <v>4416</v>
      </c>
      <c r="B1115" s="2" t="s">
        <v>871</v>
      </c>
      <c r="C1115" s="2" t="s">
        <v>2384</v>
      </c>
      <c r="D1115" s="2" t="s">
        <v>906</v>
      </c>
      <c r="E1115" s="2" t="s">
        <v>1301</v>
      </c>
      <c r="F1115" s="2" t="s">
        <v>4417</v>
      </c>
      <c r="G1115" s="2" t="s">
        <v>4417</v>
      </c>
      <c r="H1115" s="2" t="s">
        <v>4417</v>
      </c>
      <c r="I1115" s="2" t="s">
        <v>4418</v>
      </c>
      <c r="J1115" s="2" t="s">
        <v>365</v>
      </c>
      <c r="K1115" s="2" t="s">
        <v>292</v>
      </c>
      <c r="L1115" s="3">
        <v>81.16</v>
      </c>
      <c r="M1115" s="3">
        <v>85.22</v>
      </c>
      <c r="N1115" s="3">
        <v>179.99</v>
      </c>
      <c r="O1115" s="2" t="s">
        <v>232</v>
      </c>
      <c r="P1115" s="2" t="s">
        <v>1282</v>
      </c>
      <c r="Q1115" s="2" t="s">
        <v>234</v>
      </c>
      <c r="R1115" s="2" t="s">
        <v>235</v>
      </c>
      <c r="S1115" s="2" t="s">
        <v>4419</v>
      </c>
      <c r="T1115" s="2" t="s">
        <v>263</v>
      </c>
      <c r="U1115" s="2" t="s">
        <v>552</v>
      </c>
      <c r="V1115" s="2" t="s">
        <v>238</v>
      </c>
      <c r="W1115" s="2" t="s">
        <v>1157</v>
      </c>
      <c r="X1115" s="2" t="s">
        <v>682</v>
      </c>
      <c r="Y1115" s="2" t="s">
        <v>4420</v>
      </c>
      <c r="Z1115" s="4">
        <v>112</v>
      </c>
      <c r="AA1115" s="4">
        <f>=ROUNDDOWN(56,0)</f>
      </c>
      <c r="AB1115" s="5">
        <v>2</v>
      </c>
      <c r="AC1115" s="2" t="s">
        <v>235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235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235</v>
      </c>
      <c r="BD1115" s="8" t="s">
        <v>235</v>
      </c>
      <c r="BE1115" s="4" t="s">
        <v>235</v>
      </c>
      <c r="BF1115" s="8" t="s">
        <v>235</v>
      </c>
      <c r="BG1115" s="7" t="s">
        <v>235</v>
      </c>
      <c r="BH1115" s="7" t="s">
        <v>235</v>
      </c>
      <c r="BI1115" s="7"/>
      <c r="BJ1115" s="4">
        <v>7</v>
      </c>
      <c r="BK1115" s="8">
        <v>566.79</v>
      </c>
      <c r="BL1115" s="2" t="s">
        <v>4421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4422</v>
      </c>
      <c r="BV1115" s="2" t="s">
        <v>243</v>
      </c>
      <c r="BW1115" s="2" t="s">
        <v>235</v>
      </c>
      <c r="BX1115" s="2" t="s">
        <v>244</v>
      </c>
      <c r="BY1115" s="2" t="s">
        <v>245</v>
      </c>
      <c r="BZ1115" s="2" t="s">
        <v>232</v>
      </c>
      <c r="CA1115" s="2" t="s">
        <v>4423</v>
      </c>
      <c r="CB1115" s="2" t="s">
        <v>4424</v>
      </c>
      <c r="CC1115" s="2" t="s">
        <v>248</v>
      </c>
      <c r="CD1115" s="2" t="s">
        <v>248</v>
      </c>
      <c r="CE1115" s="2" t="s">
        <v>235</v>
      </c>
      <c r="CF1115" s="4">
        <v>35</v>
      </c>
      <c r="CG1115" s="4"/>
      <c r="CH1115" s="4"/>
      <c r="CI1115" s="4">
        <v>77</v>
      </c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>
        <v>113</v>
      </c>
      <c r="GE1115" s="4">
        <v>110</v>
      </c>
      <c r="GF1115" s="4">
        <v>108</v>
      </c>
      <c r="GG1115" s="4">
        <v>107</v>
      </c>
      <c r="GH1115" s="4">
        <v>106</v>
      </c>
      <c r="GI1115" s="4">
        <v>106</v>
      </c>
      <c r="GJ1115" s="4">
        <v>103</v>
      </c>
      <c r="GK1115" s="4">
        <v>101</v>
      </c>
      <c r="GL1115" s="4">
        <v>99</v>
      </c>
      <c r="GM1115" s="4">
        <v>98</v>
      </c>
      <c r="GN1115" s="4">
        <v>97</v>
      </c>
      <c r="GO1115" s="4">
        <v>94</v>
      </c>
      <c r="GP1115" s="4">
        <v>90</v>
      </c>
      <c r="GQ1115" s="4">
        <v>83</v>
      </c>
      <c r="GR1115" s="4">
        <v>76</v>
      </c>
      <c r="GS1115" s="4">
        <v>74</v>
      </c>
      <c r="GT1115" s="4">
        <v>70</v>
      </c>
      <c r="GU1115" s="4">
        <v>68</v>
      </c>
      <c r="GV1115" s="4">
        <v>66</v>
      </c>
      <c r="GW1115" s="4">
        <v>64</v>
      </c>
      <c r="GX1115" s="4">
        <v>62</v>
      </c>
      <c r="GY1115" s="4">
        <v>61</v>
      </c>
      <c r="GZ1115" s="4">
        <v>59</v>
      </c>
      <c r="HA1115" s="4">
        <v>57</v>
      </c>
      <c r="HB1115" s="4">
        <v>55</v>
      </c>
      <c r="HC1115" s="4">
        <v>54</v>
      </c>
      <c r="HD1115" s="19">
        <v>56.5</v>
      </c>
      <c r="HE1115" s="19">
        <v>110</v>
      </c>
      <c r="HF1115" s="19">
        <v>108</v>
      </c>
      <c r="HG1115" s="19">
        <v>53.5</v>
      </c>
      <c r="HH1115" s="19">
        <v>53</v>
      </c>
      <c r="HI1115" s="19">
        <v>53</v>
      </c>
      <c r="HJ1115" s="19">
        <v>51.5</v>
      </c>
      <c r="HK1115" s="19">
        <v>50.5</v>
      </c>
      <c r="HL1115" s="19">
        <v>49.5</v>
      </c>
      <c r="HM1115" s="19">
        <v>24.5</v>
      </c>
      <c r="HN1115" s="19">
        <v>19.4</v>
      </c>
      <c r="HO1115" s="19">
        <v>18.8</v>
      </c>
      <c r="HP1115" s="19">
        <v>18</v>
      </c>
      <c r="HQ1115" s="19">
        <v>20.8</v>
      </c>
      <c r="HR1115" s="19">
        <v>38</v>
      </c>
      <c r="HS1115" s="19">
        <v>37</v>
      </c>
      <c r="HT1115" s="19">
        <v>35</v>
      </c>
      <c r="HU1115" s="19">
        <v>34</v>
      </c>
      <c r="HV1115" s="19">
        <v>33</v>
      </c>
      <c r="HW1115" s="19">
        <v>32</v>
      </c>
      <c r="HX1115" s="19">
        <v>31</v>
      </c>
      <c r="HY1115" s="19">
        <v>30.5</v>
      </c>
      <c r="HZ1115" s="19">
        <v>29.5</v>
      </c>
      <c r="IA1115" s="19">
        <v>28.5</v>
      </c>
      <c r="IB1115" s="19">
        <v>27.5</v>
      </c>
      <c r="IC1115" s="19">
        <v>27</v>
      </c>
    </row>
    <row r="1116">
      <c r="A1116" s="2" t="s">
        <v>4425</v>
      </c>
      <c r="B1116" s="2" t="s">
        <v>871</v>
      </c>
      <c r="C1116" s="2" t="s">
        <v>2384</v>
      </c>
      <c r="D1116" s="2" t="s">
        <v>906</v>
      </c>
      <c r="E1116" s="2" t="s">
        <v>1301</v>
      </c>
      <c r="F1116" s="2" t="s">
        <v>4417</v>
      </c>
      <c r="G1116" s="2" t="s">
        <v>4417</v>
      </c>
      <c r="H1116" s="2" t="s">
        <v>4417</v>
      </c>
      <c r="I1116" s="2" t="s">
        <v>4418</v>
      </c>
      <c r="J1116" s="2" t="s">
        <v>365</v>
      </c>
      <c r="K1116" s="2" t="s">
        <v>316</v>
      </c>
      <c r="L1116" s="3">
        <v>81.16</v>
      </c>
      <c r="M1116" s="3">
        <v>85.22</v>
      </c>
      <c r="N1116" s="3">
        <v>179.99</v>
      </c>
      <c r="O1116" s="2" t="s">
        <v>232</v>
      </c>
      <c r="P1116" s="2" t="s">
        <v>1282</v>
      </c>
      <c r="Q1116" s="2" t="s">
        <v>234</v>
      </c>
      <c r="R1116" s="2" t="s">
        <v>235</v>
      </c>
      <c r="S1116" s="2" t="s">
        <v>4426</v>
      </c>
      <c r="T1116" s="2" t="s">
        <v>263</v>
      </c>
      <c r="U1116" s="2" t="s">
        <v>552</v>
      </c>
      <c r="V1116" s="2" t="s">
        <v>238</v>
      </c>
      <c r="W1116" s="2" t="s">
        <v>1157</v>
      </c>
      <c r="X1116" s="2" t="s">
        <v>682</v>
      </c>
      <c r="Y1116" s="2" t="s">
        <v>4420</v>
      </c>
      <c r="Z1116" s="4">
        <v>52</v>
      </c>
      <c r="AA1116" s="4">
        <f>=ROUNDDOWN(52,0)</f>
      </c>
      <c r="AB1116" s="5">
        <v>1</v>
      </c>
      <c r="AC1116" s="2" t="s">
        <v>235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235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235</v>
      </c>
      <c r="BD1116" s="8" t="s">
        <v>235</v>
      </c>
      <c r="BE1116" s="4" t="s">
        <v>235</v>
      </c>
      <c r="BF1116" s="8" t="s">
        <v>235</v>
      </c>
      <c r="BG1116" s="7" t="s">
        <v>235</v>
      </c>
      <c r="BH1116" s="7" t="s">
        <v>235</v>
      </c>
      <c r="BI1116" s="7"/>
      <c r="BJ1116" s="4">
        <v>2</v>
      </c>
      <c r="BK1116" s="8">
        <v>179.97</v>
      </c>
      <c r="BL1116" s="2" t="s">
        <v>400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4422</v>
      </c>
      <c r="BV1116" s="2" t="s">
        <v>243</v>
      </c>
      <c r="BW1116" s="2" t="s">
        <v>235</v>
      </c>
      <c r="BX1116" s="2" t="s">
        <v>244</v>
      </c>
      <c r="BY1116" s="2" t="s">
        <v>245</v>
      </c>
      <c r="BZ1116" s="2" t="s">
        <v>232</v>
      </c>
      <c r="CA1116" s="2" t="s">
        <v>4423</v>
      </c>
      <c r="CB1116" s="2" t="s">
        <v>3023</v>
      </c>
      <c r="CC1116" s="2" t="s">
        <v>248</v>
      </c>
      <c r="CD1116" s="2" t="s">
        <v>248</v>
      </c>
      <c r="CE1116" s="2" t="s">
        <v>235</v>
      </c>
      <c r="CF1116" s="4"/>
      <c r="CG1116" s="4"/>
      <c r="CH1116" s="4"/>
      <c r="CI1116" s="4">
        <v>52</v>
      </c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>
        <v>52</v>
      </c>
      <c r="GE1116" s="4">
        <v>51</v>
      </c>
      <c r="GF1116" s="4">
        <v>50</v>
      </c>
      <c r="GG1116" s="4">
        <v>50</v>
      </c>
      <c r="GH1116" s="4">
        <v>49</v>
      </c>
      <c r="GI1116" s="4">
        <v>48</v>
      </c>
      <c r="GJ1116" s="4">
        <v>46</v>
      </c>
      <c r="GK1116" s="4">
        <v>45</v>
      </c>
      <c r="GL1116" s="4">
        <v>44</v>
      </c>
      <c r="GM1116" s="4">
        <v>43</v>
      </c>
      <c r="GN1116" s="4">
        <v>42</v>
      </c>
      <c r="GO1116" s="4">
        <v>41</v>
      </c>
      <c r="GP1116" s="4">
        <v>40</v>
      </c>
      <c r="GQ1116" s="4">
        <v>38</v>
      </c>
      <c r="GR1116" s="4">
        <v>36</v>
      </c>
      <c r="GS1116" s="4">
        <v>34</v>
      </c>
      <c r="GT1116" s="4">
        <v>33</v>
      </c>
      <c r="GU1116" s="4">
        <v>32</v>
      </c>
      <c r="GV1116" s="4">
        <v>31</v>
      </c>
      <c r="GW1116" s="4">
        <v>30</v>
      </c>
      <c r="GX1116" s="4">
        <v>29</v>
      </c>
      <c r="GY1116" s="4">
        <v>29</v>
      </c>
      <c r="GZ1116" s="4">
        <v>28</v>
      </c>
      <c r="HA1116" s="4">
        <v>27</v>
      </c>
      <c r="HB1116" s="4">
        <v>26</v>
      </c>
      <c r="HC1116" s="4">
        <v>25</v>
      </c>
      <c r="HD1116" s="19">
        <v>52</v>
      </c>
      <c r="HE1116" s="19">
        <v>51</v>
      </c>
      <c r="HF1116" s="19">
        <v>50</v>
      </c>
      <c r="HG1116" s="19">
        <v>50</v>
      </c>
      <c r="HH1116" s="19">
        <v>49</v>
      </c>
      <c r="HI1116" s="19">
        <v>48</v>
      </c>
      <c r="HJ1116" s="19">
        <v>46</v>
      </c>
      <c r="HK1116" s="19">
        <v>45</v>
      </c>
      <c r="HL1116" s="19">
        <v>44</v>
      </c>
      <c r="HM1116" s="19">
        <v>43</v>
      </c>
      <c r="HN1116" s="19">
        <v>21</v>
      </c>
      <c r="HO1116" s="19">
        <v>20.5</v>
      </c>
      <c r="HP1116" s="19">
        <v>20</v>
      </c>
      <c r="HQ1116" s="19">
        <v>19</v>
      </c>
      <c r="HR1116" s="19">
        <v>36</v>
      </c>
      <c r="HS1116" s="19">
        <v>34</v>
      </c>
      <c r="HT1116" s="19">
        <v>33</v>
      </c>
      <c r="HU1116" s="19">
        <v>32</v>
      </c>
      <c r="HV1116" s="19">
        <v>31</v>
      </c>
      <c r="HW1116" s="19">
        <v>30</v>
      </c>
      <c r="HX1116" s="19">
        <v>29</v>
      </c>
      <c r="HY1116" s="19">
        <v>29</v>
      </c>
      <c r="HZ1116" s="19">
        <v>28</v>
      </c>
      <c r="IA1116" s="19">
        <v>27</v>
      </c>
      <c r="IB1116" s="19">
        <v>26</v>
      </c>
      <c r="IC1116" s="19">
        <v>25</v>
      </c>
    </row>
    <row r="1117">
      <c r="A1117" s="2" t="s">
        <v>4427</v>
      </c>
      <c r="B1117" s="2" t="s">
        <v>1071</v>
      </c>
      <c r="C1117" s="2" t="s">
        <v>324</v>
      </c>
      <c r="D1117" s="2" t="s">
        <v>1482</v>
      </c>
      <c r="E1117" s="2" t="s">
        <v>4428</v>
      </c>
      <c r="F1117" s="2" t="s">
        <v>4429</v>
      </c>
      <c r="G1117" s="2" t="s">
        <v>4430</v>
      </c>
      <c r="H1117" s="2" t="s">
        <v>4431</v>
      </c>
      <c r="I1117" s="2" t="s">
        <v>4432</v>
      </c>
      <c r="J1117" s="2" t="s">
        <v>806</v>
      </c>
      <c r="K1117" s="2" t="s">
        <v>292</v>
      </c>
      <c r="L1117" s="3">
        <v>153</v>
      </c>
      <c r="M1117" s="3">
        <v>160.65</v>
      </c>
      <c r="N1117" s="3">
        <v>319</v>
      </c>
      <c r="O1117" s="2" t="s">
        <v>485</v>
      </c>
      <c r="P1117" s="2" t="s">
        <v>408</v>
      </c>
      <c r="Q1117" s="2" t="s">
        <v>234</v>
      </c>
      <c r="R1117" s="2" t="s">
        <v>235</v>
      </c>
      <c r="S1117" s="2" t="s">
        <v>235</v>
      </c>
      <c r="T1117" s="2" t="s">
        <v>235</v>
      </c>
      <c r="U1117" s="2" t="s">
        <v>807</v>
      </c>
      <c r="V1117" s="2" t="s">
        <v>238</v>
      </c>
      <c r="W1117" s="2" t="s">
        <v>1157</v>
      </c>
      <c r="X1117" s="2" t="s">
        <v>235</v>
      </c>
      <c r="Y1117" s="2" t="s">
        <v>4433</v>
      </c>
      <c r="Z1117" s="4"/>
      <c r="AA1117" s="4">
        <f>=ROUNDDOWN({0},0)</f>
      </c>
      <c r="AB1117" s="5">
        <v>18.2</v>
      </c>
      <c r="AC1117" s="2" t="s">
        <v>235</v>
      </c>
      <c r="AD1117" s="4"/>
      <c r="AE1117" s="4"/>
      <c r="AF1117" s="6">
        <v>66</v>
      </c>
      <c r="AG1117" s="6">
        <v>49</v>
      </c>
      <c r="AH1117" s="7">
        <v>0.0968</v>
      </c>
      <c r="AI1117" s="4"/>
      <c r="AJ1117" s="4">
        <f>=ROUNDDOWN({0},0)</f>
      </c>
      <c r="AK1117" s="5"/>
      <c r="AL1117" s="2" t="s">
        <v>235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>
        <v>1</v>
      </c>
      <c r="BK1117" s="8">
        <v>61.01</v>
      </c>
      <c r="BL1117" s="2" t="s">
        <v>4434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4435</v>
      </c>
      <c r="BV1117" s="2" t="s">
        <v>1488</v>
      </c>
      <c r="BW1117" s="2" t="s">
        <v>235</v>
      </c>
      <c r="BX1117" s="2" t="s">
        <v>414</v>
      </c>
      <c r="BY1117" s="2" t="s">
        <v>245</v>
      </c>
      <c r="BZ1117" s="2" t="s">
        <v>232</v>
      </c>
      <c r="CA1117" s="2" t="s">
        <v>4436</v>
      </c>
      <c r="CB1117" s="2" t="s">
        <v>1399</v>
      </c>
      <c r="CC1117" s="2" t="s">
        <v>248</v>
      </c>
      <c r="CD1117" s="2" t="s">
        <v>248</v>
      </c>
      <c r="CE1117" s="2" t="s">
        <v>235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20">
        <v>0</v>
      </c>
      <c r="HE1117" s="20">
        <v>0</v>
      </c>
      <c r="HF1117" s="20">
        <v>0</v>
      </c>
      <c r="HG1117" s="20">
        <v>0</v>
      </c>
      <c r="HH1117" s="20">
        <v>0</v>
      </c>
      <c r="HI1117" s="20">
        <v>0</v>
      </c>
      <c r="HJ1117" s="20">
        <v>0</v>
      </c>
      <c r="HK1117" s="20">
        <v>0</v>
      </c>
      <c r="HL1117" s="20">
        <v>0</v>
      </c>
      <c r="HM1117" s="20">
        <v>0</v>
      </c>
      <c r="HN1117" s="20">
        <v>0</v>
      </c>
      <c r="HO1117" s="20">
        <v>0</v>
      </c>
      <c r="HP1117" s="20">
        <v>0</v>
      </c>
      <c r="HQ1117" s="20">
        <v>0</v>
      </c>
      <c r="HR1117" s="20">
        <v>0</v>
      </c>
      <c r="HS1117" s="20">
        <v>0</v>
      </c>
      <c r="HT1117" s="20">
        <v>0</v>
      </c>
      <c r="HU1117" s="20">
        <v>0</v>
      </c>
      <c r="HV1117" s="20">
        <v>0</v>
      </c>
      <c r="HW1117" s="20">
        <v>0</v>
      </c>
      <c r="HX1117" s="20">
        <v>0</v>
      </c>
      <c r="HY1117" s="20">
        <v>0</v>
      </c>
      <c r="HZ1117" s="20">
        <v>0</v>
      </c>
      <c r="IA1117" s="20">
        <v>0</v>
      </c>
      <c r="IB1117" s="20">
        <v>0</v>
      </c>
      <c r="IC1117" s="20">
        <v>0</v>
      </c>
    </row>
    <row r="1118">
      <c r="A1118" s="2" t="s">
        <v>4437</v>
      </c>
      <c r="B1118" s="2" t="s">
        <v>871</v>
      </c>
      <c r="C1118" s="2" t="s">
        <v>324</v>
      </c>
      <c r="D1118" s="2" t="s">
        <v>1452</v>
      </c>
      <c r="E1118" s="2" t="s">
        <v>1895</v>
      </c>
      <c r="F1118" s="2" t="s">
        <v>4438</v>
      </c>
      <c r="G1118" s="2" t="s">
        <v>4439</v>
      </c>
      <c r="H1118" s="2" t="s">
        <v>4440</v>
      </c>
      <c r="I1118" s="2" t="s">
        <v>4441</v>
      </c>
      <c r="J1118" s="2" t="s">
        <v>372</v>
      </c>
      <c r="K1118" s="2" t="s">
        <v>292</v>
      </c>
      <c r="L1118" s="3">
        <v>41.14</v>
      </c>
      <c r="M1118" s="3">
        <v>43.2</v>
      </c>
      <c r="N1118" s="3">
        <v>89.99</v>
      </c>
      <c r="O1118" s="2" t="s">
        <v>485</v>
      </c>
      <c r="P1118" s="2" t="s">
        <v>408</v>
      </c>
      <c r="Q1118" s="2" t="s">
        <v>234</v>
      </c>
      <c r="R1118" s="2" t="s">
        <v>235</v>
      </c>
      <c r="S1118" s="2" t="s">
        <v>4442</v>
      </c>
      <c r="T1118" s="2" t="s">
        <v>879</v>
      </c>
      <c r="U1118" s="2" t="s">
        <v>552</v>
      </c>
      <c r="V1118" s="2" t="s">
        <v>863</v>
      </c>
      <c r="W1118" s="2" t="s">
        <v>682</v>
      </c>
      <c r="X1118" s="2" t="s">
        <v>235</v>
      </c>
      <c r="Y1118" s="2" t="s">
        <v>4019</v>
      </c>
      <c r="Z1118" s="4">
        <v>340</v>
      </c>
      <c r="AA1118" s="4">
        <f>=ROUNDDOWN(170,0)</f>
      </c>
      <c r="AB1118" s="5">
        <v>2</v>
      </c>
      <c r="AC1118" s="2" t="s">
        <v>235</v>
      </c>
      <c r="AD1118" s="4"/>
      <c r="AE1118" s="4"/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235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235</v>
      </c>
      <c r="BD1118" s="8" t="s">
        <v>235</v>
      </c>
      <c r="BE1118" s="4" t="s">
        <v>235</v>
      </c>
      <c r="BF1118" s="8" t="s">
        <v>235</v>
      </c>
      <c r="BG1118" s="7" t="s">
        <v>235</v>
      </c>
      <c r="BH1118" s="7" t="s">
        <v>235</v>
      </c>
      <c r="BI1118" s="7"/>
      <c r="BJ1118" s="4">
        <v>10</v>
      </c>
      <c r="BK1118" s="8">
        <v>186.6</v>
      </c>
      <c r="BL1118" s="2" t="s">
        <v>4443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4444</v>
      </c>
      <c r="BV1118" s="2" t="s">
        <v>243</v>
      </c>
      <c r="BW1118" s="2" t="s">
        <v>235</v>
      </c>
      <c r="BX1118" s="2" t="s">
        <v>414</v>
      </c>
      <c r="BY1118" s="2" t="s">
        <v>245</v>
      </c>
      <c r="BZ1118" s="2" t="s">
        <v>232</v>
      </c>
      <c r="CA1118" s="2" t="s">
        <v>4015</v>
      </c>
      <c r="CB1118" s="2" t="s">
        <v>4445</v>
      </c>
      <c r="CC1118" s="2" t="s">
        <v>248</v>
      </c>
      <c r="CD1118" s="2" t="s">
        <v>248</v>
      </c>
      <c r="CE1118" s="2" t="s">
        <v>235</v>
      </c>
      <c r="CF1118" s="4">
        <v>340</v>
      </c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>
        <v>340</v>
      </c>
      <c r="GE1118" s="4">
        <v>338</v>
      </c>
      <c r="GF1118" s="4">
        <v>336</v>
      </c>
      <c r="GG1118" s="4">
        <v>334</v>
      </c>
      <c r="GH1118" s="4">
        <v>332</v>
      </c>
      <c r="GI1118" s="4">
        <v>330</v>
      </c>
      <c r="GJ1118" s="4">
        <v>328</v>
      </c>
      <c r="GK1118" s="4">
        <v>326</v>
      </c>
      <c r="GL1118" s="4">
        <v>324</v>
      </c>
      <c r="GM1118" s="4">
        <v>322</v>
      </c>
      <c r="GN1118" s="4">
        <v>320</v>
      </c>
      <c r="GO1118" s="4">
        <v>318</v>
      </c>
      <c r="GP1118" s="4">
        <v>316</v>
      </c>
      <c r="GQ1118" s="4">
        <v>312</v>
      </c>
      <c r="GR1118" s="4">
        <v>309</v>
      </c>
      <c r="GS1118" s="4">
        <v>306</v>
      </c>
      <c r="GT1118" s="4">
        <v>304</v>
      </c>
      <c r="GU1118" s="4">
        <v>303</v>
      </c>
      <c r="GV1118" s="4">
        <v>301</v>
      </c>
      <c r="GW1118" s="4">
        <v>299</v>
      </c>
      <c r="GX1118" s="4">
        <v>297</v>
      </c>
      <c r="GY1118" s="4">
        <v>295</v>
      </c>
      <c r="GZ1118" s="4">
        <v>293</v>
      </c>
      <c r="HA1118" s="4">
        <v>291</v>
      </c>
      <c r="HB1118" s="4">
        <v>289</v>
      </c>
      <c r="HC1118" s="4">
        <v>287</v>
      </c>
      <c r="HD1118" s="19">
        <v>170</v>
      </c>
      <c r="HE1118" s="19">
        <v>169</v>
      </c>
      <c r="HF1118" s="19">
        <v>168</v>
      </c>
      <c r="HG1118" s="19">
        <v>167</v>
      </c>
      <c r="HH1118" s="19">
        <v>166</v>
      </c>
      <c r="HI1118" s="19">
        <v>165</v>
      </c>
      <c r="HJ1118" s="19">
        <v>164</v>
      </c>
      <c r="HK1118" s="19">
        <v>163</v>
      </c>
      <c r="HL1118" s="19">
        <v>162</v>
      </c>
      <c r="HM1118" s="19">
        <v>161</v>
      </c>
      <c r="HN1118" s="19">
        <v>106.7</v>
      </c>
      <c r="HO1118" s="19">
        <v>106</v>
      </c>
      <c r="HP1118" s="19">
        <v>105.3</v>
      </c>
      <c r="HQ1118" s="19">
        <v>156</v>
      </c>
      <c r="HR1118" s="19">
        <v>154.5</v>
      </c>
      <c r="HS1118" s="19">
        <v>153</v>
      </c>
      <c r="HT1118" s="19">
        <v>152</v>
      </c>
      <c r="HU1118" s="19">
        <v>151.5</v>
      </c>
      <c r="HV1118" s="19">
        <v>150.5</v>
      </c>
      <c r="HW1118" s="19">
        <v>149.5</v>
      </c>
      <c r="HX1118" s="19">
        <v>148.5</v>
      </c>
      <c r="HY1118" s="19">
        <v>147.5</v>
      </c>
      <c r="HZ1118" s="19">
        <v>146.5</v>
      </c>
      <c r="IA1118" s="19">
        <v>145.5</v>
      </c>
      <c r="IB1118" s="19">
        <v>144.5</v>
      </c>
      <c r="IC1118" s="19">
        <v>143.5</v>
      </c>
    </row>
    <row r="1119">
      <c r="A1119" s="2" t="s">
        <v>4446</v>
      </c>
      <c r="B1119" s="2" t="s">
        <v>871</v>
      </c>
      <c r="C1119" s="2" t="s">
        <v>324</v>
      </c>
      <c r="D1119" s="2" t="s">
        <v>1452</v>
      </c>
      <c r="E1119" s="2" t="s">
        <v>1895</v>
      </c>
      <c r="F1119" s="2" t="s">
        <v>4438</v>
      </c>
      <c r="G1119" s="2" t="s">
        <v>4439</v>
      </c>
      <c r="H1119" s="2" t="s">
        <v>4440</v>
      </c>
      <c r="I1119" s="2" t="s">
        <v>4441</v>
      </c>
      <c r="J1119" s="2" t="s">
        <v>372</v>
      </c>
      <c r="K1119" s="2" t="s">
        <v>646</v>
      </c>
      <c r="L1119" s="3">
        <v>41.14</v>
      </c>
      <c r="M1119" s="3">
        <v>43.2</v>
      </c>
      <c r="N1119" s="3">
        <v>89.99</v>
      </c>
      <c r="O1119" s="2" t="s">
        <v>485</v>
      </c>
      <c r="P1119" s="2" t="s">
        <v>408</v>
      </c>
      <c r="Q1119" s="2" t="s">
        <v>234</v>
      </c>
      <c r="R1119" s="2" t="s">
        <v>235</v>
      </c>
      <c r="S1119" s="2" t="s">
        <v>4447</v>
      </c>
      <c r="T1119" s="2" t="s">
        <v>879</v>
      </c>
      <c r="U1119" s="2" t="s">
        <v>552</v>
      </c>
      <c r="V1119" s="2" t="s">
        <v>863</v>
      </c>
      <c r="W1119" s="2" t="s">
        <v>682</v>
      </c>
      <c r="X1119" s="2" t="s">
        <v>235</v>
      </c>
      <c r="Y1119" s="2" t="s">
        <v>1358</v>
      </c>
      <c r="Z1119" s="4">
        <v>305</v>
      </c>
      <c r="AA1119" s="4">
        <f>=ROUNDDOWN(76.25,0)</f>
      </c>
      <c r="AB1119" s="5">
        <v>4</v>
      </c>
      <c r="AC1119" s="2" t="s">
        <v>235</v>
      </c>
      <c r="AD1119" s="4"/>
      <c r="AE1119" s="4"/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235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235</v>
      </c>
      <c r="BD1119" s="8" t="s">
        <v>235</v>
      </c>
      <c r="BE1119" s="4" t="s">
        <v>235</v>
      </c>
      <c r="BF1119" s="8" t="s">
        <v>235</v>
      </c>
      <c r="BG1119" s="7" t="s">
        <v>235</v>
      </c>
      <c r="BH1119" s="7" t="s">
        <v>235</v>
      </c>
      <c r="BI1119" s="7"/>
      <c r="BJ1119" s="4">
        <v>12</v>
      </c>
      <c r="BK1119" s="8">
        <v>213.46</v>
      </c>
      <c r="BL1119" s="2" t="s">
        <v>4448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4444</v>
      </c>
      <c r="BV1119" s="2" t="s">
        <v>243</v>
      </c>
      <c r="BW1119" s="2" t="s">
        <v>235</v>
      </c>
      <c r="BX1119" s="2" t="s">
        <v>414</v>
      </c>
      <c r="BY1119" s="2" t="s">
        <v>245</v>
      </c>
      <c r="BZ1119" s="2" t="s">
        <v>232</v>
      </c>
      <c r="CA1119" s="2" t="s">
        <v>4015</v>
      </c>
      <c r="CB1119" s="2" t="s">
        <v>3240</v>
      </c>
      <c r="CC1119" s="2" t="s">
        <v>248</v>
      </c>
      <c r="CD1119" s="2" t="s">
        <v>248</v>
      </c>
      <c r="CE1119" s="2" t="s">
        <v>235</v>
      </c>
      <c r="CF1119" s="4">
        <v>305</v>
      </c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>
        <v>305</v>
      </c>
      <c r="GE1119" s="4">
        <v>301</v>
      </c>
      <c r="GF1119" s="4">
        <v>297</v>
      </c>
      <c r="GG1119" s="4">
        <v>293</v>
      </c>
      <c r="GH1119" s="4">
        <v>289</v>
      </c>
      <c r="GI1119" s="4">
        <v>285</v>
      </c>
      <c r="GJ1119" s="4">
        <v>281</v>
      </c>
      <c r="GK1119" s="4">
        <v>277</v>
      </c>
      <c r="GL1119" s="4">
        <v>273</v>
      </c>
      <c r="GM1119" s="4">
        <v>269</v>
      </c>
      <c r="GN1119" s="4">
        <v>266</v>
      </c>
      <c r="GO1119" s="4">
        <v>262</v>
      </c>
      <c r="GP1119" s="4">
        <v>258</v>
      </c>
      <c r="GQ1119" s="4">
        <v>249</v>
      </c>
      <c r="GR1119" s="4">
        <v>243</v>
      </c>
      <c r="GS1119" s="4">
        <v>237</v>
      </c>
      <c r="GT1119" s="4">
        <v>234</v>
      </c>
      <c r="GU1119" s="4">
        <v>232</v>
      </c>
      <c r="GV1119" s="4">
        <v>228</v>
      </c>
      <c r="GW1119" s="4">
        <v>224</v>
      </c>
      <c r="GX1119" s="4">
        <v>220</v>
      </c>
      <c r="GY1119" s="4">
        <v>216</v>
      </c>
      <c r="GZ1119" s="4">
        <v>212</v>
      </c>
      <c r="HA1119" s="4">
        <v>208</v>
      </c>
      <c r="HB1119" s="4">
        <v>204</v>
      </c>
      <c r="HC1119" s="4">
        <v>200</v>
      </c>
      <c r="HD1119" s="19">
        <v>76.3</v>
      </c>
      <c r="HE1119" s="19">
        <v>75.3</v>
      </c>
      <c r="HF1119" s="19">
        <v>74.3</v>
      </c>
      <c r="HG1119" s="19">
        <v>73.3</v>
      </c>
      <c r="HH1119" s="19">
        <v>72.3</v>
      </c>
      <c r="HI1119" s="19">
        <v>71.3</v>
      </c>
      <c r="HJ1119" s="19">
        <v>70.3</v>
      </c>
      <c r="HK1119" s="19">
        <v>69.3</v>
      </c>
      <c r="HL1119" s="19">
        <v>68.3</v>
      </c>
      <c r="HM1119" s="19">
        <v>53.8</v>
      </c>
      <c r="HN1119" s="19">
        <v>44.3</v>
      </c>
      <c r="HO1119" s="19">
        <v>43.7</v>
      </c>
      <c r="HP1119" s="19">
        <v>43</v>
      </c>
      <c r="HQ1119" s="19">
        <v>62.3</v>
      </c>
      <c r="HR1119" s="19">
        <v>60.8</v>
      </c>
      <c r="HS1119" s="19">
        <v>79</v>
      </c>
      <c r="HT1119" s="19">
        <v>58.5</v>
      </c>
      <c r="HU1119" s="19">
        <v>58</v>
      </c>
      <c r="HV1119" s="19">
        <v>57</v>
      </c>
      <c r="HW1119" s="19">
        <v>56</v>
      </c>
      <c r="HX1119" s="19">
        <v>55</v>
      </c>
      <c r="HY1119" s="19">
        <v>54</v>
      </c>
      <c r="HZ1119" s="19">
        <v>53</v>
      </c>
      <c r="IA1119" s="19">
        <v>52</v>
      </c>
      <c r="IB1119" s="19">
        <v>51</v>
      </c>
      <c r="IC1119" s="19">
        <v>50</v>
      </c>
    </row>
    <row r="1120">
      <c r="A1120" s="2" t="s">
        <v>4449</v>
      </c>
      <c r="B1120" s="2" t="s">
        <v>1529</v>
      </c>
      <c r="C1120" s="2" t="s">
        <v>1381</v>
      </c>
      <c r="D1120" s="2" t="s">
        <v>1417</v>
      </c>
      <c r="E1120" s="2" t="s">
        <v>1418</v>
      </c>
      <c r="F1120" s="2" t="s">
        <v>4450</v>
      </c>
      <c r="G1120" s="2" t="s">
        <v>4450</v>
      </c>
      <c r="H1120" s="2" t="s">
        <v>4450</v>
      </c>
      <c r="I1120" s="2" t="s">
        <v>2278</v>
      </c>
      <c r="J1120" s="2" t="s">
        <v>897</v>
      </c>
      <c r="K1120" s="2" t="s">
        <v>4164</v>
      </c>
      <c r="L1120" s="3">
        <v>299.29</v>
      </c>
      <c r="M1120" s="3">
        <v>314.25</v>
      </c>
      <c r="N1120" s="3">
        <v>899</v>
      </c>
      <c r="O1120" s="2" t="s">
        <v>232</v>
      </c>
      <c r="P1120" s="2" t="s">
        <v>1533</v>
      </c>
      <c r="Q1120" s="2" t="s">
        <v>492</v>
      </c>
      <c r="R1120" s="2" t="s">
        <v>235</v>
      </c>
      <c r="S1120" s="2" t="s">
        <v>235</v>
      </c>
      <c r="T1120" s="2" t="s">
        <v>235</v>
      </c>
      <c r="U1120" s="2" t="s">
        <v>807</v>
      </c>
      <c r="V1120" s="2" t="s">
        <v>238</v>
      </c>
      <c r="W1120" s="2" t="s">
        <v>235</v>
      </c>
      <c r="X1120" s="2" t="s">
        <v>235</v>
      </c>
      <c r="Y1120" s="2" t="s">
        <v>1938</v>
      </c>
      <c r="Z1120" s="4">
        <v>26</v>
      </c>
      <c r="AA1120" s="4">
        <f>=ROUNDDOWN(52,0)</f>
      </c>
      <c r="AB1120" s="5">
        <v>0.5</v>
      </c>
      <c r="AC1120" s="2" t="s">
        <v>235</v>
      </c>
      <c r="AD1120" s="4"/>
      <c r="AE1120" s="4"/>
      <c r="AF1120" s="6"/>
      <c r="AG1120" s="6"/>
      <c r="AH1120" s="7">
        <v>1</v>
      </c>
      <c r="AI1120" s="4"/>
      <c r="AJ1120" s="4">
        <f>=ROUNDDOWN({0},0)</f>
      </c>
      <c r="AK1120" s="5"/>
      <c r="AL1120" s="2" t="s">
        <v>235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235</v>
      </c>
      <c r="BD1120" s="8" t="s">
        <v>235</v>
      </c>
      <c r="BE1120" s="4" t="s">
        <v>235</v>
      </c>
      <c r="BF1120" s="8" t="s">
        <v>235</v>
      </c>
      <c r="BG1120" s="7" t="s">
        <v>235</v>
      </c>
      <c r="BH1120" s="7" t="s">
        <v>235</v>
      </c>
      <c r="BI1120" s="7"/>
      <c r="BJ1120" s="4">
        <v>2</v>
      </c>
      <c r="BK1120" s="8">
        <v>395.94</v>
      </c>
      <c r="BL1120" s="2" t="s">
        <v>900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4451</v>
      </c>
      <c r="BV1120" s="2" t="s">
        <v>1424</v>
      </c>
      <c r="BW1120" s="2" t="s">
        <v>235</v>
      </c>
      <c r="BX1120" s="2" t="s">
        <v>244</v>
      </c>
      <c r="BY1120" s="2" t="s">
        <v>245</v>
      </c>
      <c r="BZ1120" s="2" t="s">
        <v>232</v>
      </c>
      <c r="CA1120" s="2" t="s">
        <v>941</v>
      </c>
      <c r="CB1120" s="2" t="s">
        <v>235</v>
      </c>
      <c r="CC1120" s="2" t="s">
        <v>248</v>
      </c>
      <c r="CD1120" s="2" t="s">
        <v>248</v>
      </c>
      <c r="CE1120" s="2" t="s">
        <v>235</v>
      </c>
      <c r="CF1120" s="4"/>
      <c r="CG1120" s="4">
        <v>16</v>
      </c>
      <c r="CH1120" s="4"/>
      <c r="CI1120" s="4">
        <v>10</v>
      </c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  <c r="HQ1120" s="9"/>
      <c r="HR1120" s="9"/>
      <c r="HS1120" s="9"/>
      <c r="HT1120" s="9"/>
      <c r="HU1120" s="9"/>
      <c r="HV1120" s="9"/>
      <c r="HW1120" s="9"/>
      <c r="HX1120" s="9"/>
      <c r="HY1120" s="9"/>
      <c r="HZ1120" s="9"/>
      <c r="IA1120" s="9"/>
      <c r="IB1120" s="9"/>
      <c r="IC1120" s="9"/>
    </row>
    <row r="1121">
      <c r="A1121" s="2" t="s">
        <v>4452</v>
      </c>
      <c r="B1121" s="2" t="s">
        <v>852</v>
      </c>
      <c r="C1121" s="2" t="s">
        <v>324</v>
      </c>
      <c r="D1121" s="2" t="s">
        <v>854</v>
      </c>
      <c r="E1121" s="2" t="s">
        <v>4453</v>
      </c>
      <c r="F1121" s="2" t="s">
        <v>4450</v>
      </c>
      <c r="G1121" s="2" t="s">
        <v>4454</v>
      </c>
      <c r="H1121" s="2" t="s">
        <v>4455</v>
      </c>
      <c r="I1121" s="2" t="s">
        <v>4456</v>
      </c>
      <c r="J1121" s="2" t="s">
        <v>2614</v>
      </c>
      <c r="K1121" s="2" t="s">
        <v>292</v>
      </c>
      <c r="L1121" s="3">
        <v>22.26</v>
      </c>
      <c r="M1121" s="3">
        <v>23.37</v>
      </c>
      <c r="N1121" s="3">
        <v>49.99</v>
      </c>
      <c r="O1121" s="2" t="s">
        <v>232</v>
      </c>
      <c r="P1121" s="2" t="s">
        <v>233</v>
      </c>
      <c r="Q1121" s="2" t="s">
        <v>234</v>
      </c>
      <c r="R1121" s="2" t="s">
        <v>235</v>
      </c>
      <c r="S1121" s="2" t="s">
        <v>4457</v>
      </c>
      <c r="T1121" s="2" t="s">
        <v>235</v>
      </c>
      <c r="U1121" s="2" t="s">
        <v>235</v>
      </c>
      <c r="V1121" s="2" t="s">
        <v>238</v>
      </c>
      <c r="W1121" s="2" t="s">
        <v>682</v>
      </c>
      <c r="X1121" s="2" t="s">
        <v>1549</v>
      </c>
      <c r="Y1121" s="2" t="s">
        <v>4458</v>
      </c>
      <c r="Z1121" s="4">
        <v>167</v>
      </c>
      <c r="AA1121" s="4">
        <f>=ROUNDDOWN(55.6666666666667,0)</f>
      </c>
      <c r="AB1121" s="5">
        <v>3</v>
      </c>
      <c r="AC1121" s="2" t="s">
        <v>235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235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235</v>
      </c>
      <c r="BD1121" s="8" t="s">
        <v>235</v>
      </c>
      <c r="BE1121" s="4" t="s">
        <v>235</v>
      </c>
      <c r="BF1121" s="8" t="s">
        <v>235</v>
      </c>
      <c r="BG1121" s="7" t="s">
        <v>235</v>
      </c>
      <c r="BH1121" s="7" t="s">
        <v>235</v>
      </c>
      <c r="BI1121" s="7"/>
      <c r="BJ1121" s="4">
        <v>4</v>
      </c>
      <c r="BK1121" s="8">
        <v>109.28</v>
      </c>
      <c r="BL1121" s="2" t="s">
        <v>396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4459</v>
      </c>
      <c r="BV1121" s="2" t="s">
        <v>867</v>
      </c>
      <c r="BW1121" s="2" t="s">
        <v>235</v>
      </c>
      <c r="BX1121" s="2" t="s">
        <v>383</v>
      </c>
      <c r="BY1121" s="2" t="s">
        <v>245</v>
      </c>
      <c r="BZ1121" s="2" t="s">
        <v>232</v>
      </c>
      <c r="CA1121" s="2" t="s">
        <v>4460</v>
      </c>
      <c r="CB1121" s="2" t="s">
        <v>4461</v>
      </c>
      <c r="CC1121" s="2" t="s">
        <v>248</v>
      </c>
      <c r="CD1121" s="2" t="s">
        <v>248</v>
      </c>
      <c r="CE1121" s="2" t="s">
        <v>235</v>
      </c>
      <c r="CF1121" s="4">
        <v>167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>
        <v>167</v>
      </c>
      <c r="GE1121" s="4">
        <v>163</v>
      </c>
      <c r="GF1121" s="4">
        <v>160</v>
      </c>
      <c r="GG1121" s="4">
        <v>157</v>
      </c>
      <c r="GH1121" s="4">
        <v>154</v>
      </c>
      <c r="GI1121" s="4">
        <v>151</v>
      </c>
      <c r="GJ1121" s="4">
        <v>148</v>
      </c>
      <c r="GK1121" s="4">
        <v>145</v>
      </c>
      <c r="GL1121" s="4">
        <v>142</v>
      </c>
      <c r="GM1121" s="4">
        <v>139</v>
      </c>
      <c r="GN1121" s="4">
        <v>135</v>
      </c>
      <c r="GO1121" s="4">
        <v>130</v>
      </c>
      <c r="GP1121" s="4">
        <v>126</v>
      </c>
      <c r="GQ1121" s="4">
        <v>121</v>
      </c>
      <c r="GR1121" s="4">
        <v>117</v>
      </c>
      <c r="GS1121" s="4">
        <v>112</v>
      </c>
      <c r="GT1121" s="4">
        <v>109</v>
      </c>
      <c r="GU1121" s="4">
        <v>105</v>
      </c>
      <c r="GV1121" s="4">
        <v>102</v>
      </c>
      <c r="GW1121" s="4">
        <v>120</v>
      </c>
      <c r="GX1121" s="4">
        <v>117</v>
      </c>
      <c r="GY1121" s="4">
        <v>114</v>
      </c>
      <c r="GZ1121" s="4">
        <v>111</v>
      </c>
      <c r="HA1121" s="4">
        <v>108</v>
      </c>
      <c r="HB1121" s="4">
        <v>105</v>
      </c>
      <c r="HC1121" s="4">
        <v>101</v>
      </c>
      <c r="HD1121" s="19">
        <v>55.7</v>
      </c>
      <c r="HE1121" s="19">
        <v>54.3</v>
      </c>
      <c r="HF1121" s="19">
        <v>53.3</v>
      </c>
      <c r="HG1121" s="19">
        <v>52.3</v>
      </c>
      <c r="HH1121" s="19">
        <v>51.3</v>
      </c>
      <c r="HI1121" s="19">
        <v>50.3</v>
      </c>
      <c r="HJ1121" s="19">
        <v>49.3</v>
      </c>
      <c r="HK1121" s="19">
        <v>36.3</v>
      </c>
      <c r="HL1121" s="19">
        <v>35.5</v>
      </c>
      <c r="HM1121" s="19">
        <v>34.8</v>
      </c>
      <c r="HN1121" s="19">
        <v>33.8</v>
      </c>
      <c r="HO1121" s="19">
        <v>32.5</v>
      </c>
      <c r="HP1121" s="19">
        <v>31.5</v>
      </c>
      <c r="HQ1121" s="19">
        <v>30.3</v>
      </c>
      <c r="HR1121" s="19">
        <v>29.3</v>
      </c>
      <c r="HS1121" s="19">
        <v>37.3</v>
      </c>
      <c r="HT1121" s="19">
        <v>36.3</v>
      </c>
      <c r="HU1121" s="19">
        <v>35</v>
      </c>
      <c r="HV1121" s="19">
        <v>34</v>
      </c>
      <c r="HW1121" s="19">
        <v>40</v>
      </c>
      <c r="HX1121" s="19">
        <v>39</v>
      </c>
      <c r="HY1121" s="19">
        <v>38</v>
      </c>
      <c r="HZ1121" s="19">
        <v>37</v>
      </c>
      <c r="IA1121" s="19">
        <v>36</v>
      </c>
      <c r="IB1121" s="19">
        <v>35</v>
      </c>
      <c r="IC1121" s="19">
        <v>33.7</v>
      </c>
    </row>
    <row r="1122">
      <c r="A1122" s="2" t="s">
        <v>4462</v>
      </c>
      <c r="B1122" s="2" t="s">
        <v>1529</v>
      </c>
      <c r="C1122" s="2" t="s">
        <v>1381</v>
      </c>
      <c r="D1122" s="2" t="s">
        <v>1539</v>
      </c>
      <c r="E1122" s="2" t="s">
        <v>1540</v>
      </c>
      <c r="F1122" s="2" t="s">
        <v>4450</v>
      </c>
      <c r="G1122" s="2" t="s">
        <v>4450</v>
      </c>
      <c r="H1122" s="2" t="s">
        <v>4450</v>
      </c>
      <c r="I1122" s="2" t="s">
        <v>1541</v>
      </c>
      <c r="J1122" s="2" t="s">
        <v>1542</v>
      </c>
      <c r="K1122" s="2" t="s">
        <v>3700</v>
      </c>
      <c r="L1122" s="3">
        <v>28.56</v>
      </c>
      <c r="M1122" s="3">
        <v>29.99</v>
      </c>
      <c r="N1122" s="3">
        <v>79.99</v>
      </c>
      <c r="O1122" s="2" t="s">
        <v>232</v>
      </c>
      <c r="P1122" s="2" t="s">
        <v>1533</v>
      </c>
      <c r="Q1122" s="2" t="s">
        <v>234</v>
      </c>
      <c r="R1122" s="2" t="s">
        <v>235</v>
      </c>
      <c r="S1122" s="2" t="s">
        <v>235</v>
      </c>
      <c r="T1122" s="2" t="s">
        <v>235</v>
      </c>
      <c r="U1122" s="2" t="s">
        <v>807</v>
      </c>
      <c r="V1122" s="2" t="s">
        <v>238</v>
      </c>
      <c r="W1122" s="2" t="s">
        <v>235</v>
      </c>
      <c r="X1122" s="2" t="s">
        <v>235</v>
      </c>
      <c r="Y1122" s="2" t="s">
        <v>2279</v>
      </c>
      <c r="Z1122" s="4">
        <v>29</v>
      </c>
      <c r="AA1122" s="4">
        <f>=ROUNDDOWN(145,0)</f>
      </c>
      <c r="AB1122" s="5">
        <v>0.2</v>
      </c>
      <c r="AC1122" s="2" t="s">
        <v>235</v>
      </c>
      <c r="AD1122" s="4"/>
      <c r="AE1122" s="4"/>
      <c r="AF1122" s="6"/>
      <c r="AG1122" s="6"/>
      <c r="AH1122" s="7">
        <v>1</v>
      </c>
      <c r="AI1122" s="4"/>
      <c r="AJ1122" s="4">
        <f>=ROUNDDOWN({0},0)</f>
      </c>
      <c r="AK1122" s="5"/>
      <c r="AL1122" s="2" t="s">
        <v>235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235</v>
      </c>
      <c r="BD1122" s="8" t="s">
        <v>235</v>
      </c>
      <c r="BE1122" s="4" t="s">
        <v>235</v>
      </c>
      <c r="BF1122" s="8" t="s">
        <v>235</v>
      </c>
      <c r="BG1122" s="7" t="s">
        <v>235</v>
      </c>
      <c r="BH1122" s="7" t="s">
        <v>235</v>
      </c>
      <c r="BI1122" s="7"/>
      <c r="BJ1122" s="4"/>
      <c r="BK1122" s="8"/>
      <c r="BL1122" s="2" t="s">
        <v>235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4463</v>
      </c>
      <c r="BV1122" s="2" t="s">
        <v>243</v>
      </c>
      <c r="BW1122" s="2" t="s">
        <v>235</v>
      </c>
      <c r="BX1122" s="2" t="s">
        <v>244</v>
      </c>
      <c r="BY1122" s="2" t="s">
        <v>245</v>
      </c>
      <c r="BZ1122" s="2" t="s">
        <v>232</v>
      </c>
      <c r="CA1122" s="2" t="s">
        <v>941</v>
      </c>
      <c r="CB1122" s="2" t="s">
        <v>235</v>
      </c>
      <c r="CC1122" s="2" t="s">
        <v>248</v>
      </c>
      <c r="CD1122" s="2" t="s">
        <v>248</v>
      </c>
      <c r="CE1122" s="2" t="s">
        <v>235</v>
      </c>
      <c r="CF1122" s="4"/>
      <c r="CG1122" s="4">
        <v>12</v>
      </c>
      <c r="CH1122" s="4"/>
      <c r="CI1122" s="4">
        <v>17</v>
      </c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  <c r="HU1122" s="9"/>
      <c r="HV1122" s="9"/>
      <c r="HW1122" s="9"/>
      <c r="HX1122" s="9"/>
      <c r="HY1122" s="9"/>
      <c r="HZ1122" s="9"/>
      <c r="IA1122" s="9"/>
      <c r="IB1122" s="9"/>
      <c r="IC1122" s="9"/>
    </row>
    <row r="1123">
      <c r="A1123" s="2" t="s">
        <v>4464</v>
      </c>
      <c r="B1123" s="2" t="s">
        <v>1529</v>
      </c>
      <c r="C1123" s="2" t="s">
        <v>1381</v>
      </c>
      <c r="D1123" s="2" t="s">
        <v>1539</v>
      </c>
      <c r="E1123" s="2" t="s">
        <v>1540</v>
      </c>
      <c r="F1123" s="2" t="s">
        <v>4450</v>
      </c>
      <c r="G1123" s="2" t="s">
        <v>4450</v>
      </c>
      <c r="H1123" s="2" t="s">
        <v>4450</v>
      </c>
      <c r="I1123" s="2" t="s">
        <v>4465</v>
      </c>
      <c r="J1123" s="2" t="s">
        <v>1542</v>
      </c>
      <c r="K1123" s="2" t="s">
        <v>4466</v>
      </c>
      <c r="L1123" s="3">
        <v>28.56</v>
      </c>
      <c r="M1123" s="3">
        <v>29.99</v>
      </c>
      <c r="N1123" s="3">
        <v>79.99</v>
      </c>
      <c r="O1123" s="2" t="s">
        <v>232</v>
      </c>
      <c r="P1123" s="2" t="s">
        <v>1533</v>
      </c>
      <c r="Q1123" s="2" t="s">
        <v>234</v>
      </c>
      <c r="R1123" s="2" t="s">
        <v>235</v>
      </c>
      <c r="S1123" s="2" t="s">
        <v>235</v>
      </c>
      <c r="T1123" s="2" t="s">
        <v>235</v>
      </c>
      <c r="U1123" s="2" t="s">
        <v>807</v>
      </c>
      <c r="V1123" s="2" t="s">
        <v>238</v>
      </c>
      <c r="W1123" s="2" t="s">
        <v>235</v>
      </c>
      <c r="X1123" s="2" t="s">
        <v>235</v>
      </c>
      <c r="Y1123" s="2" t="s">
        <v>2279</v>
      </c>
      <c r="Z1123" s="4">
        <v>7</v>
      </c>
      <c r="AA1123" s="4">
        <f>=ROUNDDOWN(2.69230769230769,0)</f>
      </c>
      <c r="AB1123" s="5">
        <v>2.6</v>
      </c>
      <c r="AC1123" s="2" t="s">
        <v>235</v>
      </c>
      <c r="AD1123" s="4"/>
      <c r="AE1123" s="4"/>
      <c r="AF1123" s="6"/>
      <c r="AG1123" s="6"/>
      <c r="AH1123" s="7">
        <v>1</v>
      </c>
      <c r="AI1123" s="4"/>
      <c r="AJ1123" s="4">
        <f>=ROUNDDOWN({0},0)</f>
      </c>
      <c r="AK1123" s="5"/>
      <c r="AL1123" s="2" t="s">
        <v>235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235</v>
      </c>
      <c r="BD1123" s="8" t="s">
        <v>235</v>
      </c>
      <c r="BE1123" s="4" t="s">
        <v>235</v>
      </c>
      <c r="BF1123" s="8" t="s">
        <v>235</v>
      </c>
      <c r="BG1123" s="7" t="s">
        <v>235</v>
      </c>
      <c r="BH1123" s="7" t="s">
        <v>235</v>
      </c>
      <c r="BI1123" s="7"/>
      <c r="BJ1123" s="4">
        <v>10</v>
      </c>
      <c r="BK1123" s="8">
        <v>32.39</v>
      </c>
      <c r="BL1123" s="2" t="s">
        <v>4467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4463</v>
      </c>
      <c r="BV1123" s="2" t="s">
        <v>243</v>
      </c>
      <c r="BW1123" s="2" t="s">
        <v>235</v>
      </c>
      <c r="BX1123" s="2" t="s">
        <v>244</v>
      </c>
      <c r="BY1123" s="2" t="s">
        <v>245</v>
      </c>
      <c r="BZ1123" s="2" t="s">
        <v>232</v>
      </c>
      <c r="CA1123" s="2" t="s">
        <v>941</v>
      </c>
      <c r="CB1123" s="2" t="s">
        <v>235</v>
      </c>
      <c r="CC1123" s="2" t="s">
        <v>248</v>
      </c>
      <c r="CD1123" s="2" t="s">
        <v>248</v>
      </c>
      <c r="CE1123" s="2" t="s">
        <v>235</v>
      </c>
      <c r="CF1123" s="4"/>
      <c r="CG1123" s="4">
        <v>3</v>
      </c>
      <c r="CH1123" s="4"/>
      <c r="CI1123" s="4">
        <v>4</v>
      </c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  <c r="HU1123" s="9"/>
      <c r="HV1123" s="9"/>
      <c r="HW1123" s="9"/>
      <c r="HX1123" s="9"/>
      <c r="HY1123" s="9"/>
      <c r="HZ1123" s="9"/>
      <c r="IA1123" s="9"/>
      <c r="IB1123" s="9"/>
      <c r="IC1123" s="9"/>
    </row>
    <row r="1124">
      <c r="A1124" s="2" t="s">
        <v>4468</v>
      </c>
      <c r="B1124" s="2" t="s">
        <v>1529</v>
      </c>
      <c r="C1124" s="2" t="s">
        <v>1381</v>
      </c>
      <c r="D1124" s="2" t="s">
        <v>1417</v>
      </c>
      <c r="E1124" s="2" t="s">
        <v>1418</v>
      </c>
      <c r="F1124" s="2" t="s">
        <v>4450</v>
      </c>
      <c r="G1124" s="2" t="s">
        <v>4450</v>
      </c>
      <c r="H1124" s="2" t="s">
        <v>4450</v>
      </c>
      <c r="I1124" s="2" t="s">
        <v>2278</v>
      </c>
      <c r="J1124" s="2" t="s">
        <v>897</v>
      </c>
      <c r="K1124" s="2" t="s">
        <v>4469</v>
      </c>
      <c r="L1124" s="3">
        <v>299.29</v>
      </c>
      <c r="M1124" s="3">
        <v>314.25</v>
      </c>
      <c r="N1124" s="3">
        <v>899</v>
      </c>
      <c r="O1124" s="2" t="s">
        <v>232</v>
      </c>
      <c r="P1124" s="2" t="s">
        <v>1533</v>
      </c>
      <c r="Q1124" s="2" t="s">
        <v>492</v>
      </c>
      <c r="R1124" s="2" t="s">
        <v>235</v>
      </c>
      <c r="S1124" s="2" t="s">
        <v>235</v>
      </c>
      <c r="T1124" s="2" t="s">
        <v>235</v>
      </c>
      <c r="U1124" s="2" t="s">
        <v>807</v>
      </c>
      <c r="V1124" s="2" t="s">
        <v>238</v>
      </c>
      <c r="W1124" s="2" t="s">
        <v>235</v>
      </c>
      <c r="X1124" s="2" t="s">
        <v>235</v>
      </c>
      <c r="Y1124" s="2" t="s">
        <v>1938</v>
      </c>
      <c r="Z1124" s="4">
        <v>45</v>
      </c>
      <c r="AA1124" s="4">
        <f>=ROUNDDOWN(150,0)</f>
      </c>
      <c r="AB1124" s="5">
        <v>0.3</v>
      </c>
      <c r="AC1124" s="2" t="s">
        <v>235</v>
      </c>
      <c r="AD1124" s="4"/>
      <c r="AE1124" s="4"/>
      <c r="AF1124" s="6"/>
      <c r="AG1124" s="6"/>
      <c r="AH1124" s="7">
        <v>1</v>
      </c>
      <c r="AI1124" s="4"/>
      <c r="AJ1124" s="4">
        <f>=ROUNDDOWN({0},0)</f>
      </c>
      <c r="AK1124" s="5"/>
      <c r="AL1124" s="2" t="s">
        <v>235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235</v>
      </c>
      <c r="BD1124" s="8" t="s">
        <v>235</v>
      </c>
      <c r="BE1124" s="4" t="s">
        <v>235</v>
      </c>
      <c r="BF1124" s="8" t="s">
        <v>235</v>
      </c>
      <c r="BG1124" s="7" t="s">
        <v>235</v>
      </c>
      <c r="BH1124" s="7" t="s">
        <v>235</v>
      </c>
      <c r="BI1124" s="7"/>
      <c r="BJ1124" s="4"/>
      <c r="BK1124" s="8"/>
      <c r="BL1124" s="2" t="s">
        <v>900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4451</v>
      </c>
      <c r="BV1124" s="2" t="s">
        <v>1424</v>
      </c>
      <c r="BW1124" s="2" t="s">
        <v>235</v>
      </c>
      <c r="BX1124" s="2" t="s">
        <v>244</v>
      </c>
      <c r="BY1124" s="2" t="s">
        <v>245</v>
      </c>
      <c r="BZ1124" s="2" t="s">
        <v>232</v>
      </c>
      <c r="CA1124" s="2" t="s">
        <v>1536</v>
      </c>
      <c r="CB1124" s="2" t="s">
        <v>235</v>
      </c>
      <c r="CC1124" s="2" t="s">
        <v>248</v>
      </c>
      <c r="CD1124" s="2" t="s">
        <v>248</v>
      </c>
      <c r="CE1124" s="2" t="s">
        <v>235</v>
      </c>
      <c r="CF1124" s="4"/>
      <c r="CG1124" s="4">
        <v>35</v>
      </c>
      <c r="CH1124" s="4"/>
      <c r="CI1124" s="4">
        <v>10</v>
      </c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</row>
    <row r="1125">
      <c r="A1125" s="2" t="s">
        <v>4470</v>
      </c>
      <c r="B1125" s="2" t="s">
        <v>852</v>
      </c>
      <c r="C1125" s="2" t="s">
        <v>324</v>
      </c>
      <c r="D1125" s="2" t="s">
        <v>854</v>
      </c>
      <c r="E1125" s="2" t="s">
        <v>4453</v>
      </c>
      <c r="F1125" s="2" t="s">
        <v>4450</v>
      </c>
      <c r="G1125" s="2" t="s">
        <v>4454</v>
      </c>
      <c r="H1125" s="2" t="s">
        <v>4455</v>
      </c>
      <c r="I1125" s="2" t="s">
        <v>4456</v>
      </c>
      <c r="J1125" s="2" t="s">
        <v>2614</v>
      </c>
      <c r="K1125" s="2" t="s">
        <v>2029</v>
      </c>
      <c r="L1125" s="3">
        <v>22.26</v>
      </c>
      <c r="M1125" s="3">
        <v>23.37</v>
      </c>
      <c r="N1125" s="3">
        <v>49.99</v>
      </c>
      <c r="O1125" s="2" t="s">
        <v>232</v>
      </c>
      <c r="P1125" s="2" t="s">
        <v>233</v>
      </c>
      <c r="Q1125" s="2" t="s">
        <v>234</v>
      </c>
      <c r="R1125" s="2" t="s">
        <v>235</v>
      </c>
      <c r="S1125" s="2" t="s">
        <v>4471</v>
      </c>
      <c r="T1125" s="2" t="s">
        <v>235</v>
      </c>
      <c r="U1125" s="2" t="s">
        <v>235</v>
      </c>
      <c r="V1125" s="2" t="s">
        <v>238</v>
      </c>
      <c r="W1125" s="2" t="s">
        <v>682</v>
      </c>
      <c r="X1125" s="2" t="s">
        <v>1549</v>
      </c>
      <c r="Y1125" s="2" t="s">
        <v>4458</v>
      </c>
      <c r="Z1125" s="4">
        <v>183</v>
      </c>
      <c r="AA1125" s="4">
        <f>=ROUNDDOWN(76.25,0)</f>
      </c>
      <c r="AB1125" s="5">
        <v>2.4</v>
      </c>
      <c r="AC1125" s="2" t="s">
        <v>235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235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235</v>
      </c>
      <c r="BD1125" s="8" t="s">
        <v>235</v>
      </c>
      <c r="BE1125" s="4" t="s">
        <v>235</v>
      </c>
      <c r="BF1125" s="8" t="s">
        <v>235</v>
      </c>
      <c r="BG1125" s="7" t="s">
        <v>235</v>
      </c>
      <c r="BH1125" s="7" t="s">
        <v>235</v>
      </c>
      <c r="BI1125" s="7"/>
      <c r="BJ1125" s="4">
        <v>4</v>
      </c>
      <c r="BK1125" s="8">
        <v>188.85</v>
      </c>
      <c r="BL1125" s="2" t="s">
        <v>4472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4459</v>
      </c>
      <c r="BV1125" s="2" t="s">
        <v>867</v>
      </c>
      <c r="BW1125" s="2" t="s">
        <v>235</v>
      </c>
      <c r="BX1125" s="2" t="s">
        <v>383</v>
      </c>
      <c r="BY1125" s="2" t="s">
        <v>245</v>
      </c>
      <c r="BZ1125" s="2" t="s">
        <v>232</v>
      </c>
      <c r="CA1125" s="2" t="s">
        <v>4460</v>
      </c>
      <c r="CB1125" s="2" t="s">
        <v>4473</v>
      </c>
      <c r="CC1125" s="2" t="s">
        <v>248</v>
      </c>
      <c r="CD1125" s="2" t="s">
        <v>248</v>
      </c>
      <c r="CE1125" s="2" t="s">
        <v>235</v>
      </c>
      <c r="CF1125" s="4">
        <v>183</v>
      </c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>
        <v>183</v>
      </c>
      <c r="GE1125" s="4">
        <v>181</v>
      </c>
      <c r="GF1125" s="4">
        <v>179</v>
      </c>
      <c r="GG1125" s="4">
        <v>177</v>
      </c>
      <c r="GH1125" s="4">
        <v>175</v>
      </c>
      <c r="GI1125" s="4">
        <v>173</v>
      </c>
      <c r="GJ1125" s="4">
        <v>171</v>
      </c>
      <c r="GK1125" s="4">
        <v>169</v>
      </c>
      <c r="GL1125" s="4">
        <v>167</v>
      </c>
      <c r="GM1125" s="4">
        <v>165</v>
      </c>
      <c r="GN1125" s="4">
        <v>162</v>
      </c>
      <c r="GO1125" s="4">
        <v>159</v>
      </c>
      <c r="GP1125" s="4">
        <v>156</v>
      </c>
      <c r="GQ1125" s="4">
        <v>152</v>
      </c>
      <c r="GR1125" s="4">
        <v>149</v>
      </c>
      <c r="GS1125" s="4">
        <v>146</v>
      </c>
      <c r="GT1125" s="4">
        <v>144</v>
      </c>
      <c r="GU1125" s="4">
        <v>142</v>
      </c>
      <c r="GV1125" s="4">
        <v>140</v>
      </c>
      <c r="GW1125" s="4">
        <v>138</v>
      </c>
      <c r="GX1125" s="4">
        <v>136</v>
      </c>
      <c r="GY1125" s="4">
        <v>134</v>
      </c>
      <c r="GZ1125" s="4">
        <v>132</v>
      </c>
      <c r="HA1125" s="4">
        <v>130</v>
      </c>
      <c r="HB1125" s="4">
        <v>128</v>
      </c>
      <c r="HC1125" s="4">
        <v>126</v>
      </c>
      <c r="HD1125" s="19">
        <v>91.5</v>
      </c>
      <c r="HE1125" s="19">
        <v>90.5</v>
      </c>
      <c r="HF1125" s="19">
        <v>89.5</v>
      </c>
      <c r="HG1125" s="19">
        <v>88.5</v>
      </c>
      <c r="HH1125" s="19">
        <v>87.5</v>
      </c>
      <c r="HI1125" s="19">
        <v>86.5</v>
      </c>
      <c r="HJ1125" s="19">
        <v>85.5</v>
      </c>
      <c r="HK1125" s="19">
        <v>84.5</v>
      </c>
      <c r="HL1125" s="19">
        <v>55.7</v>
      </c>
      <c r="HM1125" s="19">
        <v>55</v>
      </c>
      <c r="HN1125" s="19">
        <v>54</v>
      </c>
      <c r="HO1125" s="19">
        <v>53</v>
      </c>
      <c r="HP1125" s="19">
        <v>52</v>
      </c>
      <c r="HQ1125" s="19">
        <v>76</v>
      </c>
      <c r="HR1125" s="19">
        <v>74.5</v>
      </c>
      <c r="HS1125" s="19">
        <v>73</v>
      </c>
      <c r="HT1125" s="19">
        <v>72</v>
      </c>
      <c r="HU1125" s="19">
        <v>71</v>
      </c>
      <c r="HV1125" s="19">
        <v>70</v>
      </c>
      <c r="HW1125" s="19">
        <v>69</v>
      </c>
      <c r="HX1125" s="19">
        <v>68</v>
      </c>
      <c r="HY1125" s="19">
        <v>67</v>
      </c>
      <c r="HZ1125" s="19">
        <v>66</v>
      </c>
      <c r="IA1125" s="19">
        <v>65</v>
      </c>
      <c r="IB1125" s="19">
        <v>64</v>
      </c>
      <c r="IC1125" s="19">
        <v>63</v>
      </c>
    </row>
    <row r="1126">
      <c r="A1126" s="2" t="s">
        <v>4474</v>
      </c>
      <c r="B1126" s="2" t="s">
        <v>905</v>
      </c>
      <c r="C1126" s="2" t="s">
        <v>678</v>
      </c>
      <c r="D1126" s="2" t="s">
        <v>2650</v>
      </c>
      <c r="E1126" s="2" t="s">
        <v>2651</v>
      </c>
      <c r="F1126" s="2" t="s">
        <v>4475</v>
      </c>
      <c r="G1126" s="2" t="s">
        <v>4475</v>
      </c>
      <c r="H1126" s="2" t="s">
        <v>4475</v>
      </c>
      <c r="I1126" s="2" t="s">
        <v>4476</v>
      </c>
      <c r="J1126" s="2" t="s">
        <v>272</v>
      </c>
      <c r="K1126" s="2" t="s">
        <v>316</v>
      </c>
      <c r="L1126" s="3">
        <v>78.99</v>
      </c>
      <c r="M1126" s="3">
        <v>82.94</v>
      </c>
      <c r="N1126" s="3">
        <v>149.99</v>
      </c>
      <c r="O1126" s="2" t="s">
        <v>232</v>
      </c>
      <c r="P1126" s="2" t="s">
        <v>698</v>
      </c>
      <c r="Q1126" s="2" t="s">
        <v>234</v>
      </c>
      <c r="R1126" s="2" t="s">
        <v>235</v>
      </c>
      <c r="S1126" s="2" t="s">
        <v>4477</v>
      </c>
      <c r="T1126" s="2" t="s">
        <v>501</v>
      </c>
      <c r="U1126" s="2" t="s">
        <v>235</v>
      </c>
      <c r="V1126" s="2" t="s">
        <v>238</v>
      </c>
      <c r="W1126" s="2" t="s">
        <v>239</v>
      </c>
      <c r="X1126" s="2" t="s">
        <v>235</v>
      </c>
      <c r="Y1126" s="2" t="s">
        <v>4478</v>
      </c>
      <c r="Z1126" s="4">
        <v>1359</v>
      </c>
      <c r="AA1126" s="4">
        <f>=ROUNDDOWN(388.285714285714,0)</f>
      </c>
      <c r="AB1126" s="5">
        <v>3.5</v>
      </c>
      <c r="AC1126" s="2" t="s">
        <v>235</v>
      </c>
      <c r="AD1126" s="4"/>
      <c r="AE1126" s="4"/>
      <c r="AF1126" s="6">
        <v>65</v>
      </c>
      <c r="AG1126" s="6">
        <v>48</v>
      </c>
      <c r="AH1126" s="7">
        <v>1</v>
      </c>
      <c r="AI1126" s="4"/>
      <c r="AJ1126" s="4">
        <f>=ROUNDDOWN({0},0)</f>
      </c>
      <c r="AK1126" s="5"/>
      <c r="AL1126" s="2" t="s">
        <v>235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>
        <v>3</v>
      </c>
      <c r="BK1126" s="8">
        <v>249.99</v>
      </c>
      <c r="BL1126" s="2" t="s">
        <v>1632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4479</v>
      </c>
      <c r="BV1126" s="2" t="s">
        <v>243</v>
      </c>
      <c r="BW1126" s="2" t="s">
        <v>235</v>
      </c>
      <c r="BX1126" s="2" t="s">
        <v>383</v>
      </c>
      <c r="BY1126" s="2" t="s">
        <v>245</v>
      </c>
      <c r="BZ1126" s="2" t="s">
        <v>232</v>
      </c>
      <c r="CA1126" s="2" t="s">
        <v>2044</v>
      </c>
      <c r="CB1126" s="2" t="s">
        <v>4480</v>
      </c>
      <c r="CC1126" s="2" t="s">
        <v>248</v>
      </c>
      <c r="CD1126" s="2" t="s">
        <v>248</v>
      </c>
      <c r="CE1126" s="2" t="s">
        <v>235</v>
      </c>
      <c r="CF1126" s="4">
        <v>881</v>
      </c>
      <c r="CG1126" s="4">
        <v>290</v>
      </c>
      <c r="CH1126" s="4"/>
      <c r="CI1126" s="4">
        <v>188</v>
      </c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>
        <v>1360</v>
      </c>
      <c r="GE1126" s="4">
        <v>1357</v>
      </c>
      <c r="GF1126" s="4">
        <v>1355</v>
      </c>
      <c r="GG1126" s="4">
        <v>1353</v>
      </c>
      <c r="GH1126" s="4">
        <v>1351</v>
      </c>
      <c r="GI1126" s="4">
        <v>1343</v>
      </c>
      <c r="GJ1126" s="4">
        <v>1335</v>
      </c>
      <c r="GK1126" s="4">
        <v>1326</v>
      </c>
      <c r="GL1126" s="4">
        <v>1302</v>
      </c>
      <c r="GM1126" s="4">
        <v>1283</v>
      </c>
      <c r="GN1126" s="4">
        <v>1268</v>
      </c>
      <c r="GO1126" s="4">
        <v>1244</v>
      </c>
      <c r="GP1126" s="4">
        <v>1216</v>
      </c>
      <c r="GQ1126" s="4">
        <v>1186</v>
      </c>
      <c r="GR1126" s="4">
        <v>1142</v>
      </c>
      <c r="GS1126" s="4">
        <v>1109</v>
      </c>
      <c r="GT1126" s="4">
        <v>1084</v>
      </c>
      <c r="GU1126" s="4">
        <v>1077</v>
      </c>
      <c r="GV1126" s="4">
        <v>1066</v>
      </c>
      <c r="GW1126" s="4">
        <v>1056</v>
      </c>
      <c r="GX1126" s="4">
        <v>1046</v>
      </c>
      <c r="GY1126" s="4">
        <v>1036</v>
      </c>
      <c r="GZ1126" s="4">
        <v>1032</v>
      </c>
      <c r="HA1126" s="4">
        <v>1028</v>
      </c>
      <c r="HB1126" s="4">
        <v>1024</v>
      </c>
      <c r="HC1126" s="4">
        <v>1020</v>
      </c>
      <c r="HD1126" s="19">
        <v>680</v>
      </c>
      <c r="HE1126" s="19">
        <v>386</v>
      </c>
      <c r="HF1126" s="19">
        <v>192.7</v>
      </c>
      <c r="HG1126" s="19">
        <v>163.1</v>
      </c>
      <c r="HH1126" s="19">
        <v>96</v>
      </c>
      <c r="HI1126" s="19">
        <v>76.3</v>
      </c>
      <c r="HJ1126" s="19">
        <v>67.5</v>
      </c>
      <c r="HK1126" s="19">
        <v>55.3</v>
      </c>
      <c r="HL1126" s="19">
        <v>52.5</v>
      </c>
      <c r="HM1126" s="19">
        <v>45.1</v>
      </c>
      <c r="HN1126" s="19">
        <v>33.1</v>
      </c>
      <c r="HO1126" s="19">
        <v>30.3</v>
      </c>
      <c r="HP1126" s="19">
        <v>30.4</v>
      </c>
      <c r="HQ1126" s="19">
        <v>34.5</v>
      </c>
      <c r="HR1126" s="19">
        <v>48.3</v>
      </c>
      <c r="HS1126" s="19">
        <v>63.5</v>
      </c>
      <c r="HT1126" s="19">
        <v>95.3</v>
      </c>
      <c r="HU1126" s="19">
        <v>85.7</v>
      </c>
      <c r="HV1126" s="19">
        <v>93.1</v>
      </c>
      <c r="HW1126" s="19">
        <v>103.5</v>
      </c>
      <c r="HX1126" s="19">
        <v>164.9</v>
      </c>
      <c r="HY1126" s="19">
        <v>202.4</v>
      </c>
      <c r="HZ1126" s="19">
        <v>201.4</v>
      </c>
      <c r="IA1126" s="19">
        <v>200.4</v>
      </c>
      <c r="IB1126" s="19">
        <v>199.4</v>
      </c>
      <c r="IC1126" s="19">
        <v>198.4</v>
      </c>
    </row>
    <row r="1127">
      <c r="A1127" s="2" t="s">
        <v>4481</v>
      </c>
      <c r="B1127" s="2" t="s">
        <v>905</v>
      </c>
      <c r="C1127" s="2" t="s">
        <v>678</v>
      </c>
      <c r="D1127" s="2" t="s">
        <v>1177</v>
      </c>
      <c r="E1127" s="2" t="s">
        <v>2747</v>
      </c>
      <c r="F1127" s="2" t="s">
        <v>4482</v>
      </c>
      <c r="G1127" s="2" t="s">
        <v>4482</v>
      </c>
      <c r="H1127" s="2" t="s">
        <v>235</v>
      </c>
      <c r="I1127" s="2" t="s">
        <v>982</v>
      </c>
      <c r="J1127" s="2" t="s">
        <v>250</v>
      </c>
      <c r="K1127" s="2" t="s">
        <v>1333</v>
      </c>
      <c r="L1127" s="3">
        <v>66.33</v>
      </c>
      <c r="M1127" s="3">
        <v>69.65</v>
      </c>
      <c r="N1127" s="3">
        <v>129.99</v>
      </c>
      <c r="O1127" s="2" t="s">
        <v>232</v>
      </c>
      <c r="P1127" s="2" t="s">
        <v>233</v>
      </c>
      <c r="Q1127" s="2" t="s">
        <v>234</v>
      </c>
      <c r="R1127" s="2" t="s">
        <v>235</v>
      </c>
      <c r="S1127" s="2" t="s">
        <v>4483</v>
      </c>
      <c r="T1127" s="2" t="s">
        <v>1081</v>
      </c>
      <c r="U1127" s="2" t="s">
        <v>235</v>
      </c>
      <c r="V1127" s="2" t="s">
        <v>238</v>
      </c>
      <c r="W1127" s="2" t="s">
        <v>239</v>
      </c>
      <c r="X1127" s="2" t="s">
        <v>235</v>
      </c>
      <c r="Y1127" s="2" t="s">
        <v>240</v>
      </c>
      <c r="Z1127" s="4">
        <v>344</v>
      </c>
      <c r="AA1127" s="4">
        <f>=ROUNDDOWN(20.2352941176471,0)</f>
      </c>
      <c r="AB1127" s="5">
        <v>17</v>
      </c>
      <c r="AC1127" s="2" t="s">
        <v>235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235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235</v>
      </c>
      <c r="AW1127" s="8" t="s">
        <v>235</v>
      </c>
      <c r="AX1127" s="4" t="s">
        <v>235</v>
      </c>
      <c r="AY1127" s="8" t="s">
        <v>235</v>
      </c>
      <c r="AZ1127" s="7" t="s">
        <v>235</v>
      </c>
      <c r="BA1127" s="7" t="s">
        <v>235</v>
      </c>
      <c r="BB1127" s="7"/>
      <c r="BC1127" s="4" t="s">
        <v>235</v>
      </c>
      <c r="BD1127" s="8" t="s">
        <v>235</v>
      </c>
      <c r="BE1127" s="4" t="s">
        <v>235</v>
      </c>
      <c r="BF1127" s="8" t="s">
        <v>235</v>
      </c>
      <c r="BG1127" s="7" t="s">
        <v>235</v>
      </c>
      <c r="BH1127" s="7" t="s">
        <v>235</v>
      </c>
      <c r="BI1127" s="7"/>
      <c r="BJ1127" s="4">
        <v>17</v>
      </c>
      <c r="BK1127" s="8">
        <v>1213.45</v>
      </c>
      <c r="BL1127" s="2" t="s">
        <v>2589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4484</v>
      </c>
      <c r="BV1127" s="2" t="s">
        <v>243</v>
      </c>
      <c r="BW1127" s="2" t="s">
        <v>235</v>
      </c>
      <c r="BX1127" s="2" t="s">
        <v>4145</v>
      </c>
      <c r="BY1127" s="2" t="s">
        <v>245</v>
      </c>
      <c r="BZ1127" s="2" t="s">
        <v>232</v>
      </c>
      <c r="CA1127" s="2" t="s">
        <v>2044</v>
      </c>
      <c r="CB1127" s="2" t="s">
        <v>4485</v>
      </c>
      <c r="CC1127" s="2" t="s">
        <v>248</v>
      </c>
      <c r="CD1127" s="2" t="s">
        <v>248</v>
      </c>
      <c r="CE1127" s="2" t="s">
        <v>235</v>
      </c>
      <c r="CF1127" s="4">
        <v>282</v>
      </c>
      <c r="CG1127" s="4"/>
      <c r="CH1127" s="4"/>
      <c r="CI1127" s="4">
        <v>62</v>
      </c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>
        <v>346</v>
      </c>
      <c r="GE1127" s="4">
        <v>317</v>
      </c>
      <c r="GF1127" s="4">
        <v>302</v>
      </c>
      <c r="GG1127" s="4">
        <v>292</v>
      </c>
      <c r="GH1127" s="4">
        <v>281</v>
      </c>
      <c r="GI1127" s="4">
        <v>262</v>
      </c>
      <c r="GJ1127" s="4">
        <v>228</v>
      </c>
      <c r="GK1127" s="4">
        <v>207</v>
      </c>
      <c r="GL1127" s="4">
        <v>180</v>
      </c>
      <c r="GM1127" s="4">
        <v>160</v>
      </c>
      <c r="GN1127" s="4">
        <v>149</v>
      </c>
      <c r="GO1127" s="4">
        <v>132</v>
      </c>
      <c r="GP1127" s="4">
        <v>113</v>
      </c>
      <c r="GQ1127" s="4">
        <v>94</v>
      </c>
      <c r="GR1127" s="4">
        <v>69</v>
      </c>
      <c r="GS1127" s="4">
        <v>42</v>
      </c>
      <c r="GT1127" s="4">
        <v>17</v>
      </c>
      <c r="GU1127" s="4">
        <v>2</v>
      </c>
      <c r="GV1127" s="4"/>
      <c r="GW1127" s="4">
        <v>372</v>
      </c>
      <c r="GX1127" s="4">
        <v>340</v>
      </c>
      <c r="GY1127" s="4">
        <v>331</v>
      </c>
      <c r="GZ1127" s="4">
        <v>321</v>
      </c>
      <c r="HA1127" s="4">
        <v>314</v>
      </c>
      <c r="HB1127" s="4">
        <v>309</v>
      </c>
      <c r="HC1127" s="4">
        <v>304</v>
      </c>
      <c r="HD1127" s="19">
        <v>21.6</v>
      </c>
      <c r="HE1127" s="19">
        <v>22.6</v>
      </c>
      <c r="HF1127" s="19">
        <v>16.8</v>
      </c>
      <c r="HG1127" s="19">
        <v>13.9</v>
      </c>
      <c r="HH1127" s="19">
        <v>11.2</v>
      </c>
      <c r="HI1127" s="19">
        <v>10.1</v>
      </c>
      <c r="HJ1127" s="19">
        <v>11.4</v>
      </c>
      <c r="HK1127" s="19">
        <v>10.9</v>
      </c>
      <c r="HL1127" s="19">
        <v>10.6</v>
      </c>
      <c r="HM1127" s="19">
        <v>10</v>
      </c>
      <c r="HN1127" s="19">
        <v>7.5</v>
      </c>
      <c r="HO1127" s="19">
        <v>6</v>
      </c>
      <c r="HP1127" s="19">
        <v>4.7</v>
      </c>
      <c r="HQ1127" s="19">
        <v>4.1</v>
      </c>
      <c r="HR1127" s="19">
        <v>3.8</v>
      </c>
      <c r="HS1127" s="19">
        <v>3.5</v>
      </c>
      <c r="HT1127" s="19">
        <v>1.3</v>
      </c>
      <c r="HU1127" s="19">
        <v>0.2</v>
      </c>
      <c r="HV1127" s="20">
        <v>0</v>
      </c>
      <c r="HW1127" s="19">
        <v>26.6</v>
      </c>
      <c r="HX1127" s="19">
        <v>42.5</v>
      </c>
      <c r="HY1127" s="19">
        <v>47.3</v>
      </c>
      <c r="HZ1127" s="19">
        <v>64.2</v>
      </c>
      <c r="IA1127" s="19">
        <v>78.5</v>
      </c>
      <c r="IB1127" s="19">
        <v>77.3</v>
      </c>
      <c r="IC1127" s="19">
        <v>76</v>
      </c>
    </row>
    <row r="1128">
      <c r="A1128" s="2" t="s">
        <v>4486</v>
      </c>
      <c r="B1128" s="2" t="s">
        <v>905</v>
      </c>
      <c r="C1128" s="2" t="s">
        <v>678</v>
      </c>
      <c r="D1128" s="2" t="s">
        <v>1177</v>
      </c>
      <c r="E1128" s="2" t="s">
        <v>2747</v>
      </c>
      <c r="F1128" s="2" t="s">
        <v>4482</v>
      </c>
      <c r="G1128" s="2" t="s">
        <v>4482</v>
      </c>
      <c r="H1128" s="2" t="s">
        <v>235</v>
      </c>
      <c r="I1128" s="2" t="s">
        <v>982</v>
      </c>
      <c r="J1128" s="2" t="s">
        <v>270</v>
      </c>
      <c r="K1128" s="2" t="s">
        <v>1333</v>
      </c>
      <c r="L1128" s="3">
        <v>100.21</v>
      </c>
      <c r="M1128" s="3">
        <v>105.22</v>
      </c>
      <c r="N1128" s="3">
        <v>204.99</v>
      </c>
      <c r="O1128" s="2" t="s">
        <v>232</v>
      </c>
      <c r="P1128" s="2" t="s">
        <v>233</v>
      </c>
      <c r="Q1128" s="2" t="s">
        <v>234</v>
      </c>
      <c r="R1128" s="2" t="s">
        <v>235</v>
      </c>
      <c r="S1128" s="2" t="s">
        <v>4483</v>
      </c>
      <c r="T1128" s="2" t="s">
        <v>1081</v>
      </c>
      <c r="U1128" s="2" t="s">
        <v>235</v>
      </c>
      <c r="V1128" s="2" t="s">
        <v>238</v>
      </c>
      <c r="W1128" s="2" t="s">
        <v>239</v>
      </c>
      <c r="X1128" s="2" t="s">
        <v>235</v>
      </c>
      <c r="Y1128" s="2" t="s">
        <v>4487</v>
      </c>
      <c r="Z1128" s="4">
        <v>492</v>
      </c>
      <c r="AA1128" s="4">
        <f>=ROUNDDOWN(29.6385542168675,0)</f>
      </c>
      <c r="AB1128" s="5">
        <v>16.6</v>
      </c>
      <c r="AC1128" s="2" t="s">
        <v>235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235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235</v>
      </c>
      <c r="AW1128" s="8" t="s">
        <v>235</v>
      </c>
      <c r="AX1128" s="4" t="s">
        <v>235</v>
      </c>
      <c r="AY1128" s="8" t="s">
        <v>235</v>
      </c>
      <c r="AZ1128" s="7" t="s">
        <v>235</v>
      </c>
      <c r="BA1128" s="7" t="s">
        <v>235</v>
      </c>
      <c r="BB1128" s="7"/>
      <c r="BC1128" s="4" t="s">
        <v>235</v>
      </c>
      <c r="BD1128" s="8" t="s">
        <v>235</v>
      </c>
      <c r="BE1128" s="4" t="s">
        <v>235</v>
      </c>
      <c r="BF1128" s="8" t="s">
        <v>235</v>
      </c>
      <c r="BG1128" s="7" t="s">
        <v>235</v>
      </c>
      <c r="BH1128" s="7" t="s">
        <v>235</v>
      </c>
      <c r="BI1128" s="7"/>
      <c r="BJ1128" s="4">
        <v>12</v>
      </c>
      <c r="BK1128" s="8">
        <v>1378.13</v>
      </c>
      <c r="BL1128" s="2" t="s">
        <v>2715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4484</v>
      </c>
      <c r="BV1128" s="2" t="s">
        <v>243</v>
      </c>
      <c r="BW1128" s="2" t="s">
        <v>235</v>
      </c>
      <c r="BX1128" s="2" t="s">
        <v>4145</v>
      </c>
      <c r="BY1128" s="2" t="s">
        <v>245</v>
      </c>
      <c r="BZ1128" s="2" t="s">
        <v>232</v>
      </c>
      <c r="CA1128" s="2" t="s">
        <v>2044</v>
      </c>
      <c r="CB1128" s="2" t="s">
        <v>4488</v>
      </c>
      <c r="CC1128" s="2" t="s">
        <v>248</v>
      </c>
      <c r="CD1128" s="2" t="s">
        <v>248</v>
      </c>
      <c r="CE1128" s="2" t="s">
        <v>235</v>
      </c>
      <c r="CF1128" s="4">
        <v>411</v>
      </c>
      <c r="CG1128" s="4"/>
      <c r="CH1128" s="4"/>
      <c r="CI1128" s="4">
        <v>81</v>
      </c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>
        <v>514</v>
      </c>
      <c r="GE1128" s="4">
        <v>467</v>
      </c>
      <c r="GF1128" s="4">
        <v>438</v>
      </c>
      <c r="GG1128" s="4">
        <v>419</v>
      </c>
      <c r="GH1128" s="4">
        <v>398</v>
      </c>
      <c r="GI1128" s="4">
        <v>369</v>
      </c>
      <c r="GJ1128" s="4">
        <v>319</v>
      </c>
      <c r="GK1128" s="4">
        <v>288</v>
      </c>
      <c r="GL1128" s="4">
        <v>248</v>
      </c>
      <c r="GM1128" s="4">
        <v>218</v>
      </c>
      <c r="GN1128" s="4">
        <v>203</v>
      </c>
      <c r="GO1128" s="4">
        <v>183</v>
      </c>
      <c r="GP1128" s="4">
        <v>163</v>
      </c>
      <c r="GQ1128" s="4">
        <v>143</v>
      </c>
      <c r="GR1128" s="4">
        <v>117</v>
      </c>
      <c r="GS1128" s="4">
        <v>94</v>
      </c>
      <c r="GT1128" s="4">
        <v>74</v>
      </c>
      <c r="GU1128" s="4">
        <v>61</v>
      </c>
      <c r="GV1128" s="4">
        <v>52</v>
      </c>
      <c r="GW1128" s="4">
        <v>168</v>
      </c>
      <c r="GX1128" s="4">
        <v>159</v>
      </c>
      <c r="GY1128" s="4">
        <v>150</v>
      </c>
      <c r="GZ1128" s="4">
        <v>141</v>
      </c>
      <c r="HA1128" s="4">
        <v>133</v>
      </c>
      <c r="HB1128" s="4">
        <v>126</v>
      </c>
      <c r="HC1128" s="4">
        <v>389</v>
      </c>
      <c r="HD1128" s="19">
        <v>17.7</v>
      </c>
      <c r="HE1128" s="19">
        <v>19.5</v>
      </c>
      <c r="HF1128" s="19">
        <v>14.6</v>
      </c>
      <c r="HG1128" s="19">
        <v>12.7</v>
      </c>
      <c r="HH1128" s="19">
        <v>10.5</v>
      </c>
      <c r="HI1128" s="19">
        <v>9.7</v>
      </c>
      <c r="HJ1128" s="19">
        <v>11</v>
      </c>
      <c r="HK1128" s="19">
        <v>11.1</v>
      </c>
      <c r="HL1128" s="19">
        <v>11.8</v>
      </c>
      <c r="HM1128" s="19">
        <v>11.5</v>
      </c>
      <c r="HN1128" s="19">
        <v>9.2</v>
      </c>
      <c r="HO1128" s="19">
        <v>8.3</v>
      </c>
      <c r="HP1128" s="19">
        <v>7.4</v>
      </c>
      <c r="HQ1128" s="19">
        <v>7.2</v>
      </c>
      <c r="HR1128" s="19">
        <v>7.3</v>
      </c>
      <c r="HS1128" s="19">
        <v>7.2</v>
      </c>
      <c r="HT1128" s="19">
        <v>7.4</v>
      </c>
      <c r="HU1128" s="19">
        <v>6.8</v>
      </c>
      <c r="HV1128" s="19">
        <v>5.8</v>
      </c>
      <c r="HW1128" s="19">
        <v>18.7</v>
      </c>
      <c r="HX1128" s="19">
        <v>19.9</v>
      </c>
      <c r="HY1128" s="19">
        <v>18.8</v>
      </c>
      <c r="HZ1128" s="19">
        <v>20.1</v>
      </c>
      <c r="IA1128" s="19">
        <v>22.2</v>
      </c>
      <c r="IB1128" s="19">
        <v>21</v>
      </c>
      <c r="IC1128" s="19">
        <v>77.8</v>
      </c>
    </row>
    <row r="1129">
      <c r="A1129" s="2" t="s">
        <v>4489</v>
      </c>
      <c r="B1129" s="2" t="s">
        <v>905</v>
      </c>
      <c r="C1129" s="2" t="s">
        <v>678</v>
      </c>
      <c r="D1129" s="2" t="s">
        <v>1177</v>
      </c>
      <c r="E1129" s="2" t="s">
        <v>2747</v>
      </c>
      <c r="F1129" s="2" t="s">
        <v>4482</v>
      </c>
      <c r="G1129" s="2" t="s">
        <v>4482</v>
      </c>
      <c r="H1129" s="2" t="s">
        <v>235</v>
      </c>
      <c r="I1129" s="2" t="s">
        <v>982</v>
      </c>
      <c r="J1129" s="2" t="s">
        <v>394</v>
      </c>
      <c r="K1129" s="2" t="s">
        <v>292</v>
      </c>
      <c r="L1129" s="3">
        <v>60.73</v>
      </c>
      <c r="M1129" s="3">
        <v>63.77</v>
      </c>
      <c r="N1129" s="3">
        <v>119.99</v>
      </c>
      <c r="O1129" s="2" t="s">
        <v>232</v>
      </c>
      <c r="P1129" s="2" t="s">
        <v>698</v>
      </c>
      <c r="Q1129" s="2" t="s">
        <v>234</v>
      </c>
      <c r="R1129" s="2" t="s">
        <v>235</v>
      </c>
      <c r="S1129" s="2" t="s">
        <v>4490</v>
      </c>
      <c r="T1129" s="2" t="s">
        <v>1081</v>
      </c>
      <c r="U1129" s="2" t="s">
        <v>235</v>
      </c>
      <c r="V1129" s="2" t="s">
        <v>238</v>
      </c>
      <c r="W1129" s="2" t="s">
        <v>239</v>
      </c>
      <c r="X1129" s="2" t="s">
        <v>235</v>
      </c>
      <c r="Y1129" s="2" t="s">
        <v>4487</v>
      </c>
      <c r="Z1129" s="4">
        <v>488</v>
      </c>
      <c r="AA1129" s="4">
        <f>=ROUNDDOWN(38.4251968503937,0)</f>
      </c>
      <c r="AB1129" s="5">
        <v>12.7</v>
      </c>
      <c r="AC1129" s="2" t="s">
        <v>235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235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235</v>
      </c>
      <c r="AW1129" s="8" t="s">
        <v>235</v>
      </c>
      <c r="AX1129" s="4" t="s">
        <v>235</v>
      </c>
      <c r="AY1129" s="8" t="s">
        <v>235</v>
      </c>
      <c r="AZ1129" s="7" t="s">
        <v>235</v>
      </c>
      <c r="BA1129" s="7" t="s">
        <v>235</v>
      </c>
      <c r="BB1129" s="7"/>
      <c r="BC1129" s="4" t="s">
        <v>235</v>
      </c>
      <c r="BD1129" s="8" t="s">
        <v>235</v>
      </c>
      <c r="BE1129" s="4" t="s">
        <v>235</v>
      </c>
      <c r="BF1129" s="8" t="s">
        <v>235</v>
      </c>
      <c r="BG1129" s="7" t="s">
        <v>235</v>
      </c>
      <c r="BH1129" s="7" t="s">
        <v>235</v>
      </c>
      <c r="BI1129" s="7"/>
      <c r="BJ1129" s="4">
        <v>52</v>
      </c>
      <c r="BK1129" s="8">
        <v>3086.87</v>
      </c>
      <c r="BL1129" s="2" t="s">
        <v>4491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4484</v>
      </c>
      <c r="BV1129" s="2" t="s">
        <v>243</v>
      </c>
      <c r="BW1129" s="2" t="s">
        <v>235</v>
      </c>
      <c r="BX1129" s="2" t="s">
        <v>4145</v>
      </c>
      <c r="BY1129" s="2" t="s">
        <v>245</v>
      </c>
      <c r="BZ1129" s="2" t="s">
        <v>232</v>
      </c>
      <c r="CA1129" s="2" t="s">
        <v>252</v>
      </c>
      <c r="CB1129" s="2" t="s">
        <v>1741</v>
      </c>
      <c r="CC1129" s="2" t="s">
        <v>248</v>
      </c>
      <c r="CD1129" s="2" t="s">
        <v>248</v>
      </c>
      <c r="CE1129" s="2" t="s">
        <v>235</v>
      </c>
      <c r="CF1129" s="4">
        <v>488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>
        <v>503</v>
      </c>
      <c r="GE1129" s="4">
        <v>472</v>
      </c>
      <c r="GF1129" s="4">
        <v>471</v>
      </c>
      <c r="GG1129" s="4">
        <v>464</v>
      </c>
      <c r="GH1129" s="4">
        <v>446</v>
      </c>
      <c r="GI1129" s="4">
        <v>416</v>
      </c>
      <c r="GJ1129" s="4">
        <v>369</v>
      </c>
      <c r="GK1129" s="4">
        <v>339</v>
      </c>
      <c r="GL1129" s="4">
        <v>302</v>
      </c>
      <c r="GM1129" s="4">
        <v>274</v>
      </c>
      <c r="GN1129" s="4">
        <v>259</v>
      </c>
      <c r="GO1129" s="4">
        <v>234</v>
      </c>
      <c r="GP1129" s="4">
        <v>209</v>
      </c>
      <c r="GQ1129" s="4">
        <v>185</v>
      </c>
      <c r="GR1129" s="4">
        <v>152</v>
      </c>
      <c r="GS1129" s="4">
        <v>128</v>
      </c>
      <c r="GT1129" s="4">
        <v>105</v>
      </c>
      <c r="GU1129" s="4">
        <v>95</v>
      </c>
      <c r="GV1129" s="4">
        <v>85</v>
      </c>
      <c r="GW1129" s="4">
        <v>77</v>
      </c>
      <c r="GX1129" s="4">
        <v>70</v>
      </c>
      <c r="GY1129" s="4">
        <v>64</v>
      </c>
      <c r="GZ1129" s="4">
        <v>59</v>
      </c>
      <c r="HA1129" s="4">
        <v>54</v>
      </c>
      <c r="HB1129" s="4">
        <v>49</v>
      </c>
      <c r="HC1129" s="4">
        <v>44</v>
      </c>
      <c r="HD1129" s="19">
        <v>35.9</v>
      </c>
      <c r="HE1129" s="19">
        <v>33.7</v>
      </c>
      <c r="HF1129" s="19">
        <v>18.1</v>
      </c>
      <c r="HG1129" s="19">
        <v>15</v>
      </c>
      <c r="HH1129" s="19">
        <v>12.4</v>
      </c>
      <c r="HI1129" s="19">
        <v>11.6</v>
      </c>
      <c r="HJ1129" s="19">
        <v>13.2</v>
      </c>
      <c r="HK1129" s="19">
        <v>13</v>
      </c>
      <c r="HL1129" s="19">
        <v>13.1</v>
      </c>
      <c r="HM1129" s="19">
        <v>12.5</v>
      </c>
      <c r="HN1129" s="19">
        <v>9.6</v>
      </c>
      <c r="HO1129" s="19">
        <v>9</v>
      </c>
      <c r="HP1129" s="19">
        <v>8</v>
      </c>
      <c r="HQ1129" s="19">
        <v>8.4</v>
      </c>
      <c r="HR1129" s="19">
        <v>8.9</v>
      </c>
      <c r="HS1129" s="19">
        <v>9.8</v>
      </c>
      <c r="HT1129" s="19">
        <v>11.7</v>
      </c>
      <c r="HU1129" s="19">
        <v>11.9</v>
      </c>
      <c r="HV1129" s="19">
        <v>14.2</v>
      </c>
      <c r="HW1129" s="19">
        <v>12.8</v>
      </c>
      <c r="HX1129" s="19">
        <v>14</v>
      </c>
      <c r="HY1129" s="19">
        <v>12.8</v>
      </c>
      <c r="HZ1129" s="19">
        <v>11.8</v>
      </c>
      <c r="IA1129" s="19">
        <v>13.5</v>
      </c>
      <c r="IB1129" s="19">
        <v>12.3</v>
      </c>
      <c r="IC1129" s="19">
        <v>11</v>
      </c>
    </row>
    <row r="1130">
      <c r="A1130" s="2" t="s">
        <v>4492</v>
      </c>
      <c r="B1130" s="2" t="s">
        <v>905</v>
      </c>
      <c r="C1130" s="2" t="s">
        <v>678</v>
      </c>
      <c r="D1130" s="2" t="s">
        <v>1177</v>
      </c>
      <c r="E1130" s="2" t="s">
        <v>2747</v>
      </c>
      <c r="F1130" s="2" t="s">
        <v>4482</v>
      </c>
      <c r="G1130" s="2" t="s">
        <v>4482</v>
      </c>
      <c r="H1130" s="2" t="s">
        <v>235</v>
      </c>
      <c r="I1130" s="2" t="s">
        <v>982</v>
      </c>
      <c r="J1130" s="2" t="s">
        <v>250</v>
      </c>
      <c r="K1130" s="2" t="s">
        <v>292</v>
      </c>
      <c r="L1130" s="3">
        <v>66.33</v>
      </c>
      <c r="M1130" s="3">
        <v>69.65</v>
      </c>
      <c r="N1130" s="3">
        <v>129.99</v>
      </c>
      <c r="O1130" s="2" t="s">
        <v>232</v>
      </c>
      <c r="P1130" s="2" t="s">
        <v>698</v>
      </c>
      <c r="Q1130" s="2" t="s">
        <v>234</v>
      </c>
      <c r="R1130" s="2" t="s">
        <v>235</v>
      </c>
      <c r="S1130" s="2" t="s">
        <v>4490</v>
      </c>
      <c r="T1130" s="2" t="s">
        <v>1081</v>
      </c>
      <c r="U1130" s="2" t="s">
        <v>235</v>
      </c>
      <c r="V1130" s="2" t="s">
        <v>238</v>
      </c>
      <c r="W1130" s="2" t="s">
        <v>239</v>
      </c>
      <c r="X1130" s="2" t="s">
        <v>235</v>
      </c>
      <c r="Y1130" s="2" t="s">
        <v>4493</v>
      </c>
      <c r="Z1130" s="4">
        <v>543</v>
      </c>
      <c r="AA1130" s="4">
        <f>=ROUNDDOWN(44.1463414634146,0)</f>
      </c>
      <c r="AB1130" s="5">
        <v>12.3</v>
      </c>
      <c r="AC1130" s="2" t="s">
        <v>235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235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235</v>
      </c>
      <c r="AW1130" s="8" t="s">
        <v>235</v>
      </c>
      <c r="AX1130" s="4" t="s">
        <v>235</v>
      </c>
      <c r="AY1130" s="8" t="s">
        <v>235</v>
      </c>
      <c r="AZ1130" s="7" t="s">
        <v>235</v>
      </c>
      <c r="BA1130" s="7" t="s">
        <v>235</v>
      </c>
      <c r="BB1130" s="7"/>
      <c r="BC1130" s="4" t="s">
        <v>235</v>
      </c>
      <c r="BD1130" s="8" t="s">
        <v>235</v>
      </c>
      <c r="BE1130" s="4" t="s">
        <v>235</v>
      </c>
      <c r="BF1130" s="8" t="s">
        <v>235</v>
      </c>
      <c r="BG1130" s="7" t="s">
        <v>235</v>
      </c>
      <c r="BH1130" s="7" t="s">
        <v>235</v>
      </c>
      <c r="BI1130" s="7"/>
      <c r="BJ1130" s="4">
        <v>27</v>
      </c>
      <c r="BK1130" s="8">
        <v>1775.3</v>
      </c>
      <c r="BL1130" s="2" t="s">
        <v>2824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4484</v>
      </c>
      <c r="BV1130" s="2" t="s">
        <v>243</v>
      </c>
      <c r="BW1130" s="2" t="s">
        <v>235</v>
      </c>
      <c r="BX1130" s="2" t="s">
        <v>4145</v>
      </c>
      <c r="BY1130" s="2" t="s">
        <v>245</v>
      </c>
      <c r="BZ1130" s="2" t="s">
        <v>232</v>
      </c>
      <c r="CA1130" s="2" t="s">
        <v>252</v>
      </c>
      <c r="CB1130" s="2" t="s">
        <v>4494</v>
      </c>
      <c r="CC1130" s="2" t="s">
        <v>248</v>
      </c>
      <c r="CD1130" s="2" t="s">
        <v>248</v>
      </c>
      <c r="CE1130" s="2" t="s">
        <v>235</v>
      </c>
      <c r="CF1130" s="4">
        <v>543</v>
      </c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>
        <v>552</v>
      </c>
      <c r="GE1130" s="4">
        <v>538</v>
      </c>
      <c r="GF1130" s="4">
        <v>534</v>
      </c>
      <c r="GG1130" s="4">
        <v>524</v>
      </c>
      <c r="GH1130" s="4">
        <v>513</v>
      </c>
      <c r="GI1130" s="4">
        <v>488</v>
      </c>
      <c r="GJ1130" s="4">
        <v>448</v>
      </c>
      <c r="GK1130" s="4">
        <v>421</v>
      </c>
      <c r="GL1130" s="4">
        <v>388</v>
      </c>
      <c r="GM1130" s="4">
        <v>365</v>
      </c>
      <c r="GN1130" s="4">
        <v>350</v>
      </c>
      <c r="GO1130" s="4">
        <v>324</v>
      </c>
      <c r="GP1130" s="4">
        <v>288</v>
      </c>
      <c r="GQ1130" s="4">
        <v>253</v>
      </c>
      <c r="GR1130" s="4">
        <v>202</v>
      </c>
      <c r="GS1130" s="4">
        <v>155</v>
      </c>
      <c r="GT1130" s="4">
        <v>109</v>
      </c>
      <c r="GU1130" s="4">
        <v>87</v>
      </c>
      <c r="GV1130" s="4">
        <v>72</v>
      </c>
      <c r="GW1130" s="4">
        <v>60</v>
      </c>
      <c r="GX1130" s="4">
        <v>47</v>
      </c>
      <c r="GY1130" s="4">
        <v>36</v>
      </c>
      <c r="GZ1130" s="4">
        <v>29</v>
      </c>
      <c r="HA1130" s="4">
        <v>24</v>
      </c>
      <c r="HB1130" s="4">
        <v>20</v>
      </c>
      <c r="HC1130" s="4">
        <v>246</v>
      </c>
      <c r="HD1130" s="19">
        <v>55.2</v>
      </c>
      <c r="HE1130" s="19">
        <v>44.8</v>
      </c>
      <c r="HF1130" s="19">
        <v>24.3</v>
      </c>
      <c r="HG1130" s="19">
        <v>20.2</v>
      </c>
      <c r="HH1130" s="19">
        <v>16.5</v>
      </c>
      <c r="HI1130" s="19">
        <v>15.7</v>
      </c>
      <c r="HJ1130" s="19">
        <v>18.7</v>
      </c>
      <c r="HK1130" s="19">
        <v>17.5</v>
      </c>
      <c r="HL1130" s="19">
        <v>15.5</v>
      </c>
      <c r="HM1130" s="19">
        <v>13</v>
      </c>
      <c r="HN1130" s="19">
        <v>9.5</v>
      </c>
      <c r="HO1130" s="19">
        <v>7.7</v>
      </c>
      <c r="HP1130" s="19">
        <v>6.4</v>
      </c>
      <c r="HQ1130" s="19">
        <v>6</v>
      </c>
      <c r="HR1130" s="19">
        <v>6.3</v>
      </c>
      <c r="HS1130" s="19">
        <v>6.5</v>
      </c>
      <c r="HT1130" s="19">
        <v>6.8</v>
      </c>
      <c r="HU1130" s="19">
        <v>6.7</v>
      </c>
      <c r="HV1130" s="19">
        <v>6.5</v>
      </c>
      <c r="HW1130" s="19">
        <v>6.7</v>
      </c>
      <c r="HX1130" s="19">
        <v>6.7</v>
      </c>
      <c r="HY1130" s="19">
        <v>7.2</v>
      </c>
      <c r="HZ1130" s="19">
        <v>7.3</v>
      </c>
      <c r="IA1130" s="19">
        <v>6</v>
      </c>
      <c r="IB1130" s="19">
        <v>6.7</v>
      </c>
      <c r="IC1130" s="19">
        <v>82</v>
      </c>
    </row>
    <row r="1131">
      <c r="A1131" s="2" t="s">
        <v>4495</v>
      </c>
      <c r="B1131" s="2" t="s">
        <v>905</v>
      </c>
      <c r="C1131" s="2" t="s">
        <v>678</v>
      </c>
      <c r="D1131" s="2" t="s">
        <v>1177</v>
      </c>
      <c r="E1131" s="2" t="s">
        <v>2747</v>
      </c>
      <c r="F1131" s="2" t="s">
        <v>4482</v>
      </c>
      <c r="G1131" s="2" t="s">
        <v>4482</v>
      </c>
      <c r="H1131" s="2" t="s">
        <v>235</v>
      </c>
      <c r="I1131" s="2" t="s">
        <v>982</v>
      </c>
      <c r="J1131" s="2" t="s">
        <v>394</v>
      </c>
      <c r="K1131" s="2" t="s">
        <v>646</v>
      </c>
      <c r="L1131" s="3">
        <v>60.73</v>
      </c>
      <c r="M1131" s="3">
        <v>63.77</v>
      </c>
      <c r="N1131" s="3">
        <v>119.99</v>
      </c>
      <c r="O1131" s="2" t="s">
        <v>232</v>
      </c>
      <c r="P1131" s="2" t="s">
        <v>233</v>
      </c>
      <c r="Q1131" s="2" t="s">
        <v>234</v>
      </c>
      <c r="R1131" s="2" t="s">
        <v>235</v>
      </c>
      <c r="S1131" s="2" t="s">
        <v>4496</v>
      </c>
      <c r="T1131" s="2" t="s">
        <v>1081</v>
      </c>
      <c r="U1131" s="2" t="s">
        <v>235</v>
      </c>
      <c r="V1131" s="2" t="s">
        <v>238</v>
      </c>
      <c r="W1131" s="2" t="s">
        <v>239</v>
      </c>
      <c r="X1131" s="2" t="s">
        <v>235</v>
      </c>
      <c r="Y1131" s="2" t="s">
        <v>240</v>
      </c>
      <c r="Z1131" s="4">
        <v>296</v>
      </c>
      <c r="AA1131" s="4">
        <f>=ROUNDDOWN(14.8,0)</f>
      </c>
      <c r="AB1131" s="5">
        <v>20</v>
      </c>
      <c r="AC1131" s="2" t="s">
        <v>235</v>
      </c>
      <c r="AD1131" s="4"/>
      <c r="AE1131" s="4"/>
      <c r="AF1131" s="6">
        <v>65</v>
      </c>
      <c r="AG1131" s="6"/>
      <c r="AH1131" s="7">
        <v>0.871</v>
      </c>
      <c r="AI1131" s="4"/>
      <c r="AJ1131" s="4">
        <f>=ROUNDDOWN({0},0)</f>
      </c>
      <c r="AK1131" s="5"/>
      <c r="AL1131" s="2" t="s">
        <v>235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235</v>
      </c>
      <c r="AW1131" s="8" t="s">
        <v>235</v>
      </c>
      <c r="AX1131" s="4" t="s">
        <v>235</v>
      </c>
      <c r="AY1131" s="8" t="s">
        <v>235</v>
      </c>
      <c r="AZ1131" s="7" t="s">
        <v>235</v>
      </c>
      <c r="BA1131" s="7" t="s">
        <v>235</v>
      </c>
      <c r="BB1131" s="7"/>
      <c r="BC1131" s="4" t="s">
        <v>235</v>
      </c>
      <c r="BD1131" s="8" t="s">
        <v>235</v>
      </c>
      <c r="BE1131" s="4" t="s">
        <v>235</v>
      </c>
      <c r="BF1131" s="8" t="s">
        <v>235</v>
      </c>
      <c r="BG1131" s="7" t="s">
        <v>235</v>
      </c>
      <c r="BH1131" s="7" t="s">
        <v>235</v>
      </c>
      <c r="BI1131" s="7"/>
      <c r="BJ1131" s="4">
        <v>4</v>
      </c>
      <c r="BK1131" s="8">
        <v>250.36</v>
      </c>
      <c r="BL1131" s="2" t="s">
        <v>4497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4484</v>
      </c>
      <c r="BV1131" s="2" t="s">
        <v>243</v>
      </c>
      <c r="BW1131" s="2" t="s">
        <v>235</v>
      </c>
      <c r="BX1131" s="2" t="s">
        <v>4145</v>
      </c>
      <c r="BY1131" s="2" t="s">
        <v>245</v>
      </c>
      <c r="BZ1131" s="2" t="s">
        <v>232</v>
      </c>
      <c r="CA1131" s="2" t="s">
        <v>4498</v>
      </c>
      <c r="CB1131" s="2" t="s">
        <v>3332</v>
      </c>
      <c r="CC1131" s="2" t="s">
        <v>248</v>
      </c>
      <c r="CD1131" s="2" t="s">
        <v>248</v>
      </c>
      <c r="CE1131" s="2" t="s">
        <v>235</v>
      </c>
      <c r="CF1131" s="4">
        <v>296</v>
      </c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>
        <v>296</v>
      </c>
      <c r="GE1131" s="4">
        <v>235</v>
      </c>
      <c r="GF1131" s="4">
        <v>218</v>
      </c>
      <c r="GG1131" s="4">
        <v>206</v>
      </c>
      <c r="GH1131" s="4">
        <v>194</v>
      </c>
      <c r="GI1131" s="4">
        <v>174</v>
      </c>
      <c r="GJ1131" s="4">
        <v>144</v>
      </c>
      <c r="GK1131" s="4">
        <v>124</v>
      </c>
      <c r="GL1131" s="4">
        <v>100</v>
      </c>
      <c r="GM1131" s="4">
        <v>82</v>
      </c>
      <c r="GN1131" s="4">
        <v>72</v>
      </c>
      <c r="GO1131" s="4">
        <v>55</v>
      </c>
      <c r="GP1131" s="4">
        <v>37</v>
      </c>
      <c r="GQ1131" s="4">
        <v>20</v>
      </c>
      <c r="GR1131" s="4"/>
      <c r="GS1131" s="4"/>
      <c r="GT1131" s="4"/>
      <c r="GU1131" s="4"/>
      <c r="GV1131" s="4"/>
      <c r="GW1131" s="4">
        <v>134</v>
      </c>
      <c r="GX1131" s="4">
        <v>82</v>
      </c>
      <c r="GY1131" s="4">
        <v>76</v>
      </c>
      <c r="GZ1131" s="4">
        <v>69</v>
      </c>
      <c r="HA1131" s="4">
        <v>62</v>
      </c>
      <c r="HB1131" s="4">
        <v>55</v>
      </c>
      <c r="HC1131" s="4">
        <v>196</v>
      </c>
      <c r="HD1131" s="19">
        <v>11.4</v>
      </c>
      <c r="HE1131" s="19">
        <v>15.7</v>
      </c>
      <c r="HF1131" s="19">
        <v>12.1</v>
      </c>
      <c r="HG1131" s="19">
        <v>10.3</v>
      </c>
      <c r="HH1131" s="19">
        <v>8.1</v>
      </c>
      <c r="HI1131" s="19">
        <v>7.6</v>
      </c>
      <c r="HJ1131" s="19">
        <v>8</v>
      </c>
      <c r="HK1131" s="19">
        <v>7.3</v>
      </c>
      <c r="HL1131" s="19">
        <v>6.3</v>
      </c>
      <c r="HM1131" s="19">
        <v>5.1</v>
      </c>
      <c r="HN1131" s="19">
        <v>4</v>
      </c>
      <c r="HO1131" s="19">
        <v>3.1</v>
      </c>
      <c r="HP1131" s="19">
        <v>2.2</v>
      </c>
      <c r="HQ1131" s="19">
        <v>1.4</v>
      </c>
      <c r="HR1131" s="20">
        <v>0</v>
      </c>
      <c r="HS1131" s="20">
        <v>0</v>
      </c>
      <c r="HT1131" s="20">
        <v>0</v>
      </c>
      <c r="HU1131" s="20">
        <v>0</v>
      </c>
      <c r="HV1131" s="20">
        <v>0</v>
      </c>
      <c r="HW1131" s="19">
        <v>7.4</v>
      </c>
      <c r="HX1131" s="19">
        <v>11.7</v>
      </c>
      <c r="HY1131" s="19">
        <v>9.5</v>
      </c>
      <c r="HZ1131" s="19">
        <v>9.9</v>
      </c>
      <c r="IA1131" s="19">
        <v>8.9</v>
      </c>
      <c r="IB1131" s="19">
        <v>9.2</v>
      </c>
      <c r="IC1131" s="19">
        <v>32.7</v>
      </c>
    </row>
    <row r="1132">
      <c r="A1132" s="2" t="s">
        <v>4499</v>
      </c>
      <c r="B1132" s="2" t="s">
        <v>905</v>
      </c>
      <c r="C1132" s="2" t="s">
        <v>678</v>
      </c>
      <c r="D1132" s="2" t="s">
        <v>1177</v>
      </c>
      <c r="E1132" s="2" t="s">
        <v>2747</v>
      </c>
      <c r="F1132" s="2" t="s">
        <v>4482</v>
      </c>
      <c r="G1132" s="2" t="s">
        <v>4482</v>
      </c>
      <c r="H1132" s="2" t="s">
        <v>235</v>
      </c>
      <c r="I1132" s="2" t="s">
        <v>982</v>
      </c>
      <c r="J1132" s="2" t="s">
        <v>250</v>
      </c>
      <c r="K1132" s="2" t="s">
        <v>646</v>
      </c>
      <c r="L1132" s="3">
        <v>66.33</v>
      </c>
      <c r="M1132" s="3">
        <v>69.65</v>
      </c>
      <c r="N1132" s="3">
        <v>129.99</v>
      </c>
      <c r="O1132" s="2" t="s">
        <v>232</v>
      </c>
      <c r="P1132" s="2" t="s">
        <v>233</v>
      </c>
      <c r="Q1132" s="2" t="s">
        <v>234</v>
      </c>
      <c r="R1132" s="2" t="s">
        <v>235</v>
      </c>
      <c r="S1132" s="2" t="s">
        <v>4496</v>
      </c>
      <c r="T1132" s="2" t="s">
        <v>1081</v>
      </c>
      <c r="U1132" s="2" t="s">
        <v>235</v>
      </c>
      <c r="V1132" s="2" t="s">
        <v>238</v>
      </c>
      <c r="W1132" s="2" t="s">
        <v>239</v>
      </c>
      <c r="X1132" s="2" t="s">
        <v>235</v>
      </c>
      <c r="Y1132" s="2" t="s">
        <v>4500</v>
      </c>
      <c r="Z1132" s="4">
        <v>296</v>
      </c>
      <c r="AA1132" s="4">
        <f>=ROUNDDOWN(22.7692307692308,0)</f>
      </c>
      <c r="AB1132" s="5">
        <v>13</v>
      </c>
      <c r="AC1132" s="2" t="s">
        <v>235</v>
      </c>
      <c r="AD1132" s="4"/>
      <c r="AE1132" s="4"/>
      <c r="AF1132" s="6">
        <v>65</v>
      </c>
      <c r="AG1132" s="6"/>
      <c r="AH1132" s="7">
        <v>0.8387</v>
      </c>
      <c r="AI1132" s="4"/>
      <c r="AJ1132" s="4">
        <f>=ROUNDDOWN({0},0)</f>
      </c>
      <c r="AK1132" s="5"/>
      <c r="AL1132" s="2" t="s">
        <v>235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235</v>
      </c>
      <c r="AW1132" s="8" t="s">
        <v>235</v>
      </c>
      <c r="AX1132" s="4" t="s">
        <v>235</v>
      </c>
      <c r="AY1132" s="8" t="s">
        <v>235</v>
      </c>
      <c r="AZ1132" s="7" t="s">
        <v>235</v>
      </c>
      <c r="BA1132" s="7" t="s">
        <v>235</v>
      </c>
      <c r="BB1132" s="7"/>
      <c r="BC1132" s="4" t="s">
        <v>235</v>
      </c>
      <c r="BD1132" s="8" t="s">
        <v>235</v>
      </c>
      <c r="BE1132" s="4" t="s">
        <v>235</v>
      </c>
      <c r="BF1132" s="8" t="s">
        <v>235</v>
      </c>
      <c r="BG1132" s="7" t="s">
        <v>235</v>
      </c>
      <c r="BH1132" s="7" t="s">
        <v>235</v>
      </c>
      <c r="BI1132" s="7"/>
      <c r="BJ1132" s="4">
        <v>2</v>
      </c>
      <c r="BK1132" s="8">
        <v>142.77</v>
      </c>
      <c r="BL1132" s="2" t="s">
        <v>4501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4484</v>
      </c>
      <c r="BV1132" s="2" t="s">
        <v>243</v>
      </c>
      <c r="BW1132" s="2" t="s">
        <v>235</v>
      </c>
      <c r="BX1132" s="2" t="s">
        <v>4145</v>
      </c>
      <c r="BY1132" s="2" t="s">
        <v>245</v>
      </c>
      <c r="BZ1132" s="2" t="s">
        <v>232</v>
      </c>
      <c r="CA1132" s="2" t="s">
        <v>4498</v>
      </c>
      <c r="CB1132" s="2" t="s">
        <v>4502</v>
      </c>
      <c r="CC1132" s="2" t="s">
        <v>248</v>
      </c>
      <c r="CD1132" s="2" t="s">
        <v>248</v>
      </c>
      <c r="CE1132" s="2" t="s">
        <v>235</v>
      </c>
      <c r="CF1132" s="4">
        <v>296</v>
      </c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>
        <v>296</v>
      </c>
      <c r="GE1132" s="4">
        <v>243</v>
      </c>
      <c r="GF1132" s="4">
        <v>222</v>
      </c>
      <c r="GG1132" s="4">
        <v>208</v>
      </c>
      <c r="GH1132" s="4">
        <v>193</v>
      </c>
      <c r="GI1132" s="4">
        <v>166</v>
      </c>
      <c r="GJ1132" s="4">
        <v>121</v>
      </c>
      <c r="GK1132" s="4">
        <v>93</v>
      </c>
      <c r="GL1132" s="4">
        <v>57</v>
      </c>
      <c r="GM1132" s="4">
        <v>31</v>
      </c>
      <c r="GN1132" s="4">
        <v>16</v>
      </c>
      <c r="GO1132" s="4"/>
      <c r="GP1132" s="4"/>
      <c r="GQ1132" s="4"/>
      <c r="GR1132" s="4"/>
      <c r="GS1132" s="4"/>
      <c r="GT1132" s="4"/>
      <c r="GU1132" s="4"/>
      <c r="GV1132" s="4"/>
      <c r="GW1132" s="4">
        <v>115</v>
      </c>
      <c r="GX1132" s="4">
        <v>58</v>
      </c>
      <c r="GY1132" s="4">
        <v>50</v>
      </c>
      <c r="GZ1132" s="4">
        <v>42</v>
      </c>
      <c r="HA1132" s="4">
        <v>36</v>
      </c>
      <c r="HB1132" s="4">
        <v>30</v>
      </c>
      <c r="HC1132" s="4">
        <v>224</v>
      </c>
      <c r="HD1132" s="19">
        <v>11.4</v>
      </c>
      <c r="HE1132" s="19">
        <v>12.8</v>
      </c>
      <c r="HF1132" s="19">
        <v>8.9</v>
      </c>
      <c r="HG1132" s="19">
        <v>7.2</v>
      </c>
      <c r="HH1132" s="19">
        <v>5.7</v>
      </c>
      <c r="HI1132" s="19">
        <v>4.9</v>
      </c>
      <c r="HJ1132" s="19">
        <v>4.7</v>
      </c>
      <c r="HK1132" s="19">
        <v>4</v>
      </c>
      <c r="HL1132" s="19">
        <v>3</v>
      </c>
      <c r="HM1132" s="19">
        <v>1.8</v>
      </c>
      <c r="HN1132" s="19">
        <v>0.8</v>
      </c>
      <c r="HO1132" s="20">
        <v>0</v>
      </c>
      <c r="HP1132" s="20">
        <v>0</v>
      </c>
      <c r="HQ1132" s="20">
        <v>0</v>
      </c>
      <c r="HR1132" s="20">
        <v>0</v>
      </c>
      <c r="HS1132" s="20">
        <v>0</v>
      </c>
      <c r="HT1132" s="20">
        <v>0</v>
      </c>
      <c r="HU1132" s="20">
        <v>0</v>
      </c>
      <c r="HV1132" s="20">
        <v>0</v>
      </c>
      <c r="HW1132" s="19">
        <v>5.8</v>
      </c>
      <c r="HX1132" s="19">
        <v>8.3</v>
      </c>
      <c r="HY1132" s="19">
        <v>8.3</v>
      </c>
      <c r="HZ1132" s="19">
        <v>7</v>
      </c>
      <c r="IA1132" s="19">
        <v>6</v>
      </c>
      <c r="IB1132" s="19">
        <v>6</v>
      </c>
      <c r="IC1132" s="19">
        <v>44.8</v>
      </c>
    </row>
    <row r="1133">
      <c r="A1133" s="2" t="s">
        <v>4503</v>
      </c>
      <c r="B1133" s="2" t="s">
        <v>905</v>
      </c>
      <c r="C1133" s="2" t="s">
        <v>678</v>
      </c>
      <c r="D1133" s="2" t="s">
        <v>1177</v>
      </c>
      <c r="E1133" s="2" t="s">
        <v>1178</v>
      </c>
      <c r="F1133" s="2" t="s">
        <v>4482</v>
      </c>
      <c r="G1133" s="2" t="s">
        <v>4482</v>
      </c>
      <c r="H1133" s="2" t="s">
        <v>235</v>
      </c>
      <c r="I1133" s="2" t="s">
        <v>991</v>
      </c>
      <c r="J1133" s="2" t="s">
        <v>3871</v>
      </c>
      <c r="K1133" s="2" t="s">
        <v>646</v>
      </c>
      <c r="L1133" s="3">
        <v>41.45</v>
      </c>
      <c r="M1133" s="3">
        <v>43.52</v>
      </c>
      <c r="N1133" s="3">
        <v>89.99</v>
      </c>
      <c r="O1133" s="2" t="s">
        <v>232</v>
      </c>
      <c r="P1133" s="2" t="s">
        <v>233</v>
      </c>
      <c r="Q1133" s="2" t="s">
        <v>234</v>
      </c>
      <c r="R1133" s="2" t="s">
        <v>235</v>
      </c>
      <c r="S1133" s="2" t="s">
        <v>4504</v>
      </c>
      <c r="T1133" s="2" t="s">
        <v>1081</v>
      </c>
      <c r="U1133" s="2" t="s">
        <v>235</v>
      </c>
      <c r="V1133" s="2" t="s">
        <v>238</v>
      </c>
      <c r="W1133" s="2" t="s">
        <v>239</v>
      </c>
      <c r="X1133" s="2" t="s">
        <v>235</v>
      </c>
      <c r="Y1133" s="2" t="s">
        <v>3348</v>
      </c>
      <c r="Z1133" s="4">
        <v>548</v>
      </c>
      <c r="AA1133" s="4">
        <f>=ROUNDDOWN(22.928870292887,0)</f>
      </c>
      <c r="AB1133" s="5">
        <v>23.9</v>
      </c>
      <c r="AC1133" s="2" t="s">
        <v>235</v>
      </c>
      <c r="AD1133" s="4"/>
      <c r="AE1133" s="4"/>
      <c r="AF1133" s="6">
        <v>65</v>
      </c>
      <c r="AG1133" s="6"/>
      <c r="AH1133" s="7">
        <v>0.9677</v>
      </c>
      <c r="AI1133" s="4"/>
      <c r="AJ1133" s="4">
        <f>=ROUNDDOWN({0},0)</f>
      </c>
      <c r="AK1133" s="5"/>
      <c r="AL1133" s="2" t="s">
        <v>235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235</v>
      </c>
      <c r="AW1133" s="8" t="s">
        <v>235</v>
      </c>
      <c r="AX1133" s="4" t="s">
        <v>235</v>
      </c>
      <c r="AY1133" s="8" t="s">
        <v>235</v>
      </c>
      <c r="AZ1133" s="7" t="s">
        <v>235</v>
      </c>
      <c r="BA1133" s="7" t="s">
        <v>235</v>
      </c>
      <c r="BB1133" s="7"/>
      <c r="BC1133" s="4" t="s">
        <v>235</v>
      </c>
      <c r="BD1133" s="8" t="s">
        <v>235</v>
      </c>
      <c r="BE1133" s="4" t="s">
        <v>235</v>
      </c>
      <c r="BF1133" s="8" t="s">
        <v>235</v>
      </c>
      <c r="BG1133" s="7" t="s">
        <v>235</v>
      </c>
      <c r="BH1133" s="7" t="s">
        <v>235</v>
      </c>
      <c r="BI1133" s="7"/>
      <c r="BJ1133" s="4">
        <v>21</v>
      </c>
      <c r="BK1133" s="8">
        <v>865.25</v>
      </c>
      <c r="BL1133" s="2" t="s">
        <v>4505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4506</v>
      </c>
      <c r="BV1133" s="2" t="s">
        <v>243</v>
      </c>
      <c r="BW1133" s="2" t="s">
        <v>235</v>
      </c>
      <c r="BX1133" s="2" t="s">
        <v>383</v>
      </c>
      <c r="BY1133" s="2" t="s">
        <v>245</v>
      </c>
      <c r="BZ1133" s="2" t="s">
        <v>232</v>
      </c>
      <c r="CA1133" s="2" t="s">
        <v>1337</v>
      </c>
      <c r="CB1133" s="2" t="s">
        <v>4507</v>
      </c>
      <c r="CC1133" s="2" t="s">
        <v>248</v>
      </c>
      <c r="CD1133" s="2" t="s">
        <v>248</v>
      </c>
      <c r="CE1133" s="2" t="s">
        <v>235</v>
      </c>
      <c r="CF1133" s="4">
        <v>548</v>
      </c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>
        <v>553</v>
      </c>
      <c r="GE1133" s="4">
        <v>508</v>
      </c>
      <c r="GF1133" s="4">
        <v>493</v>
      </c>
      <c r="GG1133" s="4">
        <v>481</v>
      </c>
      <c r="GH1133" s="4">
        <v>465</v>
      </c>
      <c r="GI1133" s="4">
        <v>437</v>
      </c>
      <c r="GJ1133" s="4">
        <v>404</v>
      </c>
      <c r="GK1133" s="4">
        <v>372</v>
      </c>
      <c r="GL1133" s="4">
        <v>321</v>
      </c>
      <c r="GM1133" s="4">
        <v>290</v>
      </c>
      <c r="GN1133" s="4">
        <v>277</v>
      </c>
      <c r="GO1133" s="4">
        <v>254</v>
      </c>
      <c r="GP1133" s="4">
        <v>214</v>
      </c>
      <c r="GQ1133" s="4">
        <v>176</v>
      </c>
      <c r="GR1133" s="4">
        <v>105</v>
      </c>
      <c r="GS1133" s="4">
        <v>19</v>
      </c>
      <c r="GT1133" s="4"/>
      <c r="GU1133" s="4"/>
      <c r="GV1133" s="4"/>
      <c r="GW1133" s="4">
        <v>289</v>
      </c>
      <c r="GX1133" s="4">
        <v>257</v>
      </c>
      <c r="GY1133" s="4">
        <v>244</v>
      </c>
      <c r="GZ1133" s="4">
        <v>225</v>
      </c>
      <c r="HA1133" s="4">
        <v>207</v>
      </c>
      <c r="HB1133" s="4">
        <v>190</v>
      </c>
      <c r="HC1133" s="4">
        <v>522</v>
      </c>
      <c r="HD1133" s="19">
        <v>25.1</v>
      </c>
      <c r="HE1133" s="19">
        <v>28.2</v>
      </c>
      <c r="HF1133" s="19">
        <v>22.4</v>
      </c>
      <c r="HG1133" s="19">
        <v>17.8</v>
      </c>
      <c r="HH1133" s="19">
        <v>12.9</v>
      </c>
      <c r="HI1133" s="19">
        <v>11.8</v>
      </c>
      <c r="HJ1133" s="19">
        <v>12.6</v>
      </c>
      <c r="HK1133" s="19">
        <v>12.4</v>
      </c>
      <c r="HL1133" s="19">
        <v>11.9</v>
      </c>
      <c r="HM1133" s="19">
        <v>10.4</v>
      </c>
      <c r="HN1133" s="19">
        <v>6.4</v>
      </c>
      <c r="HO1133" s="19">
        <v>4.3</v>
      </c>
      <c r="HP1133" s="19">
        <v>3.1</v>
      </c>
      <c r="HQ1133" s="19">
        <v>2.6</v>
      </c>
      <c r="HR1133" s="19">
        <v>1.8</v>
      </c>
      <c r="HS1133" s="19">
        <v>0.5</v>
      </c>
      <c r="HT1133" s="20">
        <v>0</v>
      </c>
      <c r="HU1133" s="20">
        <v>0</v>
      </c>
      <c r="HV1133" s="20">
        <v>0</v>
      </c>
      <c r="HW1133" s="19">
        <v>14.5</v>
      </c>
      <c r="HX1133" s="19">
        <v>15.1</v>
      </c>
      <c r="HY1133" s="19">
        <v>13.6</v>
      </c>
      <c r="HZ1133" s="19">
        <v>14.1</v>
      </c>
      <c r="IA1133" s="19">
        <v>14.8</v>
      </c>
      <c r="IB1133" s="19">
        <v>14.6</v>
      </c>
      <c r="IC1133" s="19">
        <v>47.5</v>
      </c>
    </row>
    <row r="1134">
      <c r="A1134" s="2" t="s">
        <v>4508</v>
      </c>
      <c r="B1134" s="2" t="s">
        <v>905</v>
      </c>
      <c r="C1134" s="2" t="s">
        <v>678</v>
      </c>
      <c r="D1134" s="2" t="s">
        <v>1177</v>
      </c>
      <c r="E1134" s="2" t="s">
        <v>2747</v>
      </c>
      <c r="F1134" s="2" t="s">
        <v>4482</v>
      </c>
      <c r="G1134" s="2" t="s">
        <v>4482</v>
      </c>
      <c r="H1134" s="2" t="s">
        <v>235</v>
      </c>
      <c r="I1134" s="2" t="s">
        <v>982</v>
      </c>
      <c r="J1134" s="2" t="s">
        <v>250</v>
      </c>
      <c r="K1134" s="2" t="s">
        <v>550</v>
      </c>
      <c r="L1134" s="3">
        <v>66.33</v>
      </c>
      <c r="M1134" s="3">
        <v>69.65</v>
      </c>
      <c r="N1134" s="3">
        <v>129.99</v>
      </c>
      <c r="O1134" s="2" t="s">
        <v>232</v>
      </c>
      <c r="P1134" s="2" t="s">
        <v>233</v>
      </c>
      <c r="Q1134" s="2" t="s">
        <v>234</v>
      </c>
      <c r="R1134" s="2" t="s">
        <v>235</v>
      </c>
      <c r="S1134" s="2" t="s">
        <v>4509</v>
      </c>
      <c r="T1134" s="2" t="s">
        <v>2295</v>
      </c>
      <c r="U1134" s="2" t="s">
        <v>807</v>
      </c>
      <c r="V1134" s="2" t="s">
        <v>238</v>
      </c>
      <c r="W1134" s="2" t="s">
        <v>239</v>
      </c>
      <c r="X1134" s="2" t="s">
        <v>235</v>
      </c>
      <c r="Y1134" s="2" t="s">
        <v>4054</v>
      </c>
      <c r="Z1134" s="4">
        <v>649</v>
      </c>
      <c r="AA1134" s="4">
        <f>=ROUNDDOWN(49.1666666666667,0)</f>
      </c>
      <c r="AB1134" s="5">
        <v>13.2</v>
      </c>
      <c r="AC1134" s="2" t="s">
        <v>235</v>
      </c>
      <c r="AD1134" s="4"/>
      <c r="AE1134" s="4"/>
      <c r="AF1134" s="6">
        <v>65</v>
      </c>
      <c r="AG1134" s="6"/>
      <c r="AH1134" s="7">
        <v>0.871</v>
      </c>
      <c r="AI1134" s="4"/>
      <c r="AJ1134" s="4">
        <f>=ROUNDDOWN({0},0)</f>
      </c>
      <c r="AK1134" s="5"/>
      <c r="AL1134" s="2" t="s">
        <v>235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235</v>
      </c>
      <c r="BD1134" s="8" t="s">
        <v>235</v>
      </c>
      <c r="BE1134" s="4" t="s">
        <v>235</v>
      </c>
      <c r="BF1134" s="8" t="s">
        <v>235</v>
      </c>
      <c r="BG1134" s="7" t="s">
        <v>235</v>
      </c>
      <c r="BH1134" s="7" t="s">
        <v>235</v>
      </c>
      <c r="BI1134" s="7"/>
      <c r="BJ1134" s="4">
        <v>4</v>
      </c>
      <c r="BK1134" s="8">
        <v>298.08</v>
      </c>
      <c r="BL1134" s="2" t="s">
        <v>4497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4484</v>
      </c>
      <c r="BV1134" s="2" t="s">
        <v>243</v>
      </c>
      <c r="BW1134" s="2" t="s">
        <v>235</v>
      </c>
      <c r="BX1134" s="2" t="s">
        <v>4145</v>
      </c>
      <c r="BY1134" s="2" t="s">
        <v>245</v>
      </c>
      <c r="BZ1134" s="2" t="s">
        <v>232</v>
      </c>
      <c r="CA1134" s="2" t="s">
        <v>4054</v>
      </c>
      <c r="CB1134" s="2" t="s">
        <v>4510</v>
      </c>
      <c r="CC1134" s="2" t="s">
        <v>248</v>
      </c>
      <c r="CD1134" s="2" t="s">
        <v>248</v>
      </c>
      <c r="CE1134" s="2" t="s">
        <v>235</v>
      </c>
      <c r="CF1134" s="4">
        <v>649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>
        <v>650</v>
      </c>
      <c r="GE1134" s="4">
        <v>580</v>
      </c>
      <c r="GF1134" s="4">
        <v>555</v>
      </c>
      <c r="GG1134" s="4">
        <v>539</v>
      </c>
      <c r="GH1134" s="4">
        <v>521</v>
      </c>
      <c r="GI1134" s="4">
        <v>492</v>
      </c>
      <c r="GJ1134" s="4">
        <v>441</v>
      </c>
      <c r="GK1134" s="4">
        <v>410</v>
      </c>
      <c r="GL1134" s="4">
        <v>369</v>
      </c>
      <c r="GM1134" s="4">
        <v>339</v>
      </c>
      <c r="GN1134" s="4">
        <v>323</v>
      </c>
      <c r="GO1134" s="4">
        <v>298</v>
      </c>
      <c r="GP1134" s="4">
        <v>272</v>
      </c>
      <c r="GQ1134" s="4">
        <v>245</v>
      </c>
      <c r="GR1134" s="4">
        <v>211</v>
      </c>
      <c r="GS1134" s="4">
        <v>184</v>
      </c>
      <c r="GT1134" s="4">
        <v>158</v>
      </c>
      <c r="GU1134" s="4">
        <v>144</v>
      </c>
      <c r="GV1134" s="4">
        <v>132</v>
      </c>
      <c r="GW1134" s="4">
        <v>422</v>
      </c>
      <c r="GX1134" s="4">
        <v>412</v>
      </c>
      <c r="GY1134" s="4">
        <v>404</v>
      </c>
      <c r="GZ1134" s="4">
        <v>397</v>
      </c>
      <c r="HA1134" s="4">
        <v>392</v>
      </c>
      <c r="HB1134" s="4">
        <v>388</v>
      </c>
      <c r="HC1134" s="4">
        <v>384</v>
      </c>
      <c r="HD1134" s="19">
        <v>20.3</v>
      </c>
      <c r="HE1134" s="19">
        <v>26.4</v>
      </c>
      <c r="HF1134" s="19">
        <v>19.8</v>
      </c>
      <c r="HG1134" s="19">
        <v>16.8</v>
      </c>
      <c r="HH1134" s="19">
        <v>13.7</v>
      </c>
      <c r="HI1134" s="19">
        <v>12.9</v>
      </c>
      <c r="HJ1134" s="19">
        <v>14.7</v>
      </c>
      <c r="HK1134" s="19">
        <v>14.6</v>
      </c>
      <c r="HL1134" s="19">
        <v>15.4</v>
      </c>
      <c r="HM1134" s="19">
        <v>14.1</v>
      </c>
      <c r="HN1134" s="19">
        <v>11.5</v>
      </c>
      <c r="HO1134" s="19">
        <v>10.6</v>
      </c>
      <c r="HP1134" s="19">
        <v>9.7</v>
      </c>
      <c r="HQ1134" s="19">
        <v>9.8</v>
      </c>
      <c r="HR1134" s="19">
        <v>10.6</v>
      </c>
      <c r="HS1134" s="19">
        <v>12.3</v>
      </c>
      <c r="HT1134" s="19">
        <v>14.4</v>
      </c>
      <c r="HU1134" s="19">
        <v>14.4</v>
      </c>
      <c r="HV1134" s="19">
        <v>16.5</v>
      </c>
      <c r="HW1134" s="19">
        <v>52.8</v>
      </c>
      <c r="HX1134" s="19">
        <v>68.7</v>
      </c>
      <c r="HY1134" s="19">
        <v>80.8</v>
      </c>
      <c r="HZ1134" s="19">
        <v>99.3</v>
      </c>
      <c r="IA1134" s="19">
        <v>98</v>
      </c>
      <c r="IB1134" s="19">
        <v>97</v>
      </c>
      <c r="IC1134" s="19">
        <v>96</v>
      </c>
    </row>
    <row r="1135">
      <c r="A1135" s="2" t="s">
        <v>4511</v>
      </c>
      <c r="B1135" s="2" t="s">
        <v>905</v>
      </c>
      <c r="C1135" s="2" t="s">
        <v>678</v>
      </c>
      <c r="D1135" s="2" t="s">
        <v>1177</v>
      </c>
      <c r="E1135" s="2" t="s">
        <v>2747</v>
      </c>
      <c r="F1135" s="2" t="s">
        <v>4482</v>
      </c>
      <c r="G1135" s="2" t="s">
        <v>4482</v>
      </c>
      <c r="H1135" s="2" t="s">
        <v>235</v>
      </c>
      <c r="I1135" s="2" t="s">
        <v>982</v>
      </c>
      <c r="J1135" s="2" t="s">
        <v>250</v>
      </c>
      <c r="K1135" s="2" t="s">
        <v>1463</v>
      </c>
      <c r="L1135" s="3">
        <v>66.33</v>
      </c>
      <c r="M1135" s="3">
        <v>69.65</v>
      </c>
      <c r="N1135" s="3">
        <v>129.99</v>
      </c>
      <c r="O1135" s="2" t="s">
        <v>232</v>
      </c>
      <c r="P1135" s="2" t="s">
        <v>233</v>
      </c>
      <c r="Q1135" s="2" t="s">
        <v>234</v>
      </c>
      <c r="R1135" s="2" t="s">
        <v>235</v>
      </c>
      <c r="S1135" s="2" t="s">
        <v>4512</v>
      </c>
      <c r="T1135" s="2" t="s">
        <v>1081</v>
      </c>
      <c r="U1135" s="2" t="s">
        <v>235</v>
      </c>
      <c r="V1135" s="2" t="s">
        <v>238</v>
      </c>
      <c r="W1135" s="2" t="s">
        <v>239</v>
      </c>
      <c r="X1135" s="2" t="s">
        <v>235</v>
      </c>
      <c r="Y1135" s="2" t="s">
        <v>4487</v>
      </c>
      <c r="Z1135" s="4">
        <v>338</v>
      </c>
      <c r="AA1135" s="4">
        <f>=ROUNDDOWN(66.2745098039216,0)</f>
      </c>
      <c r="AB1135" s="5">
        <v>5.1</v>
      </c>
      <c r="AC1135" s="2" t="s">
        <v>235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235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235</v>
      </c>
      <c r="AW1135" s="8" t="s">
        <v>235</v>
      </c>
      <c r="AX1135" s="4" t="s">
        <v>235</v>
      </c>
      <c r="AY1135" s="8" t="s">
        <v>235</v>
      </c>
      <c r="AZ1135" s="7" t="s">
        <v>235</v>
      </c>
      <c r="BA1135" s="7" t="s">
        <v>235</v>
      </c>
      <c r="BB1135" s="7"/>
      <c r="BC1135" s="4" t="s">
        <v>235</v>
      </c>
      <c r="BD1135" s="8" t="s">
        <v>235</v>
      </c>
      <c r="BE1135" s="4" t="s">
        <v>235</v>
      </c>
      <c r="BF1135" s="8" t="s">
        <v>235</v>
      </c>
      <c r="BG1135" s="7" t="s">
        <v>235</v>
      </c>
      <c r="BH1135" s="7" t="s">
        <v>235</v>
      </c>
      <c r="BI1135" s="7"/>
      <c r="BJ1135" s="4"/>
      <c r="BK1135" s="8"/>
      <c r="BL1135" s="2" t="s">
        <v>1226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4484</v>
      </c>
      <c r="BV1135" s="2" t="s">
        <v>243</v>
      </c>
      <c r="BW1135" s="2" t="s">
        <v>235</v>
      </c>
      <c r="BX1135" s="2" t="s">
        <v>4145</v>
      </c>
      <c r="BY1135" s="2" t="s">
        <v>245</v>
      </c>
      <c r="BZ1135" s="2" t="s">
        <v>232</v>
      </c>
      <c r="CA1135" s="2" t="s">
        <v>2044</v>
      </c>
      <c r="CB1135" s="2" t="s">
        <v>4513</v>
      </c>
      <c r="CC1135" s="2" t="s">
        <v>248</v>
      </c>
      <c r="CD1135" s="2" t="s">
        <v>248</v>
      </c>
      <c r="CE1135" s="2" t="s">
        <v>235</v>
      </c>
      <c r="CF1135" s="4">
        <v>338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>
        <v>338</v>
      </c>
      <c r="GE1135" s="4">
        <v>324</v>
      </c>
      <c r="GF1135" s="4">
        <v>311</v>
      </c>
      <c r="GG1135" s="4">
        <v>303</v>
      </c>
      <c r="GH1135" s="4">
        <v>294</v>
      </c>
      <c r="GI1135" s="4">
        <v>276</v>
      </c>
      <c r="GJ1135" s="4">
        <v>247</v>
      </c>
      <c r="GK1135" s="4">
        <v>228</v>
      </c>
      <c r="GL1135" s="4">
        <v>204</v>
      </c>
      <c r="GM1135" s="4">
        <v>187</v>
      </c>
      <c r="GN1135" s="4">
        <v>177</v>
      </c>
      <c r="GO1135" s="4">
        <v>160</v>
      </c>
      <c r="GP1135" s="4">
        <v>140</v>
      </c>
      <c r="GQ1135" s="4">
        <v>120</v>
      </c>
      <c r="GR1135" s="4">
        <v>92</v>
      </c>
      <c r="GS1135" s="4">
        <v>68</v>
      </c>
      <c r="GT1135" s="4">
        <v>45</v>
      </c>
      <c r="GU1135" s="4">
        <v>34</v>
      </c>
      <c r="GV1135" s="4">
        <v>26</v>
      </c>
      <c r="GW1135" s="4">
        <v>256</v>
      </c>
      <c r="GX1135" s="4">
        <v>249</v>
      </c>
      <c r="GY1135" s="4">
        <v>243</v>
      </c>
      <c r="GZ1135" s="4">
        <v>240</v>
      </c>
      <c r="HA1135" s="4">
        <v>238</v>
      </c>
      <c r="HB1135" s="4">
        <v>237</v>
      </c>
      <c r="HC1135" s="4">
        <v>236</v>
      </c>
      <c r="HD1135" s="19">
        <v>30.7</v>
      </c>
      <c r="HE1135" s="19">
        <v>27</v>
      </c>
      <c r="HF1135" s="19">
        <v>19.4</v>
      </c>
      <c r="HG1135" s="19">
        <v>15.9</v>
      </c>
      <c r="HH1135" s="19">
        <v>13.4</v>
      </c>
      <c r="HI1135" s="19">
        <v>12.5</v>
      </c>
      <c r="HJ1135" s="19">
        <v>13.7</v>
      </c>
      <c r="HK1135" s="19">
        <v>13.4</v>
      </c>
      <c r="HL1135" s="19">
        <v>12.8</v>
      </c>
      <c r="HM1135" s="19">
        <v>11</v>
      </c>
      <c r="HN1135" s="19">
        <v>8.4</v>
      </c>
      <c r="HO1135" s="19">
        <v>7</v>
      </c>
      <c r="HP1135" s="19">
        <v>5.8</v>
      </c>
      <c r="HQ1135" s="19">
        <v>5.5</v>
      </c>
      <c r="HR1135" s="19">
        <v>5.8</v>
      </c>
      <c r="HS1135" s="19">
        <v>5.7</v>
      </c>
      <c r="HT1135" s="19">
        <v>5.6</v>
      </c>
      <c r="HU1135" s="19">
        <v>4.9</v>
      </c>
      <c r="HV1135" s="19">
        <v>4.3</v>
      </c>
      <c r="HW1135" s="19">
        <v>64</v>
      </c>
      <c r="HX1135" s="19">
        <v>83</v>
      </c>
      <c r="HY1135" s="19">
        <v>121.5</v>
      </c>
      <c r="HZ1135" s="19">
        <v>240</v>
      </c>
      <c r="IA1135" s="19">
        <v>238</v>
      </c>
      <c r="IB1135" s="19">
        <v>237</v>
      </c>
      <c r="IC1135" s="19">
        <v>236</v>
      </c>
    </row>
    <row r="1136">
      <c r="A1136" s="2" t="s">
        <v>4514</v>
      </c>
      <c r="B1136" s="2" t="s">
        <v>905</v>
      </c>
      <c r="C1136" s="2" t="s">
        <v>678</v>
      </c>
      <c r="D1136" s="2" t="s">
        <v>1177</v>
      </c>
      <c r="E1136" s="2" t="s">
        <v>2747</v>
      </c>
      <c r="F1136" s="2" t="s">
        <v>4482</v>
      </c>
      <c r="G1136" s="2" t="s">
        <v>4482</v>
      </c>
      <c r="H1136" s="2" t="s">
        <v>235</v>
      </c>
      <c r="I1136" s="2" t="s">
        <v>982</v>
      </c>
      <c r="J1136" s="2" t="s">
        <v>261</v>
      </c>
      <c r="K1136" s="2" t="s">
        <v>1463</v>
      </c>
      <c r="L1136" s="3">
        <v>89.22</v>
      </c>
      <c r="M1136" s="3">
        <v>93.68</v>
      </c>
      <c r="N1136" s="3">
        <v>169.99</v>
      </c>
      <c r="O1136" s="2" t="s">
        <v>232</v>
      </c>
      <c r="P1136" s="2" t="s">
        <v>233</v>
      </c>
      <c r="Q1136" s="2" t="s">
        <v>234</v>
      </c>
      <c r="R1136" s="2" t="s">
        <v>235</v>
      </c>
      <c r="S1136" s="2" t="s">
        <v>4512</v>
      </c>
      <c r="T1136" s="2" t="s">
        <v>1081</v>
      </c>
      <c r="U1136" s="2" t="s">
        <v>235</v>
      </c>
      <c r="V1136" s="2" t="s">
        <v>238</v>
      </c>
      <c r="W1136" s="2" t="s">
        <v>239</v>
      </c>
      <c r="X1136" s="2" t="s">
        <v>235</v>
      </c>
      <c r="Y1136" s="2" t="s">
        <v>240</v>
      </c>
      <c r="Z1136" s="4">
        <v>404</v>
      </c>
      <c r="AA1136" s="4">
        <f>=ROUNDDOWN(62.1538461538462,0)</f>
      </c>
      <c r="AB1136" s="5">
        <v>6.5</v>
      </c>
      <c r="AC1136" s="2" t="s">
        <v>235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235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235</v>
      </c>
      <c r="AW1136" s="8" t="s">
        <v>235</v>
      </c>
      <c r="AX1136" s="4" t="s">
        <v>235</v>
      </c>
      <c r="AY1136" s="8" t="s">
        <v>235</v>
      </c>
      <c r="AZ1136" s="7" t="s">
        <v>235</v>
      </c>
      <c r="BA1136" s="7" t="s">
        <v>235</v>
      </c>
      <c r="BB1136" s="7"/>
      <c r="BC1136" s="4" t="s">
        <v>235</v>
      </c>
      <c r="BD1136" s="8" t="s">
        <v>235</v>
      </c>
      <c r="BE1136" s="4" t="s">
        <v>235</v>
      </c>
      <c r="BF1136" s="8" t="s">
        <v>235</v>
      </c>
      <c r="BG1136" s="7" t="s">
        <v>235</v>
      </c>
      <c r="BH1136" s="7" t="s">
        <v>235</v>
      </c>
      <c r="BI1136" s="7"/>
      <c r="BJ1136" s="4">
        <v>7</v>
      </c>
      <c r="BK1136" s="8">
        <v>745.01</v>
      </c>
      <c r="BL1136" s="2" t="s">
        <v>4515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4484</v>
      </c>
      <c r="BV1136" s="2" t="s">
        <v>243</v>
      </c>
      <c r="BW1136" s="2" t="s">
        <v>235</v>
      </c>
      <c r="BX1136" s="2" t="s">
        <v>4145</v>
      </c>
      <c r="BY1136" s="2" t="s">
        <v>245</v>
      </c>
      <c r="BZ1136" s="2" t="s">
        <v>232</v>
      </c>
      <c r="CA1136" s="2" t="s">
        <v>2044</v>
      </c>
      <c r="CB1136" s="2" t="s">
        <v>2045</v>
      </c>
      <c r="CC1136" s="2" t="s">
        <v>248</v>
      </c>
      <c r="CD1136" s="2" t="s">
        <v>248</v>
      </c>
      <c r="CE1136" s="2" t="s">
        <v>235</v>
      </c>
      <c r="CF1136" s="4">
        <v>285</v>
      </c>
      <c r="CG1136" s="4"/>
      <c r="CH1136" s="4"/>
      <c r="CI1136" s="4">
        <v>119</v>
      </c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>
        <v>417</v>
      </c>
      <c r="GE1136" s="4">
        <v>402</v>
      </c>
      <c r="GF1136" s="4">
        <v>400</v>
      </c>
      <c r="GG1136" s="4">
        <v>395</v>
      </c>
      <c r="GH1136" s="4">
        <v>390</v>
      </c>
      <c r="GI1136" s="4">
        <v>380</v>
      </c>
      <c r="GJ1136" s="4">
        <v>364</v>
      </c>
      <c r="GK1136" s="4">
        <v>353</v>
      </c>
      <c r="GL1136" s="4">
        <v>340</v>
      </c>
      <c r="GM1136" s="4">
        <v>330</v>
      </c>
      <c r="GN1136" s="4">
        <v>321</v>
      </c>
      <c r="GO1136" s="4">
        <v>311</v>
      </c>
      <c r="GP1136" s="4">
        <v>296</v>
      </c>
      <c r="GQ1136" s="4">
        <v>281</v>
      </c>
      <c r="GR1136" s="4">
        <v>257</v>
      </c>
      <c r="GS1136" s="4">
        <v>229</v>
      </c>
      <c r="GT1136" s="4">
        <v>212</v>
      </c>
      <c r="GU1136" s="4">
        <v>201</v>
      </c>
      <c r="GV1136" s="4">
        <v>194</v>
      </c>
      <c r="GW1136" s="4">
        <v>219</v>
      </c>
      <c r="GX1136" s="4">
        <v>213</v>
      </c>
      <c r="GY1136" s="4">
        <v>207</v>
      </c>
      <c r="GZ1136" s="4">
        <v>204</v>
      </c>
      <c r="HA1136" s="4">
        <v>201</v>
      </c>
      <c r="HB1136" s="4">
        <v>199</v>
      </c>
      <c r="HC1136" s="4">
        <v>197</v>
      </c>
      <c r="HD1136" s="19">
        <v>59.6</v>
      </c>
      <c r="HE1136" s="19">
        <v>67</v>
      </c>
      <c r="HF1136" s="19">
        <v>44.4</v>
      </c>
      <c r="HG1136" s="19">
        <v>39.5</v>
      </c>
      <c r="HH1136" s="19">
        <v>32.5</v>
      </c>
      <c r="HI1136" s="19">
        <v>31.7</v>
      </c>
      <c r="HJ1136" s="19">
        <v>33.1</v>
      </c>
      <c r="HK1136" s="19">
        <v>35.3</v>
      </c>
      <c r="HL1136" s="19">
        <v>30.9</v>
      </c>
      <c r="HM1136" s="19">
        <v>27.5</v>
      </c>
      <c r="HN1136" s="19">
        <v>20.1</v>
      </c>
      <c r="HO1136" s="19">
        <v>15.6</v>
      </c>
      <c r="HP1136" s="19">
        <v>14.1</v>
      </c>
      <c r="HQ1136" s="19">
        <v>14.1</v>
      </c>
      <c r="HR1136" s="19">
        <v>16.1</v>
      </c>
      <c r="HS1136" s="19">
        <v>22.9</v>
      </c>
      <c r="HT1136" s="19">
        <v>26.5</v>
      </c>
      <c r="HU1136" s="19">
        <v>33.5</v>
      </c>
      <c r="HV1136" s="19">
        <v>32.3</v>
      </c>
      <c r="HW1136" s="19">
        <v>54.8</v>
      </c>
      <c r="HX1136" s="19">
        <v>53.3</v>
      </c>
      <c r="HY1136" s="19">
        <v>103.5</v>
      </c>
      <c r="HZ1136" s="19">
        <v>102</v>
      </c>
      <c r="IA1136" s="19">
        <v>100.5</v>
      </c>
      <c r="IB1136" s="19">
        <v>99.5</v>
      </c>
      <c r="IC1136" s="19">
        <v>98.5</v>
      </c>
    </row>
    <row r="1137">
      <c r="A1137" s="2" t="s">
        <v>4516</v>
      </c>
      <c r="B1137" s="2" t="s">
        <v>905</v>
      </c>
      <c r="C1137" s="2" t="s">
        <v>678</v>
      </c>
      <c r="D1137" s="2" t="s">
        <v>1177</v>
      </c>
      <c r="E1137" s="2" t="s">
        <v>2747</v>
      </c>
      <c r="F1137" s="2" t="s">
        <v>4482</v>
      </c>
      <c r="G1137" s="2" t="s">
        <v>4482</v>
      </c>
      <c r="H1137" s="2" t="s">
        <v>235</v>
      </c>
      <c r="I1137" s="2" t="s">
        <v>982</v>
      </c>
      <c r="J1137" s="2" t="s">
        <v>270</v>
      </c>
      <c r="K1137" s="2" t="s">
        <v>1463</v>
      </c>
      <c r="L1137" s="3">
        <v>100.21</v>
      </c>
      <c r="M1137" s="3">
        <v>105.22</v>
      </c>
      <c r="N1137" s="3">
        <v>204.99</v>
      </c>
      <c r="O1137" s="2" t="s">
        <v>232</v>
      </c>
      <c r="P1137" s="2" t="s">
        <v>233</v>
      </c>
      <c r="Q1137" s="2" t="s">
        <v>234</v>
      </c>
      <c r="R1137" s="2" t="s">
        <v>235</v>
      </c>
      <c r="S1137" s="2" t="s">
        <v>4512</v>
      </c>
      <c r="T1137" s="2" t="s">
        <v>1081</v>
      </c>
      <c r="U1137" s="2" t="s">
        <v>235</v>
      </c>
      <c r="V1137" s="2" t="s">
        <v>238</v>
      </c>
      <c r="W1137" s="2" t="s">
        <v>239</v>
      </c>
      <c r="X1137" s="2" t="s">
        <v>235</v>
      </c>
      <c r="Y1137" s="2" t="s">
        <v>4517</v>
      </c>
      <c r="Z1137" s="4">
        <v>364</v>
      </c>
      <c r="AA1137" s="4">
        <f>=ROUNDDOWN(26.7647058823529,0)</f>
      </c>
      <c r="AB1137" s="5">
        <v>13.6</v>
      </c>
      <c r="AC1137" s="2" t="s">
        <v>235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235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235</v>
      </c>
      <c r="AW1137" s="8" t="s">
        <v>235</v>
      </c>
      <c r="AX1137" s="4" t="s">
        <v>235</v>
      </c>
      <c r="AY1137" s="8" t="s">
        <v>235</v>
      </c>
      <c r="AZ1137" s="7" t="s">
        <v>235</v>
      </c>
      <c r="BA1137" s="7" t="s">
        <v>235</v>
      </c>
      <c r="BB1137" s="7"/>
      <c r="BC1137" s="4" t="s">
        <v>235</v>
      </c>
      <c r="BD1137" s="8" t="s">
        <v>235</v>
      </c>
      <c r="BE1137" s="4" t="s">
        <v>235</v>
      </c>
      <c r="BF1137" s="8" t="s">
        <v>235</v>
      </c>
      <c r="BG1137" s="7" t="s">
        <v>235</v>
      </c>
      <c r="BH1137" s="7" t="s">
        <v>235</v>
      </c>
      <c r="BI1137" s="7"/>
      <c r="BJ1137" s="4">
        <v>2</v>
      </c>
      <c r="BK1137" s="8">
        <v>233.66</v>
      </c>
      <c r="BL1137" s="2" t="s">
        <v>4518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4484</v>
      </c>
      <c r="BV1137" s="2" t="s">
        <v>243</v>
      </c>
      <c r="BW1137" s="2" t="s">
        <v>235</v>
      </c>
      <c r="BX1137" s="2" t="s">
        <v>4145</v>
      </c>
      <c r="BY1137" s="2" t="s">
        <v>245</v>
      </c>
      <c r="BZ1137" s="2" t="s">
        <v>232</v>
      </c>
      <c r="CA1137" s="2" t="s">
        <v>2044</v>
      </c>
      <c r="CB1137" s="2" t="s">
        <v>598</v>
      </c>
      <c r="CC1137" s="2" t="s">
        <v>248</v>
      </c>
      <c r="CD1137" s="2" t="s">
        <v>248</v>
      </c>
      <c r="CE1137" s="2" t="s">
        <v>235</v>
      </c>
      <c r="CF1137" s="4">
        <v>285</v>
      </c>
      <c r="CG1137" s="4"/>
      <c r="CH1137" s="4"/>
      <c r="CI1137" s="4">
        <v>79</v>
      </c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>
        <v>377</v>
      </c>
      <c r="GE1137" s="4">
        <v>338</v>
      </c>
      <c r="GF1137" s="4">
        <v>323</v>
      </c>
      <c r="GG1137" s="4">
        <v>313</v>
      </c>
      <c r="GH1137" s="4">
        <v>302</v>
      </c>
      <c r="GI1137" s="4">
        <v>284</v>
      </c>
      <c r="GJ1137" s="4">
        <v>254</v>
      </c>
      <c r="GK1137" s="4">
        <v>235</v>
      </c>
      <c r="GL1137" s="4">
        <v>210</v>
      </c>
      <c r="GM1137" s="4">
        <v>192</v>
      </c>
      <c r="GN1137" s="4">
        <v>181</v>
      </c>
      <c r="GO1137" s="4">
        <v>167</v>
      </c>
      <c r="GP1137" s="4">
        <v>151</v>
      </c>
      <c r="GQ1137" s="4">
        <v>135</v>
      </c>
      <c r="GR1137" s="4">
        <v>113</v>
      </c>
      <c r="GS1137" s="4">
        <v>90</v>
      </c>
      <c r="GT1137" s="4">
        <v>70</v>
      </c>
      <c r="GU1137" s="4">
        <v>57</v>
      </c>
      <c r="GV1137" s="4">
        <v>48</v>
      </c>
      <c r="GW1137" s="4">
        <v>80</v>
      </c>
      <c r="GX1137" s="4">
        <v>71</v>
      </c>
      <c r="GY1137" s="4">
        <v>62</v>
      </c>
      <c r="GZ1137" s="4">
        <v>57</v>
      </c>
      <c r="HA1137" s="4">
        <v>53</v>
      </c>
      <c r="HB1137" s="4">
        <v>50</v>
      </c>
      <c r="HC1137" s="4">
        <v>257</v>
      </c>
      <c r="HD1137" s="19">
        <v>19.8</v>
      </c>
      <c r="HE1137" s="19">
        <v>24.1</v>
      </c>
      <c r="HF1137" s="19">
        <v>19</v>
      </c>
      <c r="HG1137" s="19">
        <v>15.7</v>
      </c>
      <c r="HH1137" s="19">
        <v>13.1</v>
      </c>
      <c r="HI1137" s="19">
        <v>12.3</v>
      </c>
      <c r="HJ1137" s="19">
        <v>14.1</v>
      </c>
      <c r="HK1137" s="19">
        <v>13.8</v>
      </c>
      <c r="HL1137" s="19">
        <v>14</v>
      </c>
      <c r="HM1137" s="19">
        <v>13.7</v>
      </c>
      <c r="HN1137" s="19">
        <v>10.6</v>
      </c>
      <c r="HO1137" s="19">
        <v>8.8</v>
      </c>
      <c r="HP1137" s="19">
        <v>7.6</v>
      </c>
      <c r="HQ1137" s="19">
        <v>6.8</v>
      </c>
      <c r="HR1137" s="19">
        <v>7.1</v>
      </c>
      <c r="HS1137" s="19">
        <v>6.9</v>
      </c>
      <c r="HT1137" s="19">
        <v>7</v>
      </c>
      <c r="HU1137" s="19">
        <v>6.3</v>
      </c>
      <c r="HV1137" s="19">
        <v>6</v>
      </c>
      <c r="HW1137" s="19">
        <v>11.4</v>
      </c>
      <c r="HX1137" s="19">
        <v>14.2</v>
      </c>
      <c r="HY1137" s="19">
        <v>15.5</v>
      </c>
      <c r="HZ1137" s="19">
        <v>19</v>
      </c>
      <c r="IA1137" s="19">
        <v>17.7</v>
      </c>
      <c r="IB1137" s="19">
        <v>16.7</v>
      </c>
      <c r="IC1137" s="19">
        <v>85.7</v>
      </c>
    </row>
    <row r="1138">
      <c r="A1138" s="2" t="s">
        <v>4519</v>
      </c>
      <c r="B1138" s="2" t="s">
        <v>905</v>
      </c>
      <c r="C1138" s="2" t="s">
        <v>678</v>
      </c>
      <c r="D1138" s="2" t="s">
        <v>1177</v>
      </c>
      <c r="E1138" s="2" t="s">
        <v>2747</v>
      </c>
      <c r="F1138" s="2" t="s">
        <v>4482</v>
      </c>
      <c r="G1138" s="2" t="s">
        <v>4482</v>
      </c>
      <c r="H1138" s="2" t="s">
        <v>235</v>
      </c>
      <c r="I1138" s="2" t="s">
        <v>982</v>
      </c>
      <c r="J1138" s="2" t="s">
        <v>394</v>
      </c>
      <c r="K1138" s="2" t="s">
        <v>2718</v>
      </c>
      <c r="L1138" s="3">
        <v>60.73</v>
      </c>
      <c r="M1138" s="3">
        <v>63.77</v>
      </c>
      <c r="N1138" s="3">
        <v>119.99</v>
      </c>
      <c r="O1138" s="2" t="s">
        <v>232</v>
      </c>
      <c r="P1138" s="2" t="s">
        <v>1282</v>
      </c>
      <c r="Q1138" s="2" t="s">
        <v>234</v>
      </c>
      <c r="R1138" s="2" t="s">
        <v>235</v>
      </c>
      <c r="S1138" s="2" t="s">
        <v>4520</v>
      </c>
      <c r="T1138" s="2" t="s">
        <v>1081</v>
      </c>
      <c r="U1138" s="2" t="s">
        <v>235</v>
      </c>
      <c r="V1138" s="2" t="s">
        <v>238</v>
      </c>
      <c r="W1138" s="2" t="s">
        <v>239</v>
      </c>
      <c r="X1138" s="2" t="s">
        <v>235</v>
      </c>
      <c r="Y1138" s="2" t="s">
        <v>4487</v>
      </c>
      <c r="Z1138" s="4">
        <v>72</v>
      </c>
      <c r="AA1138" s="4">
        <f>=ROUNDDOWN(3.42857142857143,0)</f>
      </c>
      <c r="AB1138" s="5">
        <v>21</v>
      </c>
      <c r="AC1138" s="2" t="s">
        <v>235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235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235</v>
      </c>
      <c r="AW1138" s="8" t="s">
        <v>235</v>
      </c>
      <c r="AX1138" s="4" t="s">
        <v>235</v>
      </c>
      <c r="AY1138" s="8" t="s">
        <v>235</v>
      </c>
      <c r="AZ1138" s="7" t="s">
        <v>235</v>
      </c>
      <c r="BA1138" s="7" t="s">
        <v>235</v>
      </c>
      <c r="BB1138" s="7"/>
      <c r="BC1138" s="4" t="s">
        <v>235</v>
      </c>
      <c r="BD1138" s="8" t="s">
        <v>235</v>
      </c>
      <c r="BE1138" s="4" t="s">
        <v>235</v>
      </c>
      <c r="BF1138" s="8" t="s">
        <v>235</v>
      </c>
      <c r="BG1138" s="7" t="s">
        <v>235</v>
      </c>
      <c r="BH1138" s="7" t="s">
        <v>235</v>
      </c>
      <c r="BI1138" s="7"/>
      <c r="BJ1138" s="4">
        <v>1</v>
      </c>
      <c r="BK1138" s="8">
        <v>57.47</v>
      </c>
      <c r="BL1138" s="2" t="s">
        <v>1634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4484</v>
      </c>
      <c r="BV1138" s="2" t="s">
        <v>243</v>
      </c>
      <c r="BW1138" s="2" t="s">
        <v>235</v>
      </c>
      <c r="BX1138" s="2" t="s">
        <v>4145</v>
      </c>
      <c r="BY1138" s="2" t="s">
        <v>245</v>
      </c>
      <c r="BZ1138" s="2" t="s">
        <v>232</v>
      </c>
      <c r="CA1138" s="2" t="s">
        <v>2044</v>
      </c>
      <c r="CB1138" s="2" t="s">
        <v>4521</v>
      </c>
      <c r="CC1138" s="2" t="s">
        <v>248</v>
      </c>
      <c r="CD1138" s="2" t="s">
        <v>248</v>
      </c>
      <c r="CE1138" s="2" t="s">
        <v>235</v>
      </c>
      <c r="CF1138" s="4"/>
      <c r="CG1138" s="4">
        <v>72</v>
      </c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>
        <v>72</v>
      </c>
      <c r="GE1138" s="4">
        <v>39</v>
      </c>
      <c r="GF1138" s="4">
        <v>30</v>
      </c>
      <c r="GG1138" s="4">
        <v>24</v>
      </c>
      <c r="GH1138" s="4">
        <v>18</v>
      </c>
      <c r="GI1138" s="4">
        <v>6</v>
      </c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>
        <v>292</v>
      </c>
      <c r="GX1138" s="4">
        <v>224</v>
      </c>
      <c r="GY1138" s="4">
        <v>218</v>
      </c>
      <c r="GZ1138" s="4">
        <v>213</v>
      </c>
      <c r="HA1138" s="4">
        <v>208</v>
      </c>
      <c r="HB1138" s="4">
        <v>203</v>
      </c>
      <c r="HC1138" s="4">
        <v>196</v>
      </c>
      <c r="HD1138" s="19">
        <v>5.1</v>
      </c>
      <c r="HE1138" s="19">
        <v>4.9</v>
      </c>
      <c r="HF1138" s="19">
        <v>3.8</v>
      </c>
      <c r="HG1138" s="19">
        <v>3.4</v>
      </c>
      <c r="HH1138" s="19">
        <v>3</v>
      </c>
      <c r="HI1138" s="19">
        <v>1.5</v>
      </c>
      <c r="HJ1138" s="20">
        <v>0</v>
      </c>
      <c r="HK1138" s="20">
        <v>0</v>
      </c>
      <c r="HL1138" s="20">
        <v>0</v>
      </c>
      <c r="HM1138" s="20">
        <v>0</v>
      </c>
      <c r="HN1138" s="20">
        <v>0</v>
      </c>
      <c r="HO1138" s="20">
        <v>0</v>
      </c>
      <c r="HP1138" s="20">
        <v>0</v>
      </c>
      <c r="HQ1138" s="20">
        <v>0</v>
      </c>
      <c r="HR1138" s="20">
        <v>0</v>
      </c>
      <c r="HS1138" s="20">
        <v>0</v>
      </c>
      <c r="HT1138" s="20">
        <v>0</v>
      </c>
      <c r="HU1138" s="20">
        <v>0</v>
      </c>
      <c r="HV1138" s="20">
        <v>0</v>
      </c>
      <c r="HW1138" s="19">
        <v>13.9</v>
      </c>
      <c r="HX1138" s="19">
        <v>44.8</v>
      </c>
      <c r="HY1138" s="19">
        <v>36.3</v>
      </c>
      <c r="HZ1138" s="19">
        <v>35.5</v>
      </c>
      <c r="IA1138" s="19">
        <v>41.6</v>
      </c>
      <c r="IB1138" s="19">
        <v>40.6</v>
      </c>
      <c r="IC1138" s="19">
        <v>49</v>
      </c>
    </row>
    <row r="1139">
      <c r="A1139" s="2" t="s">
        <v>4522</v>
      </c>
      <c r="B1139" s="2" t="s">
        <v>905</v>
      </c>
      <c r="C1139" s="2" t="s">
        <v>678</v>
      </c>
      <c r="D1139" s="2" t="s">
        <v>1177</v>
      </c>
      <c r="E1139" s="2" t="s">
        <v>2747</v>
      </c>
      <c r="F1139" s="2" t="s">
        <v>4482</v>
      </c>
      <c r="G1139" s="2" t="s">
        <v>4482</v>
      </c>
      <c r="H1139" s="2" t="s">
        <v>235</v>
      </c>
      <c r="I1139" s="2" t="s">
        <v>982</v>
      </c>
      <c r="J1139" s="2" t="s">
        <v>250</v>
      </c>
      <c r="K1139" s="2" t="s">
        <v>2718</v>
      </c>
      <c r="L1139" s="3">
        <v>66.33</v>
      </c>
      <c r="M1139" s="3">
        <v>69.65</v>
      </c>
      <c r="N1139" s="3">
        <v>129.99</v>
      </c>
      <c r="O1139" s="2" t="s">
        <v>232</v>
      </c>
      <c r="P1139" s="2" t="s">
        <v>1282</v>
      </c>
      <c r="Q1139" s="2" t="s">
        <v>234</v>
      </c>
      <c r="R1139" s="2" t="s">
        <v>235</v>
      </c>
      <c r="S1139" s="2" t="s">
        <v>4520</v>
      </c>
      <c r="T1139" s="2" t="s">
        <v>1081</v>
      </c>
      <c r="U1139" s="2" t="s">
        <v>235</v>
      </c>
      <c r="V1139" s="2" t="s">
        <v>238</v>
      </c>
      <c r="W1139" s="2" t="s">
        <v>239</v>
      </c>
      <c r="X1139" s="2" t="s">
        <v>235</v>
      </c>
      <c r="Y1139" s="2" t="s">
        <v>240</v>
      </c>
      <c r="Z1139" s="4">
        <v>522</v>
      </c>
      <c r="AA1139" s="4">
        <f>=ROUNDDOWN(46.1946902654867,0)</f>
      </c>
      <c r="AB1139" s="5">
        <v>11.3</v>
      </c>
      <c r="AC1139" s="2" t="s">
        <v>235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235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235</v>
      </c>
      <c r="AW1139" s="8" t="s">
        <v>235</v>
      </c>
      <c r="AX1139" s="4" t="s">
        <v>235</v>
      </c>
      <c r="AY1139" s="8" t="s">
        <v>235</v>
      </c>
      <c r="AZ1139" s="7" t="s">
        <v>235</v>
      </c>
      <c r="BA1139" s="7" t="s">
        <v>235</v>
      </c>
      <c r="BB1139" s="7"/>
      <c r="BC1139" s="4" t="s">
        <v>235</v>
      </c>
      <c r="BD1139" s="8" t="s">
        <v>235</v>
      </c>
      <c r="BE1139" s="4" t="s">
        <v>235</v>
      </c>
      <c r="BF1139" s="8" t="s">
        <v>235</v>
      </c>
      <c r="BG1139" s="7" t="s">
        <v>235</v>
      </c>
      <c r="BH1139" s="7" t="s">
        <v>235</v>
      </c>
      <c r="BI1139" s="7"/>
      <c r="BJ1139" s="4"/>
      <c r="BK1139" s="8"/>
      <c r="BL1139" s="2" t="s">
        <v>4523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4484</v>
      </c>
      <c r="BV1139" s="2" t="s">
        <v>243</v>
      </c>
      <c r="BW1139" s="2" t="s">
        <v>235</v>
      </c>
      <c r="BX1139" s="2" t="s">
        <v>4145</v>
      </c>
      <c r="BY1139" s="2" t="s">
        <v>245</v>
      </c>
      <c r="BZ1139" s="2" t="s">
        <v>232</v>
      </c>
      <c r="CA1139" s="2" t="s">
        <v>2044</v>
      </c>
      <c r="CB1139" s="2" t="s">
        <v>3611</v>
      </c>
      <c r="CC1139" s="2" t="s">
        <v>248</v>
      </c>
      <c r="CD1139" s="2" t="s">
        <v>248</v>
      </c>
      <c r="CE1139" s="2" t="s">
        <v>235</v>
      </c>
      <c r="CF1139" s="4">
        <v>388</v>
      </c>
      <c r="CG1139" s="4"/>
      <c r="CH1139" s="4"/>
      <c r="CI1139" s="4">
        <v>134</v>
      </c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>
        <v>522</v>
      </c>
      <c r="GE1139" s="4">
        <v>522</v>
      </c>
      <c r="GF1139" s="4">
        <v>522</v>
      </c>
      <c r="GG1139" s="4">
        <v>522</v>
      </c>
      <c r="GH1139" s="4">
        <v>522</v>
      </c>
      <c r="GI1139" s="4">
        <v>517</v>
      </c>
      <c r="GJ1139" s="4">
        <v>508</v>
      </c>
      <c r="GK1139" s="4">
        <v>495</v>
      </c>
      <c r="GL1139" s="4">
        <v>479</v>
      </c>
      <c r="GM1139" s="4">
        <v>468</v>
      </c>
      <c r="GN1139" s="4">
        <v>460</v>
      </c>
      <c r="GO1139" s="4">
        <v>447</v>
      </c>
      <c r="GP1139" s="4">
        <v>429</v>
      </c>
      <c r="GQ1139" s="4">
        <v>412</v>
      </c>
      <c r="GR1139" s="4">
        <v>386</v>
      </c>
      <c r="GS1139" s="4">
        <v>359</v>
      </c>
      <c r="GT1139" s="4">
        <v>333</v>
      </c>
      <c r="GU1139" s="4">
        <v>319</v>
      </c>
      <c r="GV1139" s="4">
        <v>307</v>
      </c>
      <c r="GW1139" s="4">
        <v>298</v>
      </c>
      <c r="GX1139" s="4">
        <v>288</v>
      </c>
      <c r="GY1139" s="4">
        <v>280</v>
      </c>
      <c r="GZ1139" s="4">
        <v>273</v>
      </c>
      <c r="HA1139" s="4">
        <v>268</v>
      </c>
      <c r="HB1139" s="4">
        <v>264</v>
      </c>
      <c r="HC1139" s="4">
        <v>260</v>
      </c>
      <c r="HD1139" s="9"/>
      <c r="HE1139" s="19">
        <v>522</v>
      </c>
      <c r="HF1139" s="19">
        <v>130.5</v>
      </c>
      <c r="HG1139" s="19">
        <v>74.6</v>
      </c>
      <c r="HH1139" s="19">
        <v>47.5</v>
      </c>
      <c r="HI1139" s="19">
        <v>43.1</v>
      </c>
      <c r="HJ1139" s="19">
        <v>42.3</v>
      </c>
      <c r="HK1139" s="19">
        <v>41.3</v>
      </c>
      <c r="HL1139" s="19">
        <v>39.9</v>
      </c>
      <c r="HM1139" s="19">
        <v>33.4</v>
      </c>
      <c r="HN1139" s="19">
        <v>25.6</v>
      </c>
      <c r="HO1139" s="19">
        <v>20.3</v>
      </c>
      <c r="HP1139" s="19">
        <v>17.9</v>
      </c>
      <c r="HQ1139" s="19">
        <v>17.9</v>
      </c>
      <c r="HR1139" s="19">
        <v>19.3</v>
      </c>
      <c r="HS1139" s="19">
        <v>23.9</v>
      </c>
      <c r="HT1139" s="19">
        <v>30.3</v>
      </c>
      <c r="HU1139" s="19">
        <v>31.9</v>
      </c>
      <c r="HV1139" s="19">
        <v>38.4</v>
      </c>
      <c r="HW1139" s="19">
        <v>37.3</v>
      </c>
      <c r="HX1139" s="19">
        <v>48</v>
      </c>
      <c r="HY1139" s="19">
        <v>56</v>
      </c>
      <c r="HZ1139" s="19">
        <v>68.3</v>
      </c>
      <c r="IA1139" s="19">
        <v>67</v>
      </c>
      <c r="IB1139" s="19">
        <v>88</v>
      </c>
      <c r="IC1139" s="19">
        <v>86.7</v>
      </c>
    </row>
    <row r="1140">
      <c r="A1140" s="2" t="s">
        <v>4524</v>
      </c>
      <c r="B1140" s="2" t="s">
        <v>905</v>
      </c>
      <c r="C1140" s="2" t="s">
        <v>678</v>
      </c>
      <c r="D1140" s="2" t="s">
        <v>1177</v>
      </c>
      <c r="E1140" s="2" t="s">
        <v>1178</v>
      </c>
      <c r="F1140" s="2" t="s">
        <v>4482</v>
      </c>
      <c r="G1140" s="2" t="s">
        <v>4482</v>
      </c>
      <c r="H1140" s="2" t="s">
        <v>235</v>
      </c>
      <c r="I1140" s="2" t="s">
        <v>991</v>
      </c>
      <c r="J1140" s="2" t="s">
        <v>3871</v>
      </c>
      <c r="K1140" s="2" t="s">
        <v>567</v>
      </c>
      <c r="L1140" s="3">
        <v>41.45</v>
      </c>
      <c r="M1140" s="3">
        <v>43.52</v>
      </c>
      <c r="N1140" s="3">
        <v>89.99</v>
      </c>
      <c r="O1140" s="2" t="s">
        <v>232</v>
      </c>
      <c r="P1140" s="2" t="s">
        <v>233</v>
      </c>
      <c r="Q1140" s="2" t="s">
        <v>234</v>
      </c>
      <c r="R1140" s="2" t="s">
        <v>235</v>
      </c>
      <c r="S1140" s="2" t="s">
        <v>4525</v>
      </c>
      <c r="T1140" s="2" t="s">
        <v>2295</v>
      </c>
      <c r="U1140" s="2" t="s">
        <v>807</v>
      </c>
      <c r="V1140" s="2" t="s">
        <v>238</v>
      </c>
      <c r="W1140" s="2" t="s">
        <v>239</v>
      </c>
      <c r="X1140" s="2" t="s">
        <v>235</v>
      </c>
      <c r="Y1140" s="2" t="s">
        <v>4054</v>
      </c>
      <c r="Z1140" s="4">
        <v>252</v>
      </c>
      <c r="AA1140" s="4">
        <f>=ROUNDDOWN(11.6129032258065,0)</f>
      </c>
      <c r="AB1140" s="5">
        <v>21.7</v>
      </c>
      <c r="AC1140" s="2" t="s">
        <v>235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235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235</v>
      </c>
      <c r="BD1140" s="8" t="s">
        <v>235</v>
      </c>
      <c r="BE1140" s="4" t="s">
        <v>235</v>
      </c>
      <c r="BF1140" s="8" t="s">
        <v>235</v>
      </c>
      <c r="BG1140" s="7" t="s">
        <v>235</v>
      </c>
      <c r="BH1140" s="7" t="s">
        <v>235</v>
      </c>
      <c r="BI1140" s="7"/>
      <c r="BJ1140" s="4">
        <v>4</v>
      </c>
      <c r="BK1140" s="8">
        <v>170.4</v>
      </c>
      <c r="BL1140" s="2" t="s">
        <v>4526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4506</v>
      </c>
      <c r="BV1140" s="2" t="s">
        <v>243</v>
      </c>
      <c r="BW1140" s="2" t="s">
        <v>235</v>
      </c>
      <c r="BX1140" s="2" t="s">
        <v>383</v>
      </c>
      <c r="BY1140" s="2" t="s">
        <v>245</v>
      </c>
      <c r="BZ1140" s="2" t="s">
        <v>232</v>
      </c>
      <c r="CA1140" s="2" t="s">
        <v>4054</v>
      </c>
      <c r="CB1140" s="2" t="s">
        <v>4527</v>
      </c>
      <c r="CC1140" s="2" t="s">
        <v>248</v>
      </c>
      <c r="CD1140" s="2" t="s">
        <v>248</v>
      </c>
      <c r="CE1140" s="2" t="s">
        <v>235</v>
      </c>
      <c r="CF1140" s="4"/>
      <c r="CG1140" s="4">
        <v>193</v>
      </c>
      <c r="CH1140" s="4"/>
      <c r="CI1140" s="4">
        <v>59</v>
      </c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>
        <v>288</v>
      </c>
      <c r="GE1140" s="4">
        <v>266</v>
      </c>
      <c r="GF1140" s="4">
        <v>265</v>
      </c>
      <c r="GG1140" s="4">
        <v>259</v>
      </c>
      <c r="GH1140" s="4">
        <v>247</v>
      </c>
      <c r="GI1140" s="4">
        <v>221</v>
      </c>
      <c r="GJ1140" s="4">
        <v>190</v>
      </c>
      <c r="GK1140" s="4">
        <v>160</v>
      </c>
      <c r="GL1140" s="4">
        <v>111</v>
      </c>
      <c r="GM1140" s="4">
        <v>81</v>
      </c>
      <c r="GN1140" s="4">
        <v>69</v>
      </c>
      <c r="GO1140" s="4">
        <v>49</v>
      </c>
      <c r="GP1140" s="4">
        <v>15</v>
      </c>
      <c r="GQ1140" s="4"/>
      <c r="GR1140" s="4"/>
      <c r="GS1140" s="4"/>
      <c r="GT1140" s="4"/>
      <c r="GU1140" s="4"/>
      <c r="GV1140" s="4"/>
      <c r="GW1140" s="4">
        <v>588</v>
      </c>
      <c r="GX1140" s="4">
        <v>472</v>
      </c>
      <c r="GY1140" s="4">
        <v>456</v>
      </c>
      <c r="GZ1140" s="4">
        <v>444</v>
      </c>
      <c r="HA1140" s="4">
        <v>436</v>
      </c>
      <c r="HB1140" s="4">
        <v>429</v>
      </c>
      <c r="HC1140" s="4">
        <v>421</v>
      </c>
      <c r="HD1140" s="19">
        <v>28.8</v>
      </c>
      <c r="HE1140" s="19">
        <v>24.2</v>
      </c>
      <c r="HF1140" s="19">
        <v>13.9</v>
      </c>
      <c r="HG1140" s="19">
        <v>10.4</v>
      </c>
      <c r="HH1140" s="19">
        <v>7.3</v>
      </c>
      <c r="HI1140" s="19">
        <v>6.3</v>
      </c>
      <c r="HJ1140" s="19">
        <v>6.3</v>
      </c>
      <c r="HK1140" s="19">
        <v>5.7</v>
      </c>
      <c r="HL1140" s="19">
        <v>4.6</v>
      </c>
      <c r="HM1140" s="19">
        <v>3.7</v>
      </c>
      <c r="HN1140" s="19">
        <v>2.2</v>
      </c>
      <c r="HO1140" s="19">
        <v>1.2</v>
      </c>
      <c r="HP1140" s="19">
        <v>0.3</v>
      </c>
      <c r="HQ1140" s="20">
        <v>0</v>
      </c>
      <c r="HR1140" s="20">
        <v>0</v>
      </c>
      <c r="HS1140" s="20">
        <v>0</v>
      </c>
      <c r="HT1140" s="20">
        <v>0</v>
      </c>
      <c r="HU1140" s="20">
        <v>0</v>
      </c>
      <c r="HV1140" s="20">
        <v>0</v>
      </c>
      <c r="HW1140" s="19">
        <v>15.5</v>
      </c>
      <c r="HX1140" s="19">
        <v>42.9</v>
      </c>
      <c r="HY1140" s="19">
        <v>50.7</v>
      </c>
      <c r="HZ1140" s="19">
        <v>55.5</v>
      </c>
      <c r="IA1140" s="19">
        <v>62.3</v>
      </c>
      <c r="IB1140" s="19">
        <v>53.6</v>
      </c>
      <c r="IC1140" s="19">
        <v>52.6</v>
      </c>
    </row>
    <row r="1141">
      <c r="A1141" s="2" t="s">
        <v>4528</v>
      </c>
      <c r="B1141" s="2" t="s">
        <v>905</v>
      </c>
      <c r="C1141" s="2" t="s">
        <v>678</v>
      </c>
      <c r="D1141" s="2" t="s">
        <v>1177</v>
      </c>
      <c r="E1141" s="2" t="s">
        <v>1178</v>
      </c>
      <c r="F1141" s="2" t="s">
        <v>4529</v>
      </c>
      <c r="G1141" s="2" t="s">
        <v>4529</v>
      </c>
      <c r="H1141" s="2" t="s">
        <v>4529</v>
      </c>
      <c r="I1141" s="2" t="s">
        <v>991</v>
      </c>
      <c r="J1141" s="2" t="s">
        <v>3871</v>
      </c>
      <c r="K1141" s="2" t="s">
        <v>292</v>
      </c>
      <c r="L1141" s="3">
        <v>43.05</v>
      </c>
      <c r="M1141" s="3">
        <v>45.2</v>
      </c>
      <c r="N1141" s="3">
        <v>89.99</v>
      </c>
      <c r="O1141" s="2" t="s">
        <v>232</v>
      </c>
      <c r="P1141" s="2" t="s">
        <v>336</v>
      </c>
      <c r="Q1141" s="2" t="s">
        <v>234</v>
      </c>
      <c r="R1141" s="2" t="s">
        <v>235</v>
      </c>
      <c r="S1141" s="2" t="s">
        <v>4530</v>
      </c>
      <c r="T1141" s="2" t="s">
        <v>2295</v>
      </c>
      <c r="U1141" s="2" t="s">
        <v>235</v>
      </c>
      <c r="V1141" s="2" t="s">
        <v>863</v>
      </c>
      <c r="W1141" s="2" t="s">
        <v>239</v>
      </c>
      <c r="X1141" s="2" t="s">
        <v>1157</v>
      </c>
      <c r="Y1141" s="2" t="s">
        <v>240</v>
      </c>
      <c r="Z1141" s="4">
        <v>1106</v>
      </c>
      <c r="AA1141" s="4">
        <f>=ROUNDDOWN(14.5526315789474,0)</f>
      </c>
      <c r="AB1141" s="5">
        <v>76</v>
      </c>
      <c r="AC1141" s="2" t="s">
        <v>235</v>
      </c>
      <c r="AD1141" s="4"/>
      <c r="AE1141" s="4"/>
      <c r="AF1141" s="6">
        <v>65</v>
      </c>
      <c r="AG1141" s="6">
        <v>48</v>
      </c>
      <c r="AH1141" s="7">
        <v>0.3226</v>
      </c>
      <c r="AI1141" s="4"/>
      <c r="AJ1141" s="4">
        <f>=ROUNDDOWN({0},0)</f>
      </c>
      <c r="AK1141" s="5"/>
      <c r="AL1141" s="2" t="s">
        <v>235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235</v>
      </c>
      <c r="BD1141" s="8" t="s">
        <v>235</v>
      </c>
      <c r="BE1141" s="4" t="s">
        <v>235</v>
      </c>
      <c r="BF1141" s="8" t="s">
        <v>235</v>
      </c>
      <c r="BG1141" s="7" t="s">
        <v>235</v>
      </c>
      <c r="BH1141" s="7" t="s">
        <v>235</v>
      </c>
      <c r="BI1141" s="7"/>
      <c r="BJ1141" s="4"/>
      <c r="BK1141" s="8"/>
      <c r="BL1141" s="2" t="s">
        <v>4531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4532</v>
      </c>
      <c r="BV1141" s="2" t="s">
        <v>243</v>
      </c>
      <c r="BW1141" s="2" t="s">
        <v>235</v>
      </c>
      <c r="BX1141" s="2" t="s">
        <v>244</v>
      </c>
      <c r="BY1141" s="2" t="s">
        <v>245</v>
      </c>
      <c r="BZ1141" s="2" t="s">
        <v>232</v>
      </c>
      <c r="CA1141" s="2" t="s">
        <v>2044</v>
      </c>
      <c r="CB1141" s="2" t="s">
        <v>4533</v>
      </c>
      <c r="CC1141" s="2" t="s">
        <v>248</v>
      </c>
      <c r="CD1141" s="2" t="s">
        <v>248</v>
      </c>
      <c r="CE1141" s="2" t="s">
        <v>235</v>
      </c>
      <c r="CF1141" s="4">
        <v>1106</v>
      </c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>
        <v>1107</v>
      </c>
      <c r="GE1141" s="4">
        <v>1098</v>
      </c>
      <c r="GF1141" s="4">
        <v>1089</v>
      </c>
      <c r="GG1141" s="4">
        <v>1080</v>
      </c>
      <c r="GH1141" s="4">
        <v>1071</v>
      </c>
      <c r="GI1141" s="4">
        <v>1063</v>
      </c>
      <c r="GJ1141" s="4">
        <v>1042</v>
      </c>
      <c r="GK1141" s="4">
        <v>962</v>
      </c>
      <c r="GL1141" s="4">
        <v>816</v>
      </c>
      <c r="GM1141" s="4">
        <v>725</v>
      </c>
      <c r="GN1141" s="4">
        <v>698</v>
      </c>
      <c r="GO1141" s="4">
        <v>657</v>
      </c>
      <c r="GP1141" s="4">
        <v>598</v>
      </c>
      <c r="GQ1141" s="4">
        <v>538</v>
      </c>
      <c r="GR1141" s="4">
        <v>456</v>
      </c>
      <c r="GS1141" s="4">
        <v>342</v>
      </c>
      <c r="GT1141" s="4">
        <v>232</v>
      </c>
      <c r="GU1141" s="4">
        <v>158</v>
      </c>
      <c r="GV1141" s="4">
        <v>112</v>
      </c>
      <c r="GW1141" s="4">
        <v>385</v>
      </c>
      <c r="GX1141" s="4">
        <v>358</v>
      </c>
      <c r="GY1141" s="4">
        <v>331</v>
      </c>
      <c r="GZ1141" s="4">
        <v>281</v>
      </c>
      <c r="HA1141" s="4">
        <v>540</v>
      </c>
      <c r="HB1141" s="4">
        <v>504</v>
      </c>
      <c r="HC1141" s="4">
        <v>1513</v>
      </c>
      <c r="HD1141" s="19">
        <v>61.5</v>
      </c>
      <c r="HE1141" s="19">
        <v>61</v>
      </c>
      <c r="HF1141" s="19">
        <v>45.4</v>
      </c>
      <c r="HG1141" s="19">
        <v>18</v>
      </c>
      <c r="HH1141" s="19">
        <v>8.4</v>
      </c>
      <c r="HI1141" s="19">
        <v>6.4</v>
      </c>
      <c r="HJ1141" s="19">
        <v>6.1</v>
      </c>
      <c r="HK1141" s="19">
        <v>6.4</v>
      </c>
      <c r="HL1141" s="19">
        <v>7.6</v>
      </c>
      <c r="HM1141" s="19">
        <v>7.7</v>
      </c>
      <c r="HN1141" s="19">
        <v>5.8</v>
      </c>
      <c r="HO1141" s="19">
        <v>4.2</v>
      </c>
      <c r="HP1141" s="19">
        <v>3.3</v>
      </c>
      <c r="HQ1141" s="19">
        <v>2.9</v>
      </c>
      <c r="HR1141" s="19">
        <v>2.7</v>
      </c>
      <c r="HS1141" s="19">
        <v>2.5</v>
      </c>
      <c r="HT1141" s="19">
        <v>2.5</v>
      </c>
      <c r="HU1141" s="19">
        <v>2.3</v>
      </c>
      <c r="HV1141" s="19">
        <v>1.6</v>
      </c>
      <c r="HW1141" s="19">
        <v>5.4</v>
      </c>
      <c r="HX1141" s="19">
        <v>4.7</v>
      </c>
      <c r="HY1141" s="19">
        <v>4</v>
      </c>
      <c r="HZ1141" s="19">
        <v>3.8</v>
      </c>
      <c r="IA1141" s="19">
        <v>3.6</v>
      </c>
      <c r="IB1141" s="19">
        <v>3</v>
      </c>
      <c r="IC1141" s="19">
        <v>19</v>
      </c>
    </row>
    <row r="1142">
      <c r="A1142" s="2" t="s">
        <v>4534</v>
      </c>
      <c r="B1142" s="2" t="s">
        <v>905</v>
      </c>
      <c r="C1142" s="2" t="s">
        <v>678</v>
      </c>
      <c r="D1142" s="2" t="s">
        <v>1177</v>
      </c>
      <c r="E1142" s="2" t="s">
        <v>1178</v>
      </c>
      <c r="F1142" s="2" t="s">
        <v>4529</v>
      </c>
      <c r="G1142" s="2" t="s">
        <v>4529</v>
      </c>
      <c r="H1142" s="2" t="s">
        <v>4529</v>
      </c>
      <c r="I1142" s="2" t="s">
        <v>991</v>
      </c>
      <c r="J1142" s="2" t="s">
        <v>3871</v>
      </c>
      <c r="K1142" s="2" t="s">
        <v>646</v>
      </c>
      <c r="L1142" s="3">
        <v>42.98</v>
      </c>
      <c r="M1142" s="3">
        <v>45.13</v>
      </c>
      <c r="N1142" s="3">
        <v>89.99</v>
      </c>
      <c r="O1142" s="2" t="s">
        <v>232</v>
      </c>
      <c r="P1142" s="2" t="s">
        <v>698</v>
      </c>
      <c r="Q1142" s="2" t="s">
        <v>234</v>
      </c>
      <c r="R1142" s="2" t="s">
        <v>235</v>
      </c>
      <c r="S1142" s="2" t="s">
        <v>4535</v>
      </c>
      <c r="T1142" s="2" t="s">
        <v>2295</v>
      </c>
      <c r="U1142" s="2" t="s">
        <v>235</v>
      </c>
      <c r="V1142" s="2" t="s">
        <v>863</v>
      </c>
      <c r="W1142" s="2" t="s">
        <v>239</v>
      </c>
      <c r="X1142" s="2" t="s">
        <v>1157</v>
      </c>
      <c r="Y1142" s="2" t="s">
        <v>3180</v>
      </c>
      <c r="Z1142" s="4">
        <v>1715</v>
      </c>
      <c r="AA1142" s="4">
        <f>=ROUNDDOWN(110.645161290323,0)</f>
      </c>
      <c r="AB1142" s="5">
        <v>15.5</v>
      </c>
      <c r="AC1142" s="2" t="s">
        <v>235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235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235</v>
      </c>
      <c r="BD1142" s="8" t="s">
        <v>235</v>
      </c>
      <c r="BE1142" s="4" t="s">
        <v>235</v>
      </c>
      <c r="BF1142" s="8" t="s">
        <v>235</v>
      </c>
      <c r="BG1142" s="7" t="s">
        <v>235</v>
      </c>
      <c r="BH1142" s="7" t="s">
        <v>235</v>
      </c>
      <c r="BI1142" s="7"/>
      <c r="BJ1142" s="4">
        <v>10</v>
      </c>
      <c r="BK1142" s="8">
        <v>423.08</v>
      </c>
      <c r="BL1142" s="2" t="s">
        <v>4536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4532</v>
      </c>
      <c r="BV1142" s="2" t="s">
        <v>243</v>
      </c>
      <c r="BW1142" s="2" t="s">
        <v>235</v>
      </c>
      <c r="BX1142" s="2" t="s">
        <v>244</v>
      </c>
      <c r="BY1142" s="2" t="s">
        <v>245</v>
      </c>
      <c r="BZ1142" s="2" t="s">
        <v>232</v>
      </c>
      <c r="CA1142" s="2" t="s">
        <v>2044</v>
      </c>
      <c r="CB1142" s="2" t="s">
        <v>4537</v>
      </c>
      <c r="CC1142" s="2" t="s">
        <v>248</v>
      </c>
      <c r="CD1142" s="2" t="s">
        <v>248</v>
      </c>
      <c r="CE1142" s="2" t="s">
        <v>235</v>
      </c>
      <c r="CF1142" s="4">
        <v>956</v>
      </c>
      <c r="CG1142" s="4">
        <v>759</v>
      </c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>
        <v>1721</v>
      </c>
      <c r="GE1142" s="4">
        <v>1701</v>
      </c>
      <c r="GF1142" s="4">
        <v>1700</v>
      </c>
      <c r="GG1142" s="4">
        <v>1699</v>
      </c>
      <c r="GH1142" s="4">
        <v>1698</v>
      </c>
      <c r="GI1142" s="4">
        <v>1685</v>
      </c>
      <c r="GJ1142" s="4">
        <v>1645</v>
      </c>
      <c r="GK1142" s="4">
        <v>1607</v>
      </c>
      <c r="GL1142" s="4">
        <v>1540</v>
      </c>
      <c r="GM1142" s="4">
        <v>1498</v>
      </c>
      <c r="GN1142" s="4">
        <v>1484</v>
      </c>
      <c r="GO1142" s="4">
        <v>1461</v>
      </c>
      <c r="GP1142" s="4">
        <v>1425</v>
      </c>
      <c r="GQ1142" s="4">
        <v>1390</v>
      </c>
      <c r="GR1142" s="4">
        <v>1333</v>
      </c>
      <c r="GS1142" s="4">
        <v>1264</v>
      </c>
      <c r="GT1142" s="4">
        <v>1192</v>
      </c>
      <c r="GU1142" s="4">
        <v>1158</v>
      </c>
      <c r="GV1142" s="4">
        <v>1131</v>
      </c>
      <c r="GW1142" s="4">
        <v>1114</v>
      </c>
      <c r="GX1142" s="4">
        <v>1101</v>
      </c>
      <c r="GY1142" s="4">
        <v>1088</v>
      </c>
      <c r="GZ1142" s="4">
        <v>1079</v>
      </c>
      <c r="HA1142" s="4">
        <v>1073</v>
      </c>
      <c r="HB1142" s="4">
        <v>1068</v>
      </c>
      <c r="HC1142" s="4">
        <v>1062</v>
      </c>
      <c r="HD1142" s="19">
        <v>286.8</v>
      </c>
      <c r="HE1142" s="19">
        <v>425.3</v>
      </c>
      <c r="HF1142" s="19">
        <v>121.4</v>
      </c>
      <c r="HG1142" s="19">
        <v>73.9</v>
      </c>
      <c r="HH1142" s="19">
        <v>42.5</v>
      </c>
      <c r="HI1142" s="19">
        <v>35.9</v>
      </c>
      <c r="HJ1142" s="19">
        <v>41.1</v>
      </c>
      <c r="HK1142" s="19">
        <v>44.6</v>
      </c>
      <c r="HL1142" s="19">
        <v>53.1</v>
      </c>
      <c r="HM1142" s="19">
        <v>55.5</v>
      </c>
      <c r="HN1142" s="19">
        <v>39.1</v>
      </c>
      <c r="HO1142" s="19">
        <v>29.8</v>
      </c>
      <c r="HP1142" s="19">
        <v>24.6</v>
      </c>
      <c r="HQ1142" s="19">
        <v>24</v>
      </c>
      <c r="HR1142" s="19">
        <v>26.7</v>
      </c>
      <c r="HS1142" s="19">
        <v>33.3</v>
      </c>
      <c r="HT1142" s="19">
        <v>51.8</v>
      </c>
      <c r="HU1142" s="19">
        <v>64.3</v>
      </c>
      <c r="HV1142" s="19">
        <v>87</v>
      </c>
      <c r="HW1142" s="19">
        <v>111.4</v>
      </c>
      <c r="HX1142" s="19">
        <v>137.6</v>
      </c>
      <c r="HY1142" s="19">
        <v>181.3</v>
      </c>
      <c r="HZ1142" s="19">
        <v>179.8</v>
      </c>
      <c r="IA1142" s="19">
        <v>214.6</v>
      </c>
      <c r="IB1142" s="19">
        <v>178</v>
      </c>
      <c r="IC1142" s="19">
        <v>177</v>
      </c>
    </row>
    <row r="1143">
      <c r="A1143" s="2" t="s">
        <v>4538</v>
      </c>
      <c r="B1143" s="2" t="s">
        <v>905</v>
      </c>
      <c r="C1143" s="2" t="s">
        <v>678</v>
      </c>
      <c r="D1143" s="2" t="s">
        <v>1177</v>
      </c>
      <c r="E1143" s="2" t="s">
        <v>2747</v>
      </c>
      <c r="F1143" s="2" t="s">
        <v>4539</v>
      </c>
      <c r="G1143" s="2" t="s">
        <v>4539</v>
      </c>
      <c r="H1143" s="2" t="s">
        <v>4539</v>
      </c>
      <c r="I1143" s="2" t="s">
        <v>982</v>
      </c>
      <c r="J1143" s="2" t="s">
        <v>270</v>
      </c>
      <c r="K1143" s="2" t="s">
        <v>861</v>
      </c>
      <c r="L1143" s="3">
        <v>95.68</v>
      </c>
      <c r="M1143" s="3">
        <v>100.46</v>
      </c>
      <c r="N1143" s="3">
        <v>189.99</v>
      </c>
      <c r="O1143" s="2" t="s">
        <v>232</v>
      </c>
      <c r="P1143" s="2" t="s">
        <v>336</v>
      </c>
      <c r="Q1143" s="2" t="s">
        <v>234</v>
      </c>
      <c r="R1143" s="2" t="s">
        <v>235</v>
      </c>
      <c r="S1143" s="2" t="s">
        <v>4540</v>
      </c>
      <c r="T1143" s="2" t="s">
        <v>2295</v>
      </c>
      <c r="U1143" s="2" t="s">
        <v>807</v>
      </c>
      <c r="V1143" s="2" t="s">
        <v>238</v>
      </c>
      <c r="W1143" s="2" t="s">
        <v>239</v>
      </c>
      <c r="X1143" s="2" t="s">
        <v>235</v>
      </c>
      <c r="Y1143" s="2" t="s">
        <v>3293</v>
      </c>
      <c r="Z1143" s="4">
        <v>539</v>
      </c>
      <c r="AA1143" s="4">
        <f>=ROUNDDOWN(54.4444444444444,0)</f>
      </c>
      <c r="AB1143" s="5">
        <v>9.9</v>
      </c>
      <c r="AC1143" s="2" t="s">
        <v>235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235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235</v>
      </c>
      <c r="BD1143" s="8" t="s">
        <v>235</v>
      </c>
      <c r="BE1143" s="4" t="s">
        <v>235</v>
      </c>
      <c r="BF1143" s="8" t="s">
        <v>235</v>
      </c>
      <c r="BG1143" s="7" t="s">
        <v>235</v>
      </c>
      <c r="BH1143" s="7" t="s">
        <v>235</v>
      </c>
      <c r="BI1143" s="7"/>
      <c r="BJ1143" s="4">
        <v>12</v>
      </c>
      <c r="BK1143" s="8">
        <v>1254.19</v>
      </c>
      <c r="BL1143" s="2" t="s">
        <v>4541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4542</v>
      </c>
      <c r="BV1143" s="2" t="s">
        <v>243</v>
      </c>
      <c r="BW1143" s="2" t="s">
        <v>235</v>
      </c>
      <c r="BX1143" s="2" t="s">
        <v>4145</v>
      </c>
      <c r="BY1143" s="2" t="s">
        <v>245</v>
      </c>
      <c r="BZ1143" s="2" t="s">
        <v>232</v>
      </c>
      <c r="CA1143" s="2" t="s">
        <v>4543</v>
      </c>
      <c r="CB1143" s="2" t="s">
        <v>3182</v>
      </c>
      <c r="CC1143" s="2" t="s">
        <v>248</v>
      </c>
      <c r="CD1143" s="2" t="s">
        <v>248</v>
      </c>
      <c r="CE1143" s="2" t="s">
        <v>235</v>
      </c>
      <c r="CF1143" s="4">
        <v>297</v>
      </c>
      <c r="CG1143" s="4">
        <v>242</v>
      </c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>
        <v>552</v>
      </c>
      <c r="GE1143" s="4">
        <v>539</v>
      </c>
      <c r="GF1143" s="4">
        <v>520</v>
      </c>
      <c r="GG1143" s="4">
        <v>507</v>
      </c>
      <c r="GH1143" s="4">
        <v>493</v>
      </c>
      <c r="GI1143" s="4">
        <v>473</v>
      </c>
      <c r="GJ1143" s="4">
        <v>439</v>
      </c>
      <c r="GK1143" s="4">
        <v>418</v>
      </c>
      <c r="GL1143" s="4">
        <v>390</v>
      </c>
      <c r="GM1143" s="4">
        <v>370</v>
      </c>
      <c r="GN1143" s="4">
        <v>359</v>
      </c>
      <c r="GO1143" s="4">
        <v>345</v>
      </c>
      <c r="GP1143" s="4">
        <v>330</v>
      </c>
      <c r="GQ1143" s="4">
        <v>315</v>
      </c>
      <c r="GR1143" s="4">
        <v>296</v>
      </c>
      <c r="GS1143" s="4">
        <v>279</v>
      </c>
      <c r="GT1143" s="4">
        <v>265</v>
      </c>
      <c r="GU1143" s="4">
        <v>256</v>
      </c>
      <c r="GV1143" s="4">
        <v>250</v>
      </c>
      <c r="GW1143" s="4">
        <v>244</v>
      </c>
      <c r="GX1143" s="4">
        <v>238</v>
      </c>
      <c r="GY1143" s="4">
        <v>232</v>
      </c>
      <c r="GZ1143" s="4">
        <v>227</v>
      </c>
      <c r="HA1143" s="4">
        <v>223</v>
      </c>
      <c r="HB1143" s="4">
        <v>219</v>
      </c>
      <c r="HC1143" s="4">
        <v>215</v>
      </c>
      <c r="HD1143" s="19">
        <v>36.8</v>
      </c>
      <c r="HE1143" s="19">
        <v>33.7</v>
      </c>
      <c r="HF1143" s="19">
        <v>26</v>
      </c>
      <c r="HG1143" s="19">
        <v>23</v>
      </c>
      <c r="HH1143" s="19">
        <v>19</v>
      </c>
      <c r="HI1143" s="19">
        <v>18.2</v>
      </c>
      <c r="HJ1143" s="19">
        <v>22</v>
      </c>
      <c r="HK1143" s="19">
        <v>23.2</v>
      </c>
      <c r="HL1143" s="19">
        <v>26</v>
      </c>
      <c r="HM1143" s="19">
        <v>26.4</v>
      </c>
      <c r="HN1143" s="19">
        <v>22.4</v>
      </c>
      <c r="HO1143" s="19">
        <v>21.6</v>
      </c>
      <c r="HP1143" s="19">
        <v>20.6</v>
      </c>
      <c r="HQ1143" s="19">
        <v>21</v>
      </c>
      <c r="HR1143" s="19">
        <v>24.7</v>
      </c>
      <c r="HS1143" s="19">
        <v>31</v>
      </c>
      <c r="HT1143" s="19">
        <v>37.9</v>
      </c>
      <c r="HU1143" s="19">
        <v>42.7</v>
      </c>
      <c r="HV1143" s="19">
        <v>41.7</v>
      </c>
      <c r="HW1143" s="19">
        <v>48.8</v>
      </c>
      <c r="HX1143" s="19">
        <v>47.6</v>
      </c>
      <c r="HY1143" s="19">
        <v>58</v>
      </c>
      <c r="HZ1143" s="19">
        <v>56.8</v>
      </c>
      <c r="IA1143" s="19">
        <v>55.8</v>
      </c>
      <c r="IB1143" s="19">
        <v>73</v>
      </c>
      <c r="IC1143" s="19">
        <v>71.7</v>
      </c>
    </row>
    <row r="1144">
      <c r="A1144" s="2" t="s">
        <v>4544</v>
      </c>
      <c r="B1144" s="2" t="s">
        <v>905</v>
      </c>
      <c r="C1144" s="2" t="s">
        <v>678</v>
      </c>
      <c r="D1144" s="2" t="s">
        <v>1177</v>
      </c>
      <c r="E1144" s="2" t="s">
        <v>2747</v>
      </c>
      <c r="F1144" s="2" t="s">
        <v>4539</v>
      </c>
      <c r="G1144" s="2" t="s">
        <v>4539</v>
      </c>
      <c r="H1144" s="2" t="s">
        <v>4539</v>
      </c>
      <c r="I1144" s="2" t="s">
        <v>982</v>
      </c>
      <c r="J1144" s="2" t="s">
        <v>250</v>
      </c>
      <c r="K1144" s="2" t="s">
        <v>378</v>
      </c>
      <c r="L1144" s="3">
        <v>59.48</v>
      </c>
      <c r="M1144" s="3">
        <v>62.45</v>
      </c>
      <c r="N1144" s="3">
        <v>129.99</v>
      </c>
      <c r="O1144" s="2" t="s">
        <v>232</v>
      </c>
      <c r="P1144" s="2" t="s">
        <v>1282</v>
      </c>
      <c r="Q1144" s="2" t="s">
        <v>234</v>
      </c>
      <c r="R1144" s="2" t="s">
        <v>235</v>
      </c>
      <c r="S1144" s="2" t="s">
        <v>4545</v>
      </c>
      <c r="T1144" s="2" t="s">
        <v>2295</v>
      </c>
      <c r="U1144" s="2" t="s">
        <v>807</v>
      </c>
      <c r="V1144" s="2" t="s">
        <v>238</v>
      </c>
      <c r="W1144" s="2" t="s">
        <v>239</v>
      </c>
      <c r="X1144" s="2" t="s">
        <v>235</v>
      </c>
      <c r="Y1144" s="2" t="s">
        <v>3293</v>
      </c>
      <c r="Z1144" s="4">
        <v>227</v>
      </c>
      <c r="AA1144" s="4">
        <f>=ROUNDDOWN(28.375,0)</f>
      </c>
      <c r="AB1144" s="5">
        <v>8</v>
      </c>
      <c r="AC1144" s="2" t="s">
        <v>235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235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235</v>
      </c>
      <c r="BD1144" s="8" t="s">
        <v>235</v>
      </c>
      <c r="BE1144" s="4" t="s">
        <v>235</v>
      </c>
      <c r="BF1144" s="8" t="s">
        <v>235</v>
      </c>
      <c r="BG1144" s="7" t="s">
        <v>235</v>
      </c>
      <c r="BH1144" s="7" t="s">
        <v>235</v>
      </c>
      <c r="BI1144" s="7"/>
      <c r="BJ1144" s="4">
        <v>7</v>
      </c>
      <c r="BK1144" s="8">
        <v>432.84</v>
      </c>
      <c r="BL1144" s="2" t="s">
        <v>4546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4542</v>
      </c>
      <c r="BV1144" s="2" t="s">
        <v>243</v>
      </c>
      <c r="BW1144" s="2" t="s">
        <v>235</v>
      </c>
      <c r="BX1144" s="2" t="s">
        <v>4145</v>
      </c>
      <c r="BY1144" s="2" t="s">
        <v>245</v>
      </c>
      <c r="BZ1144" s="2" t="s">
        <v>232</v>
      </c>
      <c r="CA1144" s="2" t="s">
        <v>4543</v>
      </c>
      <c r="CB1144" s="2" t="s">
        <v>4547</v>
      </c>
      <c r="CC1144" s="2" t="s">
        <v>248</v>
      </c>
      <c r="CD1144" s="2" t="s">
        <v>248</v>
      </c>
      <c r="CE1144" s="2" t="s">
        <v>235</v>
      </c>
      <c r="CF1144" s="4"/>
      <c r="CG1144" s="4">
        <v>227</v>
      </c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>
        <v>229</v>
      </c>
      <c r="GE1144" s="4">
        <v>218</v>
      </c>
      <c r="GF1144" s="4">
        <v>210</v>
      </c>
      <c r="GG1144" s="4">
        <v>204</v>
      </c>
      <c r="GH1144" s="4">
        <v>198</v>
      </c>
      <c r="GI1144" s="4">
        <v>185</v>
      </c>
      <c r="GJ1144" s="4">
        <v>165</v>
      </c>
      <c r="GK1144" s="4">
        <v>151</v>
      </c>
      <c r="GL1144" s="4">
        <v>134</v>
      </c>
      <c r="GM1144" s="4">
        <v>123</v>
      </c>
      <c r="GN1144" s="4">
        <v>115</v>
      </c>
      <c r="GO1144" s="4">
        <v>101</v>
      </c>
      <c r="GP1144" s="4">
        <v>80</v>
      </c>
      <c r="GQ1144" s="4">
        <v>60</v>
      </c>
      <c r="GR1144" s="4">
        <v>30</v>
      </c>
      <c r="GS1144" s="4">
        <v>2</v>
      </c>
      <c r="GT1144" s="4"/>
      <c r="GU1144" s="4"/>
      <c r="GV1144" s="4"/>
      <c r="GW1144" s="4">
        <v>129</v>
      </c>
      <c r="GX1144" s="4">
        <v>109</v>
      </c>
      <c r="GY1144" s="4">
        <v>103</v>
      </c>
      <c r="GZ1144" s="4">
        <v>98</v>
      </c>
      <c r="HA1144" s="4">
        <v>94</v>
      </c>
      <c r="HB1144" s="4">
        <v>91</v>
      </c>
      <c r="HC1144" s="4">
        <v>88</v>
      </c>
      <c r="HD1144" s="19">
        <v>28.6</v>
      </c>
      <c r="HE1144" s="19">
        <v>27.3</v>
      </c>
      <c r="HF1144" s="19">
        <v>19.1</v>
      </c>
      <c r="HG1144" s="19">
        <v>15.7</v>
      </c>
      <c r="HH1144" s="19">
        <v>12.4</v>
      </c>
      <c r="HI1144" s="19">
        <v>11.6</v>
      </c>
      <c r="HJ1144" s="19">
        <v>13.8</v>
      </c>
      <c r="HK1144" s="19">
        <v>12.6</v>
      </c>
      <c r="HL1144" s="19">
        <v>9.6</v>
      </c>
      <c r="HM1144" s="19">
        <v>7.7</v>
      </c>
      <c r="HN1144" s="19">
        <v>5.5</v>
      </c>
      <c r="HO1144" s="19">
        <v>4</v>
      </c>
      <c r="HP1144" s="19">
        <v>3.1</v>
      </c>
      <c r="HQ1144" s="19">
        <v>2.6</v>
      </c>
      <c r="HR1144" s="19">
        <v>1.9</v>
      </c>
      <c r="HS1144" s="19">
        <v>0.2</v>
      </c>
      <c r="HT1144" s="20">
        <v>0</v>
      </c>
      <c r="HU1144" s="20">
        <v>0</v>
      </c>
      <c r="HV1144" s="20">
        <v>0</v>
      </c>
      <c r="HW1144" s="19">
        <v>14.3</v>
      </c>
      <c r="HX1144" s="19">
        <v>27.3</v>
      </c>
      <c r="HY1144" s="19">
        <v>25.8</v>
      </c>
      <c r="HZ1144" s="19">
        <v>32.7</v>
      </c>
      <c r="IA1144" s="19">
        <v>31.3</v>
      </c>
      <c r="IB1144" s="19">
        <v>30.3</v>
      </c>
      <c r="IC1144" s="19">
        <v>29.3</v>
      </c>
    </row>
    <row r="1145">
      <c r="A1145" s="2" t="s">
        <v>4548</v>
      </c>
      <c r="B1145" s="2" t="s">
        <v>905</v>
      </c>
      <c r="C1145" s="2" t="s">
        <v>678</v>
      </c>
      <c r="D1145" s="2" t="s">
        <v>1177</v>
      </c>
      <c r="E1145" s="2" t="s">
        <v>2747</v>
      </c>
      <c r="F1145" s="2" t="s">
        <v>4539</v>
      </c>
      <c r="G1145" s="2" t="s">
        <v>4539</v>
      </c>
      <c r="H1145" s="2" t="s">
        <v>4539</v>
      </c>
      <c r="I1145" s="2" t="s">
        <v>982</v>
      </c>
      <c r="J1145" s="2" t="s">
        <v>394</v>
      </c>
      <c r="K1145" s="2" t="s">
        <v>292</v>
      </c>
      <c r="L1145" s="3">
        <v>53.04</v>
      </c>
      <c r="M1145" s="3">
        <v>55.69</v>
      </c>
      <c r="N1145" s="3">
        <v>109.99</v>
      </c>
      <c r="O1145" s="2" t="s">
        <v>232</v>
      </c>
      <c r="P1145" s="2" t="s">
        <v>333</v>
      </c>
      <c r="Q1145" s="2" t="s">
        <v>234</v>
      </c>
      <c r="R1145" s="2" t="s">
        <v>235</v>
      </c>
      <c r="S1145" s="2" t="s">
        <v>4549</v>
      </c>
      <c r="T1145" s="2" t="s">
        <v>2295</v>
      </c>
      <c r="U1145" s="2" t="s">
        <v>235</v>
      </c>
      <c r="V1145" s="2" t="s">
        <v>238</v>
      </c>
      <c r="W1145" s="2" t="s">
        <v>239</v>
      </c>
      <c r="X1145" s="2" t="s">
        <v>235</v>
      </c>
      <c r="Y1145" s="2" t="s">
        <v>240</v>
      </c>
      <c r="Z1145" s="4">
        <v>699</v>
      </c>
      <c r="AA1145" s="4">
        <f>=ROUNDDOWN(38.6187845303867,0)</f>
      </c>
      <c r="AB1145" s="5">
        <v>18.1</v>
      </c>
      <c r="AC1145" s="2" t="s">
        <v>235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235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235</v>
      </c>
      <c r="BD1145" s="8" t="s">
        <v>235</v>
      </c>
      <c r="BE1145" s="4" t="s">
        <v>235</v>
      </c>
      <c r="BF1145" s="8" t="s">
        <v>235</v>
      </c>
      <c r="BG1145" s="7" t="s">
        <v>235</v>
      </c>
      <c r="BH1145" s="7" t="s">
        <v>235</v>
      </c>
      <c r="BI1145" s="7"/>
      <c r="BJ1145" s="4">
        <v>13</v>
      </c>
      <c r="BK1145" s="8">
        <v>632.5</v>
      </c>
      <c r="BL1145" s="2" t="s">
        <v>4550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4542</v>
      </c>
      <c r="BV1145" s="2" t="s">
        <v>243</v>
      </c>
      <c r="BW1145" s="2" t="s">
        <v>235</v>
      </c>
      <c r="BX1145" s="2" t="s">
        <v>4145</v>
      </c>
      <c r="BY1145" s="2" t="s">
        <v>245</v>
      </c>
      <c r="BZ1145" s="2" t="s">
        <v>232</v>
      </c>
      <c r="CA1145" s="2" t="s">
        <v>2044</v>
      </c>
      <c r="CB1145" s="2" t="s">
        <v>4551</v>
      </c>
      <c r="CC1145" s="2" t="s">
        <v>248</v>
      </c>
      <c r="CD1145" s="2" t="s">
        <v>248</v>
      </c>
      <c r="CE1145" s="2" t="s">
        <v>235</v>
      </c>
      <c r="CF1145" s="4">
        <v>562</v>
      </c>
      <c r="CG1145" s="4">
        <v>137</v>
      </c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>
        <v>714</v>
      </c>
      <c r="GE1145" s="4">
        <v>672</v>
      </c>
      <c r="GF1145" s="4">
        <v>648</v>
      </c>
      <c r="GG1145" s="4">
        <v>631</v>
      </c>
      <c r="GH1145" s="4">
        <v>614</v>
      </c>
      <c r="GI1145" s="4">
        <v>585</v>
      </c>
      <c r="GJ1145" s="4">
        <v>539</v>
      </c>
      <c r="GK1145" s="4">
        <v>510</v>
      </c>
      <c r="GL1145" s="4">
        <v>473</v>
      </c>
      <c r="GM1145" s="4">
        <v>447</v>
      </c>
      <c r="GN1145" s="4">
        <v>432</v>
      </c>
      <c r="GO1145" s="4">
        <v>407</v>
      </c>
      <c r="GP1145" s="4">
        <v>379</v>
      </c>
      <c r="GQ1145" s="4">
        <v>352</v>
      </c>
      <c r="GR1145" s="4">
        <v>315</v>
      </c>
      <c r="GS1145" s="4">
        <v>283</v>
      </c>
      <c r="GT1145" s="4">
        <v>253</v>
      </c>
      <c r="GU1145" s="4">
        <v>238</v>
      </c>
      <c r="GV1145" s="4">
        <v>222</v>
      </c>
      <c r="GW1145" s="4">
        <v>210</v>
      </c>
      <c r="GX1145" s="4">
        <v>200</v>
      </c>
      <c r="GY1145" s="4">
        <v>193</v>
      </c>
      <c r="GZ1145" s="4">
        <v>188</v>
      </c>
      <c r="HA1145" s="4">
        <v>183</v>
      </c>
      <c r="HB1145" s="4">
        <v>178</v>
      </c>
      <c r="HC1145" s="4">
        <v>171</v>
      </c>
      <c r="HD1145" s="19">
        <v>28.6</v>
      </c>
      <c r="HE1145" s="19">
        <v>30.5</v>
      </c>
      <c r="HF1145" s="19">
        <v>24</v>
      </c>
      <c r="HG1145" s="19">
        <v>21</v>
      </c>
      <c r="HH1145" s="19">
        <v>17.5</v>
      </c>
      <c r="HI1145" s="19">
        <v>17.2</v>
      </c>
      <c r="HJ1145" s="19">
        <v>20</v>
      </c>
      <c r="HK1145" s="19">
        <v>19.6</v>
      </c>
      <c r="HL1145" s="19">
        <v>19.7</v>
      </c>
      <c r="HM1145" s="19">
        <v>18.6</v>
      </c>
      <c r="HN1145" s="19">
        <v>14.9</v>
      </c>
      <c r="HO1145" s="19">
        <v>13.1</v>
      </c>
      <c r="HP1145" s="19">
        <v>11.8</v>
      </c>
      <c r="HQ1145" s="19">
        <v>12.6</v>
      </c>
      <c r="HR1145" s="19">
        <v>13.7</v>
      </c>
      <c r="HS1145" s="19">
        <v>15.7</v>
      </c>
      <c r="HT1145" s="19">
        <v>19.5</v>
      </c>
      <c r="HU1145" s="19">
        <v>21.6</v>
      </c>
      <c r="HV1145" s="19">
        <v>27.8</v>
      </c>
      <c r="HW1145" s="19">
        <v>30</v>
      </c>
      <c r="HX1145" s="19">
        <v>33.3</v>
      </c>
      <c r="HY1145" s="19">
        <v>32.2</v>
      </c>
      <c r="HZ1145" s="19">
        <v>31.3</v>
      </c>
      <c r="IA1145" s="19">
        <v>36.6</v>
      </c>
      <c r="IB1145" s="19">
        <v>35.6</v>
      </c>
      <c r="IC1145" s="19">
        <v>34.2</v>
      </c>
    </row>
    <row r="1146">
      <c r="A1146" s="2" t="s">
        <v>4552</v>
      </c>
      <c r="B1146" s="2" t="s">
        <v>905</v>
      </c>
      <c r="C1146" s="2" t="s">
        <v>678</v>
      </c>
      <c r="D1146" s="2" t="s">
        <v>1177</v>
      </c>
      <c r="E1146" s="2" t="s">
        <v>2747</v>
      </c>
      <c r="F1146" s="2" t="s">
        <v>4539</v>
      </c>
      <c r="G1146" s="2" t="s">
        <v>4539</v>
      </c>
      <c r="H1146" s="2" t="s">
        <v>4539</v>
      </c>
      <c r="I1146" s="2" t="s">
        <v>982</v>
      </c>
      <c r="J1146" s="2" t="s">
        <v>250</v>
      </c>
      <c r="K1146" s="2" t="s">
        <v>295</v>
      </c>
      <c r="L1146" s="3">
        <v>59.48</v>
      </c>
      <c r="M1146" s="3">
        <v>62.45</v>
      </c>
      <c r="N1146" s="3">
        <v>129.99</v>
      </c>
      <c r="O1146" s="2" t="s">
        <v>232</v>
      </c>
      <c r="P1146" s="2" t="s">
        <v>333</v>
      </c>
      <c r="Q1146" s="2" t="s">
        <v>234</v>
      </c>
      <c r="R1146" s="2" t="s">
        <v>235</v>
      </c>
      <c r="S1146" s="2" t="s">
        <v>4553</v>
      </c>
      <c r="T1146" s="2" t="s">
        <v>2295</v>
      </c>
      <c r="U1146" s="2" t="s">
        <v>235</v>
      </c>
      <c r="V1146" s="2" t="s">
        <v>238</v>
      </c>
      <c r="W1146" s="2" t="s">
        <v>239</v>
      </c>
      <c r="X1146" s="2" t="s">
        <v>235</v>
      </c>
      <c r="Y1146" s="2" t="s">
        <v>240</v>
      </c>
      <c r="Z1146" s="4">
        <v>479</v>
      </c>
      <c r="AA1146" s="4">
        <f>=ROUNDDOWN(38.6290322580645,0)</f>
      </c>
      <c r="AB1146" s="5">
        <v>12.4</v>
      </c>
      <c r="AC1146" s="2" t="s">
        <v>235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235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235</v>
      </c>
      <c r="BD1146" s="8" t="s">
        <v>235</v>
      </c>
      <c r="BE1146" s="4" t="s">
        <v>235</v>
      </c>
      <c r="BF1146" s="8" t="s">
        <v>235</v>
      </c>
      <c r="BG1146" s="7" t="s">
        <v>235</v>
      </c>
      <c r="BH1146" s="7" t="s">
        <v>235</v>
      </c>
      <c r="BI1146" s="7"/>
      <c r="BJ1146" s="4">
        <v>44</v>
      </c>
      <c r="BK1146" s="8">
        <v>2510.05</v>
      </c>
      <c r="BL1146" s="2" t="s">
        <v>4554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4542</v>
      </c>
      <c r="BV1146" s="2" t="s">
        <v>243</v>
      </c>
      <c r="BW1146" s="2" t="s">
        <v>235</v>
      </c>
      <c r="BX1146" s="2" t="s">
        <v>4145</v>
      </c>
      <c r="BY1146" s="2" t="s">
        <v>245</v>
      </c>
      <c r="BZ1146" s="2" t="s">
        <v>232</v>
      </c>
      <c r="CA1146" s="2" t="s">
        <v>2044</v>
      </c>
      <c r="CB1146" s="2" t="s">
        <v>4555</v>
      </c>
      <c r="CC1146" s="2" t="s">
        <v>248</v>
      </c>
      <c r="CD1146" s="2" t="s">
        <v>248</v>
      </c>
      <c r="CE1146" s="2" t="s">
        <v>235</v>
      </c>
      <c r="CF1146" s="4">
        <v>326</v>
      </c>
      <c r="CG1146" s="4">
        <v>153</v>
      </c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>
        <v>490</v>
      </c>
      <c r="GE1146" s="4">
        <v>474</v>
      </c>
      <c r="GF1146" s="4">
        <v>473</v>
      </c>
      <c r="GG1146" s="4">
        <v>457</v>
      </c>
      <c r="GH1146" s="4">
        <v>436</v>
      </c>
      <c r="GI1146" s="4">
        <v>401</v>
      </c>
      <c r="GJ1146" s="4">
        <v>340</v>
      </c>
      <c r="GK1146" s="4">
        <v>303</v>
      </c>
      <c r="GL1146" s="4">
        <v>254</v>
      </c>
      <c r="GM1146" s="4">
        <v>218</v>
      </c>
      <c r="GN1146" s="4">
        <v>199</v>
      </c>
      <c r="GO1146" s="4">
        <v>168</v>
      </c>
      <c r="GP1146" s="4">
        <v>134</v>
      </c>
      <c r="GQ1146" s="4">
        <v>100</v>
      </c>
      <c r="GR1146" s="4">
        <v>56</v>
      </c>
      <c r="GS1146" s="4">
        <v>22</v>
      </c>
      <c r="GT1146" s="4"/>
      <c r="GU1146" s="4"/>
      <c r="GV1146" s="4"/>
      <c r="GW1146" s="4">
        <v>87</v>
      </c>
      <c r="GX1146" s="4">
        <v>57</v>
      </c>
      <c r="GY1146" s="4">
        <v>49</v>
      </c>
      <c r="GZ1146" s="4">
        <v>42</v>
      </c>
      <c r="HA1146" s="4">
        <v>37</v>
      </c>
      <c r="HB1146" s="4">
        <v>32</v>
      </c>
      <c r="HC1146" s="4">
        <v>347</v>
      </c>
      <c r="HD1146" s="19">
        <v>35</v>
      </c>
      <c r="HE1146" s="19">
        <v>26.3</v>
      </c>
      <c r="HF1146" s="19">
        <v>14.3</v>
      </c>
      <c r="HG1146" s="19">
        <v>12</v>
      </c>
      <c r="HH1146" s="19">
        <v>9.5</v>
      </c>
      <c r="HI1146" s="19">
        <v>8.7</v>
      </c>
      <c r="HJ1146" s="19">
        <v>9.7</v>
      </c>
      <c r="HK1146" s="19">
        <v>8.9</v>
      </c>
      <c r="HL1146" s="19">
        <v>8.5</v>
      </c>
      <c r="HM1146" s="19">
        <v>7.3</v>
      </c>
      <c r="HN1146" s="19">
        <v>5.5</v>
      </c>
      <c r="HO1146" s="19">
        <v>4.7</v>
      </c>
      <c r="HP1146" s="19">
        <v>3.8</v>
      </c>
      <c r="HQ1146" s="19">
        <v>3.4</v>
      </c>
      <c r="HR1146" s="19">
        <v>2.8</v>
      </c>
      <c r="HS1146" s="19">
        <v>1.8</v>
      </c>
      <c r="HT1146" s="20">
        <v>0</v>
      </c>
      <c r="HU1146" s="20">
        <v>0</v>
      </c>
      <c r="HV1146" s="20">
        <v>0</v>
      </c>
      <c r="HW1146" s="19">
        <v>7.3</v>
      </c>
      <c r="HX1146" s="19">
        <v>9.5</v>
      </c>
      <c r="HY1146" s="19">
        <v>8.2</v>
      </c>
      <c r="HZ1146" s="19">
        <v>8.4</v>
      </c>
      <c r="IA1146" s="19">
        <v>9.3</v>
      </c>
      <c r="IB1146" s="19">
        <v>8</v>
      </c>
      <c r="IC1146" s="19">
        <v>86.8</v>
      </c>
    </row>
    <row r="1147">
      <c r="A1147" s="2" t="s">
        <v>4556</v>
      </c>
      <c r="B1147" s="2" t="s">
        <v>905</v>
      </c>
      <c r="C1147" s="2" t="s">
        <v>678</v>
      </c>
      <c r="D1147" s="2" t="s">
        <v>1177</v>
      </c>
      <c r="E1147" s="2" t="s">
        <v>2747</v>
      </c>
      <c r="F1147" s="2" t="s">
        <v>4539</v>
      </c>
      <c r="G1147" s="2" t="s">
        <v>4539</v>
      </c>
      <c r="H1147" s="2" t="s">
        <v>4539</v>
      </c>
      <c r="I1147" s="2" t="s">
        <v>982</v>
      </c>
      <c r="J1147" s="2" t="s">
        <v>270</v>
      </c>
      <c r="K1147" s="2" t="s">
        <v>4557</v>
      </c>
      <c r="L1147" s="3">
        <v>95.68</v>
      </c>
      <c r="M1147" s="3">
        <v>100.46</v>
      </c>
      <c r="N1147" s="3">
        <v>189.99</v>
      </c>
      <c r="O1147" s="2" t="s">
        <v>232</v>
      </c>
      <c r="P1147" s="2" t="s">
        <v>1282</v>
      </c>
      <c r="Q1147" s="2" t="s">
        <v>234</v>
      </c>
      <c r="R1147" s="2" t="s">
        <v>235</v>
      </c>
      <c r="S1147" s="2" t="s">
        <v>4558</v>
      </c>
      <c r="T1147" s="2" t="s">
        <v>2295</v>
      </c>
      <c r="U1147" s="2" t="s">
        <v>235</v>
      </c>
      <c r="V1147" s="2" t="s">
        <v>238</v>
      </c>
      <c r="W1147" s="2" t="s">
        <v>239</v>
      </c>
      <c r="X1147" s="2" t="s">
        <v>235</v>
      </c>
      <c r="Y1147" s="2" t="s">
        <v>240</v>
      </c>
      <c r="Z1147" s="4">
        <v>244</v>
      </c>
      <c r="AA1147" s="4">
        <f>=ROUNDDOWN(45.1851851851852,0)</f>
      </c>
      <c r="AB1147" s="5">
        <v>5.4</v>
      </c>
      <c r="AC1147" s="2" t="s">
        <v>235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235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235</v>
      </c>
      <c r="BD1147" s="8" t="s">
        <v>235</v>
      </c>
      <c r="BE1147" s="4" t="s">
        <v>235</v>
      </c>
      <c r="BF1147" s="8" t="s">
        <v>235</v>
      </c>
      <c r="BG1147" s="7" t="s">
        <v>235</v>
      </c>
      <c r="BH1147" s="7" t="s">
        <v>235</v>
      </c>
      <c r="BI1147" s="7"/>
      <c r="BJ1147" s="4">
        <v>3</v>
      </c>
      <c r="BK1147" s="8">
        <v>306.3</v>
      </c>
      <c r="BL1147" s="2" t="s">
        <v>4559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4542</v>
      </c>
      <c r="BV1147" s="2" t="s">
        <v>243</v>
      </c>
      <c r="BW1147" s="2" t="s">
        <v>235</v>
      </c>
      <c r="BX1147" s="2" t="s">
        <v>4145</v>
      </c>
      <c r="BY1147" s="2" t="s">
        <v>245</v>
      </c>
      <c r="BZ1147" s="2" t="s">
        <v>232</v>
      </c>
      <c r="CA1147" s="2" t="s">
        <v>4498</v>
      </c>
      <c r="CB1147" s="2" t="s">
        <v>1480</v>
      </c>
      <c r="CC1147" s="2" t="s">
        <v>248</v>
      </c>
      <c r="CD1147" s="2" t="s">
        <v>248</v>
      </c>
      <c r="CE1147" s="2" t="s">
        <v>235</v>
      </c>
      <c r="CF1147" s="4"/>
      <c r="CG1147" s="4">
        <v>244</v>
      </c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>
        <v>258</v>
      </c>
      <c r="GE1147" s="4">
        <v>238</v>
      </c>
      <c r="GF1147" s="4">
        <v>224</v>
      </c>
      <c r="GG1147" s="4">
        <v>215</v>
      </c>
      <c r="GH1147" s="4">
        <v>205</v>
      </c>
      <c r="GI1147" s="4">
        <v>189</v>
      </c>
      <c r="GJ1147" s="4">
        <v>163</v>
      </c>
      <c r="GK1147" s="4">
        <v>146</v>
      </c>
      <c r="GL1147" s="4">
        <v>125</v>
      </c>
      <c r="GM1147" s="4">
        <v>109</v>
      </c>
      <c r="GN1147" s="4">
        <v>100</v>
      </c>
      <c r="GO1147" s="4">
        <v>88</v>
      </c>
      <c r="GP1147" s="4">
        <v>74</v>
      </c>
      <c r="GQ1147" s="4">
        <v>60</v>
      </c>
      <c r="GR1147" s="4">
        <v>40</v>
      </c>
      <c r="GS1147" s="4">
        <v>23</v>
      </c>
      <c r="GT1147" s="4">
        <v>8</v>
      </c>
      <c r="GU1147" s="4"/>
      <c r="GV1147" s="4"/>
      <c r="GW1147" s="4">
        <v>147</v>
      </c>
      <c r="GX1147" s="4">
        <v>137</v>
      </c>
      <c r="GY1147" s="4">
        <v>131</v>
      </c>
      <c r="GZ1147" s="4">
        <v>127</v>
      </c>
      <c r="HA1147" s="4">
        <v>124</v>
      </c>
      <c r="HB1147" s="4">
        <v>121</v>
      </c>
      <c r="HC1147" s="4">
        <v>118</v>
      </c>
      <c r="HD1147" s="19">
        <v>19.8</v>
      </c>
      <c r="HE1147" s="19">
        <v>19.8</v>
      </c>
      <c r="HF1147" s="19">
        <v>14.9</v>
      </c>
      <c r="HG1147" s="19">
        <v>12.6</v>
      </c>
      <c r="HH1147" s="19">
        <v>10.3</v>
      </c>
      <c r="HI1147" s="19">
        <v>9.5</v>
      </c>
      <c r="HJ1147" s="19">
        <v>10.2</v>
      </c>
      <c r="HK1147" s="19">
        <v>10.4</v>
      </c>
      <c r="HL1147" s="19">
        <v>9.6</v>
      </c>
      <c r="HM1147" s="19">
        <v>9.1</v>
      </c>
      <c r="HN1147" s="19">
        <v>6.7</v>
      </c>
      <c r="HO1147" s="19">
        <v>5.5</v>
      </c>
      <c r="HP1147" s="19">
        <v>4.6</v>
      </c>
      <c r="HQ1147" s="19">
        <v>4</v>
      </c>
      <c r="HR1147" s="19">
        <v>3.6</v>
      </c>
      <c r="HS1147" s="19">
        <v>2.9</v>
      </c>
      <c r="HT1147" s="19">
        <v>1.3</v>
      </c>
      <c r="HU1147" s="20">
        <v>0</v>
      </c>
      <c r="HV1147" s="20">
        <v>0</v>
      </c>
      <c r="HW1147" s="19">
        <v>24.5</v>
      </c>
      <c r="HX1147" s="19">
        <v>34.3</v>
      </c>
      <c r="HY1147" s="19">
        <v>43.7</v>
      </c>
      <c r="HZ1147" s="19">
        <v>42.3</v>
      </c>
      <c r="IA1147" s="19">
        <v>62</v>
      </c>
      <c r="IB1147" s="19">
        <v>60.5</v>
      </c>
      <c r="IC1147" s="19">
        <v>59</v>
      </c>
    </row>
    <row r="1148">
      <c r="A1148" s="2" t="s">
        <v>4560</v>
      </c>
      <c r="B1148" s="2" t="s">
        <v>905</v>
      </c>
      <c r="C1148" s="2" t="s">
        <v>678</v>
      </c>
      <c r="D1148" s="2" t="s">
        <v>1177</v>
      </c>
      <c r="E1148" s="2" t="s">
        <v>2747</v>
      </c>
      <c r="F1148" s="2" t="s">
        <v>4539</v>
      </c>
      <c r="G1148" s="2" t="s">
        <v>4539</v>
      </c>
      <c r="H1148" s="2" t="s">
        <v>4539</v>
      </c>
      <c r="I1148" s="2" t="s">
        <v>982</v>
      </c>
      <c r="J1148" s="2" t="s">
        <v>394</v>
      </c>
      <c r="K1148" s="2" t="s">
        <v>550</v>
      </c>
      <c r="L1148" s="3">
        <v>53.04</v>
      </c>
      <c r="M1148" s="3">
        <v>55.69</v>
      </c>
      <c r="N1148" s="3">
        <v>109.99</v>
      </c>
      <c r="O1148" s="2" t="s">
        <v>232</v>
      </c>
      <c r="P1148" s="2" t="s">
        <v>233</v>
      </c>
      <c r="Q1148" s="2" t="s">
        <v>234</v>
      </c>
      <c r="R1148" s="2" t="s">
        <v>235</v>
      </c>
      <c r="S1148" s="2" t="s">
        <v>4561</v>
      </c>
      <c r="T1148" s="2" t="s">
        <v>2295</v>
      </c>
      <c r="U1148" s="2" t="s">
        <v>807</v>
      </c>
      <c r="V1148" s="2" t="s">
        <v>238</v>
      </c>
      <c r="W1148" s="2" t="s">
        <v>239</v>
      </c>
      <c r="X1148" s="2" t="s">
        <v>235</v>
      </c>
      <c r="Y1148" s="2" t="s">
        <v>4054</v>
      </c>
      <c r="Z1148" s="4">
        <v>357</v>
      </c>
      <c r="AA1148" s="4">
        <f>=ROUNDDOWN(47.6,0)</f>
      </c>
      <c r="AB1148" s="5">
        <v>7.5</v>
      </c>
      <c r="AC1148" s="2" t="s">
        <v>235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235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235</v>
      </c>
      <c r="AW1148" s="8" t="s">
        <v>235</v>
      </c>
      <c r="AX1148" s="4" t="s">
        <v>235</v>
      </c>
      <c r="AY1148" s="8" t="s">
        <v>235</v>
      </c>
      <c r="AZ1148" s="7" t="s">
        <v>235</v>
      </c>
      <c r="BA1148" s="7" t="s">
        <v>235</v>
      </c>
      <c r="BB1148" s="7"/>
      <c r="BC1148" s="4" t="s">
        <v>235</v>
      </c>
      <c r="BD1148" s="8" t="s">
        <v>235</v>
      </c>
      <c r="BE1148" s="4" t="s">
        <v>235</v>
      </c>
      <c r="BF1148" s="8" t="s">
        <v>235</v>
      </c>
      <c r="BG1148" s="7" t="s">
        <v>235</v>
      </c>
      <c r="BH1148" s="7" t="s">
        <v>235</v>
      </c>
      <c r="BI1148" s="7"/>
      <c r="BJ1148" s="4">
        <v>5</v>
      </c>
      <c r="BK1148" s="8">
        <v>293.08</v>
      </c>
      <c r="BL1148" s="2" t="s">
        <v>4562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4542</v>
      </c>
      <c r="BV1148" s="2" t="s">
        <v>243</v>
      </c>
      <c r="BW1148" s="2" t="s">
        <v>235</v>
      </c>
      <c r="BX1148" s="2" t="s">
        <v>4145</v>
      </c>
      <c r="BY1148" s="2" t="s">
        <v>245</v>
      </c>
      <c r="BZ1148" s="2" t="s">
        <v>232</v>
      </c>
      <c r="CA1148" s="2" t="s">
        <v>4054</v>
      </c>
      <c r="CB1148" s="2" t="s">
        <v>2502</v>
      </c>
      <c r="CC1148" s="2" t="s">
        <v>248</v>
      </c>
      <c r="CD1148" s="2" t="s">
        <v>248</v>
      </c>
      <c r="CE1148" s="2" t="s">
        <v>235</v>
      </c>
      <c r="CF1148" s="4">
        <v>295</v>
      </c>
      <c r="CG1148" s="4">
        <v>62</v>
      </c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>
        <v>359</v>
      </c>
      <c r="GE1148" s="4">
        <v>328</v>
      </c>
      <c r="GF1148" s="4">
        <v>319</v>
      </c>
      <c r="GG1148" s="4">
        <v>313</v>
      </c>
      <c r="GH1148" s="4">
        <v>307</v>
      </c>
      <c r="GI1148" s="4">
        <v>293</v>
      </c>
      <c r="GJ1148" s="4">
        <v>273</v>
      </c>
      <c r="GK1148" s="4">
        <v>259</v>
      </c>
      <c r="GL1148" s="4">
        <v>242</v>
      </c>
      <c r="GM1148" s="4">
        <v>230</v>
      </c>
      <c r="GN1148" s="4">
        <v>222</v>
      </c>
      <c r="GO1148" s="4">
        <v>208</v>
      </c>
      <c r="GP1148" s="4">
        <v>190</v>
      </c>
      <c r="GQ1148" s="4">
        <v>173</v>
      </c>
      <c r="GR1148" s="4">
        <v>147</v>
      </c>
      <c r="GS1148" s="4">
        <v>124</v>
      </c>
      <c r="GT1148" s="4">
        <v>102</v>
      </c>
      <c r="GU1148" s="4">
        <v>92</v>
      </c>
      <c r="GV1148" s="4">
        <v>83</v>
      </c>
      <c r="GW1148" s="4">
        <v>228</v>
      </c>
      <c r="GX1148" s="4">
        <v>222</v>
      </c>
      <c r="GY1148" s="4">
        <v>217</v>
      </c>
      <c r="GZ1148" s="4">
        <v>214</v>
      </c>
      <c r="HA1148" s="4">
        <v>211</v>
      </c>
      <c r="HB1148" s="4">
        <v>208</v>
      </c>
      <c r="HC1148" s="4">
        <v>204</v>
      </c>
      <c r="HD1148" s="19">
        <v>27.6</v>
      </c>
      <c r="HE1148" s="19">
        <v>36.4</v>
      </c>
      <c r="HF1148" s="19">
        <v>26.6</v>
      </c>
      <c r="HG1148" s="19">
        <v>22.4</v>
      </c>
      <c r="HH1148" s="19">
        <v>19.2</v>
      </c>
      <c r="HI1148" s="19">
        <v>18.3</v>
      </c>
      <c r="HJ1148" s="19">
        <v>21</v>
      </c>
      <c r="HK1148" s="19">
        <v>19.9</v>
      </c>
      <c r="HL1148" s="19">
        <v>18.6</v>
      </c>
      <c r="HM1148" s="19">
        <v>16.4</v>
      </c>
      <c r="HN1148" s="19">
        <v>11.7</v>
      </c>
      <c r="HO1148" s="19">
        <v>9.9</v>
      </c>
      <c r="HP1148" s="19">
        <v>8.6</v>
      </c>
      <c r="HQ1148" s="19">
        <v>8.7</v>
      </c>
      <c r="HR1148" s="19">
        <v>9.2</v>
      </c>
      <c r="HS1148" s="19">
        <v>10.3</v>
      </c>
      <c r="HT1148" s="19">
        <v>12.8</v>
      </c>
      <c r="HU1148" s="19">
        <v>13.1</v>
      </c>
      <c r="HV1148" s="19">
        <v>16.6</v>
      </c>
      <c r="HW1148" s="19">
        <v>57</v>
      </c>
      <c r="HX1148" s="19">
        <v>55.5</v>
      </c>
      <c r="HY1148" s="19">
        <v>72.3</v>
      </c>
      <c r="HZ1148" s="19">
        <v>71.3</v>
      </c>
      <c r="IA1148" s="19">
        <v>70.3</v>
      </c>
      <c r="IB1148" s="19">
        <v>104</v>
      </c>
      <c r="IC1148" s="19">
        <v>102</v>
      </c>
    </row>
    <row r="1149">
      <c r="A1149" s="2" t="s">
        <v>4563</v>
      </c>
      <c r="B1149" s="2" t="s">
        <v>905</v>
      </c>
      <c r="C1149" s="2" t="s">
        <v>678</v>
      </c>
      <c r="D1149" s="2" t="s">
        <v>1177</v>
      </c>
      <c r="E1149" s="2" t="s">
        <v>2747</v>
      </c>
      <c r="F1149" s="2" t="s">
        <v>4539</v>
      </c>
      <c r="G1149" s="2" t="s">
        <v>4539</v>
      </c>
      <c r="H1149" s="2" t="s">
        <v>4539</v>
      </c>
      <c r="I1149" s="2" t="s">
        <v>982</v>
      </c>
      <c r="J1149" s="2" t="s">
        <v>250</v>
      </c>
      <c r="K1149" s="2" t="s">
        <v>550</v>
      </c>
      <c r="L1149" s="3">
        <v>59.48</v>
      </c>
      <c r="M1149" s="3">
        <v>62.45</v>
      </c>
      <c r="N1149" s="3">
        <v>129.99</v>
      </c>
      <c r="O1149" s="2" t="s">
        <v>232</v>
      </c>
      <c r="P1149" s="2" t="s">
        <v>233</v>
      </c>
      <c r="Q1149" s="2" t="s">
        <v>234</v>
      </c>
      <c r="R1149" s="2" t="s">
        <v>235</v>
      </c>
      <c r="S1149" s="2" t="s">
        <v>4561</v>
      </c>
      <c r="T1149" s="2" t="s">
        <v>2295</v>
      </c>
      <c r="U1149" s="2" t="s">
        <v>807</v>
      </c>
      <c r="V1149" s="2" t="s">
        <v>238</v>
      </c>
      <c r="W1149" s="2" t="s">
        <v>239</v>
      </c>
      <c r="X1149" s="2" t="s">
        <v>235</v>
      </c>
      <c r="Y1149" s="2" t="s">
        <v>4054</v>
      </c>
      <c r="Z1149" s="4">
        <v>346</v>
      </c>
      <c r="AA1149" s="4">
        <f>=ROUNDDOWN(41.6867469879518,0)</f>
      </c>
      <c r="AB1149" s="5">
        <v>8.3</v>
      </c>
      <c r="AC1149" s="2" t="s">
        <v>235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235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235</v>
      </c>
      <c r="AW1149" s="8" t="s">
        <v>235</v>
      </c>
      <c r="AX1149" s="4" t="s">
        <v>235</v>
      </c>
      <c r="AY1149" s="8" t="s">
        <v>235</v>
      </c>
      <c r="AZ1149" s="7" t="s">
        <v>235</v>
      </c>
      <c r="BA1149" s="7" t="s">
        <v>235</v>
      </c>
      <c r="BB1149" s="7"/>
      <c r="BC1149" s="4" t="s">
        <v>235</v>
      </c>
      <c r="BD1149" s="8" t="s">
        <v>235</v>
      </c>
      <c r="BE1149" s="4" t="s">
        <v>235</v>
      </c>
      <c r="BF1149" s="8" t="s">
        <v>235</v>
      </c>
      <c r="BG1149" s="7" t="s">
        <v>235</v>
      </c>
      <c r="BH1149" s="7" t="s">
        <v>235</v>
      </c>
      <c r="BI1149" s="7"/>
      <c r="BJ1149" s="4">
        <v>3</v>
      </c>
      <c r="BK1149" s="8">
        <v>196.88</v>
      </c>
      <c r="BL1149" s="2" t="s">
        <v>4564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4542</v>
      </c>
      <c r="BV1149" s="2" t="s">
        <v>243</v>
      </c>
      <c r="BW1149" s="2" t="s">
        <v>235</v>
      </c>
      <c r="BX1149" s="2" t="s">
        <v>4145</v>
      </c>
      <c r="BY1149" s="2" t="s">
        <v>245</v>
      </c>
      <c r="BZ1149" s="2" t="s">
        <v>232</v>
      </c>
      <c r="CA1149" s="2" t="s">
        <v>4054</v>
      </c>
      <c r="CB1149" s="2" t="s">
        <v>4565</v>
      </c>
      <c r="CC1149" s="2" t="s">
        <v>248</v>
      </c>
      <c r="CD1149" s="2" t="s">
        <v>248</v>
      </c>
      <c r="CE1149" s="2" t="s">
        <v>235</v>
      </c>
      <c r="CF1149" s="4">
        <v>286</v>
      </c>
      <c r="CG1149" s="4">
        <v>60</v>
      </c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>
        <v>355</v>
      </c>
      <c r="GE1149" s="4">
        <v>323</v>
      </c>
      <c r="GF1149" s="4">
        <v>305</v>
      </c>
      <c r="GG1149" s="4">
        <v>293</v>
      </c>
      <c r="GH1149" s="4">
        <v>280</v>
      </c>
      <c r="GI1149" s="4">
        <v>255</v>
      </c>
      <c r="GJ1149" s="4">
        <v>213</v>
      </c>
      <c r="GK1149" s="4">
        <v>186</v>
      </c>
      <c r="GL1149" s="4">
        <v>152</v>
      </c>
      <c r="GM1149" s="4">
        <v>127</v>
      </c>
      <c r="GN1149" s="4">
        <v>113</v>
      </c>
      <c r="GO1149" s="4">
        <v>89</v>
      </c>
      <c r="GP1149" s="4">
        <v>60</v>
      </c>
      <c r="GQ1149" s="4">
        <v>32</v>
      </c>
      <c r="GR1149" s="4"/>
      <c r="GS1149" s="4"/>
      <c r="GT1149" s="4"/>
      <c r="GU1149" s="4"/>
      <c r="GV1149" s="4"/>
      <c r="GW1149" s="4">
        <v>196</v>
      </c>
      <c r="GX1149" s="4">
        <v>153</v>
      </c>
      <c r="GY1149" s="4">
        <v>145</v>
      </c>
      <c r="GZ1149" s="4">
        <v>140</v>
      </c>
      <c r="HA1149" s="4">
        <v>137</v>
      </c>
      <c r="HB1149" s="4">
        <v>134</v>
      </c>
      <c r="HC1149" s="4">
        <v>311</v>
      </c>
      <c r="HD1149" s="19">
        <v>18.7</v>
      </c>
      <c r="HE1149" s="19">
        <v>19</v>
      </c>
      <c r="HF1149" s="19">
        <v>13.3</v>
      </c>
      <c r="HG1149" s="19">
        <v>10.9</v>
      </c>
      <c r="HH1149" s="19">
        <v>8.8</v>
      </c>
      <c r="HI1149" s="19">
        <v>8</v>
      </c>
      <c r="HJ1149" s="19">
        <v>8.5</v>
      </c>
      <c r="HK1149" s="19">
        <v>7.8</v>
      </c>
      <c r="HL1149" s="19">
        <v>6.6</v>
      </c>
      <c r="HM1149" s="19">
        <v>5.3</v>
      </c>
      <c r="HN1149" s="19">
        <v>4</v>
      </c>
      <c r="HO1149" s="19">
        <v>3.1</v>
      </c>
      <c r="HP1149" s="19">
        <v>2.1</v>
      </c>
      <c r="HQ1149" s="19">
        <v>1.3</v>
      </c>
      <c r="HR1149" s="20">
        <v>0</v>
      </c>
      <c r="HS1149" s="20">
        <v>0</v>
      </c>
      <c r="HT1149" s="20">
        <v>0</v>
      </c>
      <c r="HU1149" s="20">
        <v>0</v>
      </c>
      <c r="HV1149" s="20">
        <v>0</v>
      </c>
      <c r="HW1149" s="19">
        <v>13.1</v>
      </c>
      <c r="HX1149" s="19">
        <v>30.6</v>
      </c>
      <c r="HY1149" s="19">
        <v>36.3</v>
      </c>
      <c r="HZ1149" s="19">
        <v>46.7</v>
      </c>
      <c r="IA1149" s="19">
        <v>45.7</v>
      </c>
      <c r="IB1149" s="19">
        <v>44.7</v>
      </c>
      <c r="IC1149" s="19">
        <v>103.7</v>
      </c>
    </row>
    <row r="1150">
      <c r="A1150" s="2" t="s">
        <v>4566</v>
      </c>
      <c r="B1150" s="2" t="s">
        <v>905</v>
      </c>
      <c r="C1150" s="2" t="s">
        <v>678</v>
      </c>
      <c r="D1150" s="2" t="s">
        <v>1177</v>
      </c>
      <c r="E1150" s="2" t="s">
        <v>2747</v>
      </c>
      <c r="F1150" s="2" t="s">
        <v>4539</v>
      </c>
      <c r="G1150" s="2" t="s">
        <v>4539</v>
      </c>
      <c r="H1150" s="2" t="s">
        <v>4539</v>
      </c>
      <c r="I1150" s="2" t="s">
        <v>982</v>
      </c>
      <c r="J1150" s="2" t="s">
        <v>261</v>
      </c>
      <c r="K1150" s="2" t="s">
        <v>550</v>
      </c>
      <c r="L1150" s="3">
        <v>83.1</v>
      </c>
      <c r="M1150" s="3">
        <v>87.26</v>
      </c>
      <c r="N1150" s="3">
        <v>164.99</v>
      </c>
      <c r="O1150" s="2" t="s">
        <v>232</v>
      </c>
      <c r="P1150" s="2" t="s">
        <v>233</v>
      </c>
      <c r="Q1150" s="2" t="s">
        <v>234</v>
      </c>
      <c r="R1150" s="2" t="s">
        <v>235</v>
      </c>
      <c r="S1150" s="2" t="s">
        <v>4561</v>
      </c>
      <c r="T1150" s="2" t="s">
        <v>2295</v>
      </c>
      <c r="U1150" s="2" t="s">
        <v>807</v>
      </c>
      <c r="V1150" s="2" t="s">
        <v>238</v>
      </c>
      <c r="W1150" s="2" t="s">
        <v>239</v>
      </c>
      <c r="X1150" s="2" t="s">
        <v>235</v>
      </c>
      <c r="Y1150" s="2" t="s">
        <v>4567</v>
      </c>
      <c r="Z1150" s="4">
        <v>424</v>
      </c>
      <c r="AA1150" s="4">
        <f>=ROUNDDOWN(51.0843373493976,0)</f>
      </c>
      <c r="AB1150" s="5">
        <v>8.3</v>
      </c>
      <c r="AC1150" s="2" t="s">
        <v>235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235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235</v>
      </c>
      <c r="AW1150" s="8" t="s">
        <v>235</v>
      </c>
      <c r="AX1150" s="4" t="s">
        <v>235</v>
      </c>
      <c r="AY1150" s="8" t="s">
        <v>235</v>
      </c>
      <c r="AZ1150" s="7" t="s">
        <v>235</v>
      </c>
      <c r="BA1150" s="7" t="s">
        <v>235</v>
      </c>
      <c r="BB1150" s="7"/>
      <c r="BC1150" s="4" t="s">
        <v>235</v>
      </c>
      <c r="BD1150" s="8" t="s">
        <v>235</v>
      </c>
      <c r="BE1150" s="4" t="s">
        <v>235</v>
      </c>
      <c r="BF1150" s="8" t="s">
        <v>235</v>
      </c>
      <c r="BG1150" s="7" t="s">
        <v>235</v>
      </c>
      <c r="BH1150" s="7" t="s">
        <v>235</v>
      </c>
      <c r="BI1150" s="7"/>
      <c r="BJ1150" s="4">
        <v>8</v>
      </c>
      <c r="BK1150" s="8">
        <v>724.13</v>
      </c>
      <c r="BL1150" s="2" t="s">
        <v>4568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4542</v>
      </c>
      <c r="BV1150" s="2" t="s">
        <v>243</v>
      </c>
      <c r="BW1150" s="2" t="s">
        <v>235</v>
      </c>
      <c r="BX1150" s="2" t="s">
        <v>4145</v>
      </c>
      <c r="BY1150" s="2" t="s">
        <v>245</v>
      </c>
      <c r="BZ1150" s="2" t="s">
        <v>232</v>
      </c>
      <c r="CA1150" s="2" t="s">
        <v>4569</v>
      </c>
      <c r="CB1150" s="2" t="s">
        <v>2545</v>
      </c>
      <c r="CC1150" s="2" t="s">
        <v>248</v>
      </c>
      <c r="CD1150" s="2" t="s">
        <v>248</v>
      </c>
      <c r="CE1150" s="2" t="s">
        <v>235</v>
      </c>
      <c r="CF1150" s="4">
        <v>422</v>
      </c>
      <c r="CG1150" s="4">
        <v>2</v>
      </c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>
        <v>426</v>
      </c>
      <c r="GE1150" s="4">
        <v>393</v>
      </c>
      <c r="GF1150" s="4">
        <v>382</v>
      </c>
      <c r="GG1150" s="4">
        <v>375</v>
      </c>
      <c r="GH1150" s="4">
        <v>367</v>
      </c>
      <c r="GI1150" s="4">
        <v>349</v>
      </c>
      <c r="GJ1150" s="4">
        <v>320</v>
      </c>
      <c r="GK1150" s="4">
        <v>300</v>
      </c>
      <c r="GL1150" s="4">
        <v>276</v>
      </c>
      <c r="GM1150" s="4">
        <v>258</v>
      </c>
      <c r="GN1150" s="4">
        <v>243</v>
      </c>
      <c r="GO1150" s="4">
        <v>226</v>
      </c>
      <c r="GP1150" s="4">
        <v>199</v>
      </c>
      <c r="GQ1150" s="4">
        <v>173</v>
      </c>
      <c r="GR1150" s="4">
        <v>129</v>
      </c>
      <c r="GS1150" s="4">
        <v>83</v>
      </c>
      <c r="GT1150" s="4">
        <v>55</v>
      </c>
      <c r="GU1150" s="4">
        <v>38</v>
      </c>
      <c r="GV1150" s="4">
        <v>28</v>
      </c>
      <c r="GW1150" s="4">
        <v>305</v>
      </c>
      <c r="GX1150" s="4">
        <v>296</v>
      </c>
      <c r="GY1150" s="4">
        <v>287</v>
      </c>
      <c r="GZ1150" s="4">
        <v>283</v>
      </c>
      <c r="HA1150" s="4">
        <v>279</v>
      </c>
      <c r="HB1150" s="4">
        <v>276</v>
      </c>
      <c r="HC1150" s="4">
        <v>273</v>
      </c>
      <c r="HD1150" s="19">
        <v>28.4</v>
      </c>
      <c r="HE1150" s="19">
        <v>35.7</v>
      </c>
      <c r="HF1150" s="19">
        <v>23.9</v>
      </c>
      <c r="HG1150" s="19">
        <v>19.7</v>
      </c>
      <c r="HH1150" s="19">
        <v>16</v>
      </c>
      <c r="HI1150" s="19">
        <v>15.2</v>
      </c>
      <c r="HJ1150" s="19">
        <v>16.8</v>
      </c>
      <c r="HK1150" s="19">
        <v>16.7</v>
      </c>
      <c r="HL1150" s="19">
        <v>14.5</v>
      </c>
      <c r="HM1150" s="19">
        <v>12.3</v>
      </c>
      <c r="HN1150" s="19">
        <v>8.7</v>
      </c>
      <c r="HO1150" s="19">
        <v>6.3</v>
      </c>
      <c r="HP1150" s="19">
        <v>5.5</v>
      </c>
      <c r="HQ1150" s="19">
        <v>5.1</v>
      </c>
      <c r="HR1150" s="19">
        <v>5.2</v>
      </c>
      <c r="HS1150" s="19">
        <v>5.2</v>
      </c>
      <c r="HT1150" s="19">
        <v>4.6</v>
      </c>
      <c r="HU1150" s="19">
        <v>3.8</v>
      </c>
      <c r="HV1150" s="19">
        <v>3.5</v>
      </c>
      <c r="HW1150" s="19">
        <v>50.8</v>
      </c>
      <c r="HX1150" s="19">
        <v>59.2</v>
      </c>
      <c r="HY1150" s="19">
        <v>71.8</v>
      </c>
      <c r="HZ1150" s="19">
        <v>94.3</v>
      </c>
      <c r="IA1150" s="19">
        <v>139.5</v>
      </c>
      <c r="IB1150" s="19">
        <v>138</v>
      </c>
      <c r="IC1150" s="19">
        <v>136.5</v>
      </c>
    </row>
    <row r="1151">
      <c r="A1151" s="2" t="s">
        <v>4570</v>
      </c>
      <c r="B1151" s="2" t="s">
        <v>905</v>
      </c>
      <c r="C1151" s="2" t="s">
        <v>678</v>
      </c>
      <c r="D1151" s="2" t="s">
        <v>1177</v>
      </c>
      <c r="E1151" s="2" t="s">
        <v>2747</v>
      </c>
      <c r="F1151" s="2" t="s">
        <v>4539</v>
      </c>
      <c r="G1151" s="2" t="s">
        <v>4539</v>
      </c>
      <c r="H1151" s="2" t="s">
        <v>4539</v>
      </c>
      <c r="I1151" s="2" t="s">
        <v>982</v>
      </c>
      <c r="J1151" s="2" t="s">
        <v>250</v>
      </c>
      <c r="K1151" s="2" t="s">
        <v>1463</v>
      </c>
      <c r="L1151" s="3">
        <v>59.48</v>
      </c>
      <c r="M1151" s="3">
        <v>62.45</v>
      </c>
      <c r="N1151" s="3">
        <v>129.99</v>
      </c>
      <c r="O1151" s="2" t="s">
        <v>232</v>
      </c>
      <c r="P1151" s="2" t="s">
        <v>233</v>
      </c>
      <c r="Q1151" s="2" t="s">
        <v>234</v>
      </c>
      <c r="R1151" s="2" t="s">
        <v>235</v>
      </c>
      <c r="S1151" s="2" t="s">
        <v>4571</v>
      </c>
      <c r="T1151" s="2" t="s">
        <v>2295</v>
      </c>
      <c r="U1151" s="2" t="s">
        <v>235</v>
      </c>
      <c r="V1151" s="2" t="s">
        <v>238</v>
      </c>
      <c r="W1151" s="2" t="s">
        <v>239</v>
      </c>
      <c r="X1151" s="2" t="s">
        <v>235</v>
      </c>
      <c r="Y1151" s="2" t="s">
        <v>3029</v>
      </c>
      <c r="Z1151" s="4">
        <v>172</v>
      </c>
      <c r="AA1151" s="4">
        <f>=ROUNDDOWN(37.3913043478261,0)</f>
      </c>
      <c r="AB1151" s="5">
        <v>4.6</v>
      </c>
      <c r="AC1151" s="2" t="s">
        <v>235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235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235</v>
      </c>
      <c r="BD1151" s="8" t="s">
        <v>235</v>
      </c>
      <c r="BE1151" s="4" t="s">
        <v>235</v>
      </c>
      <c r="BF1151" s="8" t="s">
        <v>235</v>
      </c>
      <c r="BG1151" s="7" t="s">
        <v>235</v>
      </c>
      <c r="BH1151" s="7" t="s">
        <v>235</v>
      </c>
      <c r="BI1151" s="7"/>
      <c r="BJ1151" s="4">
        <v>4</v>
      </c>
      <c r="BK1151" s="8">
        <v>270.89</v>
      </c>
      <c r="BL1151" s="2" t="s">
        <v>4572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4542</v>
      </c>
      <c r="BV1151" s="2" t="s">
        <v>243</v>
      </c>
      <c r="BW1151" s="2" t="s">
        <v>235</v>
      </c>
      <c r="BX1151" s="2" t="s">
        <v>4145</v>
      </c>
      <c r="BY1151" s="2" t="s">
        <v>245</v>
      </c>
      <c r="BZ1151" s="2" t="s">
        <v>232</v>
      </c>
      <c r="CA1151" s="2" t="s">
        <v>2044</v>
      </c>
      <c r="CB1151" s="2" t="s">
        <v>4573</v>
      </c>
      <c r="CC1151" s="2" t="s">
        <v>248</v>
      </c>
      <c r="CD1151" s="2" t="s">
        <v>248</v>
      </c>
      <c r="CE1151" s="2" t="s">
        <v>235</v>
      </c>
      <c r="CF1151" s="4">
        <v>44</v>
      </c>
      <c r="CG1151" s="4">
        <v>128</v>
      </c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>
        <v>172</v>
      </c>
      <c r="GE1151" s="4">
        <v>172</v>
      </c>
      <c r="GF1151" s="4">
        <v>171</v>
      </c>
      <c r="GG1151" s="4">
        <v>166</v>
      </c>
      <c r="GH1151" s="4">
        <v>161</v>
      </c>
      <c r="GI1151" s="4">
        <v>150</v>
      </c>
      <c r="GJ1151" s="4">
        <v>132</v>
      </c>
      <c r="GK1151" s="4">
        <v>120</v>
      </c>
      <c r="GL1151" s="4">
        <v>105</v>
      </c>
      <c r="GM1151" s="4">
        <v>95</v>
      </c>
      <c r="GN1151" s="4">
        <v>88</v>
      </c>
      <c r="GO1151" s="4">
        <v>77</v>
      </c>
      <c r="GP1151" s="4">
        <v>62</v>
      </c>
      <c r="GQ1151" s="4">
        <v>48</v>
      </c>
      <c r="GR1151" s="4">
        <v>27</v>
      </c>
      <c r="GS1151" s="4">
        <v>9</v>
      </c>
      <c r="GT1151" s="4"/>
      <c r="GU1151" s="4"/>
      <c r="GV1151" s="4"/>
      <c r="GW1151" s="4">
        <v>213</v>
      </c>
      <c r="GX1151" s="4">
        <v>200</v>
      </c>
      <c r="GY1151" s="4">
        <v>196</v>
      </c>
      <c r="GZ1151" s="4">
        <v>192</v>
      </c>
      <c r="HA1151" s="4">
        <v>189</v>
      </c>
      <c r="HB1151" s="4">
        <v>186</v>
      </c>
      <c r="HC1151" s="4">
        <v>183</v>
      </c>
      <c r="HD1151" s="19">
        <v>57.3</v>
      </c>
      <c r="HE1151" s="19">
        <v>28.7</v>
      </c>
      <c r="HF1151" s="19">
        <v>17.1</v>
      </c>
      <c r="HG1151" s="19">
        <v>13.8</v>
      </c>
      <c r="HH1151" s="19">
        <v>11.5</v>
      </c>
      <c r="HI1151" s="19">
        <v>10.7</v>
      </c>
      <c r="HJ1151" s="19">
        <v>12</v>
      </c>
      <c r="HK1151" s="19">
        <v>10.9</v>
      </c>
      <c r="HL1151" s="19">
        <v>9.5</v>
      </c>
      <c r="HM1151" s="19">
        <v>7.9</v>
      </c>
      <c r="HN1151" s="19">
        <v>5.9</v>
      </c>
      <c r="HO1151" s="19">
        <v>4.5</v>
      </c>
      <c r="HP1151" s="19">
        <v>3.6</v>
      </c>
      <c r="HQ1151" s="19">
        <v>3.2</v>
      </c>
      <c r="HR1151" s="19">
        <v>2.5</v>
      </c>
      <c r="HS1151" s="19">
        <v>1.3</v>
      </c>
      <c r="HT1151" s="20">
        <v>0</v>
      </c>
      <c r="HU1151" s="20">
        <v>0</v>
      </c>
      <c r="HV1151" s="20">
        <v>0</v>
      </c>
      <c r="HW1151" s="19">
        <v>35.5</v>
      </c>
      <c r="HX1151" s="19">
        <v>50</v>
      </c>
      <c r="HY1151" s="19">
        <v>65.3</v>
      </c>
      <c r="HZ1151" s="19">
        <v>64</v>
      </c>
      <c r="IA1151" s="19">
        <v>94.5</v>
      </c>
      <c r="IB1151" s="19">
        <v>93</v>
      </c>
      <c r="IC1151" s="19">
        <v>91.5</v>
      </c>
    </row>
    <row r="1152">
      <c r="A1152" s="2" t="s">
        <v>4574</v>
      </c>
      <c r="B1152" s="2" t="s">
        <v>905</v>
      </c>
      <c r="C1152" s="2" t="s">
        <v>678</v>
      </c>
      <c r="D1152" s="2" t="s">
        <v>1177</v>
      </c>
      <c r="E1152" s="2" t="s">
        <v>2747</v>
      </c>
      <c r="F1152" s="2" t="s">
        <v>4539</v>
      </c>
      <c r="G1152" s="2" t="s">
        <v>4539</v>
      </c>
      <c r="H1152" s="2" t="s">
        <v>4539</v>
      </c>
      <c r="I1152" s="2" t="s">
        <v>982</v>
      </c>
      <c r="J1152" s="2" t="s">
        <v>394</v>
      </c>
      <c r="K1152" s="2" t="s">
        <v>567</v>
      </c>
      <c r="L1152" s="3">
        <v>53.04</v>
      </c>
      <c r="M1152" s="3">
        <v>55.69</v>
      </c>
      <c r="N1152" s="3">
        <v>109.99</v>
      </c>
      <c r="O1152" s="2" t="s">
        <v>232</v>
      </c>
      <c r="P1152" s="2" t="s">
        <v>233</v>
      </c>
      <c r="Q1152" s="2" t="s">
        <v>234</v>
      </c>
      <c r="R1152" s="2" t="s">
        <v>235</v>
      </c>
      <c r="S1152" s="2" t="s">
        <v>4575</v>
      </c>
      <c r="T1152" s="2" t="s">
        <v>2295</v>
      </c>
      <c r="U1152" s="2" t="s">
        <v>807</v>
      </c>
      <c r="V1152" s="2" t="s">
        <v>238</v>
      </c>
      <c r="W1152" s="2" t="s">
        <v>239</v>
      </c>
      <c r="X1152" s="2" t="s">
        <v>235</v>
      </c>
      <c r="Y1152" s="2" t="s">
        <v>4054</v>
      </c>
      <c r="Z1152" s="4">
        <v>310</v>
      </c>
      <c r="AA1152" s="4">
        <f>=ROUNDDOWN(22.1428571428571,0)</f>
      </c>
      <c r="AB1152" s="5">
        <v>14</v>
      </c>
      <c r="AC1152" s="2" t="s">
        <v>235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235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235</v>
      </c>
      <c r="BD1152" s="8" t="s">
        <v>235</v>
      </c>
      <c r="BE1152" s="4" t="s">
        <v>235</v>
      </c>
      <c r="BF1152" s="8" t="s">
        <v>235</v>
      </c>
      <c r="BG1152" s="7" t="s">
        <v>235</v>
      </c>
      <c r="BH1152" s="7" t="s">
        <v>235</v>
      </c>
      <c r="BI1152" s="7"/>
      <c r="BJ1152" s="4">
        <v>9</v>
      </c>
      <c r="BK1152" s="8">
        <v>514.19</v>
      </c>
      <c r="BL1152" s="2" t="s">
        <v>4576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4542</v>
      </c>
      <c r="BV1152" s="2" t="s">
        <v>243</v>
      </c>
      <c r="BW1152" s="2" t="s">
        <v>235</v>
      </c>
      <c r="BX1152" s="2" t="s">
        <v>4145</v>
      </c>
      <c r="BY1152" s="2" t="s">
        <v>245</v>
      </c>
      <c r="BZ1152" s="2" t="s">
        <v>232</v>
      </c>
      <c r="CA1152" s="2" t="s">
        <v>4054</v>
      </c>
      <c r="CB1152" s="2" t="s">
        <v>4577</v>
      </c>
      <c r="CC1152" s="2" t="s">
        <v>248</v>
      </c>
      <c r="CD1152" s="2" t="s">
        <v>248</v>
      </c>
      <c r="CE1152" s="2" t="s">
        <v>235</v>
      </c>
      <c r="CF1152" s="4">
        <v>298</v>
      </c>
      <c r="CG1152" s="4">
        <v>12</v>
      </c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>
        <v>333</v>
      </c>
      <c r="GE1152" s="4">
        <v>305</v>
      </c>
      <c r="GF1152" s="4">
        <v>291</v>
      </c>
      <c r="GG1152" s="4">
        <v>281</v>
      </c>
      <c r="GH1152" s="4">
        <v>271</v>
      </c>
      <c r="GI1152" s="4">
        <v>252</v>
      </c>
      <c r="GJ1152" s="4">
        <v>224</v>
      </c>
      <c r="GK1152" s="4">
        <v>205</v>
      </c>
      <c r="GL1152" s="4">
        <v>182</v>
      </c>
      <c r="GM1152" s="4">
        <v>166</v>
      </c>
      <c r="GN1152" s="4">
        <v>156</v>
      </c>
      <c r="GO1152" s="4">
        <v>138</v>
      </c>
      <c r="GP1152" s="4">
        <v>115</v>
      </c>
      <c r="GQ1152" s="4">
        <v>93</v>
      </c>
      <c r="GR1152" s="4">
        <v>61</v>
      </c>
      <c r="GS1152" s="4">
        <v>33</v>
      </c>
      <c r="GT1152" s="4">
        <v>6</v>
      </c>
      <c r="GU1152" s="4"/>
      <c r="GV1152" s="4"/>
      <c r="GW1152" s="4">
        <v>314</v>
      </c>
      <c r="GX1152" s="4">
        <v>295</v>
      </c>
      <c r="GY1152" s="4">
        <v>290</v>
      </c>
      <c r="GZ1152" s="4">
        <v>283</v>
      </c>
      <c r="HA1152" s="4">
        <v>276</v>
      </c>
      <c r="HB1152" s="4">
        <v>269</v>
      </c>
      <c r="HC1152" s="4">
        <v>261</v>
      </c>
      <c r="HD1152" s="19">
        <v>20.8</v>
      </c>
      <c r="HE1152" s="19">
        <v>23.5</v>
      </c>
      <c r="HF1152" s="19">
        <v>17.1</v>
      </c>
      <c r="HG1152" s="19">
        <v>14.8</v>
      </c>
      <c r="HH1152" s="19">
        <v>12.3</v>
      </c>
      <c r="HI1152" s="19">
        <v>11.5</v>
      </c>
      <c r="HJ1152" s="19">
        <v>13.2</v>
      </c>
      <c r="HK1152" s="19">
        <v>12.1</v>
      </c>
      <c r="HL1152" s="19">
        <v>10.7</v>
      </c>
      <c r="HM1152" s="19">
        <v>9.2</v>
      </c>
      <c r="HN1152" s="19">
        <v>6.5</v>
      </c>
      <c r="HO1152" s="19">
        <v>5.3</v>
      </c>
      <c r="HP1152" s="19">
        <v>4.3</v>
      </c>
      <c r="HQ1152" s="19">
        <v>3.9</v>
      </c>
      <c r="HR1152" s="19">
        <v>3.6</v>
      </c>
      <c r="HS1152" s="19">
        <v>3</v>
      </c>
      <c r="HT1152" s="19">
        <v>0.7</v>
      </c>
      <c r="HU1152" s="20">
        <v>0</v>
      </c>
      <c r="HV1152" s="20">
        <v>0</v>
      </c>
      <c r="HW1152" s="19">
        <v>31.4</v>
      </c>
      <c r="HX1152" s="19">
        <v>49.2</v>
      </c>
      <c r="HY1152" s="19">
        <v>41.4</v>
      </c>
      <c r="HZ1152" s="19">
        <v>40.4</v>
      </c>
      <c r="IA1152" s="19">
        <v>46</v>
      </c>
      <c r="IB1152" s="19">
        <v>44.8</v>
      </c>
      <c r="IC1152" s="19">
        <v>52.2</v>
      </c>
    </row>
    <row r="1153">
      <c r="A1153" s="2" t="s">
        <v>4578</v>
      </c>
      <c r="B1153" s="2" t="s">
        <v>905</v>
      </c>
      <c r="C1153" s="2" t="s">
        <v>980</v>
      </c>
      <c r="D1153" s="2" t="s">
        <v>1177</v>
      </c>
      <c r="E1153" s="2" t="s">
        <v>2747</v>
      </c>
      <c r="F1153" s="2" t="s">
        <v>4579</v>
      </c>
      <c r="G1153" s="2" t="s">
        <v>4579</v>
      </c>
      <c r="H1153" s="2" t="s">
        <v>235</v>
      </c>
      <c r="I1153" s="2" t="s">
        <v>982</v>
      </c>
      <c r="J1153" s="2" t="s">
        <v>394</v>
      </c>
      <c r="K1153" s="2" t="s">
        <v>1333</v>
      </c>
      <c r="L1153" s="3">
        <v>54.64</v>
      </c>
      <c r="M1153" s="3">
        <v>57.37</v>
      </c>
      <c r="N1153" s="3">
        <v>109.99</v>
      </c>
      <c r="O1153" s="2" t="s">
        <v>407</v>
      </c>
      <c r="P1153" s="2" t="s">
        <v>408</v>
      </c>
      <c r="Q1153" s="2" t="s">
        <v>234</v>
      </c>
      <c r="R1153" s="2" t="s">
        <v>235</v>
      </c>
      <c r="S1153" s="2" t="s">
        <v>4580</v>
      </c>
      <c r="T1153" s="2" t="s">
        <v>1081</v>
      </c>
      <c r="U1153" s="2" t="s">
        <v>235</v>
      </c>
      <c r="V1153" s="2" t="s">
        <v>238</v>
      </c>
      <c r="W1153" s="2" t="s">
        <v>239</v>
      </c>
      <c r="X1153" s="2" t="s">
        <v>235</v>
      </c>
      <c r="Y1153" s="2" t="s">
        <v>240</v>
      </c>
      <c r="Z1153" s="4">
        <v>29</v>
      </c>
      <c r="AA1153" s="4">
        <f>=ROUNDDOWN(4.67741935483871,0)</f>
      </c>
      <c r="AB1153" s="5">
        <v>6.2</v>
      </c>
      <c r="AC1153" s="2" t="s">
        <v>235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235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235</v>
      </c>
      <c r="AW1153" s="8" t="s">
        <v>235</v>
      </c>
      <c r="AX1153" s="4" t="s">
        <v>235</v>
      </c>
      <c r="AY1153" s="8" t="s">
        <v>235</v>
      </c>
      <c r="AZ1153" s="7" t="s">
        <v>235</v>
      </c>
      <c r="BA1153" s="7" t="s">
        <v>235</v>
      </c>
      <c r="BB1153" s="7"/>
      <c r="BC1153" s="4" t="s">
        <v>235</v>
      </c>
      <c r="BD1153" s="8" t="s">
        <v>235</v>
      </c>
      <c r="BE1153" s="4" t="s">
        <v>235</v>
      </c>
      <c r="BF1153" s="8" t="s">
        <v>235</v>
      </c>
      <c r="BG1153" s="7" t="s">
        <v>235</v>
      </c>
      <c r="BH1153" s="7" t="s">
        <v>235</v>
      </c>
      <c r="BI1153" s="7"/>
      <c r="BJ1153" s="4">
        <v>5</v>
      </c>
      <c r="BK1153" s="8">
        <v>253.44</v>
      </c>
      <c r="BL1153" s="2" t="s">
        <v>4581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4582</v>
      </c>
      <c r="BV1153" s="2" t="s">
        <v>243</v>
      </c>
      <c r="BW1153" s="2" t="s">
        <v>235</v>
      </c>
      <c r="BX1153" s="2" t="s">
        <v>414</v>
      </c>
      <c r="BY1153" s="2" t="s">
        <v>245</v>
      </c>
      <c r="BZ1153" s="2" t="s">
        <v>232</v>
      </c>
      <c r="CA1153" s="2" t="s">
        <v>4498</v>
      </c>
      <c r="CB1153" s="2" t="s">
        <v>4460</v>
      </c>
      <c r="CC1153" s="2" t="s">
        <v>248</v>
      </c>
      <c r="CD1153" s="2" t="s">
        <v>248</v>
      </c>
      <c r="CE1153" s="2" t="s">
        <v>235</v>
      </c>
      <c r="CF1153" s="4">
        <v>29</v>
      </c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>
        <v>29</v>
      </c>
      <c r="GE1153" s="4">
        <v>27</v>
      </c>
      <c r="GF1153" s="4">
        <v>26</v>
      </c>
      <c r="GG1153" s="4">
        <v>23</v>
      </c>
      <c r="GH1153" s="4">
        <v>18</v>
      </c>
      <c r="GI1153" s="4">
        <v>14</v>
      </c>
      <c r="GJ1153" s="4">
        <v>6</v>
      </c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19">
        <v>9.7</v>
      </c>
      <c r="HE1153" s="19">
        <v>9</v>
      </c>
      <c r="HF1153" s="19">
        <v>5.2</v>
      </c>
      <c r="HG1153" s="19">
        <v>3.8</v>
      </c>
      <c r="HH1153" s="19">
        <v>3</v>
      </c>
      <c r="HI1153" s="19">
        <v>2</v>
      </c>
      <c r="HJ1153" s="19">
        <v>0.9</v>
      </c>
      <c r="HK1153" s="20">
        <v>0</v>
      </c>
      <c r="HL1153" s="20">
        <v>0</v>
      </c>
      <c r="HM1153" s="20">
        <v>0</v>
      </c>
      <c r="HN1153" s="20">
        <v>0</v>
      </c>
      <c r="HO1153" s="20">
        <v>0</v>
      </c>
      <c r="HP1153" s="20">
        <v>0</v>
      </c>
      <c r="HQ1153" s="20">
        <v>0</v>
      </c>
      <c r="HR1153" s="20">
        <v>0</v>
      </c>
      <c r="HS1153" s="20">
        <v>0</v>
      </c>
      <c r="HT1153" s="20">
        <v>0</v>
      </c>
      <c r="HU1153" s="20">
        <v>0</v>
      </c>
      <c r="HV1153" s="20">
        <v>0</v>
      </c>
      <c r="HW1153" s="20">
        <v>0</v>
      </c>
      <c r="HX1153" s="20">
        <v>0</v>
      </c>
      <c r="HY1153" s="20">
        <v>0</v>
      </c>
      <c r="HZ1153" s="20">
        <v>0</v>
      </c>
      <c r="IA1153" s="20">
        <v>0</v>
      </c>
      <c r="IB1153" s="20">
        <v>0</v>
      </c>
      <c r="IC1153" s="20">
        <v>0</v>
      </c>
    </row>
    <row r="1154">
      <c r="A1154" s="2" t="s">
        <v>4583</v>
      </c>
      <c r="B1154" s="2" t="s">
        <v>905</v>
      </c>
      <c r="C1154" s="2" t="s">
        <v>980</v>
      </c>
      <c r="D1154" s="2" t="s">
        <v>1177</v>
      </c>
      <c r="E1154" s="2" t="s">
        <v>2747</v>
      </c>
      <c r="F1154" s="2" t="s">
        <v>4579</v>
      </c>
      <c r="G1154" s="2" t="s">
        <v>4579</v>
      </c>
      <c r="H1154" s="2" t="s">
        <v>235</v>
      </c>
      <c r="I1154" s="2" t="s">
        <v>982</v>
      </c>
      <c r="J1154" s="2" t="s">
        <v>250</v>
      </c>
      <c r="K1154" s="2" t="s">
        <v>1333</v>
      </c>
      <c r="L1154" s="3">
        <v>59.61</v>
      </c>
      <c r="M1154" s="3">
        <v>62.59</v>
      </c>
      <c r="N1154" s="3">
        <v>119.99</v>
      </c>
      <c r="O1154" s="2" t="s">
        <v>407</v>
      </c>
      <c r="P1154" s="2" t="s">
        <v>408</v>
      </c>
      <c r="Q1154" s="2" t="s">
        <v>234</v>
      </c>
      <c r="R1154" s="2" t="s">
        <v>235</v>
      </c>
      <c r="S1154" s="2" t="s">
        <v>4580</v>
      </c>
      <c r="T1154" s="2" t="s">
        <v>1081</v>
      </c>
      <c r="U1154" s="2" t="s">
        <v>235</v>
      </c>
      <c r="V1154" s="2" t="s">
        <v>238</v>
      </c>
      <c r="W1154" s="2" t="s">
        <v>239</v>
      </c>
      <c r="X1154" s="2" t="s">
        <v>235</v>
      </c>
      <c r="Y1154" s="2" t="s">
        <v>240</v>
      </c>
      <c r="Z1154" s="4">
        <v>9</v>
      </c>
      <c r="AA1154" s="4">
        <f>=ROUNDDOWN(2.57142857142857,0)</f>
      </c>
      <c r="AB1154" s="5">
        <v>3.5</v>
      </c>
      <c r="AC1154" s="2" t="s">
        <v>235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235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235</v>
      </c>
      <c r="AW1154" s="8" t="s">
        <v>235</v>
      </c>
      <c r="AX1154" s="4" t="s">
        <v>235</v>
      </c>
      <c r="AY1154" s="8" t="s">
        <v>235</v>
      </c>
      <c r="AZ1154" s="7" t="s">
        <v>235</v>
      </c>
      <c r="BA1154" s="7" t="s">
        <v>235</v>
      </c>
      <c r="BB1154" s="7"/>
      <c r="BC1154" s="4" t="s">
        <v>235</v>
      </c>
      <c r="BD1154" s="8" t="s">
        <v>235</v>
      </c>
      <c r="BE1154" s="4" t="s">
        <v>235</v>
      </c>
      <c r="BF1154" s="8" t="s">
        <v>235</v>
      </c>
      <c r="BG1154" s="7" t="s">
        <v>235</v>
      </c>
      <c r="BH1154" s="7" t="s">
        <v>235</v>
      </c>
      <c r="BI1154" s="7"/>
      <c r="BJ1154" s="4">
        <v>3</v>
      </c>
      <c r="BK1154" s="8">
        <v>144.81</v>
      </c>
      <c r="BL1154" s="2" t="s">
        <v>4581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4582</v>
      </c>
      <c r="BV1154" s="2" t="s">
        <v>243</v>
      </c>
      <c r="BW1154" s="2" t="s">
        <v>235</v>
      </c>
      <c r="BX1154" s="2" t="s">
        <v>414</v>
      </c>
      <c r="BY1154" s="2" t="s">
        <v>245</v>
      </c>
      <c r="BZ1154" s="2" t="s">
        <v>232</v>
      </c>
      <c r="CA1154" s="2" t="s">
        <v>4498</v>
      </c>
      <c r="CB1154" s="2" t="s">
        <v>4584</v>
      </c>
      <c r="CC1154" s="2" t="s">
        <v>248</v>
      </c>
      <c r="CD1154" s="2" t="s">
        <v>248</v>
      </c>
      <c r="CE1154" s="2" t="s">
        <v>235</v>
      </c>
      <c r="CF1154" s="4">
        <v>9</v>
      </c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>
        <v>10</v>
      </c>
      <c r="GE1154" s="4">
        <v>4</v>
      </c>
      <c r="GF1154" s="4">
        <v>2</v>
      </c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19">
        <v>3.3</v>
      </c>
      <c r="HE1154" s="19">
        <v>2</v>
      </c>
      <c r="HF1154" s="19">
        <v>0.7</v>
      </c>
      <c r="HG1154" s="20">
        <v>0</v>
      </c>
      <c r="HH1154" s="20">
        <v>0</v>
      </c>
      <c r="HI1154" s="20">
        <v>0</v>
      </c>
      <c r="HJ1154" s="20">
        <v>0</v>
      </c>
      <c r="HK1154" s="20">
        <v>0</v>
      </c>
      <c r="HL1154" s="20">
        <v>0</v>
      </c>
      <c r="HM1154" s="20">
        <v>0</v>
      </c>
      <c r="HN1154" s="20">
        <v>0</v>
      </c>
      <c r="HO1154" s="20">
        <v>0</v>
      </c>
      <c r="HP1154" s="20">
        <v>0</v>
      </c>
      <c r="HQ1154" s="20">
        <v>0</v>
      </c>
      <c r="HR1154" s="20">
        <v>0</v>
      </c>
      <c r="HS1154" s="20">
        <v>0</v>
      </c>
      <c r="HT1154" s="20">
        <v>0</v>
      </c>
      <c r="HU1154" s="20">
        <v>0</v>
      </c>
      <c r="HV1154" s="20">
        <v>0</v>
      </c>
      <c r="HW1154" s="20">
        <v>0</v>
      </c>
      <c r="HX1154" s="20">
        <v>0</v>
      </c>
      <c r="HY1154" s="20">
        <v>0</v>
      </c>
      <c r="HZ1154" s="20">
        <v>0</v>
      </c>
      <c r="IA1154" s="20">
        <v>0</v>
      </c>
      <c r="IB1154" s="20">
        <v>0</v>
      </c>
      <c r="IC1154" s="20">
        <v>0</v>
      </c>
    </row>
    <row r="1155">
      <c r="A1155" s="2" t="s">
        <v>4585</v>
      </c>
      <c r="B1155" s="2" t="s">
        <v>905</v>
      </c>
      <c r="C1155" s="2" t="s">
        <v>980</v>
      </c>
      <c r="D1155" s="2" t="s">
        <v>1177</v>
      </c>
      <c r="E1155" s="2" t="s">
        <v>2747</v>
      </c>
      <c r="F1155" s="2" t="s">
        <v>4579</v>
      </c>
      <c r="G1155" s="2" t="s">
        <v>4579</v>
      </c>
      <c r="H1155" s="2" t="s">
        <v>235</v>
      </c>
      <c r="I1155" s="2" t="s">
        <v>982</v>
      </c>
      <c r="J1155" s="2" t="s">
        <v>250</v>
      </c>
      <c r="K1155" s="2" t="s">
        <v>4586</v>
      </c>
      <c r="L1155" s="3">
        <v>59.61</v>
      </c>
      <c r="M1155" s="3">
        <v>62.59</v>
      </c>
      <c r="N1155" s="3">
        <v>119.99</v>
      </c>
      <c r="O1155" s="2" t="s">
        <v>407</v>
      </c>
      <c r="P1155" s="2" t="s">
        <v>408</v>
      </c>
      <c r="Q1155" s="2" t="s">
        <v>234</v>
      </c>
      <c r="R1155" s="2" t="s">
        <v>235</v>
      </c>
      <c r="S1155" s="2" t="s">
        <v>4587</v>
      </c>
      <c r="T1155" s="2" t="s">
        <v>1081</v>
      </c>
      <c r="U1155" s="2" t="s">
        <v>235</v>
      </c>
      <c r="V1155" s="2" t="s">
        <v>238</v>
      </c>
      <c r="W1155" s="2" t="s">
        <v>239</v>
      </c>
      <c r="X1155" s="2" t="s">
        <v>235</v>
      </c>
      <c r="Y1155" s="2" t="s">
        <v>240</v>
      </c>
      <c r="Z1155" s="4">
        <v>56</v>
      </c>
      <c r="AA1155" s="4">
        <f>=ROUNDDOWN(18.6666666666667,0)</f>
      </c>
      <c r="AB1155" s="5">
        <v>3</v>
      </c>
      <c r="AC1155" s="2" t="s">
        <v>235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235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235</v>
      </c>
      <c r="BD1155" s="8" t="s">
        <v>235</v>
      </c>
      <c r="BE1155" s="4" t="s">
        <v>235</v>
      </c>
      <c r="BF1155" s="8" t="s">
        <v>235</v>
      </c>
      <c r="BG1155" s="7" t="s">
        <v>235</v>
      </c>
      <c r="BH1155" s="7" t="s">
        <v>235</v>
      </c>
      <c r="BI1155" s="7"/>
      <c r="BJ1155" s="4">
        <v>4</v>
      </c>
      <c r="BK1155" s="8">
        <v>194.05</v>
      </c>
      <c r="BL1155" s="2" t="s">
        <v>4588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4582</v>
      </c>
      <c r="BV1155" s="2" t="s">
        <v>243</v>
      </c>
      <c r="BW1155" s="2" t="s">
        <v>235</v>
      </c>
      <c r="BX1155" s="2" t="s">
        <v>414</v>
      </c>
      <c r="BY1155" s="2" t="s">
        <v>245</v>
      </c>
      <c r="BZ1155" s="2" t="s">
        <v>232</v>
      </c>
      <c r="CA1155" s="2" t="s">
        <v>4498</v>
      </c>
      <c r="CB1155" s="2" t="s">
        <v>4589</v>
      </c>
      <c r="CC1155" s="2" t="s">
        <v>248</v>
      </c>
      <c r="CD1155" s="2" t="s">
        <v>248</v>
      </c>
      <c r="CE1155" s="2" t="s">
        <v>235</v>
      </c>
      <c r="CF1155" s="4">
        <v>56</v>
      </c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>
        <v>58</v>
      </c>
      <c r="GE1155" s="4">
        <v>56</v>
      </c>
      <c r="GF1155" s="4">
        <v>56</v>
      </c>
      <c r="GG1155" s="4">
        <v>55</v>
      </c>
      <c r="GH1155" s="4">
        <v>54</v>
      </c>
      <c r="GI1155" s="4">
        <v>53</v>
      </c>
      <c r="GJ1155" s="4">
        <v>50</v>
      </c>
      <c r="GK1155" s="4">
        <v>47</v>
      </c>
      <c r="GL1155" s="4">
        <v>46</v>
      </c>
      <c r="GM1155" s="4">
        <v>44</v>
      </c>
      <c r="GN1155" s="4">
        <v>42</v>
      </c>
      <c r="GO1155" s="4">
        <v>39</v>
      </c>
      <c r="GP1155" s="4">
        <v>36</v>
      </c>
      <c r="GQ1155" s="4">
        <v>30</v>
      </c>
      <c r="GR1155" s="4">
        <v>26</v>
      </c>
      <c r="GS1155" s="4">
        <v>20</v>
      </c>
      <c r="GT1155" s="4">
        <v>17</v>
      </c>
      <c r="GU1155" s="4">
        <v>15</v>
      </c>
      <c r="GV1155" s="4">
        <v>12</v>
      </c>
      <c r="GW1155" s="4">
        <v>9</v>
      </c>
      <c r="GX1155" s="4">
        <v>6</v>
      </c>
      <c r="GY1155" s="4">
        <v>5</v>
      </c>
      <c r="GZ1155" s="4">
        <v>2</v>
      </c>
      <c r="HA1155" s="4"/>
      <c r="HB1155" s="4"/>
      <c r="HC1155" s="4"/>
      <c r="HD1155" s="19">
        <v>58</v>
      </c>
      <c r="HE1155" s="19">
        <v>56</v>
      </c>
      <c r="HF1155" s="19">
        <v>28</v>
      </c>
      <c r="HG1155" s="19">
        <v>27.5</v>
      </c>
      <c r="HH1155" s="19">
        <v>27</v>
      </c>
      <c r="HI1155" s="19">
        <v>26.5</v>
      </c>
      <c r="HJ1155" s="19">
        <v>25</v>
      </c>
      <c r="HK1155" s="19">
        <v>23.5</v>
      </c>
      <c r="HL1155" s="19">
        <v>23</v>
      </c>
      <c r="HM1155" s="19">
        <v>11</v>
      </c>
      <c r="HN1155" s="19">
        <v>10.5</v>
      </c>
      <c r="HO1155" s="19">
        <v>7.8</v>
      </c>
      <c r="HP1155" s="19">
        <v>7.2</v>
      </c>
      <c r="HQ1155" s="19">
        <v>7.5</v>
      </c>
      <c r="HR1155" s="19">
        <v>6.5</v>
      </c>
      <c r="HS1155" s="19">
        <v>6.7</v>
      </c>
      <c r="HT1155" s="19">
        <v>5.7</v>
      </c>
      <c r="HU1155" s="19">
        <v>7.5</v>
      </c>
      <c r="HV1155" s="19">
        <v>6</v>
      </c>
      <c r="HW1155" s="19">
        <v>4.5</v>
      </c>
      <c r="HX1155" s="19">
        <v>3</v>
      </c>
      <c r="HY1155" s="19">
        <v>2.5</v>
      </c>
      <c r="HZ1155" s="19">
        <v>1</v>
      </c>
      <c r="IA1155" s="20">
        <v>0</v>
      </c>
      <c r="IB1155" s="20">
        <v>0</v>
      </c>
      <c r="IC1155" s="20">
        <v>0</v>
      </c>
    </row>
    <row r="1156">
      <c r="A1156" s="2" t="s">
        <v>4590</v>
      </c>
      <c r="B1156" s="2" t="s">
        <v>905</v>
      </c>
      <c r="C1156" s="2" t="s">
        <v>980</v>
      </c>
      <c r="D1156" s="2" t="s">
        <v>1177</v>
      </c>
      <c r="E1156" s="2" t="s">
        <v>2747</v>
      </c>
      <c r="F1156" s="2" t="s">
        <v>4579</v>
      </c>
      <c r="G1156" s="2" t="s">
        <v>4579</v>
      </c>
      <c r="H1156" s="2" t="s">
        <v>235</v>
      </c>
      <c r="I1156" s="2" t="s">
        <v>982</v>
      </c>
      <c r="J1156" s="2" t="s">
        <v>250</v>
      </c>
      <c r="K1156" s="2" t="s">
        <v>4591</v>
      </c>
      <c r="L1156" s="3">
        <v>59.61</v>
      </c>
      <c r="M1156" s="3">
        <v>62.59</v>
      </c>
      <c r="N1156" s="3">
        <v>119.99</v>
      </c>
      <c r="O1156" s="2" t="s">
        <v>407</v>
      </c>
      <c r="P1156" s="2" t="s">
        <v>408</v>
      </c>
      <c r="Q1156" s="2" t="s">
        <v>234</v>
      </c>
      <c r="R1156" s="2" t="s">
        <v>235</v>
      </c>
      <c r="S1156" s="2" t="s">
        <v>4592</v>
      </c>
      <c r="T1156" s="2" t="s">
        <v>1081</v>
      </c>
      <c r="U1156" s="2" t="s">
        <v>235</v>
      </c>
      <c r="V1156" s="2" t="s">
        <v>238</v>
      </c>
      <c r="W1156" s="2" t="s">
        <v>239</v>
      </c>
      <c r="X1156" s="2" t="s">
        <v>235</v>
      </c>
      <c r="Y1156" s="2" t="s">
        <v>240</v>
      </c>
      <c r="Z1156" s="4">
        <v>151</v>
      </c>
      <c r="AA1156" s="4">
        <f>=ROUNDDOWN(75.5,0)</f>
      </c>
      <c r="AB1156" s="5">
        <v>2</v>
      </c>
      <c r="AC1156" s="2" t="s">
        <v>235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235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235</v>
      </c>
      <c r="BD1156" s="8" t="s">
        <v>235</v>
      </c>
      <c r="BE1156" s="4" t="s">
        <v>235</v>
      </c>
      <c r="BF1156" s="8" t="s">
        <v>235</v>
      </c>
      <c r="BG1156" s="7" t="s">
        <v>235</v>
      </c>
      <c r="BH1156" s="7" t="s">
        <v>235</v>
      </c>
      <c r="BI1156" s="7"/>
      <c r="BJ1156" s="4">
        <v>13</v>
      </c>
      <c r="BK1156" s="8">
        <v>650.9</v>
      </c>
      <c r="BL1156" s="2" t="s">
        <v>544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4582</v>
      </c>
      <c r="BV1156" s="2" t="s">
        <v>243</v>
      </c>
      <c r="BW1156" s="2" t="s">
        <v>235</v>
      </c>
      <c r="BX1156" s="2" t="s">
        <v>414</v>
      </c>
      <c r="BY1156" s="2" t="s">
        <v>245</v>
      </c>
      <c r="BZ1156" s="2" t="s">
        <v>232</v>
      </c>
      <c r="CA1156" s="2" t="s">
        <v>4498</v>
      </c>
      <c r="CB1156" s="2" t="s">
        <v>4593</v>
      </c>
      <c r="CC1156" s="2" t="s">
        <v>248</v>
      </c>
      <c r="CD1156" s="2" t="s">
        <v>248</v>
      </c>
      <c r="CE1156" s="2" t="s">
        <v>235</v>
      </c>
      <c r="CF1156" s="4">
        <v>151</v>
      </c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>
        <v>157</v>
      </c>
      <c r="GE1156" s="4">
        <v>155</v>
      </c>
      <c r="GF1156" s="4">
        <v>152</v>
      </c>
      <c r="GG1156" s="4">
        <v>149</v>
      </c>
      <c r="GH1156" s="4">
        <v>146</v>
      </c>
      <c r="GI1156" s="4">
        <v>142</v>
      </c>
      <c r="GJ1156" s="4">
        <v>134</v>
      </c>
      <c r="GK1156" s="4">
        <v>128</v>
      </c>
      <c r="GL1156" s="4">
        <v>123</v>
      </c>
      <c r="GM1156" s="4">
        <v>118</v>
      </c>
      <c r="GN1156" s="4">
        <v>115</v>
      </c>
      <c r="GO1156" s="4">
        <v>110</v>
      </c>
      <c r="GP1156" s="4">
        <v>106</v>
      </c>
      <c r="GQ1156" s="4">
        <v>98</v>
      </c>
      <c r="GR1156" s="4">
        <v>93</v>
      </c>
      <c r="GS1156" s="4">
        <v>88</v>
      </c>
      <c r="GT1156" s="4">
        <v>86</v>
      </c>
      <c r="GU1156" s="4">
        <v>85</v>
      </c>
      <c r="GV1156" s="4">
        <v>83</v>
      </c>
      <c r="GW1156" s="4">
        <v>81</v>
      </c>
      <c r="GX1156" s="4">
        <v>79</v>
      </c>
      <c r="GY1156" s="4">
        <v>78</v>
      </c>
      <c r="GZ1156" s="4">
        <v>76</v>
      </c>
      <c r="HA1156" s="4">
        <v>74</v>
      </c>
      <c r="HB1156" s="4">
        <v>73</v>
      </c>
      <c r="HC1156" s="4">
        <v>71</v>
      </c>
      <c r="HD1156" s="19">
        <v>52.3</v>
      </c>
      <c r="HE1156" s="19">
        <v>51.7</v>
      </c>
      <c r="HF1156" s="19">
        <v>38</v>
      </c>
      <c r="HG1156" s="19">
        <v>29.8</v>
      </c>
      <c r="HH1156" s="19">
        <v>24.3</v>
      </c>
      <c r="HI1156" s="19">
        <v>23.7</v>
      </c>
      <c r="HJ1156" s="19">
        <v>26.8</v>
      </c>
      <c r="HK1156" s="19">
        <v>32</v>
      </c>
      <c r="HL1156" s="19">
        <v>30.8</v>
      </c>
      <c r="HM1156" s="19">
        <v>23.6</v>
      </c>
      <c r="HN1156" s="19">
        <v>19.2</v>
      </c>
      <c r="HO1156" s="19">
        <v>18.3</v>
      </c>
      <c r="HP1156" s="19">
        <v>21.2</v>
      </c>
      <c r="HQ1156" s="19">
        <v>32.7</v>
      </c>
      <c r="HR1156" s="19">
        <v>46.5</v>
      </c>
      <c r="HS1156" s="19">
        <v>44</v>
      </c>
      <c r="HT1156" s="19">
        <v>43</v>
      </c>
      <c r="HU1156" s="19">
        <v>42.5</v>
      </c>
      <c r="HV1156" s="19">
        <v>41.5</v>
      </c>
      <c r="HW1156" s="19">
        <v>40.5</v>
      </c>
      <c r="HX1156" s="19">
        <v>39.5</v>
      </c>
      <c r="HY1156" s="19">
        <v>39</v>
      </c>
      <c r="HZ1156" s="19">
        <v>38</v>
      </c>
      <c r="IA1156" s="19">
        <v>74</v>
      </c>
      <c r="IB1156" s="19">
        <v>73</v>
      </c>
      <c r="IC1156" s="19">
        <v>71</v>
      </c>
    </row>
    <row r="1157">
      <c r="A1157" s="2" t="s">
        <v>4594</v>
      </c>
      <c r="B1157" s="2" t="s">
        <v>871</v>
      </c>
      <c r="C1157" s="2" t="s">
        <v>403</v>
      </c>
      <c r="D1157" s="2" t="s">
        <v>361</v>
      </c>
      <c r="E1157" s="2" t="s">
        <v>872</v>
      </c>
      <c r="F1157" s="2" t="s">
        <v>4595</v>
      </c>
      <c r="G1157" s="2" t="s">
        <v>4596</v>
      </c>
      <c r="H1157" s="2" t="s">
        <v>4597</v>
      </c>
      <c r="I1157" s="2" t="s">
        <v>4598</v>
      </c>
      <c r="J1157" s="2" t="s">
        <v>394</v>
      </c>
      <c r="K1157" s="2" t="s">
        <v>4599</v>
      </c>
      <c r="L1157" s="3">
        <v>33.32</v>
      </c>
      <c r="M1157" s="3">
        <v>35</v>
      </c>
      <c r="N1157" s="3">
        <v>69.99</v>
      </c>
      <c r="O1157" s="2" t="s">
        <v>232</v>
      </c>
      <c r="P1157" s="2" t="s">
        <v>262</v>
      </c>
      <c r="Q1157" s="2" t="s">
        <v>234</v>
      </c>
      <c r="R1157" s="2" t="s">
        <v>235</v>
      </c>
      <c r="S1157" s="2" t="s">
        <v>235</v>
      </c>
      <c r="T1157" s="2" t="s">
        <v>879</v>
      </c>
      <c r="U1157" s="2" t="s">
        <v>282</v>
      </c>
      <c r="V1157" s="2" t="s">
        <v>1843</v>
      </c>
      <c r="W1157" s="2" t="s">
        <v>881</v>
      </c>
      <c r="X1157" s="2" t="s">
        <v>882</v>
      </c>
      <c r="Y1157" s="2" t="s">
        <v>235</v>
      </c>
      <c r="Z1157" s="4"/>
      <c r="AA1157" s="4">
        <f>=ROUNDDOWN({0},0)</f>
      </c>
      <c r="AB1157" s="5"/>
      <c r="AC1157" s="2" t="s">
        <v>2985</v>
      </c>
      <c r="AD1157" s="4">
        <v>140</v>
      </c>
      <c r="AE1157" s="4">
        <v>140</v>
      </c>
      <c r="AF1157" s="6">
        <v>31</v>
      </c>
      <c r="AG1157" s="6"/>
      <c r="AH1157" s="7"/>
      <c r="AI1157" s="4"/>
      <c r="AJ1157" s="4">
        <f>=ROUNDDOWN({0},0)</f>
      </c>
      <c r="AK1157" s="5"/>
      <c r="AL1157" s="2" t="s">
        <v>235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235</v>
      </c>
      <c r="AW1157" s="8" t="s">
        <v>235</v>
      </c>
      <c r="AX1157" s="4" t="s">
        <v>235</v>
      </c>
      <c r="AY1157" s="8" t="s">
        <v>235</v>
      </c>
      <c r="AZ1157" s="7" t="s">
        <v>235</v>
      </c>
      <c r="BA1157" s="7" t="s">
        <v>235</v>
      </c>
      <c r="BB1157" s="7"/>
      <c r="BC1157" s="4" t="s">
        <v>235</v>
      </c>
      <c r="BD1157" s="8" t="s">
        <v>235</v>
      </c>
      <c r="BE1157" s="4" t="s">
        <v>235</v>
      </c>
      <c r="BF1157" s="8" t="s">
        <v>235</v>
      </c>
      <c r="BG1157" s="7" t="s">
        <v>235</v>
      </c>
      <c r="BH1157" s="7" t="s">
        <v>235</v>
      </c>
      <c r="BI1157" s="7"/>
      <c r="BJ1157" s="4"/>
      <c r="BK1157" s="8"/>
      <c r="BL1157" s="2" t="s">
        <v>235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330</v>
      </c>
      <c r="BV1157" s="2" t="s">
        <v>235</v>
      </c>
      <c r="BW1157" s="2" t="s">
        <v>235</v>
      </c>
      <c r="BX1157" s="2" t="s">
        <v>330</v>
      </c>
      <c r="BY1157" s="2" t="s">
        <v>331</v>
      </c>
      <c r="BZ1157" s="2" t="s">
        <v>232</v>
      </c>
      <c r="CA1157" s="2" t="s">
        <v>235</v>
      </c>
      <c r="CB1157" s="2" t="s">
        <v>235</v>
      </c>
      <c r="CC1157" s="2" t="s">
        <v>248</v>
      </c>
      <c r="CD1157" s="2" t="s">
        <v>248</v>
      </c>
      <c r="CE1157" s="2" t="s">
        <v>235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>
        <v>140</v>
      </c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>
        <v>140</v>
      </c>
      <c r="GI1157" s="4">
        <v>140</v>
      </c>
      <c r="GJ1157" s="4">
        <v>138</v>
      </c>
      <c r="GK1157" s="4">
        <v>138</v>
      </c>
      <c r="GL1157" s="4">
        <v>137</v>
      </c>
      <c r="GM1157" s="4">
        <v>137</v>
      </c>
      <c r="GN1157" s="4">
        <v>136</v>
      </c>
      <c r="GO1157" s="4">
        <v>134</v>
      </c>
      <c r="GP1157" s="4">
        <v>131</v>
      </c>
      <c r="GQ1157" s="4">
        <v>128</v>
      </c>
      <c r="GR1157" s="4">
        <v>125</v>
      </c>
      <c r="GS1157" s="4">
        <v>118</v>
      </c>
      <c r="GT1157" s="4">
        <v>111</v>
      </c>
      <c r="GU1157" s="4">
        <v>107</v>
      </c>
      <c r="GV1157" s="4">
        <v>104</v>
      </c>
      <c r="GW1157" s="4">
        <v>100</v>
      </c>
      <c r="GX1157" s="4">
        <v>95</v>
      </c>
      <c r="GY1157" s="4">
        <v>94</v>
      </c>
      <c r="GZ1157" s="4">
        <v>90</v>
      </c>
      <c r="HA1157" s="4">
        <v>87</v>
      </c>
      <c r="HB1157" s="4">
        <v>83</v>
      </c>
      <c r="HC1157" s="4">
        <v>72</v>
      </c>
      <c r="HD1157" s="9"/>
      <c r="HE1157" s="9"/>
      <c r="HF1157" s="9"/>
      <c r="HG1157" s="9"/>
      <c r="HH1157" s="19">
        <v>140</v>
      </c>
      <c r="HI1157" s="19">
        <v>140</v>
      </c>
      <c r="HJ1157" s="9"/>
      <c r="HK1157" s="19">
        <v>138</v>
      </c>
      <c r="HL1157" s="19">
        <v>68.5</v>
      </c>
      <c r="HM1157" s="19">
        <v>68.5</v>
      </c>
      <c r="HN1157" s="19">
        <v>45.3</v>
      </c>
      <c r="HO1157" s="19">
        <v>33.5</v>
      </c>
      <c r="HP1157" s="19">
        <v>26.2</v>
      </c>
      <c r="HQ1157" s="19">
        <v>25.6</v>
      </c>
      <c r="HR1157" s="19">
        <v>25</v>
      </c>
      <c r="HS1157" s="19">
        <v>29.5</v>
      </c>
      <c r="HT1157" s="19">
        <v>27.8</v>
      </c>
      <c r="HU1157" s="19">
        <v>35.7</v>
      </c>
      <c r="HV1157" s="19">
        <v>26</v>
      </c>
      <c r="HW1157" s="19">
        <v>33.3</v>
      </c>
      <c r="HX1157" s="19">
        <v>31.7</v>
      </c>
      <c r="HY1157" s="19">
        <v>15.7</v>
      </c>
      <c r="HZ1157" s="19">
        <v>18</v>
      </c>
      <c r="IA1157" s="19">
        <v>17.4</v>
      </c>
      <c r="IB1157" s="19">
        <v>13.8</v>
      </c>
      <c r="IC1157" s="19">
        <v>24</v>
      </c>
    </row>
    <row r="1158">
      <c r="A1158" s="2" t="s">
        <v>4600</v>
      </c>
      <c r="B1158" s="2" t="s">
        <v>871</v>
      </c>
      <c r="C1158" s="2" t="s">
        <v>403</v>
      </c>
      <c r="D1158" s="2" t="s">
        <v>361</v>
      </c>
      <c r="E1158" s="2" t="s">
        <v>872</v>
      </c>
      <c r="F1158" s="2" t="s">
        <v>4595</v>
      </c>
      <c r="G1158" s="2" t="s">
        <v>4596</v>
      </c>
      <c r="H1158" s="2" t="s">
        <v>4597</v>
      </c>
      <c r="I1158" s="2" t="s">
        <v>4601</v>
      </c>
      <c r="J1158" s="2" t="s">
        <v>250</v>
      </c>
      <c r="K1158" s="2" t="s">
        <v>4599</v>
      </c>
      <c r="L1158" s="3">
        <v>38.09</v>
      </c>
      <c r="M1158" s="3">
        <v>40</v>
      </c>
      <c r="N1158" s="3">
        <v>79.99</v>
      </c>
      <c r="O1158" s="2" t="s">
        <v>232</v>
      </c>
      <c r="P1158" s="2" t="s">
        <v>262</v>
      </c>
      <c r="Q1158" s="2" t="s">
        <v>234</v>
      </c>
      <c r="R1158" s="2" t="s">
        <v>235</v>
      </c>
      <c r="S1158" s="2" t="s">
        <v>235</v>
      </c>
      <c r="T1158" s="2" t="s">
        <v>879</v>
      </c>
      <c r="U1158" s="2" t="s">
        <v>742</v>
      </c>
      <c r="V1158" s="2" t="s">
        <v>1843</v>
      </c>
      <c r="W1158" s="2" t="s">
        <v>881</v>
      </c>
      <c r="X1158" s="2" t="s">
        <v>882</v>
      </c>
      <c r="Y1158" s="2" t="s">
        <v>235</v>
      </c>
      <c r="Z1158" s="4"/>
      <c r="AA1158" s="4">
        <f>=ROUNDDOWN({0},0)</f>
      </c>
      <c r="AB1158" s="5"/>
      <c r="AC1158" s="2" t="s">
        <v>2985</v>
      </c>
      <c r="AD1158" s="4">
        <v>230</v>
      </c>
      <c r="AE1158" s="4">
        <v>230</v>
      </c>
      <c r="AF1158" s="6">
        <v>31</v>
      </c>
      <c r="AG1158" s="6"/>
      <c r="AH1158" s="7"/>
      <c r="AI1158" s="4"/>
      <c r="AJ1158" s="4">
        <f>=ROUNDDOWN({0},0)</f>
      </c>
      <c r="AK1158" s="5"/>
      <c r="AL1158" s="2" t="s">
        <v>235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235</v>
      </c>
      <c r="AW1158" s="8" t="s">
        <v>235</v>
      </c>
      <c r="AX1158" s="4" t="s">
        <v>235</v>
      </c>
      <c r="AY1158" s="8" t="s">
        <v>235</v>
      </c>
      <c r="AZ1158" s="7" t="s">
        <v>235</v>
      </c>
      <c r="BA1158" s="7" t="s">
        <v>235</v>
      </c>
      <c r="BB1158" s="7"/>
      <c r="BC1158" s="4" t="s">
        <v>235</v>
      </c>
      <c r="BD1158" s="8" t="s">
        <v>235</v>
      </c>
      <c r="BE1158" s="4" t="s">
        <v>235</v>
      </c>
      <c r="BF1158" s="8" t="s">
        <v>235</v>
      </c>
      <c r="BG1158" s="7" t="s">
        <v>235</v>
      </c>
      <c r="BH1158" s="7" t="s">
        <v>235</v>
      </c>
      <c r="BI1158" s="7"/>
      <c r="BJ1158" s="4"/>
      <c r="BK1158" s="8"/>
      <c r="BL1158" s="2" t="s">
        <v>235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330</v>
      </c>
      <c r="BV1158" s="2" t="s">
        <v>235</v>
      </c>
      <c r="BW1158" s="2" t="s">
        <v>235</v>
      </c>
      <c r="BX1158" s="2" t="s">
        <v>330</v>
      </c>
      <c r="BY1158" s="2" t="s">
        <v>331</v>
      </c>
      <c r="BZ1158" s="2" t="s">
        <v>232</v>
      </c>
      <c r="CA1158" s="2" t="s">
        <v>235</v>
      </c>
      <c r="CB1158" s="2" t="s">
        <v>235</v>
      </c>
      <c r="CC1158" s="2" t="s">
        <v>248</v>
      </c>
      <c r="CD1158" s="2" t="s">
        <v>248</v>
      </c>
      <c r="CE1158" s="2" t="s">
        <v>235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>
        <v>230</v>
      </c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>
        <v>230</v>
      </c>
      <c r="GI1158" s="4">
        <v>230</v>
      </c>
      <c r="GJ1158" s="4">
        <v>228</v>
      </c>
      <c r="GK1158" s="4">
        <v>227</v>
      </c>
      <c r="GL1158" s="4">
        <v>225</v>
      </c>
      <c r="GM1158" s="4">
        <v>223</v>
      </c>
      <c r="GN1158" s="4">
        <v>221</v>
      </c>
      <c r="GO1158" s="4">
        <v>217</v>
      </c>
      <c r="GP1158" s="4">
        <v>209</v>
      </c>
      <c r="GQ1158" s="4">
        <v>199</v>
      </c>
      <c r="GR1158" s="4">
        <v>185</v>
      </c>
      <c r="GS1158" s="4">
        <v>179</v>
      </c>
      <c r="GT1158" s="4">
        <v>163</v>
      </c>
      <c r="GU1158" s="4">
        <v>158</v>
      </c>
      <c r="GV1158" s="4">
        <v>153</v>
      </c>
      <c r="GW1158" s="4">
        <v>145</v>
      </c>
      <c r="GX1158" s="4">
        <v>139</v>
      </c>
      <c r="GY1158" s="4">
        <v>133</v>
      </c>
      <c r="GZ1158" s="4">
        <v>132</v>
      </c>
      <c r="HA1158" s="4">
        <v>131</v>
      </c>
      <c r="HB1158" s="4">
        <v>129</v>
      </c>
      <c r="HC1158" s="4">
        <v>115</v>
      </c>
      <c r="HD1158" s="9"/>
      <c r="HE1158" s="9"/>
      <c r="HF1158" s="9"/>
      <c r="HG1158" s="9"/>
      <c r="HH1158" s="19">
        <v>230</v>
      </c>
      <c r="HI1158" s="19">
        <v>115</v>
      </c>
      <c r="HJ1158" s="19">
        <v>114</v>
      </c>
      <c r="HK1158" s="19">
        <v>113.5</v>
      </c>
      <c r="HL1158" s="19">
        <v>56.3</v>
      </c>
      <c r="HM1158" s="19">
        <v>37.2</v>
      </c>
      <c r="HN1158" s="19">
        <v>24.6</v>
      </c>
      <c r="HO1158" s="19">
        <v>21.7</v>
      </c>
      <c r="HP1158" s="19">
        <v>17.4</v>
      </c>
      <c r="HQ1158" s="19">
        <v>19.9</v>
      </c>
      <c r="HR1158" s="19">
        <v>23.1</v>
      </c>
      <c r="HS1158" s="19">
        <v>22.4</v>
      </c>
      <c r="HT1158" s="19">
        <v>27.2</v>
      </c>
      <c r="HU1158" s="19">
        <v>26.3</v>
      </c>
      <c r="HV1158" s="19">
        <v>30.6</v>
      </c>
      <c r="HW1158" s="19">
        <v>36.3</v>
      </c>
      <c r="HX1158" s="19">
        <v>69.5</v>
      </c>
      <c r="HY1158" s="19">
        <v>33.3</v>
      </c>
      <c r="HZ1158" s="19">
        <v>26.4</v>
      </c>
      <c r="IA1158" s="19">
        <v>18.7</v>
      </c>
      <c r="IB1158" s="19">
        <v>16.1</v>
      </c>
      <c r="IC1158" s="19">
        <v>19.2</v>
      </c>
    </row>
    <row r="1159">
      <c r="A1159" s="2" t="s">
        <v>4602</v>
      </c>
      <c r="B1159" s="2" t="s">
        <v>871</v>
      </c>
      <c r="C1159" s="2" t="s">
        <v>403</v>
      </c>
      <c r="D1159" s="2" t="s">
        <v>361</v>
      </c>
      <c r="E1159" s="2" t="s">
        <v>872</v>
      </c>
      <c r="F1159" s="2" t="s">
        <v>4595</v>
      </c>
      <c r="G1159" s="2" t="s">
        <v>4596</v>
      </c>
      <c r="H1159" s="2" t="s">
        <v>4597</v>
      </c>
      <c r="I1159" s="2" t="s">
        <v>4601</v>
      </c>
      <c r="J1159" s="2" t="s">
        <v>261</v>
      </c>
      <c r="K1159" s="2" t="s">
        <v>4599</v>
      </c>
      <c r="L1159" s="3">
        <v>42.85</v>
      </c>
      <c r="M1159" s="3">
        <v>45</v>
      </c>
      <c r="N1159" s="3">
        <v>89.99</v>
      </c>
      <c r="O1159" s="2" t="s">
        <v>232</v>
      </c>
      <c r="P1159" s="2" t="s">
        <v>262</v>
      </c>
      <c r="Q1159" s="2" t="s">
        <v>234</v>
      </c>
      <c r="R1159" s="2" t="s">
        <v>235</v>
      </c>
      <c r="S1159" s="2" t="s">
        <v>235</v>
      </c>
      <c r="T1159" s="2" t="s">
        <v>879</v>
      </c>
      <c r="U1159" s="2" t="s">
        <v>742</v>
      </c>
      <c r="V1159" s="2" t="s">
        <v>1843</v>
      </c>
      <c r="W1159" s="2" t="s">
        <v>881</v>
      </c>
      <c r="X1159" s="2" t="s">
        <v>882</v>
      </c>
      <c r="Y1159" s="2" t="s">
        <v>235</v>
      </c>
      <c r="Z1159" s="4"/>
      <c r="AA1159" s="4">
        <f>=ROUNDDOWN({0},0)</f>
      </c>
      <c r="AB1159" s="5"/>
      <c r="AC1159" s="2" t="s">
        <v>2985</v>
      </c>
      <c r="AD1159" s="4">
        <v>500</v>
      </c>
      <c r="AE1159" s="4">
        <v>500</v>
      </c>
      <c r="AF1159" s="6">
        <v>31</v>
      </c>
      <c r="AG1159" s="6"/>
      <c r="AH1159" s="7"/>
      <c r="AI1159" s="4"/>
      <c r="AJ1159" s="4">
        <f>=ROUNDDOWN({0},0)</f>
      </c>
      <c r="AK1159" s="5"/>
      <c r="AL1159" s="2" t="s">
        <v>235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235</v>
      </c>
      <c r="AW1159" s="8" t="s">
        <v>235</v>
      </c>
      <c r="AX1159" s="4" t="s">
        <v>235</v>
      </c>
      <c r="AY1159" s="8" t="s">
        <v>235</v>
      </c>
      <c r="AZ1159" s="7" t="s">
        <v>235</v>
      </c>
      <c r="BA1159" s="7" t="s">
        <v>235</v>
      </c>
      <c r="BB1159" s="7"/>
      <c r="BC1159" s="4" t="s">
        <v>235</v>
      </c>
      <c r="BD1159" s="8" t="s">
        <v>235</v>
      </c>
      <c r="BE1159" s="4" t="s">
        <v>235</v>
      </c>
      <c r="BF1159" s="8" t="s">
        <v>235</v>
      </c>
      <c r="BG1159" s="7" t="s">
        <v>235</v>
      </c>
      <c r="BH1159" s="7" t="s">
        <v>235</v>
      </c>
      <c r="BI1159" s="7"/>
      <c r="BJ1159" s="4"/>
      <c r="BK1159" s="8"/>
      <c r="BL1159" s="2" t="s">
        <v>235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330</v>
      </c>
      <c r="BV1159" s="2" t="s">
        <v>235</v>
      </c>
      <c r="BW1159" s="2" t="s">
        <v>235</v>
      </c>
      <c r="BX1159" s="2" t="s">
        <v>330</v>
      </c>
      <c r="BY1159" s="2" t="s">
        <v>331</v>
      </c>
      <c r="BZ1159" s="2" t="s">
        <v>232</v>
      </c>
      <c r="CA1159" s="2" t="s">
        <v>235</v>
      </c>
      <c r="CB1159" s="2" t="s">
        <v>235</v>
      </c>
      <c r="CC1159" s="2" t="s">
        <v>248</v>
      </c>
      <c r="CD1159" s="2" t="s">
        <v>248</v>
      </c>
      <c r="CE1159" s="2" t="s">
        <v>235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>
        <v>500</v>
      </c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>
        <v>500</v>
      </c>
      <c r="GI1159" s="4">
        <v>499</v>
      </c>
      <c r="GJ1159" s="4">
        <v>495</v>
      </c>
      <c r="GK1159" s="4">
        <v>493</v>
      </c>
      <c r="GL1159" s="4">
        <v>487</v>
      </c>
      <c r="GM1159" s="4">
        <v>484</v>
      </c>
      <c r="GN1159" s="4">
        <v>481</v>
      </c>
      <c r="GO1159" s="4">
        <v>477</v>
      </c>
      <c r="GP1159" s="4">
        <v>466</v>
      </c>
      <c r="GQ1159" s="4">
        <v>450</v>
      </c>
      <c r="GR1159" s="4">
        <v>427</v>
      </c>
      <c r="GS1159" s="4">
        <v>414</v>
      </c>
      <c r="GT1159" s="4">
        <v>387</v>
      </c>
      <c r="GU1159" s="4">
        <v>384</v>
      </c>
      <c r="GV1159" s="4">
        <v>372</v>
      </c>
      <c r="GW1159" s="4">
        <v>355</v>
      </c>
      <c r="GX1159" s="4">
        <v>346</v>
      </c>
      <c r="GY1159" s="4">
        <v>338</v>
      </c>
      <c r="GZ1159" s="4">
        <v>327</v>
      </c>
      <c r="HA1159" s="4">
        <v>322</v>
      </c>
      <c r="HB1159" s="4">
        <v>302</v>
      </c>
      <c r="HC1159" s="4">
        <v>266</v>
      </c>
      <c r="HD1159" s="9"/>
      <c r="HE1159" s="9"/>
      <c r="HF1159" s="9"/>
      <c r="HG1159" s="9"/>
      <c r="HH1159" s="19">
        <v>166.7</v>
      </c>
      <c r="HI1159" s="19">
        <v>124.8</v>
      </c>
      <c r="HJ1159" s="19">
        <v>123.8</v>
      </c>
      <c r="HK1159" s="19">
        <v>123.3</v>
      </c>
      <c r="HL1159" s="19">
        <v>97.4</v>
      </c>
      <c r="HM1159" s="19">
        <v>60.5</v>
      </c>
      <c r="HN1159" s="19">
        <v>34.4</v>
      </c>
      <c r="HO1159" s="19">
        <v>29.8</v>
      </c>
      <c r="HP1159" s="19">
        <v>23.3</v>
      </c>
      <c r="HQ1159" s="19">
        <v>28.1</v>
      </c>
      <c r="HR1159" s="19">
        <v>30.5</v>
      </c>
      <c r="HS1159" s="19">
        <v>27.6</v>
      </c>
      <c r="HT1159" s="19">
        <v>38.7</v>
      </c>
      <c r="HU1159" s="19">
        <v>32</v>
      </c>
      <c r="HV1159" s="19">
        <v>33.8</v>
      </c>
      <c r="HW1159" s="19">
        <v>44.4</v>
      </c>
      <c r="HX1159" s="19">
        <v>31.5</v>
      </c>
      <c r="HY1159" s="19">
        <v>18.8</v>
      </c>
      <c r="HZ1159" s="19">
        <v>16.4</v>
      </c>
      <c r="IA1159" s="19">
        <v>15.3</v>
      </c>
      <c r="IB1159" s="19">
        <v>15.9</v>
      </c>
      <c r="IC1159" s="19">
        <v>19</v>
      </c>
    </row>
    <row r="1160">
      <c r="A1160" s="2" t="s">
        <v>4603</v>
      </c>
      <c r="B1160" s="2" t="s">
        <v>871</v>
      </c>
      <c r="C1160" s="2" t="s">
        <v>403</v>
      </c>
      <c r="D1160" s="2" t="s">
        <v>361</v>
      </c>
      <c r="E1160" s="2" t="s">
        <v>872</v>
      </c>
      <c r="F1160" s="2" t="s">
        <v>4595</v>
      </c>
      <c r="G1160" s="2" t="s">
        <v>4596</v>
      </c>
      <c r="H1160" s="2" t="s">
        <v>4597</v>
      </c>
      <c r="I1160" s="2" t="s">
        <v>4601</v>
      </c>
      <c r="J1160" s="2" t="s">
        <v>270</v>
      </c>
      <c r="K1160" s="2" t="s">
        <v>4599</v>
      </c>
      <c r="L1160" s="3">
        <v>47.62</v>
      </c>
      <c r="M1160" s="3">
        <v>50</v>
      </c>
      <c r="N1160" s="3">
        <v>99.99</v>
      </c>
      <c r="O1160" s="2" t="s">
        <v>232</v>
      </c>
      <c r="P1160" s="2" t="s">
        <v>262</v>
      </c>
      <c r="Q1160" s="2" t="s">
        <v>234</v>
      </c>
      <c r="R1160" s="2" t="s">
        <v>235</v>
      </c>
      <c r="S1160" s="2" t="s">
        <v>235</v>
      </c>
      <c r="T1160" s="2" t="s">
        <v>879</v>
      </c>
      <c r="U1160" s="2" t="s">
        <v>742</v>
      </c>
      <c r="V1160" s="2" t="s">
        <v>1843</v>
      </c>
      <c r="W1160" s="2" t="s">
        <v>881</v>
      </c>
      <c r="X1160" s="2" t="s">
        <v>882</v>
      </c>
      <c r="Y1160" s="2" t="s">
        <v>235</v>
      </c>
      <c r="Z1160" s="4"/>
      <c r="AA1160" s="4">
        <f>=ROUNDDOWN({0},0)</f>
      </c>
      <c r="AB1160" s="5"/>
      <c r="AC1160" s="2" t="s">
        <v>2985</v>
      </c>
      <c r="AD1160" s="4">
        <v>275</v>
      </c>
      <c r="AE1160" s="4">
        <v>275</v>
      </c>
      <c r="AF1160" s="6">
        <v>31</v>
      </c>
      <c r="AG1160" s="6"/>
      <c r="AH1160" s="7"/>
      <c r="AI1160" s="4"/>
      <c r="AJ1160" s="4">
        <f>=ROUNDDOWN({0},0)</f>
      </c>
      <c r="AK1160" s="5"/>
      <c r="AL1160" s="2" t="s">
        <v>235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235</v>
      </c>
      <c r="AW1160" s="8" t="s">
        <v>235</v>
      </c>
      <c r="AX1160" s="4" t="s">
        <v>235</v>
      </c>
      <c r="AY1160" s="8" t="s">
        <v>235</v>
      </c>
      <c r="AZ1160" s="7" t="s">
        <v>235</v>
      </c>
      <c r="BA1160" s="7" t="s">
        <v>235</v>
      </c>
      <c r="BB1160" s="7"/>
      <c r="BC1160" s="4" t="s">
        <v>235</v>
      </c>
      <c r="BD1160" s="8" t="s">
        <v>235</v>
      </c>
      <c r="BE1160" s="4" t="s">
        <v>235</v>
      </c>
      <c r="BF1160" s="8" t="s">
        <v>235</v>
      </c>
      <c r="BG1160" s="7" t="s">
        <v>235</v>
      </c>
      <c r="BH1160" s="7" t="s">
        <v>235</v>
      </c>
      <c r="BI1160" s="7"/>
      <c r="BJ1160" s="4"/>
      <c r="BK1160" s="8"/>
      <c r="BL1160" s="2" t="s">
        <v>235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330</v>
      </c>
      <c r="BV1160" s="2" t="s">
        <v>235</v>
      </c>
      <c r="BW1160" s="2" t="s">
        <v>235</v>
      </c>
      <c r="BX1160" s="2" t="s">
        <v>330</v>
      </c>
      <c r="BY1160" s="2" t="s">
        <v>331</v>
      </c>
      <c r="BZ1160" s="2" t="s">
        <v>232</v>
      </c>
      <c r="CA1160" s="2" t="s">
        <v>235</v>
      </c>
      <c r="CB1160" s="2" t="s">
        <v>235</v>
      </c>
      <c r="CC1160" s="2" t="s">
        <v>248</v>
      </c>
      <c r="CD1160" s="2" t="s">
        <v>248</v>
      </c>
      <c r="CE1160" s="2" t="s">
        <v>235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>
        <v>275</v>
      </c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>
        <v>275</v>
      </c>
      <c r="GI1160" s="4">
        <v>275</v>
      </c>
      <c r="GJ1160" s="4">
        <v>273</v>
      </c>
      <c r="GK1160" s="4">
        <v>271</v>
      </c>
      <c r="GL1160" s="4">
        <v>269</v>
      </c>
      <c r="GM1160" s="4">
        <v>268</v>
      </c>
      <c r="GN1160" s="4">
        <v>265</v>
      </c>
      <c r="GO1160" s="4">
        <v>263</v>
      </c>
      <c r="GP1160" s="4">
        <v>254</v>
      </c>
      <c r="GQ1160" s="4">
        <v>248</v>
      </c>
      <c r="GR1160" s="4">
        <v>238</v>
      </c>
      <c r="GS1160" s="4">
        <v>228</v>
      </c>
      <c r="GT1160" s="4">
        <v>218</v>
      </c>
      <c r="GU1160" s="4">
        <v>209</v>
      </c>
      <c r="GV1160" s="4">
        <v>203</v>
      </c>
      <c r="GW1160" s="4">
        <v>201</v>
      </c>
      <c r="GX1160" s="4">
        <v>198</v>
      </c>
      <c r="GY1160" s="4">
        <v>196</v>
      </c>
      <c r="GZ1160" s="4">
        <v>189</v>
      </c>
      <c r="HA1160" s="4">
        <v>186</v>
      </c>
      <c r="HB1160" s="4">
        <v>176</v>
      </c>
      <c r="HC1160" s="4">
        <v>156</v>
      </c>
      <c r="HD1160" s="9"/>
      <c r="HE1160" s="9"/>
      <c r="HF1160" s="9"/>
      <c r="HG1160" s="9"/>
      <c r="HH1160" s="19">
        <v>137.5</v>
      </c>
      <c r="HI1160" s="19">
        <v>137.5</v>
      </c>
      <c r="HJ1160" s="19">
        <v>136.5</v>
      </c>
      <c r="HK1160" s="19">
        <v>135.5</v>
      </c>
      <c r="HL1160" s="19">
        <v>67.3</v>
      </c>
      <c r="HM1160" s="19">
        <v>53.6</v>
      </c>
      <c r="HN1160" s="19">
        <v>37.9</v>
      </c>
      <c r="HO1160" s="19">
        <v>29.2</v>
      </c>
      <c r="HP1160" s="19">
        <v>28.2</v>
      </c>
      <c r="HQ1160" s="19">
        <v>24.8</v>
      </c>
      <c r="HR1160" s="19">
        <v>26.4</v>
      </c>
      <c r="HS1160" s="19">
        <v>32.6</v>
      </c>
      <c r="HT1160" s="19">
        <v>43.6</v>
      </c>
      <c r="HU1160" s="19">
        <v>69.7</v>
      </c>
      <c r="HV1160" s="19">
        <v>50.8</v>
      </c>
      <c r="HW1160" s="19">
        <v>50.3</v>
      </c>
      <c r="HX1160" s="19">
        <v>33</v>
      </c>
      <c r="HY1160" s="19">
        <v>19.6</v>
      </c>
      <c r="HZ1160" s="19">
        <v>18.9</v>
      </c>
      <c r="IA1160" s="19">
        <v>15.5</v>
      </c>
      <c r="IB1160" s="19">
        <v>17.6</v>
      </c>
      <c r="IC1160" s="19">
        <v>26</v>
      </c>
    </row>
    <row r="1161">
      <c r="A1161" s="2" t="s">
        <v>4604</v>
      </c>
      <c r="B1161" s="2" t="s">
        <v>871</v>
      </c>
      <c r="C1161" s="2" t="s">
        <v>403</v>
      </c>
      <c r="D1161" s="2" t="s">
        <v>361</v>
      </c>
      <c r="E1161" s="2" t="s">
        <v>872</v>
      </c>
      <c r="F1161" s="2" t="s">
        <v>4595</v>
      </c>
      <c r="G1161" s="2" t="s">
        <v>4596</v>
      </c>
      <c r="H1161" s="2" t="s">
        <v>4597</v>
      </c>
      <c r="I1161" s="2" t="s">
        <v>4601</v>
      </c>
      <c r="J1161" s="2" t="s">
        <v>272</v>
      </c>
      <c r="K1161" s="2" t="s">
        <v>4599</v>
      </c>
      <c r="L1161" s="3">
        <v>47.62</v>
      </c>
      <c r="M1161" s="3">
        <v>50</v>
      </c>
      <c r="N1161" s="3">
        <v>99.99</v>
      </c>
      <c r="O1161" s="2" t="s">
        <v>232</v>
      </c>
      <c r="P1161" s="2" t="s">
        <v>262</v>
      </c>
      <c r="Q1161" s="2" t="s">
        <v>234</v>
      </c>
      <c r="R1161" s="2" t="s">
        <v>235</v>
      </c>
      <c r="S1161" s="2" t="s">
        <v>235</v>
      </c>
      <c r="T1161" s="2" t="s">
        <v>879</v>
      </c>
      <c r="U1161" s="2" t="s">
        <v>742</v>
      </c>
      <c r="V1161" s="2" t="s">
        <v>1843</v>
      </c>
      <c r="W1161" s="2" t="s">
        <v>881</v>
      </c>
      <c r="X1161" s="2" t="s">
        <v>882</v>
      </c>
      <c r="Y1161" s="2" t="s">
        <v>235</v>
      </c>
      <c r="Z1161" s="4"/>
      <c r="AA1161" s="4">
        <f>=ROUNDDOWN({0},0)</f>
      </c>
      <c r="AB1161" s="5"/>
      <c r="AC1161" s="2" t="s">
        <v>2985</v>
      </c>
      <c r="AD1161" s="4">
        <v>115</v>
      </c>
      <c r="AE1161" s="4">
        <v>115</v>
      </c>
      <c r="AF1161" s="6">
        <v>31</v>
      </c>
      <c r="AG1161" s="6"/>
      <c r="AH1161" s="7"/>
      <c r="AI1161" s="4"/>
      <c r="AJ1161" s="4">
        <f>=ROUNDDOWN({0},0)</f>
      </c>
      <c r="AK1161" s="5"/>
      <c r="AL1161" s="2" t="s">
        <v>235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235</v>
      </c>
      <c r="AW1161" s="8" t="s">
        <v>235</v>
      </c>
      <c r="AX1161" s="4" t="s">
        <v>235</v>
      </c>
      <c r="AY1161" s="8" t="s">
        <v>235</v>
      </c>
      <c r="AZ1161" s="7" t="s">
        <v>235</v>
      </c>
      <c r="BA1161" s="7" t="s">
        <v>235</v>
      </c>
      <c r="BB1161" s="7"/>
      <c r="BC1161" s="4" t="s">
        <v>235</v>
      </c>
      <c r="BD1161" s="8" t="s">
        <v>235</v>
      </c>
      <c r="BE1161" s="4" t="s">
        <v>235</v>
      </c>
      <c r="BF1161" s="8" t="s">
        <v>235</v>
      </c>
      <c r="BG1161" s="7" t="s">
        <v>235</v>
      </c>
      <c r="BH1161" s="7" t="s">
        <v>235</v>
      </c>
      <c r="BI1161" s="7"/>
      <c r="BJ1161" s="4"/>
      <c r="BK1161" s="8"/>
      <c r="BL1161" s="2" t="s">
        <v>235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330</v>
      </c>
      <c r="BV1161" s="2" t="s">
        <v>235</v>
      </c>
      <c r="BW1161" s="2" t="s">
        <v>235</v>
      </c>
      <c r="BX1161" s="2" t="s">
        <v>330</v>
      </c>
      <c r="BY1161" s="2" t="s">
        <v>331</v>
      </c>
      <c r="BZ1161" s="2" t="s">
        <v>232</v>
      </c>
      <c r="CA1161" s="2" t="s">
        <v>235</v>
      </c>
      <c r="CB1161" s="2" t="s">
        <v>235</v>
      </c>
      <c r="CC1161" s="2" t="s">
        <v>248</v>
      </c>
      <c r="CD1161" s="2" t="s">
        <v>248</v>
      </c>
      <c r="CE1161" s="2" t="s">
        <v>235</v>
      </c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>
        <v>115</v>
      </c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>
        <v>115</v>
      </c>
      <c r="GI1161" s="4">
        <v>115</v>
      </c>
      <c r="GJ1161" s="4">
        <v>114</v>
      </c>
      <c r="GK1161" s="4">
        <v>113</v>
      </c>
      <c r="GL1161" s="4">
        <v>112</v>
      </c>
      <c r="GM1161" s="4">
        <v>111</v>
      </c>
      <c r="GN1161" s="4">
        <v>110</v>
      </c>
      <c r="GO1161" s="4">
        <v>109</v>
      </c>
      <c r="GP1161" s="4">
        <v>106</v>
      </c>
      <c r="GQ1161" s="4">
        <v>101</v>
      </c>
      <c r="GR1161" s="4">
        <v>99</v>
      </c>
      <c r="GS1161" s="4">
        <v>96</v>
      </c>
      <c r="GT1161" s="4">
        <v>93</v>
      </c>
      <c r="GU1161" s="4">
        <v>91</v>
      </c>
      <c r="GV1161" s="4">
        <v>89</v>
      </c>
      <c r="GW1161" s="4">
        <v>87</v>
      </c>
      <c r="GX1161" s="4">
        <v>86</v>
      </c>
      <c r="GY1161" s="4">
        <v>83</v>
      </c>
      <c r="GZ1161" s="4">
        <v>82</v>
      </c>
      <c r="HA1161" s="4">
        <v>80</v>
      </c>
      <c r="HB1161" s="4">
        <v>76</v>
      </c>
      <c r="HC1161" s="4">
        <v>69</v>
      </c>
      <c r="HD1161" s="9"/>
      <c r="HE1161" s="9"/>
      <c r="HF1161" s="9"/>
      <c r="HG1161" s="9"/>
      <c r="HH1161" s="19">
        <v>115</v>
      </c>
      <c r="HI1161" s="19">
        <v>115</v>
      </c>
      <c r="HJ1161" s="19">
        <v>114</v>
      </c>
      <c r="HK1161" s="19">
        <v>113</v>
      </c>
      <c r="HL1161" s="19">
        <v>56</v>
      </c>
      <c r="HM1161" s="19">
        <v>55.5</v>
      </c>
      <c r="HN1161" s="19">
        <v>36.7</v>
      </c>
      <c r="HO1161" s="19">
        <v>36.3</v>
      </c>
      <c r="HP1161" s="19">
        <v>35.3</v>
      </c>
      <c r="HQ1161" s="19">
        <v>50.5</v>
      </c>
      <c r="HR1161" s="19">
        <v>49.5</v>
      </c>
      <c r="HS1161" s="19">
        <v>48</v>
      </c>
      <c r="HT1161" s="19">
        <v>46.5</v>
      </c>
      <c r="HU1161" s="19">
        <v>45.5</v>
      </c>
      <c r="HV1161" s="19">
        <v>44.5</v>
      </c>
      <c r="HW1161" s="19">
        <v>43.5</v>
      </c>
      <c r="HX1161" s="19">
        <v>43</v>
      </c>
      <c r="HY1161" s="19">
        <v>20.8</v>
      </c>
      <c r="HZ1161" s="19">
        <v>16.4</v>
      </c>
      <c r="IA1161" s="19">
        <v>16</v>
      </c>
      <c r="IB1161" s="19">
        <v>15.2</v>
      </c>
      <c r="IC1161" s="19">
        <v>23</v>
      </c>
    </row>
    <row r="1162">
      <c r="A1162" s="2" t="s">
        <v>4605</v>
      </c>
      <c r="B1162" s="2" t="s">
        <v>871</v>
      </c>
      <c r="C1162" s="2" t="s">
        <v>403</v>
      </c>
      <c r="D1162" s="2" t="s">
        <v>361</v>
      </c>
      <c r="E1162" s="2" t="s">
        <v>872</v>
      </c>
      <c r="F1162" s="2" t="s">
        <v>4595</v>
      </c>
      <c r="G1162" s="2" t="s">
        <v>4596</v>
      </c>
      <c r="H1162" s="2" t="s">
        <v>4597</v>
      </c>
      <c r="I1162" s="2" t="s">
        <v>4598</v>
      </c>
      <c r="J1162" s="2" t="s">
        <v>394</v>
      </c>
      <c r="K1162" s="2" t="s">
        <v>889</v>
      </c>
      <c r="L1162" s="3">
        <v>33.32</v>
      </c>
      <c r="M1162" s="3">
        <v>35</v>
      </c>
      <c r="N1162" s="3">
        <v>69.99</v>
      </c>
      <c r="O1162" s="2" t="s">
        <v>232</v>
      </c>
      <c r="P1162" s="2" t="s">
        <v>262</v>
      </c>
      <c r="Q1162" s="2" t="s">
        <v>234</v>
      </c>
      <c r="R1162" s="2" t="s">
        <v>235</v>
      </c>
      <c r="S1162" s="2" t="s">
        <v>235</v>
      </c>
      <c r="T1162" s="2" t="s">
        <v>879</v>
      </c>
      <c r="U1162" s="2" t="s">
        <v>282</v>
      </c>
      <c r="V1162" s="2" t="s">
        <v>1843</v>
      </c>
      <c r="W1162" s="2" t="s">
        <v>881</v>
      </c>
      <c r="X1162" s="2" t="s">
        <v>882</v>
      </c>
      <c r="Y1162" s="2" t="s">
        <v>235</v>
      </c>
      <c r="Z1162" s="4"/>
      <c r="AA1162" s="4">
        <f>=ROUNDDOWN({0},0)</f>
      </c>
      <c r="AB1162" s="5"/>
      <c r="AC1162" s="2" t="s">
        <v>2985</v>
      </c>
      <c r="AD1162" s="4">
        <v>140</v>
      </c>
      <c r="AE1162" s="4">
        <v>140</v>
      </c>
      <c r="AF1162" s="6">
        <v>31</v>
      </c>
      <c r="AG1162" s="6"/>
      <c r="AH1162" s="7"/>
      <c r="AI1162" s="4"/>
      <c r="AJ1162" s="4">
        <f>=ROUNDDOWN({0},0)</f>
      </c>
      <c r="AK1162" s="5"/>
      <c r="AL1162" s="2" t="s">
        <v>235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235</v>
      </c>
      <c r="AW1162" s="8" t="s">
        <v>235</v>
      </c>
      <c r="AX1162" s="4" t="s">
        <v>235</v>
      </c>
      <c r="AY1162" s="8" t="s">
        <v>235</v>
      </c>
      <c r="AZ1162" s="7" t="s">
        <v>235</v>
      </c>
      <c r="BA1162" s="7" t="s">
        <v>235</v>
      </c>
      <c r="BB1162" s="7"/>
      <c r="BC1162" s="4" t="s">
        <v>235</v>
      </c>
      <c r="BD1162" s="8" t="s">
        <v>235</v>
      </c>
      <c r="BE1162" s="4" t="s">
        <v>235</v>
      </c>
      <c r="BF1162" s="8" t="s">
        <v>235</v>
      </c>
      <c r="BG1162" s="7" t="s">
        <v>235</v>
      </c>
      <c r="BH1162" s="7" t="s">
        <v>235</v>
      </c>
      <c r="BI1162" s="7"/>
      <c r="BJ1162" s="4"/>
      <c r="BK1162" s="8"/>
      <c r="BL1162" s="2" t="s">
        <v>235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330</v>
      </c>
      <c r="BV1162" s="2" t="s">
        <v>235</v>
      </c>
      <c r="BW1162" s="2" t="s">
        <v>235</v>
      </c>
      <c r="BX1162" s="2" t="s">
        <v>330</v>
      </c>
      <c r="BY1162" s="2" t="s">
        <v>331</v>
      </c>
      <c r="BZ1162" s="2" t="s">
        <v>232</v>
      </c>
      <c r="CA1162" s="2" t="s">
        <v>235</v>
      </c>
      <c r="CB1162" s="2" t="s">
        <v>235</v>
      </c>
      <c r="CC1162" s="2" t="s">
        <v>248</v>
      </c>
      <c r="CD1162" s="2" t="s">
        <v>248</v>
      </c>
      <c r="CE1162" s="2" t="s">
        <v>235</v>
      </c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>
        <v>140</v>
      </c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>
        <v>140</v>
      </c>
      <c r="GI1162" s="4">
        <v>140</v>
      </c>
      <c r="GJ1162" s="4">
        <v>138</v>
      </c>
      <c r="GK1162" s="4">
        <v>138</v>
      </c>
      <c r="GL1162" s="4">
        <v>137</v>
      </c>
      <c r="GM1162" s="4">
        <v>137</v>
      </c>
      <c r="GN1162" s="4">
        <v>136</v>
      </c>
      <c r="GO1162" s="4">
        <v>134</v>
      </c>
      <c r="GP1162" s="4">
        <v>131</v>
      </c>
      <c r="GQ1162" s="4">
        <v>128</v>
      </c>
      <c r="GR1162" s="4">
        <v>125</v>
      </c>
      <c r="GS1162" s="4">
        <v>118</v>
      </c>
      <c r="GT1162" s="4">
        <v>111</v>
      </c>
      <c r="GU1162" s="4">
        <v>107</v>
      </c>
      <c r="GV1162" s="4">
        <v>104</v>
      </c>
      <c r="GW1162" s="4">
        <v>100</v>
      </c>
      <c r="GX1162" s="4">
        <v>95</v>
      </c>
      <c r="GY1162" s="4">
        <v>94</v>
      </c>
      <c r="GZ1162" s="4">
        <v>90</v>
      </c>
      <c r="HA1162" s="4">
        <v>87</v>
      </c>
      <c r="HB1162" s="4">
        <v>83</v>
      </c>
      <c r="HC1162" s="4">
        <v>72</v>
      </c>
      <c r="HD1162" s="9"/>
      <c r="HE1162" s="9"/>
      <c r="HF1162" s="9"/>
      <c r="HG1162" s="9"/>
      <c r="HH1162" s="19">
        <v>140</v>
      </c>
      <c r="HI1162" s="19">
        <v>140</v>
      </c>
      <c r="HJ1162" s="9"/>
      <c r="HK1162" s="19">
        <v>138</v>
      </c>
      <c r="HL1162" s="19">
        <v>68.5</v>
      </c>
      <c r="HM1162" s="19">
        <v>68.5</v>
      </c>
      <c r="HN1162" s="19">
        <v>45.3</v>
      </c>
      <c r="HO1162" s="19">
        <v>33.5</v>
      </c>
      <c r="HP1162" s="19">
        <v>26.2</v>
      </c>
      <c r="HQ1162" s="19">
        <v>25.6</v>
      </c>
      <c r="HR1162" s="19">
        <v>25</v>
      </c>
      <c r="HS1162" s="19">
        <v>29.5</v>
      </c>
      <c r="HT1162" s="19">
        <v>27.8</v>
      </c>
      <c r="HU1162" s="19">
        <v>35.7</v>
      </c>
      <c r="HV1162" s="19">
        <v>26</v>
      </c>
      <c r="HW1162" s="19">
        <v>33.3</v>
      </c>
      <c r="HX1162" s="19">
        <v>31.7</v>
      </c>
      <c r="HY1162" s="19">
        <v>15.7</v>
      </c>
      <c r="HZ1162" s="19">
        <v>18</v>
      </c>
      <c r="IA1162" s="19">
        <v>17.4</v>
      </c>
      <c r="IB1162" s="19">
        <v>13.8</v>
      </c>
      <c r="IC1162" s="19">
        <v>24</v>
      </c>
    </row>
    <row r="1163">
      <c r="A1163" s="2" t="s">
        <v>4606</v>
      </c>
      <c r="B1163" s="2" t="s">
        <v>871</v>
      </c>
      <c r="C1163" s="2" t="s">
        <v>403</v>
      </c>
      <c r="D1163" s="2" t="s">
        <v>361</v>
      </c>
      <c r="E1163" s="2" t="s">
        <v>872</v>
      </c>
      <c r="F1163" s="2" t="s">
        <v>4595</v>
      </c>
      <c r="G1163" s="2" t="s">
        <v>4596</v>
      </c>
      <c r="H1163" s="2" t="s">
        <v>4597</v>
      </c>
      <c r="I1163" s="2" t="s">
        <v>4601</v>
      </c>
      <c r="J1163" s="2" t="s">
        <v>250</v>
      </c>
      <c r="K1163" s="2" t="s">
        <v>889</v>
      </c>
      <c r="L1163" s="3">
        <v>38.09</v>
      </c>
      <c r="M1163" s="3">
        <v>40</v>
      </c>
      <c r="N1163" s="3">
        <v>79.99</v>
      </c>
      <c r="O1163" s="2" t="s">
        <v>232</v>
      </c>
      <c r="P1163" s="2" t="s">
        <v>262</v>
      </c>
      <c r="Q1163" s="2" t="s">
        <v>234</v>
      </c>
      <c r="R1163" s="2" t="s">
        <v>235</v>
      </c>
      <c r="S1163" s="2" t="s">
        <v>235</v>
      </c>
      <c r="T1163" s="2" t="s">
        <v>879</v>
      </c>
      <c r="U1163" s="2" t="s">
        <v>742</v>
      </c>
      <c r="V1163" s="2" t="s">
        <v>1843</v>
      </c>
      <c r="W1163" s="2" t="s">
        <v>881</v>
      </c>
      <c r="X1163" s="2" t="s">
        <v>882</v>
      </c>
      <c r="Y1163" s="2" t="s">
        <v>235</v>
      </c>
      <c r="Z1163" s="4"/>
      <c r="AA1163" s="4">
        <f>=ROUNDDOWN({0},0)</f>
      </c>
      <c r="AB1163" s="5"/>
      <c r="AC1163" s="2" t="s">
        <v>2985</v>
      </c>
      <c r="AD1163" s="4">
        <v>230</v>
      </c>
      <c r="AE1163" s="4">
        <v>230</v>
      </c>
      <c r="AF1163" s="6">
        <v>31</v>
      </c>
      <c r="AG1163" s="6"/>
      <c r="AH1163" s="7"/>
      <c r="AI1163" s="4"/>
      <c r="AJ1163" s="4">
        <f>=ROUNDDOWN({0},0)</f>
      </c>
      <c r="AK1163" s="5"/>
      <c r="AL1163" s="2" t="s">
        <v>235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235</v>
      </c>
      <c r="AW1163" s="8" t="s">
        <v>235</v>
      </c>
      <c r="AX1163" s="4" t="s">
        <v>235</v>
      </c>
      <c r="AY1163" s="8" t="s">
        <v>235</v>
      </c>
      <c r="AZ1163" s="7" t="s">
        <v>235</v>
      </c>
      <c r="BA1163" s="7" t="s">
        <v>235</v>
      </c>
      <c r="BB1163" s="7"/>
      <c r="BC1163" s="4" t="s">
        <v>235</v>
      </c>
      <c r="BD1163" s="8" t="s">
        <v>235</v>
      </c>
      <c r="BE1163" s="4" t="s">
        <v>235</v>
      </c>
      <c r="BF1163" s="8" t="s">
        <v>235</v>
      </c>
      <c r="BG1163" s="7" t="s">
        <v>235</v>
      </c>
      <c r="BH1163" s="7" t="s">
        <v>235</v>
      </c>
      <c r="BI1163" s="7"/>
      <c r="BJ1163" s="4"/>
      <c r="BK1163" s="8"/>
      <c r="BL1163" s="2" t="s">
        <v>235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330</v>
      </c>
      <c r="BV1163" s="2" t="s">
        <v>235</v>
      </c>
      <c r="BW1163" s="2" t="s">
        <v>235</v>
      </c>
      <c r="BX1163" s="2" t="s">
        <v>330</v>
      </c>
      <c r="BY1163" s="2" t="s">
        <v>331</v>
      </c>
      <c r="BZ1163" s="2" t="s">
        <v>232</v>
      </c>
      <c r="CA1163" s="2" t="s">
        <v>235</v>
      </c>
      <c r="CB1163" s="2" t="s">
        <v>235</v>
      </c>
      <c r="CC1163" s="2" t="s">
        <v>248</v>
      </c>
      <c r="CD1163" s="2" t="s">
        <v>248</v>
      </c>
      <c r="CE1163" s="2" t="s">
        <v>235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>
        <v>230</v>
      </c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>
        <v>230</v>
      </c>
      <c r="GI1163" s="4">
        <v>230</v>
      </c>
      <c r="GJ1163" s="4">
        <v>228</v>
      </c>
      <c r="GK1163" s="4">
        <v>227</v>
      </c>
      <c r="GL1163" s="4">
        <v>225</v>
      </c>
      <c r="GM1163" s="4">
        <v>223</v>
      </c>
      <c r="GN1163" s="4">
        <v>221</v>
      </c>
      <c r="GO1163" s="4">
        <v>217</v>
      </c>
      <c r="GP1163" s="4">
        <v>209</v>
      </c>
      <c r="GQ1163" s="4">
        <v>199</v>
      </c>
      <c r="GR1163" s="4">
        <v>185</v>
      </c>
      <c r="GS1163" s="4">
        <v>179</v>
      </c>
      <c r="GT1163" s="4">
        <v>163</v>
      </c>
      <c r="GU1163" s="4">
        <v>158</v>
      </c>
      <c r="GV1163" s="4">
        <v>153</v>
      </c>
      <c r="GW1163" s="4">
        <v>145</v>
      </c>
      <c r="GX1163" s="4">
        <v>139</v>
      </c>
      <c r="GY1163" s="4">
        <v>133</v>
      </c>
      <c r="GZ1163" s="4">
        <v>132</v>
      </c>
      <c r="HA1163" s="4">
        <v>131</v>
      </c>
      <c r="HB1163" s="4">
        <v>129</v>
      </c>
      <c r="HC1163" s="4">
        <v>115</v>
      </c>
      <c r="HD1163" s="9"/>
      <c r="HE1163" s="9"/>
      <c r="HF1163" s="9"/>
      <c r="HG1163" s="9"/>
      <c r="HH1163" s="19">
        <v>230</v>
      </c>
      <c r="HI1163" s="19">
        <v>115</v>
      </c>
      <c r="HJ1163" s="19">
        <v>114</v>
      </c>
      <c r="HK1163" s="19">
        <v>113.5</v>
      </c>
      <c r="HL1163" s="19">
        <v>56.3</v>
      </c>
      <c r="HM1163" s="19">
        <v>37.2</v>
      </c>
      <c r="HN1163" s="19">
        <v>24.6</v>
      </c>
      <c r="HO1163" s="19">
        <v>21.7</v>
      </c>
      <c r="HP1163" s="19">
        <v>17.4</v>
      </c>
      <c r="HQ1163" s="19">
        <v>19.9</v>
      </c>
      <c r="HR1163" s="19">
        <v>23.1</v>
      </c>
      <c r="HS1163" s="19">
        <v>22.4</v>
      </c>
      <c r="HT1163" s="19">
        <v>27.2</v>
      </c>
      <c r="HU1163" s="19">
        <v>26.3</v>
      </c>
      <c r="HV1163" s="19">
        <v>30.6</v>
      </c>
      <c r="HW1163" s="19">
        <v>36.3</v>
      </c>
      <c r="HX1163" s="19">
        <v>69.5</v>
      </c>
      <c r="HY1163" s="19">
        <v>33.3</v>
      </c>
      <c r="HZ1163" s="19">
        <v>26.4</v>
      </c>
      <c r="IA1163" s="19">
        <v>18.7</v>
      </c>
      <c r="IB1163" s="19">
        <v>16.1</v>
      </c>
      <c r="IC1163" s="19">
        <v>19.2</v>
      </c>
    </row>
    <row r="1164">
      <c r="A1164" s="2" t="s">
        <v>4607</v>
      </c>
      <c r="B1164" s="2" t="s">
        <v>871</v>
      </c>
      <c r="C1164" s="2" t="s">
        <v>403</v>
      </c>
      <c r="D1164" s="2" t="s">
        <v>361</v>
      </c>
      <c r="E1164" s="2" t="s">
        <v>872</v>
      </c>
      <c r="F1164" s="2" t="s">
        <v>4595</v>
      </c>
      <c r="G1164" s="2" t="s">
        <v>4596</v>
      </c>
      <c r="H1164" s="2" t="s">
        <v>4597</v>
      </c>
      <c r="I1164" s="2" t="s">
        <v>4601</v>
      </c>
      <c r="J1164" s="2" t="s">
        <v>261</v>
      </c>
      <c r="K1164" s="2" t="s">
        <v>889</v>
      </c>
      <c r="L1164" s="3">
        <v>42.85</v>
      </c>
      <c r="M1164" s="3">
        <v>45</v>
      </c>
      <c r="N1164" s="3">
        <v>89.99</v>
      </c>
      <c r="O1164" s="2" t="s">
        <v>232</v>
      </c>
      <c r="P1164" s="2" t="s">
        <v>262</v>
      </c>
      <c r="Q1164" s="2" t="s">
        <v>234</v>
      </c>
      <c r="R1164" s="2" t="s">
        <v>235</v>
      </c>
      <c r="S1164" s="2" t="s">
        <v>235</v>
      </c>
      <c r="T1164" s="2" t="s">
        <v>879</v>
      </c>
      <c r="U1164" s="2" t="s">
        <v>742</v>
      </c>
      <c r="V1164" s="2" t="s">
        <v>1843</v>
      </c>
      <c r="W1164" s="2" t="s">
        <v>881</v>
      </c>
      <c r="X1164" s="2" t="s">
        <v>882</v>
      </c>
      <c r="Y1164" s="2" t="s">
        <v>235</v>
      </c>
      <c r="Z1164" s="4"/>
      <c r="AA1164" s="4">
        <f>=ROUNDDOWN({0},0)</f>
      </c>
      <c r="AB1164" s="5"/>
      <c r="AC1164" s="2" t="s">
        <v>2985</v>
      </c>
      <c r="AD1164" s="4">
        <v>500</v>
      </c>
      <c r="AE1164" s="4">
        <v>500</v>
      </c>
      <c r="AF1164" s="6">
        <v>31</v>
      </c>
      <c r="AG1164" s="6"/>
      <c r="AH1164" s="7"/>
      <c r="AI1164" s="4"/>
      <c r="AJ1164" s="4">
        <f>=ROUNDDOWN({0},0)</f>
      </c>
      <c r="AK1164" s="5"/>
      <c r="AL1164" s="2" t="s">
        <v>235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235</v>
      </c>
      <c r="AW1164" s="8" t="s">
        <v>235</v>
      </c>
      <c r="AX1164" s="4" t="s">
        <v>235</v>
      </c>
      <c r="AY1164" s="8" t="s">
        <v>235</v>
      </c>
      <c r="AZ1164" s="7" t="s">
        <v>235</v>
      </c>
      <c r="BA1164" s="7" t="s">
        <v>235</v>
      </c>
      <c r="BB1164" s="7"/>
      <c r="BC1164" s="4" t="s">
        <v>235</v>
      </c>
      <c r="BD1164" s="8" t="s">
        <v>235</v>
      </c>
      <c r="BE1164" s="4" t="s">
        <v>235</v>
      </c>
      <c r="BF1164" s="8" t="s">
        <v>235</v>
      </c>
      <c r="BG1164" s="7" t="s">
        <v>235</v>
      </c>
      <c r="BH1164" s="7" t="s">
        <v>235</v>
      </c>
      <c r="BI1164" s="7"/>
      <c r="BJ1164" s="4"/>
      <c r="BK1164" s="8"/>
      <c r="BL1164" s="2" t="s">
        <v>235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330</v>
      </c>
      <c r="BV1164" s="2" t="s">
        <v>235</v>
      </c>
      <c r="BW1164" s="2" t="s">
        <v>235</v>
      </c>
      <c r="BX1164" s="2" t="s">
        <v>330</v>
      </c>
      <c r="BY1164" s="2" t="s">
        <v>331</v>
      </c>
      <c r="BZ1164" s="2" t="s">
        <v>232</v>
      </c>
      <c r="CA1164" s="2" t="s">
        <v>235</v>
      </c>
      <c r="CB1164" s="2" t="s">
        <v>235</v>
      </c>
      <c r="CC1164" s="2" t="s">
        <v>248</v>
      </c>
      <c r="CD1164" s="2" t="s">
        <v>248</v>
      </c>
      <c r="CE1164" s="2" t="s">
        <v>235</v>
      </c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>
        <v>500</v>
      </c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>
        <v>500</v>
      </c>
      <c r="GI1164" s="4">
        <v>499</v>
      </c>
      <c r="GJ1164" s="4">
        <v>495</v>
      </c>
      <c r="GK1164" s="4">
        <v>493</v>
      </c>
      <c r="GL1164" s="4">
        <v>487</v>
      </c>
      <c r="GM1164" s="4">
        <v>484</v>
      </c>
      <c r="GN1164" s="4">
        <v>481</v>
      </c>
      <c r="GO1164" s="4">
        <v>477</v>
      </c>
      <c r="GP1164" s="4">
        <v>466</v>
      </c>
      <c r="GQ1164" s="4">
        <v>450</v>
      </c>
      <c r="GR1164" s="4">
        <v>427</v>
      </c>
      <c r="GS1164" s="4">
        <v>414</v>
      </c>
      <c r="GT1164" s="4">
        <v>387</v>
      </c>
      <c r="GU1164" s="4">
        <v>384</v>
      </c>
      <c r="GV1164" s="4">
        <v>372</v>
      </c>
      <c r="GW1164" s="4">
        <v>355</v>
      </c>
      <c r="GX1164" s="4">
        <v>346</v>
      </c>
      <c r="GY1164" s="4">
        <v>338</v>
      </c>
      <c r="GZ1164" s="4">
        <v>327</v>
      </c>
      <c r="HA1164" s="4">
        <v>322</v>
      </c>
      <c r="HB1164" s="4">
        <v>302</v>
      </c>
      <c r="HC1164" s="4">
        <v>266</v>
      </c>
      <c r="HD1164" s="9"/>
      <c r="HE1164" s="9"/>
      <c r="HF1164" s="9"/>
      <c r="HG1164" s="9"/>
      <c r="HH1164" s="19">
        <v>166.7</v>
      </c>
      <c r="HI1164" s="19">
        <v>124.8</v>
      </c>
      <c r="HJ1164" s="19">
        <v>123.8</v>
      </c>
      <c r="HK1164" s="19">
        <v>123.3</v>
      </c>
      <c r="HL1164" s="19">
        <v>97.4</v>
      </c>
      <c r="HM1164" s="19">
        <v>60.5</v>
      </c>
      <c r="HN1164" s="19">
        <v>34.4</v>
      </c>
      <c r="HO1164" s="19">
        <v>29.8</v>
      </c>
      <c r="HP1164" s="19">
        <v>23.3</v>
      </c>
      <c r="HQ1164" s="19">
        <v>28.1</v>
      </c>
      <c r="HR1164" s="19">
        <v>30.5</v>
      </c>
      <c r="HS1164" s="19">
        <v>27.6</v>
      </c>
      <c r="HT1164" s="19">
        <v>38.7</v>
      </c>
      <c r="HU1164" s="19">
        <v>32</v>
      </c>
      <c r="HV1164" s="19">
        <v>33.8</v>
      </c>
      <c r="HW1164" s="19">
        <v>44.4</v>
      </c>
      <c r="HX1164" s="19">
        <v>31.5</v>
      </c>
      <c r="HY1164" s="19">
        <v>18.8</v>
      </c>
      <c r="HZ1164" s="19">
        <v>16.4</v>
      </c>
      <c r="IA1164" s="19">
        <v>15.3</v>
      </c>
      <c r="IB1164" s="19">
        <v>15.9</v>
      </c>
      <c r="IC1164" s="19">
        <v>19</v>
      </c>
    </row>
    <row r="1165">
      <c r="A1165" s="2" t="s">
        <v>4608</v>
      </c>
      <c r="B1165" s="2" t="s">
        <v>871</v>
      </c>
      <c r="C1165" s="2" t="s">
        <v>403</v>
      </c>
      <c r="D1165" s="2" t="s">
        <v>361</v>
      </c>
      <c r="E1165" s="2" t="s">
        <v>872</v>
      </c>
      <c r="F1165" s="2" t="s">
        <v>4595</v>
      </c>
      <c r="G1165" s="2" t="s">
        <v>4596</v>
      </c>
      <c r="H1165" s="2" t="s">
        <v>4597</v>
      </c>
      <c r="I1165" s="2" t="s">
        <v>4601</v>
      </c>
      <c r="J1165" s="2" t="s">
        <v>270</v>
      </c>
      <c r="K1165" s="2" t="s">
        <v>889</v>
      </c>
      <c r="L1165" s="3">
        <v>47.62</v>
      </c>
      <c r="M1165" s="3">
        <v>50</v>
      </c>
      <c r="N1165" s="3">
        <v>99.99</v>
      </c>
      <c r="O1165" s="2" t="s">
        <v>232</v>
      </c>
      <c r="P1165" s="2" t="s">
        <v>262</v>
      </c>
      <c r="Q1165" s="2" t="s">
        <v>234</v>
      </c>
      <c r="R1165" s="2" t="s">
        <v>235</v>
      </c>
      <c r="S1165" s="2" t="s">
        <v>235</v>
      </c>
      <c r="T1165" s="2" t="s">
        <v>879</v>
      </c>
      <c r="U1165" s="2" t="s">
        <v>742</v>
      </c>
      <c r="V1165" s="2" t="s">
        <v>1843</v>
      </c>
      <c r="W1165" s="2" t="s">
        <v>881</v>
      </c>
      <c r="X1165" s="2" t="s">
        <v>882</v>
      </c>
      <c r="Y1165" s="2" t="s">
        <v>235</v>
      </c>
      <c r="Z1165" s="4"/>
      <c r="AA1165" s="4">
        <f>=ROUNDDOWN({0},0)</f>
      </c>
      <c r="AB1165" s="5"/>
      <c r="AC1165" s="2" t="s">
        <v>2985</v>
      </c>
      <c r="AD1165" s="4">
        <v>275</v>
      </c>
      <c r="AE1165" s="4">
        <v>275</v>
      </c>
      <c r="AF1165" s="6">
        <v>31</v>
      </c>
      <c r="AG1165" s="6"/>
      <c r="AH1165" s="7"/>
      <c r="AI1165" s="4"/>
      <c r="AJ1165" s="4">
        <f>=ROUNDDOWN({0},0)</f>
      </c>
      <c r="AK1165" s="5"/>
      <c r="AL1165" s="2" t="s">
        <v>235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235</v>
      </c>
      <c r="AW1165" s="8" t="s">
        <v>235</v>
      </c>
      <c r="AX1165" s="4" t="s">
        <v>235</v>
      </c>
      <c r="AY1165" s="8" t="s">
        <v>235</v>
      </c>
      <c r="AZ1165" s="7" t="s">
        <v>235</v>
      </c>
      <c r="BA1165" s="7" t="s">
        <v>235</v>
      </c>
      <c r="BB1165" s="7"/>
      <c r="BC1165" s="4" t="s">
        <v>235</v>
      </c>
      <c r="BD1165" s="8" t="s">
        <v>235</v>
      </c>
      <c r="BE1165" s="4" t="s">
        <v>235</v>
      </c>
      <c r="BF1165" s="8" t="s">
        <v>235</v>
      </c>
      <c r="BG1165" s="7" t="s">
        <v>235</v>
      </c>
      <c r="BH1165" s="7" t="s">
        <v>235</v>
      </c>
      <c r="BI1165" s="7"/>
      <c r="BJ1165" s="4"/>
      <c r="BK1165" s="8"/>
      <c r="BL1165" s="2" t="s">
        <v>235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330</v>
      </c>
      <c r="BV1165" s="2" t="s">
        <v>235</v>
      </c>
      <c r="BW1165" s="2" t="s">
        <v>235</v>
      </c>
      <c r="BX1165" s="2" t="s">
        <v>330</v>
      </c>
      <c r="BY1165" s="2" t="s">
        <v>331</v>
      </c>
      <c r="BZ1165" s="2" t="s">
        <v>232</v>
      </c>
      <c r="CA1165" s="2" t="s">
        <v>235</v>
      </c>
      <c r="CB1165" s="2" t="s">
        <v>235</v>
      </c>
      <c r="CC1165" s="2" t="s">
        <v>248</v>
      </c>
      <c r="CD1165" s="2" t="s">
        <v>248</v>
      </c>
      <c r="CE1165" s="2" t="s">
        <v>235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>
        <v>275</v>
      </c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>
        <v>275</v>
      </c>
      <c r="GI1165" s="4">
        <v>275</v>
      </c>
      <c r="GJ1165" s="4">
        <v>273</v>
      </c>
      <c r="GK1165" s="4">
        <v>271</v>
      </c>
      <c r="GL1165" s="4">
        <v>269</v>
      </c>
      <c r="GM1165" s="4">
        <v>268</v>
      </c>
      <c r="GN1165" s="4">
        <v>265</v>
      </c>
      <c r="GO1165" s="4">
        <v>263</v>
      </c>
      <c r="GP1165" s="4">
        <v>254</v>
      </c>
      <c r="GQ1165" s="4">
        <v>248</v>
      </c>
      <c r="GR1165" s="4">
        <v>238</v>
      </c>
      <c r="GS1165" s="4">
        <v>228</v>
      </c>
      <c r="GT1165" s="4">
        <v>218</v>
      </c>
      <c r="GU1165" s="4">
        <v>209</v>
      </c>
      <c r="GV1165" s="4">
        <v>203</v>
      </c>
      <c r="GW1165" s="4">
        <v>201</v>
      </c>
      <c r="GX1165" s="4">
        <v>198</v>
      </c>
      <c r="GY1165" s="4">
        <v>196</v>
      </c>
      <c r="GZ1165" s="4">
        <v>189</v>
      </c>
      <c r="HA1165" s="4">
        <v>186</v>
      </c>
      <c r="HB1165" s="4">
        <v>176</v>
      </c>
      <c r="HC1165" s="4">
        <v>156</v>
      </c>
      <c r="HD1165" s="9"/>
      <c r="HE1165" s="9"/>
      <c r="HF1165" s="9"/>
      <c r="HG1165" s="9"/>
      <c r="HH1165" s="19">
        <v>137.5</v>
      </c>
      <c r="HI1165" s="19">
        <v>137.5</v>
      </c>
      <c r="HJ1165" s="19">
        <v>136.5</v>
      </c>
      <c r="HK1165" s="19">
        <v>135.5</v>
      </c>
      <c r="HL1165" s="19">
        <v>67.3</v>
      </c>
      <c r="HM1165" s="19">
        <v>53.6</v>
      </c>
      <c r="HN1165" s="19">
        <v>37.9</v>
      </c>
      <c r="HO1165" s="19">
        <v>29.2</v>
      </c>
      <c r="HP1165" s="19">
        <v>28.2</v>
      </c>
      <c r="HQ1165" s="19">
        <v>24.8</v>
      </c>
      <c r="HR1165" s="19">
        <v>26.4</v>
      </c>
      <c r="HS1165" s="19">
        <v>32.6</v>
      </c>
      <c r="HT1165" s="19">
        <v>43.6</v>
      </c>
      <c r="HU1165" s="19">
        <v>69.7</v>
      </c>
      <c r="HV1165" s="19">
        <v>50.8</v>
      </c>
      <c r="HW1165" s="19">
        <v>50.3</v>
      </c>
      <c r="HX1165" s="19">
        <v>33</v>
      </c>
      <c r="HY1165" s="19">
        <v>19.6</v>
      </c>
      <c r="HZ1165" s="19">
        <v>18.9</v>
      </c>
      <c r="IA1165" s="19">
        <v>15.5</v>
      </c>
      <c r="IB1165" s="19">
        <v>17.6</v>
      </c>
      <c r="IC1165" s="19">
        <v>26</v>
      </c>
    </row>
    <row r="1166">
      <c r="A1166" s="2" t="s">
        <v>4609</v>
      </c>
      <c r="B1166" s="2" t="s">
        <v>871</v>
      </c>
      <c r="C1166" s="2" t="s">
        <v>403</v>
      </c>
      <c r="D1166" s="2" t="s">
        <v>361</v>
      </c>
      <c r="E1166" s="2" t="s">
        <v>872</v>
      </c>
      <c r="F1166" s="2" t="s">
        <v>4595</v>
      </c>
      <c r="G1166" s="2" t="s">
        <v>4596</v>
      </c>
      <c r="H1166" s="2" t="s">
        <v>4597</v>
      </c>
      <c r="I1166" s="2" t="s">
        <v>4601</v>
      </c>
      <c r="J1166" s="2" t="s">
        <v>272</v>
      </c>
      <c r="K1166" s="2" t="s">
        <v>889</v>
      </c>
      <c r="L1166" s="3">
        <v>47.62</v>
      </c>
      <c r="M1166" s="3">
        <v>50</v>
      </c>
      <c r="N1166" s="3">
        <v>99.99</v>
      </c>
      <c r="O1166" s="2" t="s">
        <v>232</v>
      </c>
      <c r="P1166" s="2" t="s">
        <v>262</v>
      </c>
      <c r="Q1166" s="2" t="s">
        <v>234</v>
      </c>
      <c r="R1166" s="2" t="s">
        <v>235</v>
      </c>
      <c r="S1166" s="2" t="s">
        <v>235</v>
      </c>
      <c r="T1166" s="2" t="s">
        <v>879</v>
      </c>
      <c r="U1166" s="2" t="s">
        <v>742</v>
      </c>
      <c r="V1166" s="2" t="s">
        <v>1843</v>
      </c>
      <c r="W1166" s="2" t="s">
        <v>881</v>
      </c>
      <c r="X1166" s="2" t="s">
        <v>882</v>
      </c>
      <c r="Y1166" s="2" t="s">
        <v>235</v>
      </c>
      <c r="Z1166" s="4"/>
      <c r="AA1166" s="4">
        <f>=ROUNDDOWN({0},0)</f>
      </c>
      <c r="AB1166" s="5"/>
      <c r="AC1166" s="2" t="s">
        <v>2985</v>
      </c>
      <c r="AD1166" s="4">
        <v>115</v>
      </c>
      <c r="AE1166" s="4">
        <v>115</v>
      </c>
      <c r="AF1166" s="6">
        <v>31</v>
      </c>
      <c r="AG1166" s="6"/>
      <c r="AH1166" s="7"/>
      <c r="AI1166" s="4"/>
      <c r="AJ1166" s="4">
        <f>=ROUNDDOWN({0},0)</f>
      </c>
      <c r="AK1166" s="5"/>
      <c r="AL1166" s="2" t="s">
        <v>235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235</v>
      </c>
      <c r="AW1166" s="8" t="s">
        <v>235</v>
      </c>
      <c r="AX1166" s="4" t="s">
        <v>235</v>
      </c>
      <c r="AY1166" s="8" t="s">
        <v>235</v>
      </c>
      <c r="AZ1166" s="7" t="s">
        <v>235</v>
      </c>
      <c r="BA1166" s="7" t="s">
        <v>235</v>
      </c>
      <c r="BB1166" s="7"/>
      <c r="BC1166" s="4" t="s">
        <v>235</v>
      </c>
      <c r="BD1166" s="8" t="s">
        <v>235</v>
      </c>
      <c r="BE1166" s="4" t="s">
        <v>235</v>
      </c>
      <c r="BF1166" s="8" t="s">
        <v>235</v>
      </c>
      <c r="BG1166" s="7" t="s">
        <v>235</v>
      </c>
      <c r="BH1166" s="7" t="s">
        <v>235</v>
      </c>
      <c r="BI1166" s="7"/>
      <c r="BJ1166" s="4"/>
      <c r="BK1166" s="8"/>
      <c r="BL1166" s="2" t="s">
        <v>235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330</v>
      </c>
      <c r="BV1166" s="2" t="s">
        <v>235</v>
      </c>
      <c r="BW1166" s="2" t="s">
        <v>235</v>
      </c>
      <c r="BX1166" s="2" t="s">
        <v>330</v>
      </c>
      <c r="BY1166" s="2" t="s">
        <v>331</v>
      </c>
      <c r="BZ1166" s="2" t="s">
        <v>232</v>
      </c>
      <c r="CA1166" s="2" t="s">
        <v>235</v>
      </c>
      <c r="CB1166" s="2" t="s">
        <v>235</v>
      </c>
      <c r="CC1166" s="2" t="s">
        <v>248</v>
      </c>
      <c r="CD1166" s="2" t="s">
        <v>248</v>
      </c>
      <c r="CE1166" s="2" t="s">
        <v>235</v>
      </c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>
        <v>115</v>
      </c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>
        <v>115</v>
      </c>
      <c r="GI1166" s="4">
        <v>115</v>
      </c>
      <c r="GJ1166" s="4">
        <v>114</v>
      </c>
      <c r="GK1166" s="4">
        <v>113</v>
      </c>
      <c r="GL1166" s="4">
        <v>112</v>
      </c>
      <c r="GM1166" s="4">
        <v>111</v>
      </c>
      <c r="GN1166" s="4">
        <v>110</v>
      </c>
      <c r="GO1166" s="4">
        <v>109</v>
      </c>
      <c r="GP1166" s="4">
        <v>106</v>
      </c>
      <c r="GQ1166" s="4">
        <v>101</v>
      </c>
      <c r="GR1166" s="4">
        <v>99</v>
      </c>
      <c r="GS1166" s="4">
        <v>96</v>
      </c>
      <c r="GT1166" s="4">
        <v>93</v>
      </c>
      <c r="GU1166" s="4">
        <v>91</v>
      </c>
      <c r="GV1166" s="4">
        <v>89</v>
      </c>
      <c r="GW1166" s="4">
        <v>87</v>
      </c>
      <c r="GX1166" s="4">
        <v>86</v>
      </c>
      <c r="GY1166" s="4">
        <v>83</v>
      </c>
      <c r="GZ1166" s="4">
        <v>82</v>
      </c>
      <c r="HA1166" s="4">
        <v>80</v>
      </c>
      <c r="HB1166" s="4">
        <v>76</v>
      </c>
      <c r="HC1166" s="4">
        <v>69</v>
      </c>
      <c r="HD1166" s="9"/>
      <c r="HE1166" s="9"/>
      <c r="HF1166" s="9"/>
      <c r="HG1166" s="9"/>
      <c r="HH1166" s="19">
        <v>115</v>
      </c>
      <c r="HI1166" s="19">
        <v>115</v>
      </c>
      <c r="HJ1166" s="19">
        <v>114</v>
      </c>
      <c r="HK1166" s="19">
        <v>113</v>
      </c>
      <c r="HL1166" s="19">
        <v>56</v>
      </c>
      <c r="HM1166" s="19">
        <v>55.5</v>
      </c>
      <c r="HN1166" s="19">
        <v>36.7</v>
      </c>
      <c r="HO1166" s="19">
        <v>36.3</v>
      </c>
      <c r="HP1166" s="19">
        <v>35.3</v>
      </c>
      <c r="HQ1166" s="19">
        <v>50.5</v>
      </c>
      <c r="HR1166" s="19">
        <v>49.5</v>
      </c>
      <c r="HS1166" s="19">
        <v>48</v>
      </c>
      <c r="HT1166" s="19">
        <v>46.5</v>
      </c>
      <c r="HU1166" s="19">
        <v>45.5</v>
      </c>
      <c r="HV1166" s="19">
        <v>44.5</v>
      </c>
      <c r="HW1166" s="19">
        <v>43.5</v>
      </c>
      <c r="HX1166" s="19">
        <v>43</v>
      </c>
      <c r="HY1166" s="19">
        <v>20.8</v>
      </c>
      <c r="HZ1166" s="19">
        <v>16.4</v>
      </c>
      <c r="IA1166" s="19">
        <v>16</v>
      </c>
      <c r="IB1166" s="19">
        <v>15.2</v>
      </c>
      <c r="IC1166" s="19">
        <v>23</v>
      </c>
    </row>
    <row r="1167">
      <c r="A1167" s="2" t="s">
        <v>4610</v>
      </c>
      <c r="B1167" s="2" t="s">
        <v>871</v>
      </c>
      <c r="C1167" s="2" t="s">
        <v>403</v>
      </c>
      <c r="D1167" s="2" t="s">
        <v>361</v>
      </c>
      <c r="E1167" s="2" t="s">
        <v>872</v>
      </c>
      <c r="F1167" s="2" t="s">
        <v>4595</v>
      </c>
      <c r="G1167" s="2" t="s">
        <v>4596</v>
      </c>
      <c r="H1167" s="2" t="s">
        <v>4597</v>
      </c>
      <c r="I1167" s="2" t="s">
        <v>4598</v>
      </c>
      <c r="J1167" s="2" t="s">
        <v>394</v>
      </c>
      <c r="K1167" s="2" t="s">
        <v>4611</v>
      </c>
      <c r="L1167" s="3">
        <v>33.32</v>
      </c>
      <c r="M1167" s="3">
        <v>35</v>
      </c>
      <c r="N1167" s="3">
        <v>69.99</v>
      </c>
      <c r="O1167" s="2" t="s">
        <v>232</v>
      </c>
      <c r="P1167" s="2" t="s">
        <v>262</v>
      </c>
      <c r="Q1167" s="2" t="s">
        <v>234</v>
      </c>
      <c r="R1167" s="2" t="s">
        <v>235</v>
      </c>
      <c r="S1167" s="2" t="s">
        <v>235</v>
      </c>
      <c r="T1167" s="2" t="s">
        <v>879</v>
      </c>
      <c r="U1167" s="2" t="s">
        <v>282</v>
      </c>
      <c r="V1167" s="2" t="s">
        <v>1843</v>
      </c>
      <c r="W1167" s="2" t="s">
        <v>881</v>
      </c>
      <c r="X1167" s="2" t="s">
        <v>882</v>
      </c>
      <c r="Y1167" s="2" t="s">
        <v>235</v>
      </c>
      <c r="Z1167" s="4"/>
      <c r="AA1167" s="4">
        <f>=ROUNDDOWN({0},0)</f>
      </c>
      <c r="AB1167" s="5"/>
      <c r="AC1167" s="2" t="s">
        <v>2985</v>
      </c>
      <c r="AD1167" s="4">
        <v>170</v>
      </c>
      <c r="AE1167" s="4">
        <v>170</v>
      </c>
      <c r="AF1167" s="6">
        <v>31</v>
      </c>
      <c r="AG1167" s="6"/>
      <c r="AH1167" s="7"/>
      <c r="AI1167" s="4"/>
      <c r="AJ1167" s="4">
        <f>=ROUNDDOWN({0},0)</f>
      </c>
      <c r="AK1167" s="5"/>
      <c r="AL1167" s="2" t="s">
        <v>235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235</v>
      </c>
      <c r="AW1167" s="8" t="s">
        <v>235</v>
      </c>
      <c r="AX1167" s="4" t="s">
        <v>235</v>
      </c>
      <c r="AY1167" s="8" t="s">
        <v>235</v>
      </c>
      <c r="AZ1167" s="7" t="s">
        <v>235</v>
      </c>
      <c r="BA1167" s="7" t="s">
        <v>235</v>
      </c>
      <c r="BB1167" s="7"/>
      <c r="BC1167" s="4" t="s">
        <v>235</v>
      </c>
      <c r="BD1167" s="8" t="s">
        <v>235</v>
      </c>
      <c r="BE1167" s="4" t="s">
        <v>235</v>
      </c>
      <c r="BF1167" s="8" t="s">
        <v>235</v>
      </c>
      <c r="BG1167" s="7" t="s">
        <v>235</v>
      </c>
      <c r="BH1167" s="7" t="s">
        <v>235</v>
      </c>
      <c r="BI1167" s="7"/>
      <c r="BJ1167" s="4"/>
      <c r="BK1167" s="8"/>
      <c r="BL1167" s="2" t="s">
        <v>235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330</v>
      </c>
      <c r="BV1167" s="2" t="s">
        <v>235</v>
      </c>
      <c r="BW1167" s="2" t="s">
        <v>235</v>
      </c>
      <c r="BX1167" s="2" t="s">
        <v>330</v>
      </c>
      <c r="BY1167" s="2" t="s">
        <v>331</v>
      </c>
      <c r="BZ1167" s="2" t="s">
        <v>232</v>
      </c>
      <c r="CA1167" s="2" t="s">
        <v>235</v>
      </c>
      <c r="CB1167" s="2" t="s">
        <v>235</v>
      </c>
      <c r="CC1167" s="2" t="s">
        <v>248</v>
      </c>
      <c r="CD1167" s="2" t="s">
        <v>248</v>
      </c>
      <c r="CE1167" s="2" t="s">
        <v>235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>
        <v>170</v>
      </c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>
        <v>170</v>
      </c>
      <c r="GI1167" s="4">
        <v>170</v>
      </c>
      <c r="GJ1167" s="4">
        <v>167</v>
      </c>
      <c r="GK1167" s="4">
        <v>167</v>
      </c>
      <c r="GL1167" s="4">
        <v>165</v>
      </c>
      <c r="GM1167" s="4">
        <v>165</v>
      </c>
      <c r="GN1167" s="4">
        <v>164</v>
      </c>
      <c r="GO1167" s="4">
        <v>162</v>
      </c>
      <c r="GP1167" s="4">
        <v>158</v>
      </c>
      <c r="GQ1167" s="4">
        <v>154</v>
      </c>
      <c r="GR1167" s="4">
        <v>150</v>
      </c>
      <c r="GS1167" s="4">
        <v>141</v>
      </c>
      <c r="GT1167" s="4">
        <v>132</v>
      </c>
      <c r="GU1167" s="4">
        <v>126</v>
      </c>
      <c r="GV1167" s="4">
        <v>122</v>
      </c>
      <c r="GW1167" s="4">
        <v>117</v>
      </c>
      <c r="GX1167" s="4">
        <v>111</v>
      </c>
      <c r="GY1167" s="4">
        <v>110</v>
      </c>
      <c r="GZ1167" s="4">
        <v>104</v>
      </c>
      <c r="HA1167" s="4">
        <v>100</v>
      </c>
      <c r="HB1167" s="4">
        <v>94</v>
      </c>
      <c r="HC1167" s="4">
        <v>80</v>
      </c>
      <c r="HD1167" s="9"/>
      <c r="HE1167" s="9"/>
      <c r="HF1167" s="9"/>
      <c r="HG1167" s="9"/>
      <c r="HH1167" s="19">
        <v>170</v>
      </c>
      <c r="HI1167" s="19">
        <v>170</v>
      </c>
      <c r="HJ1167" s="19">
        <v>167</v>
      </c>
      <c r="HK1167" s="19">
        <v>167</v>
      </c>
      <c r="HL1167" s="19">
        <v>82.5</v>
      </c>
      <c r="HM1167" s="19">
        <v>55</v>
      </c>
      <c r="HN1167" s="19">
        <v>41</v>
      </c>
      <c r="HO1167" s="19">
        <v>32.4</v>
      </c>
      <c r="HP1167" s="19">
        <v>26.3</v>
      </c>
      <c r="HQ1167" s="19">
        <v>22</v>
      </c>
      <c r="HR1167" s="19">
        <v>21.4</v>
      </c>
      <c r="HS1167" s="19">
        <v>23.5</v>
      </c>
      <c r="HT1167" s="19">
        <v>26.4</v>
      </c>
      <c r="HU1167" s="19">
        <v>31.5</v>
      </c>
      <c r="HV1167" s="19">
        <v>30.5</v>
      </c>
      <c r="HW1167" s="19">
        <v>29.3</v>
      </c>
      <c r="HX1167" s="19">
        <v>27.8</v>
      </c>
      <c r="HY1167" s="19">
        <v>13.8</v>
      </c>
      <c r="HZ1167" s="19">
        <v>14.9</v>
      </c>
      <c r="IA1167" s="19">
        <v>14.3</v>
      </c>
      <c r="IB1167" s="19">
        <v>13.4</v>
      </c>
      <c r="IC1167" s="19">
        <v>20</v>
      </c>
    </row>
    <row r="1168">
      <c r="A1168" s="2" t="s">
        <v>4612</v>
      </c>
      <c r="B1168" s="2" t="s">
        <v>871</v>
      </c>
      <c r="C1168" s="2" t="s">
        <v>403</v>
      </c>
      <c r="D1168" s="2" t="s">
        <v>361</v>
      </c>
      <c r="E1168" s="2" t="s">
        <v>872</v>
      </c>
      <c r="F1168" s="2" t="s">
        <v>4595</v>
      </c>
      <c r="G1168" s="2" t="s">
        <v>4596</v>
      </c>
      <c r="H1168" s="2" t="s">
        <v>4597</v>
      </c>
      <c r="I1168" s="2" t="s">
        <v>4601</v>
      </c>
      <c r="J1168" s="2" t="s">
        <v>250</v>
      </c>
      <c r="K1168" s="2" t="s">
        <v>4611</v>
      </c>
      <c r="L1168" s="3">
        <v>38.09</v>
      </c>
      <c r="M1168" s="3">
        <v>40</v>
      </c>
      <c r="N1168" s="3">
        <v>79.99</v>
      </c>
      <c r="O1168" s="2" t="s">
        <v>232</v>
      </c>
      <c r="P1168" s="2" t="s">
        <v>262</v>
      </c>
      <c r="Q1168" s="2" t="s">
        <v>234</v>
      </c>
      <c r="R1168" s="2" t="s">
        <v>235</v>
      </c>
      <c r="S1168" s="2" t="s">
        <v>235</v>
      </c>
      <c r="T1168" s="2" t="s">
        <v>879</v>
      </c>
      <c r="U1168" s="2" t="s">
        <v>742</v>
      </c>
      <c r="V1168" s="2" t="s">
        <v>1843</v>
      </c>
      <c r="W1168" s="2" t="s">
        <v>881</v>
      </c>
      <c r="X1168" s="2" t="s">
        <v>882</v>
      </c>
      <c r="Y1168" s="2" t="s">
        <v>235</v>
      </c>
      <c r="Z1168" s="4"/>
      <c r="AA1168" s="4">
        <f>=ROUNDDOWN({0},0)</f>
      </c>
      <c r="AB1168" s="5"/>
      <c r="AC1168" s="2" t="s">
        <v>2985</v>
      </c>
      <c r="AD1168" s="4">
        <v>260</v>
      </c>
      <c r="AE1168" s="4">
        <v>260</v>
      </c>
      <c r="AF1168" s="6">
        <v>31</v>
      </c>
      <c r="AG1168" s="6"/>
      <c r="AH1168" s="7"/>
      <c r="AI1168" s="4"/>
      <c r="AJ1168" s="4">
        <f>=ROUNDDOWN({0},0)</f>
      </c>
      <c r="AK1168" s="5"/>
      <c r="AL1168" s="2" t="s">
        <v>235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235</v>
      </c>
      <c r="AW1168" s="8" t="s">
        <v>235</v>
      </c>
      <c r="AX1168" s="4" t="s">
        <v>235</v>
      </c>
      <c r="AY1168" s="8" t="s">
        <v>235</v>
      </c>
      <c r="AZ1168" s="7" t="s">
        <v>235</v>
      </c>
      <c r="BA1168" s="7" t="s">
        <v>235</v>
      </c>
      <c r="BB1168" s="7"/>
      <c r="BC1168" s="4" t="s">
        <v>235</v>
      </c>
      <c r="BD1168" s="8" t="s">
        <v>235</v>
      </c>
      <c r="BE1168" s="4" t="s">
        <v>235</v>
      </c>
      <c r="BF1168" s="8" t="s">
        <v>235</v>
      </c>
      <c r="BG1168" s="7" t="s">
        <v>235</v>
      </c>
      <c r="BH1168" s="7" t="s">
        <v>235</v>
      </c>
      <c r="BI1168" s="7"/>
      <c r="BJ1168" s="4"/>
      <c r="BK1168" s="8"/>
      <c r="BL1168" s="2" t="s">
        <v>235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330</v>
      </c>
      <c r="BV1168" s="2" t="s">
        <v>235</v>
      </c>
      <c r="BW1168" s="2" t="s">
        <v>235</v>
      </c>
      <c r="BX1168" s="2" t="s">
        <v>330</v>
      </c>
      <c r="BY1168" s="2" t="s">
        <v>331</v>
      </c>
      <c r="BZ1168" s="2" t="s">
        <v>232</v>
      </c>
      <c r="CA1168" s="2" t="s">
        <v>235</v>
      </c>
      <c r="CB1168" s="2" t="s">
        <v>235</v>
      </c>
      <c r="CC1168" s="2" t="s">
        <v>248</v>
      </c>
      <c r="CD1168" s="2" t="s">
        <v>248</v>
      </c>
      <c r="CE1168" s="2" t="s">
        <v>235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>
        <v>260</v>
      </c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>
        <v>260</v>
      </c>
      <c r="GI1168" s="4">
        <v>259</v>
      </c>
      <c r="GJ1168" s="4">
        <v>257</v>
      </c>
      <c r="GK1168" s="4">
        <v>256</v>
      </c>
      <c r="GL1168" s="4">
        <v>253</v>
      </c>
      <c r="GM1168" s="4">
        <v>251</v>
      </c>
      <c r="GN1168" s="4">
        <v>248</v>
      </c>
      <c r="GO1168" s="4">
        <v>243</v>
      </c>
      <c r="GP1168" s="4">
        <v>234</v>
      </c>
      <c r="GQ1168" s="4">
        <v>223</v>
      </c>
      <c r="GR1168" s="4">
        <v>207</v>
      </c>
      <c r="GS1168" s="4">
        <v>200</v>
      </c>
      <c r="GT1168" s="4">
        <v>182</v>
      </c>
      <c r="GU1168" s="4">
        <v>176</v>
      </c>
      <c r="GV1168" s="4">
        <v>170</v>
      </c>
      <c r="GW1168" s="4">
        <v>161</v>
      </c>
      <c r="GX1168" s="4">
        <v>155</v>
      </c>
      <c r="GY1168" s="4">
        <v>149</v>
      </c>
      <c r="GZ1168" s="4">
        <v>148</v>
      </c>
      <c r="HA1168" s="4">
        <v>147</v>
      </c>
      <c r="HB1168" s="4">
        <v>145</v>
      </c>
      <c r="HC1168" s="4">
        <v>129</v>
      </c>
      <c r="HD1168" s="9"/>
      <c r="HE1168" s="9"/>
      <c r="HF1168" s="9"/>
      <c r="HG1168" s="9"/>
      <c r="HH1168" s="19">
        <v>130</v>
      </c>
      <c r="HI1168" s="19">
        <v>129.5</v>
      </c>
      <c r="HJ1168" s="19">
        <v>128.5</v>
      </c>
      <c r="HK1168" s="19">
        <v>85.3</v>
      </c>
      <c r="HL1168" s="19">
        <v>50.6</v>
      </c>
      <c r="HM1168" s="19">
        <v>35.9</v>
      </c>
      <c r="HN1168" s="19">
        <v>24.8</v>
      </c>
      <c r="HO1168" s="19">
        <v>22.1</v>
      </c>
      <c r="HP1168" s="19">
        <v>18</v>
      </c>
      <c r="HQ1168" s="19">
        <v>18.6</v>
      </c>
      <c r="HR1168" s="19">
        <v>23</v>
      </c>
      <c r="HS1168" s="19">
        <v>20</v>
      </c>
      <c r="HT1168" s="19">
        <v>26</v>
      </c>
      <c r="HU1168" s="19">
        <v>25.1</v>
      </c>
      <c r="HV1168" s="19">
        <v>28.3</v>
      </c>
      <c r="HW1168" s="19">
        <v>40.3</v>
      </c>
      <c r="HX1168" s="19">
        <v>77.5</v>
      </c>
      <c r="HY1168" s="19">
        <v>29.8</v>
      </c>
      <c r="HZ1168" s="19">
        <v>24.7</v>
      </c>
      <c r="IA1168" s="19">
        <v>18.4</v>
      </c>
      <c r="IB1168" s="19">
        <v>14.5</v>
      </c>
      <c r="IC1168" s="19">
        <v>18.4</v>
      </c>
    </row>
    <row r="1169">
      <c r="A1169" s="2" t="s">
        <v>4613</v>
      </c>
      <c r="B1169" s="2" t="s">
        <v>871</v>
      </c>
      <c r="C1169" s="2" t="s">
        <v>403</v>
      </c>
      <c r="D1169" s="2" t="s">
        <v>361</v>
      </c>
      <c r="E1169" s="2" t="s">
        <v>872</v>
      </c>
      <c r="F1169" s="2" t="s">
        <v>4595</v>
      </c>
      <c r="G1169" s="2" t="s">
        <v>4596</v>
      </c>
      <c r="H1169" s="2" t="s">
        <v>4597</v>
      </c>
      <c r="I1169" s="2" t="s">
        <v>4601</v>
      </c>
      <c r="J1169" s="2" t="s">
        <v>261</v>
      </c>
      <c r="K1169" s="2" t="s">
        <v>4611</v>
      </c>
      <c r="L1169" s="3">
        <v>42.85</v>
      </c>
      <c r="M1169" s="3">
        <v>45</v>
      </c>
      <c r="N1169" s="3">
        <v>89.99</v>
      </c>
      <c r="O1169" s="2" t="s">
        <v>232</v>
      </c>
      <c r="P1169" s="2" t="s">
        <v>262</v>
      </c>
      <c r="Q1169" s="2" t="s">
        <v>234</v>
      </c>
      <c r="R1169" s="2" t="s">
        <v>235</v>
      </c>
      <c r="S1169" s="2" t="s">
        <v>235</v>
      </c>
      <c r="T1169" s="2" t="s">
        <v>879</v>
      </c>
      <c r="U1169" s="2" t="s">
        <v>742</v>
      </c>
      <c r="V1169" s="2" t="s">
        <v>1843</v>
      </c>
      <c r="W1169" s="2" t="s">
        <v>881</v>
      </c>
      <c r="X1169" s="2" t="s">
        <v>882</v>
      </c>
      <c r="Y1169" s="2" t="s">
        <v>235</v>
      </c>
      <c r="Z1169" s="4"/>
      <c r="AA1169" s="4">
        <f>=ROUNDDOWN({0},0)</f>
      </c>
      <c r="AB1169" s="5"/>
      <c r="AC1169" s="2" t="s">
        <v>2985</v>
      </c>
      <c r="AD1169" s="4">
        <v>590</v>
      </c>
      <c r="AE1169" s="4">
        <v>590</v>
      </c>
      <c r="AF1169" s="6">
        <v>31</v>
      </c>
      <c r="AG1169" s="6"/>
      <c r="AH1169" s="7"/>
      <c r="AI1169" s="4"/>
      <c r="AJ1169" s="4">
        <f>=ROUNDDOWN({0},0)</f>
      </c>
      <c r="AK1169" s="5"/>
      <c r="AL1169" s="2" t="s">
        <v>235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235</v>
      </c>
      <c r="AW1169" s="8" t="s">
        <v>235</v>
      </c>
      <c r="AX1169" s="4" t="s">
        <v>235</v>
      </c>
      <c r="AY1169" s="8" t="s">
        <v>235</v>
      </c>
      <c r="AZ1169" s="7" t="s">
        <v>235</v>
      </c>
      <c r="BA1169" s="7" t="s">
        <v>235</v>
      </c>
      <c r="BB1169" s="7"/>
      <c r="BC1169" s="4" t="s">
        <v>235</v>
      </c>
      <c r="BD1169" s="8" t="s">
        <v>235</v>
      </c>
      <c r="BE1169" s="4" t="s">
        <v>235</v>
      </c>
      <c r="BF1169" s="8" t="s">
        <v>235</v>
      </c>
      <c r="BG1169" s="7" t="s">
        <v>235</v>
      </c>
      <c r="BH1169" s="7" t="s">
        <v>235</v>
      </c>
      <c r="BI1169" s="7"/>
      <c r="BJ1169" s="4"/>
      <c r="BK1169" s="8"/>
      <c r="BL1169" s="2" t="s">
        <v>235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330</v>
      </c>
      <c r="BV1169" s="2" t="s">
        <v>235</v>
      </c>
      <c r="BW1169" s="2" t="s">
        <v>235</v>
      </c>
      <c r="BX1169" s="2" t="s">
        <v>330</v>
      </c>
      <c r="BY1169" s="2" t="s">
        <v>331</v>
      </c>
      <c r="BZ1169" s="2" t="s">
        <v>232</v>
      </c>
      <c r="CA1169" s="2" t="s">
        <v>235</v>
      </c>
      <c r="CB1169" s="2" t="s">
        <v>235</v>
      </c>
      <c r="CC1169" s="2" t="s">
        <v>248</v>
      </c>
      <c r="CD1169" s="2" t="s">
        <v>248</v>
      </c>
      <c r="CE1169" s="2" t="s">
        <v>235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>
        <v>590</v>
      </c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>
        <v>590</v>
      </c>
      <c r="GI1169" s="4">
        <v>589</v>
      </c>
      <c r="GJ1169" s="4">
        <v>584</v>
      </c>
      <c r="GK1169" s="4">
        <v>582</v>
      </c>
      <c r="GL1169" s="4">
        <v>575</v>
      </c>
      <c r="GM1169" s="4">
        <v>572</v>
      </c>
      <c r="GN1169" s="4">
        <v>569</v>
      </c>
      <c r="GO1169" s="4">
        <v>565</v>
      </c>
      <c r="GP1169" s="4">
        <v>552</v>
      </c>
      <c r="GQ1169" s="4">
        <v>533</v>
      </c>
      <c r="GR1169" s="4">
        <v>506</v>
      </c>
      <c r="GS1169" s="4">
        <v>491</v>
      </c>
      <c r="GT1169" s="4">
        <v>460</v>
      </c>
      <c r="GU1169" s="4">
        <v>457</v>
      </c>
      <c r="GV1169" s="4">
        <v>443</v>
      </c>
      <c r="GW1169" s="4">
        <v>424</v>
      </c>
      <c r="GX1169" s="4">
        <v>414</v>
      </c>
      <c r="GY1169" s="4">
        <v>405</v>
      </c>
      <c r="GZ1169" s="4">
        <v>393</v>
      </c>
      <c r="HA1169" s="4">
        <v>388</v>
      </c>
      <c r="HB1169" s="4">
        <v>366</v>
      </c>
      <c r="HC1169" s="4">
        <v>325</v>
      </c>
      <c r="HD1169" s="9"/>
      <c r="HE1169" s="9"/>
      <c r="HF1169" s="9"/>
      <c r="HG1169" s="9"/>
      <c r="HH1169" s="19">
        <v>147.5</v>
      </c>
      <c r="HI1169" s="19">
        <v>147.3</v>
      </c>
      <c r="HJ1169" s="19">
        <v>146</v>
      </c>
      <c r="HK1169" s="19">
        <v>145.5</v>
      </c>
      <c r="HL1169" s="19">
        <v>95.8</v>
      </c>
      <c r="HM1169" s="19">
        <v>57.2</v>
      </c>
      <c r="HN1169" s="19">
        <v>35.6</v>
      </c>
      <c r="HO1169" s="19">
        <v>31.4</v>
      </c>
      <c r="HP1169" s="19">
        <v>24</v>
      </c>
      <c r="HQ1169" s="19">
        <v>28.1</v>
      </c>
      <c r="HR1169" s="19">
        <v>31.6</v>
      </c>
      <c r="HS1169" s="19">
        <v>28.9</v>
      </c>
      <c r="HT1169" s="19">
        <v>38.3</v>
      </c>
      <c r="HU1169" s="19">
        <v>35.2</v>
      </c>
      <c r="HV1169" s="19">
        <v>36.9</v>
      </c>
      <c r="HW1169" s="19">
        <v>47.1</v>
      </c>
      <c r="HX1169" s="19">
        <v>34.5</v>
      </c>
      <c r="HY1169" s="19">
        <v>20.3</v>
      </c>
      <c r="HZ1169" s="19">
        <v>17.9</v>
      </c>
      <c r="IA1169" s="19">
        <v>16.2</v>
      </c>
      <c r="IB1169" s="19">
        <v>16.6</v>
      </c>
      <c r="IC1169" s="19">
        <v>20.3</v>
      </c>
    </row>
    <row r="1170">
      <c r="A1170" s="2" t="s">
        <v>4614</v>
      </c>
      <c r="B1170" s="2" t="s">
        <v>871</v>
      </c>
      <c r="C1170" s="2" t="s">
        <v>403</v>
      </c>
      <c r="D1170" s="2" t="s">
        <v>361</v>
      </c>
      <c r="E1170" s="2" t="s">
        <v>872</v>
      </c>
      <c r="F1170" s="2" t="s">
        <v>4595</v>
      </c>
      <c r="G1170" s="2" t="s">
        <v>4596</v>
      </c>
      <c r="H1170" s="2" t="s">
        <v>4597</v>
      </c>
      <c r="I1170" s="2" t="s">
        <v>4601</v>
      </c>
      <c r="J1170" s="2" t="s">
        <v>270</v>
      </c>
      <c r="K1170" s="2" t="s">
        <v>4611</v>
      </c>
      <c r="L1170" s="3">
        <v>47.62</v>
      </c>
      <c r="M1170" s="3">
        <v>50</v>
      </c>
      <c r="N1170" s="3">
        <v>99.99</v>
      </c>
      <c r="O1170" s="2" t="s">
        <v>232</v>
      </c>
      <c r="P1170" s="2" t="s">
        <v>262</v>
      </c>
      <c r="Q1170" s="2" t="s">
        <v>234</v>
      </c>
      <c r="R1170" s="2" t="s">
        <v>235</v>
      </c>
      <c r="S1170" s="2" t="s">
        <v>235</v>
      </c>
      <c r="T1170" s="2" t="s">
        <v>879</v>
      </c>
      <c r="U1170" s="2" t="s">
        <v>742</v>
      </c>
      <c r="V1170" s="2" t="s">
        <v>1843</v>
      </c>
      <c r="W1170" s="2" t="s">
        <v>881</v>
      </c>
      <c r="X1170" s="2" t="s">
        <v>882</v>
      </c>
      <c r="Y1170" s="2" t="s">
        <v>235</v>
      </c>
      <c r="Z1170" s="4"/>
      <c r="AA1170" s="4">
        <f>=ROUNDDOWN({0},0)</f>
      </c>
      <c r="AB1170" s="5"/>
      <c r="AC1170" s="2" t="s">
        <v>2985</v>
      </c>
      <c r="AD1170" s="4">
        <v>305</v>
      </c>
      <c r="AE1170" s="4">
        <v>305</v>
      </c>
      <c r="AF1170" s="6">
        <v>31</v>
      </c>
      <c r="AG1170" s="6"/>
      <c r="AH1170" s="7"/>
      <c r="AI1170" s="4"/>
      <c r="AJ1170" s="4">
        <f>=ROUNDDOWN({0},0)</f>
      </c>
      <c r="AK1170" s="5"/>
      <c r="AL1170" s="2" t="s">
        <v>235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235</v>
      </c>
      <c r="AW1170" s="8" t="s">
        <v>235</v>
      </c>
      <c r="AX1170" s="4" t="s">
        <v>235</v>
      </c>
      <c r="AY1170" s="8" t="s">
        <v>235</v>
      </c>
      <c r="AZ1170" s="7" t="s">
        <v>235</v>
      </c>
      <c r="BA1170" s="7" t="s">
        <v>235</v>
      </c>
      <c r="BB1170" s="7"/>
      <c r="BC1170" s="4" t="s">
        <v>235</v>
      </c>
      <c r="BD1170" s="8" t="s">
        <v>235</v>
      </c>
      <c r="BE1170" s="4" t="s">
        <v>235</v>
      </c>
      <c r="BF1170" s="8" t="s">
        <v>235</v>
      </c>
      <c r="BG1170" s="7" t="s">
        <v>235</v>
      </c>
      <c r="BH1170" s="7" t="s">
        <v>235</v>
      </c>
      <c r="BI1170" s="7"/>
      <c r="BJ1170" s="4"/>
      <c r="BK1170" s="8"/>
      <c r="BL1170" s="2" t="s">
        <v>235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330</v>
      </c>
      <c r="BV1170" s="2" t="s">
        <v>235</v>
      </c>
      <c r="BW1170" s="2" t="s">
        <v>235</v>
      </c>
      <c r="BX1170" s="2" t="s">
        <v>330</v>
      </c>
      <c r="BY1170" s="2" t="s">
        <v>331</v>
      </c>
      <c r="BZ1170" s="2" t="s">
        <v>232</v>
      </c>
      <c r="CA1170" s="2" t="s">
        <v>235</v>
      </c>
      <c r="CB1170" s="2" t="s">
        <v>235</v>
      </c>
      <c r="CC1170" s="2" t="s">
        <v>248</v>
      </c>
      <c r="CD1170" s="2" t="s">
        <v>248</v>
      </c>
      <c r="CE1170" s="2" t="s">
        <v>235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>
        <v>305</v>
      </c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>
        <v>305</v>
      </c>
      <c r="GI1170" s="4">
        <v>305</v>
      </c>
      <c r="GJ1170" s="4">
        <v>303</v>
      </c>
      <c r="GK1170" s="4">
        <v>301</v>
      </c>
      <c r="GL1170" s="4">
        <v>298</v>
      </c>
      <c r="GM1170" s="4">
        <v>296</v>
      </c>
      <c r="GN1170" s="4">
        <v>293</v>
      </c>
      <c r="GO1170" s="4">
        <v>291</v>
      </c>
      <c r="GP1170" s="4">
        <v>281</v>
      </c>
      <c r="GQ1170" s="4">
        <v>274</v>
      </c>
      <c r="GR1170" s="4">
        <v>262</v>
      </c>
      <c r="GS1170" s="4">
        <v>250</v>
      </c>
      <c r="GT1170" s="4">
        <v>239</v>
      </c>
      <c r="GU1170" s="4">
        <v>229</v>
      </c>
      <c r="GV1170" s="4">
        <v>222</v>
      </c>
      <c r="GW1170" s="4">
        <v>219</v>
      </c>
      <c r="GX1170" s="4">
        <v>215</v>
      </c>
      <c r="GY1170" s="4">
        <v>212</v>
      </c>
      <c r="GZ1170" s="4">
        <v>204</v>
      </c>
      <c r="HA1170" s="4">
        <v>200</v>
      </c>
      <c r="HB1170" s="4">
        <v>189</v>
      </c>
      <c r="HC1170" s="4">
        <v>166</v>
      </c>
      <c r="HD1170" s="9"/>
      <c r="HE1170" s="9"/>
      <c r="HF1170" s="9"/>
      <c r="HG1170" s="9"/>
      <c r="HH1170" s="19">
        <v>152.5</v>
      </c>
      <c r="HI1170" s="19">
        <v>152.5</v>
      </c>
      <c r="HJ1170" s="19">
        <v>151.5</v>
      </c>
      <c r="HK1170" s="19">
        <v>150.5</v>
      </c>
      <c r="HL1170" s="19">
        <v>74.5</v>
      </c>
      <c r="HM1170" s="19">
        <v>49.3</v>
      </c>
      <c r="HN1170" s="19">
        <v>36.6</v>
      </c>
      <c r="HO1170" s="19">
        <v>29.1</v>
      </c>
      <c r="HP1170" s="19">
        <v>28.1</v>
      </c>
      <c r="HQ1170" s="19">
        <v>24.9</v>
      </c>
      <c r="HR1170" s="19">
        <v>26.2</v>
      </c>
      <c r="HS1170" s="19">
        <v>31.3</v>
      </c>
      <c r="HT1170" s="19">
        <v>39.8</v>
      </c>
      <c r="HU1170" s="19">
        <v>57.3</v>
      </c>
      <c r="HV1170" s="19">
        <v>55.5</v>
      </c>
      <c r="HW1170" s="19">
        <v>43.8</v>
      </c>
      <c r="HX1170" s="19">
        <v>35.8</v>
      </c>
      <c r="HY1170" s="19">
        <v>17.7</v>
      </c>
      <c r="HZ1170" s="19">
        <v>18.5</v>
      </c>
      <c r="IA1170" s="19">
        <v>14.3</v>
      </c>
      <c r="IB1170" s="19">
        <v>15.8</v>
      </c>
      <c r="IC1170" s="19">
        <v>20.8</v>
      </c>
    </row>
    <row r="1171">
      <c r="A1171" s="2" t="s">
        <v>4615</v>
      </c>
      <c r="B1171" s="2" t="s">
        <v>871</v>
      </c>
      <c r="C1171" s="2" t="s">
        <v>403</v>
      </c>
      <c r="D1171" s="2" t="s">
        <v>361</v>
      </c>
      <c r="E1171" s="2" t="s">
        <v>872</v>
      </c>
      <c r="F1171" s="2" t="s">
        <v>4595</v>
      </c>
      <c r="G1171" s="2" t="s">
        <v>4596</v>
      </c>
      <c r="H1171" s="2" t="s">
        <v>4597</v>
      </c>
      <c r="I1171" s="2" t="s">
        <v>4601</v>
      </c>
      <c r="J1171" s="2" t="s">
        <v>272</v>
      </c>
      <c r="K1171" s="2" t="s">
        <v>4611</v>
      </c>
      <c r="L1171" s="3">
        <v>47.62</v>
      </c>
      <c r="M1171" s="3">
        <v>50</v>
      </c>
      <c r="N1171" s="3">
        <v>99.99</v>
      </c>
      <c r="O1171" s="2" t="s">
        <v>232</v>
      </c>
      <c r="P1171" s="2" t="s">
        <v>262</v>
      </c>
      <c r="Q1171" s="2" t="s">
        <v>234</v>
      </c>
      <c r="R1171" s="2" t="s">
        <v>235</v>
      </c>
      <c r="S1171" s="2" t="s">
        <v>235</v>
      </c>
      <c r="T1171" s="2" t="s">
        <v>879</v>
      </c>
      <c r="U1171" s="2" t="s">
        <v>742</v>
      </c>
      <c r="V1171" s="2" t="s">
        <v>1843</v>
      </c>
      <c r="W1171" s="2" t="s">
        <v>881</v>
      </c>
      <c r="X1171" s="2" t="s">
        <v>882</v>
      </c>
      <c r="Y1171" s="2" t="s">
        <v>235</v>
      </c>
      <c r="Z1171" s="4"/>
      <c r="AA1171" s="4">
        <f>=ROUNDDOWN({0},0)</f>
      </c>
      <c r="AB1171" s="5"/>
      <c r="AC1171" s="2" t="s">
        <v>2985</v>
      </c>
      <c r="AD1171" s="4">
        <v>135</v>
      </c>
      <c r="AE1171" s="4">
        <v>135</v>
      </c>
      <c r="AF1171" s="6">
        <v>31</v>
      </c>
      <c r="AG1171" s="6"/>
      <c r="AH1171" s="7"/>
      <c r="AI1171" s="4"/>
      <c r="AJ1171" s="4">
        <f>=ROUNDDOWN({0},0)</f>
      </c>
      <c r="AK1171" s="5"/>
      <c r="AL1171" s="2" t="s">
        <v>235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235</v>
      </c>
      <c r="AW1171" s="8" t="s">
        <v>235</v>
      </c>
      <c r="AX1171" s="4" t="s">
        <v>235</v>
      </c>
      <c r="AY1171" s="8" t="s">
        <v>235</v>
      </c>
      <c r="AZ1171" s="7" t="s">
        <v>235</v>
      </c>
      <c r="BA1171" s="7" t="s">
        <v>235</v>
      </c>
      <c r="BB1171" s="7"/>
      <c r="BC1171" s="4" t="s">
        <v>235</v>
      </c>
      <c r="BD1171" s="8" t="s">
        <v>235</v>
      </c>
      <c r="BE1171" s="4" t="s">
        <v>235</v>
      </c>
      <c r="BF1171" s="8" t="s">
        <v>235</v>
      </c>
      <c r="BG1171" s="7" t="s">
        <v>235</v>
      </c>
      <c r="BH1171" s="7" t="s">
        <v>235</v>
      </c>
      <c r="BI1171" s="7"/>
      <c r="BJ1171" s="4"/>
      <c r="BK1171" s="8"/>
      <c r="BL1171" s="2" t="s">
        <v>235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330</v>
      </c>
      <c r="BV1171" s="2" t="s">
        <v>235</v>
      </c>
      <c r="BW1171" s="2" t="s">
        <v>235</v>
      </c>
      <c r="BX1171" s="2" t="s">
        <v>330</v>
      </c>
      <c r="BY1171" s="2" t="s">
        <v>331</v>
      </c>
      <c r="BZ1171" s="2" t="s">
        <v>232</v>
      </c>
      <c r="CA1171" s="2" t="s">
        <v>235</v>
      </c>
      <c r="CB1171" s="2" t="s">
        <v>235</v>
      </c>
      <c r="CC1171" s="2" t="s">
        <v>248</v>
      </c>
      <c r="CD1171" s="2" t="s">
        <v>248</v>
      </c>
      <c r="CE1171" s="2" t="s">
        <v>235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>
        <v>135</v>
      </c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>
        <v>135</v>
      </c>
      <c r="GI1171" s="4">
        <v>135</v>
      </c>
      <c r="GJ1171" s="4">
        <v>134</v>
      </c>
      <c r="GK1171" s="4">
        <v>133</v>
      </c>
      <c r="GL1171" s="4">
        <v>132</v>
      </c>
      <c r="GM1171" s="4">
        <v>131</v>
      </c>
      <c r="GN1171" s="4">
        <v>130</v>
      </c>
      <c r="GO1171" s="4">
        <v>129</v>
      </c>
      <c r="GP1171" s="4">
        <v>124</v>
      </c>
      <c r="GQ1171" s="4">
        <v>117</v>
      </c>
      <c r="GR1171" s="4">
        <v>115</v>
      </c>
      <c r="GS1171" s="4">
        <v>111</v>
      </c>
      <c r="GT1171" s="4">
        <v>107</v>
      </c>
      <c r="GU1171" s="4">
        <v>104</v>
      </c>
      <c r="GV1171" s="4">
        <v>102</v>
      </c>
      <c r="GW1171" s="4">
        <v>100</v>
      </c>
      <c r="GX1171" s="4">
        <v>99</v>
      </c>
      <c r="GY1171" s="4">
        <v>95</v>
      </c>
      <c r="GZ1171" s="4">
        <v>94</v>
      </c>
      <c r="HA1171" s="4">
        <v>92</v>
      </c>
      <c r="HB1171" s="4">
        <v>86</v>
      </c>
      <c r="HC1171" s="4">
        <v>76</v>
      </c>
      <c r="HD1171" s="9"/>
      <c r="HE1171" s="9"/>
      <c r="HF1171" s="9"/>
      <c r="HG1171" s="9"/>
      <c r="HH1171" s="19">
        <v>135</v>
      </c>
      <c r="HI1171" s="19">
        <v>135</v>
      </c>
      <c r="HJ1171" s="19">
        <v>134</v>
      </c>
      <c r="HK1171" s="19">
        <v>133</v>
      </c>
      <c r="HL1171" s="19">
        <v>66</v>
      </c>
      <c r="HM1171" s="19">
        <v>32.8</v>
      </c>
      <c r="HN1171" s="19">
        <v>32.5</v>
      </c>
      <c r="HO1171" s="19">
        <v>32.3</v>
      </c>
      <c r="HP1171" s="19">
        <v>31</v>
      </c>
      <c r="HQ1171" s="19">
        <v>39</v>
      </c>
      <c r="HR1171" s="19">
        <v>38.3</v>
      </c>
      <c r="HS1171" s="19">
        <v>37</v>
      </c>
      <c r="HT1171" s="19">
        <v>53.5</v>
      </c>
      <c r="HU1171" s="19">
        <v>52</v>
      </c>
      <c r="HV1171" s="19">
        <v>51</v>
      </c>
      <c r="HW1171" s="19">
        <v>50</v>
      </c>
      <c r="HX1171" s="19">
        <v>33</v>
      </c>
      <c r="HY1171" s="19">
        <v>19</v>
      </c>
      <c r="HZ1171" s="19">
        <v>15.7</v>
      </c>
      <c r="IA1171" s="19">
        <v>13.1</v>
      </c>
      <c r="IB1171" s="19">
        <v>14.3</v>
      </c>
      <c r="IC1171" s="19">
        <v>19</v>
      </c>
    </row>
    <row r="1172">
      <c r="A1172" s="2" t="s">
        <v>4616</v>
      </c>
      <c r="B1172" s="2" t="s">
        <v>224</v>
      </c>
      <c r="C1172" s="2" t="s">
        <v>1036</v>
      </c>
      <c r="D1172" s="2" t="s">
        <v>361</v>
      </c>
      <c r="E1172" s="2" t="s">
        <v>1037</v>
      </c>
      <c r="F1172" s="2" t="s">
        <v>4617</v>
      </c>
      <c r="G1172" s="2" t="s">
        <v>4617</v>
      </c>
      <c r="H1172" s="2" t="s">
        <v>4617</v>
      </c>
      <c r="I1172" s="2" t="s">
        <v>4618</v>
      </c>
      <c r="J1172" s="2" t="s">
        <v>372</v>
      </c>
      <c r="K1172" s="2" t="s">
        <v>975</v>
      </c>
      <c r="L1172" s="3">
        <v>59.27</v>
      </c>
      <c r="M1172" s="3">
        <v>62.23</v>
      </c>
      <c r="N1172" s="3">
        <v>129.99</v>
      </c>
      <c r="O1172" s="2" t="s">
        <v>232</v>
      </c>
      <c r="P1172" s="2" t="s">
        <v>233</v>
      </c>
      <c r="Q1172" s="2" t="s">
        <v>234</v>
      </c>
      <c r="R1172" s="2" t="s">
        <v>235</v>
      </c>
      <c r="S1172" s="2" t="s">
        <v>4619</v>
      </c>
      <c r="T1172" s="2" t="s">
        <v>501</v>
      </c>
      <c r="U1172" s="2" t="s">
        <v>807</v>
      </c>
      <c r="V1172" s="2" t="s">
        <v>238</v>
      </c>
      <c r="W1172" s="2" t="s">
        <v>239</v>
      </c>
      <c r="X1172" s="2" t="s">
        <v>235</v>
      </c>
      <c r="Y1172" s="2" t="s">
        <v>1993</v>
      </c>
      <c r="Z1172" s="4">
        <v>418</v>
      </c>
      <c r="AA1172" s="4">
        <f>=ROUNDDOWN(139.333333333333,0)</f>
      </c>
      <c r="AB1172" s="5">
        <v>3</v>
      </c>
      <c r="AC1172" s="2" t="s">
        <v>235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235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 t="s">
        <v>235</v>
      </c>
      <c r="BD1172" s="8" t="s">
        <v>235</v>
      </c>
      <c r="BE1172" s="4" t="s">
        <v>235</v>
      </c>
      <c r="BF1172" s="8" t="s">
        <v>235</v>
      </c>
      <c r="BG1172" s="7" t="s">
        <v>235</v>
      </c>
      <c r="BH1172" s="7" t="s">
        <v>235</v>
      </c>
      <c r="BI1172" s="7"/>
      <c r="BJ1172" s="4">
        <v>15</v>
      </c>
      <c r="BK1172" s="8">
        <v>1126.43</v>
      </c>
      <c r="BL1172" s="2" t="s">
        <v>1756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4620</v>
      </c>
      <c r="BV1172" s="2" t="s">
        <v>243</v>
      </c>
      <c r="BW1172" s="2" t="s">
        <v>235</v>
      </c>
      <c r="BX1172" s="2" t="s">
        <v>244</v>
      </c>
      <c r="BY1172" s="2" t="s">
        <v>245</v>
      </c>
      <c r="BZ1172" s="2" t="s">
        <v>232</v>
      </c>
      <c r="CA1172" s="2" t="s">
        <v>1246</v>
      </c>
      <c r="CB1172" s="2" t="s">
        <v>3240</v>
      </c>
      <c r="CC1172" s="2" t="s">
        <v>248</v>
      </c>
      <c r="CD1172" s="2" t="s">
        <v>248</v>
      </c>
      <c r="CE1172" s="2" t="s">
        <v>235</v>
      </c>
      <c r="CF1172" s="4">
        <v>418</v>
      </c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>
        <v>418</v>
      </c>
      <c r="GE1172" s="4">
        <v>415</v>
      </c>
      <c r="GF1172" s="4">
        <v>412</v>
      </c>
      <c r="GG1172" s="4">
        <v>409</v>
      </c>
      <c r="GH1172" s="4">
        <v>406</v>
      </c>
      <c r="GI1172" s="4">
        <v>403</v>
      </c>
      <c r="GJ1172" s="4">
        <v>400</v>
      </c>
      <c r="GK1172" s="4">
        <v>397</v>
      </c>
      <c r="GL1172" s="4">
        <v>394</v>
      </c>
      <c r="GM1172" s="4">
        <v>391</v>
      </c>
      <c r="GN1172" s="4">
        <v>386</v>
      </c>
      <c r="GO1172" s="4">
        <v>378</v>
      </c>
      <c r="GP1172" s="4">
        <v>370</v>
      </c>
      <c r="GQ1172" s="4">
        <v>354</v>
      </c>
      <c r="GR1172" s="4">
        <v>347</v>
      </c>
      <c r="GS1172" s="4">
        <v>341</v>
      </c>
      <c r="GT1172" s="4">
        <v>337</v>
      </c>
      <c r="GU1172" s="4">
        <v>335</v>
      </c>
      <c r="GV1172" s="4">
        <v>332</v>
      </c>
      <c r="GW1172" s="4">
        <v>330</v>
      </c>
      <c r="GX1172" s="4">
        <v>328</v>
      </c>
      <c r="GY1172" s="4">
        <v>326</v>
      </c>
      <c r="GZ1172" s="4">
        <v>324</v>
      </c>
      <c r="HA1172" s="4">
        <v>321</v>
      </c>
      <c r="HB1172" s="4">
        <v>318</v>
      </c>
      <c r="HC1172" s="4">
        <v>314</v>
      </c>
      <c r="HD1172" s="19">
        <v>139.3</v>
      </c>
      <c r="HE1172" s="19">
        <v>138.3</v>
      </c>
      <c r="HF1172" s="19">
        <v>137.3</v>
      </c>
      <c r="HG1172" s="19">
        <v>136.3</v>
      </c>
      <c r="HH1172" s="19">
        <v>135.3</v>
      </c>
      <c r="HI1172" s="19">
        <v>134.3</v>
      </c>
      <c r="HJ1172" s="19">
        <v>100</v>
      </c>
      <c r="HK1172" s="19">
        <v>79.4</v>
      </c>
      <c r="HL1172" s="19">
        <v>65.7</v>
      </c>
      <c r="HM1172" s="19">
        <v>43.4</v>
      </c>
      <c r="HN1172" s="19">
        <v>38.6</v>
      </c>
      <c r="HO1172" s="19">
        <v>42</v>
      </c>
      <c r="HP1172" s="19">
        <v>46.3</v>
      </c>
      <c r="HQ1172" s="19">
        <v>70.8</v>
      </c>
      <c r="HR1172" s="19">
        <v>86.8</v>
      </c>
      <c r="HS1172" s="19">
        <v>113.7</v>
      </c>
      <c r="HT1172" s="19">
        <v>168.5</v>
      </c>
      <c r="HU1172" s="19">
        <v>167.5</v>
      </c>
      <c r="HV1172" s="19">
        <v>166</v>
      </c>
      <c r="HW1172" s="19">
        <v>165</v>
      </c>
      <c r="HX1172" s="19">
        <v>164</v>
      </c>
      <c r="HY1172" s="19">
        <v>108.7</v>
      </c>
      <c r="HZ1172" s="19">
        <v>108</v>
      </c>
      <c r="IA1172" s="19">
        <v>80.3</v>
      </c>
      <c r="IB1172" s="19">
        <v>79.5</v>
      </c>
      <c r="IC1172" s="19">
        <v>78.5</v>
      </c>
    </row>
    <row r="1173">
      <c r="A1173" s="2" t="s">
        <v>4621</v>
      </c>
      <c r="B1173" s="2" t="s">
        <v>224</v>
      </c>
      <c r="C1173" s="2" t="s">
        <v>1036</v>
      </c>
      <c r="D1173" s="2" t="s">
        <v>361</v>
      </c>
      <c r="E1173" s="2" t="s">
        <v>1037</v>
      </c>
      <c r="F1173" s="2" t="s">
        <v>4617</v>
      </c>
      <c r="G1173" s="2" t="s">
        <v>4617</v>
      </c>
      <c r="H1173" s="2" t="s">
        <v>4617</v>
      </c>
      <c r="I1173" s="2" t="s">
        <v>4618</v>
      </c>
      <c r="J1173" s="2" t="s">
        <v>372</v>
      </c>
      <c r="K1173" s="2" t="s">
        <v>1546</v>
      </c>
      <c r="L1173" s="3">
        <v>59.27</v>
      </c>
      <c r="M1173" s="3">
        <v>62.23</v>
      </c>
      <c r="N1173" s="3">
        <v>129.99</v>
      </c>
      <c r="O1173" s="2" t="s">
        <v>232</v>
      </c>
      <c r="P1173" s="2" t="s">
        <v>233</v>
      </c>
      <c r="Q1173" s="2" t="s">
        <v>234</v>
      </c>
      <c r="R1173" s="2" t="s">
        <v>235</v>
      </c>
      <c r="S1173" s="2" t="s">
        <v>4622</v>
      </c>
      <c r="T1173" s="2" t="s">
        <v>501</v>
      </c>
      <c r="U1173" s="2" t="s">
        <v>807</v>
      </c>
      <c r="V1173" s="2" t="s">
        <v>238</v>
      </c>
      <c r="W1173" s="2" t="s">
        <v>239</v>
      </c>
      <c r="X1173" s="2" t="s">
        <v>235</v>
      </c>
      <c r="Y1173" s="2" t="s">
        <v>1993</v>
      </c>
      <c r="Z1173" s="4">
        <v>330</v>
      </c>
      <c r="AA1173" s="4">
        <f>=ROUNDDOWN(110,0)</f>
      </c>
      <c r="AB1173" s="5">
        <v>3</v>
      </c>
      <c r="AC1173" s="2" t="s">
        <v>235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235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 t="s">
        <v>235</v>
      </c>
      <c r="BD1173" s="8" t="s">
        <v>235</v>
      </c>
      <c r="BE1173" s="4" t="s">
        <v>235</v>
      </c>
      <c r="BF1173" s="8" t="s">
        <v>235</v>
      </c>
      <c r="BG1173" s="7" t="s">
        <v>235</v>
      </c>
      <c r="BH1173" s="7" t="s">
        <v>235</v>
      </c>
      <c r="BI1173" s="7"/>
      <c r="BJ1173" s="4">
        <v>6</v>
      </c>
      <c r="BK1173" s="8">
        <v>417.93</v>
      </c>
      <c r="BL1173" s="2" t="s">
        <v>1346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4620</v>
      </c>
      <c r="BV1173" s="2" t="s">
        <v>243</v>
      </c>
      <c r="BW1173" s="2" t="s">
        <v>235</v>
      </c>
      <c r="BX1173" s="2" t="s">
        <v>244</v>
      </c>
      <c r="BY1173" s="2" t="s">
        <v>245</v>
      </c>
      <c r="BZ1173" s="2" t="s">
        <v>232</v>
      </c>
      <c r="CA1173" s="2" t="s">
        <v>1246</v>
      </c>
      <c r="CB1173" s="2" t="s">
        <v>4623</v>
      </c>
      <c r="CC1173" s="2" t="s">
        <v>248</v>
      </c>
      <c r="CD1173" s="2" t="s">
        <v>248</v>
      </c>
      <c r="CE1173" s="2" t="s">
        <v>235</v>
      </c>
      <c r="CF1173" s="4">
        <v>330</v>
      </c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>
        <v>333</v>
      </c>
      <c r="GE1173" s="4">
        <v>328</v>
      </c>
      <c r="GF1173" s="4">
        <v>325</v>
      </c>
      <c r="GG1173" s="4">
        <v>322</v>
      </c>
      <c r="GH1173" s="4">
        <v>319</v>
      </c>
      <c r="GI1173" s="4">
        <v>316</v>
      </c>
      <c r="GJ1173" s="4">
        <v>313</v>
      </c>
      <c r="GK1173" s="4">
        <v>310</v>
      </c>
      <c r="GL1173" s="4">
        <v>307</v>
      </c>
      <c r="GM1173" s="4">
        <v>304</v>
      </c>
      <c r="GN1173" s="4">
        <v>299</v>
      </c>
      <c r="GO1173" s="4">
        <v>291</v>
      </c>
      <c r="GP1173" s="4">
        <v>283</v>
      </c>
      <c r="GQ1173" s="4">
        <v>267</v>
      </c>
      <c r="GR1173" s="4">
        <v>260</v>
      </c>
      <c r="GS1173" s="4">
        <v>254</v>
      </c>
      <c r="GT1173" s="4">
        <v>250</v>
      </c>
      <c r="GU1173" s="4">
        <v>248</v>
      </c>
      <c r="GV1173" s="4">
        <v>245</v>
      </c>
      <c r="GW1173" s="4">
        <v>243</v>
      </c>
      <c r="GX1173" s="4">
        <v>241</v>
      </c>
      <c r="GY1173" s="4">
        <v>239</v>
      </c>
      <c r="GZ1173" s="4">
        <v>237</v>
      </c>
      <c r="HA1173" s="4">
        <v>234</v>
      </c>
      <c r="HB1173" s="4">
        <v>231</v>
      </c>
      <c r="HC1173" s="4">
        <v>227</v>
      </c>
      <c r="HD1173" s="19">
        <v>83.3</v>
      </c>
      <c r="HE1173" s="19">
        <v>109.3</v>
      </c>
      <c r="HF1173" s="19">
        <v>108.3</v>
      </c>
      <c r="HG1173" s="19">
        <v>107.3</v>
      </c>
      <c r="HH1173" s="19">
        <v>106.3</v>
      </c>
      <c r="HI1173" s="19">
        <v>105.3</v>
      </c>
      <c r="HJ1173" s="19">
        <v>78.3</v>
      </c>
      <c r="HK1173" s="19">
        <v>62</v>
      </c>
      <c r="HL1173" s="19">
        <v>51.2</v>
      </c>
      <c r="HM1173" s="19">
        <v>33.8</v>
      </c>
      <c r="HN1173" s="19">
        <v>29.9</v>
      </c>
      <c r="HO1173" s="19">
        <v>32.3</v>
      </c>
      <c r="HP1173" s="19">
        <v>35.4</v>
      </c>
      <c r="HQ1173" s="19">
        <v>53.4</v>
      </c>
      <c r="HR1173" s="19">
        <v>65</v>
      </c>
      <c r="HS1173" s="19">
        <v>84.7</v>
      </c>
      <c r="HT1173" s="19">
        <v>125</v>
      </c>
      <c r="HU1173" s="19">
        <v>124</v>
      </c>
      <c r="HV1173" s="19">
        <v>122.5</v>
      </c>
      <c r="HW1173" s="19">
        <v>121.5</v>
      </c>
      <c r="HX1173" s="19">
        <v>120.5</v>
      </c>
      <c r="HY1173" s="19">
        <v>79.7</v>
      </c>
      <c r="HZ1173" s="19">
        <v>79</v>
      </c>
      <c r="IA1173" s="19">
        <v>58.5</v>
      </c>
      <c r="IB1173" s="19">
        <v>57.8</v>
      </c>
      <c r="IC1173" s="19">
        <v>56.8</v>
      </c>
    </row>
    <row r="1174">
      <c r="A1174" s="2" t="s">
        <v>4624</v>
      </c>
      <c r="B1174" s="2" t="s">
        <v>224</v>
      </c>
      <c r="C1174" s="2" t="s">
        <v>1036</v>
      </c>
      <c r="D1174" s="2" t="s">
        <v>361</v>
      </c>
      <c r="E1174" s="2" t="s">
        <v>1037</v>
      </c>
      <c r="F1174" s="2" t="s">
        <v>4617</v>
      </c>
      <c r="G1174" s="2" t="s">
        <v>4617</v>
      </c>
      <c r="H1174" s="2" t="s">
        <v>4617</v>
      </c>
      <c r="I1174" s="2" t="s">
        <v>4618</v>
      </c>
      <c r="J1174" s="2" t="s">
        <v>372</v>
      </c>
      <c r="K1174" s="2" t="s">
        <v>316</v>
      </c>
      <c r="L1174" s="3">
        <v>59.27</v>
      </c>
      <c r="M1174" s="3">
        <v>62.23</v>
      </c>
      <c r="N1174" s="3">
        <v>129.99</v>
      </c>
      <c r="O1174" s="2" t="s">
        <v>232</v>
      </c>
      <c r="P1174" s="2" t="s">
        <v>1282</v>
      </c>
      <c r="Q1174" s="2" t="s">
        <v>234</v>
      </c>
      <c r="R1174" s="2" t="s">
        <v>235</v>
      </c>
      <c r="S1174" s="2" t="s">
        <v>4625</v>
      </c>
      <c r="T1174" s="2" t="s">
        <v>235</v>
      </c>
      <c r="U1174" s="2" t="s">
        <v>235</v>
      </c>
      <c r="V1174" s="2" t="s">
        <v>238</v>
      </c>
      <c r="W1174" s="2" t="s">
        <v>239</v>
      </c>
      <c r="X1174" s="2" t="s">
        <v>235</v>
      </c>
      <c r="Y1174" s="2" t="s">
        <v>4400</v>
      </c>
      <c r="Z1174" s="4">
        <v>740</v>
      </c>
      <c r="AA1174" s="4">
        <f>=ROUNDDOWN(105.714285714286,0)</f>
      </c>
      <c r="AB1174" s="5">
        <v>7</v>
      </c>
      <c r="AC1174" s="2" t="s">
        <v>235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235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 t="s">
        <v>235</v>
      </c>
      <c r="BD1174" s="8" t="s">
        <v>235</v>
      </c>
      <c r="BE1174" s="4" t="s">
        <v>235</v>
      </c>
      <c r="BF1174" s="8" t="s">
        <v>235</v>
      </c>
      <c r="BG1174" s="7" t="s">
        <v>235</v>
      </c>
      <c r="BH1174" s="7" t="s">
        <v>235</v>
      </c>
      <c r="BI1174" s="7"/>
      <c r="BJ1174" s="4">
        <v>32</v>
      </c>
      <c r="BK1174" s="8">
        <v>2194.7</v>
      </c>
      <c r="BL1174" s="2" t="s">
        <v>4626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4620</v>
      </c>
      <c r="BV1174" s="2" t="s">
        <v>243</v>
      </c>
      <c r="BW1174" s="2" t="s">
        <v>235</v>
      </c>
      <c r="BX1174" s="2" t="s">
        <v>244</v>
      </c>
      <c r="BY1174" s="2" t="s">
        <v>245</v>
      </c>
      <c r="BZ1174" s="2" t="s">
        <v>232</v>
      </c>
      <c r="CA1174" s="2" t="s">
        <v>1905</v>
      </c>
      <c r="CB1174" s="2" t="s">
        <v>4627</v>
      </c>
      <c r="CC1174" s="2" t="s">
        <v>248</v>
      </c>
      <c r="CD1174" s="2" t="s">
        <v>248</v>
      </c>
      <c r="CE1174" s="2" t="s">
        <v>235</v>
      </c>
      <c r="CF1174" s="4">
        <v>740</v>
      </c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>
        <v>743</v>
      </c>
      <c r="GE1174" s="4">
        <v>734</v>
      </c>
      <c r="GF1174" s="4">
        <v>728</v>
      </c>
      <c r="GG1174" s="4">
        <v>722</v>
      </c>
      <c r="GH1174" s="4">
        <v>716</v>
      </c>
      <c r="GI1174" s="4">
        <v>708</v>
      </c>
      <c r="GJ1174" s="4">
        <v>700</v>
      </c>
      <c r="GK1174" s="4">
        <v>692</v>
      </c>
      <c r="GL1174" s="4">
        <v>684</v>
      </c>
      <c r="GM1174" s="4">
        <v>676</v>
      </c>
      <c r="GN1174" s="4">
        <v>664</v>
      </c>
      <c r="GO1174" s="4">
        <v>645</v>
      </c>
      <c r="GP1174" s="4">
        <v>627</v>
      </c>
      <c r="GQ1174" s="4">
        <v>590</v>
      </c>
      <c r="GR1174" s="4">
        <v>575</v>
      </c>
      <c r="GS1174" s="4">
        <v>561</v>
      </c>
      <c r="GT1174" s="4">
        <v>552</v>
      </c>
      <c r="GU1174" s="4">
        <v>547</v>
      </c>
      <c r="GV1174" s="4">
        <v>541</v>
      </c>
      <c r="GW1174" s="4">
        <v>537</v>
      </c>
      <c r="GX1174" s="4">
        <v>533</v>
      </c>
      <c r="GY1174" s="4">
        <v>529</v>
      </c>
      <c r="GZ1174" s="4">
        <v>525</v>
      </c>
      <c r="HA1174" s="4">
        <v>517</v>
      </c>
      <c r="HB1174" s="4">
        <v>509</v>
      </c>
      <c r="HC1174" s="4">
        <v>501</v>
      </c>
      <c r="HD1174" s="19">
        <v>106.1</v>
      </c>
      <c r="HE1174" s="19">
        <v>122.3</v>
      </c>
      <c r="HF1174" s="19">
        <v>104</v>
      </c>
      <c r="HG1174" s="19">
        <v>90.3</v>
      </c>
      <c r="HH1174" s="19">
        <v>89.5</v>
      </c>
      <c r="HI1174" s="19">
        <v>88.5</v>
      </c>
      <c r="HJ1174" s="19">
        <v>77.8</v>
      </c>
      <c r="HK1174" s="19">
        <v>57.7</v>
      </c>
      <c r="HL1174" s="19">
        <v>48.9</v>
      </c>
      <c r="HM1174" s="19">
        <v>30.7</v>
      </c>
      <c r="HN1174" s="19">
        <v>30.2</v>
      </c>
      <c r="HO1174" s="19">
        <v>30.7</v>
      </c>
      <c r="HP1174" s="19">
        <v>33</v>
      </c>
      <c r="HQ1174" s="19">
        <v>53.6</v>
      </c>
      <c r="HR1174" s="19">
        <v>71.9</v>
      </c>
      <c r="HS1174" s="19">
        <v>93.5</v>
      </c>
      <c r="HT1174" s="19">
        <v>110.4</v>
      </c>
      <c r="HU1174" s="19">
        <v>136.8</v>
      </c>
      <c r="HV1174" s="19">
        <v>135.3</v>
      </c>
      <c r="HW1174" s="19">
        <v>107.4</v>
      </c>
      <c r="HX1174" s="19">
        <v>88.8</v>
      </c>
      <c r="HY1174" s="19">
        <v>75.6</v>
      </c>
      <c r="HZ1174" s="19">
        <v>65.6</v>
      </c>
      <c r="IA1174" s="19">
        <v>64.6</v>
      </c>
      <c r="IB1174" s="19">
        <v>63.6</v>
      </c>
      <c r="IC1174" s="19">
        <v>55.7</v>
      </c>
    </row>
    <row r="1175">
      <c r="A1175" s="2" t="s">
        <v>4628</v>
      </c>
      <c r="B1175" s="2" t="s">
        <v>800</v>
      </c>
      <c r="C1175" s="2" t="s">
        <v>893</v>
      </c>
      <c r="D1175" s="2" t="s">
        <v>802</v>
      </c>
      <c r="E1175" s="2" t="s">
        <v>803</v>
      </c>
      <c r="F1175" s="2" t="s">
        <v>4629</v>
      </c>
      <c r="G1175" s="2" t="s">
        <v>4629</v>
      </c>
      <c r="H1175" s="2" t="s">
        <v>4629</v>
      </c>
      <c r="I1175" s="2" t="s">
        <v>4630</v>
      </c>
      <c r="J1175" s="2" t="s">
        <v>897</v>
      </c>
      <c r="K1175" s="2" t="s">
        <v>1018</v>
      </c>
      <c r="L1175" s="3">
        <v>116.24</v>
      </c>
      <c r="M1175" s="3">
        <v>122.05</v>
      </c>
      <c r="N1175" s="3">
        <v>264.99</v>
      </c>
      <c r="O1175" s="2" t="s">
        <v>407</v>
      </c>
      <c r="P1175" s="2" t="s">
        <v>408</v>
      </c>
      <c r="Q1175" s="2" t="s">
        <v>234</v>
      </c>
      <c r="R1175" s="2" t="s">
        <v>235</v>
      </c>
      <c r="S1175" s="2" t="s">
        <v>235</v>
      </c>
      <c r="T1175" s="2" t="s">
        <v>235</v>
      </c>
      <c r="U1175" s="2" t="s">
        <v>807</v>
      </c>
      <c r="V1175" s="2" t="s">
        <v>808</v>
      </c>
      <c r="W1175" s="2" t="s">
        <v>3596</v>
      </c>
      <c r="X1175" s="2" t="s">
        <v>235</v>
      </c>
      <c r="Y1175" s="2" t="s">
        <v>1019</v>
      </c>
      <c r="Z1175" s="4">
        <v>78</v>
      </c>
      <c r="AA1175" s="4">
        <f>=ROUNDDOWN(52,0)</f>
      </c>
      <c r="AB1175" s="5">
        <v>1.5</v>
      </c>
      <c r="AC1175" s="2" t="s">
        <v>235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235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>
        <v>2</v>
      </c>
      <c r="BK1175" s="8">
        <v>231.9</v>
      </c>
      <c r="BL1175" s="2" t="s">
        <v>4631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4632</v>
      </c>
      <c r="BV1175" s="2" t="s">
        <v>813</v>
      </c>
      <c r="BW1175" s="2" t="s">
        <v>235</v>
      </c>
      <c r="BX1175" s="2" t="s">
        <v>414</v>
      </c>
      <c r="BY1175" s="2" t="s">
        <v>245</v>
      </c>
      <c r="BZ1175" s="2" t="s">
        <v>232</v>
      </c>
      <c r="CA1175" s="2" t="s">
        <v>4633</v>
      </c>
      <c r="CB1175" s="2" t="s">
        <v>4634</v>
      </c>
      <c r="CC1175" s="2" t="s">
        <v>248</v>
      </c>
      <c r="CD1175" s="2" t="s">
        <v>248</v>
      </c>
      <c r="CE1175" s="2" t="s">
        <v>235</v>
      </c>
      <c r="CF1175" s="4"/>
      <c r="CG1175" s="4">
        <v>78</v>
      </c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>
        <v>79</v>
      </c>
      <c r="GE1175" s="4">
        <v>69</v>
      </c>
      <c r="GF1175" s="4">
        <v>67</v>
      </c>
      <c r="GG1175" s="4">
        <v>65</v>
      </c>
      <c r="GH1175" s="4">
        <v>63</v>
      </c>
      <c r="GI1175" s="4">
        <v>61</v>
      </c>
      <c r="GJ1175" s="4">
        <v>59</v>
      </c>
      <c r="GK1175" s="4">
        <v>57</v>
      </c>
      <c r="GL1175" s="4">
        <v>55</v>
      </c>
      <c r="GM1175" s="4">
        <v>53</v>
      </c>
      <c r="GN1175" s="4">
        <v>51</v>
      </c>
      <c r="GO1175" s="4">
        <v>49</v>
      </c>
      <c r="GP1175" s="4">
        <v>47</v>
      </c>
      <c r="GQ1175" s="4">
        <v>45</v>
      </c>
      <c r="GR1175" s="4">
        <v>43</v>
      </c>
      <c r="GS1175" s="4">
        <v>41</v>
      </c>
      <c r="GT1175" s="4">
        <v>39</v>
      </c>
      <c r="GU1175" s="4">
        <v>37</v>
      </c>
      <c r="GV1175" s="4">
        <v>35</v>
      </c>
      <c r="GW1175" s="4">
        <v>33</v>
      </c>
      <c r="GX1175" s="4">
        <v>31</v>
      </c>
      <c r="GY1175" s="4">
        <v>29</v>
      </c>
      <c r="GZ1175" s="4">
        <v>27</v>
      </c>
      <c r="HA1175" s="4">
        <v>25</v>
      </c>
      <c r="HB1175" s="4">
        <v>23</v>
      </c>
      <c r="HC1175" s="4">
        <v>21</v>
      </c>
      <c r="HD1175" s="19">
        <v>19.8</v>
      </c>
      <c r="HE1175" s="19">
        <v>34.5</v>
      </c>
      <c r="HF1175" s="19">
        <v>33.5</v>
      </c>
      <c r="HG1175" s="19">
        <v>32.5</v>
      </c>
      <c r="HH1175" s="19">
        <v>31.5</v>
      </c>
      <c r="HI1175" s="19">
        <v>30.5</v>
      </c>
      <c r="HJ1175" s="19">
        <v>29.5</v>
      </c>
      <c r="HK1175" s="19">
        <v>28.5</v>
      </c>
      <c r="HL1175" s="19">
        <v>27.5</v>
      </c>
      <c r="HM1175" s="19">
        <v>26.5</v>
      </c>
      <c r="HN1175" s="19">
        <v>25.5</v>
      </c>
      <c r="HO1175" s="19">
        <v>24.5</v>
      </c>
      <c r="HP1175" s="19">
        <v>23.5</v>
      </c>
      <c r="HQ1175" s="19">
        <v>22.5</v>
      </c>
      <c r="HR1175" s="19">
        <v>21.5</v>
      </c>
      <c r="HS1175" s="19">
        <v>20.5</v>
      </c>
      <c r="HT1175" s="19">
        <v>19.5</v>
      </c>
      <c r="HU1175" s="19">
        <v>18.5</v>
      </c>
      <c r="HV1175" s="19">
        <v>17.5</v>
      </c>
      <c r="HW1175" s="19">
        <v>16.5</v>
      </c>
      <c r="HX1175" s="19">
        <v>15.5</v>
      </c>
      <c r="HY1175" s="19">
        <v>14.5</v>
      </c>
      <c r="HZ1175" s="19">
        <v>13.5</v>
      </c>
      <c r="IA1175" s="19">
        <v>12.5</v>
      </c>
      <c r="IB1175" s="19">
        <v>11.5</v>
      </c>
      <c r="IC1175" s="19">
        <v>10.5</v>
      </c>
    </row>
    <row r="1176">
      <c r="A1176" s="2" t="s">
        <v>4635</v>
      </c>
      <c r="B1176" s="2" t="s">
        <v>255</v>
      </c>
      <c r="C1176" s="2" t="s">
        <v>2023</v>
      </c>
      <c r="D1176" s="2" t="s">
        <v>906</v>
      </c>
      <c r="E1176" s="2" t="s">
        <v>1301</v>
      </c>
      <c r="F1176" s="2" t="s">
        <v>4636</v>
      </c>
      <c r="G1176" s="2" t="s">
        <v>4636</v>
      </c>
      <c r="H1176" s="2" t="s">
        <v>4636</v>
      </c>
      <c r="I1176" s="2" t="s">
        <v>4637</v>
      </c>
      <c r="J1176" s="2" t="s">
        <v>365</v>
      </c>
      <c r="K1176" s="2" t="s">
        <v>2386</v>
      </c>
      <c r="L1176" s="3">
        <v>76</v>
      </c>
      <c r="M1176" s="3">
        <v>79.8</v>
      </c>
      <c r="N1176" s="3">
        <v>149.99</v>
      </c>
      <c r="O1176" s="2" t="s">
        <v>232</v>
      </c>
      <c r="P1176" s="2" t="s">
        <v>878</v>
      </c>
      <c r="Q1176" s="2" t="s">
        <v>234</v>
      </c>
      <c r="R1176" s="2" t="s">
        <v>235</v>
      </c>
      <c r="S1176" s="2" t="s">
        <v>235</v>
      </c>
      <c r="T1176" s="2" t="s">
        <v>263</v>
      </c>
      <c r="U1176" s="2" t="s">
        <v>282</v>
      </c>
      <c r="V1176" s="2" t="s">
        <v>2182</v>
      </c>
      <c r="W1176" s="2" t="s">
        <v>235</v>
      </c>
      <c r="X1176" s="2" t="s">
        <v>235</v>
      </c>
      <c r="Y1176" s="2" t="s">
        <v>1233</v>
      </c>
      <c r="Z1176" s="4">
        <v>121</v>
      </c>
      <c r="AA1176" s="4">
        <f>=ROUNDDOWN(605,0)</f>
      </c>
      <c r="AB1176" s="5">
        <v>0.2</v>
      </c>
      <c r="AC1176" s="2" t="s">
        <v>235</v>
      </c>
      <c r="AD1176" s="4"/>
      <c r="AE1176" s="4"/>
      <c r="AF1176" s="6">
        <v>69</v>
      </c>
      <c r="AG1176" s="6"/>
      <c r="AH1176" s="7">
        <v>1</v>
      </c>
      <c r="AI1176" s="4"/>
      <c r="AJ1176" s="4">
        <f>=ROUNDDOWN({0},0)</f>
      </c>
      <c r="AK1176" s="5"/>
      <c r="AL1176" s="2" t="s">
        <v>235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235</v>
      </c>
      <c r="AW1176" s="8" t="s">
        <v>235</v>
      </c>
      <c r="AX1176" s="4" t="s">
        <v>235</v>
      </c>
      <c r="AY1176" s="8" t="s">
        <v>235</v>
      </c>
      <c r="AZ1176" s="7" t="s">
        <v>235</v>
      </c>
      <c r="BA1176" s="7" t="s">
        <v>235</v>
      </c>
      <c r="BB1176" s="7"/>
      <c r="BC1176" s="4" t="s">
        <v>235</v>
      </c>
      <c r="BD1176" s="8" t="s">
        <v>235</v>
      </c>
      <c r="BE1176" s="4" t="s">
        <v>235</v>
      </c>
      <c r="BF1176" s="8" t="s">
        <v>235</v>
      </c>
      <c r="BG1176" s="7" t="s">
        <v>235</v>
      </c>
      <c r="BH1176" s="7" t="s">
        <v>235</v>
      </c>
      <c r="BI1176" s="7"/>
      <c r="BJ1176" s="4">
        <v>1</v>
      </c>
      <c r="BK1176" s="8">
        <v>86.18</v>
      </c>
      <c r="BL1176" s="2" t="s">
        <v>1461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4638</v>
      </c>
      <c r="BV1176" s="2" t="s">
        <v>235</v>
      </c>
      <c r="BW1176" s="2" t="s">
        <v>235</v>
      </c>
      <c r="BX1176" s="2" t="s">
        <v>244</v>
      </c>
      <c r="BY1176" s="2" t="s">
        <v>245</v>
      </c>
      <c r="BZ1176" s="2" t="s">
        <v>232</v>
      </c>
      <c r="CA1176" s="2" t="s">
        <v>235</v>
      </c>
      <c r="CB1176" s="2" t="s">
        <v>235</v>
      </c>
      <c r="CC1176" s="2" t="s">
        <v>248</v>
      </c>
      <c r="CD1176" s="2" t="s">
        <v>248</v>
      </c>
      <c r="CE1176" s="2" t="s">
        <v>235</v>
      </c>
      <c r="CF1176" s="4">
        <v>121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>
        <v>121</v>
      </c>
      <c r="GE1176" s="4">
        <v>121</v>
      </c>
      <c r="GF1176" s="4">
        <v>121</v>
      </c>
      <c r="GG1176" s="4">
        <v>121</v>
      </c>
      <c r="GH1176" s="4">
        <v>121</v>
      </c>
      <c r="GI1176" s="4">
        <v>121</v>
      </c>
      <c r="GJ1176" s="4">
        <v>121</v>
      </c>
      <c r="GK1176" s="4">
        <v>121</v>
      </c>
      <c r="GL1176" s="4">
        <v>121</v>
      </c>
      <c r="GM1176" s="4">
        <v>121</v>
      </c>
      <c r="GN1176" s="4">
        <v>121</v>
      </c>
      <c r="GO1176" s="4">
        <v>121</v>
      </c>
      <c r="GP1176" s="4">
        <v>121</v>
      </c>
      <c r="GQ1176" s="4">
        <v>121</v>
      </c>
      <c r="GR1176" s="4">
        <v>121</v>
      </c>
      <c r="GS1176" s="4">
        <v>121</v>
      </c>
      <c r="GT1176" s="4">
        <v>121</v>
      </c>
      <c r="GU1176" s="4">
        <v>121</v>
      </c>
      <c r="GV1176" s="4">
        <v>121</v>
      </c>
      <c r="GW1176" s="4">
        <v>121</v>
      </c>
      <c r="GX1176" s="4">
        <v>121</v>
      </c>
      <c r="GY1176" s="4">
        <v>121</v>
      </c>
      <c r="GZ1176" s="4">
        <v>121</v>
      </c>
      <c r="HA1176" s="4">
        <v>121</v>
      </c>
      <c r="HB1176" s="4">
        <v>121</v>
      </c>
      <c r="HC1176" s="4">
        <v>121</v>
      </c>
      <c r="HD1176" s="9"/>
      <c r="HE1176" s="9"/>
      <c r="HF1176" s="9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9"/>
      <c r="HS1176" s="9"/>
      <c r="HT1176" s="9"/>
      <c r="HU1176" s="9"/>
      <c r="HV1176" s="9"/>
      <c r="HW1176" s="9"/>
      <c r="HX1176" s="9"/>
      <c r="HY1176" s="9"/>
      <c r="HZ1176" s="9"/>
      <c r="IA1176" s="9"/>
      <c r="IB1176" s="9"/>
      <c r="IC1176" s="9"/>
    </row>
    <row r="1177">
      <c r="A1177" s="2" t="s">
        <v>4639</v>
      </c>
      <c r="B1177" s="2" t="s">
        <v>255</v>
      </c>
      <c r="C1177" s="2" t="s">
        <v>2023</v>
      </c>
      <c r="D1177" s="2" t="s">
        <v>361</v>
      </c>
      <c r="E1177" s="2" t="s">
        <v>872</v>
      </c>
      <c r="F1177" s="2" t="s">
        <v>4636</v>
      </c>
      <c r="G1177" s="2" t="s">
        <v>4636</v>
      </c>
      <c r="H1177" s="2" t="s">
        <v>4636</v>
      </c>
      <c r="I1177" s="2" t="s">
        <v>4640</v>
      </c>
      <c r="J1177" s="2" t="s">
        <v>261</v>
      </c>
      <c r="K1177" s="2" t="s">
        <v>2386</v>
      </c>
      <c r="L1177" s="3">
        <v>104</v>
      </c>
      <c r="M1177" s="3">
        <v>109.2</v>
      </c>
      <c r="N1177" s="3">
        <v>189.99</v>
      </c>
      <c r="O1177" s="2" t="s">
        <v>232</v>
      </c>
      <c r="P1177" s="2" t="s">
        <v>878</v>
      </c>
      <c r="Q1177" s="2" t="s">
        <v>234</v>
      </c>
      <c r="R1177" s="2" t="s">
        <v>235</v>
      </c>
      <c r="S1177" s="2" t="s">
        <v>235</v>
      </c>
      <c r="T1177" s="2" t="s">
        <v>263</v>
      </c>
      <c r="U1177" s="2" t="s">
        <v>614</v>
      </c>
      <c r="V1177" s="2" t="s">
        <v>2182</v>
      </c>
      <c r="W1177" s="2" t="s">
        <v>235</v>
      </c>
      <c r="X1177" s="2" t="s">
        <v>235</v>
      </c>
      <c r="Y1177" s="2" t="s">
        <v>1233</v>
      </c>
      <c r="Z1177" s="4">
        <v>192</v>
      </c>
      <c r="AA1177" s="4">
        <f>=ROUNDDOWN(56.4705882352941,0)</f>
      </c>
      <c r="AB1177" s="5">
        <v>3.4</v>
      </c>
      <c r="AC1177" s="2" t="s">
        <v>235</v>
      </c>
      <c r="AD1177" s="4"/>
      <c r="AE1177" s="4"/>
      <c r="AF1177" s="6">
        <v>69</v>
      </c>
      <c r="AG1177" s="6"/>
      <c r="AH1177" s="7">
        <v>1</v>
      </c>
      <c r="AI1177" s="4"/>
      <c r="AJ1177" s="4">
        <f>=ROUNDDOWN({0},0)</f>
      </c>
      <c r="AK1177" s="5"/>
      <c r="AL1177" s="2" t="s">
        <v>235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235</v>
      </c>
      <c r="AW1177" s="8" t="s">
        <v>235</v>
      </c>
      <c r="AX1177" s="4" t="s">
        <v>235</v>
      </c>
      <c r="AY1177" s="8" t="s">
        <v>235</v>
      </c>
      <c r="AZ1177" s="7" t="s">
        <v>235</v>
      </c>
      <c r="BA1177" s="7" t="s">
        <v>235</v>
      </c>
      <c r="BB1177" s="7"/>
      <c r="BC1177" s="4" t="s">
        <v>235</v>
      </c>
      <c r="BD1177" s="8" t="s">
        <v>235</v>
      </c>
      <c r="BE1177" s="4" t="s">
        <v>235</v>
      </c>
      <c r="BF1177" s="8" t="s">
        <v>235</v>
      </c>
      <c r="BG1177" s="7" t="s">
        <v>235</v>
      </c>
      <c r="BH1177" s="7" t="s">
        <v>235</v>
      </c>
      <c r="BI1177" s="7"/>
      <c r="BJ1177" s="4">
        <v>10</v>
      </c>
      <c r="BK1177" s="8">
        <v>1175.4</v>
      </c>
      <c r="BL1177" s="2" t="s">
        <v>968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4641</v>
      </c>
      <c r="BV1177" s="2" t="s">
        <v>235</v>
      </c>
      <c r="BW1177" s="2" t="s">
        <v>235</v>
      </c>
      <c r="BX1177" s="2" t="s">
        <v>244</v>
      </c>
      <c r="BY1177" s="2" t="s">
        <v>245</v>
      </c>
      <c r="BZ1177" s="2" t="s">
        <v>232</v>
      </c>
      <c r="CA1177" s="2" t="s">
        <v>235</v>
      </c>
      <c r="CB1177" s="2" t="s">
        <v>3819</v>
      </c>
      <c r="CC1177" s="2" t="s">
        <v>248</v>
      </c>
      <c r="CD1177" s="2" t="s">
        <v>248</v>
      </c>
      <c r="CE1177" s="2" t="s">
        <v>235</v>
      </c>
      <c r="CF1177" s="4">
        <v>192</v>
      </c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>
        <v>192</v>
      </c>
      <c r="GE1177" s="4">
        <v>190</v>
      </c>
      <c r="GF1177" s="4">
        <v>186</v>
      </c>
      <c r="GG1177" s="4">
        <v>183</v>
      </c>
      <c r="GH1177" s="4">
        <v>182</v>
      </c>
      <c r="GI1177" s="4">
        <v>181</v>
      </c>
      <c r="GJ1177" s="4">
        <v>176</v>
      </c>
      <c r="GK1177" s="4">
        <v>174</v>
      </c>
      <c r="GL1177" s="4">
        <v>172</v>
      </c>
      <c r="GM1177" s="4">
        <v>170</v>
      </c>
      <c r="GN1177" s="4">
        <v>168</v>
      </c>
      <c r="GO1177" s="4">
        <v>166</v>
      </c>
      <c r="GP1177" s="4">
        <v>163</v>
      </c>
      <c r="GQ1177" s="4">
        <v>159</v>
      </c>
      <c r="GR1177" s="4">
        <v>155</v>
      </c>
      <c r="GS1177" s="4">
        <v>152</v>
      </c>
      <c r="GT1177" s="4">
        <v>150</v>
      </c>
      <c r="GU1177" s="4">
        <v>149</v>
      </c>
      <c r="GV1177" s="4">
        <v>145</v>
      </c>
      <c r="GW1177" s="4">
        <v>144</v>
      </c>
      <c r="GX1177" s="4">
        <v>140</v>
      </c>
      <c r="GY1177" s="4">
        <v>138</v>
      </c>
      <c r="GZ1177" s="4">
        <v>135</v>
      </c>
      <c r="HA1177" s="4">
        <v>143</v>
      </c>
      <c r="HB1177" s="4">
        <v>139</v>
      </c>
      <c r="HC1177" s="4">
        <v>135</v>
      </c>
      <c r="HD1177" s="19">
        <v>96</v>
      </c>
      <c r="HE1177" s="19">
        <v>95</v>
      </c>
      <c r="HF1177" s="19">
        <v>93</v>
      </c>
      <c r="HG1177" s="19">
        <v>91.5</v>
      </c>
      <c r="HH1177" s="19">
        <v>91</v>
      </c>
      <c r="HI1177" s="19">
        <v>60.3</v>
      </c>
      <c r="HJ1177" s="19">
        <v>88</v>
      </c>
      <c r="HK1177" s="19">
        <v>87</v>
      </c>
      <c r="HL1177" s="19">
        <v>86</v>
      </c>
      <c r="HM1177" s="19">
        <v>56.7</v>
      </c>
      <c r="HN1177" s="19">
        <v>56</v>
      </c>
      <c r="HO1177" s="19">
        <v>41.5</v>
      </c>
      <c r="HP1177" s="19">
        <v>54.3</v>
      </c>
      <c r="HQ1177" s="19">
        <v>79.5</v>
      </c>
      <c r="HR1177" s="19">
        <v>77.5</v>
      </c>
      <c r="HS1177" s="19">
        <v>76</v>
      </c>
      <c r="HT1177" s="19">
        <v>75</v>
      </c>
      <c r="HU1177" s="19">
        <v>49.7</v>
      </c>
      <c r="HV1177" s="19">
        <v>72.5</v>
      </c>
      <c r="HW1177" s="19">
        <v>36</v>
      </c>
      <c r="HX1177" s="19">
        <v>35</v>
      </c>
      <c r="HY1177" s="19">
        <v>34.5</v>
      </c>
      <c r="HZ1177" s="19">
        <v>33.8</v>
      </c>
      <c r="IA1177" s="19">
        <v>35.8</v>
      </c>
      <c r="IB1177" s="19">
        <v>34.8</v>
      </c>
      <c r="IC1177" s="19">
        <v>27</v>
      </c>
    </row>
    <row r="1178">
      <c r="A1178" s="2" t="s">
        <v>4642</v>
      </c>
      <c r="B1178" s="2" t="s">
        <v>255</v>
      </c>
      <c r="C1178" s="2" t="s">
        <v>2023</v>
      </c>
      <c r="D1178" s="2" t="s">
        <v>361</v>
      </c>
      <c r="E1178" s="2" t="s">
        <v>872</v>
      </c>
      <c r="F1178" s="2" t="s">
        <v>4636</v>
      </c>
      <c r="G1178" s="2" t="s">
        <v>4636</v>
      </c>
      <c r="H1178" s="2" t="s">
        <v>4636</v>
      </c>
      <c r="I1178" s="2" t="s">
        <v>4640</v>
      </c>
      <c r="J1178" s="2" t="s">
        <v>270</v>
      </c>
      <c r="K1178" s="2" t="s">
        <v>2386</v>
      </c>
      <c r="L1178" s="3">
        <v>108</v>
      </c>
      <c r="M1178" s="3">
        <v>113.4</v>
      </c>
      <c r="N1178" s="3">
        <v>209.99</v>
      </c>
      <c r="O1178" s="2" t="s">
        <v>232</v>
      </c>
      <c r="P1178" s="2" t="s">
        <v>878</v>
      </c>
      <c r="Q1178" s="2" t="s">
        <v>234</v>
      </c>
      <c r="R1178" s="2" t="s">
        <v>235</v>
      </c>
      <c r="S1178" s="2" t="s">
        <v>235</v>
      </c>
      <c r="T1178" s="2" t="s">
        <v>263</v>
      </c>
      <c r="U1178" s="2" t="s">
        <v>614</v>
      </c>
      <c r="V1178" s="2" t="s">
        <v>2182</v>
      </c>
      <c r="W1178" s="2" t="s">
        <v>235</v>
      </c>
      <c r="X1178" s="2" t="s">
        <v>235</v>
      </c>
      <c r="Y1178" s="2" t="s">
        <v>1233</v>
      </c>
      <c r="Z1178" s="4">
        <v>197</v>
      </c>
      <c r="AA1178" s="4">
        <f>=ROUNDDOWN(67.9310344827586,0)</f>
      </c>
      <c r="AB1178" s="5">
        <v>2.9</v>
      </c>
      <c r="AC1178" s="2" t="s">
        <v>235</v>
      </c>
      <c r="AD1178" s="4"/>
      <c r="AE1178" s="4"/>
      <c r="AF1178" s="6">
        <v>69</v>
      </c>
      <c r="AG1178" s="6"/>
      <c r="AH1178" s="7">
        <v>1</v>
      </c>
      <c r="AI1178" s="4"/>
      <c r="AJ1178" s="4">
        <f>=ROUNDDOWN({0},0)</f>
      </c>
      <c r="AK1178" s="5"/>
      <c r="AL1178" s="2" t="s">
        <v>235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235</v>
      </c>
      <c r="AW1178" s="8" t="s">
        <v>235</v>
      </c>
      <c r="AX1178" s="4" t="s">
        <v>235</v>
      </c>
      <c r="AY1178" s="8" t="s">
        <v>235</v>
      </c>
      <c r="AZ1178" s="7" t="s">
        <v>235</v>
      </c>
      <c r="BA1178" s="7" t="s">
        <v>235</v>
      </c>
      <c r="BB1178" s="7"/>
      <c r="BC1178" s="4" t="s">
        <v>235</v>
      </c>
      <c r="BD1178" s="8" t="s">
        <v>235</v>
      </c>
      <c r="BE1178" s="4" t="s">
        <v>235</v>
      </c>
      <c r="BF1178" s="8" t="s">
        <v>235</v>
      </c>
      <c r="BG1178" s="7" t="s">
        <v>235</v>
      </c>
      <c r="BH1178" s="7" t="s">
        <v>235</v>
      </c>
      <c r="BI1178" s="7"/>
      <c r="BJ1178" s="4">
        <v>7</v>
      </c>
      <c r="BK1178" s="8">
        <v>879.74</v>
      </c>
      <c r="BL1178" s="2" t="s">
        <v>811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4641</v>
      </c>
      <c r="BV1178" s="2" t="s">
        <v>235</v>
      </c>
      <c r="BW1178" s="2" t="s">
        <v>235</v>
      </c>
      <c r="BX1178" s="2" t="s">
        <v>244</v>
      </c>
      <c r="BY1178" s="2" t="s">
        <v>245</v>
      </c>
      <c r="BZ1178" s="2" t="s">
        <v>232</v>
      </c>
      <c r="CA1178" s="2" t="s">
        <v>235</v>
      </c>
      <c r="CB1178" s="2" t="s">
        <v>4643</v>
      </c>
      <c r="CC1178" s="2" t="s">
        <v>248</v>
      </c>
      <c r="CD1178" s="2" t="s">
        <v>248</v>
      </c>
      <c r="CE1178" s="2" t="s">
        <v>235</v>
      </c>
      <c r="CF1178" s="4">
        <v>197</v>
      </c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>
        <v>199</v>
      </c>
      <c r="GE1178" s="4">
        <v>196</v>
      </c>
      <c r="GF1178" s="4">
        <v>194</v>
      </c>
      <c r="GG1178" s="4">
        <v>191</v>
      </c>
      <c r="GH1178" s="4">
        <v>188</v>
      </c>
      <c r="GI1178" s="4">
        <v>186</v>
      </c>
      <c r="GJ1178" s="4">
        <v>182</v>
      </c>
      <c r="GK1178" s="4">
        <v>180</v>
      </c>
      <c r="GL1178" s="4">
        <v>177</v>
      </c>
      <c r="GM1178" s="4">
        <v>175</v>
      </c>
      <c r="GN1178" s="4">
        <v>172</v>
      </c>
      <c r="GO1178" s="4">
        <v>169</v>
      </c>
      <c r="GP1178" s="4">
        <v>167</v>
      </c>
      <c r="GQ1178" s="4">
        <v>164</v>
      </c>
      <c r="GR1178" s="4">
        <v>158</v>
      </c>
      <c r="GS1178" s="4">
        <v>153</v>
      </c>
      <c r="GT1178" s="4">
        <v>150</v>
      </c>
      <c r="GU1178" s="4">
        <v>148</v>
      </c>
      <c r="GV1178" s="4">
        <v>144</v>
      </c>
      <c r="GW1178" s="4">
        <v>141</v>
      </c>
      <c r="GX1178" s="4">
        <v>138</v>
      </c>
      <c r="GY1178" s="4">
        <v>136</v>
      </c>
      <c r="GZ1178" s="4">
        <v>134</v>
      </c>
      <c r="HA1178" s="4">
        <v>134</v>
      </c>
      <c r="HB1178" s="4">
        <v>131</v>
      </c>
      <c r="HC1178" s="4">
        <v>128</v>
      </c>
      <c r="HD1178" s="19">
        <v>66.3</v>
      </c>
      <c r="HE1178" s="19">
        <v>98</v>
      </c>
      <c r="HF1178" s="19">
        <v>64.7</v>
      </c>
      <c r="HG1178" s="19">
        <v>63.7</v>
      </c>
      <c r="HH1178" s="19">
        <v>62.7</v>
      </c>
      <c r="HI1178" s="19">
        <v>62</v>
      </c>
      <c r="HJ1178" s="19">
        <v>91</v>
      </c>
      <c r="HK1178" s="19">
        <v>60</v>
      </c>
      <c r="HL1178" s="19">
        <v>88.5</v>
      </c>
      <c r="HM1178" s="19">
        <v>58.3</v>
      </c>
      <c r="HN1178" s="19">
        <v>43</v>
      </c>
      <c r="HO1178" s="19">
        <v>42.3</v>
      </c>
      <c r="HP1178" s="19">
        <v>41.8</v>
      </c>
      <c r="HQ1178" s="19">
        <v>41</v>
      </c>
      <c r="HR1178" s="19">
        <v>39.5</v>
      </c>
      <c r="HS1178" s="19">
        <v>51</v>
      </c>
      <c r="HT1178" s="19">
        <v>50</v>
      </c>
      <c r="HU1178" s="19">
        <v>49.3</v>
      </c>
      <c r="HV1178" s="19">
        <v>72</v>
      </c>
      <c r="HW1178" s="19">
        <v>70.5</v>
      </c>
      <c r="HX1178" s="19">
        <v>69</v>
      </c>
      <c r="HY1178" s="19">
        <v>68</v>
      </c>
      <c r="HZ1178" s="19">
        <v>44.7</v>
      </c>
      <c r="IA1178" s="19">
        <v>44.7</v>
      </c>
      <c r="IB1178" s="19">
        <v>43.7</v>
      </c>
      <c r="IC1178" s="19">
        <v>42.7</v>
      </c>
    </row>
    <row r="1179">
      <c r="A1179" s="2" t="s">
        <v>4644</v>
      </c>
      <c r="B1179" s="2" t="s">
        <v>255</v>
      </c>
      <c r="C1179" s="2" t="s">
        <v>2023</v>
      </c>
      <c r="D1179" s="2" t="s">
        <v>906</v>
      </c>
      <c r="E1179" s="2" t="s">
        <v>1301</v>
      </c>
      <c r="F1179" s="2" t="s">
        <v>4636</v>
      </c>
      <c r="G1179" s="2" t="s">
        <v>4636</v>
      </c>
      <c r="H1179" s="2" t="s">
        <v>4636</v>
      </c>
      <c r="I1179" s="2" t="s">
        <v>4637</v>
      </c>
      <c r="J1179" s="2" t="s">
        <v>372</v>
      </c>
      <c r="K1179" s="2" t="s">
        <v>2386</v>
      </c>
      <c r="L1179" s="3">
        <v>80</v>
      </c>
      <c r="M1179" s="3">
        <v>84</v>
      </c>
      <c r="N1179" s="3">
        <v>169.99</v>
      </c>
      <c r="O1179" s="2" t="s">
        <v>232</v>
      </c>
      <c r="P1179" s="2" t="s">
        <v>878</v>
      </c>
      <c r="Q1179" s="2" t="s">
        <v>234</v>
      </c>
      <c r="R1179" s="2" t="s">
        <v>235</v>
      </c>
      <c r="S1179" s="2" t="s">
        <v>235</v>
      </c>
      <c r="T1179" s="2" t="s">
        <v>263</v>
      </c>
      <c r="U1179" s="2" t="s">
        <v>282</v>
      </c>
      <c r="V1179" s="2" t="s">
        <v>2182</v>
      </c>
      <c r="W1179" s="2" t="s">
        <v>235</v>
      </c>
      <c r="X1179" s="2" t="s">
        <v>235</v>
      </c>
      <c r="Y1179" s="2" t="s">
        <v>1233</v>
      </c>
      <c r="Z1179" s="4">
        <v>152</v>
      </c>
      <c r="AA1179" s="4">
        <f>=ROUNDDOWN(43.4285714285714,0)</f>
      </c>
      <c r="AB1179" s="5">
        <v>3.5</v>
      </c>
      <c r="AC1179" s="2" t="s">
        <v>235</v>
      </c>
      <c r="AD1179" s="4"/>
      <c r="AE1179" s="4"/>
      <c r="AF1179" s="6">
        <v>69</v>
      </c>
      <c r="AG1179" s="6"/>
      <c r="AH1179" s="7">
        <v>1</v>
      </c>
      <c r="AI1179" s="4"/>
      <c r="AJ1179" s="4">
        <f>=ROUNDDOWN({0},0)</f>
      </c>
      <c r="AK1179" s="5"/>
      <c r="AL1179" s="2" t="s">
        <v>235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235</v>
      </c>
      <c r="AW1179" s="8" t="s">
        <v>235</v>
      </c>
      <c r="AX1179" s="4" t="s">
        <v>235</v>
      </c>
      <c r="AY1179" s="8" t="s">
        <v>235</v>
      </c>
      <c r="AZ1179" s="7" t="s">
        <v>235</v>
      </c>
      <c r="BA1179" s="7" t="s">
        <v>235</v>
      </c>
      <c r="BB1179" s="7"/>
      <c r="BC1179" s="4" t="s">
        <v>235</v>
      </c>
      <c r="BD1179" s="8" t="s">
        <v>235</v>
      </c>
      <c r="BE1179" s="4" t="s">
        <v>235</v>
      </c>
      <c r="BF1179" s="8" t="s">
        <v>235</v>
      </c>
      <c r="BG1179" s="7" t="s">
        <v>235</v>
      </c>
      <c r="BH1179" s="7" t="s">
        <v>235</v>
      </c>
      <c r="BI1179" s="7"/>
      <c r="BJ1179" s="4">
        <v>1</v>
      </c>
      <c r="BK1179" s="8">
        <v>90.72</v>
      </c>
      <c r="BL1179" s="2" t="s">
        <v>1461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4638</v>
      </c>
      <c r="BV1179" s="2" t="s">
        <v>235</v>
      </c>
      <c r="BW1179" s="2" t="s">
        <v>235</v>
      </c>
      <c r="BX1179" s="2" t="s">
        <v>244</v>
      </c>
      <c r="BY1179" s="2" t="s">
        <v>245</v>
      </c>
      <c r="BZ1179" s="2" t="s">
        <v>232</v>
      </c>
      <c r="CA1179" s="2" t="s">
        <v>235</v>
      </c>
      <c r="CB1179" s="2" t="s">
        <v>737</v>
      </c>
      <c r="CC1179" s="2" t="s">
        <v>248</v>
      </c>
      <c r="CD1179" s="2" t="s">
        <v>248</v>
      </c>
      <c r="CE1179" s="2" t="s">
        <v>235</v>
      </c>
      <c r="CF1179" s="4">
        <v>152</v>
      </c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>
        <v>153</v>
      </c>
      <c r="GE1179" s="4">
        <v>142</v>
      </c>
      <c r="GF1179" s="4">
        <v>140</v>
      </c>
      <c r="GG1179" s="4">
        <v>137</v>
      </c>
      <c r="GH1179" s="4">
        <v>134</v>
      </c>
      <c r="GI1179" s="4">
        <v>131</v>
      </c>
      <c r="GJ1179" s="4">
        <v>125</v>
      </c>
      <c r="GK1179" s="4">
        <v>120</v>
      </c>
      <c r="GL1179" s="4">
        <v>117</v>
      </c>
      <c r="GM1179" s="4">
        <v>110</v>
      </c>
      <c r="GN1179" s="4">
        <v>109</v>
      </c>
      <c r="GO1179" s="4">
        <v>105</v>
      </c>
      <c r="GP1179" s="4">
        <v>102</v>
      </c>
      <c r="GQ1179" s="4">
        <v>96</v>
      </c>
      <c r="GR1179" s="4">
        <v>89</v>
      </c>
      <c r="GS1179" s="4">
        <v>87</v>
      </c>
      <c r="GT1179" s="4">
        <v>83</v>
      </c>
      <c r="GU1179" s="4">
        <v>80</v>
      </c>
      <c r="GV1179" s="4">
        <v>77</v>
      </c>
      <c r="GW1179" s="4">
        <v>72</v>
      </c>
      <c r="GX1179" s="4">
        <v>67</v>
      </c>
      <c r="GY1179" s="4">
        <v>64</v>
      </c>
      <c r="GZ1179" s="4">
        <v>60</v>
      </c>
      <c r="HA1179" s="4">
        <v>184</v>
      </c>
      <c r="HB1179" s="4">
        <v>176</v>
      </c>
      <c r="HC1179" s="4">
        <v>172</v>
      </c>
      <c r="HD1179" s="19">
        <v>30.6</v>
      </c>
      <c r="HE1179" s="19">
        <v>47.3</v>
      </c>
      <c r="HF1179" s="19">
        <v>35</v>
      </c>
      <c r="HG1179" s="19">
        <v>34.3</v>
      </c>
      <c r="HH1179" s="19">
        <v>33.5</v>
      </c>
      <c r="HI1179" s="19">
        <v>26.2</v>
      </c>
      <c r="HJ1179" s="19">
        <v>31.3</v>
      </c>
      <c r="HK1179" s="19">
        <v>30</v>
      </c>
      <c r="HL1179" s="19">
        <v>29.3</v>
      </c>
      <c r="HM1179" s="19">
        <v>27.5</v>
      </c>
      <c r="HN1179" s="19">
        <v>21.8</v>
      </c>
      <c r="HO1179" s="19">
        <v>26.3</v>
      </c>
      <c r="HP1179" s="19">
        <v>20.4</v>
      </c>
      <c r="HQ1179" s="19">
        <v>24</v>
      </c>
      <c r="HR1179" s="19">
        <v>29.7</v>
      </c>
      <c r="HS1179" s="19">
        <v>21.8</v>
      </c>
      <c r="HT1179" s="19">
        <v>20.8</v>
      </c>
      <c r="HU1179" s="19">
        <v>20</v>
      </c>
      <c r="HV1179" s="19">
        <v>19.3</v>
      </c>
      <c r="HW1179" s="19">
        <v>18</v>
      </c>
      <c r="HX1179" s="19">
        <v>13.4</v>
      </c>
      <c r="HY1179" s="19">
        <v>12.8</v>
      </c>
      <c r="HZ1179" s="19">
        <v>12</v>
      </c>
      <c r="IA1179" s="19">
        <v>30.7</v>
      </c>
      <c r="IB1179" s="19">
        <v>35.2</v>
      </c>
      <c r="IC1179" s="19">
        <v>28.7</v>
      </c>
    </row>
    <row r="1180">
      <c r="A1180" s="2" t="s">
        <v>4645</v>
      </c>
      <c r="B1180" s="2" t="s">
        <v>800</v>
      </c>
      <c r="C1180" s="2" t="s">
        <v>893</v>
      </c>
      <c r="D1180" s="2" t="s">
        <v>1491</v>
      </c>
      <c r="E1180" s="2" t="s">
        <v>1492</v>
      </c>
      <c r="F1180" s="2" t="s">
        <v>4646</v>
      </c>
      <c r="G1180" s="2" t="s">
        <v>4646</v>
      </c>
      <c r="H1180" s="2" t="s">
        <v>4646</v>
      </c>
      <c r="I1180" s="2" t="s">
        <v>4647</v>
      </c>
      <c r="J1180" s="2" t="s">
        <v>897</v>
      </c>
      <c r="K1180" s="2" t="s">
        <v>2561</v>
      </c>
      <c r="L1180" s="3">
        <v>129.06</v>
      </c>
      <c r="M1180" s="3">
        <v>135.51</v>
      </c>
      <c r="N1180" s="3">
        <v>284.99</v>
      </c>
      <c r="O1180" s="2" t="s">
        <v>232</v>
      </c>
      <c r="P1180" s="2" t="s">
        <v>408</v>
      </c>
      <c r="Q1180" s="2" t="s">
        <v>234</v>
      </c>
      <c r="R1180" s="2" t="s">
        <v>235</v>
      </c>
      <c r="S1180" s="2" t="s">
        <v>235</v>
      </c>
      <c r="T1180" s="2" t="s">
        <v>235</v>
      </c>
      <c r="U1180" s="2" t="s">
        <v>235</v>
      </c>
      <c r="V1180" s="2" t="s">
        <v>808</v>
      </c>
      <c r="W1180" s="2" t="s">
        <v>1157</v>
      </c>
      <c r="X1180" s="2" t="s">
        <v>235</v>
      </c>
      <c r="Y1180" s="2" t="s">
        <v>3074</v>
      </c>
      <c r="Z1180" s="4">
        <v>1</v>
      </c>
      <c r="AA1180" s="4">
        <f>=ROUNDDOWN(0.5,0)</f>
      </c>
      <c r="AB1180" s="5">
        <v>2</v>
      </c>
      <c r="AC1180" s="2" t="s">
        <v>161</v>
      </c>
      <c r="AD1180" s="4">
        <v>50</v>
      </c>
      <c r="AE1180" s="4">
        <v>50</v>
      </c>
      <c r="AF1180" s="6">
        <v>81</v>
      </c>
      <c r="AG1180" s="6"/>
      <c r="AH1180" s="7">
        <v>0.3226</v>
      </c>
      <c r="AI1180" s="4"/>
      <c r="AJ1180" s="4">
        <f>=ROUNDDOWN({0},0)</f>
      </c>
      <c r="AK1180" s="5"/>
      <c r="AL1180" s="2" t="s">
        <v>235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>
        <v>1</v>
      </c>
      <c r="BK1180" s="8">
        <v>155.84</v>
      </c>
      <c r="BL1180" s="2" t="s">
        <v>4081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4648</v>
      </c>
      <c r="BV1180" s="2" t="s">
        <v>813</v>
      </c>
      <c r="BW1180" s="2" t="s">
        <v>235</v>
      </c>
      <c r="BX1180" s="2" t="s">
        <v>414</v>
      </c>
      <c r="BY1180" s="2" t="s">
        <v>245</v>
      </c>
      <c r="BZ1180" s="2" t="s">
        <v>232</v>
      </c>
      <c r="CA1180" s="2" t="s">
        <v>4649</v>
      </c>
      <c r="CB1180" s="2" t="s">
        <v>4411</v>
      </c>
      <c r="CC1180" s="2" t="s">
        <v>248</v>
      </c>
      <c r="CD1180" s="2" t="s">
        <v>248</v>
      </c>
      <c r="CE1180" s="2" t="s">
        <v>235</v>
      </c>
      <c r="CF1180" s="4"/>
      <c r="CG1180" s="4">
        <v>1</v>
      </c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>
        <v>50</v>
      </c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>
        <v>2</v>
      </c>
      <c r="GE1180" s="4"/>
      <c r="GF1180" s="4"/>
      <c r="GG1180" s="4"/>
      <c r="GH1180" s="4"/>
      <c r="GI1180" s="4"/>
      <c r="GJ1180" s="4">
        <v>50</v>
      </c>
      <c r="GK1180" s="4">
        <v>48</v>
      </c>
      <c r="GL1180" s="4">
        <v>46</v>
      </c>
      <c r="GM1180" s="4">
        <v>44</v>
      </c>
      <c r="GN1180" s="4">
        <v>42</v>
      </c>
      <c r="GO1180" s="4">
        <v>40</v>
      </c>
      <c r="GP1180" s="4">
        <v>38</v>
      </c>
      <c r="GQ1180" s="4">
        <v>35</v>
      </c>
      <c r="GR1180" s="4">
        <v>33</v>
      </c>
      <c r="GS1180" s="4">
        <v>31</v>
      </c>
      <c r="GT1180" s="4">
        <v>29</v>
      </c>
      <c r="GU1180" s="4">
        <v>27</v>
      </c>
      <c r="GV1180" s="4">
        <v>25</v>
      </c>
      <c r="GW1180" s="4">
        <v>23</v>
      </c>
      <c r="GX1180" s="4">
        <v>21</v>
      </c>
      <c r="GY1180" s="4">
        <v>19</v>
      </c>
      <c r="GZ1180" s="4">
        <v>17</v>
      </c>
      <c r="HA1180" s="4">
        <v>15</v>
      </c>
      <c r="HB1180" s="4">
        <v>13</v>
      </c>
      <c r="HC1180" s="4">
        <v>11</v>
      </c>
      <c r="HD1180" s="19">
        <v>1</v>
      </c>
      <c r="HE1180" s="20">
        <v>0</v>
      </c>
      <c r="HF1180" s="20">
        <v>0</v>
      </c>
      <c r="HG1180" s="20">
        <v>0</v>
      </c>
      <c r="HH1180" s="20">
        <v>0</v>
      </c>
      <c r="HI1180" s="20">
        <v>0</v>
      </c>
      <c r="HJ1180" s="19">
        <v>25</v>
      </c>
      <c r="HK1180" s="19">
        <v>24</v>
      </c>
      <c r="HL1180" s="19">
        <v>23</v>
      </c>
      <c r="HM1180" s="19">
        <v>22</v>
      </c>
      <c r="HN1180" s="19">
        <v>21</v>
      </c>
      <c r="HO1180" s="19">
        <v>20</v>
      </c>
      <c r="HP1180" s="19">
        <v>19</v>
      </c>
      <c r="HQ1180" s="19">
        <v>17.5</v>
      </c>
      <c r="HR1180" s="19">
        <v>16.5</v>
      </c>
      <c r="HS1180" s="19">
        <v>15.5</v>
      </c>
      <c r="HT1180" s="19">
        <v>14.5</v>
      </c>
      <c r="HU1180" s="19">
        <v>13.5</v>
      </c>
      <c r="HV1180" s="19">
        <v>12.5</v>
      </c>
      <c r="HW1180" s="19">
        <v>11.5</v>
      </c>
      <c r="HX1180" s="19">
        <v>10.5</v>
      </c>
      <c r="HY1180" s="19">
        <v>9.5</v>
      </c>
      <c r="HZ1180" s="19">
        <v>8.5</v>
      </c>
      <c r="IA1180" s="19">
        <v>7.5</v>
      </c>
      <c r="IB1180" s="19">
        <v>6.5</v>
      </c>
      <c r="IC1180" s="19">
        <v>5.5</v>
      </c>
    </row>
    <row r="1181">
      <c r="A1181" s="2" t="s">
        <v>4650</v>
      </c>
      <c r="B1181" s="2" t="s">
        <v>871</v>
      </c>
      <c r="C1181" s="2" t="s">
        <v>980</v>
      </c>
      <c r="D1181" s="2" t="s">
        <v>1452</v>
      </c>
      <c r="E1181" s="2" t="s">
        <v>4228</v>
      </c>
      <c r="F1181" s="2" t="s">
        <v>1831</v>
      </c>
      <c r="G1181" s="2" t="s">
        <v>1831</v>
      </c>
      <c r="H1181" s="2" t="s">
        <v>1831</v>
      </c>
      <c r="I1181" s="2" t="s">
        <v>4651</v>
      </c>
      <c r="J1181" s="2" t="s">
        <v>372</v>
      </c>
      <c r="K1181" s="2" t="s">
        <v>1238</v>
      </c>
      <c r="L1181" s="3">
        <v>59.42</v>
      </c>
      <c r="M1181" s="3">
        <v>62.39</v>
      </c>
      <c r="N1181" s="3">
        <v>129.99</v>
      </c>
      <c r="O1181" s="2" t="s">
        <v>485</v>
      </c>
      <c r="P1181" s="2" t="s">
        <v>408</v>
      </c>
      <c r="Q1181" s="2" t="s">
        <v>234</v>
      </c>
      <c r="R1181" s="2" t="s">
        <v>235</v>
      </c>
      <c r="S1181" s="2" t="s">
        <v>4652</v>
      </c>
      <c r="T1181" s="2" t="s">
        <v>263</v>
      </c>
      <c r="U1181" s="2" t="s">
        <v>552</v>
      </c>
      <c r="V1181" s="2" t="s">
        <v>863</v>
      </c>
      <c r="W1181" s="2" t="s">
        <v>1798</v>
      </c>
      <c r="X1181" s="2" t="s">
        <v>1596</v>
      </c>
      <c r="Y1181" s="2" t="s">
        <v>4653</v>
      </c>
      <c r="Z1181" s="4"/>
      <c r="AA1181" s="4">
        <f>=ROUNDDOWN({0},0)</f>
      </c>
      <c r="AB1181" s="5">
        <v>1.5</v>
      </c>
      <c r="AC1181" s="2" t="s">
        <v>235</v>
      </c>
      <c r="AD1181" s="4"/>
      <c r="AE1181" s="4"/>
      <c r="AF1181" s="6">
        <v>78</v>
      </c>
      <c r="AG1181" s="6"/>
      <c r="AH1181" s="7">
        <v>1</v>
      </c>
      <c r="AI1181" s="4"/>
      <c r="AJ1181" s="4">
        <f>=ROUNDDOWN({0},0)</f>
      </c>
      <c r="AK1181" s="5"/>
      <c r="AL1181" s="2" t="s">
        <v>235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>
        <v>7</v>
      </c>
      <c r="BK1181" s="8">
        <v>312.36</v>
      </c>
      <c r="BL1181" s="2" t="s">
        <v>4654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4655</v>
      </c>
      <c r="BV1181" s="2" t="s">
        <v>243</v>
      </c>
      <c r="BW1181" s="2" t="s">
        <v>235</v>
      </c>
      <c r="BX1181" s="2" t="s">
        <v>414</v>
      </c>
      <c r="BY1181" s="2" t="s">
        <v>245</v>
      </c>
      <c r="BZ1181" s="2" t="s">
        <v>232</v>
      </c>
      <c r="CA1181" s="2" t="s">
        <v>4656</v>
      </c>
      <c r="CB1181" s="2" t="s">
        <v>1725</v>
      </c>
      <c r="CC1181" s="2" t="s">
        <v>492</v>
      </c>
      <c r="CD1181" s="2" t="s">
        <v>248</v>
      </c>
      <c r="CE1181" s="2" t="s">
        <v>235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>
        <v>45</v>
      </c>
      <c r="GE1181" s="4">
        <v>44</v>
      </c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19">
        <v>3.8</v>
      </c>
      <c r="HE1181" s="19">
        <v>3.7</v>
      </c>
      <c r="HF1181" s="20">
        <v>0</v>
      </c>
      <c r="HG1181" s="20">
        <v>0</v>
      </c>
      <c r="HH1181" s="20">
        <v>0</v>
      </c>
      <c r="HI1181" s="20">
        <v>0</v>
      </c>
      <c r="HJ1181" s="20">
        <v>0</v>
      </c>
      <c r="HK1181" s="20">
        <v>0</v>
      </c>
      <c r="HL1181" s="20">
        <v>0</v>
      </c>
      <c r="HM1181" s="20">
        <v>0</v>
      </c>
      <c r="HN1181" s="20">
        <v>0</v>
      </c>
      <c r="HO1181" s="20">
        <v>0</v>
      </c>
      <c r="HP1181" s="20">
        <v>0</v>
      </c>
      <c r="HQ1181" s="20">
        <v>0</v>
      </c>
      <c r="HR1181" s="20">
        <v>0</v>
      </c>
      <c r="HS1181" s="20">
        <v>0</v>
      </c>
      <c r="HT1181" s="20">
        <v>0</v>
      </c>
      <c r="HU1181" s="20">
        <v>0</v>
      </c>
      <c r="HV1181" s="20">
        <v>0</v>
      </c>
      <c r="HW1181" s="20">
        <v>0</v>
      </c>
      <c r="HX1181" s="20">
        <v>0</v>
      </c>
      <c r="HY1181" s="20">
        <v>0</v>
      </c>
      <c r="HZ1181" s="20">
        <v>0</v>
      </c>
      <c r="IA1181" s="20">
        <v>0</v>
      </c>
      <c r="IB1181" s="20">
        <v>0</v>
      </c>
      <c r="IC1181" s="20">
        <v>0</v>
      </c>
    </row>
    <row r="1182">
      <c r="A1182" s="2" t="s">
        <v>4657</v>
      </c>
      <c r="B1182" s="2" t="s">
        <v>852</v>
      </c>
      <c r="C1182" s="2" t="s">
        <v>893</v>
      </c>
      <c r="D1182" s="2" t="s">
        <v>854</v>
      </c>
      <c r="E1182" s="2" t="s">
        <v>855</v>
      </c>
      <c r="F1182" s="2" t="s">
        <v>4658</v>
      </c>
      <c r="G1182" s="2" t="s">
        <v>4658</v>
      </c>
      <c r="H1182" s="2" t="s">
        <v>4658</v>
      </c>
      <c r="I1182" s="2" t="s">
        <v>4659</v>
      </c>
      <c r="J1182" s="2" t="s">
        <v>1224</v>
      </c>
      <c r="K1182" s="2" t="s">
        <v>1238</v>
      </c>
      <c r="L1182" s="3">
        <v>30</v>
      </c>
      <c r="M1182" s="3">
        <v>31.5</v>
      </c>
      <c r="N1182" s="3">
        <v>69.99</v>
      </c>
      <c r="O1182" s="2" t="s">
        <v>232</v>
      </c>
      <c r="P1182" s="2" t="s">
        <v>878</v>
      </c>
      <c r="Q1182" s="2" t="s">
        <v>234</v>
      </c>
      <c r="R1182" s="2" t="s">
        <v>235</v>
      </c>
      <c r="S1182" s="2" t="s">
        <v>235</v>
      </c>
      <c r="T1182" s="2" t="s">
        <v>263</v>
      </c>
      <c r="U1182" s="2" t="s">
        <v>807</v>
      </c>
      <c r="V1182" s="2" t="s">
        <v>863</v>
      </c>
      <c r="W1182" s="2" t="s">
        <v>1052</v>
      </c>
      <c r="X1182" s="2" t="s">
        <v>1242</v>
      </c>
      <c r="Y1182" s="2" t="s">
        <v>4660</v>
      </c>
      <c r="Z1182" s="4">
        <v>701</v>
      </c>
      <c r="AA1182" s="4">
        <f>=ROUNDDOWN(41.2352941176471,0)</f>
      </c>
      <c r="AB1182" s="5">
        <v>17</v>
      </c>
      <c r="AC1182" s="2" t="s">
        <v>235</v>
      </c>
      <c r="AD1182" s="4"/>
      <c r="AE1182" s="4"/>
      <c r="AF1182" s="6">
        <v>77</v>
      </c>
      <c r="AG1182" s="6"/>
      <c r="AH1182" s="7">
        <v>1</v>
      </c>
      <c r="AI1182" s="4"/>
      <c r="AJ1182" s="4">
        <f>=ROUNDDOWN({0},0)</f>
      </c>
      <c r="AK1182" s="5"/>
      <c r="AL1182" s="2" t="s">
        <v>235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235</v>
      </c>
      <c r="BD1182" s="8" t="s">
        <v>235</v>
      </c>
      <c r="BE1182" s="4" t="s">
        <v>235</v>
      </c>
      <c r="BF1182" s="8" t="s">
        <v>235</v>
      </c>
      <c r="BG1182" s="7" t="s">
        <v>235</v>
      </c>
      <c r="BH1182" s="7" t="s">
        <v>235</v>
      </c>
      <c r="BI1182" s="7"/>
      <c r="BJ1182" s="4">
        <v>58</v>
      </c>
      <c r="BK1182" s="8">
        <v>2001</v>
      </c>
      <c r="BL1182" s="2" t="s">
        <v>2683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4661</v>
      </c>
      <c r="BV1182" s="2" t="s">
        <v>235</v>
      </c>
      <c r="BW1182" s="2" t="s">
        <v>235</v>
      </c>
      <c r="BX1182" s="2" t="s">
        <v>685</v>
      </c>
      <c r="BY1182" s="2" t="s">
        <v>245</v>
      </c>
      <c r="BZ1182" s="2" t="s">
        <v>232</v>
      </c>
      <c r="CA1182" s="2" t="s">
        <v>235</v>
      </c>
      <c r="CB1182" s="2" t="s">
        <v>1235</v>
      </c>
      <c r="CC1182" s="2" t="s">
        <v>248</v>
      </c>
      <c r="CD1182" s="2" t="s">
        <v>248</v>
      </c>
      <c r="CE1182" s="2" t="s">
        <v>235</v>
      </c>
      <c r="CF1182" s="4">
        <v>701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>
        <v>713</v>
      </c>
      <c r="GE1182" s="4">
        <v>700</v>
      </c>
      <c r="GF1182" s="4">
        <v>698</v>
      </c>
      <c r="GG1182" s="4">
        <v>694</v>
      </c>
      <c r="GH1182" s="4">
        <v>690</v>
      </c>
      <c r="GI1182" s="4">
        <v>683</v>
      </c>
      <c r="GJ1182" s="4">
        <v>672</v>
      </c>
      <c r="GK1182" s="4">
        <v>658</v>
      </c>
      <c r="GL1182" s="4">
        <v>643</v>
      </c>
      <c r="GM1182" s="4">
        <v>626</v>
      </c>
      <c r="GN1182" s="4">
        <v>608</v>
      </c>
      <c r="GO1182" s="4">
        <v>590</v>
      </c>
      <c r="GP1182" s="4">
        <v>572</v>
      </c>
      <c r="GQ1182" s="4">
        <v>553</v>
      </c>
      <c r="GR1182" s="4">
        <v>536</v>
      </c>
      <c r="GS1182" s="4">
        <v>517</v>
      </c>
      <c r="GT1182" s="4">
        <v>500</v>
      </c>
      <c r="GU1182" s="4">
        <v>483</v>
      </c>
      <c r="GV1182" s="4">
        <v>465</v>
      </c>
      <c r="GW1182" s="4">
        <v>448</v>
      </c>
      <c r="GX1182" s="4">
        <v>431</v>
      </c>
      <c r="GY1182" s="4">
        <v>414</v>
      </c>
      <c r="GZ1182" s="4">
        <v>397</v>
      </c>
      <c r="HA1182" s="4">
        <v>380</v>
      </c>
      <c r="HB1182" s="4">
        <v>363</v>
      </c>
      <c r="HC1182" s="4">
        <v>344</v>
      </c>
      <c r="HD1182" s="19">
        <v>118.8</v>
      </c>
      <c r="HE1182" s="19">
        <v>175</v>
      </c>
      <c r="HF1182" s="19">
        <v>116.3</v>
      </c>
      <c r="HG1182" s="19">
        <v>77.1</v>
      </c>
      <c r="HH1182" s="19">
        <v>57.5</v>
      </c>
      <c r="HI1182" s="19">
        <v>48.8</v>
      </c>
      <c r="HJ1182" s="19">
        <v>42</v>
      </c>
      <c r="HK1182" s="19">
        <v>38.7</v>
      </c>
      <c r="HL1182" s="19">
        <v>35.7</v>
      </c>
      <c r="HM1182" s="19">
        <v>34.8</v>
      </c>
      <c r="HN1182" s="19">
        <v>33.8</v>
      </c>
      <c r="HO1182" s="19">
        <v>32.8</v>
      </c>
      <c r="HP1182" s="19">
        <v>31.8</v>
      </c>
      <c r="HQ1182" s="19">
        <v>30.7</v>
      </c>
      <c r="HR1182" s="19">
        <v>29.8</v>
      </c>
      <c r="HS1182" s="19">
        <v>30.4</v>
      </c>
      <c r="HT1182" s="19">
        <v>29.4</v>
      </c>
      <c r="HU1182" s="19">
        <v>28.4</v>
      </c>
      <c r="HV1182" s="19">
        <v>27.4</v>
      </c>
      <c r="HW1182" s="19">
        <v>26.4</v>
      </c>
      <c r="HX1182" s="19">
        <v>25.4</v>
      </c>
      <c r="HY1182" s="19">
        <v>23</v>
      </c>
      <c r="HZ1182" s="19">
        <v>22.1</v>
      </c>
      <c r="IA1182" s="19">
        <v>21.1</v>
      </c>
      <c r="IB1182" s="19">
        <v>20.2</v>
      </c>
      <c r="IC1182" s="19">
        <v>20.2</v>
      </c>
    </row>
    <row r="1183">
      <c r="A1183" s="2" t="s">
        <v>4662</v>
      </c>
      <c r="B1183" s="2" t="s">
        <v>871</v>
      </c>
      <c r="C1183" s="2" t="s">
        <v>893</v>
      </c>
      <c r="D1183" s="2" t="s">
        <v>906</v>
      </c>
      <c r="E1183" s="2" t="s">
        <v>907</v>
      </c>
      <c r="F1183" s="2" t="s">
        <v>4658</v>
      </c>
      <c r="G1183" s="2" t="s">
        <v>4658</v>
      </c>
      <c r="H1183" s="2" t="s">
        <v>4658</v>
      </c>
      <c r="I1183" s="2" t="s">
        <v>4663</v>
      </c>
      <c r="J1183" s="2" t="s">
        <v>365</v>
      </c>
      <c r="K1183" s="2" t="s">
        <v>4664</v>
      </c>
      <c r="L1183" s="3">
        <v>51.3</v>
      </c>
      <c r="M1183" s="3">
        <v>53.87</v>
      </c>
      <c r="N1183" s="3">
        <v>109.99</v>
      </c>
      <c r="O1183" s="2" t="s">
        <v>232</v>
      </c>
      <c r="P1183" s="2" t="s">
        <v>878</v>
      </c>
      <c r="Q1183" s="2" t="s">
        <v>234</v>
      </c>
      <c r="R1183" s="2" t="s">
        <v>235</v>
      </c>
      <c r="S1183" s="2" t="s">
        <v>235</v>
      </c>
      <c r="T1183" s="2" t="s">
        <v>1051</v>
      </c>
      <c r="U1183" s="2" t="s">
        <v>552</v>
      </c>
      <c r="V1183" s="2" t="s">
        <v>863</v>
      </c>
      <c r="W1183" s="2" t="s">
        <v>682</v>
      </c>
      <c r="X1183" s="2" t="s">
        <v>235</v>
      </c>
      <c r="Y1183" s="2" t="s">
        <v>4665</v>
      </c>
      <c r="Z1183" s="4">
        <v>9</v>
      </c>
      <c r="AA1183" s="4">
        <f>=ROUNDDOWN(1,0)</f>
      </c>
      <c r="AB1183" s="5">
        <v>9</v>
      </c>
      <c r="AC1183" s="2" t="s">
        <v>205</v>
      </c>
      <c r="AD1183" s="4">
        <v>260</v>
      </c>
      <c r="AE1183" s="4">
        <v>260</v>
      </c>
      <c r="AF1183" s="6">
        <v>77</v>
      </c>
      <c r="AG1183" s="6"/>
      <c r="AH1183" s="7">
        <v>1</v>
      </c>
      <c r="AI1183" s="4"/>
      <c r="AJ1183" s="4">
        <f>=ROUNDDOWN({0},0)</f>
      </c>
      <c r="AK1183" s="5"/>
      <c r="AL1183" s="2" t="s">
        <v>235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235</v>
      </c>
      <c r="AW1183" s="8" t="s">
        <v>235</v>
      </c>
      <c r="AX1183" s="4" t="s">
        <v>235</v>
      </c>
      <c r="AY1183" s="8" t="s">
        <v>235</v>
      </c>
      <c r="AZ1183" s="7" t="s">
        <v>235</v>
      </c>
      <c r="BA1183" s="7" t="s">
        <v>235</v>
      </c>
      <c r="BB1183" s="7"/>
      <c r="BC1183" s="4" t="s">
        <v>235</v>
      </c>
      <c r="BD1183" s="8" t="s">
        <v>235</v>
      </c>
      <c r="BE1183" s="4" t="s">
        <v>235</v>
      </c>
      <c r="BF1183" s="8" t="s">
        <v>235</v>
      </c>
      <c r="BG1183" s="7" t="s">
        <v>235</v>
      </c>
      <c r="BH1183" s="7" t="s">
        <v>235</v>
      </c>
      <c r="BI1183" s="7"/>
      <c r="BJ1183" s="4">
        <v>25</v>
      </c>
      <c r="BK1183" s="8">
        <v>1475.53</v>
      </c>
      <c r="BL1183" s="2" t="s">
        <v>4316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4666</v>
      </c>
      <c r="BV1183" s="2" t="s">
        <v>235</v>
      </c>
      <c r="BW1183" s="2" t="s">
        <v>235</v>
      </c>
      <c r="BX1183" s="2" t="s">
        <v>383</v>
      </c>
      <c r="BY1183" s="2" t="s">
        <v>245</v>
      </c>
      <c r="BZ1183" s="2" t="s">
        <v>232</v>
      </c>
      <c r="CA1183" s="2" t="s">
        <v>235</v>
      </c>
      <c r="CB1183" s="2" t="s">
        <v>2132</v>
      </c>
      <c r="CC1183" s="2" t="s">
        <v>248</v>
      </c>
      <c r="CD1183" s="2" t="s">
        <v>248</v>
      </c>
      <c r="CE1183" s="2" t="s">
        <v>235</v>
      </c>
      <c r="CF1183" s="4">
        <v>9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>
        <v>260</v>
      </c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>
        <v>9</v>
      </c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>
        <v>260</v>
      </c>
      <c r="GT1183" s="4">
        <v>187</v>
      </c>
      <c r="GU1183" s="4">
        <v>178</v>
      </c>
      <c r="GV1183" s="4">
        <v>168</v>
      </c>
      <c r="GW1183" s="4">
        <v>159</v>
      </c>
      <c r="GX1183" s="4">
        <v>150</v>
      </c>
      <c r="GY1183" s="4">
        <v>141</v>
      </c>
      <c r="GZ1183" s="4">
        <v>132</v>
      </c>
      <c r="HA1183" s="4">
        <v>123</v>
      </c>
      <c r="HB1183" s="4">
        <v>257</v>
      </c>
      <c r="HC1183" s="4">
        <v>248</v>
      </c>
      <c r="HD1183" s="19">
        <v>2.3</v>
      </c>
      <c r="HE1183" s="20">
        <v>0</v>
      </c>
      <c r="HF1183" s="20">
        <v>0</v>
      </c>
      <c r="HG1183" s="20">
        <v>0</v>
      </c>
      <c r="HH1183" s="20">
        <v>0</v>
      </c>
      <c r="HI1183" s="20">
        <v>0</v>
      </c>
      <c r="HJ1183" s="20">
        <v>0</v>
      </c>
      <c r="HK1183" s="20">
        <v>0</v>
      </c>
      <c r="HL1183" s="20">
        <v>0</v>
      </c>
      <c r="HM1183" s="20">
        <v>0</v>
      </c>
      <c r="HN1183" s="20">
        <v>0</v>
      </c>
      <c r="HO1183" s="20">
        <v>0</v>
      </c>
      <c r="HP1183" s="20">
        <v>0</v>
      </c>
      <c r="HQ1183" s="20">
        <v>0</v>
      </c>
      <c r="HR1183" s="20">
        <v>0</v>
      </c>
      <c r="HS1183" s="19">
        <v>10.4</v>
      </c>
      <c r="HT1183" s="19">
        <v>20.8</v>
      </c>
      <c r="HU1183" s="19">
        <v>19.8</v>
      </c>
      <c r="HV1183" s="19">
        <v>18.7</v>
      </c>
      <c r="HW1183" s="19">
        <v>17.7</v>
      </c>
      <c r="HX1183" s="19">
        <v>16.7</v>
      </c>
      <c r="HY1183" s="19">
        <v>15.7</v>
      </c>
      <c r="HZ1183" s="19">
        <v>14.7</v>
      </c>
      <c r="IA1183" s="19">
        <v>13.7</v>
      </c>
      <c r="IB1183" s="19">
        <v>28.6</v>
      </c>
      <c r="IC1183" s="19">
        <v>27.6</v>
      </c>
    </row>
    <row r="1184">
      <c r="A1184" s="2" t="s">
        <v>4667</v>
      </c>
      <c r="B1184" s="2" t="s">
        <v>871</v>
      </c>
      <c r="C1184" s="2" t="s">
        <v>893</v>
      </c>
      <c r="D1184" s="2" t="s">
        <v>906</v>
      </c>
      <c r="E1184" s="2" t="s">
        <v>907</v>
      </c>
      <c r="F1184" s="2" t="s">
        <v>4658</v>
      </c>
      <c r="G1184" s="2" t="s">
        <v>4658</v>
      </c>
      <c r="H1184" s="2" t="s">
        <v>4658</v>
      </c>
      <c r="I1184" s="2" t="s">
        <v>4663</v>
      </c>
      <c r="J1184" s="2" t="s">
        <v>372</v>
      </c>
      <c r="K1184" s="2" t="s">
        <v>4664</v>
      </c>
      <c r="L1184" s="3">
        <v>65.55</v>
      </c>
      <c r="M1184" s="3">
        <v>68.83</v>
      </c>
      <c r="N1184" s="3">
        <v>139.99</v>
      </c>
      <c r="O1184" s="2" t="s">
        <v>232</v>
      </c>
      <c r="P1184" s="2" t="s">
        <v>878</v>
      </c>
      <c r="Q1184" s="2" t="s">
        <v>234</v>
      </c>
      <c r="R1184" s="2" t="s">
        <v>235</v>
      </c>
      <c r="S1184" s="2" t="s">
        <v>235</v>
      </c>
      <c r="T1184" s="2" t="s">
        <v>1051</v>
      </c>
      <c r="U1184" s="2" t="s">
        <v>552</v>
      </c>
      <c r="V1184" s="2" t="s">
        <v>863</v>
      </c>
      <c r="W1184" s="2" t="s">
        <v>682</v>
      </c>
      <c r="X1184" s="2" t="s">
        <v>235</v>
      </c>
      <c r="Y1184" s="2" t="s">
        <v>4665</v>
      </c>
      <c r="Z1184" s="4">
        <v>58</v>
      </c>
      <c r="AA1184" s="4">
        <f>=ROUNDDOWN(8.28571428571428,0)</f>
      </c>
      <c r="AB1184" s="5">
        <v>7</v>
      </c>
      <c r="AC1184" s="2" t="s">
        <v>205</v>
      </c>
      <c r="AD1184" s="4">
        <v>200</v>
      </c>
      <c r="AE1184" s="4">
        <v>200</v>
      </c>
      <c r="AF1184" s="6">
        <v>77</v>
      </c>
      <c r="AG1184" s="6"/>
      <c r="AH1184" s="7">
        <v>1</v>
      </c>
      <c r="AI1184" s="4"/>
      <c r="AJ1184" s="4">
        <f>=ROUNDDOWN({0},0)</f>
      </c>
      <c r="AK1184" s="5"/>
      <c r="AL1184" s="2" t="s">
        <v>235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235</v>
      </c>
      <c r="AW1184" s="8" t="s">
        <v>235</v>
      </c>
      <c r="AX1184" s="4" t="s">
        <v>235</v>
      </c>
      <c r="AY1184" s="8" t="s">
        <v>235</v>
      </c>
      <c r="AZ1184" s="7" t="s">
        <v>235</v>
      </c>
      <c r="BA1184" s="7" t="s">
        <v>235</v>
      </c>
      <c r="BB1184" s="7"/>
      <c r="BC1184" s="4" t="s">
        <v>235</v>
      </c>
      <c r="BD1184" s="8" t="s">
        <v>235</v>
      </c>
      <c r="BE1184" s="4" t="s">
        <v>235</v>
      </c>
      <c r="BF1184" s="8" t="s">
        <v>235</v>
      </c>
      <c r="BG1184" s="7" t="s">
        <v>235</v>
      </c>
      <c r="BH1184" s="7" t="s">
        <v>235</v>
      </c>
      <c r="BI1184" s="7"/>
      <c r="BJ1184" s="4">
        <v>4</v>
      </c>
      <c r="BK1184" s="8">
        <v>290.23</v>
      </c>
      <c r="BL1184" s="2" t="s">
        <v>4328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4666</v>
      </c>
      <c r="BV1184" s="2" t="s">
        <v>235</v>
      </c>
      <c r="BW1184" s="2" t="s">
        <v>235</v>
      </c>
      <c r="BX1184" s="2" t="s">
        <v>383</v>
      </c>
      <c r="BY1184" s="2" t="s">
        <v>245</v>
      </c>
      <c r="BZ1184" s="2" t="s">
        <v>232</v>
      </c>
      <c r="CA1184" s="2" t="s">
        <v>235</v>
      </c>
      <c r="CB1184" s="2" t="s">
        <v>4668</v>
      </c>
      <c r="CC1184" s="2" t="s">
        <v>248</v>
      </c>
      <c r="CD1184" s="2" t="s">
        <v>248</v>
      </c>
      <c r="CE1184" s="2" t="s">
        <v>235</v>
      </c>
      <c r="CF1184" s="4">
        <v>58</v>
      </c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>
        <v>200</v>
      </c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>
        <v>60</v>
      </c>
      <c r="GE1184" s="4">
        <v>36</v>
      </c>
      <c r="GF1184" s="4">
        <v>27</v>
      </c>
      <c r="GG1184" s="4">
        <v>15</v>
      </c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>
        <v>200</v>
      </c>
      <c r="GT1184" s="4">
        <v>154</v>
      </c>
      <c r="GU1184" s="4">
        <v>148</v>
      </c>
      <c r="GV1184" s="4">
        <v>141</v>
      </c>
      <c r="GW1184" s="4">
        <v>134</v>
      </c>
      <c r="GX1184" s="4">
        <v>127</v>
      </c>
      <c r="GY1184" s="4">
        <v>120</v>
      </c>
      <c r="GZ1184" s="4">
        <v>113</v>
      </c>
      <c r="HA1184" s="4">
        <v>106</v>
      </c>
      <c r="HB1184" s="4">
        <v>196</v>
      </c>
      <c r="HC1184" s="4">
        <v>189</v>
      </c>
      <c r="HD1184" s="19">
        <v>4</v>
      </c>
      <c r="HE1184" s="19">
        <v>3.6</v>
      </c>
      <c r="HF1184" s="19">
        <v>3.4</v>
      </c>
      <c r="HG1184" s="19">
        <v>2.5</v>
      </c>
      <c r="HH1184" s="20">
        <v>0</v>
      </c>
      <c r="HI1184" s="20">
        <v>0</v>
      </c>
      <c r="HJ1184" s="20">
        <v>0</v>
      </c>
      <c r="HK1184" s="20">
        <v>0</v>
      </c>
      <c r="HL1184" s="20">
        <v>0</v>
      </c>
      <c r="HM1184" s="20">
        <v>0</v>
      </c>
      <c r="HN1184" s="20">
        <v>0</v>
      </c>
      <c r="HO1184" s="20">
        <v>0</v>
      </c>
      <c r="HP1184" s="20">
        <v>0</v>
      </c>
      <c r="HQ1184" s="20">
        <v>0</v>
      </c>
      <c r="HR1184" s="20">
        <v>0</v>
      </c>
      <c r="HS1184" s="19">
        <v>12.5</v>
      </c>
      <c r="HT1184" s="19">
        <v>22</v>
      </c>
      <c r="HU1184" s="19">
        <v>21.1</v>
      </c>
      <c r="HV1184" s="19">
        <v>20.1</v>
      </c>
      <c r="HW1184" s="19">
        <v>19.1</v>
      </c>
      <c r="HX1184" s="19">
        <v>18.1</v>
      </c>
      <c r="HY1184" s="19">
        <v>17.1</v>
      </c>
      <c r="HZ1184" s="19">
        <v>16.1</v>
      </c>
      <c r="IA1184" s="19">
        <v>15.1</v>
      </c>
      <c r="IB1184" s="19">
        <v>28</v>
      </c>
      <c r="IC1184" s="19">
        <v>27</v>
      </c>
    </row>
    <row r="1185">
      <c r="A1185" s="2" t="s">
        <v>4669</v>
      </c>
      <c r="B1185" s="2" t="s">
        <v>852</v>
      </c>
      <c r="C1185" s="2" t="s">
        <v>324</v>
      </c>
      <c r="D1185" s="2" t="s">
        <v>854</v>
      </c>
      <c r="E1185" s="2" t="s">
        <v>1549</v>
      </c>
      <c r="F1185" s="2" t="s">
        <v>4670</v>
      </c>
      <c r="G1185" s="2" t="s">
        <v>4597</v>
      </c>
      <c r="H1185" s="2" t="s">
        <v>4671</v>
      </c>
      <c r="I1185" s="2" t="s">
        <v>4672</v>
      </c>
      <c r="J1185" s="2" t="s">
        <v>1130</v>
      </c>
      <c r="K1185" s="2" t="s">
        <v>292</v>
      </c>
      <c r="L1185" s="3">
        <v>16.45</v>
      </c>
      <c r="M1185" s="3">
        <v>17.27</v>
      </c>
      <c r="N1185" s="3">
        <v>34.99</v>
      </c>
      <c r="O1185" s="2" t="s">
        <v>485</v>
      </c>
      <c r="P1185" s="2" t="s">
        <v>408</v>
      </c>
      <c r="Q1185" s="2" t="s">
        <v>234</v>
      </c>
      <c r="R1185" s="2" t="s">
        <v>235</v>
      </c>
      <c r="S1185" s="2" t="s">
        <v>4673</v>
      </c>
      <c r="T1185" s="2" t="s">
        <v>235</v>
      </c>
      <c r="U1185" s="2" t="s">
        <v>235</v>
      </c>
      <c r="V1185" s="2" t="s">
        <v>863</v>
      </c>
      <c r="W1185" s="2" t="s">
        <v>1157</v>
      </c>
      <c r="X1185" s="2" t="s">
        <v>235</v>
      </c>
      <c r="Y1185" s="2" t="s">
        <v>240</v>
      </c>
      <c r="Z1185" s="4">
        <v>165</v>
      </c>
      <c r="AA1185" s="4">
        <f>=ROUNDDOWN(28.448275862069,0)</f>
      </c>
      <c r="AB1185" s="5">
        <v>5.8</v>
      </c>
      <c r="AC1185" s="2" t="s">
        <v>235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235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235</v>
      </c>
      <c r="BD1185" s="8" t="s">
        <v>235</v>
      </c>
      <c r="BE1185" s="4" t="s">
        <v>235</v>
      </c>
      <c r="BF1185" s="8" t="s">
        <v>235</v>
      </c>
      <c r="BG1185" s="7" t="s">
        <v>235</v>
      </c>
      <c r="BH1185" s="7" t="s">
        <v>235</v>
      </c>
      <c r="BI1185" s="7"/>
      <c r="BJ1185" s="4">
        <v>11</v>
      </c>
      <c r="BK1185" s="8">
        <v>154.21</v>
      </c>
      <c r="BL1185" s="2" t="s">
        <v>4674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4675</v>
      </c>
      <c r="BV1185" s="2" t="s">
        <v>867</v>
      </c>
      <c r="BW1185" s="2" t="s">
        <v>235</v>
      </c>
      <c r="BX1185" s="2" t="s">
        <v>414</v>
      </c>
      <c r="BY1185" s="2" t="s">
        <v>245</v>
      </c>
      <c r="BZ1185" s="2" t="s">
        <v>232</v>
      </c>
      <c r="CA1185" s="2" t="s">
        <v>252</v>
      </c>
      <c r="CB1185" s="2" t="s">
        <v>4676</v>
      </c>
      <c r="CC1185" s="2" t="s">
        <v>492</v>
      </c>
      <c r="CD1185" s="2" t="s">
        <v>248</v>
      </c>
      <c r="CE1185" s="2" t="s">
        <v>235</v>
      </c>
      <c r="CF1185" s="4">
        <v>165</v>
      </c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>
        <v>165</v>
      </c>
      <c r="GE1185" s="4">
        <v>159</v>
      </c>
      <c r="GF1185" s="4">
        <v>153</v>
      </c>
      <c r="GG1185" s="4">
        <v>147</v>
      </c>
      <c r="GH1185" s="4">
        <v>140</v>
      </c>
      <c r="GI1185" s="4">
        <v>134</v>
      </c>
      <c r="GJ1185" s="4">
        <v>127</v>
      </c>
      <c r="GK1185" s="4">
        <v>121</v>
      </c>
      <c r="GL1185" s="4">
        <v>114</v>
      </c>
      <c r="GM1185" s="4">
        <v>108</v>
      </c>
      <c r="GN1185" s="4">
        <v>100</v>
      </c>
      <c r="GO1185" s="4">
        <v>91</v>
      </c>
      <c r="GP1185" s="4">
        <v>83</v>
      </c>
      <c r="GQ1185" s="4">
        <v>73</v>
      </c>
      <c r="GR1185" s="4">
        <v>65</v>
      </c>
      <c r="GS1185" s="4">
        <v>55</v>
      </c>
      <c r="GT1185" s="4">
        <v>49</v>
      </c>
      <c r="GU1185" s="4">
        <v>42</v>
      </c>
      <c r="GV1185" s="4">
        <v>36</v>
      </c>
      <c r="GW1185" s="4">
        <v>30</v>
      </c>
      <c r="GX1185" s="4">
        <v>24</v>
      </c>
      <c r="GY1185" s="4">
        <v>18</v>
      </c>
      <c r="GZ1185" s="4">
        <v>12</v>
      </c>
      <c r="HA1185" s="4">
        <v>6</v>
      </c>
      <c r="HB1185" s="4"/>
      <c r="HC1185" s="4"/>
      <c r="HD1185" s="19">
        <v>27.5</v>
      </c>
      <c r="HE1185" s="19">
        <v>26.5</v>
      </c>
      <c r="HF1185" s="19">
        <v>25.5</v>
      </c>
      <c r="HG1185" s="19">
        <v>24.5</v>
      </c>
      <c r="HH1185" s="19">
        <v>23.3</v>
      </c>
      <c r="HI1185" s="19">
        <v>22.3</v>
      </c>
      <c r="HJ1185" s="19">
        <v>18.1</v>
      </c>
      <c r="HK1185" s="19">
        <v>15.1</v>
      </c>
      <c r="HL1185" s="19">
        <v>14.3</v>
      </c>
      <c r="HM1185" s="19">
        <v>12</v>
      </c>
      <c r="HN1185" s="19">
        <v>11.1</v>
      </c>
      <c r="HO1185" s="19">
        <v>10.1</v>
      </c>
      <c r="HP1185" s="19">
        <v>10.4</v>
      </c>
      <c r="HQ1185" s="19">
        <v>9.1</v>
      </c>
      <c r="HR1185" s="19">
        <v>9.3</v>
      </c>
      <c r="HS1185" s="19">
        <v>9.2</v>
      </c>
      <c r="HT1185" s="19">
        <v>8.2</v>
      </c>
      <c r="HU1185" s="19">
        <v>7</v>
      </c>
      <c r="HV1185" s="19">
        <v>6</v>
      </c>
      <c r="HW1185" s="19">
        <v>5</v>
      </c>
      <c r="HX1185" s="19">
        <v>4</v>
      </c>
      <c r="HY1185" s="19">
        <v>3</v>
      </c>
      <c r="HZ1185" s="19">
        <v>2</v>
      </c>
      <c r="IA1185" s="19">
        <v>1</v>
      </c>
      <c r="IB1185" s="20">
        <v>0</v>
      </c>
      <c r="IC1185" s="20">
        <v>0</v>
      </c>
    </row>
    <row r="1186">
      <c r="A1186" s="2" t="s">
        <v>4677</v>
      </c>
      <c r="B1186" s="2" t="s">
        <v>852</v>
      </c>
      <c r="C1186" s="2" t="s">
        <v>324</v>
      </c>
      <c r="D1186" s="2" t="s">
        <v>854</v>
      </c>
      <c r="E1186" s="2" t="s">
        <v>1549</v>
      </c>
      <c r="F1186" s="2" t="s">
        <v>4670</v>
      </c>
      <c r="G1186" s="2" t="s">
        <v>4597</v>
      </c>
      <c r="H1186" s="2" t="s">
        <v>4671</v>
      </c>
      <c r="I1186" s="2" t="s">
        <v>4672</v>
      </c>
      <c r="J1186" s="2" t="s">
        <v>1130</v>
      </c>
      <c r="K1186" s="2" t="s">
        <v>295</v>
      </c>
      <c r="L1186" s="3">
        <v>16.45</v>
      </c>
      <c r="M1186" s="3">
        <v>17.27</v>
      </c>
      <c r="N1186" s="3">
        <v>34.99</v>
      </c>
      <c r="O1186" s="2" t="s">
        <v>407</v>
      </c>
      <c r="P1186" s="2" t="s">
        <v>408</v>
      </c>
      <c r="Q1186" s="2" t="s">
        <v>234</v>
      </c>
      <c r="R1186" s="2" t="s">
        <v>235</v>
      </c>
      <c r="S1186" s="2" t="s">
        <v>4678</v>
      </c>
      <c r="T1186" s="2" t="s">
        <v>235</v>
      </c>
      <c r="U1186" s="2" t="s">
        <v>235</v>
      </c>
      <c r="V1186" s="2" t="s">
        <v>863</v>
      </c>
      <c r="W1186" s="2" t="s">
        <v>1157</v>
      </c>
      <c r="X1186" s="2" t="s">
        <v>1549</v>
      </c>
      <c r="Y1186" s="2" t="s">
        <v>240</v>
      </c>
      <c r="Z1186" s="4">
        <v>74</v>
      </c>
      <c r="AA1186" s="4">
        <f>=ROUNDDOWN(24.6666666666667,0)</f>
      </c>
      <c r="AB1186" s="5">
        <v>3</v>
      </c>
      <c r="AC1186" s="2" t="s">
        <v>235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235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235</v>
      </c>
      <c r="AW1186" s="8" t="s">
        <v>235</v>
      </c>
      <c r="AX1186" s="4" t="s">
        <v>235</v>
      </c>
      <c r="AY1186" s="8" t="s">
        <v>235</v>
      </c>
      <c r="AZ1186" s="7" t="s">
        <v>235</v>
      </c>
      <c r="BA1186" s="7" t="s">
        <v>235</v>
      </c>
      <c r="BB1186" s="7"/>
      <c r="BC1186" s="4" t="s">
        <v>235</v>
      </c>
      <c r="BD1186" s="8" t="s">
        <v>235</v>
      </c>
      <c r="BE1186" s="4" t="s">
        <v>235</v>
      </c>
      <c r="BF1186" s="8" t="s">
        <v>235</v>
      </c>
      <c r="BG1186" s="7" t="s">
        <v>235</v>
      </c>
      <c r="BH1186" s="7" t="s">
        <v>235</v>
      </c>
      <c r="BI1186" s="7"/>
      <c r="BJ1186" s="4">
        <v>16</v>
      </c>
      <c r="BK1186" s="8">
        <v>182.32</v>
      </c>
      <c r="BL1186" s="2" t="s">
        <v>4679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4675</v>
      </c>
      <c r="BV1186" s="2" t="s">
        <v>867</v>
      </c>
      <c r="BW1186" s="2" t="s">
        <v>235</v>
      </c>
      <c r="BX1186" s="2" t="s">
        <v>414</v>
      </c>
      <c r="BY1186" s="2" t="s">
        <v>245</v>
      </c>
      <c r="BZ1186" s="2" t="s">
        <v>232</v>
      </c>
      <c r="CA1186" s="2" t="s">
        <v>252</v>
      </c>
      <c r="CB1186" s="2" t="s">
        <v>4680</v>
      </c>
      <c r="CC1186" s="2" t="s">
        <v>248</v>
      </c>
      <c r="CD1186" s="2" t="s">
        <v>248</v>
      </c>
      <c r="CE1186" s="2" t="s">
        <v>235</v>
      </c>
      <c r="CF1186" s="4">
        <v>74</v>
      </c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>
        <v>74</v>
      </c>
      <c r="GE1186" s="4">
        <v>72</v>
      </c>
      <c r="GF1186" s="4">
        <v>70</v>
      </c>
      <c r="GG1186" s="4">
        <v>68</v>
      </c>
      <c r="GH1186" s="4">
        <v>66</v>
      </c>
      <c r="GI1186" s="4">
        <v>64</v>
      </c>
      <c r="GJ1186" s="4">
        <v>62</v>
      </c>
      <c r="GK1186" s="4">
        <v>60</v>
      </c>
      <c r="GL1186" s="4">
        <v>58</v>
      </c>
      <c r="GM1186" s="4">
        <v>56</v>
      </c>
      <c r="GN1186" s="4">
        <v>53</v>
      </c>
      <c r="GO1186" s="4">
        <v>50</v>
      </c>
      <c r="GP1186" s="4">
        <v>47</v>
      </c>
      <c r="GQ1186" s="4">
        <v>43</v>
      </c>
      <c r="GR1186" s="4">
        <v>40</v>
      </c>
      <c r="GS1186" s="4">
        <v>37</v>
      </c>
      <c r="GT1186" s="4">
        <v>35</v>
      </c>
      <c r="GU1186" s="4">
        <v>33</v>
      </c>
      <c r="GV1186" s="4">
        <v>31</v>
      </c>
      <c r="GW1186" s="4">
        <v>29</v>
      </c>
      <c r="GX1186" s="4">
        <v>27</v>
      </c>
      <c r="GY1186" s="4">
        <v>25</v>
      </c>
      <c r="GZ1186" s="4">
        <v>23</v>
      </c>
      <c r="HA1186" s="4">
        <v>21</v>
      </c>
      <c r="HB1186" s="4">
        <v>18</v>
      </c>
      <c r="HC1186" s="4">
        <v>15</v>
      </c>
      <c r="HD1186" s="19">
        <v>37</v>
      </c>
      <c r="HE1186" s="19">
        <v>36</v>
      </c>
      <c r="HF1186" s="19">
        <v>35</v>
      </c>
      <c r="HG1186" s="19">
        <v>34</v>
      </c>
      <c r="HH1186" s="19">
        <v>33</v>
      </c>
      <c r="HI1186" s="19">
        <v>32</v>
      </c>
      <c r="HJ1186" s="19">
        <v>31</v>
      </c>
      <c r="HK1186" s="19">
        <v>30</v>
      </c>
      <c r="HL1186" s="19">
        <v>19.3</v>
      </c>
      <c r="HM1186" s="19">
        <v>18.7</v>
      </c>
      <c r="HN1186" s="19">
        <v>17.7</v>
      </c>
      <c r="HO1186" s="19">
        <v>16.7</v>
      </c>
      <c r="HP1186" s="19">
        <v>15.7</v>
      </c>
      <c r="HQ1186" s="19">
        <v>21.5</v>
      </c>
      <c r="HR1186" s="19">
        <v>20</v>
      </c>
      <c r="HS1186" s="19">
        <v>18.5</v>
      </c>
      <c r="HT1186" s="19">
        <v>17.5</v>
      </c>
      <c r="HU1186" s="19">
        <v>16.5</v>
      </c>
      <c r="HV1186" s="19">
        <v>15.5</v>
      </c>
      <c r="HW1186" s="19">
        <v>14.5</v>
      </c>
      <c r="HX1186" s="19">
        <v>13.5</v>
      </c>
      <c r="HY1186" s="19">
        <v>12.5</v>
      </c>
      <c r="HZ1186" s="19">
        <v>7.7</v>
      </c>
      <c r="IA1186" s="19">
        <v>7</v>
      </c>
      <c r="IB1186" s="19">
        <v>6</v>
      </c>
      <c r="IC1186" s="19">
        <v>5</v>
      </c>
    </row>
    <row r="1187">
      <c r="A1187" s="2" t="s">
        <v>4681</v>
      </c>
      <c r="B1187" s="2" t="s">
        <v>852</v>
      </c>
      <c r="C1187" s="2" t="s">
        <v>324</v>
      </c>
      <c r="D1187" s="2" t="s">
        <v>854</v>
      </c>
      <c r="E1187" s="2" t="s">
        <v>4682</v>
      </c>
      <c r="F1187" s="2" t="s">
        <v>4670</v>
      </c>
      <c r="G1187" s="2" t="s">
        <v>4597</v>
      </c>
      <c r="H1187" s="2" t="s">
        <v>4671</v>
      </c>
      <c r="I1187" s="2" t="s">
        <v>4683</v>
      </c>
      <c r="J1187" s="2" t="s">
        <v>4684</v>
      </c>
      <c r="K1187" s="2" t="s">
        <v>295</v>
      </c>
      <c r="L1187" s="3">
        <v>16.1</v>
      </c>
      <c r="M1187" s="3">
        <v>16.9</v>
      </c>
      <c r="N1187" s="3">
        <v>34.99</v>
      </c>
      <c r="O1187" s="2" t="s">
        <v>407</v>
      </c>
      <c r="P1187" s="2" t="s">
        <v>408</v>
      </c>
      <c r="Q1187" s="2" t="s">
        <v>234</v>
      </c>
      <c r="R1187" s="2" t="s">
        <v>235</v>
      </c>
      <c r="S1187" s="2" t="s">
        <v>4678</v>
      </c>
      <c r="T1187" s="2" t="s">
        <v>235</v>
      </c>
      <c r="U1187" s="2" t="s">
        <v>235</v>
      </c>
      <c r="V1187" s="2" t="s">
        <v>863</v>
      </c>
      <c r="W1187" s="2" t="s">
        <v>1157</v>
      </c>
      <c r="X1187" s="2" t="s">
        <v>235</v>
      </c>
      <c r="Y1187" s="2" t="s">
        <v>4685</v>
      </c>
      <c r="Z1187" s="4">
        <v>115</v>
      </c>
      <c r="AA1187" s="4">
        <f>=ROUNDDOWN(10.7476635514019,0)</f>
      </c>
      <c r="AB1187" s="5">
        <v>10.7</v>
      </c>
      <c r="AC1187" s="2" t="s">
        <v>235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235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235</v>
      </c>
      <c r="AW1187" s="8" t="s">
        <v>235</v>
      </c>
      <c r="AX1187" s="4" t="s">
        <v>235</v>
      </c>
      <c r="AY1187" s="8" t="s">
        <v>235</v>
      </c>
      <c r="AZ1187" s="7" t="s">
        <v>235</v>
      </c>
      <c r="BA1187" s="7" t="s">
        <v>235</v>
      </c>
      <c r="BB1187" s="7"/>
      <c r="BC1187" s="4" t="s">
        <v>235</v>
      </c>
      <c r="BD1187" s="8" t="s">
        <v>235</v>
      </c>
      <c r="BE1187" s="4" t="s">
        <v>235</v>
      </c>
      <c r="BF1187" s="8" t="s">
        <v>235</v>
      </c>
      <c r="BG1187" s="7" t="s">
        <v>235</v>
      </c>
      <c r="BH1187" s="7" t="s">
        <v>235</v>
      </c>
      <c r="BI1187" s="7"/>
      <c r="BJ1187" s="4">
        <v>43</v>
      </c>
      <c r="BK1187" s="8">
        <v>817.64</v>
      </c>
      <c r="BL1187" s="2" t="s">
        <v>4686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4687</v>
      </c>
      <c r="BV1187" s="2" t="s">
        <v>867</v>
      </c>
      <c r="BW1187" s="2" t="s">
        <v>235</v>
      </c>
      <c r="BX1187" s="2" t="s">
        <v>414</v>
      </c>
      <c r="BY1187" s="2" t="s">
        <v>245</v>
      </c>
      <c r="BZ1187" s="2" t="s">
        <v>232</v>
      </c>
      <c r="CA1187" s="2" t="s">
        <v>4688</v>
      </c>
      <c r="CB1187" s="2" t="s">
        <v>4689</v>
      </c>
      <c r="CC1187" s="2" t="s">
        <v>248</v>
      </c>
      <c r="CD1187" s="2" t="s">
        <v>248</v>
      </c>
      <c r="CE1187" s="2" t="s">
        <v>235</v>
      </c>
      <c r="CF1187" s="4">
        <v>115</v>
      </c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>
        <v>120</v>
      </c>
      <c r="GE1187" s="4">
        <v>81</v>
      </c>
      <c r="GF1187" s="4">
        <v>71</v>
      </c>
      <c r="GG1187" s="4">
        <v>61</v>
      </c>
      <c r="GH1187" s="4">
        <v>50</v>
      </c>
      <c r="GI1187" s="4">
        <v>40</v>
      </c>
      <c r="GJ1187" s="4">
        <v>27</v>
      </c>
      <c r="GK1187" s="4">
        <v>15</v>
      </c>
      <c r="GL1187" s="4">
        <v>3</v>
      </c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19">
        <v>6.7</v>
      </c>
      <c r="HE1187" s="19">
        <v>8.1</v>
      </c>
      <c r="HF1187" s="19">
        <v>6.5</v>
      </c>
      <c r="HG1187" s="19">
        <v>5.1</v>
      </c>
      <c r="HH1187" s="19">
        <v>4.2</v>
      </c>
      <c r="HI1187" s="19">
        <v>3.6</v>
      </c>
      <c r="HJ1187" s="19">
        <v>3</v>
      </c>
      <c r="HK1187" s="19">
        <v>1.9</v>
      </c>
      <c r="HL1187" s="19">
        <v>0.4</v>
      </c>
      <c r="HM1187" s="20">
        <v>0</v>
      </c>
      <c r="HN1187" s="20">
        <v>0</v>
      </c>
      <c r="HO1187" s="20">
        <v>0</v>
      </c>
      <c r="HP1187" s="20">
        <v>0</v>
      </c>
      <c r="HQ1187" s="20">
        <v>0</v>
      </c>
      <c r="HR1187" s="20">
        <v>0</v>
      </c>
      <c r="HS1187" s="20">
        <v>0</v>
      </c>
      <c r="HT1187" s="20">
        <v>0</v>
      </c>
      <c r="HU1187" s="20">
        <v>0</v>
      </c>
      <c r="HV1187" s="20">
        <v>0</v>
      </c>
      <c r="HW1187" s="20">
        <v>0</v>
      </c>
      <c r="HX1187" s="20">
        <v>0</v>
      </c>
      <c r="HY1187" s="20">
        <v>0</v>
      </c>
      <c r="HZ1187" s="20">
        <v>0</v>
      </c>
      <c r="IA1187" s="20">
        <v>0</v>
      </c>
      <c r="IB1187" s="20">
        <v>0</v>
      </c>
      <c r="IC1187" s="20">
        <v>0</v>
      </c>
    </row>
    <row r="1188">
      <c r="A1188" s="2" t="s">
        <v>4690</v>
      </c>
      <c r="B1188" s="2" t="s">
        <v>852</v>
      </c>
      <c r="C1188" s="2" t="s">
        <v>324</v>
      </c>
      <c r="D1188" s="2" t="s">
        <v>854</v>
      </c>
      <c r="E1188" s="2" t="s">
        <v>1549</v>
      </c>
      <c r="F1188" s="2" t="s">
        <v>4670</v>
      </c>
      <c r="G1188" s="2" t="s">
        <v>4597</v>
      </c>
      <c r="H1188" s="2" t="s">
        <v>4671</v>
      </c>
      <c r="I1188" s="2" t="s">
        <v>4672</v>
      </c>
      <c r="J1188" s="2" t="s">
        <v>860</v>
      </c>
      <c r="K1188" s="2" t="s">
        <v>4691</v>
      </c>
      <c r="L1188" s="3">
        <v>14.91</v>
      </c>
      <c r="M1188" s="3">
        <v>15.66</v>
      </c>
      <c r="N1188" s="3">
        <v>34.99</v>
      </c>
      <c r="O1188" s="2" t="s">
        <v>232</v>
      </c>
      <c r="P1188" s="2" t="s">
        <v>233</v>
      </c>
      <c r="Q1188" s="2" t="s">
        <v>234</v>
      </c>
      <c r="R1188" s="2" t="s">
        <v>235</v>
      </c>
      <c r="S1188" s="2" t="s">
        <v>4692</v>
      </c>
      <c r="T1188" s="2" t="s">
        <v>235</v>
      </c>
      <c r="U1188" s="2" t="s">
        <v>235</v>
      </c>
      <c r="V1188" s="2" t="s">
        <v>863</v>
      </c>
      <c r="W1188" s="2" t="s">
        <v>1157</v>
      </c>
      <c r="X1188" s="2" t="s">
        <v>1549</v>
      </c>
      <c r="Y1188" s="2" t="s">
        <v>240</v>
      </c>
      <c r="Z1188" s="4">
        <v>297</v>
      </c>
      <c r="AA1188" s="4">
        <f>=ROUNDDOWN(99,0)</f>
      </c>
      <c r="AB1188" s="5">
        <v>3</v>
      </c>
      <c r="AC1188" s="2" t="s">
        <v>235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235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235</v>
      </c>
      <c r="AW1188" s="8" t="s">
        <v>235</v>
      </c>
      <c r="AX1188" s="4" t="s">
        <v>235</v>
      </c>
      <c r="AY1188" s="8" t="s">
        <v>235</v>
      </c>
      <c r="AZ1188" s="7" t="s">
        <v>235</v>
      </c>
      <c r="BA1188" s="7" t="s">
        <v>235</v>
      </c>
      <c r="BB1188" s="7"/>
      <c r="BC1188" s="4" t="s">
        <v>235</v>
      </c>
      <c r="BD1188" s="8" t="s">
        <v>235</v>
      </c>
      <c r="BE1188" s="4" t="s">
        <v>235</v>
      </c>
      <c r="BF1188" s="8" t="s">
        <v>235</v>
      </c>
      <c r="BG1188" s="7" t="s">
        <v>235</v>
      </c>
      <c r="BH1188" s="7" t="s">
        <v>235</v>
      </c>
      <c r="BI1188" s="7"/>
      <c r="BJ1188" s="4">
        <v>7</v>
      </c>
      <c r="BK1188" s="8">
        <v>98.33</v>
      </c>
      <c r="BL1188" s="2" t="s">
        <v>4693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4675</v>
      </c>
      <c r="BV1188" s="2" t="s">
        <v>867</v>
      </c>
      <c r="BW1188" s="2" t="s">
        <v>235</v>
      </c>
      <c r="BX1188" s="2" t="s">
        <v>244</v>
      </c>
      <c r="BY1188" s="2" t="s">
        <v>245</v>
      </c>
      <c r="BZ1188" s="2" t="s">
        <v>232</v>
      </c>
      <c r="CA1188" s="2" t="s">
        <v>252</v>
      </c>
      <c r="CB1188" s="2" t="s">
        <v>4694</v>
      </c>
      <c r="CC1188" s="2" t="s">
        <v>248</v>
      </c>
      <c r="CD1188" s="2" t="s">
        <v>248</v>
      </c>
      <c r="CE1188" s="2" t="s">
        <v>235</v>
      </c>
      <c r="CF1188" s="4">
        <v>297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>
        <v>301</v>
      </c>
      <c r="GE1188" s="4">
        <v>295</v>
      </c>
      <c r="GF1188" s="4">
        <v>293</v>
      </c>
      <c r="GG1188" s="4">
        <v>291</v>
      </c>
      <c r="GH1188" s="4">
        <v>289</v>
      </c>
      <c r="GI1188" s="4">
        <v>287</v>
      </c>
      <c r="GJ1188" s="4">
        <v>285</v>
      </c>
      <c r="GK1188" s="4">
        <v>283</v>
      </c>
      <c r="GL1188" s="4">
        <v>281</v>
      </c>
      <c r="GM1188" s="4">
        <v>279</v>
      </c>
      <c r="GN1188" s="4">
        <v>276</v>
      </c>
      <c r="GO1188" s="4">
        <v>273</v>
      </c>
      <c r="GP1188" s="4">
        <v>270</v>
      </c>
      <c r="GQ1188" s="4">
        <v>267</v>
      </c>
      <c r="GR1188" s="4">
        <v>264</v>
      </c>
      <c r="GS1188" s="4">
        <v>261</v>
      </c>
      <c r="GT1188" s="4">
        <v>259</v>
      </c>
      <c r="GU1188" s="4">
        <v>257</v>
      </c>
      <c r="GV1188" s="4">
        <v>254</v>
      </c>
      <c r="GW1188" s="4">
        <v>251</v>
      </c>
      <c r="GX1188" s="4">
        <v>248</v>
      </c>
      <c r="GY1188" s="4">
        <v>245</v>
      </c>
      <c r="GZ1188" s="4">
        <v>242</v>
      </c>
      <c r="HA1188" s="4">
        <v>239</v>
      </c>
      <c r="HB1188" s="4">
        <v>236</v>
      </c>
      <c r="HC1188" s="4">
        <v>233</v>
      </c>
      <c r="HD1188" s="19">
        <v>100.3</v>
      </c>
      <c r="HE1188" s="19">
        <v>147.5</v>
      </c>
      <c r="HF1188" s="19">
        <v>146.5</v>
      </c>
      <c r="HG1188" s="19">
        <v>145.5</v>
      </c>
      <c r="HH1188" s="19">
        <v>144.5</v>
      </c>
      <c r="HI1188" s="19">
        <v>143.5</v>
      </c>
      <c r="HJ1188" s="19">
        <v>142.5</v>
      </c>
      <c r="HK1188" s="19">
        <v>141.5</v>
      </c>
      <c r="HL1188" s="19">
        <v>93.7</v>
      </c>
      <c r="HM1188" s="19">
        <v>93</v>
      </c>
      <c r="HN1188" s="19">
        <v>92</v>
      </c>
      <c r="HO1188" s="19">
        <v>91</v>
      </c>
      <c r="HP1188" s="19">
        <v>90</v>
      </c>
      <c r="HQ1188" s="19">
        <v>133.5</v>
      </c>
      <c r="HR1188" s="19">
        <v>132</v>
      </c>
      <c r="HS1188" s="19">
        <v>130.5</v>
      </c>
      <c r="HT1188" s="19">
        <v>86.3</v>
      </c>
      <c r="HU1188" s="19">
        <v>85.7</v>
      </c>
      <c r="HV1188" s="19">
        <v>84.7</v>
      </c>
      <c r="HW1188" s="19">
        <v>83.7</v>
      </c>
      <c r="HX1188" s="19">
        <v>82.7</v>
      </c>
      <c r="HY1188" s="19">
        <v>81.7</v>
      </c>
      <c r="HZ1188" s="19">
        <v>80.7</v>
      </c>
      <c r="IA1188" s="19">
        <v>79.7</v>
      </c>
      <c r="IB1188" s="19">
        <v>78.7</v>
      </c>
      <c r="IC1188" s="19">
        <v>77.7</v>
      </c>
    </row>
    <row r="1189">
      <c r="A1189" s="2" t="s">
        <v>4695</v>
      </c>
      <c r="B1189" s="2" t="s">
        <v>852</v>
      </c>
      <c r="C1189" s="2" t="s">
        <v>324</v>
      </c>
      <c r="D1189" s="2" t="s">
        <v>854</v>
      </c>
      <c r="E1189" s="2" t="s">
        <v>4682</v>
      </c>
      <c r="F1189" s="2" t="s">
        <v>4670</v>
      </c>
      <c r="G1189" s="2" t="s">
        <v>4597</v>
      </c>
      <c r="H1189" s="2" t="s">
        <v>4671</v>
      </c>
      <c r="I1189" s="2" t="s">
        <v>4683</v>
      </c>
      <c r="J1189" s="2" t="s">
        <v>4684</v>
      </c>
      <c r="K1189" s="2" t="s">
        <v>4691</v>
      </c>
      <c r="L1189" s="3">
        <v>17.46</v>
      </c>
      <c r="M1189" s="3">
        <v>18.33</v>
      </c>
      <c r="N1189" s="3">
        <v>39.99</v>
      </c>
      <c r="O1189" s="2" t="s">
        <v>232</v>
      </c>
      <c r="P1189" s="2" t="s">
        <v>233</v>
      </c>
      <c r="Q1189" s="2" t="s">
        <v>234</v>
      </c>
      <c r="R1189" s="2" t="s">
        <v>235</v>
      </c>
      <c r="S1189" s="2" t="s">
        <v>4692</v>
      </c>
      <c r="T1189" s="2" t="s">
        <v>235</v>
      </c>
      <c r="U1189" s="2" t="s">
        <v>235</v>
      </c>
      <c r="V1189" s="2" t="s">
        <v>863</v>
      </c>
      <c r="W1189" s="2" t="s">
        <v>1157</v>
      </c>
      <c r="X1189" s="2" t="s">
        <v>235</v>
      </c>
      <c r="Y1189" s="2" t="s">
        <v>4685</v>
      </c>
      <c r="Z1189" s="4">
        <v>224</v>
      </c>
      <c r="AA1189" s="4">
        <f>=ROUNDDOWN(43.0769230769231,0)</f>
      </c>
      <c r="AB1189" s="5">
        <v>5.2</v>
      </c>
      <c r="AC1189" s="2" t="s">
        <v>235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235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235</v>
      </c>
      <c r="AW1189" s="8" t="s">
        <v>235</v>
      </c>
      <c r="AX1189" s="4" t="s">
        <v>235</v>
      </c>
      <c r="AY1189" s="8" t="s">
        <v>235</v>
      </c>
      <c r="AZ1189" s="7" t="s">
        <v>235</v>
      </c>
      <c r="BA1189" s="7" t="s">
        <v>235</v>
      </c>
      <c r="BB1189" s="7"/>
      <c r="BC1189" s="4" t="s">
        <v>235</v>
      </c>
      <c r="BD1189" s="8" t="s">
        <v>235</v>
      </c>
      <c r="BE1189" s="4" t="s">
        <v>235</v>
      </c>
      <c r="BF1189" s="8" t="s">
        <v>235</v>
      </c>
      <c r="BG1189" s="7" t="s">
        <v>235</v>
      </c>
      <c r="BH1189" s="7" t="s">
        <v>235</v>
      </c>
      <c r="BI1189" s="7"/>
      <c r="BJ1189" s="4">
        <v>17</v>
      </c>
      <c r="BK1189" s="8">
        <v>337.53</v>
      </c>
      <c r="BL1189" s="2" t="s">
        <v>4696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4687</v>
      </c>
      <c r="BV1189" s="2" t="s">
        <v>867</v>
      </c>
      <c r="BW1189" s="2" t="s">
        <v>235</v>
      </c>
      <c r="BX1189" s="2" t="s">
        <v>244</v>
      </c>
      <c r="BY1189" s="2" t="s">
        <v>245</v>
      </c>
      <c r="BZ1189" s="2" t="s">
        <v>232</v>
      </c>
      <c r="CA1189" s="2" t="s">
        <v>4688</v>
      </c>
      <c r="CB1189" s="2" t="s">
        <v>4689</v>
      </c>
      <c r="CC1189" s="2" t="s">
        <v>248</v>
      </c>
      <c r="CD1189" s="2" t="s">
        <v>248</v>
      </c>
      <c r="CE1189" s="2" t="s">
        <v>235</v>
      </c>
      <c r="CF1189" s="4">
        <v>224</v>
      </c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>
        <v>224</v>
      </c>
      <c r="GE1189" s="4">
        <v>219</v>
      </c>
      <c r="GF1189" s="4">
        <v>215</v>
      </c>
      <c r="GG1189" s="4">
        <v>211</v>
      </c>
      <c r="GH1189" s="4">
        <v>207</v>
      </c>
      <c r="GI1189" s="4">
        <v>203</v>
      </c>
      <c r="GJ1189" s="4">
        <v>199</v>
      </c>
      <c r="GK1189" s="4">
        <v>194</v>
      </c>
      <c r="GL1189" s="4">
        <v>188</v>
      </c>
      <c r="GM1189" s="4">
        <v>183</v>
      </c>
      <c r="GN1189" s="4">
        <v>178</v>
      </c>
      <c r="GO1189" s="4">
        <v>172</v>
      </c>
      <c r="GP1189" s="4">
        <v>167</v>
      </c>
      <c r="GQ1189" s="4">
        <v>159</v>
      </c>
      <c r="GR1189" s="4">
        <v>152</v>
      </c>
      <c r="GS1189" s="4">
        <v>145</v>
      </c>
      <c r="GT1189" s="4">
        <v>140</v>
      </c>
      <c r="GU1189" s="4">
        <v>135</v>
      </c>
      <c r="GV1189" s="4">
        <v>130</v>
      </c>
      <c r="GW1189" s="4">
        <v>125</v>
      </c>
      <c r="GX1189" s="4">
        <v>120</v>
      </c>
      <c r="GY1189" s="4">
        <v>115</v>
      </c>
      <c r="GZ1189" s="4">
        <v>110</v>
      </c>
      <c r="HA1189" s="4">
        <v>105</v>
      </c>
      <c r="HB1189" s="4">
        <v>100</v>
      </c>
      <c r="HC1189" s="4">
        <v>94</v>
      </c>
      <c r="HD1189" s="19">
        <v>56</v>
      </c>
      <c r="HE1189" s="19">
        <v>54.8</v>
      </c>
      <c r="HF1189" s="19">
        <v>53.8</v>
      </c>
      <c r="HG1189" s="19">
        <v>52.8</v>
      </c>
      <c r="HH1189" s="19">
        <v>41.4</v>
      </c>
      <c r="HI1189" s="19">
        <v>40.6</v>
      </c>
      <c r="HJ1189" s="19">
        <v>39.8</v>
      </c>
      <c r="HK1189" s="19">
        <v>32.3</v>
      </c>
      <c r="HL1189" s="19">
        <v>37.6</v>
      </c>
      <c r="HM1189" s="19">
        <v>30.5</v>
      </c>
      <c r="HN1189" s="19">
        <v>29.7</v>
      </c>
      <c r="HO1189" s="19">
        <v>24.6</v>
      </c>
      <c r="HP1189" s="19">
        <v>23.9</v>
      </c>
      <c r="HQ1189" s="19">
        <v>26.5</v>
      </c>
      <c r="HR1189" s="19">
        <v>25.3</v>
      </c>
      <c r="HS1189" s="19">
        <v>29</v>
      </c>
      <c r="HT1189" s="19">
        <v>28</v>
      </c>
      <c r="HU1189" s="19">
        <v>27</v>
      </c>
      <c r="HV1189" s="19">
        <v>26</v>
      </c>
      <c r="HW1189" s="19">
        <v>25</v>
      </c>
      <c r="HX1189" s="19">
        <v>24</v>
      </c>
      <c r="HY1189" s="19">
        <v>23</v>
      </c>
      <c r="HZ1189" s="19">
        <v>22</v>
      </c>
      <c r="IA1189" s="19">
        <v>21</v>
      </c>
      <c r="IB1189" s="19">
        <v>20</v>
      </c>
      <c r="IC1189" s="19">
        <v>18.8</v>
      </c>
    </row>
    <row r="1190">
      <c r="A1190" s="2" t="s">
        <v>4697</v>
      </c>
      <c r="B1190" s="2" t="s">
        <v>905</v>
      </c>
      <c r="C1190" s="2" t="s">
        <v>324</v>
      </c>
      <c r="D1190" s="2" t="s">
        <v>361</v>
      </c>
      <c r="E1190" s="2" t="s">
        <v>872</v>
      </c>
      <c r="F1190" s="2" t="s">
        <v>4698</v>
      </c>
      <c r="G1190" s="2" t="s">
        <v>4596</v>
      </c>
      <c r="H1190" s="2" t="s">
        <v>4596</v>
      </c>
      <c r="I1190" s="2" t="s">
        <v>4699</v>
      </c>
      <c r="J1190" s="2" t="s">
        <v>270</v>
      </c>
      <c r="K1190" s="2" t="s">
        <v>4700</v>
      </c>
      <c r="L1190" s="3">
        <v>57.14</v>
      </c>
      <c r="M1190" s="3">
        <v>60</v>
      </c>
      <c r="N1190" s="3">
        <v>119.99</v>
      </c>
      <c r="O1190" s="2" t="s">
        <v>232</v>
      </c>
      <c r="P1190" s="2" t="s">
        <v>878</v>
      </c>
      <c r="Q1190" s="2" t="s">
        <v>234</v>
      </c>
      <c r="R1190" s="2" t="s">
        <v>235</v>
      </c>
      <c r="S1190" s="2" t="s">
        <v>235</v>
      </c>
      <c r="T1190" s="2" t="s">
        <v>912</v>
      </c>
      <c r="U1190" s="2" t="s">
        <v>552</v>
      </c>
      <c r="V1190" s="2" t="s">
        <v>420</v>
      </c>
      <c r="W1190" s="2" t="s">
        <v>329</v>
      </c>
      <c r="X1190" s="2" t="s">
        <v>1731</v>
      </c>
      <c r="Y1190" s="2" t="s">
        <v>2915</v>
      </c>
      <c r="Z1190" s="4">
        <v>1215</v>
      </c>
      <c r="AA1190" s="4">
        <f>=ROUNDDOWN(48.6,0)</f>
      </c>
      <c r="AB1190" s="5">
        <v>25</v>
      </c>
      <c r="AC1190" s="2" t="s">
        <v>235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235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/>
      <c r="BD1190" s="8"/>
      <c r="BE1190" s="4"/>
      <c r="BF1190" s="8"/>
      <c r="BG1190" s="7"/>
      <c r="BH1190" s="7"/>
      <c r="BI1190" s="7"/>
      <c r="BJ1190" s="4">
        <v>7</v>
      </c>
      <c r="BK1190" s="8">
        <v>446.4</v>
      </c>
      <c r="BL1190" s="2" t="s">
        <v>2026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4701</v>
      </c>
      <c r="BV1190" s="2" t="s">
        <v>235</v>
      </c>
      <c r="BW1190" s="2" t="s">
        <v>235</v>
      </c>
      <c r="BX1190" s="2" t="s">
        <v>244</v>
      </c>
      <c r="BY1190" s="2" t="s">
        <v>245</v>
      </c>
      <c r="BZ1190" s="2" t="s">
        <v>232</v>
      </c>
      <c r="CA1190" s="2" t="s">
        <v>235</v>
      </c>
      <c r="CB1190" s="2" t="s">
        <v>235</v>
      </c>
      <c r="CC1190" s="2" t="s">
        <v>248</v>
      </c>
      <c r="CD1190" s="2" t="s">
        <v>248</v>
      </c>
      <c r="CE1190" s="2" t="s">
        <v>235</v>
      </c>
      <c r="CF1190" s="4">
        <v>476</v>
      </c>
      <c r="CG1190" s="4"/>
      <c r="CH1190" s="4"/>
      <c r="CI1190" s="4">
        <v>739</v>
      </c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>
        <v>1220</v>
      </c>
      <c r="GE1190" s="4">
        <v>1167</v>
      </c>
      <c r="GF1190" s="4">
        <v>1151</v>
      </c>
      <c r="GG1190" s="4">
        <v>1134</v>
      </c>
      <c r="GH1190" s="4">
        <v>1102</v>
      </c>
      <c r="GI1190" s="4">
        <v>1074</v>
      </c>
      <c r="GJ1190" s="4">
        <v>1014</v>
      </c>
      <c r="GK1190" s="4">
        <v>965</v>
      </c>
      <c r="GL1190" s="4">
        <v>915</v>
      </c>
      <c r="GM1190" s="4">
        <v>885</v>
      </c>
      <c r="GN1190" s="4">
        <v>867</v>
      </c>
      <c r="GO1190" s="4">
        <v>846</v>
      </c>
      <c r="GP1190" s="4">
        <v>825</v>
      </c>
      <c r="GQ1190" s="4">
        <v>804</v>
      </c>
      <c r="GR1190" s="4">
        <v>783</v>
      </c>
      <c r="GS1190" s="4">
        <v>770</v>
      </c>
      <c r="GT1190" s="4">
        <v>765</v>
      </c>
      <c r="GU1190" s="4">
        <v>760</v>
      </c>
      <c r="GV1190" s="4">
        <v>754</v>
      </c>
      <c r="GW1190" s="4">
        <v>749</v>
      </c>
      <c r="GX1190" s="4">
        <v>744</v>
      </c>
      <c r="GY1190" s="4">
        <v>739</v>
      </c>
      <c r="GZ1190" s="4">
        <v>682</v>
      </c>
      <c r="HA1190" s="4">
        <v>657</v>
      </c>
      <c r="HB1190" s="4">
        <v>632</v>
      </c>
      <c r="HC1190" s="4">
        <v>605</v>
      </c>
      <c r="HD1190" s="19">
        <v>40.7</v>
      </c>
      <c r="HE1190" s="19">
        <v>50.7</v>
      </c>
      <c r="HF1190" s="19">
        <v>33.9</v>
      </c>
      <c r="HG1190" s="19">
        <v>27</v>
      </c>
      <c r="HH1190" s="19">
        <v>23.4</v>
      </c>
      <c r="HI1190" s="19">
        <v>22.9</v>
      </c>
      <c r="HJ1190" s="19">
        <v>27.4</v>
      </c>
      <c r="HK1190" s="19">
        <v>32.2</v>
      </c>
      <c r="HL1190" s="19">
        <v>41.6</v>
      </c>
      <c r="HM1190" s="19">
        <v>44.3</v>
      </c>
      <c r="HN1190" s="19">
        <v>41.3</v>
      </c>
      <c r="HO1190" s="19">
        <v>44.5</v>
      </c>
      <c r="HP1190" s="19">
        <v>55</v>
      </c>
      <c r="HQ1190" s="19">
        <v>73.1</v>
      </c>
      <c r="HR1190" s="19">
        <v>111.9</v>
      </c>
      <c r="HS1190" s="19">
        <v>154</v>
      </c>
      <c r="HT1190" s="19">
        <v>153</v>
      </c>
      <c r="HU1190" s="19">
        <v>152</v>
      </c>
      <c r="HV1190" s="19">
        <v>41.9</v>
      </c>
      <c r="HW1190" s="19">
        <v>32.6</v>
      </c>
      <c r="HX1190" s="19">
        <v>26.6</v>
      </c>
      <c r="HY1190" s="19">
        <v>21.7</v>
      </c>
      <c r="HZ1190" s="19">
        <v>26.2</v>
      </c>
      <c r="IA1190" s="19">
        <v>25.3</v>
      </c>
      <c r="IB1190" s="19">
        <v>24.3</v>
      </c>
      <c r="IC1190" s="19">
        <v>24.2</v>
      </c>
    </row>
    <row r="1191">
      <c r="A1191" s="2" t="s">
        <v>4702</v>
      </c>
      <c r="B1191" s="2" t="s">
        <v>871</v>
      </c>
      <c r="C1191" s="2" t="s">
        <v>403</v>
      </c>
      <c r="D1191" s="2" t="s">
        <v>361</v>
      </c>
      <c r="E1191" s="2" t="s">
        <v>1024</v>
      </c>
      <c r="F1191" s="2" t="s">
        <v>4703</v>
      </c>
      <c r="G1191" s="2" t="s">
        <v>4704</v>
      </c>
      <c r="H1191" s="2" t="s">
        <v>4705</v>
      </c>
      <c r="I1191" s="2" t="s">
        <v>4706</v>
      </c>
      <c r="J1191" s="2" t="s">
        <v>272</v>
      </c>
      <c r="K1191" s="2" t="s">
        <v>4707</v>
      </c>
      <c r="L1191" s="3">
        <v>47.08</v>
      </c>
      <c r="M1191" s="3">
        <v>49.43</v>
      </c>
      <c r="N1191" s="3">
        <v>99.99</v>
      </c>
      <c r="O1191" s="2" t="s">
        <v>232</v>
      </c>
      <c r="P1191" s="2" t="s">
        <v>1282</v>
      </c>
      <c r="Q1191" s="2" t="s">
        <v>234</v>
      </c>
      <c r="R1191" s="2" t="s">
        <v>235</v>
      </c>
      <c r="S1191" s="2" t="s">
        <v>4708</v>
      </c>
      <c r="T1191" s="2" t="s">
        <v>501</v>
      </c>
      <c r="U1191" s="2" t="s">
        <v>742</v>
      </c>
      <c r="V1191" s="2" t="s">
        <v>420</v>
      </c>
      <c r="W1191" s="2" t="s">
        <v>682</v>
      </c>
      <c r="X1191" s="2" t="s">
        <v>235</v>
      </c>
      <c r="Y1191" s="2" t="s">
        <v>1908</v>
      </c>
      <c r="Z1191" s="4">
        <v>299</v>
      </c>
      <c r="AA1191" s="4">
        <f>=ROUNDDOWN(42.7142857142857,0)</f>
      </c>
      <c r="AB1191" s="5">
        <v>7</v>
      </c>
      <c r="AC1191" s="2" t="s">
        <v>235</v>
      </c>
      <c r="AD1191" s="4"/>
      <c r="AE1191" s="4"/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235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235</v>
      </c>
      <c r="BD1191" s="8" t="s">
        <v>235</v>
      </c>
      <c r="BE1191" s="4" t="s">
        <v>235</v>
      </c>
      <c r="BF1191" s="8" t="s">
        <v>235</v>
      </c>
      <c r="BG1191" s="7" t="s">
        <v>235</v>
      </c>
      <c r="BH1191" s="7" t="s">
        <v>235</v>
      </c>
      <c r="BI1191" s="7"/>
      <c r="BJ1191" s="4">
        <v>13</v>
      </c>
      <c r="BK1191" s="8">
        <v>754.09</v>
      </c>
      <c r="BL1191" s="2" t="s">
        <v>4709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4710</v>
      </c>
      <c r="BV1191" s="2" t="s">
        <v>243</v>
      </c>
      <c r="BW1191" s="2" t="s">
        <v>235</v>
      </c>
      <c r="BX1191" s="2" t="s">
        <v>383</v>
      </c>
      <c r="BY1191" s="2" t="s">
        <v>245</v>
      </c>
      <c r="BZ1191" s="2" t="s">
        <v>232</v>
      </c>
      <c r="CA1191" s="2" t="s">
        <v>4711</v>
      </c>
      <c r="CB1191" s="2" t="s">
        <v>4712</v>
      </c>
      <c r="CC1191" s="2" t="s">
        <v>248</v>
      </c>
      <c r="CD1191" s="2" t="s">
        <v>248</v>
      </c>
      <c r="CE1191" s="2" t="s">
        <v>235</v>
      </c>
      <c r="CF1191" s="4">
        <v>201</v>
      </c>
      <c r="CG1191" s="4"/>
      <c r="CH1191" s="4"/>
      <c r="CI1191" s="4">
        <v>98</v>
      </c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>
        <v>300</v>
      </c>
      <c r="GE1191" s="4">
        <v>279</v>
      </c>
      <c r="GF1191" s="4">
        <v>276</v>
      </c>
      <c r="GG1191" s="4">
        <v>270</v>
      </c>
      <c r="GH1191" s="4">
        <v>263</v>
      </c>
      <c r="GI1191" s="4">
        <v>260</v>
      </c>
      <c r="GJ1191" s="4">
        <v>248</v>
      </c>
      <c r="GK1191" s="4">
        <v>242</v>
      </c>
      <c r="GL1191" s="4">
        <v>233</v>
      </c>
      <c r="GM1191" s="4">
        <v>230</v>
      </c>
      <c r="GN1191" s="4">
        <v>222</v>
      </c>
      <c r="GO1191" s="4">
        <v>211</v>
      </c>
      <c r="GP1191" s="4">
        <v>202</v>
      </c>
      <c r="GQ1191" s="4">
        <v>193</v>
      </c>
      <c r="GR1191" s="4">
        <v>170</v>
      </c>
      <c r="GS1191" s="4">
        <v>157</v>
      </c>
      <c r="GT1191" s="4">
        <v>142</v>
      </c>
      <c r="GU1191" s="4">
        <v>134</v>
      </c>
      <c r="GV1191" s="4">
        <v>126</v>
      </c>
      <c r="GW1191" s="4">
        <v>123</v>
      </c>
      <c r="GX1191" s="4">
        <v>118</v>
      </c>
      <c r="GY1191" s="4">
        <v>113</v>
      </c>
      <c r="GZ1191" s="4">
        <v>108</v>
      </c>
      <c r="HA1191" s="4">
        <v>106</v>
      </c>
      <c r="HB1191" s="4">
        <v>100</v>
      </c>
      <c r="HC1191" s="4">
        <v>86</v>
      </c>
      <c r="HD1191" s="19">
        <v>33.3</v>
      </c>
      <c r="HE1191" s="19">
        <v>55.8</v>
      </c>
      <c r="HF1191" s="19">
        <v>39.4</v>
      </c>
      <c r="HG1191" s="19">
        <v>38.6</v>
      </c>
      <c r="HH1191" s="19">
        <v>32.9</v>
      </c>
      <c r="HI1191" s="19">
        <v>32.5</v>
      </c>
      <c r="HJ1191" s="19">
        <v>41.3</v>
      </c>
      <c r="HK1191" s="19">
        <v>30.3</v>
      </c>
      <c r="HL1191" s="19">
        <v>29.1</v>
      </c>
      <c r="HM1191" s="19">
        <v>25.6</v>
      </c>
      <c r="HN1191" s="19">
        <v>17.1</v>
      </c>
      <c r="HO1191" s="19">
        <v>15.1</v>
      </c>
      <c r="HP1191" s="19">
        <v>13.5</v>
      </c>
      <c r="HQ1191" s="19">
        <v>12.9</v>
      </c>
      <c r="HR1191" s="19">
        <v>15.5</v>
      </c>
      <c r="HS1191" s="19">
        <v>19.6</v>
      </c>
      <c r="HT1191" s="19">
        <v>23.7</v>
      </c>
      <c r="HU1191" s="19">
        <v>26.8</v>
      </c>
      <c r="HV1191" s="19">
        <v>31.5</v>
      </c>
      <c r="HW1191" s="19">
        <v>30.8</v>
      </c>
      <c r="HX1191" s="19">
        <v>29.5</v>
      </c>
      <c r="HY1191" s="19">
        <v>16.1</v>
      </c>
      <c r="HZ1191" s="19">
        <v>13.5</v>
      </c>
      <c r="IA1191" s="19">
        <v>11.8</v>
      </c>
      <c r="IB1191" s="19">
        <v>10</v>
      </c>
      <c r="IC1191" s="19">
        <v>10.8</v>
      </c>
    </row>
    <row r="1192">
      <c r="A1192" s="2" t="s">
        <v>4713</v>
      </c>
      <c r="B1192" s="2" t="s">
        <v>871</v>
      </c>
      <c r="C1192" s="2" t="s">
        <v>403</v>
      </c>
      <c r="D1192" s="2" t="s">
        <v>361</v>
      </c>
      <c r="E1192" s="2" t="s">
        <v>1024</v>
      </c>
      <c r="F1192" s="2" t="s">
        <v>4703</v>
      </c>
      <c r="G1192" s="2" t="s">
        <v>4704</v>
      </c>
      <c r="H1192" s="2" t="s">
        <v>4705</v>
      </c>
      <c r="I1192" s="2" t="s">
        <v>4706</v>
      </c>
      <c r="J1192" s="2" t="s">
        <v>394</v>
      </c>
      <c r="K1192" s="2" t="s">
        <v>4714</v>
      </c>
      <c r="L1192" s="3">
        <v>33.85</v>
      </c>
      <c r="M1192" s="3">
        <v>35.54</v>
      </c>
      <c r="N1192" s="3">
        <v>69.99</v>
      </c>
      <c r="O1192" s="2" t="s">
        <v>232</v>
      </c>
      <c r="P1192" s="2" t="s">
        <v>233</v>
      </c>
      <c r="Q1192" s="2" t="s">
        <v>234</v>
      </c>
      <c r="R1192" s="2" t="s">
        <v>235</v>
      </c>
      <c r="S1192" s="2" t="s">
        <v>4715</v>
      </c>
      <c r="T1192" s="2" t="s">
        <v>501</v>
      </c>
      <c r="U1192" s="2" t="s">
        <v>282</v>
      </c>
      <c r="V1192" s="2" t="s">
        <v>420</v>
      </c>
      <c r="W1192" s="2" t="s">
        <v>682</v>
      </c>
      <c r="X1192" s="2" t="s">
        <v>235</v>
      </c>
      <c r="Y1192" s="2" t="s">
        <v>4716</v>
      </c>
      <c r="Z1192" s="4">
        <v>374</v>
      </c>
      <c r="AA1192" s="4">
        <f>=ROUNDDOWN(93.5,0)</f>
      </c>
      <c r="AB1192" s="5">
        <v>4</v>
      </c>
      <c r="AC1192" s="2" t="s">
        <v>235</v>
      </c>
      <c r="AD1192" s="4"/>
      <c r="AE1192" s="4"/>
      <c r="AF1192" s="6">
        <v>64</v>
      </c>
      <c r="AG1192" s="6"/>
      <c r="AH1192" s="7">
        <v>1</v>
      </c>
      <c r="AI1192" s="4"/>
      <c r="AJ1192" s="4">
        <f>=ROUNDDOWN({0},0)</f>
      </c>
      <c r="AK1192" s="5"/>
      <c r="AL1192" s="2" t="s">
        <v>235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235</v>
      </c>
      <c r="AW1192" s="8" t="s">
        <v>235</v>
      </c>
      <c r="AX1192" s="4" t="s">
        <v>235</v>
      </c>
      <c r="AY1192" s="8" t="s">
        <v>235</v>
      </c>
      <c r="AZ1192" s="7" t="s">
        <v>235</v>
      </c>
      <c r="BA1192" s="7" t="s">
        <v>235</v>
      </c>
      <c r="BB1192" s="7"/>
      <c r="BC1192" s="4" t="s">
        <v>235</v>
      </c>
      <c r="BD1192" s="8" t="s">
        <v>235</v>
      </c>
      <c r="BE1192" s="4" t="s">
        <v>235</v>
      </c>
      <c r="BF1192" s="8" t="s">
        <v>235</v>
      </c>
      <c r="BG1192" s="7" t="s">
        <v>235</v>
      </c>
      <c r="BH1192" s="7" t="s">
        <v>235</v>
      </c>
      <c r="BI1192" s="7"/>
      <c r="BJ1192" s="4">
        <v>4</v>
      </c>
      <c r="BK1192" s="8">
        <v>154.22</v>
      </c>
      <c r="BL1192" s="2" t="s">
        <v>2149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4710</v>
      </c>
      <c r="BV1192" s="2" t="s">
        <v>243</v>
      </c>
      <c r="BW1192" s="2" t="s">
        <v>235</v>
      </c>
      <c r="BX1192" s="2" t="s">
        <v>383</v>
      </c>
      <c r="BY1192" s="2" t="s">
        <v>245</v>
      </c>
      <c r="BZ1192" s="2" t="s">
        <v>232</v>
      </c>
      <c r="CA1192" s="2" t="s">
        <v>4717</v>
      </c>
      <c r="CB1192" s="2" t="s">
        <v>1600</v>
      </c>
      <c r="CC1192" s="2" t="s">
        <v>248</v>
      </c>
      <c r="CD1192" s="2" t="s">
        <v>248</v>
      </c>
      <c r="CE1192" s="2" t="s">
        <v>235</v>
      </c>
      <c r="CF1192" s="4">
        <v>374</v>
      </c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>
        <v>375</v>
      </c>
      <c r="GE1192" s="4">
        <v>371</v>
      </c>
      <c r="GF1192" s="4">
        <v>369</v>
      </c>
      <c r="GG1192" s="4">
        <v>367</v>
      </c>
      <c r="GH1192" s="4">
        <v>365</v>
      </c>
      <c r="GI1192" s="4">
        <v>364</v>
      </c>
      <c r="GJ1192" s="4">
        <v>359</v>
      </c>
      <c r="GK1192" s="4">
        <v>356</v>
      </c>
      <c r="GL1192" s="4">
        <v>351</v>
      </c>
      <c r="GM1192" s="4">
        <v>349</v>
      </c>
      <c r="GN1192" s="4">
        <v>345</v>
      </c>
      <c r="GO1192" s="4">
        <v>339</v>
      </c>
      <c r="GP1192" s="4">
        <v>331</v>
      </c>
      <c r="GQ1192" s="4">
        <v>321</v>
      </c>
      <c r="GR1192" s="4">
        <v>304</v>
      </c>
      <c r="GS1192" s="4">
        <v>294</v>
      </c>
      <c r="GT1192" s="4">
        <v>282</v>
      </c>
      <c r="GU1192" s="4">
        <v>280</v>
      </c>
      <c r="GV1192" s="4">
        <v>276</v>
      </c>
      <c r="GW1192" s="4">
        <v>274</v>
      </c>
      <c r="GX1192" s="4">
        <v>272</v>
      </c>
      <c r="GY1192" s="4">
        <v>270</v>
      </c>
      <c r="GZ1192" s="4">
        <v>268</v>
      </c>
      <c r="HA1192" s="4">
        <v>266</v>
      </c>
      <c r="HB1192" s="4">
        <v>262</v>
      </c>
      <c r="HC1192" s="4">
        <v>255</v>
      </c>
      <c r="HD1192" s="19">
        <v>187.5</v>
      </c>
      <c r="HE1192" s="19">
        <v>185.5</v>
      </c>
      <c r="HF1192" s="19">
        <v>184.5</v>
      </c>
      <c r="HG1192" s="19">
        <v>122.3</v>
      </c>
      <c r="HH1192" s="19">
        <v>91.3</v>
      </c>
      <c r="HI1192" s="19">
        <v>91</v>
      </c>
      <c r="HJ1192" s="19">
        <v>89.8</v>
      </c>
      <c r="HK1192" s="19">
        <v>89</v>
      </c>
      <c r="HL1192" s="19">
        <v>70.2</v>
      </c>
      <c r="HM1192" s="19">
        <v>49.9</v>
      </c>
      <c r="HN1192" s="19">
        <v>34.5</v>
      </c>
      <c r="HO1192" s="19">
        <v>30.8</v>
      </c>
      <c r="HP1192" s="19">
        <v>27.6</v>
      </c>
      <c r="HQ1192" s="19">
        <v>32.1</v>
      </c>
      <c r="HR1192" s="19">
        <v>43.4</v>
      </c>
      <c r="HS1192" s="19">
        <v>58.8</v>
      </c>
      <c r="HT1192" s="19">
        <v>141</v>
      </c>
      <c r="HU1192" s="19">
        <v>140</v>
      </c>
      <c r="HV1192" s="19">
        <v>138</v>
      </c>
      <c r="HW1192" s="19">
        <v>137</v>
      </c>
      <c r="HX1192" s="19">
        <v>136</v>
      </c>
      <c r="HY1192" s="19">
        <v>67.5</v>
      </c>
      <c r="HZ1192" s="19">
        <v>67</v>
      </c>
      <c r="IA1192" s="19">
        <v>66.5</v>
      </c>
      <c r="IB1192" s="19">
        <v>87.3</v>
      </c>
      <c r="IC1192" s="19">
        <v>127.5</v>
      </c>
    </row>
    <row r="1193">
      <c r="A1193" s="2" t="s">
        <v>4718</v>
      </c>
      <c r="B1193" s="2" t="s">
        <v>871</v>
      </c>
      <c r="C1193" s="2" t="s">
        <v>403</v>
      </c>
      <c r="D1193" s="2" t="s">
        <v>361</v>
      </c>
      <c r="E1193" s="2" t="s">
        <v>1024</v>
      </c>
      <c r="F1193" s="2" t="s">
        <v>4703</v>
      </c>
      <c r="G1193" s="2" t="s">
        <v>4704</v>
      </c>
      <c r="H1193" s="2" t="s">
        <v>4705</v>
      </c>
      <c r="I1193" s="2" t="s">
        <v>4706</v>
      </c>
      <c r="J1193" s="2" t="s">
        <v>272</v>
      </c>
      <c r="K1193" s="2" t="s">
        <v>4714</v>
      </c>
      <c r="L1193" s="3">
        <v>47.08</v>
      </c>
      <c r="M1193" s="3">
        <v>49.43</v>
      </c>
      <c r="N1193" s="3">
        <v>99.99</v>
      </c>
      <c r="O1193" s="2" t="s">
        <v>232</v>
      </c>
      <c r="P1193" s="2" t="s">
        <v>233</v>
      </c>
      <c r="Q1193" s="2" t="s">
        <v>234</v>
      </c>
      <c r="R1193" s="2" t="s">
        <v>235</v>
      </c>
      <c r="S1193" s="2" t="s">
        <v>4715</v>
      </c>
      <c r="T1193" s="2" t="s">
        <v>501</v>
      </c>
      <c r="U1193" s="2" t="s">
        <v>742</v>
      </c>
      <c r="V1193" s="2" t="s">
        <v>420</v>
      </c>
      <c r="W1193" s="2" t="s">
        <v>682</v>
      </c>
      <c r="X1193" s="2" t="s">
        <v>235</v>
      </c>
      <c r="Y1193" s="2" t="s">
        <v>4716</v>
      </c>
      <c r="Z1193" s="4">
        <v>174</v>
      </c>
      <c r="AA1193" s="4">
        <f>=ROUNDDOWN(43.5,0)</f>
      </c>
      <c r="AB1193" s="5">
        <v>4</v>
      </c>
      <c r="AC1193" s="2" t="s">
        <v>235</v>
      </c>
      <c r="AD1193" s="4"/>
      <c r="AE1193" s="4"/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235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235</v>
      </c>
      <c r="AW1193" s="8" t="s">
        <v>235</v>
      </c>
      <c r="AX1193" s="4" t="s">
        <v>235</v>
      </c>
      <c r="AY1193" s="8" t="s">
        <v>235</v>
      </c>
      <c r="AZ1193" s="7" t="s">
        <v>235</v>
      </c>
      <c r="BA1193" s="7" t="s">
        <v>235</v>
      </c>
      <c r="BB1193" s="7"/>
      <c r="BC1193" s="4" t="s">
        <v>235</v>
      </c>
      <c r="BD1193" s="8" t="s">
        <v>235</v>
      </c>
      <c r="BE1193" s="4" t="s">
        <v>235</v>
      </c>
      <c r="BF1193" s="8" t="s">
        <v>235</v>
      </c>
      <c r="BG1193" s="7" t="s">
        <v>235</v>
      </c>
      <c r="BH1193" s="7" t="s">
        <v>235</v>
      </c>
      <c r="BI1193" s="7"/>
      <c r="BJ1193" s="4">
        <v>13</v>
      </c>
      <c r="BK1193" s="8">
        <v>741.35</v>
      </c>
      <c r="BL1193" s="2" t="s">
        <v>4719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4710</v>
      </c>
      <c r="BV1193" s="2" t="s">
        <v>243</v>
      </c>
      <c r="BW1193" s="2" t="s">
        <v>235</v>
      </c>
      <c r="BX1193" s="2" t="s">
        <v>383</v>
      </c>
      <c r="BY1193" s="2" t="s">
        <v>245</v>
      </c>
      <c r="BZ1193" s="2" t="s">
        <v>232</v>
      </c>
      <c r="CA1193" s="2" t="s">
        <v>4717</v>
      </c>
      <c r="CB1193" s="2" t="s">
        <v>235</v>
      </c>
      <c r="CC1193" s="2" t="s">
        <v>248</v>
      </c>
      <c r="CD1193" s="2" t="s">
        <v>248</v>
      </c>
      <c r="CE1193" s="2" t="s">
        <v>235</v>
      </c>
      <c r="CF1193" s="4">
        <v>140</v>
      </c>
      <c r="CG1193" s="4">
        <v>34</v>
      </c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>
        <v>176</v>
      </c>
      <c r="GE1193" s="4">
        <v>172</v>
      </c>
      <c r="GF1193" s="4">
        <v>171</v>
      </c>
      <c r="GG1193" s="4">
        <v>167</v>
      </c>
      <c r="GH1193" s="4">
        <v>163</v>
      </c>
      <c r="GI1193" s="4">
        <v>162</v>
      </c>
      <c r="GJ1193" s="4">
        <v>155</v>
      </c>
      <c r="GK1193" s="4">
        <v>152</v>
      </c>
      <c r="GL1193" s="4">
        <v>147</v>
      </c>
      <c r="GM1193" s="4">
        <v>144</v>
      </c>
      <c r="GN1193" s="4">
        <v>140</v>
      </c>
      <c r="GO1193" s="4">
        <v>134</v>
      </c>
      <c r="GP1193" s="4">
        <v>128</v>
      </c>
      <c r="GQ1193" s="4">
        <v>122</v>
      </c>
      <c r="GR1193" s="4">
        <v>108</v>
      </c>
      <c r="GS1193" s="4">
        <v>100</v>
      </c>
      <c r="GT1193" s="4">
        <v>92</v>
      </c>
      <c r="GU1193" s="4">
        <v>88</v>
      </c>
      <c r="GV1193" s="4">
        <v>82</v>
      </c>
      <c r="GW1193" s="4">
        <v>79</v>
      </c>
      <c r="GX1193" s="4">
        <v>76</v>
      </c>
      <c r="GY1193" s="4">
        <v>73</v>
      </c>
      <c r="GZ1193" s="4">
        <v>70</v>
      </c>
      <c r="HA1193" s="4">
        <v>69</v>
      </c>
      <c r="HB1193" s="4">
        <v>66</v>
      </c>
      <c r="HC1193" s="4">
        <v>57</v>
      </c>
      <c r="HD1193" s="19">
        <v>58.7</v>
      </c>
      <c r="HE1193" s="19">
        <v>86</v>
      </c>
      <c r="HF1193" s="19">
        <v>42.8</v>
      </c>
      <c r="HG1193" s="19">
        <v>41.8</v>
      </c>
      <c r="HH1193" s="19">
        <v>40.8</v>
      </c>
      <c r="HI1193" s="19">
        <v>40.5</v>
      </c>
      <c r="HJ1193" s="19">
        <v>38.8</v>
      </c>
      <c r="HK1193" s="19">
        <v>38</v>
      </c>
      <c r="HL1193" s="19">
        <v>29.4</v>
      </c>
      <c r="HM1193" s="19">
        <v>24</v>
      </c>
      <c r="HN1193" s="19">
        <v>17.5</v>
      </c>
      <c r="HO1193" s="19">
        <v>16.8</v>
      </c>
      <c r="HP1193" s="19">
        <v>14.2</v>
      </c>
      <c r="HQ1193" s="19">
        <v>15.3</v>
      </c>
      <c r="HR1193" s="19">
        <v>18</v>
      </c>
      <c r="HS1193" s="19">
        <v>20</v>
      </c>
      <c r="HT1193" s="19">
        <v>23</v>
      </c>
      <c r="HU1193" s="19">
        <v>22</v>
      </c>
      <c r="HV1193" s="19">
        <v>27.3</v>
      </c>
      <c r="HW1193" s="19">
        <v>39.5</v>
      </c>
      <c r="HX1193" s="19">
        <v>38</v>
      </c>
      <c r="HY1193" s="19">
        <v>18.3</v>
      </c>
      <c r="HZ1193" s="19">
        <v>17.5</v>
      </c>
      <c r="IA1193" s="19">
        <v>13.8</v>
      </c>
      <c r="IB1193" s="19">
        <v>13.2</v>
      </c>
      <c r="IC1193" s="19">
        <v>14.3</v>
      </c>
    </row>
    <row r="1194">
      <c r="A1194" s="2" t="s">
        <v>4720</v>
      </c>
      <c r="B1194" s="2" t="s">
        <v>871</v>
      </c>
      <c r="C1194" s="2" t="s">
        <v>403</v>
      </c>
      <c r="D1194" s="2" t="s">
        <v>361</v>
      </c>
      <c r="E1194" s="2" t="s">
        <v>1024</v>
      </c>
      <c r="F1194" s="2" t="s">
        <v>4703</v>
      </c>
      <c r="G1194" s="2" t="s">
        <v>4704</v>
      </c>
      <c r="H1194" s="2" t="s">
        <v>4705</v>
      </c>
      <c r="I1194" s="2" t="s">
        <v>4706</v>
      </c>
      <c r="J1194" s="2" t="s">
        <v>272</v>
      </c>
      <c r="K1194" s="2" t="s">
        <v>4721</v>
      </c>
      <c r="L1194" s="3">
        <v>47.08</v>
      </c>
      <c r="M1194" s="3">
        <v>49.43</v>
      </c>
      <c r="N1194" s="3">
        <v>99.99</v>
      </c>
      <c r="O1194" s="2" t="s">
        <v>232</v>
      </c>
      <c r="P1194" s="2" t="s">
        <v>1282</v>
      </c>
      <c r="Q1194" s="2" t="s">
        <v>234</v>
      </c>
      <c r="R1194" s="2" t="s">
        <v>235</v>
      </c>
      <c r="S1194" s="2" t="s">
        <v>4722</v>
      </c>
      <c r="T1194" s="2" t="s">
        <v>501</v>
      </c>
      <c r="U1194" s="2" t="s">
        <v>742</v>
      </c>
      <c r="V1194" s="2" t="s">
        <v>420</v>
      </c>
      <c r="W1194" s="2" t="s">
        <v>682</v>
      </c>
      <c r="X1194" s="2" t="s">
        <v>235</v>
      </c>
      <c r="Y1194" s="2" t="s">
        <v>4716</v>
      </c>
      <c r="Z1194" s="4">
        <v>157</v>
      </c>
      <c r="AA1194" s="4">
        <f>=ROUNDDOWN(78.5,0)</f>
      </c>
      <c r="AB1194" s="5">
        <v>2</v>
      </c>
      <c r="AC1194" s="2" t="s">
        <v>235</v>
      </c>
      <c r="AD1194" s="4"/>
      <c r="AE1194" s="4"/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235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235</v>
      </c>
      <c r="BD1194" s="8" t="s">
        <v>235</v>
      </c>
      <c r="BE1194" s="4" t="s">
        <v>235</v>
      </c>
      <c r="BF1194" s="8" t="s">
        <v>235</v>
      </c>
      <c r="BG1194" s="7" t="s">
        <v>235</v>
      </c>
      <c r="BH1194" s="7" t="s">
        <v>235</v>
      </c>
      <c r="BI1194" s="7"/>
      <c r="BJ1194" s="4">
        <v>5</v>
      </c>
      <c r="BK1194" s="8">
        <v>289.4</v>
      </c>
      <c r="BL1194" s="2" t="s">
        <v>4723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4710</v>
      </c>
      <c r="BV1194" s="2" t="s">
        <v>243</v>
      </c>
      <c r="BW1194" s="2" t="s">
        <v>235</v>
      </c>
      <c r="BX1194" s="2" t="s">
        <v>383</v>
      </c>
      <c r="BY1194" s="2" t="s">
        <v>245</v>
      </c>
      <c r="BZ1194" s="2" t="s">
        <v>232</v>
      </c>
      <c r="CA1194" s="2" t="s">
        <v>4717</v>
      </c>
      <c r="CB1194" s="2" t="s">
        <v>687</v>
      </c>
      <c r="CC1194" s="2" t="s">
        <v>248</v>
      </c>
      <c r="CD1194" s="2" t="s">
        <v>248</v>
      </c>
      <c r="CE1194" s="2" t="s">
        <v>235</v>
      </c>
      <c r="CF1194" s="4">
        <v>157</v>
      </c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>
        <v>158</v>
      </c>
      <c r="GE1194" s="4">
        <v>155</v>
      </c>
      <c r="GF1194" s="4">
        <v>154</v>
      </c>
      <c r="GG1194" s="4">
        <v>152</v>
      </c>
      <c r="GH1194" s="4">
        <v>150</v>
      </c>
      <c r="GI1194" s="4">
        <v>150</v>
      </c>
      <c r="GJ1194" s="4">
        <v>146</v>
      </c>
      <c r="GK1194" s="4">
        <v>144</v>
      </c>
      <c r="GL1194" s="4">
        <v>141</v>
      </c>
      <c r="GM1194" s="4">
        <v>140</v>
      </c>
      <c r="GN1194" s="4">
        <v>138</v>
      </c>
      <c r="GO1194" s="4">
        <v>135</v>
      </c>
      <c r="GP1194" s="4">
        <v>132</v>
      </c>
      <c r="GQ1194" s="4">
        <v>129</v>
      </c>
      <c r="GR1194" s="4">
        <v>120</v>
      </c>
      <c r="GS1194" s="4">
        <v>115</v>
      </c>
      <c r="GT1194" s="4">
        <v>111</v>
      </c>
      <c r="GU1194" s="4">
        <v>110</v>
      </c>
      <c r="GV1194" s="4">
        <v>107</v>
      </c>
      <c r="GW1194" s="4">
        <v>106</v>
      </c>
      <c r="GX1194" s="4">
        <v>104</v>
      </c>
      <c r="GY1194" s="4">
        <v>103</v>
      </c>
      <c r="GZ1194" s="4">
        <v>101</v>
      </c>
      <c r="HA1194" s="4">
        <v>101</v>
      </c>
      <c r="HB1194" s="4">
        <v>99</v>
      </c>
      <c r="HC1194" s="4">
        <v>94</v>
      </c>
      <c r="HD1194" s="19">
        <v>79</v>
      </c>
      <c r="HE1194" s="19">
        <v>155</v>
      </c>
      <c r="HF1194" s="19">
        <v>77</v>
      </c>
      <c r="HG1194" s="19">
        <v>76</v>
      </c>
      <c r="HH1194" s="19">
        <v>75</v>
      </c>
      <c r="HI1194" s="19">
        <v>75</v>
      </c>
      <c r="HJ1194" s="19">
        <v>73</v>
      </c>
      <c r="HK1194" s="19">
        <v>72</v>
      </c>
      <c r="HL1194" s="19">
        <v>70.5</v>
      </c>
      <c r="HM1194" s="19">
        <v>46.7</v>
      </c>
      <c r="HN1194" s="19">
        <v>34.5</v>
      </c>
      <c r="HO1194" s="19">
        <v>27</v>
      </c>
      <c r="HP1194" s="19">
        <v>26.4</v>
      </c>
      <c r="HQ1194" s="19">
        <v>25.8</v>
      </c>
      <c r="HR1194" s="19">
        <v>40</v>
      </c>
      <c r="HS1194" s="19">
        <v>57.5</v>
      </c>
      <c r="HT1194" s="19">
        <v>55.5</v>
      </c>
      <c r="HU1194" s="19">
        <v>55</v>
      </c>
      <c r="HV1194" s="19">
        <v>53.5</v>
      </c>
      <c r="HW1194" s="19">
        <v>106</v>
      </c>
      <c r="HX1194" s="19">
        <v>104</v>
      </c>
      <c r="HY1194" s="19">
        <v>51.5</v>
      </c>
      <c r="HZ1194" s="19">
        <v>50.5</v>
      </c>
      <c r="IA1194" s="19">
        <v>33.7</v>
      </c>
      <c r="IB1194" s="19">
        <v>33</v>
      </c>
      <c r="IC1194" s="19">
        <v>47</v>
      </c>
    </row>
    <row r="1195">
      <c r="A1195" s="2" t="s">
        <v>4724</v>
      </c>
      <c r="B1195" s="2" t="s">
        <v>800</v>
      </c>
      <c r="C1195" s="2" t="s">
        <v>893</v>
      </c>
      <c r="D1195" s="2" t="s">
        <v>894</v>
      </c>
      <c r="E1195" s="2" t="s">
        <v>895</v>
      </c>
      <c r="F1195" s="2" t="s">
        <v>4725</v>
      </c>
      <c r="G1195" s="2" t="s">
        <v>4725</v>
      </c>
      <c r="H1195" s="2" t="s">
        <v>4725</v>
      </c>
      <c r="I1195" s="2" t="s">
        <v>4726</v>
      </c>
      <c r="J1195" s="2" t="s">
        <v>897</v>
      </c>
      <c r="K1195" s="2" t="s">
        <v>378</v>
      </c>
      <c r="L1195" s="3">
        <v>18.18</v>
      </c>
      <c r="M1195" s="3">
        <v>19.09</v>
      </c>
      <c r="N1195" s="3">
        <v>39.99</v>
      </c>
      <c r="O1195" s="2" t="s">
        <v>485</v>
      </c>
      <c r="P1195" s="2" t="s">
        <v>408</v>
      </c>
      <c r="Q1195" s="2" t="s">
        <v>234</v>
      </c>
      <c r="R1195" s="2" t="s">
        <v>235</v>
      </c>
      <c r="S1195" s="2" t="s">
        <v>235</v>
      </c>
      <c r="T1195" s="2" t="s">
        <v>235</v>
      </c>
      <c r="U1195" s="2" t="s">
        <v>807</v>
      </c>
      <c r="V1195" s="2" t="s">
        <v>808</v>
      </c>
      <c r="W1195" s="2" t="s">
        <v>682</v>
      </c>
      <c r="X1195" s="2" t="s">
        <v>235</v>
      </c>
      <c r="Y1195" s="2" t="s">
        <v>899</v>
      </c>
      <c r="Z1195" s="4">
        <v>93</v>
      </c>
      <c r="AA1195" s="4">
        <f>=ROUNDDOWN(116.25,0)</f>
      </c>
      <c r="AB1195" s="5">
        <v>0.8</v>
      </c>
      <c r="AC1195" s="2" t="s">
        <v>235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235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>
        <v>1</v>
      </c>
      <c r="BK1195" s="8">
        <v>13.25</v>
      </c>
      <c r="BL1195" s="2" t="s">
        <v>1122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4727</v>
      </c>
      <c r="BV1195" s="2" t="s">
        <v>813</v>
      </c>
      <c r="BW1195" s="2" t="s">
        <v>235</v>
      </c>
      <c r="BX1195" s="2" t="s">
        <v>414</v>
      </c>
      <c r="BY1195" s="2" t="s">
        <v>245</v>
      </c>
      <c r="BZ1195" s="2" t="s">
        <v>232</v>
      </c>
      <c r="CA1195" s="2" t="s">
        <v>902</v>
      </c>
      <c r="CB1195" s="2" t="s">
        <v>4728</v>
      </c>
      <c r="CC1195" s="2" t="s">
        <v>248</v>
      </c>
      <c r="CD1195" s="2" t="s">
        <v>248</v>
      </c>
      <c r="CE1195" s="2" t="s">
        <v>235</v>
      </c>
      <c r="CF1195" s="4"/>
      <c r="CG1195" s="4">
        <v>93</v>
      </c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>
        <v>93</v>
      </c>
      <c r="GE1195" s="4">
        <v>85</v>
      </c>
      <c r="GF1195" s="4">
        <v>84</v>
      </c>
      <c r="GG1195" s="4">
        <v>83</v>
      </c>
      <c r="GH1195" s="4">
        <v>82</v>
      </c>
      <c r="GI1195" s="4">
        <v>81</v>
      </c>
      <c r="GJ1195" s="4">
        <v>80</v>
      </c>
      <c r="GK1195" s="4">
        <v>79</v>
      </c>
      <c r="GL1195" s="4">
        <v>78</v>
      </c>
      <c r="GM1195" s="4">
        <v>77</v>
      </c>
      <c r="GN1195" s="4">
        <v>76</v>
      </c>
      <c r="GO1195" s="4">
        <v>75</v>
      </c>
      <c r="GP1195" s="4">
        <v>74</v>
      </c>
      <c r="GQ1195" s="4">
        <v>73</v>
      </c>
      <c r="GR1195" s="4">
        <v>72</v>
      </c>
      <c r="GS1195" s="4">
        <v>71</v>
      </c>
      <c r="GT1195" s="4">
        <v>70</v>
      </c>
      <c r="GU1195" s="4">
        <v>69</v>
      </c>
      <c r="GV1195" s="4">
        <v>68</v>
      </c>
      <c r="GW1195" s="4">
        <v>67</v>
      </c>
      <c r="GX1195" s="4">
        <v>66</v>
      </c>
      <c r="GY1195" s="4">
        <v>65</v>
      </c>
      <c r="GZ1195" s="4">
        <v>64</v>
      </c>
      <c r="HA1195" s="4">
        <v>63</v>
      </c>
      <c r="HB1195" s="4">
        <v>62</v>
      </c>
      <c r="HC1195" s="4">
        <v>61</v>
      </c>
      <c r="HD1195" s="19">
        <v>31</v>
      </c>
      <c r="HE1195" s="19">
        <v>85</v>
      </c>
      <c r="HF1195" s="19">
        <v>84</v>
      </c>
      <c r="HG1195" s="19">
        <v>83</v>
      </c>
      <c r="HH1195" s="19">
        <v>82</v>
      </c>
      <c r="HI1195" s="19">
        <v>81</v>
      </c>
      <c r="HJ1195" s="19">
        <v>80</v>
      </c>
      <c r="HK1195" s="19">
        <v>79</v>
      </c>
      <c r="HL1195" s="19">
        <v>78</v>
      </c>
      <c r="HM1195" s="19">
        <v>77</v>
      </c>
      <c r="HN1195" s="19">
        <v>76</v>
      </c>
      <c r="HO1195" s="19">
        <v>75</v>
      </c>
      <c r="HP1195" s="19">
        <v>74</v>
      </c>
      <c r="HQ1195" s="19">
        <v>73</v>
      </c>
      <c r="HR1195" s="19">
        <v>72</v>
      </c>
      <c r="HS1195" s="19">
        <v>71</v>
      </c>
      <c r="HT1195" s="19">
        <v>70</v>
      </c>
      <c r="HU1195" s="19">
        <v>69</v>
      </c>
      <c r="HV1195" s="19">
        <v>68</v>
      </c>
      <c r="HW1195" s="19">
        <v>67</v>
      </c>
      <c r="HX1195" s="19">
        <v>66</v>
      </c>
      <c r="HY1195" s="19">
        <v>65</v>
      </c>
      <c r="HZ1195" s="19">
        <v>64</v>
      </c>
      <c r="IA1195" s="19">
        <v>63</v>
      </c>
      <c r="IB1195" s="19">
        <v>62</v>
      </c>
      <c r="IC1195" s="19">
        <v>61</v>
      </c>
    </row>
    <row r="1196">
      <c r="A1196" s="2" t="s">
        <v>4729</v>
      </c>
      <c r="B1196" s="2" t="s">
        <v>871</v>
      </c>
      <c r="C1196" s="2" t="s">
        <v>324</v>
      </c>
      <c r="D1196" s="2" t="s">
        <v>361</v>
      </c>
      <c r="E1196" s="2" t="s">
        <v>872</v>
      </c>
      <c r="F1196" s="2" t="s">
        <v>4730</v>
      </c>
      <c r="G1196" s="2" t="s">
        <v>4731</v>
      </c>
      <c r="H1196" s="2" t="s">
        <v>4732</v>
      </c>
      <c r="I1196" s="2" t="s">
        <v>4733</v>
      </c>
      <c r="J1196" s="2" t="s">
        <v>365</v>
      </c>
      <c r="K1196" s="2" t="s">
        <v>4734</v>
      </c>
      <c r="L1196" s="3">
        <v>41.14</v>
      </c>
      <c r="M1196" s="3">
        <v>43.2</v>
      </c>
      <c r="N1196" s="3">
        <v>89.99</v>
      </c>
      <c r="O1196" s="2" t="s">
        <v>232</v>
      </c>
      <c r="P1196" s="2" t="s">
        <v>233</v>
      </c>
      <c r="Q1196" s="2" t="s">
        <v>234</v>
      </c>
      <c r="R1196" s="2" t="s">
        <v>235</v>
      </c>
      <c r="S1196" s="2" t="s">
        <v>4735</v>
      </c>
      <c r="T1196" s="2" t="s">
        <v>1051</v>
      </c>
      <c r="U1196" s="2" t="s">
        <v>552</v>
      </c>
      <c r="V1196" s="2" t="s">
        <v>880</v>
      </c>
      <c r="W1196" s="2" t="s">
        <v>881</v>
      </c>
      <c r="X1196" s="2" t="s">
        <v>1682</v>
      </c>
      <c r="Y1196" s="2" t="s">
        <v>4736</v>
      </c>
      <c r="Z1196" s="4">
        <v>2</v>
      </c>
      <c r="AA1196" s="4">
        <f>=ROUNDDOWN(0.125,0)</f>
      </c>
      <c r="AB1196" s="5">
        <v>16</v>
      </c>
      <c r="AC1196" s="2" t="s">
        <v>4737</v>
      </c>
      <c r="AD1196" s="4">
        <v>270</v>
      </c>
      <c r="AE1196" s="4">
        <v>270</v>
      </c>
      <c r="AF1196" s="6">
        <v>78</v>
      </c>
      <c r="AG1196" s="6"/>
      <c r="AH1196" s="7">
        <v>0.3548</v>
      </c>
      <c r="AI1196" s="4"/>
      <c r="AJ1196" s="4">
        <f>=ROUNDDOWN({0},0)</f>
      </c>
      <c r="AK1196" s="5"/>
      <c r="AL1196" s="2" t="s">
        <v>235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235</v>
      </c>
      <c r="AW1196" s="8" t="s">
        <v>235</v>
      </c>
      <c r="AX1196" s="4" t="s">
        <v>235</v>
      </c>
      <c r="AY1196" s="8" t="s">
        <v>235</v>
      </c>
      <c r="AZ1196" s="7" t="s">
        <v>235</v>
      </c>
      <c r="BA1196" s="7" t="s">
        <v>235</v>
      </c>
      <c r="BB1196" s="7" t="s">
        <v>235</v>
      </c>
      <c r="BC1196" s="4" t="s">
        <v>235</v>
      </c>
      <c r="BD1196" s="8" t="s">
        <v>235</v>
      </c>
      <c r="BE1196" s="4" t="s">
        <v>235</v>
      </c>
      <c r="BF1196" s="8" t="s">
        <v>235</v>
      </c>
      <c r="BG1196" s="7" t="s">
        <v>235</v>
      </c>
      <c r="BH1196" s="7" t="s">
        <v>235</v>
      </c>
      <c r="BI1196" s="7"/>
      <c r="BJ1196" s="4">
        <v>10</v>
      </c>
      <c r="BK1196" s="8">
        <v>466.5</v>
      </c>
      <c r="BL1196" s="2" t="s">
        <v>4738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4739</v>
      </c>
      <c r="BV1196" s="2" t="s">
        <v>243</v>
      </c>
      <c r="BW1196" s="2" t="s">
        <v>235</v>
      </c>
      <c r="BX1196" s="2" t="s">
        <v>244</v>
      </c>
      <c r="BY1196" s="2" t="s">
        <v>245</v>
      </c>
      <c r="BZ1196" s="2" t="s">
        <v>232</v>
      </c>
      <c r="CA1196" s="2" t="s">
        <v>1609</v>
      </c>
      <c r="CB1196" s="2" t="s">
        <v>4740</v>
      </c>
      <c r="CC1196" s="2" t="s">
        <v>248</v>
      </c>
      <c r="CD1196" s="2" t="s">
        <v>248</v>
      </c>
      <c r="CE1196" s="2" t="s">
        <v>235</v>
      </c>
      <c r="CF1196" s="4">
        <v>2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>
        <v>270</v>
      </c>
      <c r="FZ1196" s="4"/>
      <c r="GA1196" s="4"/>
      <c r="GB1196" s="4"/>
      <c r="GC1196" s="4"/>
      <c r="GD1196" s="4">
        <v>3</v>
      </c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>
        <v>270</v>
      </c>
      <c r="GW1196" s="4">
        <v>247</v>
      </c>
      <c r="GX1196" s="4">
        <v>231</v>
      </c>
      <c r="GY1196" s="4">
        <v>215</v>
      </c>
      <c r="GZ1196" s="4">
        <v>199</v>
      </c>
      <c r="HA1196" s="4">
        <v>183</v>
      </c>
      <c r="HB1196" s="4">
        <v>167</v>
      </c>
      <c r="HC1196" s="4">
        <v>149</v>
      </c>
      <c r="HD1196" s="19">
        <v>0.2</v>
      </c>
      <c r="HE1196" s="20">
        <v>0</v>
      </c>
      <c r="HF1196" s="20">
        <v>0</v>
      </c>
      <c r="HG1196" s="20">
        <v>0</v>
      </c>
      <c r="HH1196" s="20">
        <v>0</v>
      </c>
      <c r="HI1196" s="20">
        <v>0</v>
      </c>
      <c r="HJ1196" s="20">
        <v>0</v>
      </c>
      <c r="HK1196" s="20">
        <v>0</v>
      </c>
      <c r="HL1196" s="20">
        <v>0</v>
      </c>
      <c r="HM1196" s="20">
        <v>0</v>
      </c>
      <c r="HN1196" s="20">
        <v>0</v>
      </c>
      <c r="HO1196" s="20">
        <v>0</v>
      </c>
      <c r="HP1196" s="20">
        <v>0</v>
      </c>
      <c r="HQ1196" s="20">
        <v>0</v>
      </c>
      <c r="HR1196" s="20">
        <v>0</v>
      </c>
      <c r="HS1196" s="20">
        <v>0</v>
      </c>
      <c r="HT1196" s="20">
        <v>0</v>
      </c>
      <c r="HU1196" s="20">
        <v>0</v>
      </c>
      <c r="HV1196" s="19">
        <v>15</v>
      </c>
      <c r="HW1196" s="19">
        <v>15.4</v>
      </c>
      <c r="HX1196" s="19">
        <v>14.4</v>
      </c>
      <c r="HY1196" s="19">
        <v>13.4</v>
      </c>
      <c r="HZ1196" s="19">
        <v>12.4</v>
      </c>
      <c r="IA1196" s="19">
        <v>11.4</v>
      </c>
      <c r="IB1196" s="19">
        <v>10.4</v>
      </c>
      <c r="IC1196" s="19">
        <v>9.3</v>
      </c>
    </row>
    <row r="1197">
      <c r="A1197" s="2" t="s">
        <v>4741</v>
      </c>
      <c r="B1197" s="2" t="s">
        <v>871</v>
      </c>
      <c r="C1197" s="2" t="s">
        <v>324</v>
      </c>
      <c r="D1197" s="2" t="s">
        <v>906</v>
      </c>
      <c r="E1197" s="2" t="s">
        <v>907</v>
      </c>
      <c r="F1197" s="2" t="s">
        <v>4730</v>
      </c>
      <c r="G1197" s="2" t="s">
        <v>4731</v>
      </c>
      <c r="H1197" s="2" t="s">
        <v>4732</v>
      </c>
      <c r="I1197" s="2" t="s">
        <v>2210</v>
      </c>
      <c r="J1197" s="2" t="s">
        <v>365</v>
      </c>
      <c r="K1197" s="2" t="s">
        <v>4734</v>
      </c>
      <c r="L1197" s="3">
        <v>32</v>
      </c>
      <c r="M1197" s="3">
        <v>33.6</v>
      </c>
      <c r="N1197" s="3">
        <v>69.99</v>
      </c>
      <c r="O1197" s="2" t="s">
        <v>232</v>
      </c>
      <c r="P1197" s="2" t="s">
        <v>233</v>
      </c>
      <c r="Q1197" s="2" t="s">
        <v>234</v>
      </c>
      <c r="R1197" s="2" t="s">
        <v>235</v>
      </c>
      <c r="S1197" s="2" t="s">
        <v>4735</v>
      </c>
      <c r="T1197" s="2" t="s">
        <v>1051</v>
      </c>
      <c r="U1197" s="2" t="s">
        <v>552</v>
      </c>
      <c r="V1197" s="2" t="s">
        <v>880</v>
      </c>
      <c r="W1197" s="2" t="s">
        <v>881</v>
      </c>
      <c r="X1197" s="2" t="s">
        <v>1682</v>
      </c>
      <c r="Y1197" s="2" t="s">
        <v>4736</v>
      </c>
      <c r="Z1197" s="4">
        <v>105</v>
      </c>
      <c r="AA1197" s="4">
        <f>=ROUNDDOWN(22.8260869565217,0)</f>
      </c>
      <c r="AB1197" s="5">
        <v>4.6</v>
      </c>
      <c r="AC1197" s="2" t="s">
        <v>4737</v>
      </c>
      <c r="AD1197" s="4">
        <v>100</v>
      </c>
      <c r="AE1197" s="4">
        <v>100</v>
      </c>
      <c r="AF1197" s="6">
        <v>78</v>
      </c>
      <c r="AG1197" s="6"/>
      <c r="AH1197" s="7">
        <v>1</v>
      </c>
      <c r="AI1197" s="4"/>
      <c r="AJ1197" s="4">
        <f>=ROUNDDOWN({0},0)</f>
      </c>
      <c r="AK1197" s="5"/>
      <c r="AL1197" s="2" t="s">
        <v>235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235</v>
      </c>
      <c r="AW1197" s="8" t="s">
        <v>235</v>
      </c>
      <c r="AX1197" s="4" t="s">
        <v>235</v>
      </c>
      <c r="AY1197" s="8" t="s">
        <v>235</v>
      </c>
      <c r="AZ1197" s="7" t="s">
        <v>235</v>
      </c>
      <c r="BA1197" s="7" t="s">
        <v>235</v>
      </c>
      <c r="BB1197" s="7" t="s">
        <v>235</v>
      </c>
      <c r="BC1197" s="4" t="s">
        <v>235</v>
      </c>
      <c r="BD1197" s="8" t="s">
        <v>235</v>
      </c>
      <c r="BE1197" s="4" t="s">
        <v>235</v>
      </c>
      <c r="BF1197" s="8" t="s">
        <v>235</v>
      </c>
      <c r="BG1197" s="7" t="s">
        <v>235</v>
      </c>
      <c r="BH1197" s="7" t="s">
        <v>235</v>
      </c>
      <c r="BI1197" s="7"/>
      <c r="BJ1197" s="4">
        <v>9</v>
      </c>
      <c r="BK1197" s="8">
        <v>332.3</v>
      </c>
      <c r="BL1197" s="2" t="s">
        <v>4344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4742</v>
      </c>
      <c r="BV1197" s="2" t="s">
        <v>243</v>
      </c>
      <c r="BW1197" s="2" t="s">
        <v>235</v>
      </c>
      <c r="BX1197" s="2" t="s">
        <v>244</v>
      </c>
      <c r="BY1197" s="2" t="s">
        <v>245</v>
      </c>
      <c r="BZ1197" s="2" t="s">
        <v>232</v>
      </c>
      <c r="CA1197" s="2" t="s">
        <v>2845</v>
      </c>
      <c r="CB1197" s="2" t="s">
        <v>1426</v>
      </c>
      <c r="CC1197" s="2" t="s">
        <v>248</v>
      </c>
      <c r="CD1197" s="2" t="s">
        <v>248</v>
      </c>
      <c r="CE1197" s="2" t="s">
        <v>235</v>
      </c>
      <c r="CF1197" s="4">
        <v>105</v>
      </c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>
        <v>100</v>
      </c>
      <c r="FZ1197" s="4"/>
      <c r="GA1197" s="4"/>
      <c r="GB1197" s="4"/>
      <c r="GC1197" s="4"/>
      <c r="GD1197" s="4">
        <v>108</v>
      </c>
      <c r="GE1197" s="4">
        <v>102</v>
      </c>
      <c r="GF1197" s="4">
        <v>98</v>
      </c>
      <c r="GG1197" s="4">
        <v>94</v>
      </c>
      <c r="GH1197" s="4">
        <v>90</v>
      </c>
      <c r="GI1197" s="4">
        <v>86</v>
      </c>
      <c r="GJ1197" s="4">
        <v>82</v>
      </c>
      <c r="GK1197" s="4">
        <v>78</v>
      </c>
      <c r="GL1197" s="4">
        <v>74</v>
      </c>
      <c r="GM1197" s="4">
        <v>70</v>
      </c>
      <c r="GN1197" s="4">
        <v>66</v>
      </c>
      <c r="GO1197" s="4">
        <v>60</v>
      </c>
      <c r="GP1197" s="4">
        <v>54</v>
      </c>
      <c r="GQ1197" s="4">
        <v>42</v>
      </c>
      <c r="GR1197" s="4">
        <v>35</v>
      </c>
      <c r="GS1197" s="4">
        <v>29</v>
      </c>
      <c r="GT1197" s="4">
        <v>25</v>
      </c>
      <c r="GU1197" s="4">
        <v>22</v>
      </c>
      <c r="GV1197" s="4">
        <v>118</v>
      </c>
      <c r="GW1197" s="4">
        <v>114</v>
      </c>
      <c r="GX1197" s="4">
        <v>110</v>
      </c>
      <c r="GY1197" s="4">
        <v>106</v>
      </c>
      <c r="GZ1197" s="4">
        <v>102</v>
      </c>
      <c r="HA1197" s="4">
        <v>98</v>
      </c>
      <c r="HB1197" s="4">
        <v>94</v>
      </c>
      <c r="HC1197" s="4">
        <v>90</v>
      </c>
      <c r="HD1197" s="19">
        <v>27</v>
      </c>
      <c r="HE1197" s="19">
        <v>25.5</v>
      </c>
      <c r="HF1197" s="19">
        <v>24.5</v>
      </c>
      <c r="HG1197" s="19">
        <v>23.5</v>
      </c>
      <c r="HH1197" s="19">
        <v>22.5</v>
      </c>
      <c r="HI1197" s="19">
        <v>21.5</v>
      </c>
      <c r="HJ1197" s="19">
        <v>20.5</v>
      </c>
      <c r="HK1197" s="19">
        <v>19.5</v>
      </c>
      <c r="HL1197" s="19">
        <v>14.8</v>
      </c>
      <c r="HM1197" s="19">
        <v>10</v>
      </c>
      <c r="HN1197" s="19">
        <v>8.3</v>
      </c>
      <c r="HO1197" s="19">
        <v>7.5</v>
      </c>
      <c r="HP1197" s="19">
        <v>7.7</v>
      </c>
      <c r="HQ1197" s="19">
        <v>8.4</v>
      </c>
      <c r="HR1197" s="19">
        <v>8.8</v>
      </c>
      <c r="HS1197" s="19">
        <v>7.3</v>
      </c>
      <c r="HT1197" s="19">
        <v>6.3</v>
      </c>
      <c r="HU1197" s="19">
        <v>5.5</v>
      </c>
      <c r="HV1197" s="19">
        <v>29.5</v>
      </c>
      <c r="HW1197" s="19">
        <v>28.5</v>
      </c>
      <c r="HX1197" s="19">
        <v>27.5</v>
      </c>
      <c r="HY1197" s="19">
        <v>26.5</v>
      </c>
      <c r="HZ1197" s="19">
        <v>25.5</v>
      </c>
      <c r="IA1197" s="19">
        <v>24.5</v>
      </c>
      <c r="IB1197" s="19">
        <v>23.5</v>
      </c>
      <c r="IC1197" s="19">
        <v>22.5</v>
      </c>
    </row>
    <row r="1198">
      <c r="A1198" s="2" t="s">
        <v>4743</v>
      </c>
      <c r="B1198" s="2" t="s">
        <v>871</v>
      </c>
      <c r="C1198" s="2" t="s">
        <v>324</v>
      </c>
      <c r="D1198" s="2" t="s">
        <v>361</v>
      </c>
      <c r="E1198" s="2" t="s">
        <v>872</v>
      </c>
      <c r="F1198" s="2" t="s">
        <v>4730</v>
      </c>
      <c r="G1198" s="2" t="s">
        <v>4731</v>
      </c>
      <c r="H1198" s="2" t="s">
        <v>4732</v>
      </c>
      <c r="I1198" s="2" t="s">
        <v>4733</v>
      </c>
      <c r="J1198" s="2" t="s">
        <v>372</v>
      </c>
      <c r="K1198" s="2" t="s">
        <v>4734</v>
      </c>
      <c r="L1198" s="3">
        <v>45.71</v>
      </c>
      <c r="M1198" s="3">
        <v>48</v>
      </c>
      <c r="N1198" s="3">
        <v>99.99</v>
      </c>
      <c r="O1198" s="2" t="s">
        <v>232</v>
      </c>
      <c r="P1198" s="2" t="s">
        <v>233</v>
      </c>
      <c r="Q1198" s="2" t="s">
        <v>234</v>
      </c>
      <c r="R1198" s="2" t="s">
        <v>235</v>
      </c>
      <c r="S1198" s="2" t="s">
        <v>4735</v>
      </c>
      <c r="T1198" s="2" t="s">
        <v>1051</v>
      </c>
      <c r="U1198" s="2" t="s">
        <v>552</v>
      </c>
      <c r="V1198" s="2" t="s">
        <v>880</v>
      </c>
      <c r="W1198" s="2" t="s">
        <v>881</v>
      </c>
      <c r="X1198" s="2" t="s">
        <v>1682</v>
      </c>
      <c r="Y1198" s="2" t="s">
        <v>4736</v>
      </c>
      <c r="Z1198" s="4"/>
      <c r="AA1198" s="4">
        <f>=ROUNDDOWN({0},0)</f>
      </c>
      <c r="AB1198" s="5">
        <v>18.6</v>
      </c>
      <c r="AC1198" s="2" t="s">
        <v>4737</v>
      </c>
      <c r="AD1198" s="4">
        <v>320</v>
      </c>
      <c r="AE1198" s="4">
        <v>320</v>
      </c>
      <c r="AF1198" s="6">
        <v>78</v>
      </c>
      <c r="AG1198" s="6"/>
      <c r="AH1198" s="7">
        <v>0</v>
      </c>
      <c r="AI1198" s="4"/>
      <c r="AJ1198" s="4">
        <f>=ROUNDDOWN({0},0)</f>
      </c>
      <c r="AK1198" s="5"/>
      <c r="AL1198" s="2" t="s">
        <v>235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235</v>
      </c>
      <c r="AW1198" s="8" t="s">
        <v>235</v>
      </c>
      <c r="AX1198" s="4" t="s">
        <v>235</v>
      </c>
      <c r="AY1198" s="8" t="s">
        <v>235</v>
      </c>
      <c r="AZ1198" s="7" t="s">
        <v>235</v>
      </c>
      <c r="BA1198" s="7" t="s">
        <v>235</v>
      </c>
      <c r="BB1198" s="7" t="s">
        <v>235</v>
      </c>
      <c r="BC1198" s="4" t="s">
        <v>235</v>
      </c>
      <c r="BD1198" s="8" t="s">
        <v>235</v>
      </c>
      <c r="BE1198" s="4" t="s">
        <v>235</v>
      </c>
      <c r="BF1198" s="8" t="s">
        <v>235</v>
      </c>
      <c r="BG1198" s="7" t="s">
        <v>235</v>
      </c>
      <c r="BH1198" s="7" t="s">
        <v>235</v>
      </c>
      <c r="BI1198" s="7"/>
      <c r="BJ1198" s="4"/>
      <c r="BK1198" s="8"/>
      <c r="BL1198" s="2" t="s">
        <v>235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4739</v>
      </c>
      <c r="BV1198" s="2" t="s">
        <v>243</v>
      </c>
      <c r="BW1198" s="2" t="s">
        <v>235</v>
      </c>
      <c r="BX1198" s="2" t="s">
        <v>244</v>
      </c>
      <c r="BY1198" s="2" t="s">
        <v>245</v>
      </c>
      <c r="BZ1198" s="2" t="s">
        <v>232</v>
      </c>
      <c r="CA1198" s="2" t="s">
        <v>1609</v>
      </c>
      <c r="CB1198" s="2" t="s">
        <v>3811</v>
      </c>
      <c r="CC1198" s="2" t="s">
        <v>248</v>
      </c>
      <c r="CD1198" s="2" t="s">
        <v>248</v>
      </c>
      <c r="CE1198" s="2" t="s">
        <v>235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>
        <v>320</v>
      </c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>
        <v>320</v>
      </c>
      <c r="GW1198" s="4">
        <v>294</v>
      </c>
      <c r="GX1198" s="4">
        <v>275</v>
      </c>
      <c r="GY1198" s="4">
        <v>256</v>
      </c>
      <c r="GZ1198" s="4">
        <v>237</v>
      </c>
      <c r="HA1198" s="4">
        <v>218</v>
      </c>
      <c r="HB1198" s="4">
        <v>199</v>
      </c>
      <c r="HC1198" s="4">
        <v>178</v>
      </c>
      <c r="HD1198" s="20">
        <v>0</v>
      </c>
      <c r="HE1198" s="20">
        <v>0</v>
      </c>
      <c r="HF1198" s="20">
        <v>0</v>
      </c>
      <c r="HG1198" s="20">
        <v>0</v>
      </c>
      <c r="HH1198" s="20">
        <v>0</v>
      </c>
      <c r="HI1198" s="20">
        <v>0</v>
      </c>
      <c r="HJ1198" s="20">
        <v>0</v>
      </c>
      <c r="HK1198" s="20">
        <v>0</v>
      </c>
      <c r="HL1198" s="20">
        <v>0</v>
      </c>
      <c r="HM1198" s="20">
        <v>0</v>
      </c>
      <c r="HN1198" s="20">
        <v>0</v>
      </c>
      <c r="HO1198" s="20">
        <v>0</v>
      </c>
      <c r="HP1198" s="20">
        <v>0</v>
      </c>
      <c r="HQ1198" s="20">
        <v>0</v>
      </c>
      <c r="HR1198" s="20">
        <v>0</v>
      </c>
      <c r="HS1198" s="20">
        <v>0</v>
      </c>
      <c r="HT1198" s="20">
        <v>0</v>
      </c>
      <c r="HU1198" s="20">
        <v>0</v>
      </c>
      <c r="HV1198" s="19">
        <v>15.2</v>
      </c>
      <c r="HW1198" s="19">
        <v>15.5</v>
      </c>
      <c r="HX1198" s="19">
        <v>14.5</v>
      </c>
      <c r="HY1198" s="19">
        <v>12.8</v>
      </c>
      <c r="HZ1198" s="19">
        <v>11.9</v>
      </c>
      <c r="IA1198" s="19">
        <v>10.9</v>
      </c>
      <c r="IB1198" s="19">
        <v>10</v>
      </c>
      <c r="IC1198" s="19">
        <v>9.4</v>
      </c>
    </row>
    <row r="1199">
      <c r="A1199" s="2" t="s">
        <v>4744</v>
      </c>
      <c r="B1199" s="2" t="s">
        <v>871</v>
      </c>
      <c r="C1199" s="2" t="s">
        <v>324</v>
      </c>
      <c r="D1199" s="2" t="s">
        <v>906</v>
      </c>
      <c r="E1199" s="2" t="s">
        <v>907</v>
      </c>
      <c r="F1199" s="2" t="s">
        <v>4730</v>
      </c>
      <c r="G1199" s="2" t="s">
        <v>4731</v>
      </c>
      <c r="H1199" s="2" t="s">
        <v>4732</v>
      </c>
      <c r="I1199" s="2" t="s">
        <v>2210</v>
      </c>
      <c r="J1199" s="2" t="s">
        <v>372</v>
      </c>
      <c r="K1199" s="2" t="s">
        <v>4734</v>
      </c>
      <c r="L1199" s="3">
        <v>36.57</v>
      </c>
      <c r="M1199" s="3">
        <v>38.4</v>
      </c>
      <c r="N1199" s="3">
        <v>79.99</v>
      </c>
      <c r="O1199" s="2" t="s">
        <v>232</v>
      </c>
      <c r="P1199" s="2" t="s">
        <v>233</v>
      </c>
      <c r="Q1199" s="2" t="s">
        <v>234</v>
      </c>
      <c r="R1199" s="2" t="s">
        <v>235</v>
      </c>
      <c r="S1199" s="2" t="s">
        <v>4735</v>
      </c>
      <c r="T1199" s="2" t="s">
        <v>1051</v>
      </c>
      <c r="U1199" s="2" t="s">
        <v>552</v>
      </c>
      <c r="V1199" s="2" t="s">
        <v>880</v>
      </c>
      <c r="W1199" s="2" t="s">
        <v>881</v>
      </c>
      <c r="X1199" s="2" t="s">
        <v>1682</v>
      </c>
      <c r="Y1199" s="2" t="s">
        <v>4736</v>
      </c>
      <c r="Z1199" s="4">
        <v>23</v>
      </c>
      <c r="AA1199" s="4">
        <f>=ROUNDDOWN(2.875,0)</f>
      </c>
      <c r="AB1199" s="5">
        <v>8</v>
      </c>
      <c r="AC1199" s="2" t="s">
        <v>4737</v>
      </c>
      <c r="AD1199" s="4">
        <v>120</v>
      </c>
      <c r="AE1199" s="4">
        <v>120</v>
      </c>
      <c r="AF1199" s="6">
        <v>78</v>
      </c>
      <c r="AG1199" s="6"/>
      <c r="AH1199" s="7">
        <v>1</v>
      </c>
      <c r="AI1199" s="4"/>
      <c r="AJ1199" s="4">
        <f>=ROUNDDOWN({0},0)</f>
      </c>
      <c r="AK1199" s="5"/>
      <c r="AL1199" s="2" t="s">
        <v>235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235</v>
      </c>
      <c r="AW1199" s="8" t="s">
        <v>235</v>
      </c>
      <c r="AX1199" s="4" t="s">
        <v>235</v>
      </c>
      <c r="AY1199" s="8" t="s">
        <v>235</v>
      </c>
      <c r="AZ1199" s="7" t="s">
        <v>235</v>
      </c>
      <c r="BA1199" s="7" t="s">
        <v>235</v>
      </c>
      <c r="BB1199" s="7" t="s">
        <v>235</v>
      </c>
      <c r="BC1199" s="4" t="s">
        <v>235</v>
      </c>
      <c r="BD1199" s="8" t="s">
        <v>235</v>
      </c>
      <c r="BE1199" s="4" t="s">
        <v>235</v>
      </c>
      <c r="BF1199" s="8" t="s">
        <v>235</v>
      </c>
      <c r="BG1199" s="7" t="s">
        <v>235</v>
      </c>
      <c r="BH1199" s="7" t="s">
        <v>235</v>
      </c>
      <c r="BI1199" s="7"/>
      <c r="BJ1199" s="4">
        <v>15</v>
      </c>
      <c r="BK1199" s="8">
        <v>626.67</v>
      </c>
      <c r="BL1199" s="2" t="s">
        <v>2107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4742</v>
      </c>
      <c r="BV1199" s="2" t="s">
        <v>243</v>
      </c>
      <c r="BW1199" s="2" t="s">
        <v>235</v>
      </c>
      <c r="BX1199" s="2" t="s">
        <v>244</v>
      </c>
      <c r="BY1199" s="2" t="s">
        <v>245</v>
      </c>
      <c r="BZ1199" s="2" t="s">
        <v>232</v>
      </c>
      <c r="CA1199" s="2" t="s">
        <v>2845</v>
      </c>
      <c r="CB1199" s="2" t="s">
        <v>2903</v>
      </c>
      <c r="CC1199" s="2" t="s">
        <v>248</v>
      </c>
      <c r="CD1199" s="2" t="s">
        <v>248</v>
      </c>
      <c r="CE1199" s="2" t="s">
        <v>235</v>
      </c>
      <c r="CF1199" s="4">
        <v>23</v>
      </c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>
        <v>120</v>
      </c>
      <c r="FZ1199" s="4"/>
      <c r="GA1199" s="4"/>
      <c r="GB1199" s="4"/>
      <c r="GC1199" s="4"/>
      <c r="GD1199" s="4">
        <v>29</v>
      </c>
      <c r="GE1199" s="4">
        <v>16</v>
      </c>
      <c r="GF1199" s="4">
        <v>9</v>
      </c>
      <c r="GG1199" s="4">
        <v>2</v>
      </c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>
        <v>120</v>
      </c>
      <c r="GW1199" s="4">
        <v>105</v>
      </c>
      <c r="GX1199" s="4">
        <v>97</v>
      </c>
      <c r="GY1199" s="4">
        <v>89</v>
      </c>
      <c r="GZ1199" s="4">
        <v>81</v>
      </c>
      <c r="HA1199" s="4">
        <v>73</v>
      </c>
      <c r="HB1199" s="4">
        <v>65</v>
      </c>
      <c r="HC1199" s="4">
        <v>56</v>
      </c>
      <c r="HD1199" s="19">
        <v>3.6</v>
      </c>
      <c r="HE1199" s="19">
        <v>2.3</v>
      </c>
      <c r="HF1199" s="19">
        <v>1.3</v>
      </c>
      <c r="HG1199" s="19">
        <v>0.3</v>
      </c>
      <c r="HH1199" s="20">
        <v>0</v>
      </c>
      <c r="HI1199" s="20">
        <v>0</v>
      </c>
      <c r="HJ1199" s="20">
        <v>0</v>
      </c>
      <c r="HK1199" s="20">
        <v>0</v>
      </c>
      <c r="HL1199" s="20">
        <v>0</v>
      </c>
      <c r="HM1199" s="20">
        <v>0</v>
      </c>
      <c r="HN1199" s="20">
        <v>0</v>
      </c>
      <c r="HO1199" s="20">
        <v>0</v>
      </c>
      <c r="HP1199" s="20">
        <v>0</v>
      </c>
      <c r="HQ1199" s="20">
        <v>0</v>
      </c>
      <c r="HR1199" s="20">
        <v>0</v>
      </c>
      <c r="HS1199" s="20">
        <v>0</v>
      </c>
      <c r="HT1199" s="20">
        <v>0</v>
      </c>
      <c r="HU1199" s="20">
        <v>0</v>
      </c>
      <c r="HV1199" s="19">
        <v>12</v>
      </c>
      <c r="HW1199" s="19">
        <v>13.1</v>
      </c>
      <c r="HX1199" s="19">
        <v>12.1</v>
      </c>
      <c r="HY1199" s="19">
        <v>11.1</v>
      </c>
      <c r="HZ1199" s="19">
        <v>10.1</v>
      </c>
      <c r="IA1199" s="19">
        <v>9.1</v>
      </c>
      <c r="IB1199" s="19">
        <v>8.1</v>
      </c>
      <c r="IC1199" s="19">
        <v>7</v>
      </c>
    </row>
    <row r="1200">
      <c r="A1200" s="2" t="s">
        <v>4745</v>
      </c>
      <c r="B1200" s="2" t="s">
        <v>871</v>
      </c>
      <c r="C1200" s="2" t="s">
        <v>324</v>
      </c>
      <c r="D1200" s="2" t="s">
        <v>361</v>
      </c>
      <c r="E1200" s="2" t="s">
        <v>872</v>
      </c>
      <c r="F1200" s="2" t="s">
        <v>4746</v>
      </c>
      <c r="G1200" s="2" t="s">
        <v>4747</v>
      </c>
      <c r="H1200" s="2" t="s">
        <v>4006</v>
      </c>
      <c r="I1200" s="2" t="s">
        <v>4748</v>
      </c>
      <c r="J1200" s="2" t="s">
        <v>372</v>
      </c>
      <c r="K1200" s="2" t="s">
        <v>567</v>
      </c>
      <c r="L1200" s="3">
        <v>61.9</v>
      </c>
      <c r="M1200" s="3">
        <v>65</v>
      </c>
      <c r="N1200" s="3">
        <v>129.99</v>
      </c>
      <c r="O1200" s="2" t="s">
        <v>407</v>
      </c>
      <c r="P1200" s="2" t="s">
        <v>408</v>
      </c>
      <c r="Q1200" s="2" t="s">
        <v>234</v>
      </c>
      <c r="R1200" s="2" t="s">
        <v>235</v>
      </c>
      <c r="S1200" s="2" t="s">
        <v>4749</v>
      </c>
      <c r="T1200" s="2" t="s">
        <v>263</v>
      </c>
      <c r="U1200" s="2" t="s">
        <v>282</v>
      </c>
      <c r="V1200" s="2" t="s">
        <v>880</v>
      </c>
      <c r="W1200" s="2" t="s">
        <v>2060</v>
      </c>
      <c r="X1200" s="2" t="s">
        <v>239</v>
      </c>
      <c r="Y1200" s="2" t="s">
        <v>4750</v>
      </c>
      <c r="Z1200" s="4">
        <v>116</v>
      </c>
      <c r="AA1200" s="4">
        <f>=ROUNDDOWN(128.888888888889,0)</f>
      </c>
      <c r="AB1200" s="5">
        <v>0.9</v>
      </c>
      <c r="AC1200" s="2" t="s">
        <v>235</v>
      </c>
      <c r="AD1200" s="4"/>
      <c r="AE1200" s="4"/>
      <c r="AF1200" s="6">
        <v>78</v>
      </c>
      <c r="AG1200" s="6"/>
      <c r="AH1200" s="7">
        <v>1</v>
      </c>
      <c r="AI1200" s="4"/>
      <c r="AJ1200" s="4">
        <f>=ROUNDDOWN({0},0)</f>
      </c>
      <c r="AK1200" s="5"/>
      <c r="AL1200" s="2" t="s">
        <v>235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>
        <v>2</v>
      </c>
      <c r="BK1200" s="8">
        <v>81.88</v>
      </c>
      <c r="BL1200" s="2" t="s">
        <v>1192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4751</v>
      </c>
      <c r="BV1200" s="2" t="s">
        <v>243</v>
      </c>
      <c r="BW1200" s="2" t="s">
        <v>235</v>
      </c>
      <c r="BX1200" s="2" t="s">
        <v>414</v>
      </c>
      <c r="BY1200" s="2" t="s">
        <v>245</v>
      </c>
      <c r="BZ1200" s="2" t="s">
        <v>232</v>
      </c>
      <c r="CA1200" s="2" t="s">
        <v>4752</v>
      </c>
      <c r="CB1200" s="2" t="s">
        <v>4753</v>
      </c>
      <c r="CC1200" s="2" t="s">
        <v>248</v>
      </c>
      <c r="CD1200" s="2" t="s">
        <v>248</v>
      </c>
      <c r="CE1200" s="2" t="s">
        <v>235</v>
      </c>
      <c r="CF1200" s="4">
        <v>116</v>
      </c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>
        <v>116</v>
      </c>
      <c r="GE1200" s="4">
        <v>115</v>
      </c>
      <c r="GF1200" s="4">
        <v>114</v>
      </c>
      <c r="GG1200" s="4">
        <v>113</v>
      </c>
      <c r="GH1200" s="4">
        <v>112</v>
      </c>
      <c r="GI1200" s="4">
        <v>111</v>
      </c>
      <c r="GJ1200" s="4">
        <v>110</v>
      </c>
      <c r="GK1200" s="4">
        <v>109</v>
      </c>
      <c r="GL1200" s="4">
        <v>108</v>
      </c>
      <c r="GM1200" s="4">
        <v>107</v>
      </c>
      <c r="GN1200" s="4">
        <v>106</v>
      </c>
      <c r="GO1200" s="4">
        <v>104</v>
      </c>
      <c r="GP1200" s="4">
        <v>102</v>
      </c>
      <c r="GQ1200" s="4">
        <v>99</v>
      </c>
      <c r="GR1200" s="4">
        <v>97</v>
      </c>
      <c r="GS1200" s="4">
        <v>95</v>
      </c>
      <c r="GT1200" s="4">
        <v>94</v>
      </c>
      <c r="GU1200" s="4">
        <v>93</v>
      </c>
      <c r="GV1200" s="4">
        <v>92</v>
      </c>
      <c r="GW1200" s="4">
        <v>91</v>
      </c>
      <c r="GX1200" s="4">
        <v>90</v>
      </c>
      <c r="GY1200" s="4">
        <v>89</v>
      </c>
      <c r="GZ1200" s="4">
        <v>88</v>
      </c>
      <c r="HA1200" s="4">
        <v>87</v>
      </c>
      <c r="HB1200" s="4">
        <v>86</v>
      </c>
      <c r="HC1200" s="4">
        <v>85</v>
      </c>
      <c r="HD1200" s="19">
        <v>116</v>
      </c>
      <c r="HE1200" s="19">
        <v>115</v>
      </c>
      <c r="HF1200" s="19">
        <v>114</v>
      </c>
      <c r="HG1200" s="19">
        <v>113</v>
      </c>
      <c r="HH1200" s="19">
        <v>112</v>
      </c>
      <c r="HI1200" s="19">
        <v>111</v>
      </c>
      <c r="HJ1200" s="19">
        <v>110</v>
      </c>
      <c r="HK1200" s="19">
        <v>109</v>
      </c>
      <c r="HL1200" s="19">
        <v>54</v>
      </c>
      <c r="HM1200" s="19">
        <v>53.5</v>
      </c>
      <c r="HN1200" s="19">
        <v>53</v>
      </c>
      <c r="HO1200" s="19">
        <v>52</v>
      </c>
      <c r="HP1200" s="19">
        <v>51</v>
      </c>
      <c r="HQ1200" s="19">
        <v>49.5</v>
      </c>
      <c r="HR1200" s="19">
        <v>97</v>
      </c>
      <c r="HS1200" s="19">
        <v>95</v>
      </c>
      <c r="HT1200" s="19">
        <v>94</v>
      </c>
      <c r="HU1200" s="19">
        <v>93</v>
      </c>
      <c r="HV1200" s="19">
        <v>92</v>
      </c>
      <c r="HW1200" s="19">
        <v>91</v>
      </c>
      <c r="HX1200" s="19">
        <v>90</v>
      </c>
      <c r="HY1200" s="19">
        <v>89</v>
      </c>
      <c r="HZ1200" s="19">
        <v>88</v>
      </c>
      <c r="IA1200" s="19">
        <v>87</v>
      </c>
      <c r="IB1200" s="19">
        <v>86</v>
      </c>
      <c r="IC1200" s="19">
        <v>85</v>
      </c>
    </row>
    <row r="1201">
      <c r="A1201" s="2" t="s">
        <v>4754</v>
      </c>
      <c r="B1201" s="2" t="s">
        <v>871</v>
      </c>
      <c r="C1201" s="2" t="s">
        <v>1561</v>
      </c>
      <c r="D1201" s="2" t="s">
        <v>361</v>
      </c>
      <c r="E1201" s="2" t="s">
        <v>872</v>
      </c>
      <c r="F1201" s="2" t="s">
        <v>4755</v>
      </c>
      <c r="G1201" s="2" t="s">
        <v>4755</v>
      </c>
      <c r="H1201" s="2" t="s">
        <v>4755</v>
      </c>
      <c r="I1201" s="2" t="s">
        <v>3605</v>
      </c>
      <c r="J1201" s="2" t="s">
        <v>272</v>
      </c>
      <c r="K1201" s="2" t="s">
        <v>378</v>
      </c>
      <c r="L1201" s="3">
        <v>159.37</v>
      </c>
      <c r="M1201" s="3">
        <v>167.34</v>
      </c>
      <c r="N1201" s="3">
        <v>454.99</v>
      </c>
      <c r="O1201" s="2" t="s">
        <v>232</v>
      </c>
      <c r="P1201" s="2" t="s">
        <v>878</v>
      </c>
      <c r="Q1201" s="2" t="s">
        <v>234</v>
      </c>
      <c r="R1201" s="2" t="s">
        <v>235</v>
      </c>
      <c r="S1201" s="2" t="s">
        <v>235</v>
      </c>
      <c r="T1201" s="2" t="s">
        <v>879</v>
      </c>
      <c r="U1201" s="2" t="s">
        <v>264</v>
      </c>
      <c r="V1201" s="2" t="s">
        <v>1157</v>
      </c>
      <c r="W1201" s="2" t="s">
        <v>235</v>
      </c>
      <c r="X1201" s="2" t="s">
        <v>235</v>
      </c>
      <c r="Y1201" s="2" t="s">
        <v>4643</v>
      </c>
      <c r="Z1201" s="4">
        <v>106</v>
      </c>
      <c r="AA1201" s="4">
        <f>=ROUNDDOWN(26.5,0)</f>
      </c>
      <c r="AB1201" s="5">
        <v>4</v>
      </c>
      <c r="AC1201" s="2" t="s">
        <v>235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235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>
        <v>3</v>
      </c>
      <c r="BK1201" s="8">
        <v>688.7</v>
      </c>
      <c r="BL1201" s="2" t="s">
        <v>4756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4757</v>
      </c>
      <c r="BV1201" s="2" t="s">
        <v>235</v>
      </c>
      <c r="BW1201" s="2" t="s">
        <v>235</v>
      </c>
      <c r="BX1201" s="2" t="s">
        <v>383</v>
      </c>
      <c r="BY1201" s="2" t="s">
        <v>245</v>
      </c>
      <c r="BZ1201" s="2" t="s">
        <v>232</v>
      </c>
      <c r="CA1201" s="2" t="s">
        <v>235</v>
      </c>
      <c r="CB1201" s="2" t="s">
        <v>1235</v>
      </c>
      <c r="CC1201" s="2" t="s">
        <v>248</v>
      </c>
      <c r="CD1201" s="2" t="s">
        <v>248</v>
      </c>
      <c r="CE1201" s="2" t="s">
        <v>235</v>
      </c>
      <c r="CF1201" s="4">
        <v>106</v>
      </c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>
        <v>106</v>
      </c>
      <c r="GE1201" s="4">
        <v>93</v>
      </c>
      <c r="GF1201" s="4">
        <v>90</v>
      </c>
      <c r="GG1201" s="4">
        <v>87</v>
      </c>
      <c r="GH1201" s="4">
        <v>83</v>
      </c>
      <c r="GI1201" s="4">
        <v>79</v>
      </c>
      <c r="GJ1201" s="4">
        <v>71</v>
      </c>
      <c r="GK1201" s="4">
        <v>66</v>
      </c>
      <c r="GL1201" s="4">
        <v>61</v>
      </c>
      <c r="GM1201" s="4">
        <v>57</v>
      </c>
      <c r="GN1201" s="4">
        <v>54</v>
      </c>
      <c r="GO1201" s="4">
        <v>49</v>
      </c>
      <c r="GP1201" s="4">
        <v>44</v>
      </c>
      <c r="GQ1201" s="4">
        <v>36</v>
      </c>
      <c r="GR1201" s="4">
        <v>31</v>
      </c>
      <c r="GS1201" s="4">
        <v>26</v>
      </c>
      <c r="GT1201" s="4">
        <v>22</v>
      </c>
      <c r="GU1201" s="4">
        <v>19</v>
      </c>
      <c r="GV1201" s="4">
        <v>15</v>
      </c>
      <c r="GW1201" s="4">
        <v>108</v>
      </c>
      <c r="GX1201" s="4">
        <v>104</v>
      </c>
      <c r="GY1201" s="4">
        <v>100</v>
      </c>
      <c r="GZ1201" s="4">
        <v>96</v>
      </c>
      <c r="HA1201" s="4">
        <v>92</v>
      </c>
      <c r="HB1201" s="4">
        <v>88</v>
      </c>
      <c r="HC1201" s="4">
        <v>84</v>
      </c>
      <c r="HD1201" s="19">
        <v>17.7</v>
      </c>
      <c r="HE1201" s="19">
        <v>23.3</v>
      </c>
      <c r="HF1201" s="19">
        <v>18</v>
      </c>
      <c r="HG1201" s="19">
        <v>17.4</v>
      </c>
      <c r="HH1201" s="19">
        <v>13.8</v>
      </c>
      <c r="HI1201" s="19">
        <v>13.2</v>
      </c>
      <c r="HJ1201" s="19">
        <v>17.8</v>
      </c>
      <c r="HK1201" s="19">
        <v>16.5</v>
      </c>
      <c r="HL1201" s="19">
        <v>15.3</v>
      </c>
      <c r="HM1201" s="19">
        <v>11.4</v>
      </c>
      <c r="HN1201" s="19">
        <v>9</v>
      </c>
      <c r="HO1201" s="19">
        <v>8.2</v>
      </c>
      <c r="HP1201" s="19">
        <v>7.3</v>
      </c>
      <c r="HQ1201" s="19">
        <v>9</v>
      </c>
      <c r="HR1201" s="19">
        <v>7.8</v>
      </c>
      <c r="HS1201" s="19">
        <v>6.5</v>
      </c>
      <c r="HT1201" s="19">
        <v>5.5</v>
      </c>
      <c r="HU1201" s="19">
        <v>4.8</v>
      </c>
      <c r="HV1201" s="19">
        <v>3.8</v>
      </c>
      <c r="HW1201" s="19">
        <v>27</v>
      </c>
      <c r="HX1201" s="19">
        <v>26</v>
      </c>
      <c r="HY1201" s="19">
        <v>25</v>
      </c>
      <c r="HZ1201" s="19">
        <v>24</v>
      </c>
      <c r="IA1201" s="19">
        <v>23</v>
      </c>
      <c r="IB1201" s="19">
        <v>22</v>
      </c>
      <c r="IC1201" s="19">
        <v>21</v>
      </c>
    </row>
    <row r="1202">
      <c r="A1202" s="2" t="s">
        <v>4758</v>
      </c>
      <c r="B1202" s="2" t="s">
        <v>871</v>
      </c>
      <c r="C1202" s="2" t="s">
        <v>923</v>
      </c>
      <c r="D1202" s="2" t="s">
        <v>361</v>
      </c>
      <c r="E1202" s="2" t="s">
        <v>924</v>
      </c>
      <c r="F1202" s="2" t="s">
        <v>4759</v>
      </c>
      <c r="G1202" s="2" t="s">
        <v>4759</v>
      </c>
      <c r="H1202" s="2" t="s">
        <v>1831</v>
      </c>
      <c r="I1202" s="2" t="s">
        <v>4760</v>
      </c>
      <c r="J1202" s="2" t="s">
        <v>877</v>
      </c>
      <c r="K1202" s="2" t="s">
        <v>287</v>
      </c>
      <c r="L1202" s="3">
        <v>36.74</v>
      </c>
      <c r="M1202" s="3">
        <v>38.58</v>
      </c>
      <c r="N1202" s="3">
        <v>79.99</v>
      </c>
      <c r="O1202" s="2" t="s">
        <v>407</v>
      </c>
      <c r="P1202" s="2" t="s">
        <v>408</v>
      </c>
      <c r="Q1202" s="2" t="s">
        <v>234</v>
      </c>
      <c r="R1202" s="2" t="s">
        <v>235</v>
      </c>
      <c r="S1202" s="2" t="s">
        <v>4761</v>
      </c>
      <c r="T1202" s="2" t="s">
        <v>2578</v>
      </c>
      <c r="U1202" s="2" t="s">
        <v>278</v>
      </c>
      <c r="V1202" s="2" t="s">
        <v>238</v>
      </c>
      <c r="W1202" s="2" t="s">
        <v>682</v>
      </c>
      <c r="X1202" s="2" t="s">
        <v>239</v>
      </c>
      <c r="Y1202" s="2" t="s">
        <v>4002</v>
      </c>
      <c r="Z1202" s="4">
        <v>18</v>
      </c>
      <c r="AA1202" s="4">
        <f>=ROUNDDOWN(22.5,0)</f>
      </c>
      <c r="AB1202" s="5">
        <v>0.8</v>
      </c>
      <c r="AC1202" s="2" t="s">
        <v>235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235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235</v>
      </c>
      <c r="AW1202" s="8" t="s">
        <v>235</v>
      </c>
      <c r="AX1202" s="4" t="s">
        <v>235</v>
      </c>
      <c r="AY1202" s="8" t="s">
        <v>235</v>
      </c>
      <c r="AZ1202" s="7" t="s">
        <v>235</v>
      </c>
      <c r="BA1202" s="7" t="s">
        <v>235</v>
      </c>
      <c r="BB1202" s="7"/>
      <c r="BC1202" s="4" t="s">
        <v>235</v>
      </c>
      <c r="BD1202" s="8" t="s">
        <v>235</v>
      </c>
      <c r="BE1202" s="4" t="s">
        <v>235</v>
      </c>
      <c r="BF1202" s="8" t="s">
        <v>235</v>
      </c>
      <c r="BG1202" s="7" t="s">
        <v>235</v>
      </c>
      <c r="BH1202" s="7" t="s">
        <v>235</v>
      </c>
      <c r="BI1202" s="7"/>
      <c r="BJ1202" s="4">
        <v>6</v>
      </c>
      <c r="BK1202" s="8">
        <v>252.7</v>
      </c>
      <c r="BL1202" s="2" t="s">
        <v>2589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4762</v>
      </c>
      <c r="BV1202" s="2" t="s">
        <v>243</v>
      </c>
      <c r="BW1202" s="2" t="s">
        <v>235</v>
      </c>
      <c r="BX1202" s="2" t="s">
        <v>414</v>
      </c>
      <c r="BY1202" s="2" t="s">
        <v>245</v>
      </c>
      <c r="BZ1202" s="2" t="s">
        <v>232</v>
      </c>
      <c r="CA1202" s="2" t="s">
        <v>2298</v>
      </c>
      <c r="CB1202" s="2" t="s">
        <v>3007</v>
      </c>
      <c r="CC1202" s="2" t="s">
        <v>248</v>
      </c>
      <c r="CD1202" s="2" t="s">
        <v>248</v>
      </c>
      <c r="CE1202" s="2" t="s">
        <v>235</v>
      </c>
      <c r="CF1202" s="4">
        <v>18</v>
      </c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>
        <v>18</v>
      </c>
      <c r="GE1202" s="4">
        <v>17</v>
      </c>
      <c r="GF1202" s="4">
        <v>16</v>
      </c>
      <c r="GG1202" s="4">
        <v>15</v>
      </c>
      <c r="GH1202" s="4">
        <v>14</v>
      </c>
      <c r="GI1202" s="4">
        <v>13</v>
      </c>
      <c r="GJ1202" s="4">
        <v>12</v>
      </c>
      <c r="GK1202" s="4">
        <v>11</v>
      </c>
      <c r="GL1202" s="4">
        <v>10</v>
      </c>
      <c r="GM1202" s="4">
        <v>9</v>
      </c>
      <c r="GN1202" s="4">
        <v>8</v>
      </c>
      <c r="GO1202" s="4">
        <v>7</v>
      </c>
      <c r="GP1202" s="4">
        <v>5</v>
      </c>
      <c r="GQ1202" s="4">
        <v>3</v>
      </c>
      <c r="GR1202" s="4">
        <v>2</v>
      </c>
      <c r="GS1202" s="4">
        <v>1</v>
      </c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19">
        <v>18</v>
      </c>
      <c r="HE1202" s="19">
        <v>17</v>
      </c>
      <c r="HF1202" s="19">
        <v>16</v>
      </c>
      <c r="HG1202" s="19">
        <v>15</v>
      </c>
      <c r="HH1202" s="19">
        <v>14</v>
      </c>
      <c r="HI1202" s="19">
        <v>13</v>
      </c>
      <c r="HJ1202" s="19">
        <v>12</v>
      </c>
      <c r="HK1202" s="19">
        <v>11</v>
      </c>
      <c r="HL1202" s="19">
        <v>10</v>
      </c>
      <c r="HM1202" s="19">
        <v>4.5</v>
      </c>
      <c r="HN1202" s="19">
        <v>4</v>
      </c>
      <c r="HO1202" s="19">
        <v>3.5</v>
      </c>
      <c r="HP1202" s="19">
        <v>5</v>
      </c>
      <c r="HQ1202" s="19">
        <v>3</v>
      </c>
      <c r="HR1202" s="19">
        <v>2</v>
      </c>
      <c r="HS1202" s="19">
        <v>1</v>
      </c>
      <c r="HT1202" s="20">
        <v>0</v>
      </c>
      <c r="HU1202" s="20">
        <v>0</v>
      </c>
      <c r="HV1202" s="20">
        <v>0</v>
      </c>
      <c r="HW1202" s="20">
        <v>0</v>
      </c>
      <c r="HX1202" s="20">
        <v>0</v>
      </c>
      <c r="HY1202" s="20">
        <v>0</v>
      </c>
      <c r="HZ1202" s="20">
        <v>0</v>
      </c>
      <c r="IA1202" s="20">
        <v>0</v>
      </c>
      <c r="IB1202" s="20">
        <v>0</v>
      </c>
      <c r="IC1202" s="20">
        <v>0</v>
      </c>
    </row>
    <row r="1203">
      <c r="A1203" s="2" t="s">
        <v>4763</v>
      </c>
      <c r="B1203" s="2" t="s">
        <v>871</v>
      </c>
      <c r="C1203" s="2" t="s">
        <v>923</v>
      </c>
      <c r="D1203" s="2" t="s">
        <v>361</v>
      </c>
      <c r="E1203" s="2" t="s">
        <v>924</v>
      </c>
      <c r="F1203" s="2" t="s">
        <v>4759</v>
      </c>
      <c r="G1203" s="2" t="s">
        <v>4759</v>
      </c>
      <c r="H1203" s="2" t="s">
        <v>1831</v>
      </c>
      <c r="I1203" s="2" t="s">
        <v>4760</v>
      </c>
      <c r="J1203" s="2" t="s">
        <v>372</v>
      </c>
      <c r="K1203" s="2" t="s">
        <v>287</v>
      </c>
      <c r="L1203" s="3">
        <v>47.99</v>
      </c>
      <c r="M1203" s="3">
        <v>50.39</v>
      </c>
      <c r="N1203" s="3">
        <v>104.99</v>
      </c>
      <c r="O1203" s="2" t="s">
        <v>407</v>
      </c>
      <c r="P1203" s="2" t="s">
        <v>408</v>
      </c>
      <c r="Q1203" s="2" t="s">
        <v>234</v>
      </c>
      <c r="R1203" s="2" t="s">
        <v>235</v>
      </c>
      <c r="S1203" s="2" t="s">
        <v>4761</v>
      </c>
      <c r="T1203" s="2" t="s">
        <v>2578</v>
      </c>
      <c r="U1203" s="2" t="s">
        <v>552</v>
      </c>
      <c r="V1203" s="2" t="s">
        <v>238</v>
      </c>
      <c r="W1203" s="2" t="s">
        <v>682</v>
      </c>
      <c r="X1203" s="2" t="s">
        <v>239</v>
      </c>
      <c r="Y1203" s="2" t="s">
        <v>4002</v>
      </c>
      <c r="Z1203" s="4">
        <v>130</v>
      </c>
      <c r="AA1203" s="4">
        <f>=ROUNDDOWN(48.1481481481481,0)</f>
      </c>
      <c r="AB1203" s="5">
        <v>2.7</v>
      </c>
      <c r="AC1203" s="2" t="s">
        <v>235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235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235</v>
      </c>
      <c r="AW1203" s="8" t="s">
        <v>235</v>
      </c>
      <c r="AX1203" s="4" t="s">
        <v>235</v>
      </c>
      <c r="AY1203" s="8" t="s">
        <v>235</v>
      </c>
      <c r="AZ1203" s="7" t="s">
        <v>235</v>
      </c>
      <c r="BA1203" s="7" t="s">
        <v>235</v>
      </c>
      <c r="BB1203" s="7"/>
      <c r="BC1203" s="4" t="s">
        <v>235</v>
      </c>
      <c r="BD1203" s="8" t="s">
        <v>235</v>
      </c>
      <c r="BE1203" s="4" t="s">
        <v>235</v>
      </c>
      <c r="BF1203" s="8" t="s">
        <v>235</v>
      </c>
      <c r="BG1203" s="7" t="s">
        <v>235</v>
      </c>
      <c r="BH1203" s="7" t="s">
        <v>235</v>
      </c>
      <c r="BI1203" s="7"/>
      <c r="BJ1203" s="4">
        <v>13</v>
      </c>
      <c r="BK1203" s="8">
        <v>720.31</v>
      </c>
      <c r="BL1203" s="2" t="s">
        <v>1702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4762</v>
      </c>
      <c r="BV1203" s="2" t="s">
        <v>243</v>
      </c>
      <c r="BW1203" s="2" t="s">
        <v>235</v>
      </c>
      <c r="BX1203" s="2" t="s">
        <v>414</v>
      </c>
      <c r="BY1203" s="2" t="s">
        <v>245</v>
      </c>
      <c r="BZ1203" s="2" t="s">
        <v>232</v>
      </c>
      <c r="CA1203" s="2" t="s">
        <v>2298</v>
      </c>
      <c r="CB1203" s="2" t="s">
        <v>4764</v>
      </c>
      <c r="CC1203" s="2" t="s">
        <v>248</v>
      </c>
      <c r="CD1203" s="2" t="s">
        <v>248</v>
      </c>
      <c r="CE1203" s="2" t="s">
        <v>235</v>
      </c>
      <c r="CF1203" s="4">
        <v>130</v>
      </c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>
        <v>130</v>
      </c>
      <c r="GE1203" s="4">
        <v>127</v>
      </c>
      <c r="GF1203" s="4">
        <v>124</v>
      </c>
      <c r="GG1203" s="4">
        <v>121</v>
      </c>
      <c r="GH1203" s="4">
        <v>118</v>
      </c>
      <c r="GI1203" s="4">
        <v>115</v>
      </c>
      <c r="GJ1203" s="4">
        <v>112</v>
      </c>
      <c r="GK1203" s="4">
        <v>109</v>
      </c>
      <c r="GL1203" s="4">
        <v>106</v>
      </c>
      <c r="GM1203" s="4">
        <v>103</v>
      </c>
      <c r="GN1203" s="4">
        <v>99</v>
      </c>
      <c r="GO1203" s="4">
        <v>95</v>
      </c>
      <c r="GP1203" s="4">
        <v>90</v>
      </c>
      <c r="GQ1203" s="4">
        <v>83</v>
      </c>
      <c r="GR1203" s="4">
        <v>79</v>
      </c>
      <c r="GS1203" s="4">
        <v>75</v>
      </c>
      <c r="GT1203" s="4">
        <v>73</v>
      </c>
      <c r="GU1203" s="4">
        <v>70</v>
      </c>
      <c r="GV1203" s="4">
        <v>67</v>
      </c>
      <c r="GW1203" s="4">
        <v>64</v>
      </c>
      <c r="GX1203" s="4">
        <v>61</v>
      </c>
      <c r="GY1203" s="4">
        <v>58</v>
      </c>
      <c r="GZ1203" s="4">
        <v>55</v>
      </c>
      <c r="HA1203" s="4">
        <v>52</v>
      </c>
      <c r="HB1203" s="4">
        <v>49</v>
      </c>
      <c r="HC1203" s="4">
        <v>46</v>
      </c>
      <c r="HD1203" s="19">
        <v>43.3</v>
      </c>
      <c r="HE1203" s="19">
        <v>42.3</v>
      </c>
      <c r="HF1203" s="19">
        <v>41.3</v>
      </c>
      <c r="HG1203" s="19">
        <v>40.3</v>
      </c>
      <c r="HH1203" s="19">
        <v>39.3</v>
      </c>
      <c r="HI1203" s="19">
        <v>38.3</v>
      </c>
      <c r="HJ1203" s="19">
        <v>37.3</v>
      </c>
      <c r="HK1203" s="19">
        <v>27.3</v>
      </c>
      <c r="HL1203" s="19">
        <v>26.5</v>
      </c>
      <c r="HM1203" s="19">
        <v>20.6</v>
      </c>
      <c r="HN1203" s="19">
        <v>19.8</v>
      </c>
      <c r="HO1203" s="19">
        <v>19</v>
      </c>
      <c r="HP1203" s="19">
        <v>22.5</v>
      </c>
      <c r="HQ1203" s="19">
        <v>27.7</v>
      </c>
      <c r="HR1203" s="19">
        <v>26.3</v>
      </c>
      <c r="HS1203" s="19">
        <v>25</v>
      </c>
      <c r="HT1203" s="19">
        <v>24.3</v>
      </c>
      <c r="HU1203" s="19">
        <v>23.3</v>
      </c>
      <c r="HV1203" s="19">
        <v>22.3</v>
      </c>
      <c r="HW1203" s="19">
        <v>21.3</v>
      </c>
      <c r="HX1203" s="19">
        <v>20.3</v>
      </c>
      <c r="HY1203" s="19">
        <v>19.3</v>
      </c>
      <c r="HZ1203" s="19">
        <v>18.3</v>
      </c>
      <c r="IA1203" s="19">
        <v>17.3</v>
      </c>
      <c r="IB1203" s="19">
        <v>16.3</v>
      </c>
      <c r="IC1203" s="19">
        <v>15.3</v>
      </c>
    </row>
    <row r="1204">
      <c r="A1204" s="2" t="s">
        <v>4765</v>
      </c>
      <c r="B1204" s="2" t="s">
        <v>871</v>
      </c>
      <c r="C1204" s="2" t="s">
        <v>923</v>
      </c>
      <c r="D1204" s="2" t="s">
        <v>361</v>
      </c>
      <c r="E1204" s="2" t="s">
        <v>924</v>
      </c>
      <c r="F1204" s="2" t="s">
        <v>4759</v>
      </c>
      <c r="G1204" s="2" t="s">
        <v>4759</v>
      </c>
      <c r="H1204" s="2" t="s">
        <v>1831</v>
      </c>
      <c r="I1204" s="2" t="s">
        <v>4760</v>
      </c>
      <c r="J1204" s="2" t="s">
        <v>365</v>
      </c>
      <c r="K1204" s="2" t="s">
        <v>316</v>
      </c>
      <c r="L1204" s="3">
        <v>42.55</v>
      </c>
      <c r="M1204" s="3">
        <v>44.68</v>
      </c>
      <c r="N1204" s="3">
        <v>89.99</v>
      </c>
      <c r="O1204" s="2" t="s">
        <v>407</v>
      </c>
      <c r="P1204" s="2" t="s">
        <v>408</v>
      </c>
      <c r="Q1204" s="2" t="s">
        <v>234</v>
      </c>
      <c r="R1204" s="2" t="s">
        <v>235</v>
      </c>
      <c r="S1204" s="2" t="s">
        <v>4766</v>
      </c>
      <c r="T1204" s="2" t="s">
        <v>2578</v>
      </c>
      <c r="U1204" s="2" t="s">
        <v>552</v>
      </c>
      <c r="V1204" s="2" t="s">
        <v>238</v>
      </c>
      <c r="W1204" s="2" t="s">
        <v>682</v>
      </c>
      <c r="X1204" s="2" t="s">
        <v>239</v>
      </c>
      <c r="Y1204" s="2" t="s">
        <v>4002</v>
      </c>
      <c r="Z1204" s="4">
        <v>244</v>
      </c>
      <c r="AA1204" s="4">
        <f>=ROUNDDOWN(271.111111111111,0)</f>
      </c>
      <c r="AB1204" s="5">
        <v>0.9</v>
      </c>
      <c r="AC1204" s="2" t="s">
        <v>235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235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235</v>
      </c>
      <c r="AW1204" s="8" t="s">
        <v>235</v>
      </c>
      <c r="AX1204" s="4" t="s">
        <v>235</v>
      </c>
      <c r="AY1204" s="8" t="s">
        <v>235</v>
      </c>
      <c r="AZ1204" s="7" t="s">
        <v>235</v>
      </c>
      <c r="BA1204" s="7" t="s">
        <v>235</v>
      </c>
      <c r="BB1204" s="7"/>
      <c r="BC1204" s="4" t="s">
        <v>235</v>
      </c>
      <c r="BD1204" s="8" t="s">
        <v>235</v>
      </c>
      <c r="BE1204" s="4" t="s">
        <v>235</v>
      </c>
      <c r="BF1204" s="8" t="s">
        <v>235</v>
      </c>
      <c r="BG1204" s="7" t="s">
        <v>235</v>
      </c>
      <c r="BH1204" s="7" t="s">
        <v>235</v>
      </c>
      <c r="BI1204" s="7"/>
      <c r="BJ1204" s="4">
        <v>4</v>
      </c>
      <c r="BK1204" s="8">
        <v>197.62</v>
      </c>
      <c r="BL1204" s="2" t="s">
        <v>4767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4762</v>
      </c>
      <c r="BV1204" s="2" t="s">
        <v>243</v>
      </c>
      <c r="BW1204" s="2" t="s">
        <v>235</v>
      </c>
      <c r="BX1204" s="2" t="s">
        <v>414</v>
      </c>
      <c r="BY1204" s="2" t="s">
        <v>245</v>
      </c>
      <c r="BZ1204" s="2" t="s">
        <v>232</v>
      </c>
      <c r="CA1204" s="2" t="s">
        <v>2298</v>
      </c>
      <c r="CB1204" s="2" t="s">
        <v>1629</v>
      </c>
      <c r="CC1204" s="2" t="s">
        <v>248</v>
      </c>
      <c r="CD1204" s="2" t="s">
        <v>248</v>
      </c>
      <c r="CE1204" s="2" t="s">
        <v>235</v>
      </c>
      <c r="CF1204" s="4">
        <v>244</v>
      </c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>
        <v>244</v>
      </c>
      <c r="GE1204" s="4">
        <v>243</v>
      </c>
      <c r="GF1204" s="4">
        <v>242</v>
      </c>
      <c r="GG1204" s="4">
        <v>241</v>
      </c>
      <c r="GH1204" s="4">
        <v>240</v>
      </c>
      <c r="GI1204" s="4">
        <v>239</v>
      </c>
      <c r="GJ1204" s="4">
        <v>238</v>
      </c>
      <c r="GK1204" s="4">
        <v>237</v>
      </c>
      <c r="GL1204" s="4">
        <v>236</v>
      </c>
      <c r="GM1204" s="4">
        <v>235</v>
      </c>
      <c r="GN1204" s="4">
        <v>234</v>
      </c>
      <c r="GO1204" s="4">
        <v>232</v>
      </c>
      <c r="GP1204" s="4">
        <v>230</v>
      </c>
      <c r="GQ1204" s="4">
        <v>227</v>
      </c>
      <c r="GR1204" s="4">
        <v>225</v>
      </c>
      <c r="GS1204" s="4">
        <v>224</v>
      </c>
      <c r="GT1204" s="4">
        <v>223</v>
      </c>
      <c r="GU1204" s="4">
        <v>222</v>
      </c>
      <c r="GV1204" s="4">
        <v>221</v>
      </c>
      <c r="GW1204" s="4">
        <v>220</v>
      </c>
      <c r="GX1204" s="4">
        <v>219</v>
      </c>
      <c r="GY1204" s="4">
        <v>218</v>
      </c>
      <c r="GZ1204" s="4">
        <v>217</v>
      </c>
      <c r="HA1204" s="4">
        <v>216</v>
      </c>
      <c r="HB1204" s="4">
        <v>215</v>
      </c>
      <c r="HC1204" s="4">
        <v>214</v>
      </c>
      <c r="HD1204" s="19">
        <v>244</v>
      </c>
      <c r="HE1204" s="19">
        <v>243</v>
      </c>
      <c r="HF1204" s="19">
        <v>242</v>
      </c>
      <c r="HG1204" s="19">
        <v>241</v>
      </c>
      <c r="HH1204" s="19">
        <v>240</v>
      </c>
      <c r="HI1204" s="19">
        <v>239</v>
      </c>
      <c r="HJ1204" s="19">
        <v>238</v>
      </c>
      <c r="HK1204" s="19">
        <v>237</v>
      </c>
      <c r="HL1204" s="19">
        <v>118</v>
      </c>
      <c r="HM1204" s="19">
        <v>117.5</v>
      </c>
      <c r="HN1204" s="19">
        <v>117</v>
      </c>
      <c r="HO1204" s="19">
        <v>116</v>
      </c>
      <c r="HP1204" s="19">
        <v>115</v>
      </c>
      <c r="HQ1204" s="19">
        <v>227</v>
      </c>
      <c r="HR1204" s="19">
        <v>225</v>
      </c>
      <c r="HS1204" s="19">
        <v>224</v>
      </c>
      <c r="HT1204" s="19">
        <v>223</v>
      </c>
      <c r="HU1204" s="19">
        <v>222</v>
      </c>
      <c r="HV1204" s="19">
        <v>221</v>
      </c>
      <c r="HW1204" s="19">
        <v>220</v>
      </c>
      <c r="HX1204" s="19">
        <v>219</v>
      </c>
      <c r="HY1204" s="19">
        <v>218</v>
      </c>
      <c r="HZ1204" s="19">
        <v>217</v>
      </c>
      <c r="IA1204" s="19">
        <v>216</v>
      </c>
      <c r="IB1204" s="19">
        <v>215</v>
      </c>
      <c r="IC1204" s="19">
        <v>214</v>
      </c>
    </row>
    <row r="1205">
      <c r="A1205" s="2" t="s">
        <v>4768</v>
      </c>
      <c r="B1205" s="2" t="s">
        <v>871</v>
      </c>
      <c r="C1205" s="2" t="s">
        <v>923</v>
      </c>
      <c r="D1205" s="2" t="s">
        <v>361</v>
      </c>
      <c r="E1205" s="2" t="s">
        <v>924</v>
      </c>
      <c r="F1205" s="2" t="s">
        <v>4759</v>
      </c>
      <c r="G1205" s="2" t="s">
        <v>4759</v>
      </c>
      <c r="H1205" s="2" t="s">
        <v>1831</v>
      </c>
      <c r="I1205" s="2" t="s">
        <v>4760</v>
      </c>
      <c r="J1205" s="2" t="s">
        <v>372</v>
      </c>
      <c r="K1205" s="2" t="s">
        <v>316</v>
      </c>
      <c r="L1205" s="3">
        <v>47.99</v>
      </c>
      <c r="M1205" s="3">
        <v>50.39</v>
      </c>
      <c r="N1205" s="3">
        <v>104.99</v>
      </c>
      <c r="O1205" s="2" t="s">
        <v>407</v>
      </c>
      <c r="P1205" s="2" t="s">
        <v>408</v>
      </c>
      <c r="Q1205" s="2" t="s">
        <v>234</v>
      </c>
      <c r="R1205" s="2" t="s">
        <v>235</v>
      </c>
      <c r="S1205" s="2" t="s">
        <v>4766</v>
      </c>
      <c r="T1205" s="2" t="s">
        <v>2578</v>
      </c>
      <c r="U1205" s="2" t="s">
        <v>552</v>
      </c>
      <c r="V1205" s="2" t="s">
        <v>238</v>
      </c>
      <c r="W1205" s="2" t="s">
        <v>682</v>
      </c>
      <c r="X1205" s="2" t="s">
        <v>239</v>
      </c>
      <c r="Y1205" s="2" t="s">
        <v>4002</v>
      </c>
      <c r="Z1205" s="4">
        <v>215</v>
      </c>
      <c r="AA1205" s="4">
        <f>=ROUNDDOWN(215,0)</f>
      </c>
      <c r="AB1205" s="5">
        <v>1</v>
      </c>
      <c r="AC1205" s="2" t="s">
        <v>235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235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235</v>
      </c>
      <c r="AW1205" s="8" t="s">
        <v>235</v>
      </c>
      <c r="AX1205" s="4" t="s">
        <v>235</v>
      </c>
      <c r="AY1205" s="8" t="s">
        <v>235</v>
      </c>
      <c r="AZ1205" s="7" t="s">
        <v>235</v>
      </c>
      <c r="BA1205" s="7" t="s">
        <v>235</v>
      </c>
      <c r="BB1205" s="7"/>
      <c r="BC1205" s="4" t="s">
        <v>235</v>
      </c>
      <c r="BD1205" s="8" t="s">
        <v>235</v>
      </c>
      <c r="BE1205" s="4" t="s">
        <v>235</v>
      </c>
      <c r="BF1205" s="8" t="s">
        <v>235</v>
      </c>
      <c r="BG1205" s="7" t="s">
        <v>235</v>
      </c>
      <c r="BH1205" s="7" t="s">
        <v>235</v>
      </c>
      <c r="BI1205" s="7"/>
      <c r="BJ1205" s="4">
        <v>4</v>
      </c>
      <c r="BK1205" s="8">
        <v>218.66</v>
      </c>
      <c r="BL1205" s="2" t="s">
        <v>1702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4762</v>
      </c>
      <c r="BV1205" s="2" t="s">
        <v>243</v>
      </c>
      <c r="BW1205" s="2" t="s">
        <v>235</v>
      </c>
      <c r="BX1205" s="2" t="s">
        <v>414</v>
      </c>
      <c r="BY1205" s="2" t="s">
        <v>245</v>
      </c>
      <c r="BZ1205" s="2" t="s">
        <v>232</v>
      </c>
      <c r="CA1205" s="2" t="s">
        <v>2298</v>
      </c>
      <c r="CB1205" s="2" t="s">
        <v>235</v>
      </c>
      <c r="CC1205" s="2" t="s">
        <v>248</v>
      </c>
      <c r="CD1205" s="2" t="s">
        <v>248</v>
      </c>
      <c r="CE1205" s="2" t="s">
        <v>235</v>
      </c>
      <c r="CF1205" s="4">
        <v>215</v>
      </c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>
        <v>216</v>
      </c>
      <c r="GE1205" s="4">
        <v>214</v>
      </c>
      <c r="GF1205" s="4">
        <v>213</v>
      </c>
      <c r="GG1205" s="4">
        <v>212</v>
      </c>
      <c r="GH1205" s="4">
        <v>211</v>
      </c>
      <c r="GI1205" s="4">
        <v>210</v>
      </c>
      <c r="GJ1205" s="4">
        <v>209</v>
      </c>
      <c r="GK1205" s="4">
        <v>208</v>
      </c>
      <c r="GL1205" s="4">
        <v>207</v>
      </c>
      <c r="GM1205" s="4">
        <v>206</v>
      </c>
      <c r="GN1205" s="4">
        <v>205</v>
      </c>
      <c r="GO1205" s="4">
        <v>204</v>
      </c>
      <c r="GP1205" s="4">
        <v>202</v>
      </c>
      <c r="GQ1205" s="4">
        <v>200</v>
      </c>
      <c r="GR1205" s="4">
        <v>199</v>
      </c>
      <c r="GS1205" s="4">
        <v>198</v>
      </c>
      <c r="GT1205" s="4">
        <v>197</v>
      </c>
      <c r="GU1205" s="4">
        <v>196</v>
      </c>
      <c r="GV1205" s="4">
        <v>195</v>
      </c>
      <c r="GW1205" s="4">
        <v>194</v>
      </c>
      <c r="GX1205" s="4">
        <v>193</v>
      </c>
      <c r="GY1205" s="4">
        <v>192</v>
      </c>
      <c r="GZ1205" s="4">
        <v>191</v>
      </c>
      <c r="HA1205" s="4">
        <v>190</v>
      </c>
      <c r="HB1205" s="4">
        <v>189</v>
      </c>
      <c r="HC1205" s="4">
        <v>188</v>
      </c>
      <c r="HD1205" s="19">
        <v>216</v>
      </c>
      <c r="HE1205" s="19">
        <v>214</v>
      </c>
      <c r="HF1205" s="19">
        <v>213</v>
      </c>
      <c r="HG1205" s="19">
        <v>212</v>
      </c>
      <c r="HH1205" s="19">
        <v>211</v>
      </c>
      <c r="HI1205" s="19">
        <v>210</v>
      </c>
      <c r="HJ1205" s="19">
        <v>209</v>
      </c>
      <c r="HK1205" s="19">
        <v>208</v>
      </c>
      <c r="HL1205" s="19">
        <v>207</v>
      </c>
      <c r="HM1205" s="19">
        <v>103</v>
      </c>
      <c r="HN1205" s="19">
        <v>102.5</v>
      </c>
      <c r="HO1205" s="19">
        <v>102</v>
      </c>
      <c r="HP1205" s="19">
        <v>202</v>
      </c>
      <c r="HQ1205" s="19">
        <v>200</v>
      </c>
      <c r="HR1205" s="19">
        <v>199</v>
      </c>
      <c r="HS1205" s="19">
        <v>198</v>
      </c>
      <c r="HT1205" s="19">
        <v>197</v>
      </c>
      <c r="HU1205" s="19">
        <v>196</v>
      </c>
      <c r="HV1205" s="19">
        <v>195</v>
      </c>
      <c r="HW1205" s="19">
        <v>194</v>
      </c>
      <c r="HX1205" s="19">
        <v>193</v>
      </c>
      <c r="HY1205" s="19">
        <v>192</v>
      </c>
      <c r="HZ1205" s="19">
        <v>191</v>
      </c>
      <c r="IA1205" s="19">
        <v>190</v>
      </c>
      <c r="IB1205" s="19">
        <v>189</v>
      </c>
      <c r="IC1205" s="19">
        <v>188</v>
      </c>
    </row>
    <row r="1206">
      <c r="A1206" s="2" t="s">
        <v>4769</v>
      </c>
      <c r="B1206" s="2" t="s">
        <v>1071</v>
      </c>
      <c r="C1206" s="2" t="s">
        <v>324</v>
      </c>
      <c r="D1206" s="2" t="s">
        <v>1818</v>
      </c>
      <c r="E1206" s="2" t="s">
        <v>1819</v>
      </c>
      <c r="F1206" s="2" t="s">
        <v>4770</v>
      </c>
      <c r="G1206" s="2" t="s">
        <v>4771</v>
      </c>
      <c r="H1206" s="2" t="s">
        <v>4772</v>
      </c>
      <c r="I1206" s="2" t="s">
        <v>4773</v>
      </c>
      <c r="J1206" s="2" t="s">
        <v>806</v>
      </c>
      <c r="K1206" s="2" t="s">
        <v>1169</v>
      </c>
      <c r="L1206" s="3">
        <v>285.2</v>
      </c>
      <c r="M1206" s="3">
        <v>299.46</v>
      </c>
      <c r="N1206" s="3">
        <v>599</v>
      </c>
      <c r="O1206" s="2" t="s">
        <v>485</v>
      </c>
      <c r="P1206" s="2" t="s">
        <v>408</v>
      </c>
      <c r="Q1206" s="2" t="s">
        <v>234</v>
      </c>
      <c r="R1206" s="2" t="s">
        <v>235</v>
      </c>
      <c r="S1206" s="2" t="s">
        <v>235</v>
      </c>
      <c r="T1206" s="2" t="s">
        <v>235</v>
      </c>
      <c r="U1206" s="2" t="s">
        <v>278</v>
      </c>
      <c r="V1206" s="2" t="s">
        <v>808</v>
      </c>
      <c r="W1206" s="2" t="s">
        <v>682</v>
      </c>
      <c r="X1206" s="2" t="s">
        <v>235</v>
      </c>
      <c r="Y1206" s="2" t="s">
        <v>2097</v>
      </c>
      <c r="Z1206" s="4">
        <v>33</v>
      </c>
      <c r="AA1206" s="4">
        <f>=ROUNDDOWN(14.3478260869565,0)</f>
      </c>
      <c r="AB1206" s="5">
        <v>2.3</v>
      </c>
      <c r="AC1206" s="2" t="s">
        <v>235</v>
      </c>
      <c r="AD1206" s="4"/>
      <c r="AE1206" s="4"/>
      <c r="AF1206" s="6">
        <v>66</v>
      </c>
      <c r="AG1206" s="6"/>
      <c r="AH1206" s="7">
        <v>1</v>
      </c>
      <c r="AI1206" s="4"/>
      <c r="AJ1206" s="4">
        <f>=ROUNDDOWN({0},0)</f>
      </c>
      <c r="AK1206" s="5"/>
      <c r="AL1206" s="2" t="s">
        <v>235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>
        <v>16</v>
      </c>
      <c r="BK1206" s="8">
        <v>1978.29</v>
      </c>
      <c r="BL1206" s="2" t="s">
        <v>811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4774</v>
      </c>
      <c r="BV1206" s="2" t="s">
        <v>1488</v>
      </c>
      <c r="BW1206" s="2" t="s">
        <v>235</v>
      </c>
      <c r="BX1206" s="2" t="s">
        <v>414</v>
      </c>
      <c r="BY1206" s="2" t="s">
        <v>245</v>
      </c>
      <c r="BZ1206" s="2" t="s">
        <v>232</v>
      </c>
      <c r="CA1206" s="2" t="s">
        <v>4775</v>
      </c>
      <c r="CB1206" s="2" t="s">
        <v>4776</v>
      </c>
      <c r="CC1206" s="2" t="s">
        <v>248</v>
      </c>
      <c r="CD1206" s="2" t="s">
        <v>248</v>
      </c>
      <c r="CE1206" s="2" t="s">
        <v>235</v>
      </c>
      <c r="CF1206" s="4"/>
      <c r="CG1206" s="4">
        <v>33</v>
      </c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>
        <v>42</v>
      </c>
      <c r="GE1206" s="4">
        <v>34</v>
      </c>
      <c r="GF1206" s="4">
        <v>32</v>
      </c>
      <c r="GG1206" s="4">
        <v>30</v>
      </c>
      <c r="GH1206" s="4">
        <v>28</v>
      </c>
      <c r="GI1206" s="4">
        <v>26</v>
      </c>
      <c r="GJ1206" s="4">
        <v>24</v>
      </c>
      <c r="GK1206" s="4">
        <v>22</v>
      </c>
      <c r="GL1206" s="4">
        <v>20</v>
      </c>
      <c r="GM1206" s="4">
        <v>18</v>
      </c>
      <c r="GN1206" s="4">
        <v>16</v>
      </c>
      <c r="GO1206" s="4">
        <v>13</v>
      </c>
      <c r="GP1206" s="4">
        <v>11</v>
      </c>
      <c r="GQ1206" s="4">
        <v>7</v>
      </c>
      <c r="GR1206" s="4">
        <v>4</v>
      </c>
      <c r="GS1206" s="4">
        <v>2</v>
      </c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19">
        <v>10.5</v>
      </c>
      <c r="HE1206" s="19">
        <v>17</v>
      </c>
      <c r="HF1206" s="19">
        <v>16</v>
      </c>
      <c r="HG1206" s="19">
        <v>15</v>
      </c>
      <c r="HH1206" s="19">
        <v>14</v>
      </c>
      <c r="HI1206" s="19">
        <v>13</v>
      </c>
      <c r="HJ1206" s="19">
        <v>12</v>
      </c>
      <c r="HK1206" s="19">
        <v>11</v>
      </c>
      <c r="HL1206" s="19">
        <v>10</v>
      </c>
      <c r="HM1206" s="19">
        <v>6</v>
      </c>
      <c r="HN1206" s="19">
        <v>5.3</v>
      </c>
      <c r="HO1206" s="19">
        <v>4.3</v>
      </c>
      <c r="HP1206" s="19">
        <v>3.7</v>
      </c>
      <c r="HQ1206" s="19">
        <v>3.5</v>
      </c>
      <c r="HR1206" s="19">
        <v>2</v>
      </c>
      <c r="HS1206" s="19">
        <v>1</v>
      </c>
      <c r="HT1206" s="20">
        <v>0</v>
      </c>
      <c r="HU1206" s="20">
        <v>0</v>
      </c>
      <c r="HV1206" s="20">
        <v>0</v>
      </c>
      <c r="HW1206" s="20">
        <v>0</v>
      </c>
      <c r="HX1206" s="20">
        <v>0</v>
      </c>
      <c r="HY1206" s="20">
        <v>0</v>
      </c>
      <c r="HZ1206" s="20">
        <v>0</v>
      </c>
      <c r="IA1206" s="20">
        <v>0</v>
      </c>
      <c r="IB1206" s="20">
        <v>0</v>
      </c>
      <c r="IC1206" s="20">
        <v>0</v>
      </c>
    </row>
    <row r="1207">
      <c r="A1207" s="2" t="s">
        <v>4777</v>
      </c>
      <c r="B1207" s="2" t="s">
        <v>1529</v>
      </c>
      <c r="C1207" s="2" t="s">
        <v>1381</v>
      </c>
      <c r="D1207" s="2" t="s">
        <v>4778</v>
      </c>
      <c r="E1207" s="2" t="s">
        <v>4779</v>
      </c>
      <c r="F1207" s="2" t="s">
        <v>4780</v>
      </c>
      <c r="G1207" s="2" t="s">
        <v>4780</v>
      </c>
      <c r="H1207" s="2" t="s">
        <v>4780</v>
      </c>
      <c r="I1207" s="2" t="s">
        <v>4781</v>
      </c>
      <c r="J1207" s="2" t="s">
        <v>897</v>
      </c>
      <c r="K1207" s="2" t="s">
        <v>4782</v>
      </c>
      <c r="L1207" s="3">
        <v>250</v>
      </c>
      <c r="M1207" s="3">
        <v>262.5</v>
      </c>
      <c r="N1207" s="3">
        <v>739</v>
      </c>
      <c r="O1207" s="2" t="s">
        <v>232</v>
      </c>
      <c r="P1207" s="2" t="s">
        <v>1533</v>
      </c>
      <c r="Q1207" s="2" t="s">
        <v>234</v>
      </c>
      <c r="R1207" s="2" t="s">
        <v>235</v>
      </c>
      <c r="S1207" s="2" t="s">
        <v>235</v>
      </c>
      <c r="T1207" s="2" t="s">
        <v>235</v>
      </c>
      <c r="U1207" s="2" t="s">
        <v>807</v>
      </c>
      <c r="V1207" s="2" t="s">
        <v>238</v>
      </c>
      <c r="W1207" s="2" t="s">
        <v>235</v>
      </c>
      <c r="X1207" s="2" t="s">
        <v>235</v>
      </c>
      <c r="Y1207" s="2" t="s">
        <v>4783</v>
      </c>
      <c r="Z1207" s="4">
        <v>25</v>
      </c>
      <c r="AA1207" s="4">
        <f>=ROUNDDOWN(83.3333333333333,0)</f>
      </c>
      <c r="AB1207" s="5">
        <v>0.3</v>
      </c>
      <c r="AC1207" s="2" t="s">
        <v>235</v>
      </c>
      <c r="AD1207" s="4"/>
      <c r="AE1207" s="4"/>
      <c r="AF1207" s="6"/>
      <c r="AG1207" s="6"/>
      <c r="AH1207" s="7">
        <v>1</v>
      </c>
      <c r="AI1207" s="4"/>
      <c r="AJ1207" s="4">
        <f>=ROUNDDOWN({0},0)</f>
      </c>
      <c r="AK1207" s="5"/>
      <c r="AL1207" s="2" t="s">
        <v>235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>
        <v>1</v>
      </c>
      <c r="BK1207" s="8">
        <v>189</v>
      </c>
      <c r="BL1207" s="2" t="s">
        <v>900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4784</v>
      </c>
      <c r="BV1207" s="2" t="s">
        <v>4384</v>
      </c>
      <c r="BW1207" s="2" t="s">
        <v>235</v>
      </c>
      <c r="BX1207" s="2" t="s">
        <v>244</v>
      </c>
      <c r="BY1207" s="2" t="s">
        <v>245</v>
      </c>
      <c r="BZ1207" s="2" t="s">
        <v>232</v>
      </c>
      <c r="CA1207" s="2" t="s">
        <v>3474</v>
      </c>
      <c r="CB1207" s="2" t="s">
        <v>235</v>
      </c>
      <c r="CC1207" s="2" t="s">
        <v>248</v>
      </c>
      <c r="CD1207" s="2" t="s">
        <v>248</v>
      </c>
      <c r="CE1207" s="2" t="s">
        <v>235</v>
      </c>
      <c r="CF1207" s="4"/>
      <c r="CG1207" s="4">
        <v>25</v>
      </c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9"/>
      <c r="HE1207" s="9"/>
      <c r="HF1207" s="9"/>
      <c r="HG1207" s="9"/>
      <c r="HH1207" s="9"/>
      <c r="HI1207" s="9"/>
      <c r="HJ1207" s="9"/>
      <c r="HK1207" s="9"/>
      <c r="HL1207" s="9"/>
      <c r="HM1207" s="9"/>
      <c r="HN1207" s="9"/>
      <c r="HO1207" s="9"/>
      <c r="HP1207" s="9"/>
      <c r="HQ1207" s="9"/>
      <c r="HR1207" s="9"/>
      <c r="HS1207" s="9"/>
      <c r="HT1207" s="9"/>
      <c r="HU1207" s="9"/>
      <c r="HV1207" s="9"/>
      <c r="HW1207" s="9"/>
      <c r="HX1207" s="9"/>
      <c r="HY1207" s="9"/>
      <c r="HZ1207" s="9"/>
      <c r="IA1207" s="9"/>
      <c r="IB1207" s="9"/>
      <c r="IC1207" s="9"/>
    </row>
    <row r="1208">
      <c r="A1208" s="2" t="s">
        <v>4785</v>
      </c>
      <c r="B1208" s="2" t="s">
        <v>871</v>
      </c>
      <c r="C1208" s="2" t="s">
        <v>893</v>
      </c>
      <c r="D1208" s="2" t="s">
        <v>906</v>
      </c>
      <c r="E1208" s="2" t="s">
        <v>907</v>
      </c>
      <c r="F1208" s="2" t="s">
        <v>4786</v>
      </c>
      <c r="G1208" s="2" t="s">
        <v>4786</v>
      </c>
      <c r="H1208" s="2" t="s">
        <v>4786</v>
      </c>
      <c r="I1208" s="2" t="s">
        <v>4787</v>
      </c>
      <c r="J1208" s="2" t="s">
        <v>365</v>
      </c>
      <c r="K1208" s="2" t="s">
        <v>287</v>
      </c>
      <c r="L1208" s="3">
        <v>55</v>
      </c>
      <c r="M1208" s="3">
        <v>57.74</v>
      </c>
      <c r="N1208" s="3">
        <v>109.99</v>
      </c>
      <c r="O1208" s="2" t="s">
        <v>407</v>
      </c>
      <c r="P1208" s="2" t="s">
        <v>408</v>
      </c>
      <c r="Q1208" s="2" t="s">
        <v>234</v>
      </c>
      <c r="R1208" s="2" t="s">
        <v>235</v>
      </c>
      <c r="S1208" s="2" t="s">
        <v>4788</v>
      </c>
      <c r="T1208" s="2" t="s">
        <v>1298</v>
      </c>
      <c r="U1208" s="2" t="s">
        <v>552</v>
      </c>
      <c r="V1208" s="2" t="s">
        <v>420</v>
      </c>
      <c r="W1208" s="2" t="s">
        <v>4248</v>
      </c>
      <c r="X1208" s="2" t="s">
        <v>239</v>
      </c>
      <c r="Y1208" s="2" t="s">
        <v>4789</v>
      </c>
      <c r="Z1208" s="4">
        <v>120</v>
      </c>
      <c r="AA1208" s="4">
        <f>=ROUNDDOWN(32.4324324324324,0)</f>
      </c>
      <c r="AB1208" s="5">
        <v>3.7</v>
      </c>
      <c r="AC1208" s="2" t="s">
        <v>235</v>
      </c>
      <c r="AD1208" s="4"/>
      <c r="AE1208" s="4"/>
      <c r="AF1208" s="6">
        <v>75</v>
      </c>
      <c r="AG1208" s="6"/>
      <c r="AH1208" s="7">
        <v>1</v>
      </c>
      <c r="AI1208" s="4"/>
      <c r="AJ1208" s="4">
        <f>=ROUNDDOWN({0},0)</f>
      </c>
      <c r="AK1208" s="5"/>
      <c r="AL1208" s="2" t="s">
        <v>235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235</v>
      </c>
      <c r="AW1208" s="8" t="s">
        <v>235</v>
      </c>
      <c r="AX1208" s="4" t="s">
        <v>235</v>
      </c>
      <c r="AY1208" s="8" t="s">
        <v>235</v>
      </c>
      <c r="AZ1208" s="7" t="s">
        <v>235</v>
      </c>
      <c r="BA1208" s="7" t="s">
        <v>235</v>
      </c>
      <c r="BB1208" s="7"/>
      <c r="BC1208" s="4" t="s">
        <v>235</v>
      </c>
      <c r="BD1208" s="8" t="s">
        <v>235</v>
      </c>
      <c r="BE1208" s="4" t="s">
        <v>235</v>
      </c>
      <c r="BF1208" s="8" t="s">
        <v>235</v>
      </c>
      <c r="BG1208" s="7" t="s">
        <v>235</v>
      </c>
      <c r="BH1208" s="7" t="s">
        <v>235</v>
      </c>
      <c r="BI1208" s="7"/>
      <c r="BJ1208" s="4">
        <v>7</v>
      </c>
      <c r="BK1208" s="8">
        <v>380.04</v>
      </c>
      <c r="BL1208" s="2" t="s">
        <v>4790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4791</v>
      </c>
      <c r="BV1208" s="2" t="s">
        <v>243</v>
      </c>
      <c r="BW1208" s="2" t="s">
        <v>235</v>
      </c>
      <c r="BX1208" s="2" t="s">
        <v>244</v>
      </c>
      <c r="BY1208" s="2" t="s">
        <v>245</v>
      </c>
      <c r="BZ1208" s="2" t="s">
        <v>232</v>
      </c>
      <c r="CA1208" s="2" t="s">
        <v>4792</v>
      </c>
      <c r="CB1208" s="2" t="s">
        <v>4793</v>
      </c>
      <c r="CC1208" s="2" t="s">
        <v>248</v>
      </c>
      <c r="CD1208" s="2" t="s">
        <v>248</v>
      </c>
      <c r="CE1208" s="2" t="s">
        <v>235</v>
      </c>
      <c r="CF1208" s="4">
        <v>120</v>
      </c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>
        <v>123</v>
      </c>
      <c r="GE1208" s="4">
        <v>110</v>
      </c>
      <c r="GF1208" s="4">
        <v>106</v>
      </c>
      <c r="GG1208" s="4">
        <v>102</v>
      </c>
      <c r="GH1208" s="4">
        <v>97</v>
      </c>
      <c r="GI1208" s="4">
        <v>92</v>
      </c>
      <c r="GJ1208" s="4">
        <v>85</v>
      </c>
      <c r="GK1208" s="4">
        <v>80</v>
      </c>
      <c r="GL1208" s="4">
        <v>75</v>
      </c>
      <c r="GM1208" s="4">
        <v>71</v>
      </c>
      <c r="GN1208" s="4">
        <v>66</v>
      </c>
      <c r="GO1208" s="4">
        <v>59</v>
      </c>
      <c r="GP1208" s="4">
        <v>52</v>
      </c>
      <c r="GQ1208" s="4">
        <v>38</v>
      </c>
      <c r="GR1208" s="4">
        <v>31</v>
      </c>
      <c r="GS1208" s="4">
        <v>24</v>
      </c>
      <c r="GT1208" s="4">
        <v>19</v>
      </c>
      <c r="GU1208" s="4">
        <v>15</v>
      </c>
      <c r="GV1208" s="4">
        <v>11</v>
      </c>
      <c r="GW1208" s="4">
        <v>7</v>
      </c>
      <c r="GX1208" s="4">
        <v>3</v>
      </c>
      <c r="GY1208" s="4"/>
      <c r="GZ1208" s="4"/>
      <c r="HA1208" s="4"/>
      <c r="HB1208" s="4"/>
      <c r="HC1208" s="4"/>
      <c r="HD1208" s="19">
        <v>20.5</v>
      </c>
      <c r="HE1208" s="19">
        <v>27.5</v>
      </c>
      <c r="HF1208" s="19">
        <v>21.2</v>
      </c>
      <c r="HG1208" s="19">
        <v>17</v>
      </c>
      <c r="HH1208" s="19">
        <v>16.2</v>
      </c>
      <c r="HI1208" s="19">
        <v>18.4</v>
      </c>
      <c r="HJ1208" s="19">
        <v>17</v>
      </c>
      <c r="HK1208" s="19">
        <v>16</v>
      </c>
      <c r="HL1208" s="19">
        <v>12.5</v>
      </c>
      <c r="HM1208" s="19">
        <v>8.9</v>
      </c>
      <c r="HN1208" s="19">
        <v>7.3</v>
      </c>
      <c r="HO1208" s="19">
        <v>6.6</v>
      </c>
      <c r="HP1208" s="19">
        <v>6.5</v>
      </c>
      <c r="HQ1208" s="19">
        <v>6.3</v>
      </c>
      <c r="HR1208" s="19">
        <v>6.2</v>
      </c>
      <c r="HS1208" s="19">
        <v>6</v>
      </c>
      <c r="HT1208" s="19">
        <v>4.8</v>
      </c>
      <c r="HU1208" s="19">
        <v>3.8</v>
      </c>
      <c r="HV1208" s="19">
        <v>2.8</v>
      </c>
      <c r="HW1208" s="19">
        <v>1.8</v>
      </c>
      <c r="HX1208" s="19">
        <v>0.8</v>
      </c>
      <c r="HY1208" s="20">
        <v>0</v>
      </c>
      <c r="HZ1208" s="20">
        <v>0</v>
      </c>
      <c r="IA1208" s="20">
        <v>0</v>
      </c>
      <c r="IB1208" s="20">
        <v>0</v>
      </c>
      <c r="IC1208" s="20">
        <v>0</v>
      </c>
    </row>
    <row r="1209">
      <c r="A1209" s="2" t="s">
        <v>4794</v>
      </c>
      <c r="B1209" s="2" t="s">
        <v>871</v>
      </c>
      <c r="C1209" s="2" t="s">
        <v>893</v>
      </c>
      <c r="D1209" s="2" t="s">
        <v>906</v>
      </c>
      <c r="E1209" s="2" t="s">
        <v>907</v>
      </c>
      <c r="F1209" s="2" t="s">
        <v>4786</v>
      </c>
      <c r="G1209" s="2" t="s">
        <v>4786</v>
      </c>
      <c r="H1209" s="2" t="s">
        <v>4786</v>
      </c>
      <c r="I1209" s="2" t="s">
        <v>4787</v>
      </c>
      <c r="J1209" s="2" t="s">
        <v>372</v>
      </c>
      <c r="K1209" s="2" t="s">
        <v>287</v>
      </c>
      <c r="L1209" s="3">
        <v>70</v>
      </c>
      <c r="M1209" s="3">
        <v>73.49</v>
      </c>
      <c r="N1209" s="3">
        <v>139.99</v>
      </c>
      <c r="O1209" s="2" t="s">
        <v>407</v>
      </c>
      <c r="P1209" s="2" t="s">
        <v>408</v>
      </c>
      <c r="Q1209" s="2" t="s">
        <v>234</v>
      </c>
      <c r="R1209" s="2" t="s">
        <v>235</v>
      </c>
      <c r="S1209" s="2" t="s">
        <v>4788</v>
      </c>
      <c r="T1209" s="2" t="s">
        <v>1298</v>
      </c>
      <c r="U1209" s="2" t="s">
        <v>552</v>
      </c>
      <c r="V1209" s="2" t="s">
        <v>420</v>
      </c>
      <c r="W1209" s="2" t="s">
        <v>4248</v>
      </c>
      <c r="X1209" s="2" t="s">
        <v>239</v>
      </c>
      <c r="Y1209" s="2" t="s">
        <v>4789</v>
      </c>
      <c r="Z1209" s="4">
        <v>44</v>
      </c>
      <c r="AA1209" s="4">
        <f>=ROUNDDOWN(17.6,0)</f>
      </c>
      <c r="AB1209" s="5">
        <v>2.5</v>
      </c>
      <c r="AC1209" s="2" t="s">
        <v>235</v>
      </c>
      <c r="AD1209" s="4"/>
      <c r="AE1209" s="4"/>
      <c r="AF1209" s="6">
        <v>75</v>
      </c>
      <c r="AG1209" s="6"/>
      <c r="AH1209" s="7">
        <v>1</v>
      </c>
      <c r="AI1209" s="4"/>
      <c r="AJ1209" s="4">
        <f>=ROUNDDOWN({0},0)</f>
      </c>
      <c r="AK1209" s="5"/>
      <c r="AL1209" s="2" t="s">
        <v>235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235</v>
      </c>
      <c r="AW1209" s="8" t="s">
        <v>235</v>
      </c>
      <c r="AX1209" s="4" t="s">
        <v>235</v>
      </c>
      <c r="AY1209" s="8" t="s">
        <v>235</v>
      </c>
      <c r="AZ1209" s="7" t="s">
        <v>235</v>
      </c>
      <c r="BA1209" s="7" t="s">
        <v>235</v>
      </c>
      <c r="BB1209" s="7"/>
      <c r="BC1209" s="4" t="s">
        <v>235</v>
      </c>
      <c r="BD1209" s="8" t="s">
        <v>235</v>
      </c>
      <c r="BE1209" s="4" t="s">
        <v>235</v>
      </c>
      <c r="BF1209" s="8" t="s">
        <v>235</v>
      </c>
      <c r="BG1209" s="7" t="s">
        <v>235</v>
      </c>
      <c r="BH1209" s="7" t="s">
        <v>235</v>
      </c>
      <c r="BI1209" s="7"/>
      <c r="BJ1209" s="4">
        <v>8</v>
      </c>
      <c r="BK1209" s="8">
        <v>612.82</v>
      </c>
      <c r="BL1209" s="2" t="s">
        <v>4795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4791</v>
      </c>
      <c r="BV1209" s="2" t="s">
        <v>243</v>
      </c>
      <c r="BW1209" s="2" t="s">
        <v>235</v>
      </c>
      <c r="BX1209" s="2" t="s">
        <v>244</v>
      </c>
      <c r="BY1209" s="2" t="s">
        <v>245</v>
      </c>
      <c r="BZ1209" s="2" t="s">
        <v>232</v>
      </c>
      <c r="CA1209" s="2" t="s">
        <v>4792</v>
      </c>
      <c r="CB1209" s="2" t="s">
        <v>4796</v>
      </c>
      <c r="CC1209" s="2" t="s">
        <v>248</v>
      </c>
      <c r="CD1209" s="2" t="s">
        <v>248</v>
      </c>
      <c r="CE1209" s="2" t="s">
        <v>235</v>
      </c>
      <c r="CF1209" s="4">
        <v>44</v>
      </c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>
        <v>46</v>
      </c>
      <c r="GE1209" s="4">
        <v>35</v>
      </c>
      <c r="GF1209" s="4">
        <v>33</v>
      </c>
      <c r="GG1209" s="4">
        <v>31</v>
      </c>
      <c r="GH1209" s="4">
        <v>28</v>
      </c>
      <c r="GI1209" s="4">
        <v>25</v>
      </c>
      <c r="GJ1209" s="4">
        <v>20</v>
      </c>
      <c r="GK1209" s="4">
        <v>17</v>
      </c>
      <c r="GL1209" s="4">
        <v>14</v>
      </c>
      <c r="GM1209" s="4">
        <v>12</v>
      </c>
      <c r="GN1209" s="4">
        <v>10</v>
      </c>
      <c r="GO1209" s="4">
        <v>7</v>
      </c>
      <c r="GP1209" s="4">
        <v>4</v>
      </c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19">
        <v>11.5</v>
      </c>
      <c r="HE1209" s="19">
        <v>17.5</v>
      </c>
      <c r="HF1209" s="19">
        <v>11</v>
      </c>
      <c r="HG1209" s="19">
        <v>7.8</v>
      </c>
      <c r="HH1209" s="19">
        <v>7</v>
      </c>
      <c r="HI1209" s="19">
        <v>8.3</v>
      </c>
      <c r="HJ1209" s="19">
        <v>10</v>
      </c>
      <c r="HK1209" s="19">
        <v>8.5</v>
      </c>
      <c r="HL1209" s="19">
        <v>7</v>
      </c>
      <c r="HM1209" s="19">
        <v>4</v>
      </c>
      <c r="HN1209" s="19">
        <v>3.3</v>
      </c>
      <c r="HO1209" s="19">
        <v>2.3</v>
      </c>
      <c r="HP1209" s="19">
        <v>2</v>
      </c>
      <c r="HQ1209" s="20">
        <v>0</v>
      </c>
      <c r="HR1209" s="20">
        <v>0</v>
      </c>
      <c r="HS1209" s="20">
        <v>0</v>
      </c>
      <c r="HT1209" s="20">
        <v>0</v>
      </c>
      <c r="HU1209" s="20">
        <v>0</v>
      </c>
      <c r="HV1209" s="20">
        <v>0</v>
      </c>
      <c r="HW1209" s="20">
        <v>0</v>
      </c>
      <c r="HX1209" s="20">
        <v>0</v>
      </c>
      <c r="HY1209" s="20">
        <v>0</v>
      </c>
      <c r="HZ1209" s="20">
        <v>0</v>
      </c>
      <c r="IA1209" s="20">
        <v>0</v>
      </c>
      <c r="IB1209" s="20">
        <v>0</v>
      </c>
      <c r="IC1209" s="20">
        <v>0</v>
      </c>
    </row>
    <row r="1210">
      <c r="A1210" s="2" t="s">
        <v>4797</v>
      </c>
      <c r="B1210" s="2" t="s">
        <v>871</v>
      </c>
      <c r="C1210" s="2" t="s">
        <v>893</v>
      </c>
      <c r="D1210" s="2" t="s">
        <v>361</v>
      </c>
      <c r="E1210" s="2" t="s">
        <v>924</v>
      </c>
      <c r="F1210" s="2" t="s">
        <v>4786</v>
      </c>
      <c r="G1210" s="2" t="s">
        <v>4786</v>
      </c>
      <c r="H1210" s="2" t="s">
        <v>4786</v>
      </c>
      <c r="I1210" s="2" t="s">
        <v>2127</v>
      </c>
      <c r="J1210" s="2" t="s">
        <v>365</v>
      </c>
      <c r="K1210" s="2" t="s">
        <v>295</v>
      </c>
      <c r="L1210" s="3">
        <v>65</v>
      </c>
      <c r="M1210" s="3">
        <v>68.25</v>
      </c>
      <c r="N1210" s="3">
        <v>129.99</v>
      </c>
      <c r="O1210" s="2" t="s">
        <v>485</v>
      </c>
      <c r="P1210" s="2" t="s">
        <v>408</v>
      </c>
      <c r="Q1210" s="2" t="s">
        <v>234</v>
      </c>
      <c r="R1210" s="2" t="s">
        <v>235</v>
      </c>
      <c r="S1210" s="2" t="s">
        <v>4798</v>
      </c>
      <c r="T1210" s="2" t="s">
        <v>263</v>
      </c>
      <c r="U1210" s="2" t="s">
        <v>552</v>
      </c>
      <c r="V1210" s="2" t="s">
        <v>238</v>
      </c>
      <c r="W1210" s="2" t="s">
        <v>1731</v>
      </c>
      <c r="X1210" s="2" t="s">
        <v>239</v>
      </c>
      <c r="Y1210" s="2" t="s">
        <v>4789</v>
      </c>
      <c r="Z1210" s="4"/>
      <c r="AA1210" s="4">
        <f>=ROUNDDOWN({0},0)</f>
      </c>
      <c r="AB1210" s="5">
        <v>6</v>
      </c>
      <c r="AC1210" s="2" t="s">
        <v>235</v>
      </c>
      <c r="AD1210" s="4"/>
      <c r="AE1210" s="4"/>
      <c r="AF1210" s="6">
        <v>75</v>
      </c>
      <c r="AG1210" s="6"/>
      <c r="AH1210" s="7">
        <v>0.8387</v>
      </c>
      <c r="AI1210" s="4"/>
      <c r="AJ1210" s="4">
        <f>=ROUNDDOWN({0},0)</f>
      </c>
      <c r="AK1210" s="5"/>
      <c r="AL1210" s="2" t="s">
        <v>235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235</v>
      </c>
      <c r="AW1210" s="8" t="s">
        <v>235</v>
      </c>
      <c r="AX1210" s="4" t="s">
        <v>235</v>
      </c>
      <c r="AY1210" s="8" t="s">
        <v>235</v>
      </c>
      <c r="AZ1210" s="7" t="s">
        <v>235</v>
      </c>
      <c r="BA1210" s="7" t="s">
        <v>235</v>
      </c>
      <c r="BB1210" s="7" t="s">
        <v>235</v>
      </c>
      <c r="BC1210" s="4" t="s">
        <v>235</v>
      </c>
      <c r="BD1210" s="8" t="s">
        <v>235</v>
      </c>
      <c r="BE1210" s="4" t="s">
        <v>235</v>
      </c>
      <c r="BF1210" s="8" t="s">
        <v>235</v>
      </c>
      <c r="BG1210" s="7" t="s">
        <v>235</v>
      </c>
      <c r="BH1210" s="7" t="s">
        <v>235</v>
      </c>
      <c r="BI1210" s="7"/>
      <c r="BJ1210" s="4">
        <v>12</v>
      </c>
      <c r="BK1210" s="8">
        <v>767.9</v>
      </c>
      <c r="BL1210" s="2" t="s">
        <v>4799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4800</v>
      </c>
      <c r="BV1210" s="2" t="s">
        <v>243</v>
      </c>
      <c r="BW1210" s="2" t="s">
        <v>235</v>
      </c>
      <c r="BX1210" s="2" t="s">
        <v>414</v>
      </c>
      <c r="BY1210" s="2" t="s">
        <v>245</v>
      </c>
      <c r="BZ1210" s="2" t="s">
        <v>232</v>
      </c>
      <c r="CA1210" s="2" t="s">
        <v>4792</v>
      </c>
      <c r="CB1210" s="2" t="s">
        <v>4032</v>
      </c>
      <c r="CC1210" s="2" t="s">
        <v>248</v>
      </c>
      <c r="CD1210" s="2" t="s">
        <v>248</v>
      </c>
      <c r="CE1210" s="2" t="s">
        <v>235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>
        <v>125</v>
      </c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19">
        <v>3.5</v>
      </c>
      <c r="HE1210" s="20">
        <v>0</v>
      </c>
      <c r="HF1210" s="20">
        <v>0</v>
      </c>
      <c r="HG1210" s="20">
        <v>0</v>
      </c>
      <c r="HH1210" s="20">
        <v>0</v>
      </c>
      <c r="HI1210" s="20">
        <v>0</v>
      </c>
      <c r="HJ1210" s="20">
        <v>0</v>
      </c>
      <c r="HK1210" s="20">
        <v>0</v>
      </c>
      <c r="HL1210" s="20">
        <v>0</v>
      </c>
      <c r="HM1210" s="20">
        <v>0</v>
      </c>
      <c r="HN1210" s="20">
        <v>0</v>
      </c>
      <c r="HO1210" s="20">
        <v>0</v>
      </c>
      <c r="HP1210" s="20">
        <v>0</v>
      </c>
      <c r="HQ1210" s="20">
        <v>0</v>
      </c>
      <c r="HR1210" s="20">
        <v>0</v>
      </c>
      <c r="HS1210" s="20">
        <v>0</v>
      </c>
      <c r="HT1210" s="20">
        <v>0</v>
      </c>
      <c r="HU1210" s="20">
        <v>0</v>
      </c>
      <c r="HV1210" s="20">
        <v>0</v>
      </c>
      <c r="HW1210" s="20">
        <v>0</v>
      </c>
      <c r="HX1210" s="20">
        <v>0</v>
      </c>
      <c r="HY1210" s="20">
        <v>0</v>
      </c>
      <c r="HZ1210" s="20">
        <v>0</v>
      </c>
      <c r="IA1210" s="20">
        <v>0</v>
      </c>
      <c r="IB1210" s="20">
        <v>0</v>
      </c>
      <c r="IC1210" s="20">
        <v>0</v>
      </c>
    </row>
    <row r="1211">
      <c r="A1211" s="2" t="s">
        <v>4801</v>
      </c>
      <c r="B1211" s="2" t="s">
        <v>871</v>
      </c>
      <c r="C1211" s="2" t="s">
        <v>893</v>
      </c>
      <c r="D1211" s="2" t="s">
        <v>906</v>
      </c>
      <c r="E1211" s="2" t="s">
        <v>907</v>
      </c>
      <c r="F1211" s="2" t="s">
        <v>4786</v>
      </c>
      <c r="G1211" s="2" t="s">
        <v>4786</v>
      </c>
      <c r="H1211" s="2" t="s">
        <v>4786</v>
      </c>
      <c r="I1211" s="2" t="s">
        <v>4787</v>
      </c>
      <c r="J1211" s="2" t="s">
        <v>365</v>
      </c>
      <c r="K1211" s="2" t="s">
        <v>295</v>
      </c>
      <c r="L1211" s="3">
        <v>55</v>
      </c>
      <c r="M1211" s="3">
        <v>57.74</v>
      </c>
      <c r="N1211" s="3">
        <v>109.99</v>
      </c>
      <c r="O1211" s="2" t="s">
        <v>407</v>
      </c>
      <c r="P1211" s="2" t="s">
        <v>408</v>
      </c>
      <c r="Q1211" s="2" t="s">
        <v>234</v>
      </c>
      <c r="R1211" s="2" t="s">
        <v>235</v>
      </c>
      <c r="S1211" s="2" t="s">
        <v>4798</v>
      </c>
      <c r="T1211" s="2" t="s">
        <v>263</v>
      </c>
      <c r="U1211" s="2" t="s">
        <v>552</v>
      </c>
      <c r="V1211" s="2" t="s">
        <v>238</v>
      </c>
      <c r="W1211" s="2" t="s">
        <v>1731</v>
      </c>
      <c r="X1211" s="2" t="s">
        <v>239</v>
      </c>
      <c r="Y1211" s="2" t="s">
        <v>4789</v>
      </c>
      <c r="Z1211" s="4">
        <v>192</v>
      </c>
      <c r="AA1211" s="4">
        <f>=ROUNDDOWN(27.4285714285714,0)</f>
      </c>
      <c r="AB1211" s="5">
        <v>7</v>
      </c>
      <c r="AC1211" s="2" t="s">
        <v>235</v>
      </c>
      <c r="AD1211" s="4"/>
      <c r="AE1211" s="4"/>
      <c r="AF1211" s="6">
        <v>75</v>
      </c>
      <c r="AG1211" s="6"/>
      <c r="AH1211" s="7">
        <v>1</v>
      </c>
      <c r="AI1211" s="4"/>
      <c r="AJ1211" s="4">
        <f>=ROUNDDOWN({0},0)</f>
      </c>
      <c r="AK1211" s="5"/>
      <c r="AL1211" s="2" t="s">
        <v>235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235</v>
      </c>
      <c r="AW1211" s="8" t="s">
        <v>235</v>
      </c>
      <c r="AX1211" s="4" t="s">
        <v>235</v>
      </c>
      <c r="AY1211" s="8" t="s">
        <v>235</v>
      </c>
      <c r="AZ1211" s="7" t="s">
        <v>235</v>
      </c>
      <c r="BA1211" s="7" t="s">
        <v>235</v>
      </c>
      <c r="BB1211" s="7" t="s">
        <v>235</v>
      </c>
      <c r="BC1211" s="4" t="s">
        <v>235</v>
      </c>
      <c r="BD1211" s="8" t="s">
        <v>235</v>
      </c>
      <c r="BE1211" s="4" t="s">
        <v>235</v>
      </c>
      <c r="BF1211" s="8" t="s">
        <v>235</v>
      </c>
      <c r="BG1211" s="7" t="s">
        <v>235</v>
      </c>
      <c r="BH1211" s="7" t="s">
        <v>235</v>
      </c>
      <c r="BI1211" s="7"/>
      <c r="BJ1211" s="4">
        <v>5</v>
      </c>
      <c r="BK1211" s="8">
        <v>250.54</v>
      </c>
      <c r="BL1211" s="2" t="s">
        <v>4802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4791</v>
      </c>
      <c r="BV1211" s="2" t="s">
        <v>243</v>
      </c>
      <c r="BW1211" s="2" t="s">
        <v>235</v>
      </c>
      <c r="BX1211" s="2" t="s">
        <v>414</v>
      </c>
      <c r="BY1211" s="2" t="s">
        <v>245</v>
      </c>
      <c r="BZ1211" s="2" t="s">
        <v>232</v>
      </c>
      <c r="CA1211" s="2" t="s">
        <v>4792</v>
      </c>
      <c r="CB1211" s="2" t="s">
        <v>2437</v>
      </c>
      <c r="CC1211" s="2" t="s">
        <v>248</v>
      </c>
      <c r="CD1211" s="2" t="s">
        <v>248</v>
      </c>
      <c r="CE1211" s="2" t="s">
        <v>235</v>
      </c>
      <c r="CF1211" s="4">
        <v>192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>
        <v>193</v>
      </c>
      <c r="GE1211" s="4">
        <v>178</v>
      </c>
      <c r="GF1211" s="4">
        <v>171</v>
      </c>
      <c r="GG1211" s="4">
        <v>164</v>
      </c>
      <c r="GH1211" s="4">
        <v>156</v>
      </c>
      <c r="GI1211" s="4">
        <v>148</v>
      </c>
      <c r="GJ1211" s="4">
        <v>137</v>
      </c>
      <c r="GK1211" s="4">
        <v>128</v>
      </c>
      <c r="GL1211" s="4">
        <v>119</v>
      </c>
      <c r="GM1211" s="4">
        <v>111</v>
      </c>
      <c r="GN1211" s="4">
        <v>102</v>
      </c>
      <c r="GO1211" s="4">
        <v>88</v>
      </c>
      <c r="GP1211" s="4">
        <v>74</v>
      </c>
      <c r="GQ1211" s="4">
        <v>47</v>
      </c>
      <c r="GR1211" s="4">
        <v>35</v>
      </c>
      <c r="GS1211" s="4">
        <v>22</v>
      </c>
      <c r="GT1211" s="4">
        <v>13</v>
      </c>
      <c r="GU1211" s="4">
        <v>7</v>
      </c>
      <c r="GV1211" s="4"/>
      <c r="GW1211" s="4"/>
      <c r="GX1211" s="4"/>
      <c r="GY1211" s="4"/>
      <c r="GZ1211" s="4"/>
      <c r="HA1211" s="4"/>
      <c r="HB1211" s="4"/>
      <c r="HC1211" s="4"/>
      <c r="HD1211" s="19">
        <v>21.4</v>
      </c>
      <c r="HE1211" s="19">
        <v>22.3</v>
      </c>
      <c r="HF1211" s="19">
        <v>21.4</v>
      </c>
      <c r="HG1211" s="19">
        <v>18.2</v>
      </c>
      <c r="HH1211" s="19">
        <v>17.3</v>
      </c>
      <c r="HI1211" s="19">
        <v>16.4</v>
      </c>
      <c r="HJ1211" s="19">
        <v>15.2</v>
      </c>
      <c r="HK1211" s="19">
        <v>12.8</v>
      </c>
      <c r="HL1211" s="19">
        <v>10.8</v>
      </c>
      <c r="HM1211" s="19">
        <v>6.9</v>
      </c>
      <c r="HN1211" s="19">
        <v>6</v>
      </c>
      <c r="HO1211" s="19">
        <v>5.5</v>
      </c>
      <c r="HP1211" s="19">
        <v>4.9</v>
      </c>
      <c r="HQ1211" s="19">
        <v>4.7</v>
      </c>
      <c r="HR1211" s="19">
        <v>3.9</v>
      </c>
      <c r="HS1211" s="19">
        <v>3.1</v>
      </c>
      <c r="HT1211" s="19">
        <v>2.2</v>
      </c>
      <c r="HU1211" s="19">
        <v>1.2</v>
      </c>
      <c r="HV1211" s="20">
        <v>0</v>
      </c>
      <c r="HW1211" s="20">
        <v>0</v>
      </c>
      <c r="HX1211" s="20">
        <v>0</v>
      </c>
      <c r="HY1211" s="20">
        <v>0</v>
      </c>
      <c r="HZ1211" s="20">
        <v>0</v>
      </c>
      <c r="IA1211" s="20">
        <v>0</v>
      </c>
      <c r="IB1211" s="20">
        <v>0</v>
      </c>
      <c r="IC1211" s="20">
        <v>0</v>
      </c>
    </row>
    <row r="1212">
      <c r="A1212" s="2" t="s">
        <v>4803</v>
      </c>
      <c r="B1212" s="2" t="s">
        <v>852</v>
      </c>
      <c r="C1212" s="2" t="s">
        <v>324</v>
      </c>
      <c r="D1212" s="2" t="s">
        <v>854</v>
      </c>
      <c r="E1212" s="2" t="s">
        <v>855</v>
      </c>
      <c r="F1212" s="2" t="s">
        <v>4804</v>
      </c>
      <c r="G1212" s="2" t="s">
        <v>4804</v>
      </c>
      <c r="H1212" s="2" t="s">
        <v>4804</v>
      </c>
      <c r="I1212" s="2" t="s">
        <v>4805</v>
      </c>
      <c r="J1212" s="2" t="s">
        <v>4806</v>
      </c>
      <c r="K1212" s="2" t="s">
        <v>292</v>
      </c>
      <c r="L1212" s="3">
        <v>34.36</v>
      </c>
      <c r="M1212" s="3">
        <v>36.08</v>
      </c>
      <c r="N1212" s="3">
        <v>74.99</v>
      </c>
      <c r="O1212" s="2" t="s">
        <v>232</v>
      </c>
      <c r="P1212" s="2" t="s">
        <v>878</v>
      </c>
      <c r="Q1212" s="2" t="s">
        <v>234</v>
      </c>
      <c r="R1212" s="2" t="s">
        <v>235</v>
      </c>
      <c r="S1212" s="2" t="s">
        <v>235</v>
      </c>
      <c r="T1212" s="2" t="s">
        <v>879</v>
      </c>
      <c r="U1212" s="2" t="s">
        <v>807</v>
      </c>
      <c r="V1212" s="2" t="s">
        <v>238</v>
      </c>
      <c r="W1212" s="2" t="s">
        <v>864</v>
      </c>
      <c r="X1212" s="2" t="s">
        <v>235</v>
      </c>
      <c r="Y1212" s="2" t="s">
        <v>2270</v>
      </c>
      <c r="Z1212" s="4">
        <v>397</v>
      </c>
      <c r="AA1212" s="4">
        <f>=ROUNDDOWN(94.5238095238095,0)</f>
      </c>
      <c r="AB1212" s="5">
        <v>4.2</v>
      </c>
      <c r="AC1212" s="2" t="s">
        <v>235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235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235</v>
      </c>
      <c r="AW1212" s="8" t="s">
        <v>235</v>
      </c>
      <c r="AX1212" s="4" t="s">
        <v>235</v>
      </c>
      <c r="AY1212" s="8" t="s">
        <v>235</v>
      </c>
      <c r="AZ1212" s="7" t="s">
        <v>235</v>
      </c>
      <c r="BA1212" s="7" t="s">
        <v>235</v>
      </c>
      <c r="BB1212" s="7"/>
      <c r="BC1212" s="4" t="s">
        <v>235</v>
      </c>
      <c r="BD1212" s="8" t="s">
        <v>235</v>
      </c>
      <c r="BE1212" s="4" t="s">
        <v>235</v>
      </c>
      <c r="BF1212" s="8" t="s">
        <v>235</v>
      </c>
      <c r="BG1212" s="7" t="s">
        <v>235</v>
      </c>
      <c r="BH1212" s="7" t="s">
        <v>235</v>
      </c>
      <c r="BI1212" s="7"/>
      <c r="BJ1212" s="4">
        <v>57</v>
      </c>
      <c r="BK1212" s="8">
        <v>2216.83</v>
      </c>
      <c r="BL1212" s="2" t="s">
        <v>4807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4808</v>
      </c>
      <c r="BV1212" s="2" t="s">
        <v>235</v>
      </c>
      <c r="BW1212" s="2" t="s">
        <v>235</v>
      </c>
      <c r="BX1212" s="2" t="s">
        <v>244</v>
      </c>
      <c r="BY1212" s="2" t="s">
        <v>245</v>
      </c>
      <c r="BZ1212" s="2" t="s">
        <v>232</v>
      </c>
      <c r="CA1212" s="2" t="s">
        <v>235</v>
      </c>
      <c r="CB1212" s="2" t="s">
        <v>235</v>
      </c>
      <c r="CC1212" s="2" t="s">
        <v>248</v>
      </c>
      <c r="CD1212" s="2" t="s">
        <v>248</v>
      </c>
      <c r="CE1212" s="2" t="s">
        <v>235</v>
      </c>
      <c r="CF1212" s="4">
        <v>397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>
        <v>397</v>
      </c>
      <c r="GE1212" s="4">
        <v>394</v>
      </c>
      <c r="GF1212" s="4">
        <v>390</v>
      </c>
      <c r="GG1212" s="4">
        <v>386</v>
      </c>
      <c r="GH1212" s="4">
        <v>378</v>
      </c>
      <c r="GI1212" s="4">
        <v>370</v>
      </c>
      <c r="GJ1212" s="4">
        <v>362</v>
      </c>
      <c r="GK1212" s="4">
        <v>354</v>
      </c>
      <c r="GL1212" s="4">
        <v>343</v>
      </c>
      <c r="GM1212" s="4">
        <v>332</v>
      </c>
      <c r="GN1212" s="4">
        <v>318</v>
      </c>
      <c r="GO1212" s="4">
        <v>301</v>
      </c>
      <c r="GP1212" s="4">
        <v>287</v>
      </c>
      <c r="GQ1212" s="4">
        <v>268</v>
      </c>
      <c r="GR1212" s="4">
        <v>254</v>
      </c>
      <c r="GS1212" s="4">
        <v>233</v>
      </c>
      <c r="GT1212" s="4">
        <v>220</v>
      </c>
      <c r="GU1212" s="4">
        <v>205</v>
      </c>
      <c r="GV1212" s="4">
        <v>192</v>
      </c>
      <c r="GW1212" s="4">
        <v>461</v>
      </c>
      <c r="GX1212" s="4">
        <v>448</v>
      </c>
      <c r="GY1212" s="4">
        <v>435</v>
      </c>
      <c r="GZ1212" s="4">
        <v>422</v>
      </c>
      <c r="HA1212" s="4">
        <v>409</v>
      </c>
      <c r="HB1212" s="4">
        <v>396</v>
      </c>
      <c r="HC1212" s="4">
        <v>381</v>
      </c>
      <c r="HD1212" s="19">
        <v>79.4</v>
      </c>
      <c r="HE1212" s="19">
        <v>65.7</v>
      </c>
      <c r="HF1212" s="19">
        <v>55.7</v>
      </c>
      <c r="HG1212" s="19">
        <v>48.3</v>
      </c>
      <c r="HH1212" s="19">
        <v>42</v>
      </c>
      <c r="HI1212" s="19">
        <v>37</v>
      </c>
      <c r="HJ1212" s="19">
        <v>32.9</v>
      </c>
      <c r="HK1212" s="19">
        <v>27.2</v>
      </c>
      <c r="HL1212" s="19">
        <v>24.5</v>
      </c>
      <c r="HM1212" s="19">
        <v>20.8</v>
      </c>
      <c r="HN1212" s="19">
        <v>19.9</v>
      </c>
      <c r="HO1212" s="19">
        <v>17.7</v>
      </c>
      <c r="HP1212" s="19">
        <v>16.9</v>
      </c>
      <c r="HQ1212" s="19">
        <v>16.8</v>
      </c>
      <c r="HR1212" s="19">
        <v>15.9</v>
      </c>
      <c r="HS1212" s="9"/>
      <c r="HT1212" s="19">
        <v>15.7</v>
      </c>
      <c r="HU1212" s="19">
        <v>15.8</v>
      </c>
      <c r="HV1212" s="19">
        <v>14.8</v>
      </c>
      <c r="HW1212" s="19">
        <v>35.5</v>
      </c>
      <c r="HX1212" s="19">
        <v>34.5</v>
      </c>
      <c r="HY1212" s="19">
        <v>31.1</v>
      </c>
      <c r="HZ1212" s="19">
        <v>30.1</v>
      </c>
      <c r="IA1212" s="19">
        <v>29.2</v>
      </c>
      <c r="IB1212" s="19">
        <v>28.3</v>
      </c>
      <c r="IC1212" s="19">
        <v>29.3</v>
      </c>
    </row>
    <row r="1213">
      <c r="A1213" s="2" t="s">
        <v>4809</v>
      </c>
      <c r="B1213" s="2" t="s">
        <v>852</v>
      </c>
      <c r="C1213" s="2" t="s">
        <v>324</v>
      </c>
      <c r="D1213" s="2" t="s">
        <v>854</v>
      </c>
      <c r="E1213" s="2" t="s">
        <v>855</v>
      </c>
      <c r="F1213" s="2" t="s">
        <v>4804</v>
      </c>
      <c r="G1213" s="2" t="s">
        <v>4804</v>
      </c>
      <c r="H1213" s="2" t="s">
        <v>4804</v>
      </c>
      <c r="I1213" s="2" t="s">
        <v>4805</v>
      </c>
      <c r="J1213" s="2" t="s">
        <v>4810</v>
      </c>
      <c r="K1213" s="2" t="s">
        <v>292</v>
      </c>
      <c r="L1213" s="3">
        <v>37.15</v>
      </c>
      <c r="M1213" s="3">
        <v>39.01</v>
      </c>
      <c r="N1213" s="3">
        <v>79.99</v>
      </c>
      <c r="O1213" s="2" t="s">
        <v>232</v>
      </c>
      <c r="P1213" s="2" t="s">
        <v>878</v>
      </c>
      <c r="Q1213" s="2" t="s">
        <v>234</v>
      </c>
      <c r="R1213" s="2" t="s">
        <v>235</v>
      </c>
      <c r="S1213" s="2" t="s">
        <v>235</v>
      </c>
      <c r="T1213" s="2" t="s">
        <v>879</v>
      </c>
      <c r="U1213" s="2" t="s">
        <v>807</v>
      </c>
      <c r="V1213" s="2" t="s">
        <v>238</v>
      </c>
      <c r="W1213" s="2" t="s">
        <v>864</v>
      </c>
      <c r="X1213" s="2" t="s">
        <v>235</v>
      </c>
      <c r="Y1213" s="2" t="s">
        <v>4811</v>
      </c>
      <c r="Z1213" s="4">
        <v>365</v>
      </c>
      <c r="AA1213" s="4">
        <f>=ROUNDDOWN(125.862068965517,0)</f>
      </c>
      <c r="AB1213" s="5">
        <v>2.9</v>
      </c>
      <c r="AC1213" s="2" t="s">
        <v>235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235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235</v>
      </c>
      <c r="AW1213" s="8" t="s">
        <v>235</v>
      </c>
      <c r="AX1213" s="4" t="s">
        <v>235</v>
      </c>
      <c r="AY1213" s="8" t="s">
        <v>235</v>
      </c>
      <c r="AZ1213" s="7" t="s">
        <v>235</v>
      </c>
      <c r="BA1213" s="7" t="s">
        <v>235</v>
      </c>
      <c r="BB1213" s="7"/>
      <c r="BC1213" s="4" t="s">
        <v>235</v>
      </c>
      <c r="BD1213" s="8" t="s">
        <v>235</v>
      </c>
      <c r="BE1213" s="4" t="s">
        <v>235</v>
      </c>
      <c r="BF1213" s="8" t="s">
        <v>235</v>
      </c>
      <c r="BG1213" s="7" t="s">
        <v>235</v>
      </c>
      <c r="BH1213" s="7" t="s">
        <v>235</v>
      </c>
      <c r="BI1213" s="7"/>
      <c r="BJ1213" s="4">
        <v>12</v>
      </c>
      <c r="BK1213" s="8">
        <v>490.2</v>
      </c>
      <c r="BL1213" s="2" t="s">
        <v>1226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4808</v>
      </c>
      <c r="BV1213" s="2" t="s">
        <v>235</v>
      </c>
      <c r="BW1213" s="2" t="s">
        <v>235</v>
      </c>
      <c r="BX1213" s="2" t="s">
        <v>244</v>
      </c>
      <c r="BY1213" s="2" t="s">
        <v>245</v>
      </c>
      <c r="BZ1213" s="2" t="s">
        <v>232</v>
      </c>
      <c r="CA1213" s="2" t="s">
        <v>235</v>
      </c>
      <c r="CB1213" s="2" t="s">
        <v>235</v>
      </c>
      <c r="CC1213" s="2" t="s">
        <v>248</v>
      </c>
      <c r="CD1213" s="2" t="s">
        <v>248</v>
      </c>
      <c r="CE1213" s="2" t="s">
        <v>235</v>
      </c>
      <c r="CF1213" s="4">
        <v>365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>
        <v>371</v>
      </c>
      <c r="GE1213" s="4">
        <v>334</v>
      </c>
      <c r="GF1213" s="4">
        <v>323</v>
      </c>
      <c r="GG1213" s="4">
        <v>310</v>
      </c>
      <c r="GH1213" s="4">
        <v>292</v>
      </c>
      <c r="GI1213" s="4">
        <v>276</v>
      </c>
      <c r="GJ1213" s="4">
        <v>257</v>
      </c>
      <c r="GK1213" s="4">
        <v>242</v>
      </c>
      <c r="GL1213" s="4">
        <v>221</v>
      </c>
      <c r="GM1213" s="4">
        <v>206</v>
      </c>
      <c r="GN1213" s="4">
        <v>187</v>
      </c>
      <c r="GO1213" s="4">
        <v>168</v>
      </c>
      <c r="GP1213" s="4">
        <v>150</v>
      </c>
      <c r="GQ1213" s="4">
        <v>129</v>
      </c>
      <c r="GR1213" s="4">
        <v>112</v>
      </c>
      <c r="GS1213" s="4">
        <v>92</v>
      </c>
      <c r="GT1213" s="4">
        <v>77</v>
      </c>
      <c r="GU1213" s="4">
        <v>61</v>
      </c>
      <c r="GV1213" s="4">
        <v>44</v>
      </c>
      <c r="GW1213" s="4">
        <v>534</v>
      </c>
      <c r="GX1213" s="4">
        <v>519</v>
      </c>
      <c r="GY1213" s="4">
        <v>504</v>
      </c>
      <c r="GZ1213" s="4">
        <v>489</v>
      </c>
      <c r="HA1213" s="4">
        <v>474</v>
      </c>
      <c r="HB1213" s="4">
        <v>459</v>
      </c>
      <c r="HC1213" s="4">
        <v>443</v>
      </c>
      <c r="HD1213" s="19">
        <v>18.6</v>
      </c>
      <c r="HE1213" s="19">
        <v>23.9</v>
      </c>
      <c r="HF1213" s="19">
        <v>20.2</v>
      </c>
      <c r="HG1213" s="19">
        <v>18.2</v>
      </c>
      <c r="HH1213" s="19">
        <v>16.2</v>
      </c>
      <c r="HI1213" s="19">
        <v>15.3</v>
      </c>
      <c r="HJ1213" s="19">
        <v>14.3</v>
      </c>
      <c r="HK1213" s="19">
        <v>13.4</v>
      </c>
      <c r="HL1213" s="19">
        <v>12.3</v>
      </c>
      <c r="HM1213" s="19">
        <v>10.8</v>
      </c>
      <c r="HN1213" s="19">
        <v>9.8</v>
      </c>
      <c r="HO1213" s="19">
        <v>8.8</v>
      </c>
      <c r="HP1213" s="19">
        <v>8.3</v>
      </c>
      <c r="HQ1213" s="19">
        <v>7.6</v>
      </c>
      <c r="HR1213" s="19">
        <v>6.6</v>
      </c>
      <c r="HS1213" s="19">
        <v>5.8</v>
      </c>
      <c r="HT1213" s="19">
        <v>4.8</v>
      </c>
      <c r="HU1213" s="19">
        <v>3.8</v>
      </c>
      <c r="HV1213" s="19">
        <v>2.9</v>
      </c>
      <c r="HW1213" s="19">
        <v>35.6</v>
      </c>
      <c r="HX1213" s="19">
        <v>34.6</v>
      </c>
      <c r="HY1213" s="19">
        <v>33.6</v>
      </c>
      <c r="HZ1213" s="19">
        <v>32.6</v>
      </c>
      <c r="IA1213" s="19">
        <v>31.6</v>
      </c>
      <c r="IB1213" s="19">
        <v>30.6</v>
      </c>
      <c r="IC1213" s="19">
        <v>29.5</v>
      </c>
    </row>
    <row r="1214">
      <c r="A1214" s="2" t="s">
        <v>4812</v>
      </c>
      <c r="B1214" s="2" t="s">
        <v>852</v>
      </c>
      <c r="C1214" s="2" t="s">
        <v>324</v>
      </c>
      <c r="D1214" s="2" t="s">
        <v>854</v>
      </c>
      <c r="E1214" s="2" t="s">
        <v>855</v>
      </c>
      <c r="F1214" s="2" t="s">
        <v>4804</v>
      </c>
      <c r="G1214" s="2" t="s">
        <v>4804</v>
      </c>
      <c r="H1214" s="2" t="s">
        <v>4804</v>
      </c>
      <c r="I1214" s="2" t="s">
        <v>4805</v>
      </c>
      <c r="J1214" s="2" t="s">
        <v>4813</v>
      </c>
      <c r="K1214" s="2" t="s">
        <v>292</v>
      </c>
      <c r="L1214" s="3">
        <v>40.02</v>
      </c>
      <c r="M1214" s="3">
        <v>42.02</v>
      </c>
      <c r="N1214" s="3">
        <v>89.99</v>
      </c>
      <c r="O1214" s="2" t="s">
        <v>232</v>
      </c>
      <c r="P1214" s="2" t="s">
        <v>878</v>
      </c>
      <c r="Q1214" s="2" t="s">
        <v>234</v>
      </c>
      <c r="R1214" s="2" t="s">
        <v>235</v>
      </c>
      <c r="S1214" s="2" t="s">
        <v>235</v>
      </c>
      <c r="T1214" s="2" t="s">
        <v>879</v>
      </c>
      <c r="U1214" s="2" t="s">
        <v>807</v>
      </c>
      <c r="V1214" s="2" t="s">
        <v>238</v>
      </c>
      <c r="W1214" s="2" t="s">
        <v>864</v>
      </c>
      <c r="X1214" s="2" t="s">
        <v>235</v>
      </c>
      <c r="Y1214" s="2" t="s">
        <v>4811</v>
      </c>
      <c r="Z1214" s="4">
        <v>144</v>
      </c>
      <c r="AA1214" s="4">
        <f>=ROUNDDOWN({0},0)</f>
      </c>
      <c r="AB1214" s="5"/>
      <c r="AC1214" s="2" t="s">
        <v>235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235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235</v>
      </c>
      <c r="AW1214" s="8" t="s">
        <v>235</v>
      </c>
      <c r="AX1214" s="4" t="s">
        <v>235</v>
      </c>
      <c r="AY1214" s="8" t="s">
        <v>235</v>
      </c>
      <c r="AZ1214" s="7" t="s">
        <v>235</v>
      </c>
      <c r="BA1214" s="7" t="s">
        <v>235</v>
      </c>
      <c r="BB1214" s="7"/>
      <c r="BC1214" s="4" t="s">
        <v>235</v>
      </c>
      <c r="BD1214" s="8" t="s">
        <v>235</v>
      </c>
      <c r="BE1214" s="4" t="s">
        <v>235</v>
      </c>
      <c r="BF1214" s="8" t="s">
        <v>235</v>
      </c>
      <c r="BG1214" s="7" t="s">
        <v>235</v>
      </c>
      <c r="BH1214" s="7" t="s">
        <v>235</v>
      </c>
      <c r="BI1214" s="7"/>
      <c r="BJ1214" s="4"/>
      <c r="BK1214" s="8"/>
      <c r="BL1214" s="2" t="s">
        <v>235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4808</v>
      </c>
      <c r="BV1214" s="2" t="s">
        <v>235</v>
      </c>
      <c r="BW1214" s="2" t="s">
        <v>235</v>
      </c>
      <c r="BX1214" s="2" t="s">
        <v>244</v>
      </c>
      <c r="BY1214" s="2" t="s">
        <v>245</v>
      </c>
      <c r="BZ1214" s="2" t="s">
        <v>232</v>
      </c>
      <c r="CA1214" s="2" t="s">
        <v>235</v>
      </c>
      <c r="CB1214" s="2" t="s">
        <v>235</v>
      </c>
      <c r="CC1214" s="2" t="s">
        <v>248</v>
      </c>
      <c r="CD1214" s="2" t="s">
        <v>248</v>
      </c>
      <c r="CE1214" s="2" t="s">
        <v>235</v>
      </c>
      <c r="CF1214" s="4">
        <v>144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>
        <v>144</v>
      </c>
      <c r="GE1214" s="4">
        <v>123</v>
      </c>
      <c r="GF1214" s="4">
        <v>118</v>
      </c>
      <c r="GG1214" s="4">
        <v>112</v>
      </c>
      <c r="GH1214" s="4">
        <v>105</v>
      </c>
      <c r="GI1214" s="4">
        <v>97</v>
      </c>
      <c r="GJ1214" s="4">
        <v>87</v>
      </c>
      <c r="GK1214" s="4">
        <v>80</v>
      </c>
      <c r="GL1214" s="4">
        <v>70</v>
      </c>
      <c r="GM1214" s="4">
        <v>64</v>
      </c>
      <c r="GN1214" s="4">
        <v>58</v>
      </c>
      <c r="GO1214" s="4">
        <v>51</v>
      </c>
      <c r="GP1214" s="4">
        <v>44</v>
      </c>
      <c r="GQ1214" s="4">
        <v>36</v>
      </c>
      <c r="GR1214" s="4">
        <v>29</v>
      </c>
      <c r="GS1214" s="4">
        <v>21</v>
      </c>
      <c r="GT1214" s="4">
        <v>15</v>
      </c>
      <c r="GU1214" s="4">
        <v>9</v>
      </c>
      <c r="GV1214" s="4">
        <v>2</v>
      </c>
      <c r="GW1214" s="4">
        <v>217</v>
      </c>
      <c r="GX1214" s="4">
        <v>207</v>
      </c>
      <c r="GY1214" s="4">
        <v>201</v>
      </c>
      <c r="GZ1214" s="4">
        <v>195</v>
      </c>
      <c r="HA1214" s="4">
        <v>189</v>
      </c>
      <c r="HB1214" s="4">
        <v>183</v>
      </c>
      <c r="HC1214" s="4">
        <v>177</v>
      </c>
      <c r="HD1214" s="19">
        <v>14.4</v>
      </c>
      <c r="HE1214" s="19">
        <v>20.5</v>
      </c>
      <c r="HF1214" s="19">
        <v>14.8</v>
      </c>
      <c r="HG1214" s="19">
        <v>14</v>
      </c>
      <c r="HH1214" s="19">
        <v>11.7</v>
      </c>
      <c r="HI1214" s="19">
        <v>12.1</v>
      </c>
      <c r="HJ1214" s="19">
        <v>12.4</v>
      </c>
      <c r="HK1214" s="19">
        <v>11.4</v>
      </c>
      <c r="HL1214" s="19">
        <v>11.7</v>
      </c>
      <c r="HM1214" s="19">
        <v>9.1</v>
      </c>
      <c r="HN1214" s="19">
        <v>8.3</v>
      </c>
      <c r="HO1214" s="19">
        <v>6.4</v>
      </c>
      <c r="HP1214" s="19">
        <v>6.3</v>
      </c>
      <c r="HQ1214" s="19">
        <v>5.1</v>
      </c>
      <c r="HR1214" s="19">
        <v>4.1</v>
      </c>
      <c r="HS1214" s="19">
        <v>4.2</v>
      </c>
      <c r="HT1214" s="19">
        <v>2.5</v>
      </c>
      <c r="HU1214" s="19">
        <v>1.5</v>
      </c>
      <c r="HV1214" s="19">
        <v>0.3</v>
      </c>
      <c r="HW1214" s="19">
        <v>31</v>
      </c>
      <c r="HX1214" s="19">
        <v>34.5</v>
      </c>
      <c r="HY1214" s="19">
        <v>33.5</v>
      </c>
      <c r="HZ1214" s="19">
        <v>32.5</v>
      </c>
      <c r="IA1214" s="19">
        <v>31.5</v>
      </c>
      <c r="IB1214" s="19">
        <v>30.5</v>
      </c>
      <c r="IC1214" s="19">
        <v>29.5</v>
      </c>
    </row>
    <row r="1215">
      <c r="A1215" s="2" t="s">
        <v>4814</v>
      </c>
      <c r="B1215" s="2" t="s">
        <v>852</v>
      </c>
      <c r="C1215" s="2" t="s">
        <v>324</v>
      </c>
      <c r="D1215" s="2" t="s">
        <v>854</v>
      </c>
      <c r="E1215" s="2" t="s">
        <v>855</v>
      </c>
      <c r="F1215" s="2" t="s">
        <v>4804</v>
      </c>
      <c r="G1215" s="2" t="s">
        <v>4804</v>
      </c>
      <c r="H1215" s="2" t="s">
        <v>4804</v>
      </c>
      <c r="I1215" s="2" t="s">
        <v>4805</v>
      </c>
      <c r="J1215" s="2" t="s">
        <v>4813</v>
      </c>
      <c r="K1215" s="2" t="s">
        <v>302</v>
      </c>
      <c r="L1215" s="3">
        <v>40.02</v>
      </c>
      <c r="M1215" s="3">
        <v>42.02</v>
      </c>
      <c r="N1215" s="3">
        <v>89.99</v>
      </c>
      <c r="O1215" s="2" t="s">
        <v>232</v>
      </c>
      <c r="P1215" s="2" t="s">
        <v>878</v>
      </c>
      <c r="Q1215" s="2" t="s">
        <v>234</v>
      </c>
      <c r="R1215" s="2" t="s">
        <v>235</v>
      </c>
      <c r="S1215" s="2" t="s">
        <v>235</v>
      </c>
      <c r="T1215" s="2" t="s">
        <v>879</v>
      </c>
      <c r="U1215" s="2" t="s">
        <v>807</v>
      </c>
      <c r="V1215" s="2" t="s">
        <v>238</v>
      </c>
      <c r="W1215" s="2" t="s">
        <v>864</v>
      </c>
      <c r="X1215" s="2" t="s">
        <v>235</v>
      </c>
      <c r="Y1215" s="2" t="s">
        <v>4811</v>
      </c>
      <c r="Z1215" s="4">
        <v>133</v>
      </c>
      <c r="AA1215" s="4">
        <f>=ROUNDDOWN(66.5,0)</f>
      </c>
      <c r="AB1215" s="5">
        <v>2</v>
      </c>
      <c r="AC1215" s="2" t="s">
        <v>235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235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235</v>
      </c>
      <c r="BD1215" s="8" t="s">
        <v>235</v>
      </c>
      <c r="BE1215" s="4" t="s">
        <v>235</v>
      </c>
      <c r="BF1215" s="8" t="s">
        <v>235</v>
      </c>
      <c r="BG1215" s="7" t="s">
        <v>235</v>
      </c>
      <c r="BH1215" s="7" t="s">
        <v>235</v>
      </c>
      <c r="BI1215" s="7"/>
      <c r="BJ1215" s="4">
        <v>12</v>
      </c>
      <c r="BK1215" s="8">
        <v>527.4</v>
      </c>
      <c r="BL1215" s="2" t="s">
        <v>1226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4808</v>
      </c>
      <c r="BV1215" s="2" t="s">
        <v>235</v>
      </c>
      <c r="BW1215" s="2" t="s">
        <v>235</v>
      </c>
      <c r="BX1215" s="2" t="s">
        <v>244</v>
      </c>
      <c r="BY1215" s="2" t="s">
        <v>245</v>
      </c>
      <c r="BZ1215" s="2" t="s">
        <v>232</v>
      </c>
      <c r="CA1215" s="2" t="s">
        <v>235</v>
      </c>
      <c r="CB1215" s="2" t="s">
        <v>235</v>
      </c>
      <c r="CC1215" s="2" t="s">
        <v>248</v>
      </c>
      <c r="CD1215" s="2" t="s">
        <v>248</v>
      </c>
      <c r="CE1215" s="2" t="s">
        <v>235</v>
      </c>
      <c r="CF1215" s="4">
        <v>133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>
        <v>142</v>
      </c>
      <c r="GE1215" s="4">
        <v>134</v>
      </c>
      <c r="GF1215" s="4">
        <v>128</v>
      </c>
      <c r="GG1215" s="4">
        <v>121</v>
      </c>
      <c r="GH1215" s="4">
        <v>111</v>
      </c>
      <c r="GI1215" s="4">
        <v>101</v>
      </c>
      <c r="GJ1215" s="4">
        <v>89</v>
      </c>
      <c r="GK1215" s="4">
        <v>79</v>
      </c>
      <c r="GL1215" s="4">
        <v>66</v>
      </c>
      <c r="GM1215" s="4">
        <v>56</v>
      </c>
      <c r="GN1215" s="4">
        <v>45</v>
      </c>
      <c r="GO1215" s="4">
        <v>31</v>
      </c>
      <c r="GP1215" s="4">
        <v>16</v>
      </c>
      <c r="GQ1215" s="4"/>
      <c r="GR1215" s="4"/>
      <c r="GS1215" s="4"/>
      <c r="GT1215" s="4"/>
      <c r="GU1215" s="4"/>
      <c r="GV1215" s="4"/>
      <c r="GW1215" s="4">
        <v>325</v>
      </c>
      <c r="GX1215" s="4">
        <v>294</v>
      </c>
      <c r="GY1215" s="4">
        <v>284</v>
      </c>
      <c r="GZ1215" s="4">
        <v>274</v>
      </c>
      <c r="HA1215" s="4">
        <v>264</v>
      </c>
      <c r="HB1215" s="4">
        <v>254</v>
      </c>
      <c r="HC1215" s="4">
        <v>243</v>
      </c>
      <c r="HD1215" s="19">
        <v>17.8</v>
      </c>
      <c r="HE1215" s="19">
        <v>16.8</v>
      </c>
      <c r="HF1215" s="19">
        <v>12.8</v>
      </c>
      <c r="HG1215" s="19">
        <v>12.1</v>
      </c>
      <c r="HH1215" s="19">
        <v>10.1</v>
      </c>
      <c r="HI1215" s="19">
        <v>9.2</v>
      </c>
      <c r="HJ1215" s="19">
        <v>8.1</v>
      </c>
      <c r="HK1215" s="19">
        <v>6.6</v>
      </c>
      <c r="HL1215" s="19">
        <v>5.5</v>
      </c>
      <c r="HM1215" s="19">
        <v>4</v>
      </c>
      <c r="HN1215" s="19">
        <v>3.2</v>
      </c>
      <c r="HO1215" s="19">
        <v>2.2</v>
      </c>
      <c r="HP1215" s="19">
        <v>1.3</v>
      </c>
      <c r="HQ1215" s="20">
        <v>0</v>
      </c>
      <c r="HR1215" s="20">
        <v>0</v>
      </c>
      <c r="HS1215" s="20">
        <v>0</v>
      </c>
      <c r="HT1215" s="20">
        <v>0</v>
      </c>
      <c r="HU1215" s="20">
        <v>0</v>
      </c>
      <c r="HV1215" s="20">
        <v>0</v>
      </c>
      <c r="HW1215" s="19">
        <v>21.7</v>
      </c>
      <c r="HX1215" s="19">
        <v>29.4</v>
      </c>
      <c r="HY1215" s="19">
        <v>28.4</v>
      </c>
      <c r="HZ1215" s="19">
        <v>27.4</v>
      </c>
      <c r="IA1215" s="19">
        <v>26.4</v>
      </c>
      <c r="IB1215" s="19">
        <v>25.4</v>
      </c>
      <c r="IC1215" s="19">
        <v>24.3</v>
      </c>
    </row>
    <row r="1216">
      <c r="A1216" s="2" t="s">
        <v>4815</v>
      </c>
      <c r="B1216" s="2" t="s">
        <v>852</v>
      </c>
      <c r="C1216" s="2" t="s">
        <v>324</v>
      </c>
      <c r="D1216" s="2" t="s">
        <v>854</v>
      </c>
      <c r="E1216" s="2" t="s">
        <v>855</v>
      </c>
      <c r="F1216" s="2" t="s">
        <v>4804</v>
      </c>
      <c r="G1216" s="2" t="s">
        <v>4804</v>
      </c>
      <c r="H1216" s="2" t="s">
        <v>4804</v>
      </c>
      <c r="I1216" s="2" t="s">
        <v>4805</v>
      </c>
      <c r="J1216" s="2" t="s">
        <v>4806</v>
      </c>
      <c r="K1216" s="2" t="s">
        <v>316</v>
      </c>
      <c r="L1216" s="3">
        <v>34.36</v>
      </c>
      <c r="M1216" s="3">
        <v>36.08</v>
      </c>
      <c r="N1216" s="3">
        <v>74.99</v>
      </c>
      <c r="O1216" s="2" t="s">
        <v>232</v>
      </c>
      <c r="P1216" s="2" t="s">
        <v>878</v>
      </c>
      <c r="Q1216" s="2" t="s">
        <v>234</v>
      </c>
      <c r="R1216" s="2" t="s">
        <v>235</v>
      </c>
      <c r="S1216" s="2" t="s">
        <v>235</v>
      </c>
      <c r="T1216" s="2" t="s">
        <v>879</v>
      </c>
      <c r="U1216" s="2" t="s">
        <v>807</v>
      </c>
      <c r="V1216" s="2" t="s">
        <v>238</v>
      </c>
      <c r="W1216" s="2" t="s">
        <v>864</v>
      </c>
      <c r="X1216" s="2" t="s">
        <v>235</v>
      </c>
      <c r="Y1216" s="2" t="s">
        <v>4811</v>
      </c>
      <c r="Z1216" s="4">
        <v>496</v>
      </c>
      <c r="AA1216" s="4">
        <f>=ROUNDDOWN(155,0)</f>
      </c>
      <c r="AB1216" s="5">
        <v>3.2</v>
      </c>
      <c r="AC1216" s="2" t="s">
        <v>235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235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235</v>
      </c>
      <c r="AW1216" s="8" t="s">
        <v>235</v>
      </c>
      <c r="AX1216" s="4" t="s">
        <v>235</v>
      </c>
      <c r="AY1216" s="8" t="s">
        <v>235</v>
      </c>
      <c r="AZ1216" s="7" t="s">
        <v>235</v>
      </c>
      <c r="BA1216" s="7" t="s">
        <v>235</v>
      </c>
      <c r="BB1216" s="7"/>
      <c r="BC1216" s="4" t="s">
        <v>235</v>
      </c>
      <c r="BD1216" s="8" t="s">
        <v>235</v>
      </c>
      <c r="BE1216" s="4" t="s">
        <v>235</v>
      </c>
      <c r="BF1216" s="8" t="s">
        <v>235</v>
      </c>
      <c r="BG1216" s="7" t="s">
        <v>235</v>
      </c>
      <c r="BH1216" s="7" t="s">
        <v>235</v>
      </c>
      <c r="BI1216" s="7"/>
      <c r="BJ1216" s="4">
        <v>30</v>
      </c>
      <c r="BK1216" s="8">
        <v>1148.25</v>
      </c>
      <c r="BL1216" s="2" t="s">
        <v>2271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4808</v>
      </c>
      <c r="BV1216" s="2" t="s">
        <v>235</v>
      </c>
      <c r="BW1216" s="2" t="s">
        <v>235</v>
      </c>
      <c r="BX1216" s="2" t="s">
        <v>244</v>
      </c>
      <c r="BY1216" s="2" t="s">
        <v>245</v>
      </c>
      <c r="BZ1216" s="2" t="s">
        <v>232</v>
      </c>
      <c r="CA1216" s="2" t="s">
        <v>235</v>
      </c>
      <c r="CB1216" s="2" t="s">
        <v>235</v>
      </c>
      <c r="CC1216" s="2" t="s">
        <v>248</v>
      </c>
      <c r="CD1216" s="2" t="s">
        <v>248</v>
      </c>
      <c r="CE1216" s="2" t="s">
        <v>235</v>
      </c>
      <c r="CF1216" s="4">
        <v>496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>
        <v>496</v>
      </c>
      <c r="GE1216" s="4">
        <v>492</v>
      </c>
      <c r="GF1216" s="4">
        <v>487</v>
      </c>
      <c r="GG1216" s="4">
        <v>482</v>
      </c>
      <c r="GH1216" s="4">
        <v>472</v>
      </c>
      <c r="GI1216" s="4">
        <v>462</v>
      </c>
      <c r="GJ1216" s="4">
        <v>452</v>
      </c>
      <c r="GK1216" s="4">
        <v>442</v>
      </c>
      <c r="GL1216" s="4">
        <v>428</v>
      </c>
      <c r="GM1216" s="4">
        <v>414</v>
      </c>
      <c r="GN1216" s="4">
        <v>396</v>
      </c>
      <c r="GO1216" s="4">
        <v>375</v>
      </c>
      <c r="GP1216" s="4">
        <v>357</v>
      </c>
      <c r="GQ1216" s="4">
        <v>333</v>
      </c>
      <c r="GR1216" s="4">
        <v>314</v>
      </c>
      <c r="GS1216" s="4">
        <v>289</v>
      </c>
      <c r="GT1216" s="4">
        <v>274</v>
      </c>
      <c r="GU1216" s="4">
        <v>256</v>
      </c>
      <c r="GV1216" s="4">
        <v>241</v>
      </c>
      <c r="GW1216" s="4">
        <v>383</v>
      </c>
      <c r="GX1216" s="4">
        <v>368</v>
      </c>
      <c r="GY1216" s="4">
        <v>353</v>
      </c>
      <c r="GZ1216" s="4">
        <v>338</v>
      </c>
      <c r="HA1216" s="4">
        <v>323</v>
      </c>
      <c r="HB1216" s="4">
        <v>308</v>
      </c>
      <c r="HC1216" s="4">
        <v>290</v>
      </c>
      <c r="HD1216" s="19">
        <v>82.7</v>
      </c>
      <c r="HE1216" s="19">
        <v>61.5</v>
      </c>
      <c r="HF1216" s="19">
        <v>54.1</v>
      </c>
      <c r="HG1216" s="19">
        <v>48.2</v>
      </c>
      <c r="HH1216" s="19">
        <v>42.9</v>
      </c>
      <c r="HI1216" s="19">
        <v>38.5</v>
      </c>
      <c r="HJ1216" s="19">
        <v>32.3</v>
      </c>
      <c r="HK1216" s="19">
        <v>26</v>
      </c>
      <c r="HL1216" s="19">
        <v>23.8</v>
      </c>
      <c r="HM1216" s="19">
        <v>20.7</v>
      </c>
      <c r="HN1216" s="19">
        <v>19.8</v>
      </c>
      <c r="HO1216" s="19">
        <v>17</v>
      </c>
      <c r="HP1216" s="19">
        <v>17</v>
      </c>
      <c r="HQ1216" s="19">
        <v>17.5</v>
      </c>
      <c r="HR1216" s="19">
        <v>17.4</v>
      </c>
      <c r="HS1216" s="19">
        <v>18.1</v>
      </c>
      <c r="HT1216" s="19">
        <v>17.1</v>
      </c>
      <c r="HU1216" s="19">
        <v>17.1</v>
      </c>
      <c r="HV1216" s="19">
        <v>16.1</v>
      </c>
      <c r="HW1216" s="19">
        <v>25.5</v>
      </c>
      <c r="HX1216" s="19">
        <v>24.5</v>
      </c>
      <c r="HY1216" s="19">
        <v>22.1</v>
      </c>
      <c r="HZ1216" s="19">
        <v>21.1</v>
      </c>
      <c r="IA1216" s="19">
        <v>20.2</v>
      </c>
      <c r="IB1216" s="19">
        <v>19.3</v>
      </c>
      <c r="IC1216" s="19">
        <v>19.3</v>
      </c>
    </row>
    <row r="1217">
      <c r="A1217" s="2" t="s">
        <v>4816</v>
      </c>
      <c r="B1217" s="2" t="s">
        <v>852</v>
      </c>
      <c r="C1217" s="2" t="s">
        <v>324</v>
      </c>
      <c r="D1217" s="2" t="s">
        <v>854</v>
      </c>
      <c r="E1217" s="2" t="s">
        <v>855</v>
      </c>
      <c r="F1217" s="2" t="s">
        <v>4804</v>
      </c>
      <c r="G1217" s="2" t="s">
        <v>4804</v>
      </c>
      <c r="H1217" s="2" t="s">
        <v>4804</v>
      </c>
      <c r="I1217" s="2" t="s">
        <v>4805</v>
      </c>
      <c r="J1217" s="2" t="s">
        <v>4810</v>
      </c>
      <c r="K1217" s="2" t="s">
        <v>316</v>
      </c>
      <c r="L1217" s="3">
        <v>37.15</v>
      </c>
      <c r="M1217" s="3">
        <v>39.01</v>
      </c>
      <c r="N1217" s="3">
        <v>79.99</v>
      </c>
      <c r="O1217" s="2" t="s">
        <v>232</v>
      </c>
      <c r="P1217" s="2" t="s">
        <v>878</v>
      </c>
      <c r="Q1217" s="2" t="s">
        <v>234</v>
      </c>
      <c r="R1217" s="2" t="s">
        <v>235</v>
      </c>
      <c r="S1217" s="2" t="s">
        <v>235</v>
      </c>
      <c r="T1217" s="2" t="s">
        <v>879</v>
      </c>
      <c r="U1217" s="2" t="s">
        <v>807</v>
      </c>
      <c r="V1217" s="2" t="s">
        <v>238</v>
      </c>
      <c r="W1217" s="2" t="s">
        <v>864</v>
      </c>
      <c r="X1217" s="2" t="s">
        <v>235</v>
      </c>
      <c r="Y1217" s="2" t="s">
        <v>4811</v>
      </c>
      <c r="Z1217" s="4">
        <v>419</v>
      </c>
      <c r="AA1217" s="4">
        <f>=ROUNDDOWN(76.1818181818182,0)</f>
      </c>
      <c r="AB1217" s="5">
        <v>5.5</v>
      </c>
      <c r="AC1217" s="2" t="s">
        <v>235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235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235</v>
      </c>
      <c r="AW1217" s="8" t="s">
        <v>235</v>
      </c>
      <c r="AX1217" s="4" t="s">
        <v>235</v>
      </c>
      <c r="AY1217" s="8" t="s">
        <v>235</v>
      </c>
      <c r="AZ1217" s="7" t="s">
        <v>235</v>
      </c>
      <c r="BA1217" s="7" t="s">
        <v>235</v>
      </c>
      <c r="BB1217" s="7"/>
      <c r="BC1217" s="4" t="s">
        <v>235</v>
      </c>
      <c r="BD1217" s="8" t="s">
        <v>235</v>
      </c>
      <c r="BE1217" s="4" t="s">
        <v>235</v>
      </c>
      <c r="BF1217" s="8" t="s">
        <v>235</v>
      </c>
      <c r="BG1217" s="7" t="s">
        <v>235</v>
      </c>
      <c r="BH1217" s="7" t="s">
        <v>235</v>
      </c>
      <c r="BI1217" s="7"/>
      <c r="BJ1217" s="4">
        <v>13</v>
      </c>
      <c r="BK1217" s="8">
        <v>531.05</v>
      </c>
      <c r="BL1217" s="2" t="s">
        <v>2683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4808</v>
      </c>
      <c r="BV1217" s="2" t="s">
        <v>235</v>
      </c>
      <c r="BW1217" s="2" t="s">
        <v>235</v>
      </c>
      <c r="BX1217" s="2" t="s">
        <v>244</v>
      </c>
      <c r="BY1217" s="2" t="s">
        <v>245</v>
      </c>
      <c r="BZ1217" s="2" t="s">
        <v>232</v>
      </c>
      <c r="CA1217" s="2" t="s">
        <v>235</v>
      </c>
      <c r="CB1217" s="2" t="s">
        <v>235</v>
      </c>
      <c r="CC1217" s="2" t="s">
        <v>248</v>
      </c>
      <c r="CD1217" s="2" t="s">
        <v>248</v>
      </c>
      <c r="CE1217" s="2" t="s">
        <v>235</v>
      </c>
      <c r="CF1217" s="4">
        <v>419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>
        <v>419</v>
      </c>
      <c r="GE1217" s="4">
        <v>412</v>
      </c>
      <c r="GF1217" s="4">
        <v>402</v>
      </c>
      <c r="GG1217" s="4">
        <v>392</v>
      </c>
      <c r="GH1217" s="4">
        <v>374</v>
      </c>
      <c r="GI1217" s="4">
        <v>356</v>
      </c>
      <c r="GJ1217" s="4">
        <v>337</v>
      </c>
      <c r="GK1217" s="4">
        <v>318</v>
      </c>
      <c r="GL1217" s="4">
        <v>290</v>
      </c>
      <c r="GM1217" s="4">
        <v>263</v>
      </c>
      <c r="GN1217" s="4">
        <v>228</v>
      </c>
      <c r="GO1217" s="4">
        <v>185</v>
      </c>
      <c r="GP1217" s="4">
        <v>148</v>
      </c>
      <c r="GQ1217" s="4">
        <v>100</v>
      </c>
      <c r="GR1217" s="4">
        <v>65</v>
      </c>
      <c r="GS1217" s="4">
        <v>20</v>
      </c>
      <c r="GT1217" s="4"/>
      <c r="GU1217" s="4"/>
      <c r="GV1217" s="4"/>
      <c r="GW1217" s="4">
        <v>691</v>
      </c>
      <c r="GX1217" s="4">
        <v>660</v>
      </c>
      <c r="GY1217" s="4">
        <v>633</v>
      </c>
      <c r="GZ1217" s="4">
        <v>606</v>
      </c>
      <c r="HA1217" s="4">
        <v>579</v>
      </c>
      <c r="HB1217" s="4">
        <v>552</v>
      </c>
      <c r="HC1217" s="4">
        <v>520</v>
      </c>
      <c r="HD1217" s="19">
        <v>38.1</v>
      </c>
      <c r="HE1217" s="19">
        <v>29.4</v>
      </c>
      <c r="HF1217" s="19">
        <v>25.1</v>
      </c>
      <c r="HG1217" s="19">
        <v>21.8</v>
      </c>
      <c r="HH1217" s="19">
        <v>17.8</v>
      </c>
      <c r="HI1217" s="19">
        <v>15.5</v>
      </c>
      <c r="HJ1217" s="19">
        <v>12.5</v>
      </c>
      <c r="HK1217" s="19">
        <v>9.6</v>
      </c>
      <c r="HL1217" s="19">
        <v>8.1</v>
      </c>
      <c r="HM1217" s="19">
        <v>6.4</v>
      </c>
      <c r="HN1217" s="19">
        <v>5.6</v>
      </c>
      <c r="HO1217" s="19">
        <v>4.5</v>
      </c>
      <c r="HP1217" s="19">
        <v>3.9</v>
      </c>
      <c r="HQ1217" s="19">
        <v>2.9</v>
      </c>
      <c r="HR1217" s="19">
        <v>2</v>
      </c>
      <c r="HS1217" s="19">
        <v>0.7</v>
      </c>
      <c r="HT1217" s="20">
        <v>0</v>
      </c>
      <c r="HU1217" s="20">
        <v>0</v>
      </c>
      <c r="HV1217" s="20">
        <v>0</v>
      </c>
      <c r="HW1217" s="19">
        <v>24.7</v>
      </c>
      <c r="HX1217" s="19">
        <v>24.4</v>
      </c>
      <c r="HY1217" s="19">
        <v>22.6</v>
      </c>
      <c r="HZ1217" s="19">
        <v>21.6</v>
      </c>
      <c r="IA1217" s="19">
        <v>20.7</v>
      </c>
      <c r="IB1217" s="19">
        <v>19.7</v>
      </c>
      <c r="IC1217" s="19">
        <v>19.3</v>
      </c>
    </row>
    <row r="1218">
      <c r="A1218" s="2" t="s">
        <v>4817</v>
      </c>
      <c r="B1218" s="2" t="s">
        <v>852</v>
      </c>
      <c r="C1218" s="2" t="s">
        <v>324</v>
      </c>
      <c r="D1218" s="2" t="s">
        <v>854</v>
      </c>
      <c r="E1218" s="2" t="s">
        <v>855</v>
      </c>
      <c r="F1218" s="2" t="s">
        <v>4804</v>
      </c>
      <c r="G1218" s="2" t="s">
        <v>4804</v>
      </c>
      <c r="H1218" s="2" t="s">
        <v>4804</v>
      </c>
      <c r="I1218" s="2" t="s">
        <v>4805</v>
      </c>
      <c r="J1218" s="2" t="s">
        <v>4813</v>
      </c>
      <c r="K1218" s="2" t="s">
        <v>316</v>
      </c>
      <c r="L1218" s="3">
        <v>40.02</v>
      </c>
      <c r="M1218" s="3">
        <v>42.02</v>
      </c>
      <c r="N1218" s="3">
        <v>89.99</v>
      </c>
      <c r="O1218" s="2" t="s">
        <v>232</v>
      </c>
      <c r="P1218" s="2" t="s">
        <v>878</v>
      </c>
      <c r="Q1218" s="2" t="s">
        <v>234</v>
      </c>
      <c r="R1218" s="2" t="s">
        <v>235</v>
      </c>
      <c r="S1218" s="2" t="s">
        <v>235</v>
      </c>
      <c r="T1218" s="2" t="s">
        <v>879</v>
      </c>
      <c r="U1218" s="2" t="s">
        <v>807</v>
      </c>
      <c r="V1218" s="2" t="s">
        <v>238</v>
      </c>
      <c r="W1218" s="2" t="s">
        <v>864</v>
      </c>
      <c r="X1218" s="2" t="s">
        <v>235</v>
      </c>
      <c r="Y1218" s="2" t="s">
        <v>2270</v>
      </c>
      <c r="Z1218" s="4">
        <v>155</v>
      </c>
      <c r="AA1218" s="4">
        <f>=ROUNDDOWN(55.3571428571429,0)</f>
      </c>
      <c r="AB1218" s="5">
        <v>2.8</v>
      </c>
      <c r="AC1218" s="2" t="s">
        <v>235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235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235</v>
      </c>
      <c r="AW1218" s="8" t="s">
        <v>235</v>
      </c>
      <c r="AX1218" s="4" t="s">
        <v>235</v>
      </c>
      <c r="AY1218" s="8" t="s">
        <v>235</v>
      </c>
      <c r="AZ1218" s="7" t="s">
        <v>235</v>
      </c>
      <c r="BA1218" s="7" t="s">
        <v>235</v>
      </c>
      <c r="BB1218" s="7"/>
      <c r="BC1218" s="4" t="s">
        <v>235</v>
      </c>
      <c r="BD1218" s="8" t="s">
        <v>235</v>
      </c>
      <c r="BE1218" s="4" t="s">
        <v>235</v>
      </c>
      <c r="BF1218" s="8" t="s">
        <v>235</v>
      </c>
      <c r="BG1218" s="7" t="s">
        <v>235</v>
      </c>
      <c r="BH1218" s="7" t="s">
        <v>235</v>
      </c>
      <c r="BI1218" s="7"/>
      <c r="BJ1218" s="4">
        <v>12</v>
      </c>
      <c r="BK1218" s="8">
        <v>527.4</v>
      </c>
      <c r="BL1218" s="2" t="s">
        <v>1226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4808</v>
      </c>
      <c r="BV1218" s="2" t="s">
        <v>235</v>
      </c>
      <c r="BW1218" s="2" t="s">
        <v>235</v>
      </c>
      <c r="BX1218" s="2" t="s">
        <v>244</v>
      </c>
      <c r="BY1218" s="2" t="s">
        <v>245</v>
      </c>
      <c r="BZ1218" s="2" t="s">
        <v>232</v>
      </c>
      <c r="CA1218" s="2" t="s">
        <v>235</v>
      </c>
      <c r="CB1218" s="2" t="s">
        <v>235</v>
      </c>
      <c r="CC1218" s="2" t="s">
        <v>248</v>
      </c>
      <c r="CD1218" s="2" t="s">
        <v>248</v>
      </c>
      <c r="CE1218" s="2" t="s">
        <v>235</v>
      </c>
      <c r="CF1218" s="4">
        <v>155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>
        <v>162</v>
      </c>
      <c r="GE1218" s="4">
        <v>153</v>
      </c>
      <c r="GF1218" s="4">
        <v>148</v>
      </c>
      <c r="GG1218" s="4">
        <v>142</v>
      </c>
      <c r="GH1218" s="4">
        <v>134</v>
      </c>
      <c r="GI1218" s="4">
        <v>126</v>
      </c>
      <c r="GJ1218" s="4">
        <v>116</v>
      </c>
      <c r="GK1218" s="4">
        <v>108</v>
      </c>
      <c r="GL1218" s="4">
        <v>98</v>
      </c>
      <c r="GM1218" s="4">
        <v>91</v>
      </c>
      <c r="GN1218" s="4">
        <v>83</v>
      </c>
      <c r="GO1218" s="4">
        <v>74</v>
      </c>
      <c r="GP1218" s="4">
        <v>64</v>
      </c>
      <c r="GQ1218" s="4">
        <v>52</v>
      </c>
      <c r="GR1218" s="4">
        <v>43</v>
      </c>
      <c r="GS1218" s="4">
        <v>32</v>
      </c>
      <c r="GT1218" s="4">
        <v>25</v>
      </c>
      <c r="GU1218" s="4">
        <v>18</v>
      </c>
      <c r="GV1218" s="4">
        <v>10</v>
      </c>
      <c r="GW1218" s="4">
        <v>178</v>
      </c>
      <c r="GX1218" s="4">
        <v>171</v>
      </c>
      <c r="GY1218" s="4">
        <v>164</v>
      </c>
      <c r="GZ1218" s="4">
        <v>157</v>
      </c>
      <c r="HA1218" s="4">
        <v>150</v>
      </c>
      <c r="HB1218" s="4">
        <v>143</v>
      </c>
      <c r="HC1218" s="4">
        <v>135</v>
      </c>
      <c r="HD1218" s="19">
        <v>23.1</v>
      </c>
      <c r="HE1218" s="19">
        <v>21.9</v>
      </c>
      <c r="HF1218" s="19">
        <v>18.5</v>
      </c>
      <c r="HG1218" s="19">
        <v>17.8</v>
      </c>
      <c r="HH1218" s="19">
        <v>14.9</v>
      </c>
      <c r="HI1218" s="19">
        <v>14</v>
      </c>
      <c r="HJ1218" s="19">
        <v>14.5</v>
      </c>
      <c r="HK1218" s="19">
        <v>13.5</v>
      </c>
      <c r="HL1218" s="19">
        <v>12.3</v>
      </c>
      <c r="HM1218" s="19">
        <v>9.1</v>
      </c>
      <c r="HN1218" s="19">
        <v>8.3</v>
      </c>
      <c r="HO1218" s="19">
        <v>7.4</v>
      </c>
      <c r="HP1218" s="19">
        <v>6.4</v>
      </c>
      <c r="HQ1218" s="19">
        <v>6.5</v>
      </c>
      <c r="HR1218" s="19">
        <v>5.4</v>
      </c>
      <c r="HS1218" s="19">
        <v>4.6</v>
      </c>
      <c r="HT1218" s="19">
        <v>3.6</v>
      </c>
      <c r="HU1218" s="19">
        <v>2.6</v>
      </c>
      <c r="HV1218" s="19">
        <v>1.4</v>
      </c>
      <c r="HW1218" s="19">
        <v>25.4</v>
      </c>
      <c r="HX1218" s="19">
        <v>24.4</v>
      </c>
      <c r="HY1218" s="19">
        <v>23.4</v>
      </c>
      <c r="HZ1218" s="19">
        <v>22.4</v>
      </c>
      <c r="IA1218" s="19">
        <v>21.4</v>
      </c>
      <c r="IB1218" s="19">
        <v>20.4</v>
      </c>
      <c r="IC1218" s="19">
        <v>19.3</v>
      </c>
    </row>
    <row r="1219">
      <c r="A1219" s="2" t="s">
        <v>4818</v>
      </c>
      <c r="B1219" s="2" t="s">
        <v>1071</v>
      </c>
      <c r="C1219" s="2" t="s">
        <v>893</v>
      </c>
      <c r="D1219" s="2" t="s">
        <v>4819</v>
      </c>
      <c r="E1219" s="2" t="s">
        <v>4820</v>
      </c>
      <c r="F1219" s="2" t="s">
        <v>4821</v>
      </c>
      <c r="G1219" s="2" t="s">
        <v>4821</v>
      </c>
      <c r="H1219" s="2" t="s">
        <v>4821</v>
      </c>
      <c r="I1219" s="2" t="s">
        <v>4822</v>
      </c>
      <c r="J1219" s="2" t="s">
        <v>897</v>
      </c>
      <c r="K1219" s="2" t="s">
        <v>4823</v>
      </c>
      <c r="L1219" s="3">
        <v>210</v>
      </c>
      <c r="M1219" s="3">
        <v>220.5</v>
      </c>
      <c r="N1219" s="3">
        <v>449</v>
      </c>
      <c r="O1219" s="2" t="s">
        <v>407</v>
      </c>
      <c r="P1219" s="2" t="s">
        <v>408</v>
      </c>
      <c r="Q1219" s="2" t="s">
        <v>234</v>
      </c>
      <c r="R1219" s="2" t="s">
        <v>235</v>
      </c>
      <c r="S1219" s="2" t="s">
        <v>235</v>
      </c>
      <c r="T1219" s="2" t="s">
        <v>235</v>
      </c>
      <c r="U1219" s="2" t="s">
        <v>807</v>
      </c>
      <c r="V1219" s="2" t="s">
        <v>808</v>
      </c>
      <c r="W1219" s="2" t="s">
        <v>682</v>
      </c>
      <c r="X1219" s="2" t="s">
        <v>239</v>
      </c>
      <c r="Y1219" s="2" t="s">
        <v>4824</v>
      </c>
      <c r="Z1219" s="4">
        <v>81</v>
      </c>
      <c r="AA1219" s="4">
        <f>=ROUNDDOWN(135,0)</f>
      </c>
      <c r="AB1219" s="5">
        <v>0.6</v>
      </c>
      <c r="AC1219" s="2" t="s">
        <v>235</v>
      </c>
      <c r="AD1219" s="4"/>
      <c r="AE1219" s="4"/>
      <c r="AF1219" s="6">
        <v>74</v>
      </c>
      <c r="AG1219" s="6"/>
      <c r="AH1219" s="7">
        <v>1</v>
      </c>
      <c r="AI1219" s="4"/>
      <c r="AJ1219" s="4">
        <f>=ROUNDDOWN({0},0)</f>
      </c>
      <c r="AK1219" s="5"/>
      <c r="AL1219" s="2" t="s">
        <v>235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>
        <v>2</v>
      </c>
      <c r="BK1219" s="8">
        <v>396.9</v>
      </c>
      <c r="BL1219" s="2" t="s">
        <v>2138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4825</v>
      </c>
      <c r="BV1219" s="2" t="s">
        <v>4384</v>
      </c>
      <c r="BW1219" s="2" t="s">
        <v>235</v>
      </c>
      <c r="BX1219" s="2" t="s">
        <v>414</v>
      </c>
      <c r="BY1219" s="2" t="s">
        <v>245</v>
      </c>
      <c r="BZ1219" s="2" t="s">
        <v>232</v>
      </c>
      <c r="CA1219" s="2" t="s">
        <v>620</v>
      </c>
      <c r="CB1219" s="2" t="s">
        <v>4826</v>
      </c>
      <c r="CC1219" s="2" t="s">
        <v>248</v>
      </c>
      <c r="CD1219" s="2" t="s">
        <v>248</v>
      </c>
      <c r="CE1219" s="2" t="s">
        <v>235</v>
      </c>
      <c r="CF1219" s="4"/>
      <c r="CG1219" s="4">
        <v>81</v>
      </c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>
        <v>82</v>
      </c>
      <c r="GE1219" s="4">
        <v>80</v>
      </c>
      <c r="GF1219" s="4">
        <v>79</v>
      </c>
      <c r="GG1219" s="4">
        <v>78</v>
      </c>
      <c r="GH1219" s="4">
        <v>77</v>
      </c>
      <c r="GI1219" s="4">
        <v>76</v>
      </c>
      <c r="GJ1219" s="4">
        <v>75</v>
      </c>
      <c r="GK1219" s="4">
        <v>74</v>
      </c>
      <c r="GL1219" s="4">
        <v>73</v>
      </c>
      <c r="GM1219" s="4">
        <v>72</v>
      </c>
      <c r="GN1219" s="4">
        <v>71</v>
      </c>
      <c r="GO1219" s="4">
        <v>70</v>
      </c>
      <c r="GP1219" s="4">
        <v>69</v>
      </c>
      <c r="GQ1219" s="4">
        <v>67</v>
      </c>
      <c r="GR1219" s="4">
        <v>66</v>
      </c>
      <c r="GS1219" s="4">
        <v>65</v>
      </c>
      <c r="GT1219" s="4">
        <v>64</v>
      </c>
      <c r="GU1219" s="4">
        <v>63</v>
      </c>
      <c r="GV1219" s="4">
        <v>62</v>
      </c>
      <c r="GW1219" s="4">
        <v>61</v>
      </c>
      <c r="GX1219" s="4">
        <v>60</v>
      </c>
      <c r="GY1219" s="4">
        <v>59</v>
      </c>
      <c r="GZ1219" s="4">
        <v>58</v>
      </c>
      <c r="HA1219" s="4">
        <v>57</v>
      </c>
      <c r="HB1219" s="4">
        <v>56</v>
      </c>
      <c r="HC1219" s="4">
        <v>55</v>
      </c>
      <c r="HD1219" s="19">
        <v>82</v>
      </c>
      <c r="HE1219" s="19">
        <v>80</v>
      </c>
      <c r="HF1219" s="19">
        <v>79</v>
      </c>
      <c r="HG1219" s="19">
        <v>78</v>
      </c>
      <c r="HH1219" s="19">
        <v>77</v>
      </c>
      <c r="HI1219" s="19">
        <v>76</v>
      </c>
      <c r="HJ1219" s="19">
        <v>75</v>
      </c>
      <c r="HK1219" s="19">
        <v>74</v>
      </c>
      <c r="HL1219" s="19">
        <v>73</v>
      </c>
      <c r="HM1219" s="19">
        <v>72</v>
      </c>
      <c r="HN1219" s="19">
        <v>71</v>
      </c>
      <c r="HO1219" s="19">
        <v>70</v>
      </c>
      <c r="HP1219" s="19">
        <v>69</v>
      </c>
      <c r="HQ1219" s="19">
        <v>67</v>
      </c>
      <c r="HR1219" s="19">
        <v>66</v>
      </c>
      <c r="HS1219" s="19">
        <v>65</v>
      </c>
      <c r="HT1219" s="19">
        <v>64</v>
      </c>
      <c r="HU1219" s="19">
        <v>63</v>
      </c>
      <c r="HV1219" s="19">
        <v>62</v>
      </c>
      <c r="HW1219" s="19">
        <v>61</v>
      </c>
      <c r="HX1219" s="19">
        <v>60</v>
      </c>
      <c r="HY1219" s="19">
        <v>59</v>
      </c>
      <c r="HZ1219" s="19">
        <v>58</v>
      </c>
      <c r="IA1219" s="19">
        <v>57</v>
      </c>
      <c r="IB1219" s="19">
        <v>56</v>
      </c>
      <c r="IC1219" s="19">
        <v>55</v>
      </c>
    </row>
    <row r="1220">
      <c r="A1220" s="2" t="s">
        <v>4827</v>
      </c>
      <c r="B1220" s="2" t="s">
        <v>1071</v>
      </c>
      <c r="C1220" s="2" t="s">
        <v>1085</v>
      </c>
      <c r="D1220" s="2" t="s">
        <v>1072</v>
      </c>
      <c r="E1220" s="2" t="s">
        <v>1727</v>
      </c>
      <c r="F1220" s="2" t="s">
        <v>4828</v>
      </c>
      <c r="G1220" s="2" t="s">
        <v>4828</v>
      </c>
      <c r="H1220" s="2" t="s">
        <v>4828</v>
      </c>
      <c r="I1220" s="2" t="s">
        <v>4829</v>
      </c>
      <c r="J1220" s="2" t="s">
        <v>261</v>
      </c>
      <c r="K1220" s="2" t="s">
        <v>4830</v>
      </c>
      <c r="L1220" s="3">
        <v>502</v>
      </c>
      <c r="M1220" s="3">
        <v>527.1</v>
      </c>
      <c r="N1220" s="3">
        <v>1049</v>
      </c>
      <c r="O1220" s="2" t="s">
        <v>232</v>
      </c>
      <c r="P1220" s="2" t="s">
        <v>408</v>
      </c>
      <c r="Q1220" s="2" t="s">
        <v>234</v>
      </c>
      <c r="R1220" s="2" t="s">
        <v>235</v>
      </c>
      <c r="S1220" s="2" t="s">
        <v>235</v>
      </c>
      <c r="T1220" s="2" t="s">
        <v>235</v>
      </c>
      <c r="U1220" s="2" t="s">
        <v>807</v>
      </c>
      <c r="V1220" s="2" t="s">
        <v>808</v>
      </c>
      <c r="W1220" s="2" t="s">
        <v>671</v>
      </c>
      <c r="X1220" s="2" t="s">
        <v>3881</v>
      </c>
      <c r="Y1220" s="2" t="s">
        <v>931</v>
      </c>
      <c r="Z1220" s="4"/>
      <c r="AA1220" s="4">
        <f>=ROUNDDOWN({0},0)</f>
      </c>
      <c r="AB1220" s="5">
        <v>2</v>
      </c>
      <c r="AC1220" s="2" t="s">
        <v>235</v>
      </c>
      <c r="AD1220" s="4"/>
      <c r="AE1220" s="4"/>
      <c r="AF1220" s="6">
        <v>83</v>
      </c>
      <c r="AG1220" s="6"/>
      <c r="AH1220" s="7">
        <v>0</v>
      </c>
      <c r="AI1220" s="4"/>
      <c r="AJ1220" s="4">
        <f>=ROUNDDOWN({0},0)</f>
      </c>
      <c r="AK1220" s="5"/>
      <c r="AL1220" s="2" t="s">
        <v>235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>
        <v>1</v>
      </c>
      <c r="BK1220" s="8">
        <v>703.61</v>
      </c>
      <c r="BL1220" s="2" t="s">
        <v>900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4831</v>
      </c>
      <c r="BV1220" s="2" t="s">
        <v>4832</v>
      </c>
      <c r="BW1220" s="2" t="s">
        <v>235</v>
      </c>
      <c r="BX1220" s="2" t="s">
        <v>414</v>
      </c>
      <c r="BY1220" s="2" t="s">
        <v>245</v>
      </c>
      <c r="BZ1220" s="2" t="s">
        <v>232</v>
      </c>
      <c r="CA1220" s="2" t="s">
        <v>2709</v>
      </c>
      <c r="CB1220" s="2" t="s">
        <v>1581</v>
      </c>
      <c r="CC1220" s="2" t="s">
        <v>248</v>
      </c>
      <c r="CD1220" s="2" t="s">
        <v>248</v>
      </c>
      <c r="CE1220" s="2" t="s">
        <v>235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20">
        <v>0</v>
      </c>
      <c r="HE1220" s="20">
        <v>0</v>
      </c>
      <c r="HF1220" s="20">
        <v>0</v>
      </c>
      <c r="HG1220" s="20">
        <v>0</v>
      </c>
      <c r="HH1220" s="20">
        <v>0</v>
      </c>
      <c r="HI1220" s="20">
        <v>0</v>
      </c>
      <c r="HJ1220" s="20">
        <v>0</v>
      </c>
      <c r="HK1220" s="20">
        <v>0</v>
      </c>
      <c r="HL1220" s="20">
        <v>0</v>
      </c>
      <c r="HM1220" s="20">
        <v>0</v>
      </c>
      <c r="HN1220" s="20">
        <v>0</v>
      </c>
      <c r="HO1220" s="20">
        <v>0</v>
      </c>
      <c r="HP1220" s="20">
        <v>0</v>
      </c>
      <c r="HQ1220" s="20">
        <v>0</v>
      </c>
      <c r="HR1220" s="20">
        <v>0</v>
      </c>
      <c r="HS1220" s="20">
        <v>0</v>
      </c>
      <c r="HT1220" s="20">
        <v>0</v>
      </c>
      <c r="HU1220" s="20">
        <v>0</v>
      </c>
      <c r="HV1220" s="20">
        <v>0</v>
      </c>
      <c r="HW1220" s="20">
        <v>0</v>
      </c>
      <c r="HX1220" s="20">
        <v>0</v>
      </c>
      <c r="HY1220" s="20">
        <v>0</v>
      </c>
      <c r="HZ1220" s="20">
        <v>0</v>
      </c>
      <c r="IA1220" s="20">
        <v>0</v>
      </c>
      <c r="IB1220" s="20">
        <v>0</v>
      </c>
      <c r="IC1220" s="20">
        <v>0</v>
      </c>
    </row>
    <row r="1221">
      <c r="A1221" s="2" t="s">
        <v>4833</v>
      </c>
      <c r="B1221" s="2" t="s">
        <v>1529</v>
      </c>
      <c r="C1221" s="2" t="s">
        <v>1381</v>
      </c>
      <c r="D1221" s="2" t="s">
        <v>1417</v>
      </c>
      <c r="E1221" s="2" t="s">
        <v>1530</v>
      </c>
      <c r="F1221" s="2" t="s">
        <v>857</v>
      </c>
      <c r="G1221" s="2" t="s">
        <v>857</v>
      </c>
      <c r="H1221" s="2" t="s">
        <v>857</v>
      </c>
      <c r="I1221" s="2" t="s">
        <v>1530</v>
      </c>
      <c r="J1221" s="2" t="s">
        <v>897</v>
      </c>
      <c r="K1221" s="2" t="s">
        <v>612</v>
      </c>
      <c r="L1221" s="3">
        <v>339.29</v>
      </c>
      <c r="M1221" s="3">
        <v>356.25</v>
      </c>
      <c r="N1221" s="3">
        <v>999</v>
      </c>
      <c r="O1221" s="2" t="s">
        <v>232</v>
      </c>
      <c r="P1221" s="2" t="s">
        <v>1533</v>
      </c>
      <c r="Q1221" s="2" t="s">
        <v>492</v>
      </c>
      <c r="R1221" s="2" t="s">
        <v>235</v>
      </c>
      <c r="S1221" s="2" t="s">
        <v>235</v>
      </c>
      <c r="T1221" s="2" t="s">
        <v>235</v>
      </c>
      <c r="U1221" s="2" t="s">
        <v>807</v>
      </c>
      <c r="V1221" s="2" t="s">
        <v>238</v>
      </c>
      <c r="W1221" s="2" t="s">
        <v>235</v>
      </c>
      <c r="X1221" s="2" t="s">
        <v>235</v>
      </c>
      <c r="Y1221" s="2" t="s">
        <v>1534</v>
      </c>
      <c r="Z1221" s="4"/>
      <c r="AA1221" s="4">
        <f>=ROUNDDOWN({0},0)</f>
      </c>
      <c r="AB1221" s="5">
        <v>0.2</v>
      </c>
      <c r="AC1221" s="2" t="s">
        <v>235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235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235</v>
      </c>
      <c r="BD1221" s="8" t="s">
        <v>235</v>
      </c>
      <c r="BE1221" s="4" t="s">
        <v>235</v>
      </c>
      <c r="BF1221" s="8" t="s">
        <v>235</v>
      </c>
      <c r="BG1221" s="7" t="s">
        <v>235</v>
      </c>
      <c r="BH1221" s="7" t="s">
        <v>235</v>
      </c>
      <c r="BI1221" s="7"/>
      <c r="BJ1221" s="4"/>
      <c r="BK1221" s="8"/>
      <c r="BL1221" s="2" t="s">
        <v>235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4834</v>
      </c>
      <c r="BV1221" s="2" t="s">
        <v>1448</v>
      </c>
      <c r="BW1221" s="2" t="s">
        <v>235</v>
      </c>
      <c r="BX1221" s="2" t="s">
        <v>244</v>
      </c>
      <c r="BY1221" s="2" t="s">
        <v>245</v>
      </c>
      <c r="BZ1221" s="2" t="s">
        <v>232</v>
      </c>
      <c r="CA1221" s="2" t="s">
        <v>4835</v>
      </c>
      <c r="CB1221" s="2" t="s">
        <v>235</v>
      </c>
      <c r="CC1221" s="2" t="s">
        <v>248</v>
      </c>
      <c r="CD1221" s="2" t="s">
        <v>248</v>
      </c>
      <c r="CE1221" s="2" t="s">
        <v>235</v>
      </c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9"/>
      <c r="HE1221" s="9"/>
      <c r="HF1221" s="9"/>
      <c r="HG1221" s="9"/>
      <c r="HH1221" s="9"/>
      <c r="HI1221" s="9"/>
      <c r="HJ1221" s="9"/>
      <c r="HK1221" s="9"/>
      <c r="HL1221" s="9"/>
      <c r="HM1221" s="9"/>
      <c r="HN1221" s="9"/>
      <c r="HO1221" s="9"/>
      <c r="HP1221" s="9"/>
      <c r="HQ1221" s="9"/>
      <c r="HR1221" s="9"/>
      <c r="HS1221" s="9"/>
      <c r="HT1221" s="9"/>
      <c r="HU1221" s="9"/>
      <c r="HV1221" s="9"/>
      <c r="HW1221" s="9"/>
      <c r="HX1221" s="9"/>
      <c r="HY1221" s="9"/>
      <c r="HZ1221" s="9"/>
      <c r="IA1221" s="9"/>
      <c r="IB1221" s="9"/>
      <c r="IC1221" s="9"/>
    </row>
    <row r="1222">
      <c r="A1222" s="2" t="s">
        <v>4836</v>
      </c>
      <c r="B1222" s="2" t="s">
        <v>1529</v>
      </c>
      <c r="C1222" s="2" t="s">
        <v>1381</v>
      </c>
      <c r="D1222" s="2" t="s">
        <v>1417</v>
      </c>
      <c r="E1222" s="2" t="s">
        <v>1530</v>
      </c>
      <c r="F1222" s="2" t="s">
        <v>857</v>
      </c>
      <c r="G1222" s="2" t="s">
        <v>857</v>
      </c>
      <c r="H1222" s="2" t="s">
        <v>857</v>
      </c>
      <c r="I1222" s="2" t="s">
        <v>1530</v>
      </c>
      <c r="J1222" s="2" t="s">
        <v>897</v>
      </c>
      <c r="K1222" s="2" t="s">
        <v>292</v>
      </c>
      <c r="L1222" s="3">
        <v>339.29</v>
      </c>
      <c r="M1222" s="3">
        <v>356.25</v>
      </c>
      <c r="N1222" s="3">
        <v>999</v>
      </c>
      <c r="O1222" s="2" t="s">
        <v>232</v>
      </c>
      <c r="P1222" s="2" t="s">
        <v>1533</v>
      </c>
      <c r="Q1222" s="2" t="s">
        <v>492</v>
      </c>
      <c r="R1222" s="2" t="s">
        <v>235</v>
      </c>
      <c r="S1222" s="2" t="s">
        <v>235</v>
      </c>
      <c r="T1222" s="2" t="s">
        <v>235</v>
      </c>
      <c r="U1222" s="2" t="s">
        <v>807</v>
      </c>
      <c r="V1222" s="2" t="s">
        <v>238</v>
      </c>
      <c r="W1222" s="2" t="s">
        <v>235</v>
      </c>
      <c r="X1222" s="2" t="s">
        <v>235</v>
      </c>
      <c r="Y1222" s="2" t="s">
        <v>1534</v>
      </c>
      <c r="Z1222" s="4">
        <v>48</v>
      </c>
      <c r="AA1222" s="4">
        <f>=ROUNDDOWN(80,0)</f>
      </c>
      <c r="AB1222" s="5">
        <v>0.6</v>
      </c>
      <c r="AC1222" s="2" t="s">
        <v>235</v>
      </c>
      <c r="AD1222" s="4"/>
      <c r="AE1222" s="4"/>
      <c r="AF1222" s="6"/>
      <c r="AG1222" s="6"/>
      <c r="AH1222" s="7">
        <v>1</v>
      </c>
      <c r="AI1222" s="4"/>
      <c r="AJ1222" s="4">
        <f>=ROUNDDOWN({0},0)</f>
      </c>
      <c r="AK1222" s="5"/>
      <c r="AL1222" s="2" t="s">
        <v>235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235</v>
      </c>
      <c r="BD1222" s="8" t="s">
        <v>235</v>
      </c>
      <c r="BE1222" s="4" t="s">
        <v>235</v>
      </c>
      <c r="BF1222" s="8" t="s">
        <v>235</v>
      </c>
      <c r="BG1222" s="7" t="s">
        <v>235</v>
      </c>
      <c r="BH1222" s="7" t="s">
        <v>235</v>
      </c>
      <c r="BI1222" s="7"/>
      <c r="BJ1222" s="4">
        <v>5</v>
      </c>
      <c r="BK1222" s="8">
        <v>1368</v>
      </c>
      <c r="BL1222" s="2" t="s">
        <v>900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4834</v>
      </c>
      <c r="BV1222" s="2" t="s">
        <v>1448</v>
      </c>
      <c r="BW1222" s="2" t="s">
        <v>235</v>
      </c>
      <c r="BX1222" s="2" t="s">
        <v>244</v>
      </c>
      <c r="BY1222" s="2" t="s">
        <v>245</v>
      </c>
      <c r="BZ1222" s="2" t="s">
        <v>232</v>
      </c>
      <c r="CA1222" s="2" t="s">
        <v>4835</v>
      </c>
      <c r="CB1222" s="2" t="s">
        <v>235</v>
      </c>
      <c r="CC1222" s="2" t="s">
        <v>248</v>
      </c>
      <c r="CD1222" s="2" t="s">
        <v>248</v>
      </c>
      <c r="CE1222" s="2" t="s">
        <v>235</v>
      </c>
      <c r="CF1222" s="4"/>
      <c r="CG1222" s="4">
        <v>44</v>
      </c>
      <c r="CH1222" s="4"/>
      <c r="CI1222" s="4">
        <v>4</v>
      </c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9"/>
      <c r="HE1222" s="9"/>
      <c r="HF1222" s="9"/>
      <c r="HG1222" s="9"/>
      <c r="HH1222" s="9"/>
      <c r="HI1222" s="9"/>
      <c r="HJ1222" s="9"/>
      <c r="HK1222" s="9"/>
      <c r="HL1222" s="9"/>
      <c r="HM1222" s="9"/>
      <c r="HN1222" s="9"/>
      <c r="HO1222" s="9"/>
      <c r="HP1222" s="9"/>
      <c r="HQ1222" s="9"/>
      <c r="HR1222" s="9"/>
      <c r="HS1222" s="9"/>
      <c r="HT1222" s="9"/>
      <c r="HU1222" s="9"/>
      <c r="HV1222" s="9"/>
      <c r="HW1222" s="9"/>
      <c r="HX1222" s="9"/>
      <c r="HY1222" s="9"/>
      <c r="HZ1222" s="9"/>
      <c r="IA1222" s="9"/>
      <c r="IB1222" s="9"/>
      <c r="IC1222" s="9"/>
    </row>
    <row r="1223">
      <c r="A1223" s="2" t="s">
        <v>4837</v>
      </c>
      <c r="B1223" s="2" t="s">
        <v>871</v>
      </c>
      <c r="C1223" s="2" t="s">
        <v>980</v>
      </c>
      <c r="D1223" s="2" t="s">
        <v>1452</v>
      </c>
      <c r="E1223" s="2" t="s">
        <v>1453</v>
      </c>
      <c r="F1223" s="2" t="s">
        <v>4838</v>
      </c>
      <c r="G1223" s="2" t="s">
        <v>4838</v>
      </c>
      <c r="H1223" s="2" t="s">
        <v>4838</v>
      </c>
      <c r="I1223" s="2" t="s">
        <v>4839</v>
      </c>
      <c r="J1223" s="2" t="s">
        <v>365</v>
      </c>
      <c r="K1223" s="2" t="s">
        <v>231</v>
      </c>
      <c r="L1223" s="3">
        <v>42.53</v>
      </c>
      <c r="M1223" s="3">
        <v>44.66</v>
      </c>
      <c r="N1223" s="3">
        <v>89.99</v>
      </c>
      <c r="O1223" s="2" t="s">
        <v>232</v>
      </c>
      <c r="P1223" s="2" t="s">
        <v>878</v>
      </c>
      <c r="Q1223" s="2" t="s">
        <v>234</v>
      </c>
      <c r="R1223" s="2" t="s">
        <v>235</v>
      </c>
      <c r="S1223" s="2" t="s">
        <v>235</v>
      </c>
      <c r="T1223" s="2" t="s">
        <v>879</v>
      </c>
      <c r="U1223" s="2" t="s">
        <v>552</v>
      </c>
      <c r="V1223" s="2" t="s">
        <v>1693</v>
      </c>
      <c r="W1223" s="2" t="s">
        <v>1082</v>
      </c>
      <c r="X1223" s="2" t="s">
        <v>235</v>
      </c>
      <c r="Y1223" s="2" t="s">
        <v>4840</v>
      </c>
      <c r="Z1223" s="4">
        <v>482</v>
      </c>
      <c r="AA1223" s="4">
        <f>=ROUNDDOWN(32.1333333333333,0)</f>
      </c>
      <c r="AB1223" s="5">
        <v>15</v>
      </c>
      <c r="AC1223" s="2" t="s">
        <v>235</v>
      </c>
      <c r="AD1223" s="4"/>
      <c r="AE1223" s="4"/>
      <c r="AF1223" s="6">
        <v>68</v>
      </c>
      <c r="AG1223" s="6"/>
      <c r="AH1223" s="7">
        <v>1</v>
      </c>
      <c r="AI1223" s="4"/>
      <c r="AJ1223" s="4">
        <f>=ROUNDDOWN({0},0)</f>
      </c>
      <c r="AK1223" s="5"/>
      <c r="AL1223" s="2" t="s">
        <v>235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235</v>
      </c>
      <c r="AW1223" s="8" t="s">
        <v>235</v>
      </c>
      <c r="AX1223" s="4" t="s">
        <v>235</v>
      </c>
      <c r="AY1223" s="8" t="s">
        <v>235</v>
      </c>
      <c r="AZ1223" s="7" t="s">
        <v>235</v>
      </c>
      <c r="BA1223" s="7" t="s">
        <v>235</v>
      </c>
      <c r="BB1223" s="7"/>
      <c r="BC1223" s="4" t="s">
        <v>235</v>
      </c>
      <c r="BD1223" s="8" t="s">
        <v>235</v>
      </c>
      <c r="BE1223" s="4" t="s">
        <v>235</v>
      </c>
      <c r="BF1223" s="8" t="s">
        <v>235</v>
      </c>
      <c r="BG1223" s="7" t="s">
        <v>235</v>
      </c>
      <c r="BH1223" s="7" t="s">
        <v>235</v>
      </c>
      <c r="BI1223" s="7"/>
      <c r="BJ1223" s="4">
        <v>1</v>
      </c>
      <c r="BK1223" s="8">
        <v>48.91</v>
      </c>
      <c r="BL1223" s="2" t="s">
        <v>1226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4841</v>
      </c>
      <c r="BV1223" s="2" t="s">
        <v>235</v>
      </c>
      <c r="BW1223" s="2" t="s">
        <v>235</v>
      </c>
      <c r="BX1223" s="2" t="s">
        <v>244</v>
      </c>
      <c r="BY1223" s="2" t="s">
        <v>245</v>
      </c>
      <c r="BZ1223" s="2" t="s">
        <v>232</v>
      </c>
      <c r="CA1223" s="2" t="s">
        <v>235</v>
      </c>
      <c r="CB1223" s="2" t="s">
        <v>235</v>
      </c>
      <c r="CC1223" s="2" t="s">
        <v>248</v>
      </c>
      <c r="CD1223" s="2" t="s">
        <v>248</v>
      </c>
      <c r="CE1223" s="2" t="s">
        <v>235</v>
      </c>
      <c r="CF1223" s="4">
        <v>482</v>
      </c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>
        <v>494</v>
      </c>
      <c r="GE1223" s="4">
        <v>459</v>
      </c>
      <c r="GF1223" s="4">
        <v>451</v>
      </c>
      <c r="GG1223" s="4">
        <v>440</v>
      </c>
      <c r="GH1223" s="4">
        <v>430</v>
      </c>
      <c r="GI1223" s="4">
        <v>420</v>
      </c>
      <c r="GJ1223" s="4">
        <v>400</v>
      </c>
      <c r="GK1223" s="4">
        <v>377</v>
      </c>
      <c r="GL1223" s="4">
        <v>362</v>
      </c>
      <c r="GM1223" s="4">
        <v>346</v>
      </c>
      <c r="GN1223" s="4">
        <v>329</v>
      </c>
      <c r="GO1223" s="4">
        <v>317</v>
      </c>
      <c r="GP1223" s="4">
        <v>300</v>
      </c>
      <c r="GQ1223" s="4">
        <v>283</v>
      </c>
      <c r="GR1223" s="4">
        <v>255</v>
      </c>
      <c r="GS1223" s="4">
        <v>241</v>
      </c>
      <c r="GT1223" s="4">
        <v>227</v>
      </c>
      <c r="GU1223" s="4">
        <v>216</v>
      </c>
      <c r="GV1223" s="4">
        <v>197</v>
      </c>
      <c r="GW1223" s="4">
        <v>183</v>
      </c>
      <c r="GX1223" s="4">
        <v>165</v>
      </c>
      <c r="GY1223" s="4">
        <v>154</v>
      </c>
      <c r="GZ1223" s="4">
        <v>141</v>
      </c>
      <c r="HA1223" s="4">
        <v>130</v>
      </c>
      <c r="HB1223" s="4">
        <v>115</v>
      </c>
      <c r="HC1223" s="4">
        <v>93</v>
      </c>
      <c r="HD1223" s="19">
        <v>30.9</v>
      </c>
      <c r="HE1223" s="19">
        <v>45.9</v>
      </c>
      <c r="HF1223" s="19">
        <v>34.7</v>
      </c>
      <c r="HG1223" s="19">
        <v>27.5</v>
      </c>
      <c r="HH1223" s="19">
        <v>25.3</v>
      </c>
      <c r="HI1223" s="19">
        <v>23.3</v>
      </c>
      <c r="HJ1223" s="19">
        <v>22.2</v>
      </c>
      <c r="HK1223" s="19">
        <v>25.1</v>
      </c>
      <c r="HL1223" s="19">
        <v>22.6</v>
      </c>
      <c r="HM1223" s="19">
        <v>21.6</v>
      </c>
      <c r="HN1223" s="19">
        <v>18.3</v>
      </c>
      <c r="HO1223" s="19">
        <v>16.7</v>
      </c>
      <c r="HP1223" s="19">
        <v>16.7</v>
      </c>
      <c r="HQ1223" s="19">
        <v>16.6</v>
      </c>
      <c r="HR1223" s="19">
        <v>18.2</v>
      </c>
      <c r="HS1223" s="19">
        <v>17.2</v>
      </c>
      <c r="HT1223" s="19">
        <v>14.2</v>
      </c>
      <c r="HU1223" s="19">
        <v>13.5</v>
      </c>
      <c r="HV1223" s="19">
        <v>14.1</v>
      </c>
      <c r="HW1223" s="19">
        <v>14.1</v>
      </c>
      <c r="HX1223" s="19">
        <v>13.8</v>
      </c>
      <c r="HY1223" s="19">
        <v>10.3</v>
      </c>
      <c r="HZ1223" s="19">
        <v>8.8</v>
      </c>
      <c r="IA1223" s="19">
        <v>7.2</v>
      </c>
      <c r="IB1223" s="19">
        <v>6.4</v>
      </c>
      <c r="IC1223" s="19">
        <v>5.8</v>
      </c>
    </row>
    <row r="1224">
      <c r="A1224" s="2" t="s">
        <v>4842</v>
      </c>
      <c r="B1224" s="2" t="s">
        <v>871</v>
      </c>
      <c r="C1224" s="2" t="s">
        <v>980</v>
      </c>
      <c r="D1224" s="2" t="s">
        <v>1452</v>
      </c>
      <c r="E1224" s="2" t="s">
        <v>1453</v>
      </c>
      <c r="F1224" s="2" t="s">
        <v>4838</v>
      </c>
      <c r="G1224" s="2" t="s">
        <v>4838</v>
      </c>
      <c r="H1224" s="2" t="s">
        <v>4838</v>
      </c>
      <c r="I1224" s="2" t="s">
        <v>4839</v>
      </c>
      <c r="J1224" s="2" t="s">
        <v>372</v>
      </c>
      <c r="K1224" s="2" t="s">
        <v>231</v>
      </c>
      <c r="L1224" s="3">
        <v>47.78</v>
      </c>
      <c r="M1224" s="3">
        <v>50.17</v>
      </c>
      <c r="N1224" s="3">
        <v>99.99</v>
      </c>
      <c r="O1224" s="2" t="s">
        <v>232</v>
      </c>
      <c r="P1224" s="2" t="s">
        <v>878</v>
      </c>
      <c r="Q1224" s="2" t="s">
        <v>234</v>
      </c>
      <c r="R1224" s="2" t="s">
        <v>235</v>
      </c>
      <c r="S1224" s="2" t="s">
        <v>235</v>
      </c>
      <c r="T1224" s="2" t="s">
        <v>879</v>
      </c>
      <c r="U1224" s="2" t="s">
        <v>552</v>
      </c>
      <c r="V1224" s="2" t="s">
        <v>1693</v>
      </c>
      <c r="W1224" s="2" t="s">
        <v>1082</v>
      </c>
      <c r="X1224" s="2" t="s">
        <v>235</v>
      </c>
      <c r="Y1224" s="2" t="s">
        <v>4840</v>
      </c>
      <c r="Z1224" s="4">
        <v>500</v>
      </c>
      <c r="AA1224" s="4">
        <f>=ROUNDDOWN(33.3333333333333,0)</f>
      </c>
      <c r="AB1224" s="5">
        <v>15</v>
      </c>
      <c r="AC1224" s="2" t="s">
        <v>235</v>
      </c>
      <c r="AD1224" s="4"/>
      <c r="AE1224" s="4"/>
      <c r="AF1224" s="6">
        <v>68</v>
      </c>
      <c r="AG1224" s="6"/>
      <c r="AH1224" s="7">
        <v>1</v>
      </c>
      <c r="AI1224" s="4"/>
      <c r="AJ1224" s="4">
        <f>=ROUNDDOWN({0},0)</f>
      </c>
      <c r="AK1224" s="5"/>
      <c r="AL1224" s="2" t="s">
        <v>235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235</v>
      </c>
      <c r="AW1224" s="8" t="s">
        <v>235</v>
      </c>
      <c r="AX1224" s="4" t="s">
        <v>235</v>
      </c>
      <c r="AY1224" s="8" t="s">
        <v>235</v>
      </c>
      <c r="AZ1224" s="7" t="s">
        <v>235</v>
      </c>
      <c r="BA1224" s="7" t="s">
        <v>235</v>
      </c>
      <c r="BB1224" s="7"/>
      <c r="BC1224" s="4" t="s">
        <v>235</v>
      </c>
      <c r="BD1224" s="8" t="s">
        <v>235</v>
      </c>
      <c r="BE1224" s="4" t="s">
        <v>235</v>
      </c>
      <c r="BF1224" s="8" t="s">
        <v>235</v>
      </c>
      <c r="BG1224" s="7" t="s">
        <v>235</v>
      </c>
      <c r="BH1224" s="7" t="s">
        <v>235</v>
      </c>
      <c r="BI1224" s="7"/>
      <c r="BJ1224" s="4"/>
      <c r="BK1224" s="8"/>
      <c r="BL1224" s="2" t="s">
        <v>235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4841</v>
      </c>
      <c r="BV1224" s="2" t="s">
        <v>235</v>
      </c>
      <c r="BW1224" s="2" t="s">
        <v>235</v>
      </c>
      <c r="BX1224" s="2" t="s">
        <v>244</v>
      </c>
      <c r="BY1224" s="2" t="s">
        <v>245</v>
      </c>
      <c r="BZ1224" s="2" t="s">
        <v>232</v>
      </c>
      <c r="CA1224" s="2" t="s">
        <v>235</v>
      </c>
      <c r="CB1224" s="2" t="s">
        <v>235</v>
      </c>
      <c r="CC1224" s="2" t="s">
        <v>248</v>
      </c>
      <c r="CD1224" s="2" t="s">
        <v>248</v>
      </c>
      <c r="CE1224" s="2" t="s">
        <v>235</v>
      </c>
      <c r="CF1224" s="4">
        <v>500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>
        <v>501</v>
      </c>
      <c r="GE1224" s="4">
        <v>462</v>
      </c>
      <c r="GF1224" s="4">
        <v>458</v>
      </c>
      <c r="GG1224" s="4">
        <v>453</v>
      </c>
      <c r="GH1224" s="4">
        <v>440</v>
      </c>
      <c r="GI1224" s="4">
        <v>429</v>
      </c>
      <c r="GJ1224" s="4">
        <v>406</v>
      </c>
      <c r="GK1224" s="4">
        <v>393</v>
      </c>
      <c r="GL1224" s="4">
        <v>367</v>
      </c>
      <c r="GM1224" s="4">
        <v>351</v>
      </c>
      <c r="GN1224" s="4">
        <v>339</v>
      </c>
      <c r="GO1224" s="4">
        <v>322</v>
      </c>
      <c r="GP1224" s="4">
        <v>299</v>
      </c>
      <c r="GQ1224" s="4">
        <v>281</v>
      </c>
      <c r="GR1224" s="4">
        <v>268</v>
      </c>
      <c r="GS1224" s="4">
        <v>241</v>
      </c>
      <c r="GT1224" s="4">
        <v>210</v>
      </c>
      <c r="GU1224" s="4">
        <v>198</v>
      </c>
      <c r="GV1224" s="4">
        <v>190</v>
      </c>
      <c r="GW1224" s="4">
        <v>170</v>
      </c>
      <c r="GX1224" s="4">
        <v>159</v>
      </c>
      <c r="GY1224" s="4">
        <v>149</v>
      </c>
      <c r="GZ1224" s="4">
        <v>126</v>
      </c>
      <c r="HA1224" s="4">
        <v>102</v>
      </c>
      <c r="HB1224" s="4">
        <v>90</v>
      </c>
      <c r="HC1224" s="4">
        <v>73</v>
      </c>
      <c r="HD1224" s="19">
        <v>33.4</v>
      </c>
      <c r="HE1224" s="19">
        <v>57.8</v>
      </c>
      <c r="HF1224" s="19">
        <v>35.2</v>
      </c>
      <c r="HG1224" s="19">
        <v>30.2</v>
      </c>
      <c r="HH1224" s="19">
        <v>24.4</v>
      </c>
      <c r="HI1224" s="19">
        <v>21.5</v>
      </c>
      <c r="HJ1224" s="19">
        <v>23.9</v>
      </c>
      <c r="HK1224" s="19">
        <v>21.8</v>
      </c>
      <c r="HL1224" s="19">
        <v>21.6</v>
      </c>
      <c r="HM1224" s="19">
        <v>19.5</v>
      </c>
      <c r="HN1224" s="19">
        <v>18.8</v>
      </c>
      <c r="HO1224" s="19">
        <v>16.1</v>
      </c>
      <c r="HP1224" s="19">
        <v>13.6</v>
      </c>
      <c r="HQ1224" s="19">
        <v>13.4</v>
      </c>
      <c r="HR1224" s="19">
        <v>13.4</v>
      </c>
      <c r="HS1224" s="19">
        <v>13.4</v>
      </c>
      <c r="HT1224" s="19">
        <v>16.2</v>
      </c>
      <c r="HU1224" s="19">
        <v>16.5</v>
      </c>
      <c r="HV1224" s="19">
        <v>11.9</v>
      </c>
      <c r="HW1224" s="19">
        <v>10</v>
      </c>
      <c r="HX1224" s="19">
        <v>9.4</v>
      </c>
      <c r="HY1224" s="19">
        <v>7.8</v>
      </c>
      <c r="HZ1224" s="19">
        <v>7.4</v>
      </c>
      <c r="IA1224" s="19">
        <v>7.3</v>
      </c>
      <c r="IB1224" s="19">
        <v>6.9</v>
      </c>
      <c r="IC1224" s="19">
        <v>5.6</v>
      </c>
    </row>
    <row r="1225">
      <c r="A1225" s="2" t="s">
        <v>4843</v>
      </c>
      <c r="B1225" s="2" t="s">
        <v>871</v>
      </c>
      <c r="C1225" s="2" t="s">
        <v>980</v>
      </c>
      <c r="D1225" s="2" t="s">
        <v>990</v>
      </c>
      <c r="E1225" s="2" t="s">
        <v>991</v>
      </c>
      <c r="F1225" s="2" t="s">
        <v>4838</v>
      </c>
      <c r="G1225" s="2" t="s">
        <v>4838</v>
      </c>
      <c r="H1225" s="2" t="s">
        <v>4838</v>
      </c>
      <c r="I1225" s="2" t="s">
        <v>4844</v>
      </c>
      <c r="J1225" s="2" t="s">
        <v>2041</v>
      </c>
      <c r="K1225" s="2" t="s">
        <v>231</v>
      </c>
      <c r="L1225" s="3">
        <v>24.68</v>
      </c>
      <c r="M1225" s="3">
        <v>25.91</v>
      </c>
      <c r="N1225" s="3">
        <v>54.99</v>
      </c>
      <c r="O1225" s="2" t="s">
        <v>232</v>
      </c>
      <c r="P1225" s="2" t="s">
        <v>878</v>
      </c>
      <c r="Q1225" s="2" t="s">
        <v>234</v>
      </c>
      <c r="R1225" s="2" t="s">
        <v>235</v>
      </c>
      <c r="S1225" s="2" t="s">
        <v>235</v>
      </c>
      <c r="T1225" s="2" t="s">
        <v>879</v>
      </c>
      <c r="U1225" s="2" t="s">
        <v>552</v>
      </c>
      <c r="V1225" s="2" t="s">
        <v>1693</v>
      </c>
      <c r="W1225" s="2" t="s">
        <v>1082</v>
      </c>
      <c r="X1225" s="2" t="s">
        <v>235</v>
      </c>
      <c r="Y1225" s="2" t="s">
        <v>4840</v>
      </c>
      <c r="Z1225" s="4">
        <v>200</v>
      </c>
      <c r="AA1225" s="4">
        <f>=ROUNDDOWN(40,0)</f>
      </c>
      <c r="AB1225" s="5">
        <v>5</v>
      </c>
      <c r="AC1225" s="2" t="s">
        <v>235</v>
      </c>
      <c r="AD1225" s="4"/>
      <c r="AE1225" s="4"/>
      <c r="AF1225" s="6">
        <v>68</v>
      </c>
      <c r="AG1225" s="6"/>
      <c r="AH1225" s="7">
        <v>1</v>
      </c>
      <c r="AI1225" s="4"/>
      <c r="AJ1225" s="4">
        <f>=ROUNDDOWN({0},0)</f>
      </c>
      <c r="AK1225" s="5"/>
      <c r="AL1225" s="2" t="s">
        <v>235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235</v>
      </c>
      <c r="AW1225" s="8" t="s">
        <v>235</v>
      </c>
      <c r="AX1225" s="4" t="s">
        <v>235</v>
      </c>
      <c r="AY1225" s="8" t="s">
        <v>235</v>
      </c>
      <c r="AZ1225" s="7" t="s">
        <v>235</v>
      </c>
      <c r="BA1225" s="7" t="s">
        <v>235</v>
      </c>
      <c r="BB1225" s="7"/>
      <c r="BC1225" s="4" t="s">
        <v>235</v>
      </c>
      <c r="BD1225" s="8" t="s">
        <v>235</v>
      </c>
      <c r="BE1225" s="4" t="s">
        <v>235</v>
      </c>
      <c r="BF1225" s="8" t="s">
        <v>235</v>
      </c>
      <c r="BG1225" s="7" t="s">
        <v>235</v>
      </c>
      <c r="BH1225" s="7" t="s">
        <v>235</v>
      </c>
      <c r="BI1225" s="7"/>
      <c r="BJ1225" s="4"/>
      <c r="BK1225" s="8"/>
      <c r="BL1225" s="2" t="s">
        <v>235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4845</v>
      </c>
      <c r="BV1225" s="2" t="s">
        <v>235</v>
      </c>
      <c r="BW1225" s="2" t="s">
        <v>235</v>
      </c>
      <c r="BX1225" s="2" t="s">
        <v>244</v>
      </c>
      <c r="BY1225" s="2" t="s">
        <v>245</v>
      </c>
      <c r="BZ1225" s="2" t="s">
        <v>232</v>
      </c>
      <c r="CA1225" s="2" t="s">
        <v>235</v>
      </c>
      <c r="CB1225" s="2" t="s">
        <v>235</v>
      </c>
      <c r="CC1225" s="2" t="s">
        <v>248</v>
      </c>
      <c r="CD1225" s="2" t="s">
        <v>248</v>
      </c>
      <c r="CE1225" s="2" t="s">
        <v>235</v>
      </c>
      <c r="CF1225" s="4">
        <v>200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>
        <v>200</v>
      </c>
      <c r="GE1225" s="4">
        <v>196</v>
      </c>
      <c r="GF1225" s="4">
        <v>194</v>
      </c>
      <c r="GG1225" s="4">
        <v>190</v>
      </c>
      <c r="GH1225" s="4">
        <v>187</v>
      </c>
      <c r="GI1225" s="4">
        <v>182</v>
      </c>
      <c r="GJ1225" s="4">
        <v>170</v>
      </c>
      <c r="GK1225" s="4">
        <v>160</v>
      </c>
      <c r="GL1225" s="4">
        <v>153</v>
      </c>
      <c r="GM1225" s="4">
        <v>147</v>
      </c>
      <c r="GN1225" s="4">
        <v>136</v>
      </c>
      <c r="GO1225" s="4">
        <v>126</v>
      </c>
      <c r="GP1225" s="4">
        <v>111</v>
      </c>
      <c r="GQ1225" s="4">
        <v>94</v>
      </c>
      <c r="GR1225" s="4">
        <v>64</v>
      </c>
      <c r="GS1225" s="4">
        <v>51</v>
      </c>
      <c r="GT1225" s="4">
        <v>36</v>
      </c>
      <c r="GU1225" s="4">
        <v>29</v>
      </c>
      <c r="GV1225" s="4">
        <v>27</v>
      </c>
      <c r="GW1225" s="4">
        <v>25</v>
      </c>
      <c r="GX1225" s="4">
        <v>22</v>
      </c>
      <c r="GY1225" s="4">
        <v>22</v>
      </c>
      <c r="GZ1225" s="4">
        <v>20</v>
      </c>
      <c r="HA1225" s="4">
        <v>16</v>
      </c>
      <c r="HB1225" s="4">
        <v>13</v>
      </c>
      <c r="HC1225" s="4">
        <v>11</v>
      </c>
      <c r="HD1225" s="19">
        <v>66.7</v>
      </c>
      <c r="HE1225" s="19">
        <v>49</v>
      </c>
      <c r="HF1225" s="19">
        <v>32.3</v>
      </c>
      <c r="HG1225" s="19">
        <v>23.8</v>
      </c>
      <c r="HH1225" s="19">
        <v>23.4</v>
      </c>
      <c r="HI1225" s="19">
        <v>20.2</v>
      </c>
      <c r="HJ1225" s="19">
        <v>21.3</v>
      </c>
      <c r="HK1225" s="19">
        <v>20</v>
      </c>
      <c r="HL1225" s="19">
        <v>15.3</v>
      </c>
      <c r="HM1225" s="19">
        <v>11.3</v>
      </c>
      <c r="HN1225" s="19">
        <v>7.6</v>
      </c>
      <c r="HO1225" s="19">
        <v>6.6</v>
      </c>
      <c r="HP1225" s="19">
        <v>5.8</v>
      </c>
      <c r="HQ1225" s="19">
        <v>5.9</v>
      </c>
      <c r="HR1225" s="19">
        <v>7.1</v>
      </c>
      <c r="HS1225" s="19">
        <v>8.5</v>
      </c>
      <c r="HT1225" s="19">
        <v>9</v>
      </c>
      <c r="HU1225" s="19">
        <v>14.5</v>
      </c>
      <c r="HV1225" s="19">
        <v>13.5</v>
      </c>
      <c r="HW1225" s="19">
        <v>12.5</v>
      </c>
      <c r="HX1225" s="19">
        <v>11</v>
      </c>
      <c r="HY1225" s="19">
        <v>7.3</v>
      </c>
      <c r="HZ1225" s="19">
        <v>10</v>
      </c>
      <c r="IA1225" s="19">
        <v>8</v>
      </c>
      <c r="IB1225" s="19">
        <v>6.5</v>
      </c>
      <c r="IC1225" s="19">
        <v>5.5</v>
      </c>
    </row>
    <row r="1226">
      <c r="A1226" s="2" t="s">
        <v>4846</v>
      </c>
      <c r="B1226" s="2" t="s">
        <v>871</v>
      </c>
      <c r="C1226" s="2" t="s">
        <v>980</v>
      </c>
      <c r="D1226" s="2" t="s">
        <v>1452</v>
      </c>
      <c r="E1226" s="2" t="s">
        <v>1453</v>
      </c>
      <c r="F1226" s="2" t="s">
        <v>4838</v>
      </c>
      <c r="G1226" s="2" t="s">
        <v>4838</v>
      </c>
      <c r="H1226" s="2" t="s">
        <v>4838</v>
      </c>
      <c r="I1226" s="2" t="s">
        <v>4839</v>
      </c>
      <c r="J1226" s="2" t="s">
        <v>365</v>
      </c>
      <c r="K1226" s="2" t="s">
        <v>292</v>
      </c>
      <c r="L1226" s="3">
        <v>42.53</v>
      </c>
      <c r="M1226" s="3">
        <v>44.66</v>
      </c>
      <c r="N1226" s="3">
        <v>89.99</v>
      </c>
      <c r="O1226" s="2" t="s">
        <v>232</v>
      </c>
      <c r="P1226" s="2" t="s">
        <v>878</v>
      </c>
      <c r="Q1226" s="2" t="s">
        <v>234</v>
      </c>
      <c r="R1226" s="2" t="s">
        <v>235</v>
      </c>
      <c r="S1226" s="2" t="s">
        <v>235</v>
      </c>
      <c r="T1226" s="2" t="s">
        <v>879</v>
      </c>
      <c r="U1226" s="2" t="s">
        <v>552</v>
      </c>
      <c r="V1226" s="2" t="s">
        <v>1693</v>
      </c>
      <c r="W1226" s="2" t="s">
        <v>1082</v>
      </c>
      <c r="X1226" s="2" t="s">
        <v>235</v>
      </c>
      <c r="Y1226" s="2" t="s">
        <v>4840</v>
      </c>
      <c r="Z1226" s="4">
        <v>493</v>
      </c>
      <c r="AA1226" s="4">
        <f>=ROUNDDOWN(27.3888888888889,0)</f>
      </c>
      <c r="AB1226" s="5">
        <v>18</v>
      </c>
      <c r="AC1226" s="2" t="s">
        <v>235</v>
      </c>
      <c r="AD1226" s="4"/>
      <c r="AE1226" s="4"/>
      <c r="AF1226" s="6">
        <v>68</v>
      </c>
      <c r="AG1226" s="6"/>
      <c r="AH1226" s="7">
        <v>1</v>
      </c>
      <c r="AI1226" s="4"/>
      <c r="AJ1226" s="4">
        <f>=ROUNDDOWN({0},0)</f>
      </c>
      <c r="AK1226" s="5"/>
      <c r="AL1226" s="2" t="s">
        <v>235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235</v>
      </c>
      <c r="AW1226" s="8" t="s">
        <v>235</v>
      </c>
      <c r="AX1226" s="4" t="s">
        <v>235</v>
      </c>
      <c r="AY1226" s="8" t="s">
        <v>235</v>
      </c>
      <c r="AZ1226" s="7" t="s">
        <v>235</v>
      </c>
      <c r="BA1226" s="7" t="s">
        <v>235</v>
      </c>
      <c r="BB1226" s="7"/>
      <c r="BC1226" s="4" t="s">
        <v>235</v>
      </c>
      <c r="BD1226" s="8" t="s">
        <v>235</v>
      </c>
      <c r="BE1226" s="4" t="s">
        <v>235</v>
      </c>
      <c r="BF1226" s="8" t="s">
        <v>235</v>
      </c>
      <c r="BG1226" s="7" t="s">
        <v>235</v>
      </c>
      <c r="BH1226" s="7" t="s">
        <v>235</v>
      </c>
      <c r="BI1226" s="7"/>
      <c r="BJ1226" s="4"/>
      <c r="BK1226" s="8"/>
      <c r="BL1226" s="2" t="s">
        <v>235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4841</v>
      </c>
      <c r="BV1226" s="2" t="s">
        <v>235</v>
      </c>
      <c r="BW1226" s="2" t="s">
        <v>235</v>
      </c>
      <c r="BX1226" s="2" t="s">
        <v>244</v>
      </c>
      <c r="BY1226" s="2" t="s">
        <v>245</v>
      </c>
      <c r="BZ1226" s="2" t="s">
        <v>232</v>
      </c>
      <c r="CA1226" s="2" t="s">
        <v>235</v>
      </c>
      <c r="CB1226" s="2" t="s">
        <v>235</v>
      </c>
      <c r="CC1226" s="2" t="s">
        <v>248</v>
      </c>
      <c r="CD1226" s="2" t="s">
        <v>248</v>
      </c>
      <c r="CE1226" s="2" t="s">
        <v>235</v>
      </c>
      <c r="CF1226" s="4">
        <v>493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>
        <v>500</v>
      </c>
      <c r="GE1226" s="4">
        <v>469</v>
      </c>
      <c r="GF1226" s="4">
        <v>461</v>
      </c>
      <c r="GG1226" s="4">
        <v>449</v>
      </c>
      <c r="GH1226" s="4">
        <v>437</v>
      </c>
      <c r="GI1226" s="4">
        <v>426</v>
      </c>
      <c r="GJ1226" s="4">
        <v>401</v>
      </c>
      <c r="GK1226" s="4">
        <v>375</v>
      </c>
      <c r="GL1226" s="4">
        <v>357</v>
      </c>
      <c r="GM1226" s="4">
        <v>338</v>
      </c>
      <c r="GN1226" s="4">
        <v>317</v>
      </c>
      <c r="GO1226" s="4">
        <v>303</v>
      </c>
      <c r="GP1226" s="4">
        <v>282</v>
      </c>
      <c r="GQ1226" s="4">
        <v>262</v>
      </c>
      <c r="GR1226" s="4">
        <v>226</v>
      </c>
      <c r="GS1226" s="4">
        <v>209</v>
      </c>
      <c r="GT1226" s="4">
        <v>192</v>
      </c>
      <c r="GU1226" s="4">
        <v>179</v>
      </c>
      <c r="GV1226" s="4">
        <v>157</v>
      </c>
      <c r="GW1226" s="4">
        <v>141</v>
      </c>
      <c r="GX1226" s="4">
        <v>120</v>
      </c>
      <c r="GY1226" s="4">
        <v>107</v>
      </c>
      <c r="GZ1226" s="4">
        <v>548</v>
      </c>
      <c r="HA1226" s="4">
        <v>535</v>
      </c>
      <c r="HB1226" s="4">
        <v>517</v>
      </c>
      <c r="HC1226" s="4">
        <v>490</v>
      </c>
      <c r="HD1226" s="19">
        <v>31.3</v>
      </c>
      <c r="HE1226" s="19">
        <v>42.6</v>
      </c>
      <c r="HF1226" s="19">
        <v>30.7</v>
      </c>
      <c r="HG1226" s="19">
        <v>24.9</v>
      </c>
      <c r="HH1226" s="19">
        <v>21.9</v>
      </c>
      <c r="HI1226" s="19">
        <v>19.4</v>
      </c>
      <c r="HJ1226" s="19">
        <v>19.1</v>
      </c>
      <c r="HK1226" s="19">
        <v>20.8</v>
      </c>
      <c r="HL1226" s="19">
        <v>18.8</v>
      </c>
      <c r="HM1226" s="19">
        <v>17.8</v>
      </c>
      <c r="HN1226" s="19">
        <v>13.8</v>
      </c>
      <c r="HO1226" s="19">
        <v>12.6</v>
      </c>
      <c r="HP1226" s="19">
        <v>12.8</v>
      </c>
      <c r="HQ1226" s="19">
        <v>12.5</v>
      </c>
      <c r="HR1226" s="19">
        <v>13.3</v>
      </c>
      <c r="HS1226" s="19">
        <v>12.3</v>
      </c>
      <c r="HT1226" s="19">
        <v>10.7</v>
      </c>
      <c r="HU1226" s="19">
        <v>9.9</v>
      </c>
      <c r="HV1226" s="19">
        <v>9.8</v>
      </c>
      <c r="HW1226" s="19">
        <v>8.8</v>
      </c>
      <c r="HX1226" s="19">
        <v>8</v>
      </c>
      <c r="HY1226" s="19">
        <v>5.9</v>
      </c>
      <c r="HZ1226" s="19">
        <v>28.8</v>
      </c>
      <c r="IA1226" s="19">
        <v>24.3</v>
      </c>
      <c r="IB1226" s="19">
        <v>23.5</v>
      </c>
      <c r="IC1226" s="19">
        <v>27.2</v>
      </c>
    </row>
    <row r="1227">
      <c r="A1227" s="2" t="s">
        <v>4847</v>
      </c>
      <c r="B1227" s="2" t="s">
        <v>871</v>
      </c>
      <c r="C1227" s="2" t="s">
        <v>980</v>
      </c>
      <c r="D1227" s="2" t="s">
        <v>1452</v>
      </c>
      <c r="E1227" s="2" t="s">
        <v>1453</v>
      </c>
      <c r="F1227" s="2" t="s">
        <v>4838</v>
      </c>
      <c r="G1227" s="2" t="s">
        <v>4838</v>
      </c>
      <c r="H1227" s="2" t="s">
        <v>4838</v>
      </c>
      <c r="I1227" s="2" t="s">
        <v>4839</v>
      </c>
      <c r="J1227" s="2" t="s">
        <v>372</v>
      </c>
      <c r="K1227" s="2" t="s">
        <v>292</v>
      </c>
      <c r="L1227" s="3">
        <v>47.78</v>
      </c>
      <c r="M1227" s="3">
        <v>50.17</v>
      </c>
      <c r="N1227" s="3">
        <v>99.99</v>
      </c>
      <c r="O1227" s="2" t="s">
        <v>232</v>
      </c>
      <c r="P1227" s="2" t="s">
        <v>878</v>
      </c>
      <c r="Q1227" s="2" t="s">
        <v>234</v>
      </c>
      <c r="R1227" s="2" t="s">
        <v>235</v>
      </c>
      <c r="S1227" s="2" t="s">
        <v>235</v>
      </c>
      <c r="T1227" s="2" t="s">
        <v>879</v>
      </c>
      <c r="U1227" s="2" t="s">
        <v>552</v>
      </c>
      <c r="V1227" s="2" t="s">
        <v>1693</v>
      </c>
      <c r="W1227" s="2" t="s">
        <v>1082</v>
      </c>
      <c r="X1227" s="2" t="s">
        <v>235</v>
      </c>
      <c r="Y1227" s="2" t="s">
        <v>4840</v>
      </c>
      <c r="Z1227" s="4">
        <v>493</v>
      </c>
      <c r="AA1227" s="4">
        <f>=ROUNDDOWN(27.3888888888889,0)</f>
      </c>
      <c r="AB1227" s="5">
        <v>18</v>
      </c>
      <c r="AC1227" s="2" t="s">
        <v>235</v>
      </c>
      <c r="AD1227" s="4"/>
      <c r="AE1227" s="4"/>
      <c r="AF1227" s="6">
        <v>68</v>
      </c>
      <c r="AG1227" s="6"/>
      <c r="AH1227" s="7">
        <v>1</v>
      </c>
      <c r="AI1227" s="4"/>
      <c r="AJ1227" s="4">
        <f>=ROUNDDOWN({0},0)</f>
      </c>
      <c r="AK1227" s="5"/>
      <c r="AL1227" s="2" t="s">
        <v>235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235</v>
      </c>
      <c r="AW1227" s="8" t="s">
        <v>235</v>
      </c>
      <c r="AX1227" s="4" t="s">
        <v>235</v>
      </c>
      <c r="AY1227" s="8" t="s">
        <v>235</v>
      </c>
      <c r="AZ1227" s="7" t="s">
        <v>235</v>
      </c>
      <c r="BA1227" s="7" t="s">
        <v>235</v>
      </c>
      <c r="BB1227" s="7"/>
      <c r="BC1227" s="4" t="s">
        <v>235</v>
      </c>
      <c r="BD1227" s="8" t="s">
        <v>235</v>
      </c>
      <c r="BE1227" s="4" t="s">
        <v>235</v>
      </c>
      <c r="BF1227" s="8" t="s">
        <v>235</v>
      </c>
      <c r="BG1227" s="7" t="s">
        <v>235</v>
      </c>
      <c r="BH1227" s="7" t="s">
        <v>235</v>
      </c>
      <c r="BI1227" s="7"/>
      <c r="BJ1227" s="4"/>
      <c r="BK1227" s="8"/>
      <c r="BL1227" s="2" t="s">
        <v>235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4841</v>
      </c>
      <c r="BV1227" s="2" t="s">
        <v>235</v>
      </c>
      <c r="BW1227" s="2" t="s">
        <v>235</v>
      </c>
      <c r="BX1227" s="2" t="s">
        <v>244</v>
      </c>
      <c r="BY1227" s="2" t="s">
        <v>245</v>
      </c>
      <c r="BZ1227" s="2" t="s">
        <v>232</v>
      </c>
      <c r="CA1227" s="2" t="s">
        <v>235</v>
      </c>
      <c r="CB1227" s="2" t="s">
        <v>235</v>
      </c>
      <c r="CC1227" s="2" t="s">
        <v>248</v>
      </c>
      <c r="CD1227" s="2" t="s">
        <v>248</v>
      </c>
      <c r="CE1227" s="2" t="s">
        <v>235</v>
      </c>
      <c r="CF1227" s="4">
        <v>493</v>
      </c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>
        <v>500</v>
      </c>
      <c r="GE1227" s="4">
        <v>463</v>
      </c>
      <c r="GF1227" s="4">
        <v>459</v>
      </c>
      <c r="GG1227" s="4">
        <v>454</v>
      </c>
      <c r="GH1227" s="4">
        <v>440</v>
      </c>
      <c r="GI1227" s="4">
        <v>428</v>
      </c>
      <c r="GJ1227" s="4">
        <v>400</v>
      </c>
      <c r="GK1227" s="4">
        <v>385</v>
      </c>
      <c r="GL1227" s="4">
        <v>354</v>
      </c>
      <c r="GM1227" s="4">
        <v>336</v>
      </c>
      <c r="GN1227" s="4">
        <v>322</v>
      </c>
      <c r="GO1227" s="4">
        <v>300</v>
      </c>
      <c r="GP1227" s="4">
        <v>272</v>
      </c>
      <c r="GQ1227" s="4">
        <v>250</v>
      </c>
      <c r="GR1227" s="4">
        <v>234</v>
      </c>
      <c r="GS1227" s="4">
        <v>201</v>
      </c>
      <c r="GT1227" s="4">
        <v>163</v>
      </c>
      <c r="GU1227" s="4">
        <v>149</v>
      </c>
      <c r="GV1227" s="4">
        <v>140</v>
      </c>
      <c r="GW1227" s="4">
        <v>116</v>
      </c>
      <c r="GX1227" s="4">
        <v>102</v>
      </c>
      <c r="GY1227" s="4">
        <v>90</v>
      </c>
      <c r="GZ1227" s="4">
        <v>520</v>
      </c>
      <c r="HA1227" s="4">
        <v>491</v>
      </c>
      <c r="HB1227" s="4">
        <v>477</v>
      </c>
      <c r="HC1227" s="4">
        <v>456</v>
      </c>
      <c r="HD1227" s="19">
        <v>33.3</v>
      </c>
      <c r="HE1227" s="19">
        <v>51.4</v>
      </c>
      <c r="HF1227" s="19">
        <v>30.6</v>
      </c>
      <c r="HG1227" s="19">
        <v>26.7</v>
      </c>
      <c r="HH1227" s="19">
        <v>20</v>
      </c>
      <c r="HI1227" s="19">
        <v>18.6</v>
      </c>
      <c r="HJ1227" s="19">
        <v>20</v>
      </c>
      <c r="HK1227" s="19">
        <v>18.3</v>
      </c>
      <c r="HL1227" s="19">
        <v>17.7</v>
      </c>
      <c r="HM1227" s="19">
        <v>15.3</v>
      </c>
      <c r="HN1227" s="19">
        <v>14.6</v>
      </c>
      <c r="HO1227" s="19">
        <v>12</v>
      </c>
      <c r="HP1227" s="19">
        <v>10.1</v>
      </c>
      <c r="HQ1227" s="19">
        <v>10</v>
      </c>
      <c r="HR1227" s="19">
        <v>9.8</v>
      </c>
      <c r="HS1227" s="19">
        <v>9.6</v>
      </c>
      <c r="HT1227" s="19">
        <v>10.9</v>
      </c>
      <c r="HU1227" s="19">
        <v>9.9</v>
      </c>
      <c r="HV1227" s="19">
        <v>7</v>
      </c>
      <c r="HW1227" s="19">
        <v>5.5</v>
      </c>
      <c r="HX1227" s="19">
        <v>4.9</v>
      </c>
      <c r="HY1227" s="19">
        <v>3.9</v>
      </c>
      <c r="HZ1227" s="19">
        <v>26</v>
      </c>
      <c r="IA1227" s="19">
        <v>30.7</v>
      </c>
      <c r="IB1227" s="19">
        <v>31.8</v>
      </c>
      <c r="IC1227" s="19">
        <v>28.5</v>
      </c>
    </row>
    <row r="1228">
      <c r="A1228" s="2" t="s">
        <v>4848</v>
      </c>
      <c r="B1228" s="2" t="s">
        <v>871</v>
      </c>
      <c r="C1228" s="2" t="s">
        <v>980</v>
      </c>
      <c r="D1228" s="2" t="s">
        <v>990</v>
      </c>
      <c r="E1228" s="2" t="s">
        <v>991</v>
      </c>
      <c r="F1228" s="2" t="s">
        <v>4838</v>
      </c>
      <c r="G1228" s="2" t="s">
        <v>4838</v>
      </c>
      <c r="H1228" s="2" t="s">
        <v>4838</v>
      </c>
      <c r="I1228" s="2" t="s">
        <v>4844</v>
      </c>
      <c r="J1228" s="2" t="s">
        <v>2041</v>
      </c>
      <c r="K1228" s="2" t="s">
        <v>292</v>
      </c>
      <c r="L1228" s="3">
        <v>24.68</v>
      </c>
      <c r="M1228" s="3">
        <v>25.91</v>
      </c>
      <c r="N1228" s="3">
        <v>54.99</v>
      </c>
      <c r="O1228" s="2" t="s">
        <v>232</v>
      </c>
      <c r="P1228" s="2" t="s">
        <v>878</v>
      </c>
      <c r="Q1228" s="2" t="s">
        <v>234</v>
      </c>
      <c r="R1228" s="2" t="s">
        <v>235</v>
      </c>
      <c r="S1228" s="2" t="s">
        <v>235</v>
      </c>
      <c r="T1228" s="2" t="s">
        <v>879</v>
      </c>
      <c r="U1228" s="2" t="s">
        <v>278</v>
      </c>
      <c r="V1228" s="2" t="s">
        <v>1693</v>
      </c>
      <c r="W1228" s="2" t="s">
        <v>1082</v>
      </c>
      <c r="X1228" s="2" t="s">
        <v>235</v>
      </c>
      <c r="Y1228" s="2" t="s">
        <v>4840</v>
      </c>
      <c r="Z1228" s="4">
        <v>200</v>
      </c>
      <c r="AA1228" s="4">
        <f>=ROUNDDOWN(33.3333333333333,0)</f>
      </c>
      <c r="AB1228" s="5">
        <v>6</v>
      </c>
      <c r="AC1228" s="2" t="s">
        <v>235</v>
      </c>
      <c r="AD1228" s="4"/>
      <c r="AE1228" s="4"/>
      <c r="AF1228" s="6">
        <v>68</v>
      </c>
      <c r="AG1228" s="6"/>
      <c r="AH1228" s="7">
        <v>1</v>
      </c>
      <c r="AI1228" s="4"/>
      <c r="AJ1228" s="4">
        <f>=ROUNDDOWN({0},0)</f>
      </c>
      <c r="AK1228" s="5"/>
      <c r="AL1228" s="2" t="s">
        <v>235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235</v>
      </c>
      <c r="AW1228" s="8" t="s">
        <v>235</v>
      </c>
      <c r="AX1228" s="4" t="s">
        <v>235</v>
      </c>
      <c r="AY1228" s="8" t="s">
        <v>235</v>
      </c>
      <c r="AZ1228" s="7" t="s">
        <v>235</v>
      </c>
      <c r="BA1228" s="7" t="s">
        <v>235</v>
      </c>
      <c r="BB1228" s="7"/>
      <c r="BC1228" s="4" t="s">
        <v>235</v>
      </c>
      <c r="BD1228" s="8" t="s">
        <v>235</v>
      </c>
      <c r="BE1228" s="4" t="s">
        <v>235</v>
      </c>
      <c r="BF1228" s="8" t="s">
        <v>235</v>
      </c>
      <c r="BG1228" s="7" t="s">
        <v>235</v>
      </c>
      <c r="BH1228" s="7" t="s">
        <v>235</v>
      </c>
      <c r="BI1228" s="7"/>
      <c r="BJ1228" s="4"/>
      <c r="BK1228" s="8"/>
      <c r="BL1228" s="2" t="s">
        <v>235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4845</v>
      </c>
      <c r="BV1228" s="2" t="s">
        <v>235</v>
      </c>
      <c r="BW1228" s="2" t="s">
        <v>235</v>
      </c>
      <c r="BX1228" s="2" t="s">
        <v>244</v>
      </c>
      <c r="BY1228" s="2" t="s">
        <v>245</v>
      </c>
      <c r="BZ1228" s="2" t="s">
        <v>232</v>
      </c>
      <c r="CA1228" s="2" t="s">
        <v>235</v>
      </c>
      <c r="CB1228" s="2" t="s">
        <v>235</v>
      </c>
      <c r="CC1228" s="2" t="s">
        <v>248</v>
      </c>
      <c r="CD1228" s="2" t="s">
        <v>248</v>
      </c>
      <c r="CE1228" s="2" t="s">
        <v>235</v>
      </c>
      <c r="CF1228" s="4">
        <v>200</v>
      </c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>
        <v>200</v>
      </c>
      <c r="GE1228" s="4">
        <v>190</v>
      </c>
      <c r="GF1228" s="4">
        <v>188</v>
      </c>
      <c r="GG1228" s="4">
        <v>182</v>
      </c>
      <c r="GH1228" s="4">
        <v>177</v>
      </c>
      <c r="GI1228" s="4">
        <v>168</v>
      </c>
      <c r="GJ1228" s="4">
        <v>152</v>
      </c>
      <c r="GK1228" s="4">
        <v>135</v>
      </c>
      <c r="GL1228" s="4">
        <v>125</v>
      </c>
      <c r="GM1228" s="4">
        <v>116</v>
      </c>
      <c r="GN1228" s="4">
        <v>103</v>
      </c>
      <c r="GO1228" s="4">
        <v>93</v>
      </c>
      <c r="GP1228" s="4">
        <v>78</v>
      </c>
      <c r="GQ1228" s="4">
        <v>61</v>
      </c>
      <c r="GR1228" s="4">
        <v>31</v>
      </c>
      <c r="GS1228" s="4">
        <v>18</v>
      </c>
      <c r="GT1228" s="4">
        <v>2</v>
      </c>
      <c r="GU1228" s="4"/>
      <c r="GV1228" s="4"/>
      <c r="GW1228" s="4"/>
      <c r="GX1228" s="4"/>
      <c r="GY1228" s="4"/>
      <c r="GZ1228" s="4">
        <v>101</v>
      </c>
      <c r="HA1228" s="4">
        <v>92</v>
      </c>
      <c r="HB1228" s="4">
        <v>89</v>
      </c>
      <c r="HC1228" s="4">
        <v>87</v>
      </c>
      <c r="HD1228" s="19">
        <v>33.3</v>
      </c>
      <c r="HE1228" s="19">
        <v>31.7</v>
      </c>
      <c r="HF1228" s="19">
        <v>20.9</v>
      </c>
      <c r="HG1228" s="19">
        <v>15.2</v>
      </c>
      <c r="HH1228" s="19">
        <v>13.6</v>
      </c>
      <c r="HI1228" s="19">
        <v>12.9</v>
      </c>
      <c r="HJ1228" s="19">
        <v>12.7</v>
      </c>
      <c r="HK1228" s="19">
        <v>13.5</v>
      </c>
      <c r="HL1228" s="19">
        <v>10.4</v>
      </c>
      <c r="HM1228" s="19">
        <v>8.3</v>
      </c>
      <c r="HN1228" s="19">
        <v>5.7</v>
      </c>
      <c r="HO1228" s="19">
        <v>4.9</v>
      </c>
      <c r="HP1228" s="19">
        <v>4.1</v>
      </c>
      <c r="HQ1228" s="19">
        <v>3.8</v>
      </c>
      <c r="HR1228" s="19">
        <v>3.4</v>
      </c>
      <c r="HS1228" s="19">
        <v>3</v>
      </c>
      <c r="HT1228" s="19">
        <v>0.7</v>
      </c>
      <c r="HU1228" s="20">
        <v>0</v>
      </c>
      <c r="HV1228" s="20">
        <v>0</v>
      </c>
      <c r="HW1228" s="20">
        <v>0</v>
      </c>
      <c r="HX1228" s="9"/>
      <c r="HY1228" s="20">
        <v>0</v>
      </c>
      <c r="HZ1228" s="19">
        <v>25.3</v>
      </c>
      <c r="IA1228" s="19">
        <v>46</v>
      </c>
      <c r="IB1228" s="19">
        <v>44.5</v>
      </c>
      <c r="IC1228" s="19">
        <v>29</v>
      </c>
    </row>
    <row r="1229">
      <c r="A1229" s="2" t="s">
        <v>4849</v>
      </c>
      <c r="B1229" s="2" t="s">
        <v>255</v>
      </c>
      <c r="C1229" s="2" t="s">
        <v>2023</v>
      </c>
      <c r="D1229" s="2" t="s">
        <v>361</v>
      </c>
      <c r="E1229" s="2" t="s">
        <v>872</v>
      </c>
      <c r="F1229" s="2" t="s">
        <v>4850</v>
      </c>
      <c r="G1229" s="2" t="s">
        <v>4850</v>
      </c>
      <c r="H1229" s="2" t="s">
        <v>4850</v>
      </c>
      <c r="I1229" s="2" t="s">
        <v>4851</v>
      </c>
      <c r="J1229" s="2" t="s">
        <v>250</v>
      </c>
      <c r="K1229" s="2" t="s">
        <v>231</v>
      </c>
      <c r="L1229" s="3">
        <v>86.4</v>
      </c>
      <c r="M1229" s="3">
        <v>90.72</v>
      </c>
      <c r="N1229" s="3">
        <v>179.99</v>
      </c>
      <c r="O1229" s="2" t="s">
        <v>232</v>
      </c>
      <c r="P1229" s="2" t="s">
        <v>965</v>
      </c>
      <c r="Q1229" s="2" t="s">
        <v>234</v>
      </c>
      <c r="R1229" s="2" t="s">
        <v>235</v>
      </c>
      <c r="S1229" s="2" t="s">
        <v>4852</v>
      </c>
      <c r="T1229" s="2" t="s">
        <v>4853</v>
      </c>
      <c r="U1229" s="2" t="s">
        <v>614</v>
      </c>
      <c r="V1229" s="2" t="s">
        <v>930</v>
      </c>
      <c r="W1229" s="2" t="s">
        <v>1299</v>
      </c>
      <c r="X1229" s="2" t="s">
        <v>239</v>
      </c>
      <c r="Y1229" s="2" t="s">
        <v>4854</v>
      </c>
      <c r="Z1229" s="4">
        <v>53</v>
      </c>
      <c r="AA1229" s="4">
        <f>=ROUNDDOWN(88.3333333333333,0)</f>
      </c>
      <c r="AB1229" s="5">
        <v>0.6</v>
      </c>
      <c r="AC1229" s="2" t="s">
        <v>2426</v>
      </c>
      <c r="AD1229" s="4">
        <v>60</v>
      </c>
      <c r="AE1229" s="4">
        <v>60</v>
      </c>
      <c r="AF1229" s="6">
        <v>83</v>
      </c>
      <c r="AG1229" s="6"/>
      <c r="AH1229" s="7">
        <v>1</v>
      </c>
      <c r="AI1229" s="4"/>
      <c r="AJ1229" s="4">
        <f>=ROUNDDOWN({0},0)</f>
      </c>
      <c r="AK1229" s="5"/>
      <c r="AL1229" s="2" t="s">
        <v>235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235</v>
      </c>
      <c r="AW1229" s="8" t="s">
        <v>235</v>
      </c>
      <c r="AX1229" s="4" t="s">
        <v>235</v>
      </c>
      <c r="AY1229" s="8" t="s">
        <v>235</v>
      </c>
      <c r="AZ1229" s="7" t="s">
        <v>235</v>
      </c>
      <c r="BA1229" s="7" t="s">
        <v>235</v>
      </c>
      <c r="BB1229" s="7"/>
      <c r="BC1229" s="4" t="s">
        <v>235</v>
      </c>
      <c r="BD1229" s="8" t="s">
        <v>235</v>
      </c>
      <c r="BE1229" s="4" t="s">
        <v>235</v>
      </c>
      <c r="BF1229" s="8" t="s">
        <v>235</v>
      </c>
      <c r="BG1229" s="7" t="s">
        <v>235</v>
      </c>
      <c r="BH1229" s="7" t="s">
        <v>235</v>
      </c>
      <c r="BI1229" s="7"/>
      <c r="BJ1229" s="4">
        <v>4</v>
      </c>
      <c r="BK1229" s="8">
        <v>393.3</v>
      </c>
      <c r="BL1229" s="2" t="s">
        <v>1767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4855</v>
      </c>
      <c r="BV1229" s="2" t="s">
        <v>243</v>
      </c>
      <c r="BW1229" s="2" t="s">
        <v>235</v>
      </c>
      <c r="BX1229" s="2" t="s">
        <v>244</v>
      </c>
      <c r="BY1229" s="2" t="s">
        <v>245</v>
      </c>
      <c r="BZ1229" s="2" t="s">
        <v>232</v>
      </c>
      <c r="CA1229" s="2" t="s">
        <v>3955</v>
      </c>
      <c r="CB1229" s="2" t="s">
        <v>4856</v>
      </c>
      <c r="CC1229" s="2" t="s">
        <v>248</v>
      </c>
      <c r="CD1229" s="2" t="s">
        <v>248</v>
      </c>
      <c r="CE1229" s="2" t="s">
        <v>235</v>
      </c>
      <c r="CF1229" s="4">
        <v>53</v>
      </c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>
        <v>60</v>
      </c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>
        <v>53</v>
      </c>
      <c r="GE1229" s="4">
        <v>52</v>
      </c>
      <c r="GF1229" s="4">
        <v>51</v>
      </c>
      <c r="GG1229" s="4">
        <v>50</v>
      </c>
      <c r="GH1229" s="4">
        <v>50</v>
      </c>
      <c r="GI1229" s="4">
        <v>109</v>
      </c>
      <c r="GJ1229" s="4">
        <v>107</v>
      </c>
      <c r="GK1229" s="4">
        <v>106</v>
      </c>
      <c r="GL1229" s="4">
        <v>104</v>
      </c>
      <c r="GM1229" s="4">
        <v>103</v>
      </c>
      <c r="GN1229" s="4">
        <v>102</v>
      </c>
      <c r="GO1229" s="4">
        <v>102</v>
      </c>
      <c r="GP1229" s="4">
        <v>101</v>
      </c>
      <c r="GQ1229" s="4">
        <v>100</v>
      </c>
      <c r="GR1229" s="4">
        <v>99</v>
      </c>
      <c r="GS1229" s="4">
        <v>99</v>
      </c>
      <c r="GT1229" s="4">
        <v>98</v>
      </c>
      <c r="GU1229" s="4">
        <v>97</v>
      </c>
      <c r="GV1229" s="4">
        <v>97</v>
      </c>
      <c r="GW1229" s="4">
        <v>96</v>
      </c>
      <c r="GX1229" s="4">
        <v>95</v>
      </c>
      <c r="GY1229" s="4">
        <v>94</v>
      </c>
      <c r="GZ1229" s="4">
        <v>92</v>
      </c>
      <c r="HA1229" s="4">
        <v>92</v>
      </c>
      <c r="HB1229" s="4">
        <v>91</v>
      </c>
      <c r="HC1229" s="4">
        <v>90</v>
      </c>
      <c r="HD1229" s="19">
        <v>53</v>
      </c>
      <c r="HE1229" s="19">
        <v>52</v>
      </c>
      <c r="HF1229" s="19">
        <v>51</v>
      </c>
      <c r="HG1229" s="19">
        <v>50</v>
      </c>
      <c r="HH1229" s="19">
        <v>25</v>
      </c>
      <c r="HI1229" s="19">
        <v>54.5</v>
      </c>
      <c r="HJ1229" s="19">
        <v>107</v>
      </c>
      <c r="HK1229" s="19">
        <v>106</v>
      </c>
      <c r="HL1229" s="19">
        <v>104</v>
      </c>
      <c r="HM1229" s="19">
        <v>103</v>
      </c>
      <c r="HN1229" s="19">
        <v>102</v>
      </c>
      <c r="HO1229" s="19">
        <v>102</v>
      </c>
      <c r="HP1229" s="19">
        <v>101</v>
      </c>
      <c r="HQ1229" s="19">
        <v>100</v>
      </c>
      <c r="HR1229" s="9"/>
      <c r="HS1229" s="19">
        <v>99</v>
      </c>
      <c r="HT1229" s="19">
        <v>98</v>
      </c>
      <c r="HU1229" s="19">
        <v>97</v>
      </c>
      <c r="HV1229" s="19">
        <v>97</v>
      </c>
      <c r="HW1229" s="19">
        <v>96</v>
      </c>
      <c r="HX1229" s="19">
        <v>95</v>
      </c>
      <c r="HY1229" s="19">
        <v>94</v>
      </c>
      <c r="HZ1229" s="19">
        <v>92</v>
      </c>
      <c r="IA1229" s="19">
        <v>92</v>
      </c>
      <c r="IB1229" s="19">
        <v>91</v>
      </c>
      <c r="IC1229" s="19">
        <v>90</v>
      </c>
    </row>
    <row r="1230">
      <c r="A1230" s="2" t="s">
        <v>4857</v>
      </c>
      <c r="B1230" s="2" t="s">
        <v>255</v>
      </c>
      <c r="C1230" s="2" t="s">
        <v>2023</v>
      </c>
      <c r="D1230" s="2" t="s">
        <v>361</v>
      </c>
      <c r="E1230" s="2" t="s">
        <v>872</v>
      </c>
      <c r="F1230" s="2" t="s">
        <v>4850</v>
      </c>
      <c r="G1230" s="2" t="s">
        <v>4850</v>
      </c>
      <c r="H1230" s="2" t="s">
        <v>4850</v>
      </c>
      <c r="I1230" s="2" t="s">
        <v>4851</v>
      </c>
      <c r="J1230" s="2" t="s">
        <v>272</v>
      </c>
      <c r="K1230" s="2" t="s">
        <v>231</v>
      </c>
      <c r="L1230" s="3">
        <v>105.6</v>
      </c>
      <c r="M1230" s="3">
        <v>110.88</v>
      </c>
      <c r="N1230" s="3">
        <v>219.99</v>
      </c>
      <c r="O1230" s="2" t="s">
        <v>232</v>
      </c>
      <c r="P1230" s="2" t="s">
        <v>1282</v>
      </c>
      <c r="Q1230" s="2" t="s">
        <v>234</v>
      </c>
      <c r="R1230" s="2" t="s">
        <v>235</v>
      </c>
      <c r="S1230" s="2" t="s">
        <v>4852</v>
      </c>
      <c r="T1230" s="2" t="s">
        <v>4853</v>
      </c>
      <c r="U1230" s="2" t="s">
        <v>614</v>
      </c>
      <c r="V1230" s="2" t="s">
        <v>930</v>
      </c>
      <c r="W1230" s="2" t="s">
        <v>1299</v>
      </c>
      <c r="X1230" s="2" t="s">
        <v>239</v>
      </c>
      <c r="Y1230" s="2" t="s">
        <v>4854</v>
      </c>
      <c r="Z1230" s="4">
        <v>6</v>
      </c>
      <c r="AA1230" s="4">
        <f>=ROUNDDOWN(1.46341463414634,0)</f>
      </c>
      <c r="AB1230" s="5">
        <v>4.1</v>
      </c>
      <c r="AC1230" s="2" t="s">
        <v>2122</v>
      </c>
      <c r="AD1230" s="4">
        <v>155</v>
      </c>
      <c r="AE1230" s="4">
        <v>155</v>
      </c>
      <c r="AF1230" s="6">
        <v>83</v>
      </c>
      <c r="AG1230" s="6"/>
      <c r="AH1230" s="7">
        <v>1</v>
      </c>
      <c r="AI1230" s="4"/>
      <c r="AJ1230" s="4">
        <f>=ROUNDDOWN({0},0)</f>
      </c>
      <c r="AK1230" s="5"/>
      <c r="AL1230" s="2" t="s">
        <v>235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235</v>
      </c>
      <c r="AW1230" s="8" t="s">
        <v>235</v>
      </c>
      <c r="AX1230" s="4" t="s">
        <v>235</v>
      </c>
      <c r="AY1230" s="8" t="s">
        <v>235</v>
      </c>
      <c r="AZ1230" s="7" t="s">
        <v>235</v>
      </c>
      <c r="BA1230" s="7" t="s">
        <v>235</v>
      </c>
      <c r="BB1230" s="7"/>
      <c r="BC1230" s="4" t="s">
        <v>235</v>
      </c>
      <c r="BD1230" s="8" t="s">
        <v>235</v>
      </c>
      <c r="BE1230" s="4" t="s">
        <v>235</v>
      </c>
      <c r="BF1230" s="8" t="s">
        <v>235</v>
      </c>
      <c r="BG1230" s="7" t="s">
        <v>235</v>
      </c>
      <c r="BH1230" s="7" t="s">
        <v>235</v>
      </c>
      <c r="BI1230" s="7"/>
      <c r="BJ1230" s="4">
        <v>5</v>
      </c>
      <c r="BK1230" s="8">
        <v>604.93</v>
      </c>
      <c r="BL1230" s="2" t="s">
        <v>2089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4855</v>
      </c>
      <c r="BV1230" s="2" t="s">
        <v>243</v>
      </c>
      <c r="BW1230" s="2" t="s">
        <v>235</v>
      </c>
      <c r="BX1230" s="2" t="s">
        <v>244</v>
      </c>
      <c r="BY1230" s="2" t="s">
        <v>245</v>
      </c>
      <c r="BZ1230" s="2" t="s">
        <v>232</v>
      </c>
      <c r="CA1230" s="2" t="s">
        <v>3955</v>
      </c>
      <c r="CB1230" s="2" t="s">
        <v>4858</v>
      </c>
      <c r="CC1230" s="2" t="s">
        <v>248</v>
      </c>
      <c r="CD1230" s="2" t="s">
        <v>248</v>
      </c>
      <c r="CE1230" s="2" t="s">
        <v>235</v>
      </c>
      <c r="CF1230" s="4">
        <v>6</v>
      </c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>
        <v>155</v>
      </c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>
        <v>8</v>
      </c>
      <c r="GE1230" s="4">
        <v>3</v>
      </c>
      <c r="GF1230" s="4"/>
      <c r="GG1230" s="4">
        <v>155</v>
      </c>
      <c r="GH1230" s="4">
        <v>152</v>
      </c>
      <c r="GI1230" s="4">
        <v>149</v>
      </c>
      <c r="GJ1230" s="4">
        <v>143</v>
      </c>
      <c r="GK1230" s="4">
        <v>134</v>
      </c>
      <c r="GL1230" s="4">
        <v>131</v>
      </c>
      <c r="GM1230" s="4">
        <v>128</v>
      </c>
      <c r="GN1230" s="4">
        <v>127</v>
      </c>
      <c r="GO1230" s="4">
        <v>122</v>
      </c>
      <c r="GP1230" s="4">
        <v>116</v>
      </c>
      <c r="GQ1230" s="4">
        <v>111</v>
      </c>
      <c r="GR1230" s="4">
        <v>105</v>
      </c>
      <c r="GS1230" s="4">
        <v>103</v>
      </c>
      <c r="GT1230" s="4">
        <v>98</v>
      </c>
      <c r="GU1230" s="4">
        <v>96</v>
      </c>
      <c r="GV1230" s="4">
        <v>90</v>
      </c>
      <c r="GW1230" s="4">
        <v>85</v>
      </c>
      <c r="GX1230" s="4">
        <v>83</v>
      </c>
      <c r="GY1230" s="4">
        <v>78</v>
      </c>
      <c r="GZ1230" s="4">
        <v>75</v>
      </c>
      <c r="HA1230" s="4">
        <v>69</v>
      </c>
      <c r="HB1230" s="4">
        <v>65</v>
      </c>
      <c r="HC1230" s="4">
        <v>59</v>
      </c>
      <c r="HD1230" s="19">
        <v>2</v>
      </c>
      <c r="HE1230" s="19">
        <v>1</v>
      </c>
      <c r="HF1230" s="20">
        <v>0</v>
      </c>
      <c r="HG1230" s="19">
        <v>31</v>
      </c>
      <c r="HH1230" s="19">
        <v>30.4</v>
      </c>
      <c r="HI1230" s="19">
        <v>29.8</v>
      </c>
      <c r="HJ1230" s="19">
        <v>35.8</v>
      </c>
      <c r="HK1230" s="19">
        <v>44.7</v>
      </c>
      <c r="HL1230" s="19">
        <v>32.8</v>
      </c>
      <c r="HM1230" s="19">
        <v>32</v>
      </c>
      <c r="HN1230" s="19">
        <v>21.2</v>
      </c>
      <c r="HO1230" s="19">
        <v>24.4</v>
      </c>
      <c r="HP1230" s="19">
        <v>29</v>
      </c>
      <c r="HQ1230" s="19">
        <v>27.8</v>
      </c>
      <c r="HR1230" s="19">
        <v>26.3</v>
      </c>
      <c r="HS1230" s="19">
        <v>25.8</v>
      </c>
      <c r="HT1230" s="19">
        <v>24.5</v>
      </c>
      <c r="HU1230" s="19">
        <v>24</v>
      </c>
      <c r="HV1230" s="19">
        <v>22.5</v>
      </c>
      <c r="HW1230" s="19">
        <v>21.3</v>
      </c>
      <c r="HX1230" s="19">
        <v>20.8</v>
      </c>
      <c r="HY1230" s="19">
        <v>15.6</v>
      </c>
      <c r="HZ1230" s="19">
        <v>15</v>
      </c>
      <c r="IA1230" s="19">
        <v>17.3</v>
      </c>
      <c r="IB1230" s="19">
        <v>10.8</v>
      </c>
      <c r="IC1230" s="19">
        <v>11.8</v>
      </c>
    </row>
    <row r="1231">
      <c r="A1231" s="2" t="s">
        <v>4859</v>
      </c>
      <c r="B1231" s="2" t="s">
        <v>871</v>
      </c>
      <c r="C1231" s="2" t="s">
        <v>403</v>
      </c>
      <c r="D1231" s="2" t="s">
        <v>1140</v>
      </c>
      <c r="E1231" s="2" t="s">
        <v>1141</v>
      </c>
      <c r="F1231" s="2" t="s">
        <v>4860</v>
      </c>
      <c r="G1231" s="2" t="s">
        <v>4861</v>
      </c>
      <c r="H1231" s="2" t="s">
        <v>4862</v>
      </c>
      <c r="I1231" s="2" t="s">
        <v>1141</v>
      </c>
      <c r="J1231" s="2" t="s">
        <v>1165</v>
      </c>
      <c r="K1231" s="2" t="s">
        <v>292</v>
      </c>
      <c r="L1231" s="3">
        <v>13.2</v>
      </c>
      <c r="M1231" s="3">
        <v>13.86</v>
      </c>
      <c r="N1231" s="3">
        <v>29.99</v>
      </c>
      <c r="O1231" s="2" t="s">
        <v>232</v>
      </c>
      <c r="P1231" s="2" t="s">
        <v>233</v>
      </c>
      <c r="Q1231" s="2" t="s">
        <v>234</v>
      </c>
      <c r="R1231" s="2" t="s">
        <v>235</v>
      </c>
      <c r="S1231" s="2" t="s">
        <v>4863</v>
      </c>
      <c r="T1231" s="2" t="s">
        <v>235</v>
      </c>
      <c r="U1231" s="2" t="s">
        <v>235</v>
      </c>
      <c r="V1231" s="2" t="s">
        <v>863</v>
      </c>
      <c r="W1231" s="2" t="s">
        <v>239</v>
      </c>
      <c r="X1231" s="2" t="s">
        <v>235</v>
      </c>
      <c r="Y1231" s="2" t="s">
        <v>240</v>
      </c>
      <c r="Z1231" s="4">
        <v>269</v>
      </c>
      <c r="AA1231" s="4">
        <f>=ROUNDDOWN(10.5905511811024,0)</f>
      </c>
      <c r="AB1231" s="5">
        <v>25.4</v>
      </c>
      <c r="AC1231" s="2" t="s">
        <v>235</v>
      </c>
      <c r="AD1231" s="4"/>
      <c r="AE1231" s="4"/>
      <c r="AF1231" s="6">
        <v>78</v>
      </c>
      <c r="AG1231" s="6"/>
      <c r="AH1231" s="7">
        <v>1</v>
      </c>
      <c r="AI1231" s="4"/>
      <c r="AJ1231" s="4">
        <f>=ROUNDDOWN({0},0)</f>
      </c>
      <c r="AK1231" s="5"/>
      <c r="AL1231" s="2" t="s">
        <v>235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/>
      <c r="BD1231" s="8"/>
      <c r="BE1231" s="4"/>
      <c r="BF1231" s="8"/>
      <c r="BG1231" s="7"/>
      <c r="BH1231" s="7"/>
      <c r="BI1231" s="7"/>
      <c r="BJ1231" s="4">
        <v>79</v>
      </c>
      <c r="BK1231" s="8">
        <v>1109.87</v>
      </c>
      <c r="BL1231" s="2" t="s">
        <v>4864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4865</v>
      </c>
      <c r="BV1231" s="2" t="s">
        <v>618</v>
      </c>
      <c r="BW1231" s="2" t="s">
        <v>235</v>
      </c>
      <c r="BX1231" s="2" t="s">
        <v>244</v>
      </c>
      <c r="BY1231" s="2" t="s">
        <v>245</v>
      </c>
      <c r="BZ1231" s="2" t="s">
        <v>232</v>
      </c>
      <c r="CA1231" s="2" t="s">
        <v>252</v>
      </c>
      <c r="CB1231" s="2" t="s">
        <v>4866</v>
      </c>
      <c r="CC1231" s="2" t="s">
        <v>248</v>
      </c>
      <c r="CD1231" s="2" t="s">
        <v>248</v>
      </c>
      <c r="CE1231" s="2" t="s">
        <v>235</v>
      </c>
      <c r="CF1231" s="4">
        <v>269</v>
      </c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>
        <v>275</v>
      </c>
      <c r="GE1231" s="4">
        <v>243</v>
      </c>
      <c r="GF1231" s="4">
        <v>217</v>
      </c>
      <c r="GG1231" s="4">
        <v>191</v>
      </c>
      <c r="GH1231" s="4">
        <v>165</v>
      </c>
      <c r="GI1231" s="4">
        <v>139</v>
      </c>
      <c r="GJ1231" s="4">
        <v>113</v>
      </c>
      <c r="GK1231" s="4">
        <v>87</v>
      </c>
      <c r="GL1231" s="4">
        <v>61</v>
      </c>
      <c r="GM1231" s="4">
        <v>35</v>
      </c>
      <c r="GN1231" s="4">
        <v>9</v>
      </c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>
        <v>319</v>
      </c>
      <c r="GZ1231" s="4">
        <v>276</v>
      </c>
      <c r="HA1231" s="4">
        <v>262</v>
      </c>
      <c r="HB1231" s="4">
        <v>231</v>
      </c>
      <c r="HC1231" s="4">
        <v>216</v>
      </c>
      <c r="HD1231" s="19">
        <v>9.8</v>
      </c>
      <c r="HE1231" s="19">
        <v>9.3</v>
      </c>
      <c r="HF1231" s="19">
        <v>8.3</v>
      </c>
      <c r="HG1231" s="19">
        <v>7.3</v>
      </c>
      <c r="HH1231" s="19">
        <v>6.3</v>
      </c>
      <c r="HI1231" s="19">
        <v>5.3</v>
      </c>
      <c r="HJ1231" s="19">
        <v>4.3</v>
      </c>
      <c r="HK1231" s="19">
        <v>3.3</v>
      </c>
      <c r="HL1231" s="19">
        <v>2.3</v>
      </c>
      <c r="HM1231" s="19">
        <v>1.4</v>
      </c>
      <c r="HN1231" s="19">
        <v>0.4</v>
      </c>
      <c r="HO1231" s="20">
        <v>0</v>
      </c>
      <c r="HP1231" s="20">
        <v>0</v>
      </c>
      <c r="HQ1231" s="20">
        <v>0</v>
      </c>
      <c r="HR1231" s="20">
        <v>0</v>
      </c>
      <c r="HS1231" s="20">
        <v>0</v>
      </c>
      <c r="HT1231" s="20">
        <v>0</v>
      </c>
      <c r="HU1231" s="20">
        <v>0</v>
      </c>
      <c r="HV1231" s="20">
        <v>0</v>
      </c>
      <c r="HW1231" s="20">
        <v>0</v>
      </c>
      <c r="HX1231" s="20">
        <v>0</v>
      </c>
      <c r="HY1231" s="19">
        <v>12.3</v>
      </c>
      <c r="HZ1231" s="19">
        <v>12.5</v>
      </c>
      <c r="IA1231" s="19">
        <v>10.9</v>
      </c>
      <c r="IB1231" s="19">
        <v>10.5</v>
      </c>
      <c r="IC1231" s="19">
        <v>9.8</v>
      </c>
    </row>
    <row r="1232">
      <c r="A1232" s="2" t="s">
        <v>4867</v>
      </c>
      <c r="B1232" s="2" t="s">
        <v>905</v>
      </c>
      <c r="C1232" s="2" t="s">
        <v>606</v>
      </c>
      <c r="D1232" s="2" t="s">
        <v>361</v>
      </c>
      <c r="E1232" s="2" t="s">
        <v>924</v>
      </c>
      <c r="F1232" s="2" t="s">
        <v>4868</v>
      </c>
      <c r="G1232" s="2" t="s">
        <v>4869</v>
      </c>
      <c r="H1232" s="2" t="s">
        <v>4870</v>
      </c>
      <c r="I1232" s="2" t="s">
        <v>4871</v>
      </c>
      <c r="J1232" s="2" t="s">
        <v>877</v>
      </c>
      <c r="K1232" s="2" t="s">
        <v>231</v>
      </c>
      <c r="L1232" s="3">
        <v>27.1</v>
      </c>
      <c r="M1232" s="3">
        <v>28.46</v>
      </c>
      <c r="N1232" s="3">
        <v>54.99</v>
      </c>
      <c r="O1232" s="2" t="s">
        <v>232</v>
      </c>
      <c r="P1232" s="2" t="s">
        <v>233</v>
      </c>
      <c r="Q1232" s="2" t="s">
        <v>234</v>
      </c>
      <c r="R1232" s="2" t="s">
        <v>235</v>
      </c>
      <c r="S1232" s="2" t="s">
        <v>4872</v>
      </c>
      <c r="T1232" s="2" t="s">
        <v>879</v>
      </c>
      <c r="U1232" s="2" t="s">
        <v>278</v>
      </c>
      <c r="V1232" s="2" t="s">
        <v>863</v>
      </c>
      <c r="W1232" s="2" t="s">
        <v>682</v>
      </c>
      <c r="X1232" s="2" t="s">
        <v>239</v>
      </c>
      <c r="Y1232" s="2" t="s">
        <v>4873</v>
      </c>
      <c r="Z1232" s="4">
        <v>802</v>
      </c>
      <c r="AA1232" s="4">
        <f>=ROUNDDOWN(160.4,0)</f>
      </c>
      <c r="AB1232" s="5">
        <v>5</v>
      </c>
      <c r="AC1232" s="2" t="s">
        <v>189</v>
      </c>
      <c r="AD1232" s="4">
        <v>651</v>
      </c>
      <c r="AE1232" s="4">
        <v>651</v>
      </c>
      <c r="AF1232" s="6">
        <v>65</v>
      </c>
      <c r="AG1232" s="6">
        <v>48</v>
      </c>
      <c r="AH1232" s="7">
        <v>1</v>
      </c>
      <c r="AI1232" s="4"/>
      <c r="AJ1232" s="4">
        <f>=ROUNDDOWN({0},0)</f>
      </c>
      <c r="AK1232" s="5"/>
      <c r="AL1232" s="2" t="s">
        <v>235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235</v>
      </c>
      <c r="AW1232" s="8" t="s">
        <v>235</v>
      </c>
      <c r="AX1232" s="4" t="s">
        <v>235</v>
      </c>
      <c r="AY1232" s="8" t="s">
        <v>235</v>
      </c>
      <c r="AZ1232" s="7" t="s">
        <v>235</v>
      </c>
      <c r="BA1232" s="7" t="s">
        <v>235</v>
      </c>
      <c r="BB1232" s="7"/>
      <c r="BC1232" s="4" t="s">
        <v>235</v>
      </c>
      <c r="BD1232" s="8" t="s">
        <v>235</v>
      </c>
      <c r="BE1232" s="4" t="s">
        <v>235</v>
      </c>
      <c r="BF1232" s="8" t="s">
        <v>235</v>
      </c>
      <c r="BG1232" s="7" t="s">
        <v>235</v>
      </c>
      <c r="BH1232" s="7" t="s">
        <v>235</v>
      </c>
      <c r="BI1232" s="7"/>
      <c r="BJ1232" s="4">
        <v>41</v>
      </c>
      <c r="BK1232" s="8">
        <v>1229.26</v>
      </c>
      <c r="BL1232" s="2" t="s">
        <v>4874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4875</v>
      </c>
      <c r="BV1232" s="2" t="s">
        <v>243</v>
      </c>
      <c r="BW1232" s="2" t="s">
        <v>235</v>
      </c>
      <c r="BX1232" s="2" t="s">
        <v>619</v>
      </c>
      <c r="BY1232" s="2" t="s">
        <v>245</v>
      </c>
      <c r="BZ1232" s="2" t="s">
        <v>232</v>
      </c>
      <c r="CA1232" s="2" t="s">
        <v>626</v>
      </c>
      <c r="CB1232" s="2" t="s">
        <v>2190</v>
      </c>
      <c r="CC1232" s="2" t="s">
        <v>248</v>
      </c>
      <c r="CD1232" s="2" t="s">
        <v>248</v>
      </c>
      <c r="CE1232" s="2" t="s">
        <v>235</v>
      </c>
      <c r="CF1232" s="4">
        <v>278</v>
      </c>
      <c r="CG1232" s="4"/>
      <c r="CH1232" s="4"/>
      <c r="CI1232" s="4">
        <v>524</v>
      </c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>
        <v>651</v>
      </c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>
        <v>805</v>
      </c>
      <c r="GE1232" s="4">
        <v>797</v>
      </c>
      <c r="GF1232" s="4">
        <v>794</v>
      </c>
      <c r="GG1232" s="4">
        <v>791</v>
      </c>
      <c r="GH1232" s="4">
        <v>788</v>
      </c>
      <c r="GI1232" s="4">
        <v>785</v>
      </c>
      <c r="GJ1232" s="4">
        <v>777</v>
      </c>
      <c r="GK1232" s="4">
        <v>770</v>
      </c>
      <c r="GL1232" s="4">
        <v>765</v>
      </c>
      <c r="GM1232" s="4">
        <v>757</v>
      </c>
      <c r="GN1232" s="4">
        <v>748</v>
      </c>
      <c r="GO1232" s="4">
        <v>739</v>
      </c>
      <c r="GP1232" s="4">
        <v>1374</v>
      </c>
      <c r="GQ1232" s="4">
        <v>1363</v>
      </c>
      <c r="GR1232" s="4">
        <v>1355</v>
      </c>
      <c r="GS1232" s="4">
        <v>1349</v>
      </c>
      <c r="GT1232" s="4">
        <v>1343</v>
      </c>
      <c r="GU1232" s="4">
        <v>1337</v>
      </c>
      <c r="GV1232" s="4">
        <v>1332</v>
      </c>
      <c r="GW1232" s="4">
        <v>1327</v>
      </c>
      <c r="GX1232" s="4">
        <v>1322</v>
      </c>
      <c r="GY1232" s="4">
        <v>1317</v>
      </c>
      <c r="GZ1232" s="4">
        <v>1313</v>
      </c>
      <c r="HA1232" s="4">
        <v>1308</v>
      </c>
      <c r="HB1232" s="4">
        <v>1304</v>
      </c>
      <c r="HC1232" s="4">
        <v>1299</v>
      </c>
      <c r="HD1232" s="19">
        <v>308.9</v>
      </c>
      <c r="HE1232" s="19">
        <v>329.8</v>
      </c>
      <c r="HF1232" s="19">
        <v>306</v>
      </c>
      <c r="HG1232" s="19">
        <v>163.9</v>
      </c>
      <c r="HH1232" s="19">
        <v>163.4</v>
      </c>
      <c r="HI1232" s="19">
        <v>156.2</v>
      </c>
      <c r="HJ1232" s="19">
        <v>155.1</v>
      </c>
      <c r="HK1232" s="19">
        <v>149.9</v>
      </c>
      <c r="HL1232" s="19">
        <v>101.2</v>
      </c>
      <c r="HM1232" s="19">
        <v>100.5</v>
      </c>
      <c r="HN1232" s="19">
        <v>99.6</v>
      </c>
      <c r="HO1232" s="19">
        <v>98.8</v>
      </c>
      <c r="HP1232" s="19">
        <v>198</v>
      </c>
      <c r="HQ1232" s="19">
        <v>211</v>
      </c>
      <c r="HR1232" s="19">
        <v>355.4</v>
      </c>
      <c r="HS1232" s="19">
        <v>353.9</v>
      </c>
      <c r="HT1232" s="19">
        <v>352.8</v>
      </c>
      <c r="HU1232" s="19">
        <v>351.7</v>
      </c>
      <c r="HV1232" s="19">
        <v>350.7</v>
      </c>
      <c r="HW1232" s="19">
        <v>349.7</v>
      </c>
      <c r="HX1232" s="19">
        <v>348.7</v>
      </c>
      <c r="HY1232" s="19">
        <v>347.7</v>
      </c>
      <c r="HZ1232" s="19">
        <v>346.8</v>
      </c>
      <c r="IA1232" s="19">
        <v>345.8</v>
      </c>
      <c r="IB1232" s="19">
        <v>344.9</v>
      </c>
      <c r="IC1232" s="19">
        <v>343.9</v>
      </c>
    </row>
    <row r="1233">
      <c r="A1233" s="2" t="s">
        <v>4876</v>
      </c>
      <c r="B1233" s="2" t="s">
        <v>905</v>
      </c>
      <c r="C1233" s="2" t="s">
        <v>606</v>
      </c>
      <c r="D1233" s="2" t="s">
        <v>361</v>
      </c>
      <c r="E1233" s="2" t="s">
        <v>924</v>
      </c>
      <c r="F1233" s="2" t="s">
        <v>4868</v>
      </c>
      <c r="G1233" s="2" t="s">
        <v>4869</v>
      </c>
      <c r="H1233" s="2" t="s">
        <v>4870</v>
      </c>
      <c r="I1233" s="2" t="s">
        <v>4871</v>
      </c>
      <c r="J1233" s="2" t="s">
        <v>372</v>
      </c>
      <c r="K1233" s="2" t="s">
        <v>231</v>
      </c>
      <c r="L1233" s="3">
        <v>37.17</v>
      </c>
      <c r="M1233" s="3">
        <v>39.03</v>
      </c>
      <c r="N1233" s="3">
        <v>79.99</v>
      </c>
      <c r="O1233" s="2" t="s">
        <v>232</v>
      </c>
      <c r="P1233" s="2" t="s">
        <v>336</v>
      </c>
      <c r="Q1233" s="2" t="s">
        <v>234</v>
      </c>
      <c r="R1233" s="2" t="s">
        <v>235</v>
      </c>
      <c r="S1233" s="2" t="s">
        <v>4872</v>
      </c>
      <c r="T1233" s="2" t="s">
        <v>879</v>
      </c>
      <c r="U1233" s="2" t="s">
        <v>552</v>
      </c>
      <c r="V1233" s="2" t="s">
        <v>863</v>
      </c>
      <c r="W1233" s="2" t="s">
        <v>682</v>
      </c>
      <c r="X1233" s="2" t="s">
        <v>239</v>
      </c>
      <c r="Y1233" s="2" t="s">
        <v>2723</v>
      </c>
      <c r="Z1233" s="4">
        <v>1128</v>
      </c>
      <c r="AA1233" s="4">
        <f>=ROUNDDOWN(126.741573033708,0)</f>
      </c>
      <c r="AB1233" s="5">
        <v>8.9</v>
      </c>
      <c r="AC1233" s="2" t="s">
        <v>189</v>
      </c>
      <c r="AD1233" s="4">
        <v>1173</v>
      </c>
      <c r="AE1233" s="4">
        <v>1173</v>
      </c>
      <c r="AF1233" s="6">
        <v>65</v>
      </c>
      <c r="AG1233" s="6">
        <v>48</v>
      </c>
      <c r="AH1233" s="7">
        <v>1</v>
      </c>
      <c r="AI1233" s="4"/>
      <c r="AJ1233" s="4">
        <f>=ROUNDDOWN({0},0)</f>
      </c>
      <c r="AK1233" s="5"/>
      <c r="AL1233" s="2" t="s">
        <v>235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235</v>
      </c>
      <c r="AW1233" s="8" t="s">
        <v>235</v>
      </c>
      <c r="AX1233" s="4" t="s">
        <v>235</v>
      </c>
      <c r="AY1233" s="8" t="s">
        <v>235</v>
      </c>
      <c r="AZ1233" s="7" t="s">
        <v>235</v>
      </c>
      <c r="BA1233" s="7" t="s">
        <v>235</v>
      </c>
      <c r="BB1233" s="7"/>
      <c r="BC1233" s="4" t="s">
        <v>235</v>
      </c>
      <c r="BD1233" s="8" t="s">
        <v>235</v>
      </c>
      <c r="BE1233" s="4" t="s">
        <v>235</v>
      </c>
      <c r="BF1233" s="8" t="s">
        <v>235</v>
      </c>
      <c r="BG1233" s="7" t="s">
        <v>235</v>
      </c>
      <c r="BH1233" s="7" t="s">
        <v>235</v>
      </c>
      <c r="BI1233" s="7"/>
      <c r="BJ1233" s="4">
        <v>38</v>
      </c>
      <c r="BK1233" s="8">
        <v>1580.21</v>
      </c>
      <c r="BL1233" s="2" t="s">
        <v>4877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4875</v>
      </c>
      <c r="BV1233" s="2" t="s">
        <v>243</v>
      </c>
      <c r="BW1233" s="2" t="s">
        <v>235</v>
      </c>
      <c r="BX1233" s="2" t="s">
        <v>619</v>
      </c>
      <c r="BY1233" s="2" t="s">
        <v>245</v>
      </c>
      <c r="BZ1233" s="2" t="s">
        <v>232</v>
      </c>
      <c r="CA1233" s="2" t="s">
        <v>626</v>
      </c>
      <c r="CB1233" s="2" t="s">
        <v>2953</v>
      </c>
      <c r="CC1233" s="2" t="s">
        <v>248</v>
      </c>
      <c r="CD1233" s="2" t="s">
        <v>248</v>
      </c>
      <c r="CE1233" s="2" t="s">
        <v>235</v>
      </c>
      <c r="CF1233" s="4">
        <v>731</v>
      </c>
      <c r="CG1233" s="4"/>
      <c r="CH1233" s="4"/>
      <c r="CI1233" s="4">
        <v>397</v>
      </c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>
        <v>1173</v>
      </c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>
        <v>1135</v>
      </c>
      <c r="GE1233" s="4">
        <v>1121</v>
      </c>
      <c r="GF1233" s="4">
        <v>1114</v>
      </c>
      <c r="GG1233" s="4">
        <v>1106</v>
      </c>
      <c r="GH1233" s="4">
        <v>1098</v>
      </c>
      <c r="GI1233" s="4">
        <v>1090</v>
      </c>
      <c r="GJ1233" s="4">
        <v>1081</v>
      </c>
      <c r="GK1233" s="4">
        <v>1074</v>
      </c>
      <c r="GL1233" s="4">
        <v>1064</v>
      </c>
      <c r="GM1233" s="4">
        <v>1003</v>
      </c>
      <c r="GN1233" s="4">
        <v>965</v>
      </c>
      <c r="GO1233" s="4">
        <v>923</v>
      </c>
      <c r="GP1233" s="4">
        <v>1977</v>
      </c>
      <c r="GQ1233" s="4">
        <v>1955</v>
      </c>
      <c r="GR1233" s="4">
        <v>1940</v>
      </c>
      <c r="GS1233" s="4">
        <v>1927</v>
      </c>
      <c r="GT1233" s="4">
        <v>1911</v>
      </c>
      <c r="GU1233" s="4">
        <v>1903</v>
      </c>
      <c r="GV1233" s="4">
        <v>1895</v>
      </c>
      <c r="GW1233" s="4">
        <v>1888</v>
      </c>
      <c r="GX1233" s="4">
        <v>1881</v>
      </c>
      <c r="GY1233" s="4">
        <v>1860</v>
      </c>
      <c r="GZ1233" s="4">
        <v>1854</v>
      </c>
      <c r="HA1233" s="4">
        <v>1847</v>
      </c>
      <c r="HB1233" s="4">
        <v>1839</v>
      </c>
      <c r="HC1233" s="4">
        <v>1828</v>
      </c>
      <c r="HD1233" s="19">
        <v>245.1</v>
      </c>
      <c r="HE1233" s="19">
        <v>250.2</v>
      </c>
      <c r="HF1233" s="19">
        <v>249.3</v>
      </c>
      <c r="HG1233" s="19">
        <v>248.3</v>
      </c>
      <c r="HH1233" s="19">
        <v>241</v>
      </c>
      <c r="HI1233" s="19">
        <v>83.9</v>
      </c>
      <c r="HJ1233" s="19">
        <v>62.8</v>
      </c>
      <c r="HK1233" s="19">
        <v>49.5</v>
      </c>
      <c r="HL1233" s="19">
        <v>27.7</v>
      </c>
      <c r="HM1233" s="19">
        <v>30.4</v>
      </c>
      <c r="HN1233" s="19">
        <v>33.8</v>
      </c>
      <c r="HO1233" s="19">
        <v>38.6</v>
      </c>
      <c r="HP1233" s="19">
        <v>146.7</v>
      </c>
      <c r="HQ1233" s="19">
        <v>160.9</v>
      </c>
      <c r="HR1233" s="19">
        <v>167</v>
      </c>
      <c r="HS1233" s="19">
        <v>272.7</v>
      </c>
      <c r="HT1233" s="19">
        <v>303.4</v>
      </c>
      <c r="HU1233" s="19">
        <v>250.4</v>
      </c>
      <c r="HV1233" s="19">
        <v>258.2</v>
      </c>
      <c r="HW1233" s="19">
        <v>257.4</v>
      </c>
      <c r="HX1233" s="19">
        <v>256.5</v>
      </c>
      <c r="HY1233" s="19">
        <v>278.6</v>
      </c>
      <c r="HZ1233" s="19">
        <v>277.7</v>
      </c>
      <c r="IA1233" s="19">
        <v>276.8</v>
      </c>
      <c r="IB1233" s="19">
        <v>275.8</v>
      </c>
      <c r="IC1233" s="19">
        <v>292.4</v>
      </c>
    </row>
    <row r="1234">
      <c r="A1234" s="2" t="s">
        <v>4878</v>
      </c>
      <c r="B1234" s="2" t="s">
        <v>905</v>
      </c>
      <c r="C1234" s="2" t="s">
        <v>606</v>
      </c>
      <c r="D1234" s="2" t="s">
        <v>361</v>
      </c>
      <c r="E1234" s="2" t="s">
        <v>924</v>
      </c>
      <c r="F1234" s="2" t="s">
        <v>4868</v>
      </c>
      <c r="G1234" s="2" t="s">
        <v>4869</v>
      </c>
      <c r="H1234" s="2" t="s">
        <v>4870</v>
      </c>
      <c r="I1234" s="2" t="s">
        <v>4871</v>
      </c>
      <c r="J1234" s="2" t="s">
        <v>877</v>
      </c>
      <c r="K1234" s="2" t="s">
        <v>1196</v>
      </c>
      <c r="L1234" s="3">
        <v>27.1</v>
      </c>
      <c r="M1234" s="3">
        <v>28.46</v>
      </c>
      <c r="N1234" s="3">
        <v>54.99</v>
      </c>
      <c r="O1234" s="2" t="s">
        <v>232</v>
      </c>
      <c r="P1234" s="2" t="s">
        <v>233</v>
      </c>
      <c r="Q1234" s="2" t="s">
        <v>234</v>
      </c>
      <c r="R1234" s="2" t="s">
        <v>235</v>
      </c>
      <c r="S1234" s="2" t="s">
        <v>4879</v>
      </c>
      <c r="T1234" s="2" t="s">
        <v>879</v>
      </c>
      <c r="U1234" s="2" t="s">
        <v>278</v>
      </c>
      <c r="V1234" s="2" t="s">
        <v>863</v>
      </c>
      <c r="W1234" s="2" t="s">
        <v>682</v>
      </c>
      <c r="X1234" s="2" t="s">
        <v>239</v>
      </c>
      <c r="Y1234" s="2" t="s">
        <v>4873</v>
      </c>
      <c r="Z1234" s="4">
        <v>559</v>
      </c>
      <c r="AA1234" s="4">
        <f>=ROUNDDOWN(199.642857142857,0)</f>
      </c>
      <c r="AB1234" s="5">
        <v>2.8</v>
      </c>
      <c r="AC1234" s="2" t="s">
        <v>189</v>
      </c>
      <c r="AD1234" s="4">
        <v>51</v>
      </c>
      <c r="AE1234" s="4">
        <v>51</v>
      </c>
      <c r="AF1234" s="6">
        <v>65</v>
      </c>
      <c r="AG1234" s="6">
        <v>48</v>
      </c>
      <c r="AH1234" s="7">
        <v>1</v>
      </c>
      <c r="AI1234" s="4"/>
      <c r="AJ1234" s="4">
        <f>=ROUNDDOWN({0},0)</f>
      </c>
      <c r="AK1234" s="5"/>
      <c r="AL1234" s="2" t="s">
        <v>235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235</v>
      </c>
      <c r="AW1234" s="8" t="s">
        <v>235</v>
      </c>
      <c r="AX1234" s="4" t="s">
        <v>235</v>
      </c>
      <c r="AY1234" s="8" t="s">
        <v>235</v>
      </c>
      <c r="AZ1234" s="7" t="s">
        <v>235</v>
      </c>
      <c r="BA1234" s="7" t="s">
        <v>235</v>
      </c>
      <c r="BB1234" s="7"/>
      <c r="BC1234" s="4" t="s">
        <v>235</v>
      </c>
      <c r="BD1234" s="8" t="s">
        <v>235</v>
      </c>
      <c r="BE1234" s="4" t="s">
        <v>235</v>
      </c>
      <c r="BF1234" s="8" t="s">
        <v>235</v>
      </c>
      <c r="BG1234" s="7" t="s">
        <v>235</v>
      </c>
      <c r="BH1234" s="7" t="s">
        <v>235</v>
      </c>
      <c r="BI1234" s="7"/>
      <c r="BJ1234" s="4">
        <v>10</v>
      </c>
      <c r="BK1234" s="8">
        <v>299.99</v>
      </c>
      <c r="BL1234" s="2" t="s">
        <v>4880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4875</v>
      </c>
      <c r="BV1234" s="2" t="s">
        <v>243</v>
      </c>
      <c r="BW1234" s="2" t="s">
        <v>235</v>
      </c>
      <c r="BX1234" s="2" t="s">
        <v>619</v>
      </c>
      <c r="BY1234" s="2" t="s">
        <v>245</v>
      </c>
      <c r="BZ1234" s="2" t="s">
        <v>232</v>
      </c>
      <c r="CA1234" s="2" t="s">
        <v>626</v>
      </c>
      <c r="CB1234" s="2" t="s">
        <v>3090</v>
      </c>
      <c r="CC1234" s="2" t="s">
        <v>248</v>
      </c>
      <c r="CD1234" s="2" t="s">
        <v>248</v>
      </c>
      <c r="CE1234" s="2" t="s">
        <v>235</v>
      </c>
      <c r="CF1234" s="4">
        <v>73</v>
      </c>
      <c r="CG1234" s="4"/>
      <c r="CH1234" s="4"/>
      <c r="CI1234" s="4">
        <v>486</v>
      </c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>
        <v>51</v>
      </c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>
        <v>560</v>
      </c>
      <c r="GE1234" s="4">
        <v>554</v>
      </c>
      <c r="GF1234" s="4">
        <v>551</v>
      </c>
      <c r="GG1234" s="4">
        <v>548</v>
      </c>
      <c r="GH1234" s="4">
        <v>545</v>
      </c>
      <c r="GI1234" s="4">
        <v>541</v>
      </c>
      <c r="GJ1234" s="4">
        <v>536</v>
      </c>
      <c r="GK1234" s="4">
        <v>532</v>
      </c>
      <c r="GL1234" s="4">
        <v>529</v>
      </c>
      <c r="GM1234" s="4">
        <v>525</v>
      </c>
      <c r="GN1234" s="4">
        <v>521</v>
      </c>
      <c r="GO1234" s="4">
        <v>516</v>
      </c>
      <c r="GP1234" s="4">
        <v>558</v>
      </c>
      <c r="GQ1234" s="4">
        <v>551</v>
      </c>
      <c r="GR1234" s="4">
        <v>546</v>
      </c>
      <c r="GS1234" s="4">
        <v>542</v>
      </c>
      <c r="GT1234" s="4">
        <v>538</v>
      </c>
      <c r="GU1234" s="4">
        <v>534</v>
      </c>
      <c r="GV1234" s="4">
        <v>531</v>
      </c>
      <c r="GW1234" s="4">
        <v>528</v>
      </c>
      <c r="GX1234" s="4">
        <v>525</v>
      </c>
      <c r="GY1234" s="4">
        <v>522</v>
      </c>
      <c r="GZ1234" s="4">
        <v>520</v>
      </c>
      <c r="HA1234" s="4">
        <v>517</v>
      </c>
      <c r="HB1234" s="4">
        <v>514</v>
      </c>
      <c r="HC1234" s="4">
        <v>511</v>
      </c>
      <c r="HD1234" s="19">
        <v>12.2</v>
      </c>
      <c r="HE1234" s="19">
        <v>11.5</v>
      </c>
      <c r="HF1234" s="19">
        <v>11</v>
      </c>
      <c r="HG1234" s="19">
        <v>253</v>
      </c>
      <c r="HH1234" s="19">
        <v>252.5</v>
      </c>
      <c r="HI1234" s="19">
        <v>251.5</v>
      </c>
      <c r="HJ1234" s="19">
        <v>250.4</v>
      </c>
      <c r="HK1234" s="19">
        <v>249.4</v>
      </c>
      <c r="HL1234" s="19">
        <v>246.5</v>
      </c>
      <c r="HM1234" s="19">
        <v>244.5</v>
      </c>
      <c r="HN1234" s="19">
        <v>243</v>
      </c>
      <c r="HO1234" s="19">
        <v>3.2</v>
      </c>
      <c r="HP1234" s="19">
        <v>8.2</v>
      </c>
      <c r="HQ1234" s="19">
        <v>9.4</v>
      </c>
      <c r="HR1234" s="19">
        <v>8.8</v>
      </c>
      <c r="HS1234" s="19">
        <v>8.3</v>
      </c>
      <c r="HT1234" s="19">
        <v>10.4</v>
      </c>
      <c r="HU1234" s="19">
        <v>9.7</v>
      </c>
      <c r="HV1234" s="19">
        <v>9.2</v>
      </c>
      <c r="HW1234" s="19">
        <v>8.7</v>
      </c>
      <c r="HX1234" s="19">
        <v>8.2</v>
      </c>
      <c r="HY1234" s="19">
        <v>7.7</v>
      </c>
      <c r="HZ1234" s="19">
        <v>7.4</v>
      </c>
      <c r="IA1234" s="19">
        <v>6.9</v>
      </c>
      <c r="IB1234" s="19">
        <v>6.4</v>
      </c>
      <c r="IC1234" s="19">
        <v>5.9</v>
      </c>
    </row>
    <row r="1235">
      <c r="A1235" s="2" t="s">
        <v>4881</v>
      </c>
      <c r="B1235" s="2" t="s">
        <v>905</v>
      </c>
      <c r="C1235" s="2" t="s">
        <v>606</v>
      </c>
      <c r="D1235" s="2" t="s">
        <v>361</v>
      </c>
      <c r="E1235" s="2" t="s">
        <v>924</v>
      </c>
      <c r="F1235" s="2" t="s">
        <v>4868</v>
      </c>
      <c r="G1235" s="2" t="s">
        <v>4869</v>
      </c>
      <c r="H1235" s="2" t="s">
        <v>4870</v>
      </c>
      <c r="I1235" s="2" t="s">
        <v>4871</v>
      </c>
      <c r="J1235" s="2" t="s">
        <v>365</v>
      </c>
      <c r="K1235" s="2" t="s">
        <v>1196</v>
      </c>
      <c r="L1235" s="3">
        <v>32.37</v>
      </c>
      <c r="M1235" s="3">
        <v>33.99</v>
      </c>
      <c r="N1235" s="3">
        <v>69.99</v>
      </c>
      <c r="O1235" s="2" t="s">
        <v>232</v>
      </c>
      <c r="P1235" s="2" t="s">
        <v>336</v>
      </c>
      <c r="Q1235" s="2" t="s">
        <v>234</v>
      </c>
      <c r="R1235" s="2" t="s">
        <v>235</v>
      </c>
      <c r="S1235" s="2" t="s">
        <v>4879</v>
      </c>
      <c r="T1235" s="2" t="s">
        <v>879</v>
      </c>
      <c r="U1235" s="2" t="s">
        <v>552</v>
      </c>
      <c r="V1235" s="2" t="s">
        <v>863</v>
      </c>
      <c r="W1235" s="2" t="s">
        <v>682</v>
      </c>
      <c r="X1235" s="2" t="s">
        <v>239</v>
      </c>
      <c r="Y1235" s="2" t="s">
        <v>2723</v>
      </c>
      <c r="Z1235" s="4">
        <v>739</v>
      </c>
      <c r="AA1235" s="4">
        <f>=ROUNDDOWN(95.974025974026,0)</f>
      </c>
      <c r="AB1235" s="5">
        <v>7.7</v>
      </c>
      <c r="AC1235" s="2" t="s">
        <v>189</v>
      </c>
      <c r="AD1235" s="4">
        <v>336</v>
      </c>
      <c r="AE1235" s="4">
        <v>336</v>
      </c>
      <c r="AF1235" s="6">
        <v>65</v>
      </c>
      <c r="AG1235" s="6">
        <v>48</v>
      </c>
      <c r="AH1235" s="7">
        <v>1</v>
      </c>
      <c r="AI1235" s="4"/>
      <c r="AJ1235" s="4">
        <f>=ROUNDDOWN({0},0)</f>
      </c>
      <c r="AK1235" s="5"/>
      <c r="AL1235" s="2" t="s">
        <v>235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235</v>
      </c>
      <c r="AW1235" s="8" t="s">
        <v>235</v>
      </c>
      <c r="AX1235" s="4" t="s">
        <v>235</v>
      </c>
      <c r="AY1235" s="8" t="s">
        <v>235</v>
      </c>
      <c r="AZ1235" s="7" t="s">
        <v>235</v>
      </c>
      <c r="BA1235" s="7" t="s">
        <v>235</v>
      </c>
      <c r="BB1235" s="7"/>
      <c r="BC1235" s="4" t="s">
        <v>235</v>
      </c>
      <c r="BD1235" s="8" t="s">
        <v>235</v>
      </c>
      <c r="BE1235" s="4" t="s">
        <v>235</v>
      </c>
      <c r="BF1235" s="8" t="s">
        <v>235</v>
      </c>
      <c r="BG1235" s="7" t="s">
        <v>235</v>
      </c>
      <c r="BH1235" s="7" t="s">
        <v>235</v>
      </c>
      <c r="BI1235" s="7"/>
      <c r="BJ1235" s="4">
        <v>45</v>
      </c>
      <c r="BK1235" s="8">
        <v>1504.38</v>
      </c>
      <c r="BL1235" s="2" t="s">
        <v>4882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4875</v>
      </c>
      <c r="BV1235" s="2" t="s">
        <v>243</v>
      </c>
      <c r="BW1235" s="2" t="s">
        <v>235</v>
      </c>
      <c r="BX1235" s="2" t="s">
        <v>619</v>
      </c>
      <c r="BY1235" s="2" t="s">
        <v>245</v>
      </c>
      <c r="BZ1235" s="2" t="s">
        <v>232</v>
      </c>
      <c r="CA1235" s="2" t="s">
        <v>626</v>
      </c>
      <c r="CB1235" s="2" t="s">
        <v>620</v>
      </c>
      <c r="CC1235" s="2" t="s">
        <v>248</v>
      </c>
      <c r="CD1235" s="2" t="s">
        <v>248</v>
      </c>
      <c r="CE1235" s="2" t="s">
        <v>235</v>
      </c>
      <c r="CF1235" s="4">
        <v>66</v>
      </c>
      <c r="CG1235" s="4"/>
      <c r="CH1235" s="4"/>
      <c r="CI1235" s="4">
        <v>673</v>
      </c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>
        <v>336</v>
      </c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>
        <v>742</v>
      </c>
      <c r="GE1235" s="4">
        <v>734</v>
      </c>
      <c r="GF1235" s="4">
        <v>727</v>
      </c>
      <c r="GG1235" s="4">
        <v>720</v>
      </c>
      <c r="GH1235" s="4">
        <v>714</v>
      </c>
      <c r="GI1235" s="4">
        <v>707</v>
      </c>
      <c r="GJ1235" s="4">
        <v>699</v>
      </c>
      <c r="GK1235" s="4">
        <v>693</v>
      </c>
      <c r="GL1235" s="4">
        <v>684</v>
      </c>
      <c r="GM1235" s="4">
        <v>642</v>
      </c>
      <c r="GN1235" s="4">
        <v>620</v>
      </c>
      <c r="GO1235" s="4">
        <v>593</v>
      </c>
      <c r="GP1235" s="4">
        <v>864</v>
      </c>
      <c r="GQ1235" s="4">
        <v>842</v>
      </c>
      <c r="GR1235" s="4">
        <v>814</v>
      </c>
      <c r="GS1235" s="4">
        <v>803</v>
      </c>
      <c r="GT1235" s="4">
        <v>793</v>
      </c>
      <c r="GU1235" s="4">
        <v>783</v>
      </c>
      <c r="GV1235" s="4">
        <v>776</v>
      </c>
      <c r="GW1235" s="4">
        <v>770</v>
      </c>
      <c r="GX1235" s="4">
        <v>763</v>
      </c>
      <c r="GY1235" s="4">
        <v>743</v>
      </c>
      <c r="GZ1235" s="4">
        <v>738</v>
      </c>
      <c r="HA1235" s="4">
        <v>731</v>
      </c>
      <c r="HB1235" s="4">
        <v>724</v>
      </c>
      <c r="HC1235" s="4">
        <v>714</v>
      </c>
      <c r="HD1235" s="19">
        <v>175.2</v>
      </c>
      <c r="HE1235" s="19">
        <v>174.1</v>
      </c>
      <c r="HF1235" s="19">
        <v>173.1</v>
      </c>
      <c r="HG1235" s="19">
        <v>172.1</v>
      </c>
      <c r="HH1235" s="19">
        <v>171.2</v>
      </c>
      <c r="HI1235" s="19">
        <v>68.3</v>
      </c>
      <c r="HJ1235" s="19">
        <v>35</v>
      </c>
      <c r="HK1235" s="19">
        <v>22.3</v>
      </c>
      <c r="HL1235" s="19">
        <v>11.4</v>
      </c>
      <c r="HM1235" s="19">
        <v>10.7</v>
      </c>
      <c r="HN1235" s="19">
        <v>11.5</v>
      </c>
      <c r="HO1235" s="19">
        <v>14.1</v>
      </c>
      <c r="HP1235" s="19">
        <v>58</v>
      </c>
      <c r="HQ1235" s="19">
        <v>68.2</v>
      </c>
      <c r="HR1235" s="19">
        <v>106.9</v>
      </c>
      <c r="HS1235" s="19">
        <v>151.8</v>
      </c>
      <c r="HT1235" s="19">
        <v>155.2</v>
      </c>
      <c r="HU1235" s="19">
        <v>86.3</v>
      </c>
      <c r="HV1235" s="19">
        <v>106.4</v>
      </c>
      <c r="HW1235" s="19">
        <v>105.8</v>
      </c>
      <c r="HX1235" s="19">
        <v>105</v>
      </c>
      <c r="HY1235" s="19">
        <v>147.7</v>
      </c>
      <c r="HZ1235" s="19">
        <v>147</v>
      </c>
      <c r="IA1235" s="19">
        <v>146</v>
      </c>
      <c r="IB1235" s="19">
        <v>145</v>
      </c>
      <c r="IC1235" s="19">
        <v>143.4</v>
      </c>
    </row>
    <row r="1236">
      <c r="A1236" s="2" t="s">
        <v>4883</v>
      </c>
      <c r="B1236" s="2" t="s">
        <v>905</v>
      </c>
      <c r="C1236" s="2" t="s">
        <v>606</v>
      </c>
      <c r="D1236" s="2" t="s">
        <v>361</v>
      </c>
      <c r="E1236" s="2" t="s">
        <v>924</v>
      </c>
      <c r="F1236" s="2" t="s">
        <v>4868</v>
      </c>
      <c r="G1236" s="2" t="s">
        <v>4869</v>
      </c>
      <c r="H1236" s="2" t="s">
        <v>4870</v>
      </c>
      <c r="I1236" s="2" t="s">
        <v>4871</v>
      </c>
      <c r="J1236" s="2" t="s">
        <v>372</v>
      </c>
      <c r="K1236" s="2" t="s">
        <v>1196</v>
      </c>
      <c r="L1236" s="3">
        <v>37.17</v>
      </c>
      <c r="M1236" s="3">
        <v>39.03</v>
      </c>
      <c r="N1236" s="3">
        <v>79.99</v>
      </c>
      <c r="O1236" s="2" t="s">
        <v>232</v>
      </c>
      <c r="P1236" s="2" t="s">
        <v>336</v>
      </c>
      <c r="Q1236" s="2" t="s">
        <v>234</v>
      </c>
      <c r="R1236" s="2" t="s">
        <v>235</v>
      </c>
      <c r="S1236" s="2" t="s">
        <v>4879</v>
      </c>
      <c r="T1236" s="2" t="s">
        <v>879</v>
      </c>
      <c r="U1236" s="2" t="s">
        <v>552</v>
      </c>
      <c r="V1236" s="2" t="s">
        <v>863</v>
      </c>
      <c r="W1236" s="2" t="s">
        <v>682</v>
      </c>
      <c r="X1236" s="2" t="s">
        <v>239</v>
      </c>
      <c r="Y1236" s="2" t="s">
        <v>2723</v>
      </c>
      <c r="Z1236" s="4">
        <v>1114</v>
      </c>
      <c r="AA1236" s="4">
        <f>=ROUNDDOWN(105.094339622642,0)</f>
      </c>
      <c r="AB1236" s="5">
        <v>10.6</v>
      </c>
      <c r="AC1236" s="2" t="s">
        <v>189</v>
      </c>
      <c r="AD1236" s="4">
        <v>240</v>
      </c>
      <c r="AE1236" s="4">
        <v>240</v>
      </c>
      <c r="AF1236" s="6">
        <v>65</v>
      </c>
      <c r="AG1236" s="6">
        <v>48</v>
      </c>
      <c r="AH1236" s="7">
        <v>1</v>
      </c>
      <c r="AI1236" s="4"/>
      <c r="AJ1236" s="4">
        <f>=ROUNDDOWN({0},0)</f>
      </c>
      <c r="AK1236" s="5"/>
      <c r="AL1236" s="2" t="s">
        <v>235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235</v>
      </c>
      <c r="AW1236" s="8" t="s">
        <v>235</v>
      </c>
      <c r="AX1236" s="4" t="s">
        <v>235</v>
      </c>
      <c r="AY1236" s="8" t="s">
        <v>235</v>
      </c>
      <c r="AZ1236" s="7" t="s">
        <v>235</v>
      </c>
      <c r="BA1236" s="7" t="s">
        <v>235</v>
      </c>
      <c r="BB1236" s="7"/>
      <c r="BC1236" s="4" t="s">
        <v>235</v>
      </c>
      <c r="BD1236" s="8" t="s">
        <v>235</v>
      </c>
      <c r="BE1236" s="4" t="s">
        <v>235</v>
      </c>
      <c r="BF1236" s="8" t="s">
        <v>235</v>
      </c>
      <c r="BG1236" s="7" t="s">
        <v>235</v>
      </c>
      <c r="BH1236" s="7" t="s">
        <v>235</v>
      </c>
      <c r="BI1236" s="7"/>
      <c r="BJ1236" s="4">
        <v>51</v>
      </c>
      <c r="BK1236" s="8">
        <v>2101.39</v>
      </c>
      <c r="BL1236" s="2" t="s">
        <v>4884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4875</v>
      </c>
      <c r="BV1236" s="2" t="s">
        <v>243</v>
      </c>
      <c r="BW1236" s="2" t="s">
        <v>235</v>
      </c>
      <c r="BX1236" s="2" t="s">
        <v>619</v>
      </c>
      <c r="BY1236" s="2" t="s">
        <v>245</v>
      </c>
      <c r="BZ1236" s="2" t="s">
        <v>232</v>
      </c>
      <c r="CA1236" s="2" t="s">
        <v>626</v>
      </c>
      <c r="CB1236" s="2" t="s">
        <v>798</v>
      </c>
      <c r="CC1236" s="2" t="s">
        <v>248</v>
      </c>
      <c r="CD1236" s="2" t="s">
        <v>248</v>
      </c>
      <c r="CE1236" s="2" t="s">
        <v>235</v>
      </c>
      <c r="CF1236" s="4">
        <v>582</v>
      </c>
      <c r="CG1236" s="4"/>
      <c r="CH1236" s="4"/>
      <c r="CI1236" s="4">
        <v>532</v>
      </c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>
        <v>240</v>
      </c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>
        <v>1118</v>
      </c>
      <c r="GE1236" s="4">
        <v>1104</v>
      </c>
      <c r="GF1236" s="4">
        <v>1093</v>
      </c>
      <c r="GG1236" s="4">
        <v>1083</v>
      </c>
      <c r="GH1236" s="4">
        <v>1072</v>
      </c>
      <c r="GI1236" s="4">
        <v>1061</v>
      </c>
      <c r="GJ1236" s="4">
        <v>1049</v>
      </c>
      <c r="GK1236" s="4">
        <v>1040</v>
      </c>
      <c r="GL1236" s="4">
        <v>1033</v>
      </c>
      <c r="GM1236" s="4">
        <v>988</v>
      </c>
      <c r="GN1236" s="4">
        <v>960</v>
      </c>
      <c r="GO1236" s="4">
        <v>930</v>
      </c>
      <c r="GP1236" s="4">
        <v>1089</v>
      </c>
      <c r="GQ1236" s="4">
        <v>1056</v>
      </c>
      <c r="GR1236" s="4">
        <v>1033</v>
      </c>
      <c r="GS1236" s="4">
        <v>1014</v>
      </c>
      <c r="GT1236" s="4">
        <v>1001</v>
      </c>
      <c r="GU1236" s="4">
        <v>988</v>
      </c>
      <c r="GV1236" s="4">
        <v>977</v>
      </c>
      <c r="GW1236" s="4">
        <v>968</v>
      </c>
      <c r="GX1236" s="4">
        <v>958</v>
      </c>
      <c r="GY1236" s="4">
        <v>931</v>
      </c>
      <c r="GZ1236" s="4">
        <v>924</v>
      </c>
      <c r="HA1236" s="4">
        <v>914</v>
      </c>
      <c r="HB1236" s="4">
        <v>903</v>
      </c>
      <c r="HC1236" s="4">
        <v>890</v>
      </c>
      <c r="HD1236" s="19">
        <v>162.3</v>
      </c>
      <c r="HE1236" s="19">
        <v>164.4</v>
      </c>
      <c r="HF1236" s="19">
        <v>163.4</v>
      </c>
      <c r="HG1236" s="19">
        <v>162.5</v>
      </c>
      <c r="HH1236" s="19">
        <v>165.3</v>
      </c>
      <c r="HI1236" s="19">
        <v>84.5</v>
      </c>
      <c r="HJ1236" s="19">
        <v>67.6</v>
      </c>
      <c r="HK1236" s="19">
        <v>55.6</v>
      </c>
      <c r="HL1236" s="19">
        <v>30.9</v>
      </c>
      <c r="HM1236" s="19">
        <v>32.4</v>
      </c>
      <c r="HN1236" s="19">
        <v>34.8</v>
      </c>
      <c r="HO1236" s="19">
        <v>37.9</v>
      </c>
      <c r="HP1236" s="19">
        <v>76.4</v>
      </c>
      <c r="HQ1236" s="19">
        <v>99.1</v>
      </c>
      <c r="HR1236" s="19">
        <v>139.7</v>
      </c>
      <c r="HS1236" s="19">
        <v>142.7</v>
      </c>
      <c r="HT1236" s="19">
        <v>144.7</v>
      </c>
      <c r="HU1236" s="19">
        <v>100.2</v>
      </c>
      <c r="HV1236" s="19">
        <v>101.8</v>
      </c>
      <c r="HW1236" s="19">
        <v>98.8</v>
      </c>
      <c r="HX1236" s="19">
        <v>98.1</v>
      </c>
      <c r="HY1236" s="19">
        <v>141.5</v>
      </c>
      <c r="HZ1236" s="19">
        <v>137.5</v>
      </c>
      <c r="IA1236" s="19">
        <v>136.6</v>
      </c>
      <c r="IB1236" s="19">
        <v>138.8</v>
      </c>
      <c r="IC1236" s="19">
        <v>137.4</v>
      </c>
    </row>
    <row r="1237">
      <c r="A1237" s="2" t="s">
        <v>4885</v>
      </c>
      <c r="B1237" s="2" t="s">
        <v>905</v>
      </c>
      <c r="C1237" s="2" t="s">
        <v>606</v>
      </c>
      <c r="D1237" s="2" t="s">
        <v>361</v>
      </c>
      <c r="E1237" s="2" t="s">
        <v>924</v>
      </c>
      <c r="F1237" s="2" t="s">
        <v>4868</v>
      </c>
      <c r="G1237" s="2" t="s">
        <v>4869</v>
      </c>
      <c r="H1237" s="2" t="s">
        <v>4870</v>
      </c>
      <c r="I1237" s="2" t="s">
        <v>4871</v>
      </c>
      <c r="J1237" s="2" t="s">
        <v>877</v>
      </c>
      <c r="K1237" s="2" t="s">
        <v>287</v>
      </c>
      <c r="L1237" s="3">
        <v>27.1</v>
      </c>
      <c r="M1237" s="3">
        <v>28.46</v>
      </c>
      <c r="N1237" s="3">
        <v>54.99</v>
      </c>
      <c r="O1237" s="2" t="s">
        <v>232</v>
      </c>
      <c r="P1237" s="2" t="s">
        <v>233</v>
      </c>
      <c r="Q1237" s="2" t="s">
        <v>234</v>
      </c>
      <c r="R1237" s="2" t="s">
        <v>235</v>
      </c>
      <c r="S1237" s="2" t="s">
        <v>4886</v>
      </c>
      <c r="T1237" s="2" t="s">
        <v>879</v>
      </c>
      <c r="U1237" s="2" t="s">
        <v>278</v>
      </c>
      <c r="V1237" s="2" t="s">
        <v>863</v>
      </c>
      <c r="W1237" s="2" t="s">
        <v>682</v>
      </c>
      <c r="X1237" s="2" t="s">
        <v>239</v>
      </c>
      <c r="Y1237" s="2" t="s">
        <v>4873</v>
      </c>
      <c r="Z1237" s="4">
        <v>1039</v>
      </c>
      <c r="AA1237" s="4">
        <f>=ROUNDDOWN(150.579710144928,0)</f>
      </c>
      <c r="AB1237" s="5">
        <v>6.9</v>
      </c>
      <c r="AC1237" s="2" t="s">
        <v>189</v>
      </c>
      <c r="AD1237" s="4">
        <v>633</v>
      </c>
      <c r="AE1237" s="4">
        <v>633</v>
      </c>
      <c r="AF1237" s="6">
        <v>65</v>
      </c>
      <c r="AG1237" s="6">
        <v>48</v>
      </c>
      <c r="AH1237" s="7">
        <v>1</v>
      </c>
      <c r="AI1237" s="4"/>
      <c r="AJ1237" s="4">
        <f>=ROUNDDOWN({0},0)</f>
      </c>
      <c r="AK1237" s="5"/>
      <c r="AL1237" s="2" t="s">
        <v>235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235</v>
      </c>
      <c r="AW1237" s="8" t="s">
        <v>235</v>
      </c>
      <c r="AX1237" s="4" t="s">
        <v>235</v>
      </c>
      <c r="AY1237" s="8" t="s">
        <v>235</v>
      </c>
      <c r="AZ1237" s="7" t="s">
        <v>235</v>
      </c>
      <c r="BA1237" s="7" t="s">
        <v>235</v>
      </c>
      <c r="BB1237" s="7"/>
      <c r="BC1237" s="4" t="s">
        <v>235</v>
      </c>
      <c r="BD1237" s="8" t="s">
        <v>235</v>
      </c>
      <c r="BE1237" s="4" t="s">
        <v>235</v>
      </c>
      <c r="BF1237" s="8" t="s">
        <v>235</v>
      </c>
      <c r="BG1237" s="7" t="s">
        <v>235</v>
      </c>
      <c r="BH1237" s="7" t="s">
        <v>235</v>
      </c>
      <c r="BI1237" s="7"/>
      <c r="BJ1237" s="4">
        <v>32</v>
      </c>
      <c r="BK1237" s="8">
        <v>1100.4</v>
      </c>
      <c r="BL1237" s="2" t="s">
        <v>4887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4875</v>
      </c>
      <c r="BV1237" s="2" t="s">
        <v>243</v>
      </c>
      <c r="BW1237" s="2" t="s">
        <v>235</v>
      </c>
      <c r="BX1237" s="2" t="s">
        <v>619</v>
      </c>
      <c r="BY1237" s="2" t="s">
        <v>245</v>
      </c>
      <c r="BZ1237" s="2" t="s">
        <v>232</v>
      </c>
      <c r="CA1237" s="2" t="s">
        <v>626</v>
      </c>
      <c r="CB1237" s="2" t="s">
        <v>3090</v>
      </c>
      <c r="CC1237" s="2" t="s">
        <v>248</v>
      </c>
      <c r="CD1237" s="2" t="s">
        <v>248</v>
      </c>
      <c r="CE1237" s="2" t="s">
        <v>235</v>
      </c>
      <c r="CF1237" s="4">
        <v>299</v>
      </c>
      <c r="CG1237" s="4"/>
      <c r="CH1237" s="4"/>
      <c r="CI1237" s="4">
        <v>740</v>
      </c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>
        <v>633</v>
      </c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>
        <v>1039</v>
      </c>
      <c r="GE1237" s="4">
        <v>1030</v>
      </c>
      <c r="GF1237" s="4">
        <v>1024</v>
      </c>
      <c r="GG1237" s="4">
        <v>1018</v>
      </c>
      <c r="GH1237" s="4">
        <v>1013</v>
      </c>
      <c r="GI1237" s="4">
        <v>1007</v>
      </c>
      <c r="GJ1237" s="4">
        <v>998</v>
      </c>
      <c r="GK1237" s="4">
        <v>991</v>
      </c>
      <c r="GL1237" s="4">
        <v>981</v>
      </c>
      <c r="GM1237" s="4">
        <v>976</v>
      </c>
      <c r="GN1237" s="4">
        <v>971</v>
      </c>
      <c r="GO1237" s="4">
        <v>965</v>
      </c>
      <c r="GP1237" s="4">
        <v>1583</v>
      </c>
      <c r="GQ1237" s="4">
        <v>1566</v>
      </c>
      <c r="GR1237" s="4">
        <v>1553</v>
      </c>
      <c r="GS1237" s="4">
        <v>1542</v>
      </c>
      <c r="GT1237" s="4">
        <v>1529</v>
      </c>
      <c r="GU1237" s="4">
        <v>1520</v>
      </c>
      <c r="GV1237" s="4">
        <v>1512</v>
      </c>
      <c r="GW1237" s="4">
        <v>1506</v>
      </c>
      <c r="GX1237" s="4">
        <v>1499</v>
      </c>
      <c r="GY1237" s="4">
        <v>1483</v>
      </c>
      <c r="GZ1237" s="4">
        <v>1477</v>
      </c>
      <c r="HA1237" s="4">
        <v>1470</v>
      </c>
      <c r="HB1237" s="4">
        <v>1463</v>
      </c>
      <c r="HC1237" s="4">
        <v>1452</v>
      </c>
      <c r="HD1237" s="19">
        <v>399.9</v>
      </c>
      <c r="HE1237" s="19">
        <v>398.2</v>
      </c>
      <c r="HF1237" s="19">
        <v>397.2</v>
      </c>
      <c r="HG1237" s="19">
        <v>212.2</v>
      </c>
      <c r="HH1237" s="19">
        <v>206.9</v>
      </c>
      <c r="HI1237" s="19">
        <v>206.3</v>
      </c>
      <c r="HJ1237" s="19">
        <v>209.6</v>
      </c>
      <c r="HK1237" s="19">
        <v>208.6</v>
      </c>
      <c r="HL1237" s="19">
        <v>202.9</v>
      </c>
      <c r="HM1237" s="19">
        <v>195.4</v>
      </c>
      <c r="HN1237" s="19">
        <v>192.5</v>
      </c>
      <c r="HO1237" s="19">
        <v>191.1</v>
      </c>
      <c r="HP1237" s="19">
        <v>216.2</v>
      </c>
      <c r="HQ1237" s="19">
        <v>222.1</v>
      </c>
      <c r="HR1237" s="19">
        <v>225.7</v>
      </c>
      <c r="HS1237" s="19">
        <v>409.2</v>
      </c>
      <c r="HT1237" s="19">
        <v>424.5</v>
      </c>
      <c r="HU1237" s="19">
        <v>228.5</v>
      </c>
      <c r="HV1237" s="19">
        <v>235</v>
      </c>
      <c r="HW1237" s="19">
        <v>234.4</v>
      </c>
      <c r="HX1237" s="19">
        <v>233.7</v>
      </c>
      <c r="HY1237" s="19">
        <v>417.4</v>
      </c>
      <c r="HZ1237" s="19">
        <v>407.2</v>
      </c>
      <c r="IA1237" s="19">
        <v>406.3</v>
      </c>
      <c r="IB1237" s="19">
        <v>405.4</v>
      </c>
      <c r="IC1237" s="19">
        <v>412.7</v>
      </c>
    </row>
    <row r="1238">
      <c r="A1238" s="2" t="s">
        <v>4888</v>
      </c>
      <c r="B1238" s="2" t="s">
        <v>905</v>
      </c>
      <c r="C1238" s="2" t="s">
        <v>606</v>
      </c>
      <c r="D1238" s="2" t="s">
        <v>361</v>
      </c>
      <c r="E1238" s="2" t="s">
        <v>924</v>
      </c>
      <c r="F1238" s="2" t="s">
        <v>4868</v>
      </c>
      <c r="G1238" s="2" t="s">
        <v>4869</v>
      </c>
      <c r="H1238" s="2" t="s">
        <v>4870</v>
      </c>
      <c r="I1238" s="2" t="s">
        <v>4871</v>
      </c>
      <c r="J1238" s="2" t="s">
        <v>365</v>
      </c>
      <c r="K1238" s="2" t="s">
        <v>287</v>
      </c>
      <c r="L1238" s="3">
        <v>32.37</v>
      </c>
      <c r="M1238" s="3">
        <v>33.99</v>
      </c>
      <c r="N1238" s="3">
        <v>69.99</v>
      </c>
      <c r="O1238" s="2" t="s">
        <v>232</v>
      </c>
      <c r="P1238" s="2" t="s">
        <v>336</v>
      </c>
      <c r="Q1238" s="2" t="s">
        <v>234</v>
      </c>
      <c r="R1238" s="2" t="s">
        <v>235</v>
      </c>
      <c r="S1238" s="2" t="s">
        <v>4886</v>
      </c>
      <c r="T1238" s="2" t="s">
        <v>879</v>
      </c>
      <c r="U1238" s="2" t="s">
        <v>552</v>
      </c>
      <c r="V1238" s="2" t="s">
        <v>863</v>
      </c>
      <c r="W1238" s="2" t="s">
        <v>682</v>
      </c>
      <c r="X1238" s="2" t="s">
        <v>239</v>
      </c>
      <c r="Y1238" s="2" t="s">
        <v>4873</v>
      </c>
      <c r="Z1238" s="4">
        <v>2299</v>
      </c>
      <c r="AA1238" s="4">
        <f>=ROUNDDOWN(359.21875,0)</f>
      </c>
      <c r="AB1238" s="5">
        <v>6.4</v>
      </c>
      <c r="AC1238" s="2" t="s">
        <v>189</v>
      </c>
      <c r="AD1238" s="4">
        <v>981</v>
      </c>
      <c r="AE1238" s="4">
        <v>981</v>
      </c>
      <c r="AF1238" s="6">
        <v>65</v>
      </c>
      <c r="AG1238" s="6">
        <v>48</v>
      </c>
      <c r="AH1238" s="7">
        <v>1</v>
      </c>
      <c r="AI1238" s="4"/>
      <c r="AJ1238" s="4">
        <f>=ROUNDDOWN({0},0)</f>
      </c>
      <c r="AK1238" s="5"/>
      <c r="AL1238" s="2" t="s">
        <v>235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235</v>
      </c>
      <c r="AW1238" s="8" t="s">
        <v>235</v>
      </c>
      <c r="AX1238" s="4" t="s">
        <v>235</v>
      </c>
      <c r="AY1238" s="8" t="s">
        <v>235</v>
      </c>
      <c r="AZ1238" s="7" t="s">
        <v>235</v>
      </c>
      <c r="BA1238" s="7" t="s">
        <v>235</v>
      </c>
      <c r="BB1238" s="7"/>
      <c r="BC1238" s="4" t="s">
        <v>235</v>
      </c>
      <c r="BD1238" s="8" t="s">
        <v>235</v>
      </c>
      <c r="BE1238" s="4" t="s">
        <v>235</v>
      </c>
      <c r="BF1238" s="8" t="s">
        <v>235</v>
      </c>
      <c r="BG1238" s="7" t="s">
        <v>235</v>
      </c>
      <c r="BH1238" s="7" t="s">
        <v>235</v>
      </c>
      <c r="BI1238" s="7"/>
      <c r="BJ1238" s="4">
        <v>34</v>
      </c>
      <c r="BK1238" s="8">
        <v>1200.8</v>
      </c>
      <c r="BL1238" s="2" t="s">
        <v>4889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4875</v>
      </c>
      <c r="BV1238" s="2" t="s">
        <v>243</v>
      </c>
      <c r="BW1238" s="2" t="s">
        <v>235</v>
      </c>
      <c r="BX1238" s="2" t="s">
        <v>619</v>
      </c>
      <c r="BY1238" s="2" t="s">
        <v>245</v>
      </c>
      <c r="BZ1238" s="2" t="s">
        <v>232</v>
      </c>
      <c r="CA1238" s="2" t="s">
        <v>626</v>
      </c>
      <c r="CB1238" s="2" t="s">
        <v>2190</v>
      </c>
      <c r="CC1238" s="2" t="s">
        <v>248</v>
      </c>
      <c r="CD1238" s="2" t="s">
        <v>248</v>
      </c>
      <c r="CE1238" s="2" t="s">
        <v>235</v>
      </c>
      <c r="CF1238" s="4">
        <v>662</v>
      </c>
      <c r="CG1238" s="4"/>
      <c r="CH1238" s="4"/>
      <c r="CI1238" s="4">
        <v>1637</v>
      </c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>
        <v>981</v>
      </c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>
        <v>2300</v>
      </c>
      <c r="GE1238" s="4">
        <v>2294</v>
      </c>
      <c r="GF1238" s="4">
        <v>2289</v>
      </c>
      <c r="GG1238" s="4">
        <v>2284</v>
      </c>
      <c r="GH1238" s="4">
        <v>2279</v>
      </c>
      <c r="GI1238" s="4">
        <v>2274</v>
      </c>
      <c r="GJ1238" s="4">
        <v>2269</v>
      </c>
      <c r="GK1238" s="4">
        <v>2265</v>
      </c>
      <c r="GL1238" s="4">
        <v>2249</v>
      </c>
      <c r="GM1238" s="4">
        <v>2199</v>
      </c>
      <c r="GN1238" s="4">
        <v>2168</v>
      </c>
      <c r="GO1238" s="4">
        <v>2121</v>
      </c>
      <c r="GP1238" s="4">
        <v>2993</v>
      </c>
      <c r="GQ1238" s="4">
        <v>2977</v>
      </c>
      <c r="GR1238" s="4">
        <v>2967</v>
      </c>
      <c r="GS1238" s="4">
        <v>2959</v>
      </c>
      <c r="GT1238" s="4">
        <v>2934</v>
      </c>
      <c r="GU1238" s="4">
        <v>2928</v>
      </c>
      <c r="GV1238" s="4">
        <v>2923</v>
      </c>
      <c r="GW1238" s="4">
        <v>2919</v>
      </c>
      <c r="GX1238" s="4">
        <v>2914</v>
      </c>
      <c r="GY1238" s="4">
        <v>2897</v>
      </c>
      <c r="GZ1238" s="4">
        <v>2893</v>
      </c>
      <c r="HA1238" s="4">
        <v>2888</v>
      </c>
      <c r="HB1238" s="4">
        <v>2883</v>
      </c>
      <c r="HC1238" s="4">
        <v>2875</v>
      </c>
      <c r="HD1238" s="19">
        <v>901.4</v>
      </c>
      <c r="HE1238" s="19">
        <v>900.3</v>
      </c>
      <c r="HF1238" s="19">
        <v>899.3</v>
      </c>
      <c r="HG1238" s="19">
        <v>898.3</v>
      </c>
      <c r="HH1238" s="19">
        <v>472.9</v>
      </c>
      <c r="HI1238" s="19">
        <v>160.7</v>
      </c>
      <c r="HJ1238" s="19">
        <v>120.7</v>
      </c>
      <c r="HK1238" s="19">
        <v>86.8</v>
      </c>
      <c r="HL1238" s="19">
        <v>52.8</v>
      </c>
      <c r="HM1238" s="19">
        <v>61.8</v>
      </c>
      <c r="HN1238" s="19">
        <v>66</v>
      </c>
      <c r="HO1238" s="19">
        <v>90</v>
      </c>
      <c r="HP1238" s="19">
        <v>265.9</v>
      </c>
      <c r="HQ1238" s="19">
        <v>282.8</v>
      </c>
      <c r="HR1238" s="19">
        <v>282.1</v>
      </c>
      <c r="HS1238" s="19">
        <v>358.3</v>
      </c>
      <c r="HT1238" s="19">
        <v>941.7</v>
      </c>
      <c r="HU1238" s="19">
        <v>522.6</v>
      </c>
      <c r="HV1238" s="19">
        <v>522</v>
      </c>
      <c r="HW1238" s="19">
        <v>521.4</v>
      </c>
      <c r="HX1238" s="19">
        <v>520.8</v>
      </c>
      <c r="HY1238" s="19">
        <v>552.4</v>
      </c>
      <c r="HZ1238" s="19">
        <v>551.8</v>
      </c>
      <c r="IA1238" s="19">
        <v>551</v>
      </c>
      <c r="IB1238" s="19">
        <v>550.3</v>
      </c>
      <c r="IC1238" s="19">
        <v>927.9</v>
      </c>
    </row>
    <row r="1239">
      <c r="A1239" s="2" t="s">
        <v>4890</v>
      </c>
      <c r="B1239" s="2" t="s">
        <v>905</v>
      </c>
      <c r="C1239" s="2" t="s">
        <v>606</v>
      </c>
      <c r="D1239" s="2" t="s">
        <v>361</v>
      </c>
      <c r="E1239" s="2" t="s">
        <v>924</v>
      </c>
      <c r="F1239" s="2" t="s">
        <v>4868</v>
      </c>
      <c r="G1239" s="2" t="s">
        <v>4869</v>
      </c>
      <c r="H1239" s="2" t="s">
        <v>4870</v>
      </c>
      <c r="I1239" s="2" t="s">
        <v>4871</v>
      </c>
      <c r="J1239" s="2" t="s">
        <v>877</v>
      </c>
      <c r="K1239" s="2" t="s">
        <v>295</v>
      </c>
      <c r="L1239" s="3">
        <v>27.1</v>
      </c>
      <c r="M1239" s="3">
        <v>28.46</v>
      </c>
      <c r="N1239" s="3">
        <v>54.99</v>
      </c>
      <c r="O1239" s="2" t="s">
        <v>232</v>
      </c>
      <c r="P1239" s="2" t="s">
        <v>233</v>
      </c>
      <c r="Q1239" s="2" t="s">
        <v>234</v>
      </c>
      <c r="R1239" s="2" t="s">
        <v>235</v>
      </c>
      <c r="S1239" s="2" t="s">
        <v>4891</v>
      </c>
      <c r="T1239" s="2" t="s">
        <v>879</v>
      </c>
      <c r="U1239" s="2" t="s">
        <v>278</v>
      </c>
      <c r="V1239" s="2" t="s">
        <v>863</v>
      </c>
      <c r="W1239" s="2" t="s">
        <v>682</v>
      </c>
      <c r="X1239" s="2" t="s">
        <v>239</v>
      </c>
      <c r="Y1239" s="2" t="s">
        <v>4873</v>
      </c>
      <c r="Z1239" s="4">
        <v>930</v>
      </c>
      <c r="AA1239" s="4">
        <f>=ROUNDDOWN(281.818181818182,0)</f>
      </c>
      <c r="AB1239" s="5">
        <v>3.3</v>
      </c>
      <c r="AC1239" s="2" t="s">
        <v>189</v>
      </c>
      <c r="AD1239" s="4">
        <v>225</v>
      </c>
      <c r="AE1239" s="4">
        <v>225</v>
      </c>
      <c r="AF1239" s="6">
        <v>65</v>
      </c>
      <c r="AG1239" s="6">
        <v>48</v>
      </c>
      <c r="AH1239" s="7">
        <v>1</v>
      </c>
      <c r="AI1239" s="4"/>
      <c r="AJ1239" s="4">
        <f>=ROUNDDOWN({0},0)</f>
      </c>
      <c r="AK1239" s="5"/>
      <c r="AL1239" s="2" t="s">
        <v>235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235</v>
      </c>
      <c r="AW1239" s="8" t="s">
        <v>235</v>
      </c>
      <c r="AX1239" s="4" t="s">
        <v>235</v>
      </c>
      <c r="AY1239" s="8" t="s">
        <v>235</v>
      </c>
      <c r="AZ1239" s="7" t="s">
        <v>235</v>
      </c>
      <c r="BA1239" s="7" t="s">
        <v>235</v>
      </c>
      <c r="BB1239" s="7"/>
      <c r="BC1239" s="4" t="s">
        <v>235</v>
      </c>
      <c r="BD1239" s="8" t="s">
        <v>235</v>
      </c>
      <c r="BE1239" s="4" t="s">
        <v>235</v>
      </c>
      <c r="BF1239" s="8" t="s">
        <v>235</v>
      </c>
      <c r="BG1239" s="7" t="s">
        <v>235</v>
      </c>
      <c r="BH1239" s="7" t="s">
        <v>235</v>
      </c>
      <c r="BI1239" s="7"/>
      <c r="BJ1239" s="4">
        <v>12</v>
      </c>
      <c r="BK1239" s="8">
        <v>356.67</v>
      </c>
      <c r="BL1239" s="2" t="s">
        <v>4892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4875</v>
      </c>
      <c r="BV1239" s="2" t="s">
        <v>243</v>
      </c>
      <c r="BW1239" s="2" t="s">
        <v>235</v>
      </c>
      <c r="BX1239" s="2" t="s">
        <v>619</v>
      </c>
      <c r="BY1239" s="2" t="s">
        <v>245</v>
      </c>
      <c r="BZ1239" s="2" t="s">
        <v>232</v>
      </c>
      <c r="CA1239" s="2" t="s">
        <v>626</v>
      </c>
      <c r="CB1239" s="2" t="s">
        <v>2190</v>
      </c>
      <c r="CC1239" s="2" t="s">
        <v>248</v>
      </c>
      <c r="CD1239" s="2" t="s">
        <v>248</v>
      </c>
      <c r="CE1239" s="2" t="s">
        <v>235</v>
      </c>
      <c r="CF1239" s="4">
        <v>243</v>
      </c>
      <c r="CG1239" s="4"/>
      <c r="CH1239" s="4"/>
      <c r="CI1239" s="4">
        <v>687</v>
      </c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>
        <v>225</v>
      </c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>
        <v>935</v>
      </c>
      <c r="GE1239" s="4">
        <v>923</v>
      </c>
      <c r="GF1239" s="4">
        <v>920</v>
      </c>
      <c r="GG1239" s="4">
        <v>916</v>
      </c>
      <c r="GH1239" s="4">
        <v>912</v>
      </c>
      <c r="GI1239" s="4">
        <v>907</v>
      </c>
      <c r="GJ1239" s="4">
        <v>901</v>
      </c>
      <c r="GK1239" s="4">
        <v>896</v>
      </c>
      <c r="GL1239" s="4">
        <v>892</v>
      </c>
      <c r="GM1239" s="4">
        <v>888</v>
      </c>
      <c r="GN1239" s="4">
        <v>884</v>
      </c>
      <c r="GO1239" s="4">
        <v>879</v>
      </c>
      <c r="GP1239" s="4">
        <v>1079</v>
      </c>
      <c r="GQ1239" s="4">
        <v>1070</v>
      </c>
      <c r="GR1239" s="4">
        <v>1063</v>
      </c>
      <c r="GS1239" s="4">
        <v>1057</v>
      </c>
      <c r="GT1239" s="4">
        <v>1052</v>
      </c>
      <c r="GU1239" s="4">
        <v>1047</v>
      </c>
      <c r="GV1239" s="4">
        <v>1043</v>
      </c>
      <c r="GW1239" s="4">
        <v>1039</v>
      </c>
      <c r="GX1239" s="4">
        <v>1035</v>
      </c>
      <c r="GY1239" s="4">
        <v>1027</v>
      </c>
      <c r="GZ1239" s="4">
        <v>1024</v>
      </c>
      <c r="HA1239" s="4">
        <v>1020</v>
      </c>
      <c r="HB1239" s="4">
        <v>1016</v>
      </c>
      <c r="HC1239" s="4">
        <v>1012</v>
      </c>
      <c r="HD1239" s="19">
        <v>203.2</v>
      </c>
      <c r="HE1239" s="19">
        <v>382.9</v>
      </c>
      <c r="HF1239" s="19">
        <v>372.3</v>
      </c>
      <c r="HG1239" s="19">
        <v>371.4</v>
      </c>
      <c r="HH1239" s="19">
        <v>370.5</v>
      </c>
      <c r="HI1239" s="19">
        <v>369.5</v>
      </c>
      <c r="HJ1239" s="19">
        <v>377.2</v>
      </c>
      <c r="HK1239" s="19">
        <v>376</v>
      </c>
      <c r="HL1239" s="19">
        <v>183.1</v>
      </c>
      <c r="HM1239" s="19">
        <v>182.7</v>
      </c>
      <c r="HN1239" s="19">
        <v>124.4</v>
      </c>
      <c r="HO1239" s="19">
        <v>124</v>
      </c>
      <c r="HP1239" s="19">
        <v>208.6</v>
      </c>
      <c r="HQ1239" s="19">
        <v>217.3</v>
      </c>
      <c r="HR1239" s="19">
        <v>382.7</v>
      </c>
      <c r="HS1239" s="19">
        <v>381.2</v>
      </c>
      <c r="HT1239" s="19">
        <v>396.4</v>
      </c>
      <c r="HU1239" s="19">
        <v>379.2</v>
      </c>
      <c r="HV1239" s="19">
        <v>378.3</v>
      </c>
      <c r="HW1239" s="19">
        <v>377.4</v>
      </c>
      <c r="HX1239" s="19">
        <v>376.5</v>
      </c>
      <c r="HY1239" s="19">
        <v>390.2</v>
      </c>
      <c r="HZ1239" s="19">
        <v>389.4</v>
      </c>
      <c r="IA1239" s="19">
        <v>388.4</v>
      </c>
      <c r="IB1239" s="19">
        <v>387.4</v>
      </c>
      <c r="IC1239" s="19">
        <v>386.4</v>
      </c>
    </row>
    <row r="1240">
      <c r="A1240" s="2" t="s">
        <v>4893</v>
      </c>
      <c r="B1240" s="2" t="s">
        <v>905</v>
      </c>
      <c r="C1240" s="2" t="s">
        <v>606</v>
      </c>
      <c r="D1240" s="2" t="s">
        <v>361</v>
      </c>
      <c r="E1240" s="2" t="s">
        <v>924</v>
      </c>
      <c r="F1240" s="2" t="s">
        <v>4868</v>
      </c>
      <c r="G1240" s="2" t="s">
        <v>4869</v>
      </c>
      <c r="H1240" s="2" t="s">
        <v>4870</v>
      </c>
      <c r="I1240" s="2" t="s">
        <v>4871</v>
      </c>
      <c r="J1240" s="2" t="s">
        <v>372</v>
      </c>
      <c r="K1240" s="2" t="s">
        <v>295</v>
      </c>
      <c r="L1240" s="3">
        <v>37.17</v>
      </c>
      <c r="M1240" s="3">
        <v>39.03</v>
      </c>
      <c r="N1240" s="3">
        <v>79.99</v>
      </c>
      <c r="O1240" s="2" t="s">
        <v>232</v>
      </c>
      <c r="P1240" s="2" t="s">
        <v>336</v>
      </c>
      <c r="Q1240" s="2" t="s">
        <v>234</v>
      </c>
      <c r="R1240" s="2" t="s">
        <v>235</v>
      </c>
      <c r="S1240" s="2" t="s">
        <v>4891</v>
      </c>
      <c r="T1240" s="2" t="s">
        <v>879</v>
      </c>
      <c r="U1240" s="2" t="s">
        <v>552</v>
      </c>
      <c r="V1240" s="2" t="s">
        <v>863</v>
      </c>
      <c r="W1240" s="2" t="s">
        <v>682</v>
      </c>
      <c r="X1240" s="2" t="s">
        <v>239</v>
      </c>
      <c r="Y1240" s="2" t="s">
        <v>2723</v>
      </c>
      <c r="Z1240" s="4">
        <v>1450</v>
      </c>
      <c r="AA1240" s="4">
        <f>=ROUNDDOWN(273.584905660377,0)</f>
      </c>
      <c r="AB1240" s="5">
        <v>5.3</v>
      </c>
      <c r="AC1240" s="2" t="s">
        <v>189</v>
      </c>
      <c r="AD1240" s="4">
        <v>567</v>
      </c>
      <c r="AE1240" s="4">
        <v>567</v>
      </c>
      <c r="AF1240" s="6">
        <v>65</v>
      </c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235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235</v>
      </c>
      <c r="AW1240" s="8" t="s">
        <v>235</v>
      </c>
      <c r="AX1240" s="4" t="s">
        <v>235</v>
      </c>
      <c r="AY1240" s="8" t="s">
        <v>235</v>
      </c>
      <c r="AZ1240" s="7" t="s">
        <v>235</v>
      </c>
      <c r="BA1240" s="7" t="s">
        <v>235</v>
      </c>
      <c r="BB1240" s="7"/>
      <c r="BC1240" s="4" t="s">
        <v>235</v>
      </c>
      <c r="BD1240" s="8" t="s">
        <v>235</v>
      </c>
      <c r="BE1240" s="4" t="s">
        <v>235</v>
      </c>
      <c r="BF1240" s="8" t="s">
        <v>235</v>
      </c>
      <c r="BG1240" s="7" t="s">
        <v>235</v>
      </c>
      <c r="BH1240" s="7" t="s">
        <v>235</v>
      </c>
      <c r="BI1240" s="7"/>
      <c r="BJ1240" s="4">
        <v>18</v>
      </c>
      <c r="BK1240" s="8">
        <v>751.4</v>
      </c>
      <c r="BL1240" s="2" t="s">
        <v>4894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4875</v>
      </c>
      <c r="BV1240" s="2" t="s">
        <v>243</v>
      </c>
      <c r="BW1240" s="2" t="s">
        <v>235</v>
      </c>
      <c r="BX1240" s="2" t="s">
        <v>619</v>
      </c>
      <c r="BY1240" s="2" t="s">
        <v>245</v>
      </c>
      <c r="BZ1240" s="2" t="s">
        <v>232</v>
      </c>
      <c r="CA1240" s="2" t="s">
        <v>626</v>
      </c>
      <c r="CB1240" s="2" t="s">
        <v>3090</v>
      </c>
      <c r="CC1240" s="2" t="s">
        <v>248</v>
      </c>
      <c r="CD1240" s="2" t="s">
        <v>248</v>
      </c>
      <c r="CE1240" s="2" t="s">
        <v>235</v>
      </c>
      <c r="CF1240" s="4">
        <v>369</v>
      </c>
      <c r="CG1240" s="4"/>
      <c r="CH1240" s="4"/>
      <c r="CI1240" s="4">
        <v>1081</v>
      </c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>
        <v>567</v>
      </c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>
        <v>1455</v>
      </c>
      <c r="GE1240" s="4">
        <v>1446</v>
      </c>
      <c r="GF1240" s="4">
        <v>1441</v>
      </c>
      <c r="GG1240" s="4">
        <v>1436</v>
      </c>
      <c r="GH1240" s="4">
        <v>1431</v>
      </c>
      <c r="GI1240" s="4">
        <v>1425</v>
      </c>
      <c r="GJ1240" s="4">
        <v>1418</v>
      </c>
      <c r="GK1240" s="4">
        <v>1413</v>
      </c>
      <c r="GL1240" s="4">
        <v>1407</v>
      </c>
      <c r="GM1240" s="4">
        <v>1382</v>
      </c>
      <c r="GN1240" s="4">
        <v>1363</v>
      </c>
      <c r="GO1240" s="4">
        <v>1342</v>
      </c>
      <c r="GP1240" s="4">
        <v>1852</v>
      </c>
      <c r="GQ1240" s="4">
        <v>1836</v>
      </c>
      <c r="GR1240" s="4">
        <v>1824</v>
      </c>
      <c r="GS1240" s="4">
        <v>1814</v>
      </c>
      <c r="GT1240" s="4">
        <v>1798</v>
      </c>
      <c r="GU1240" s="4">
        <v>1791</v>
      </c>
      <c r="GV1240" s="4">
        <v>1785</v>
      </c>
      <c r="GW1240" s="4">
        <v>1780</v>
      </c>
      <c r="GX1240" s="4">
        <v>1774</v>
      </c>
      <c r="GY1240" s="4">
        <v>1759</v>
      </c>
      <c r="GZ1240" s="4">
        <v>1754</v>
      </c>
      <c r="HA1240" s="4">
        <v>1748</v>
      </c>
      <c r="HB1240" s="4">
        <v>1742</v>
      </c>
      <c r="HC1240" s="4">
        <v>1733</v>
      </c>
      <c r="HD1240" s="19">
        <v>578.7</v>
      </c>
      <c r="HE1240" s="19">
        <v>586.2</v>
      </c>
      <c r="HF1240" s="19">
        <v>576.1</v>
      </c>
      <c r="HG1240" s="19">
        <v>575.2</v>
      </c>
      <c r="HH1240" s="19">
        <v>574.3</v>
      </c>
      <c r="HI1240" s="19">
        <v>288.6</v>
      </c>
      <c r="HJ1240" s="19">
        <v>283.3</v>
      </c>
      <c r="HK1240" s="19">
        <v>190.4</v>
      </c>
      <c r="HL1240" s="19">
        <v>113.8</v>
      </c>
      <c r="HM1240" s="19">
        <v>113.5</v>
      </c>
      <c r="HN1240" s="19">
        <v>140.2</v>
      </c>
      <c r="HO1240" s="19">
        <v>140</v>
      </c>
      <c r="HP1240" s="19">
        <v>299.8</v>
      </c>
      <c r="HQ1240" s="19">
        <v>302</v>
      </c>
      <c r="HR1240" s="19">
        <v>310.7</v>
      </c>
      <c r="HS1240" s="19">
        <v>578.3</v>
      </c>
      <c r="HT1240" s="19">
        <v>597.8</v>
      </c>
      <c r="HU1240" s="19">
        <v>575.4</v>
      </c>
      <c r="HV1240" s="19">
        <v>583.4</v>
      </c>
      <c r="HW1240" s="19">
        <v>573.7</v>
      </c>
      <c r="HX1240" s="19">
        <v>572.9</v>
      </c>
      <c r="HY1240" s="19">
        <v>579.5</v>
      </c>
      <c r="HZ1240" s="19">
        <v>578.7</v>
      </c>
      <c r="IA1240" s="19">
        <v>577.8</v>
      </c>
      <c r="IB1240" s="19">
        <v>576.9</v>
      </c>
      <c r="IC1240" s="19">
        <v>587.3</v>
      </c>
    </row>
    <row r="1241">
      <c r="A1241" s="2" t="s">
        <v>4895</v>
      </c>
      <c r="B1241" s="2" t="s">
        <v>852</v>
      </c>
      <c r="C1241" s="2" t="s">
        <v>324</v>
      </c>
      <c r="D1241" s="2" t="s">
        <v>854</v>
      </c>
      <c r="E1241" s="2" t="s">
        <v>2622</v>
      </c>
      <c r="F1241" s="2" t="s">
        <v>4896</v>
      </c>
      <c r="G1241" s="2" t="s">
        <v>4897</v>
      </c>
      <c r="H1241" s="2" t="s">
        <v>4898</v>
      </c>
      <c r="I1241" s="2" t="s">
        <v>4899</v>
      </c>
      <c r="J1241" s="2" t="s">
        <v>2624</v>
      </c>
      <c r="K1241" s="2" t="s">
        <v>292</v>
      </c>
      <c r="L1241" s="3">
        <v>31.05</v>
      </c>
      <c r="M1241" s="3">
        <v>32.6</v>
      </c>
      <c r="N1241" s="3">
        <v>66.99</v>
      </c>
      <c r="O1241" s="2" t="s">
        <v>485</v>
      </c>
      <c r="P1241" s="2" t="s">
        <v>408</v>
      </c>
      <c r="Q1241" s="2" t="s">
        <v>234</v>
      </c>
      <c r="R1241" s="2" t="s">
        <v>235</v>
      </c>
      <c r="S1241" s="2" t="s">
        <v>4900</v>
      </c>
      <c r="T1241" s="2" t="s">
        <v>501</v>
      </c>
      <c r="U1241" s="2" t="s">
        <v>807</v>
      </c>
      <c r="V1241" s="2" t="s">
        <v>238</v>
      </c>
      <c r="W1241" s="2" t="s">
        <v>239</v>
      </c>
      <c r="X1241" s="2" t="s">
        <v>235</v>
      </c>
      <c r="Y1241" s="2" t="s">
        <v>2498</v>
      </c>
      <c r="Z1241" s="4">
        <v>132</v>
      </c>
      <c r="AA1241" s="4">
        <f>=ROUNDDOWN(33,0)</f>
      </c>
      <c r="AB1241" s="5">
        <v>4</v>
      </c>
      <c r="AC1241" s="2" t="s">
        <v>235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235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235</v>
      </c>
      <c r="BD1241" s="8" t="s">
        <v>235</v>
      </c>
      <c r="BE1241" s="4" t="s">
        <v>235</v>
      </c>
      <c r="BF1241" s="8" t="s">
        <v>235</v>
      </c>
      <c r="BG1241" s="7" t="s">
        <v>235</v>
      </c>
      <c r="BH1241" s="7" t="s">
        <v>235</v>
      </c>
      <c r="BI1241" s="7"/>
      <c r="BJ1241" s="4">
        <v>27</v>
      </c>
      <c r="BK1241" s="8">
        <v>715.29</v>
      </c>
      <c r="BL1241" s="2" t="s">
        <v>4901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4902</v>
      </c>
      <c r="BV1241" s="2" t="s">
        <v>867</v>
      </c>
      <c r="BW1241" s="2" t="s">
        <v>235</v>
      </c>
      <c r="BX1241" s="2" t="s">
        <v>414</v>
      </c>
      <c r="BY1241" s="2" t="s">
        <v>245</v>
      </c>
      <c r="BZ1241" s="2" t="s">
        <v>232</v>
      </c>
      <c r="CA1241" s="2" t="s">
        <v>4792</v>
      </c>
      <c r="CB1241" s="2" t="s">
        <v>4903</v>
      </c>
      <c r="CC1241" s="2" t="s">
        <v>492</v>
      </c>
      <c r="CD1241" s="2" t="s">
        <v>248</v>
      </c>
      <c r="CE1241" s="2" t="s">
        <v>235</v>
      </c>
      <c r="CF1241" s="4">
        <v>132</v>
      </c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>
        <v>145</v>
      </c>
      <c r="GE1241" s="4">
        <v>143</v>
      </c>
      <c r="GF1241" s="4">
        <v>129</v>
      </c>
      <c r="GG1241" s="4">
        <v>128</v>
      </c>
      <c r="GH1241" s="4">
        <v>127</v>
      </c>
      <c r="GI1241" s="4">
        <v>126</v>
      </c>
      <c r="GJ1241" s="4">
        <v>120</v>
      </c>
      <c r="GK1241" s="4">
        <v>116</v>
      </c>
      <c r="GL1241" s="4">
        <v>111</v>
      </c>
      <c r="GM1241" s="4">
        <v>107</v>
      </c>
      <c r="GN1241" s="4">
        <v>103</v>
      </c>
      <c r="GO1241" s="4">
        <v>99</v>
      </c>
      <c r="GP1241" s="4">
        <v>95</v>
      </c>
      <c r="GQ1241" s="4">
        <v>90</v>
      </c>
      <c r="GR1241" s="4">
        <v>86</v>
      </c>
      <c r="GS1241" s="4">
        <v>82</v>
      </c>
      <c r="GT1241" s="4">
        <v>78</v>
      </c>
      <c r="GU1241" s="4">
        <v>74</v>
      </c>
      <c r="GV1241" s="4">
        <v>69</v>
      </c>
      <c r="GW1241" s="4">
        <v>65</v>
      </c>
      <c r="GX1241" s="4">
        <v>61</v>
      </c>
      <c r="GY1241" s="4">
        <v>57</v>
      </c>
      <c r="GZ1241" s="4">
        <v>53</v>
      </c>
      <c r="HA1241" s="4">
        <v>49</v>
      </c>
      <c r="HB1241" s="4">
        <v>45</v>
      </c>
      <c r="HC1241" s="4">
        <v>41</v>
      </c>
      <c r="HD1241" s="19">
        <v>36.3</v>
      </c>
      <c r="HE1241" s="19">
        <v>35.8</v>
      </c>
      <c r="HF1241" s="19">
        <v>64.5</v>
      </c>
      <c r="HG1241" s="19">
        <v>42.7</v>
      </c>
      <c r="HH1241" s="19">
        <v>31.8</v>
      </c>
      <c r="HI1241" s="19">
        <v>25.2</v>
      </c>
      <c r="HJ1241" s="19">
        <v>30</v>
      </c>
      <c r="HK1241" s="19">
        <v>29</v>
      </c>
      <c r="HL1241" s="19">
        <v>27.8</v>
      </c>
      <c r="HM1241" s="19">
        <v>26.8</v>
      </c>
      <c r="HN1241" s="19">
        <v>25.8</v>
      </c>
      <c r="HO1241" s="19">
        <v>24.8</v>
      </c>
      <c r="HP1241" s="19">
        <v>23.8</v>
      </c>
      <c r="HQ1241" s="19">
        <v>22.5</v>
      </c>
      <c r="HR1241" s="19">
        <v>21.5</v>
      </c>
      <c r="HS1241" s="19">
        <v>20.5</v>
      </c>
      <c r="HT1241" s="19">
        <v>19.5</v>
      </c>
      <c r="HU1241" s="19">
        <v>18.5</v>
      </c>
      <c r="HV1241" s="19">
        <v>17.3</v>
      </c>
      <c r="HW1241" s="19">
        <v>16.3</v>
      </c>
      <c r="HX1241" s="19">
        <v>15.3</v>
      </c>
      <c r="HY1241" s="19">
        <v>14.3</v>
      </c>
      <c r="HZ1241" s="19">
        <v>13.3</v>
      </c>
      <c r="IA1241" s="19">
        <v>12.3</v>
      </c>
      <c r="IB1241" s="19">
        <v>11.3</v>
      </c>
      <c r="IC1241" s="19">
        <v>10.3</v>
      </c>
    </row>
    <row r="1242">
      <c r="A1242" s="2" t="s">
        <v>4904</v>
      </c>
      <c r="B1242" s="2" t="s">
        <v>852</v>
      </c>
      <c r="C1242" s="2" t="s">
        <v>324</v>
      </c>
      <c r="D1242" s="2" t="s">
        <v>854</v>
      </c>
      <c r="E1242" s="2" t="s">
        <v>2622</v>
      </c>
      <c r="F1242" s="2" t="s">
        <v>4896</v>
      </c>
      <c r="G1242" s="2" t="s">
        <v>4897</v>
      </c>
      <c r="H1242" s="2" t="s">
        <v>4898</v>
      </c>
      <c r="I1242" s="2" t="s">
        <v>4899</v>
      </c>
      <c r="J1242" s="2" t="s">
        <v>4271</v>
      </c>
      <c r="K1242" s="2" t="s">
        <v>295</v>
      </c>
      <c r="L1242" s="3">
        <v>36.68</v>
      </c>
      <c r="M1242" s="3">
        <v>38.51</v>
      </c>
      <c r="N1242" s="3">
        <v>79.99</v>
      </c>
      <c r="O1242" s="2" t="s">
        <v>232</v>
      </c>
      <c r="P1242" s="2" t="s">
        <v>965</v>
      </c>
      <c r="Q1242" s="2" t="s">
        <v>234</v>
      </c>
      <c r="R1242" s="2" t="s">
        <v>235</v>
      </c>
      <c r="S1242" s="2" t="s">
        <v>4905</v>
      </c>
      <c r="T1242" s="2" t="s">
        <v>501</v>
      </c>
      <c r="U1242" s="2" t="s">
        <v>807</v>
      </c>
      <c r="V1242" s="2" t="s">
        <v>238</v>
      </c>
      <c r="W1242" s="2" t="s">
        <v>239</v>
      </c>
      <c r="X1242" s="2" t="s">
        <v>235</v>
      </c>
      <c r="Y1242" s="2" t="s">
        <v>2498</v>
      </c>
      <c r="Z1242" s="4">
        <v>624</v>
      </c>
      <c r="AA1242" s="4">
        <f>=ROUNDDOWN(124.8,0)</f>
      </c>
      <c r="AB1242" s="5">
        <v>5</v>
      </c>
      <c r="AC1242" s="2" t="s">
        <v>235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235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 t="s">
        <v>235</v>
      </c>
      <c r="BD1242" s="8" t="s">
        <v>235</v>
      </c>
      <c r="BE1242" s="4" t="s">
        <v>235</v>
      </c>
      <c r="BF1242" s="8" t="s">
        <v>235</v>
      </c>
      <c r="BG1242" s="7" t="s">
        <v>235</v>
      </c>
      <c r="BH1242" s="7" t="s">
        <v>235</v>
      </c>
      <c r="BI1242" s="7"/>
      <c r="BJ1242" s="4">
        <v>13</v>
      </c>
      <c r="BK1242" s="8">
        <v>464.03</v>
      </c>
      <c r="BL1242" s="2" t="s">
        <v>3962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4902</v>
      </c>
      <c r="BV1242" s="2" t="s">
        <v>867</v>
      </c>
      <c r="BW1242" s="2" t="s">
        <v>235</v>
      </c>
      <c r="BX1242" s="2" t="s">
        <v>383</v>
      </c>
      <c r="BY1242" s="2" t="s">
        <v>245</v>
      </c>
      <c r="BZ1242" s="2" t="s">
        <v>232</v>
      </c>
      <c r="CA1242" s="2" t="s">
        <v>4792</v>
      </c>
      <c r="CB1242" s="2" t="s">
        <v>4906</v>
      </c>
      <c r="CC1242" s="2" t="s">
        <v>248</v>
      </c>
      <c r="CD1242" s="2" t="s">
        <v>248</v>
      </c>
      <c r="CE1242" s="2" t="s">
        <v>235</v>
      </c>
      <c r="CF1242" s="4">
        <v>624</v>
      </c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>
        <v>628</v>
      </c>
      <c r="GE1242" s="4">
        <v>608</v>
      </c>
      <c r="GF1242" s="4">
        <v>603</v>
      </c>
      <c r="GG1242" s="4">
        <v>598</v>
      </c>
      <c r="GH1242" s="4">
        <v>592</v>
      </c>
      <c r="GI1242" s="4">
        <v>587</v>
      </c>
      <c r="GJ1242" s="4">
        <v>581</v>
      </c>
      <c r="GK1242" s="4">
        <v>576</v>
      </c>
      <c r="GL1242" s="4">
        <v>571</v>
      </c>
      <c r="GM1242" s="4">
        <v>566</v>
      </c>
      <c r="GN1242" s="4">
        <v>560</v>
      </c>
      <c r="GO1242" s="4">
        <v>554</v>
      </c>
      <c r="GP1242" s="4">
        <v>548</v>
      </c>
      <c r="GQ1242" s="4">
        <v>541</v>
      </c>
      <c r="GR1242" s="4">
        <v>536</v>
      </c>
      <c r="GS1242" s="4">
        <v>530</v>
      </c>
      <c r="GT1242" s="4">
        <v>525</v>
      </c>
      <c r="GU1242" s="4">
        <v>520</v>
      </c>
      <c r="GV1242" s="4">
        <v>515</v>
      </c>
      <c r="GW1242" s="4">
        <v>510</v>
      </c>
      <c r="GX1242" s="4">
        <v>505</v>
      </c>
      <c r="GY1242" s="4">
        <v>500</v>
      </c>
      <c r="GZ1242" s="4">
        <v>495</v>
      </c>
      <c r="HA1242" s="4">
        <v>490</v>
      </c>
      <c r="HB1242" s="4">
        <v>485</v>
      </c>
      <c r="HC1242" s="4">
        <v>479</v>
      </c>
      <c r="HD1242" s="19">
        <v>69.8</v>
      </c>
      <c r="HE1242" s="19">
        <v>121.6</v>
      </c>
      <c r="HF1242" s="19">
        <v>100.5</v>
      </c>
      <c r="HG1242" s="19">
        <v>99.7</v>
      </c>
      <c r="HH1242" s="19">
        <v>118.4</v>
      </c>
      <c r="HI1242" s="19">
        <v>117.4</v>
      </c>
      <c r="HJ1242" s="19">
        <v>116.2</v>
      </c>
      <c r="HK1242" s="19">
        <v>96</v>
      </c>
      <c r="HL1242" s="19">
        <v>95.2</v>
      </c>
      <c r="HM1242" s="19">
        <v>94.3</v>
      </c>
      <c r="HN1242" s="19">
        <v>93.3</v>
      </c>
      <c r="HO1242" s="19">
        <v>92.3</v>
      </c>
      <c r="HP1242" s="19">
        <v>91.3</v>
      </c>
      <c r="HQ1242" s="19">
        <v>108.2</v>
      </c>
      <c r="HR1242" s="19">
        <v>107.2</v>
      </c>
      <c r="HS1242" s="19">
        <v>106</v>
      </c>
      <c r="HT1242" s="19">
        <v>105</v>
      </c>
      <c r="HU1242" s="19">
        <v>104</v>
      </c>
      <c r="HV1242" s="19">
        <v>103</v>
      </c>
      <c r="HW1242" s="19">
        <v>102</v>
      </c>
      <c r="HX1242" s="19">
        <v>101</v>
      </c>
      <c r="HY1242" s="19">
        <v>100</v>
      </c>
      <c r="HZ1242" s="19">
        <v>99</v>
      </c>
      <c r="IA1242" s="19">
        <v>98</v>
      </c>
      <c r="IB1242" s="19">
        <v>97</v>
      </c>
      <c r="IC1242" s="19">
        <v>95.8</v>
      </c>
    </row>
    <row r="1243">
      <c r="A1243" s="2" t="s">
        <v>4907</v>
      </c>
      <c r="B1243" s="2" t="s">
        <v>852</v>
      </c>
      <c r="C1243" s="2" t="s">
        <v>324</v>
      </c>
      <c r="D1243" s="2" t="s">
        <v>854</v>
      </c>
      <c r="E1243" s="2" t="s">
        <v>855</v>
      </c>
      <c r="F1243" s="2" t="s">
        <v>4896</v>
      </c>
      <c r="G1243" s="2" t="s">
        <v>4897</v>
      </c>
      <c r="H1243" s="2" t="s">
        <v>4898</v>
      </c>
      <c r="I1243" s="2" t="s">
        <v>4899</v>
      </c>
      <c r="J1243" s="2" t="s">
        <v>2624</v>
      </c>
      <c r="K1243" s="2" t="s">
        <v>316</v>
      </c>
      <c r="L1243" s="3">
        <v>34.83302</v>
      </c>
      <c r="M1243" s="3">
        <v>36.57</v>
      </c>
      <c r="N1243" s="3">
        <v>69.99</v>
      </c>
      <c r="O1243" s="2" t="s">
        <v>232</v>
      </c>
      <c r="P1243" s="2" t="s">
        <v>878</v>
      </c>
      <c r="Q1243" s="2" t="s">
        <v>234</v>
      </c>
      <c r="R1243" s="2" t="s">
        <v>235</v>
      </c>
      <c r="S1243" s="2" t="s">
        <v>235</v>
      </c>
      <c r="T1243" s="2" t="s">
        <v>879</v>
      </c>
      <c r="U1243" s="2" t="s">
        <v>807</v>
      </c>
      <c r="V1243" s="2" t="s">
        <v>238</v>
      </c>
      <c r="W1243" s="2" t="s">
        <v>239</v>
      </c>
      <c r="X1243" s="2" t="s">
        <v>235</v>
      </c>
      <c r="Y1243" s="2" t="s">
        <v>235</v>
      </c>
      <c r="Z1243" s="4"/>
      <c r="AA1243" s="4">
        <f>=ROUNDDOWN({0},0)</f>
      </c>
      <c r="AB1243" s="5"/>
      <c r="AC1243" s="2" t="s">
        <v>266</v>
      </c>
      <c r="AD1243" s="4">
        <v>192</v>
      </c>
      <c r="AE1243" s="4">
        <v>378</v>
      </c>
      <c r="AF1243" s="6"/>
      <c r="AG1243" s="6"/>
      <c r="AH1243" s="7"/>
      <c r="AI1243" s="4"/>
      <c r="AJ1243" s="4">
        <f>=ROUNDDOWN({0},0)</f>
      </c>
      <c r="AK1243" s="5"/>
      <c r="AL1243" s="2" t="s">
        <v>235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235</v>
      </c>
      <c r="AW1243" s="8" t="s">
        <v>235</v>
      </c>
      <c r="AX1243" s="4" t="s">
        <v>235</v>
      </c>
      <c r="AY1243" s="8" t="s">
        <v>235</v>
      </c>
      <c r="AZ1243" s="7" t="s">
        <v>235</v>
      </c>
      <c r="BA1243" s="7" t="s">
        <v>235</v>
      </c>
      <c r="BB1243" s="7"/>
      <c r="BC1243" s="4" t="s">
        <v>235</v>
      </c>
      <c r="BD1243" s="8" t="s">
        <v>235</v>
      </c>
      <c r="BE1243" s="4" t="s">
        <v>235</v>
      </c>
      <c r="BF1243" s="8" t="s">
        <v>235</v>
      </c>
      <c r="BG1243" s="7" t="s">
        <v>235</v>
      </c>
      <c r="BH1243" s="7" t="s">
        <v>235</v>
      </c>
      <c r="BI1243" s="7"/>
      <c r="BJ1243" s="4"/>
      <c r="BK1243" s="8"/>
      <c r="BL1243" s="2" t="s">
        <v>235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330</v>
      </c>
      <c r="BV1243" s="2" t="s">
        <v>235</v>
      </c>
      <c r="BW1243" s="2" t="s">
        <v>235</v>
      </c>
      <c r="BX1243" s="2" t="s">
        <v>330</v>
      </c>
      <c r="BY1243" s="2" t="s">
        <v>331</v>
      </c>
      <c r="BZ1243" s="2" t="s">
        <v>232</v>
      </c>
      <c r="CA1243" s="2" t="s">
        <v>235</v>
      </c>
      <c r="CB1243" s="2" t="s">
        <v>235</v>
      </c>
      <c r="CC1243" s="2" t="s">
        <v>248</v>
      </c>
      <c r="CD1243" s="2" t="s">
        <v>248</v>
      </c>
      <c r="CE1243" s="2" t="s">
        <v>235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>
        <v>192</v>
      </c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>
        <v>186</v>
      </c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9"/>
      <c r="HE1243" s="9"/>
      <c r="HF1243" s="9"/>
      <c r="HG1243" s="9"/>
      <c r="HH1243" s="9"/>
      <c r="HI1243" s="9"/>
      <c r="HJ1243" s="9"/>
      <c r="HK1243" s="9"/>
      <c r="HL1243" s="9"/>
      <c r="HM1243" s="9"/>
      <c r="HN1243" s="9"/>
      <c r="HO1243" s="9"/>
      <c r="HP1243" s="9"/>
      <c r="HQ1243" s="9"/>
      <c r="HR1243" s="9"/>
      <c r="HS1243" s="9"/>
      <c r="HT1243" s="9"/>
      <c r="HU1243" s="9"/>
      <c r="HV1243" s="9"/>
      <c r="HW1243" s="9"/>
      <c r="HX1243" s="9"/>
      <c r="HY1243" s="9"/>
      <c r="HZ1243" s="9"/>
      <c r="IA1243" s="9"/>
      <c r="IB1243" s="9"/>
      <c r="IC1243" s="9"/>
    </row>
    <row r="1244">
      <c r="A1244" s="2" t="s">
        <v>4908</v>
      </c>
      <c r="B1244" s="2" t="s">
        <v>852</v>
      </c>
      <c r="C1244" s="2" t="s">
        <v>324</v>
      </c>
      <c r="D1244" s="2" t="s">
        <v>854</v>
      </c>
      <c r="E1244" s="2" t="s">
        <v>855</v>
      </c>
      <c r="F1244" s="2" t="s">
        <v>4896</v>
      </c>
      <c r="G1244" s="2" t="s">
        <v>4897</v>
      </c>
      <c r="H1244" s="2" t="s">
        <v>4898</v>
      </c>
      <c r="I1244" s="2" t="s">
        <v>4899</v>
      </c>
      <c r="J1244" s="2" t="s">
        <v>4271</v>
      </c>
      <c r="K1244" s="2" t="s">
        <v>316</v>
      </c>
      <c r="L1244" s="3">
        <v>36.677</v>
      </c>
      <c r="M1244" s="3">
        <v>38.51</v>
      </c>
      <c r="N1244" s="3">
        <v>72.99</v>
      </c>
      <c r="O1244" s="2" t="s">
        <v>232</v>
      </c>
      <c r="P1244" s="2" t="s">
        <v>878</v>
      </c>
      <c r="Q1244" s="2" t="s">
        <v>234</v>
      </c>
      <c r="R1244" s="2" t="s">
        <v>235</v>
      </c>
      <c r="S1244" s="2" t="s">
        <v>235</v>
      </c>
      <c r="T1244" s="2" t="s">
        <v>879</v>
      </c>
      <c r="U1244" s="2" t="s">
        <v>807</v>
      </c>
      <c r="V1244" s="2" t="s">
        <v>238</v>
      </c>
      <c r="W1244" s="2" t="s">
        <v>239</v>
      </c>
      <c r="X1244" s="2" t="s">
        <v>235</v>
      </c>
      <c r="Y1244" s="2" t="s">
        <v>235</v>
      </c>
      <c r="Z1244" s="4"/>
      <c r="AA1244" s="4">
        <f>=ROUNDDOWN({0},0)</f>
      </c>
      <c r="AB1244" s="5"/>
      <c r="AC1244" s="2" t="s">
        <v>266</v>
      </c>
      <c r="AD1244" s="4">
        <v>96</v>
      </c>
      <c r="AE1244" s="4">
        <v>192</v>
      </c>
      <c r="AF1244" s="6"/>
      <c r="AG1244" s="6"/>
      <c r="AH1244" s="7"/>
      <c r="AI1244" s="4"/>
      <c r="AJ1244" s="4">
        <f>=ROUNDDOWN({0},0)</f>
      </c>
      <c r="AK1244" s="5"/>
      <c r="AL1244" s="2" t="s">
        <v>235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235</v>
      </c>
      <c r="AW1244" s="8" t="s">
        <v>235</v>
      </c>
      <c r="AX1244" s="4" t="s">
        <v>235</v>
      </c>
      <c r="AY1244" s="8" t="s">
        <v>235</v>
      </c>
      <c r="AZ1244" s="7" t="s">
        <v>235</v>
      </c>
      <c r="BA1244" s="7" t="s">
        <v>235</v>
      </c>
      <c r="BB1244" s="7"/>
      <c r="BC1244" s="4" t="s">
        <v>235</v>
      </c>
      <c r="BD1244" s="8" t="s">
        <v>235</v>
      </c>
      <c r="BE1244" s="4" t="s">
        <v>235</v>
      </c>
      <c r="BF1244" s="8" t="s">
        <v>235</v>
      </c>
      <c r="BG1244" s="7" t="s">
        <v>235</v>
      </c>
      <c r="BH1244" s="7" t="s">
        <v>235</v>
      </c>
      <c r="BI1244" s="7"/>
      <c r="BJ1244" s="4"/>
      <c r="BK1244" s="8"/>
      <c r="BL1244" s="2" t="s">
        <v>235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330</v>
      </c>
      <c r="BV1244" s="2" t="s">
        <v>235</v>
      </c>
      <c r="BW1244" s="2" t="s">
        <v>235</v>
      </c>
      <c r="BX1244" s="2" t="s">
        <v>330</v>
      </c>
      <c r="BY1244" s="2" t="s">
        <v>331</v>
      </c>
      <c r="BZ1244" s="2" t="s">
        <v>232</v>
      </c>
      <c r="CA1244" s="2" t="s">
        <v>235</v>
      </c>
      <c r="CB1244" s="2" t="s">
        <v>235</v>
      </c>
      <c r="CC1244" s="2" t="s">
        <v>248</v>
      </c>
      <c r="CD1244" s="2" t="s">
        <v>248</v>
      </c>
      <c r="CE1244" s="2" t="s">
        <v>235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>
        <v>96</v>
      </c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>
        <v>96</v>
      </c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9"/>
      <c r="HE1244" s="9"/>
      <c r="HF1244" s="9"/>
      <c r="HG1244" s="9"/>
      <c r="HH1244" s="9"/>
      <c r="HI1244" s="9"/>
      <c r="HJ1244" s="9"/>
      <c r="HK1244" s="9"/>
      <c r="HL1244" s="9"/>
      <c r="HM1244" s="9"/>
      <c r="HN1244" s="9"/>
      <c r="HO1244" s="9"/>
      <c r="HP1244" s="9"/>
      <c r="HQ1244" s="9"/>
      <c r="HR1244" s="9"/>
      <c r="HS1244" s="9"/>
      <c r="HT1244" s="9"/>
      <c r="HU1244" s="9"/>
      <c r="HV1244" s="9"/>
      <c r="HW1244" s="9"/>
      <c r="HX1244" s="9"/>
      <c r="HY1244" s="9"/>
      <c r="HZ1244" s="9"/>
      <c r="IA1244" s="9"/>
      <c r="IB1244" s="9"/>
      <c r="IC1244" s="9"/>
    </row>
    <row r="1245">
      <c r="A1245" s="2" t="s">
        <v>4909</v>
      </c>
      <c r="B1245" s="2" t="s">
        <v>852</v>
      </c>
      <c r="C1245" s="2" t="s">
        <v>324</v>
      </c>
      <c r="D1245" s="2" t="s">
        <v>854</v>
      </c>
      <c r="E1245" s="2" t="s">
        <v>855</v>
      </c>
      <c r="F1245" s="2" t="s">
        <v>4896</v>
      </c>
      <c r="G1245" s="2" t="s">
        <v>4897</v>
      </c>
      <c r="H1245" s="2" t="s">
        <v>4898</v>
      </c>
      <c r="I1245" s="2" t="s">
        <v>4899</v>
      </c>
      <c r="J1245" s="2" t="s">
        <v>2640</v>
      </c>
      <c r="K1245" s="2" t="s">
        <v>316</v>
      </c>
      <c r="L1245" s="3">
        <v>37.676395</v>
      </c>
      <c r="M1245" s="3">
        <v>39.56</v>
      </c>
      <c r="N1245" s="3">
        <v>74.99</v>
      </c>
      <c r="O1245" s="2" t="s">
        <v>232</v>
      </c>
      <c r="P1245" s="2" t="s">
        <v>878</v>
      </c>
      <c r="Q1245" s="2" t="s">
        <v>234</v>
      </c>
      <c r="R1245" s="2" t="s">
        <v>235</v>
      </c>
      <c r="S1245" s="2" t="s">
        <v>235</v>
      </c>
      <c r="T1245" s="2" t="s">
        <v>879</v>
      </c>
      <c r="U1245" s="2" t="s">
        <v>807</v>
      </c>
      <c r="V1245" s="2" t="s">
        <v>238</v>
      </c>
      <c r="W1245" s="2" t="s">
        <v>239</v>
      </c>
      <c r="X1245" s="2" t="s">
        <v>235</v>
      </c>
      <c r="Y1245" s="2" t="s">
        <v>235</v>
      </c>
      <c r="Z1245" s="4"/>
      <c r="AA1245" s="4">
        <f>=ROUNDDOWN({0},0)</f>
      </c>
      <c r="AB1245" s="5"/>
      <c r="AC1245" s="2" t="s">
        <v>266</v>
      </c>
      <c r="AD1245" s="4">
        <v>114</v>
      </c>
      <c r="AE1245" s="4">
        <v>228</v>
      </c>
      <c r="AF1245" s="6"/>
      <c r="AG1245" s="6"/>
      <c r="AH1245" s="7"/>
      <c r="AI1245" s="4"/>
      <c r="AJ1245" s="4">
        <f>=ROUNDDOWN({0},0)</f>
      </c>
      <c r="AK1245" s="5"/>
      <c r="AL1245" s="2" t="s">
        <v>235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235</v>
      </c>
      <c r="AW1245" s="8" t="s">
        <v>235</v>
      </c>
      <c r="AX1245" s="4" t="s">
        <v>235</v>
      </c>
      <c r="AY1245" s="8" t="s">
        <v>235</v>
      </c>
      <c r="AZ1245" s="7" t="s">
        <v>235</v>
      </c>
      <c r="BA1245" s="7" t="s">
        <v>235</v>
      </c>
      <c r="BB1245" s="7"/>
      <c r="BC1245" s="4" t="s">
        <v>235</v>
      </c>
      <c r="BD1245" s="8" t="s">
        <v>235</v>
      </c>
      <c r="BE1245" s="4" t="s">
        <v>235</v>
      </c>
      <c r="BF1245" s="8" t="s">
        <v>235</v>
      </c>
      <c r="BG1245" s="7" t="s">
        <v>235</v>
      </c>
      <c r="BH1245" s="7" t="s">
        <v>235</v>
      </c>
      <c r="BI1245" s="7"/>
      <c r="BJ1245" s="4"/>
      <c r="BK1245" s="8"/>
      <c r="BL1245" s="2" t="s">
        <v>235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330</v>
      </c>
      <c r="BV1245" s="2" t="s">
        <v>235</v>
      </c>
      <c r="BW1245" s="2" t="s">
        <v>235</v>
      </c>
      <c r="BX1245" s="2" t="s">
        <v>330</v>
      </c>
      <c r="BY1245" s="2" t="s">
        <v>331</v>
      </c>
      <c r="BZ1245" s="2" t="s">
        <v>232</v>
      </c>
      <c r="CA1245" s="2" t="s">
        <v>235</v>
      </c>
      <c r="CB1245" s="2" t="s">
        <v>235</v>
      </c>
      <c r="CC1245" s="2" t="s">
        <v>248</v>
      </c>
      <c r="CD1245" s="2" t="s">
        <v>248</v>
      </c>
      <c r="CE1245" s="2" t="s">
        <v>235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>
        <v>114</v>
      </c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>
        <v>114</v>
      </c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9"/>
      <c r="HE1245" s="9"/>
      <c r="HF1245" s="9"/>
      <c r="HG1245" s="9"/>
      <c r="HH1245" s="9"/>
      <c r="HI1245" s="9"/>
      <c r="HJ1245" s="9"/>
      <c r="HK1245" s="9"/>
      <c r="HL1245" s="9"/>
      <c r="HM1245" s="9"/>
      <c r="HN1245" s="9"/>
      <c r="HO1245" s="9"/>
      <c r="HP1245" s="9"/>
      <c r="HQ1245" s="9"/>
      <c r="HR1245" s="9"/>
      <c r="HS1245" s="9"/>
      <c r="HT1245" s="9"/>
      <c r="HU1245" s="9"/>
      <c r="HV1245" s="9"/>
      <c r="HW1245" s="9"/>
      <c r="HX1245" s="9"/>
      <c r="HY1245" s="20">
        <v>0</v>
      </c>
      <c r="HZ1245" s="9"/>
      <c r="IA1245" s="9"/>
      <c r="IB1245" s="9"/>
      <c r="IC1245" s="9"/>
    </row>
    <row r="1246">
      <c r="A1246" s="2" t="s">
        <v>4910</v>
      </c>
      <c r="B1246" s="2" t="s">
        <v>852</v>
      </c>
      <c r="C1246" s="2" t="s">
        <v>324</v>
      </c>
      <c r="D1246" s="2" t="s">
        <v>854</v>
      </c>
      <c r="E1246" s="2" t="s">
        <v>855</v>
      </c>
      <c r="F1246" s="2" t="s">
        <v>4896</v>
      </c>
      <c r="G1246" s="2" t="s">
        <v>4897</v>
      </c>
      <c r="H1246" s="2" t="s">
        <v>4898</v>
      </c>
      <c r="I1246" s="2" t="s">
        <v>4899</v>
      </c>
      <c r="J1246" s="2" t="s">
        <v>4275</v>
      </c>
      <c r="K1246" s="2" t="s">
        <v>316</v>
      </c>
      <c r="L1246" s="3">
        <v>42.808</v>
      </c>
      <c r="M1246" s="3">
        <v>44.95</v>
      </c>
      <c r="N1246" s="3">
        <v>82.99</v>
      </c>
      <c r="O1246" s="2" t="s">
        <v>232</v>
      </c>
      <c r="P1246" s="2" t="s">
        <v>878</v>
      </c>
      <c r="Q1246" s="2" t="s">
        <v>234</v>
      </c>
      <c r="R1246" s="2" t="s">
        <v>235</v>
      </c>
      <c r="S1246" s="2" t="s">
        <v>235</v>
      </c>
      <c r="T1246" s="2" t="s">
        <v>879</v>
      </c>
      <c r="U1246" s="2" t="s">
        <v>807</v>
      </c>
      <c r="V1246" s="2" t="s">
        <v>238</v>
      </c>
      <c r="W1246" s="2" t="s">
        <v>239</v>
      </c>
      <c r="X1246" s="2" t="s">
        <v>235</v>
      </c>
      <c r="Y1246" s="2" t="s">
        <v>235</v>
      </c>
      <c r="Z1246" s="4"/>
      <c r="AA1246" s="4">
        <f>=ROUNDDOWN({0},0)</f>
      </c>
      <c r="AB1246" s="5"/>
      <c r="AC1246" s="2" t="s">
        <v>266</v>
      </c>
      <c r="AD1246" s="4">
        <v>210</v>
      </c>
      <c r="AE1246" s="4">
        <v>414</v>
      </c>
      <c r="AF1246" s="6"/>
      <c r="AG1246" s="6"/>
      <c r="AH1246" s="7"/>
      <c r="AI1246" s="4"/>
      <c r="AJ1246" s="4">
        <f>=ROUNDDOWN({0},0)</f>
      </c>
      <c r="AK1246" s="5"/>
      <c r="AL1246" s="2" t="s">
        <v>235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235</v>
      </c>
      <c r="AW1246" s="8" t="s">
        <v>235</v>
      </c>
      <c r="AX1246" s="4" t="s">
        <v>235</v>
      </c>
      <c r="AY1246" s="8" t="s">
        <v>235</v>
      </c>
      <c r="AZ1246" s="7" t="s">
        <v>235</v>
      </c>
      <c r="BA1246" s="7" t="s">
        <v>235</v>
      </c>
      <c r="BB1246" s="7"/>
      <c r="BC1246" s="4" t="s">
        <v>235</v>
      </c>
      <c r="BD1246" s="8" t="s">
        <v>235</v>
      </c>
      <c r="BE1246" s="4" t="s">
        <v>235</v>
      </c>
      <c r="BF1246" s="8" t="s">
        <v>235</v>
      </c>
      <c r="BG1246" s="7" t="s">
        <v>235</v>
      </c>
      <c r="BH1246" s="7" t="s">
        <v>235</v>
      </c>
      <c r="BI1246" s="7"/>
      <c r="BJ1246" s="4"/>
      <c r="BK1246" s="8"/>
      <c r="BL1246" s="2" t="s">
        <v>235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330</v>
      </c>
      <c r="BV1246" s="2" t="s">
        <v>235</v>
      </c>
      <c r="BW1246" s="2" t="s">
        <v>235</v>
      </c>
      <c r="BX1246" s="2" t="s">
        <v>330</v>
      </c>
      <c r="BY1246" s="2" t="s">
        <v>331</v>
      </c>
      <c r="BZ1246" s="2" t="s">
        <v>232</v>
      </c>
      <c r="CA1246" s="2" t="s">
        <v>235</v>
      </c>
      <c r="CB1246" s="2" t="s">
        <v>235</v>
      </c>
      <c r="CC1246" s="2" t="s">
        <v>248</v>
      </c>
      <c r="CD1246" s="2" t="s">
        <v>248</v>
      </c>
      <c r="CE1246" s="2" t="s">
        <v>235</v>
      </c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>
        <v>210</v>
      </c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>
        <v>204</v>
      </c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9"/>
      <c r="HE1246" s="9"/>
      <c r="HF1246" s="9"/>
      <c r="HG1246" s="9"/>
      <c r="HH1246" s="9"/>
      <c r="HI1246" s="9"/>
      <c r="HJ1246" s="9"/>
      <c r="HK1246" s="9"/>
      <c r="HL1246" s="9"/>
      <c r="HM1246" s="9"/>
      <c r="HN1246" s="9"/>
      <c r="HO1246" s="9"/>
      <c r="HP1246" s="9"/>
      <c r="HQ1246" s="9"/>
      <c r="HR1246" s="9"/>
      <c r="HS1246" s="9"/>
      <c r="HT1246" s="9"/>
      <c r="HU1246" s="9"/>
      <c r="HV1246" s="9"/>
      <c r="HW1246" s="9"/>
      <c r="HX1246" s="9"/>
      <c r="HY1246" s="9"/>
      <c r="HZ1246" s="9"/>
      <c r="IA1246" s="9"/>
      <c r="IB1246" s="9"/>
      <c r="IC1246" s="9"/>
    </row>
    <row r="1247">
      <c r="A1247" s="2" t="s">
        <v>4911</v>
      </c>
      <c r="B1247" s="2" t="s">
        <v>852</v>
      </c>
      <c r="C1247" s="2" t="s">
        <v>324</v>
      </c>
      <c r="D1247" s="2" t="s">
        <v>854</v>
      </c>
      <c r="E1247" s="2" t="s">
        <v>855</v>
      </c>
      <c r="F1247" s="2" t="s">
        <v>4896</v>
      </c>
      <c r="G1247" s="2" t="s">
        <v>4897</v>
      </c>
      <c r="H1247" s="2" t="s">
        <v>4898</v>
      </c>
      <c r="I1247" s="2" t="s">
        <v>4899</v>
      </c>
      <c r="J1247" s="2" t="s">
        <v>2645</v>
      </c>
      <c r="K1247" s="2" t="s">
        <v>316</v>
      </c>
      <c r="L1247" s="3">
        <v>44.246015</v>
      </c>
      <c r="M1247" s="3">
        <v>46.46</v>
      </c>
      <c r="N1247" s="3">
        <v>84.99</v>
      </c>
      <c r="O1247" s="2" t="s">
        <v>232</v>
      </c>
      <c r="P1247" s="2" t="s">
        <v>878</v>
      </c>
      <c r="Q1247" s="2" t="s">
        <v>234</v>
      </c>
      <c r="R1247" s="2" t="s">
        <v>235</v>
      </c>
      <c r="S1247" s="2" t="s">
        <v>235</v>
      </c>
      <c r="T1247" s="2" t="s">
        <v>879</v>
      </c>
      <c r="U1247" s="2" t="s">
        <v>807</v>
      </c>
      <c r="V1247" s="2" t="s">
        <v>238</v>
      </c>
      <c r="W1247" s="2" t="s">
        <v>239</v>
      </c>
      <c r="X1247" s="2" t="s">
        <v>235</v>
      </c>
      <c r="Y1247" s="2" t="s">
        <v>235</v>
      </c>
      <c r="Z1247" s="4"/>
      <c r="AA1247" s="4">
        <f>=ROUNDDOWN({0},0)</f>
      </c>
      <c r="AB1247" s="5"/>
      <c r="AC1247" s="2" t="s">
        <v>266</v>
      </c>
      <c r="AD1247" s="4">
        <v>150</v>
      </c>
      <c r="AE1247" s="4">
        <v>288</v>
      </c>
      <c r="AF1247" s="6"/>
      <c r="AG1247" s="6"/>
      <c r="AH1247" s="7"/>
      <c r="AI1247" s="4"/>
      <c r="AJ1247" s="4">
        <f>=ROUNDDOWN({0},0)</f>
      </c>
      <c r="AK1247" s="5"/>
      <c r="AL1247" s="2" t="s">
        <v>235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235</v>
      </c>
      <c r="AW1247" s="8" t="s">
        <v>235</v>
      </c>
      <c r="AX1247" s="4" t="s">
        <v>235</v>
      </c>
      <c r="AY1247" s="8" t="s">
        <v>235</v>
      </c>
      <c r="AZ1247" s="7" t="s">
        <v>235</v>
      </c>
      <c r="BA1247" s="7" t="s">
        <v>235</v>
      </c>
      <c r="BB1247" s="7"/>
      <c r="BC1247" s="4" t="s">
        <v>235</v>
      </c>
      <c r="BD1247" s="8" t="s">
        <v>235</v>
      </c>
      <c r="BE1247" s="4" t="s">
        <v>235</v>
      </c>
      <c r="BF1247" s="8" t="s">
        <v>235</v>
      </c>
      <c r="BG1247" s="7" t="s">
        <v>235</v>
      </c>
      <c r="BH1247" s="7" t="s">
        <v>235</v>
      </c>
      <c r="BI1247" s="7"/>
      <c r="BJ1247" s="4"/>
      <c r="BK1247" s="8"/>
      <c r="BL1247" s="2" t="s">
        <v>235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330</v>
      </c>
      <c r="BV1247" s="2" t="s">
        <v>235</v>
      </c>
      <c r="BW1247" s="2" t="s">
        <v>235</v>
      </c>
      <c r="BX1247" s="2" t="s">
        <v>330</v>
      </c>
      <c r="BY1247" s="2" t="s">
        <v>331</v>
      </c>
      <c r="BZ1247" s="2" t="s">
        <v>232</v>
      </c>
      <c r="CA1247" s="2" t="s">
        <v>235</v>
      </c>
      <c r="CB1247" s="2" t="s">
        <v>235</v>
      </c>
      <c r="CC1247" s="2" t="s">
        <v>248</v>
      </c>
      <c r="CD1247" s="2" t="s">
        <v>248</v>
      </c>
      <c r="CE1247" s="2" t="s">
        <v>235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>
        <v>150</v>
      </c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>
        <v>138</v>
      </c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9"/>
      <c r="HE1247" s="9"/>
      <c r="HF1247" s="9"/>
      <c r="HG1247" s="9"/>
      <c r="HH1247" s="9"/>
      <c r="HI1247" s="9"/>
      <c r="HJ1247" s="9"/>
      <c r="HK1247" s="9"/>
      <c r="HL1247" s="9"/>
      <c r="HM1247" s="9"/>
      <c r="HN1247" s="9"/>
      <c r="HO1247" s="9"/>
      <c r="HP1247" s="9"/>
      <c r="HQ1247" s="9"/>
      <c r="HR1247" s="9"/>
      <c r="HS1247" s="9"/>
      <c r="HT1247" s="9"/>
      <c r="HU1247" s="9"/>
      <c r="HV1247" s="9"/>
      <c r="HW1247" s="9"/>
      <c r="HX1247" s="9"/>
      <c r="HY1247" s="9"/>
      <c r="HZ1247" s="9"/>
      <c r="IA1247" s="9"/>
      <c r="IB1247" s="9"/>
      <c r="IC1247" s="9"/>
    </row>
    <row r="1248">
      <c r="A1248" s="2" t="s">
        <v>4912</v>
      </c>
      <c r="B1248" s="2" t="s">
        <v>871</v>
      </c>
      <c r="C1248" s="2" t="s">
        <v>324</v>
      </c>
      <c r="D1248" s="2" t="s">
        <v>361</v>
      </c>
      <c r="E1248" s="2" t="s">
        <v>872</v>
      </c>
      <c r="F1248" s="2" t="s">
        <v>4913</v>
      </c>
      <c r="G1248" s="2" t="s">
        <v>4914</v>
      </c>
      <c r="H1248" s="2" t="s">
        <v>4915</v>
      </c>
      <c r="I1248" s="2" t="s">
        <v>4916</v>
      </c>
      <c r="J1248" s="2" t="s">
        <v>272</v>
      </c>
      <c r="K1248" s="2" t="s">
        <v>2029</v>
      </c>
      <c r="L1248" s="3">
        <v>53.33</v>
      </c>
      <c r="M1248" s="3">
        <v>56</v>
      </c>
      <c r="N1248" s="3">
        <v>114.99</v>
      </c>
      <c r="O1248" s="2" t="s">
        <v>232</v>
      </c>
      <c r="P1248" s="2" t="s">
        <v>233</v>
      </c>
      <c r="Q1248" s="2" t="s">
        <v>234</v>
      </c>
      <c r="R1248" s="2" t="s">
        <v>235</v>
      </c>
      <c r="S1248" s="2" t="s">
        <v>4917</v>
      </c>
      <c r="T1248" s="2" t="s">
        <v>501</v>
      </c>
      <c r="U1248" s="2" t="s">
        <v>742</v>
      </c>
      <c r="V1248" s="2" t="s">
        <v>420</v>
      </c>
      <c r="W1248" s="2" t="s">
        <v>1029</v>
      </c>
      <c r="X1248" s="2" t="s">
        <v>882</v>
      </c>
      <c r="Y1248" s="2" t="s">
        <v>4918</v>
      </c>
      <c r="Z1248" s="4">
        <v>348</v>
      </c>
      <c r="AA1248" s="4">
        <f>=ROUNDDOWN(34.8,0)</f>
      </c>
      <c r="AB1248" s="5">
        <v>10</v>
      </c>
      <c r="AC1248" s="2" t="s">
        <v>179</v>
      </c>
      <c r="AD1248" s="4">
        <v>100</v>
      </c>
      <c r="AE1248" s="4">
        <v>100</v>
      </c>
      <c r="AF1248" s="6">
        <v>64</v>
      </c>
      <c r="AG1248" s="6"/>
      <c r="AH1248" s="7">
        <v>0.3548</v>
      </c>
      <c r="AI1248" s="4"/>
      <c r="AJ1248" s="4">
        <f>=ROUNDDOWN({0},0)</f>
      </c>
      <c r="AK1248" s="5"/>
      <c r="AL1248" s="2" t="s">
        <v>235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>
        <v>2</v>
      </c>
      <c r="BK1248" s="8">
        <v>116.07</v>
      </c>
      <c r="BL1248" s="2" t="s">
        <v>4919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4920</v>
      </c>
      <c r="BV1248" s="2" t="s">
        <v>243</v>
      </c>
      <c r="BW1248" s="2" t="s">
        <v>235</v>
      </c>
      <c r="BX1248" s="2" t="s">
        <v>414</v>
      </c>
      <c r="BY1248" s="2" t="s">
        <v>245</v>
      </c>
      <c r="BZ1248" s="2" t="s">
        <v>232</v>
      </c>
      <c r="CA1248" s="2" t="s">
        <v>476</v>
      </c>
      <c r="CB1248" s="2" t="s">
        <v>4921</v>
      </c>
      <c r="CC1248" s="2" t="s">
        <v>248</v>
      </c>
      <c r="CD1248" s="2" t="s">
        <v>248</v>
      </c>
      <c r="CE1248" s="2" t="s">
        <v>235</v>
      </c>
      <c r="CF1248" s="4"/>
      <c r="CG1248" s="4"/>
      <c r="CH1248" s="4"/>
      <c r="CI1248" s="4">
        <v>348</v>
      </c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>
        <v>100</v>
      </c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>
        <v>350</v>
      </c>
      <c r="GE1248" s="4">
        <v>325</v>
      </c>
      <c r="GF1248" s="4">
        <v>315</v>
      </c>
      <c r="GG1248" s="4">
        <v>305</v>
      </c>
      <c r="GH1248" s="4">
        <v>294</v>
      </c>
      <c r="GI1248" s="4">
        <v>283</v>
      </c>
      <c r="GJ1248" s="4">
        <v>268</v>
      </c>
      <c r="GK1248" s="4">
        <v>256</v>
      </c>
      <c r="GL1248" s="4">
        <v>244</v>
      </c>
      <c r="GM1248" s="4">
        <v>233</v>
      </c>
      <c r="GN1248" s="4">
        <v>322</v>
      </c>
      <c r="GO1248" s="4">
        <v>308</v>
      </c>
      <c r="GP1248" s="4">
        <v>292</v>
      </c>
      <c r="GQ1248" s="4">
        <v>264</v>
      </c>
      <c r="GR1248" s="4">
        <v>248</v>
      </c>
      <c r="GS1248" s="4">
        <v>234</v>
      </c>
      <c r="GT1248" s="4">
        <v>225</v>
      </c>
      <c r="GU1248" s="4">
        <v>217</v>
      </c>
      <c r="GV1248" s="4">
        <v>206</v>
      </c>
      <c r="GW1248" s="4">
        <v>196</v>
      </c>
      <c r="GX1248" s="4">
        <v>186</v>
      </c>
      <c r="GY1248" s="4">
        <v>176</v>
      </c>
      <c r="GZ1248" s="4">
        <v>166</v>
      </c>
      <c r="HA1248" s="4">
        <v>156</v>
      </c>
      <c r="HB1248" s="4">
        <v>146</v>
      </c>
      <c r="HC1248" s="4">
        <v>135</v>
      </c>
      <c r="HD1248" s="19">
        <v>25</v>
      </c>
      <c r="HE1248" s="19">
        <v>32.5</v>
      </c>
      <c r="HF1248" s="19">
        <v>26.3</v>
      </c>
      <c r="HG1248" s="19">
        <v>25.4</v>
      </c>
      <c r="HH1248" s="19">
        <v>24.5</v>
      </c>
      <c r="HI1248" s="19">
        <v>23.6</v>
      </c>
      <c r="HJ1248" s="19">
        <v>22.3</v>
      </c>
      <c r="HK1248" s="19">
        <v>21.3</v>
      </c>
      <c r="HL1248" s="19">
        <v>18.8</v>
      </c>
      <c r="HM1248" s="19">
        <v>13.7</v>
      </c>
      <c r="HN1248" s="19">
        <v>17.9</v>
      </c>
      <c r="HO1248" s="19">
        <v>17.1</v>
      </c>
      <c r="HP1248" s="19">
        <v>17.2</v>
      </c>
      <c r="HQ1248" s="19">
        <v>22</v>
      </c>
      <c r="HR1248" s="19">
        <v>24.8</v>
      </c>
      <c r="HS1248" s="19">
        <v>23.4</v>
      </c>
      <c r="HT1248" s="19">
        <v>22.5</v>
      </c>
      <c r="HU1248" s="19">
        <v>21.7</v>
      </c>
      <c r="HV1248" s="19">
        <v>20.6</v>
      </c>
      <c r="HW1248" s="19">
        <v>19.6</v>
      </c>
      <c r="HX1248" s="19">
        <v>18.6</v>
      </c>
      <c r="HY1248" s="19">
        <v>17.6</v>
      </c>
      <c r="HZ1248" s="19">
        <v>16.6</v>
      </c>
      <c r="IA1248" s="19">
        <v>15.6</v>
      </c>
      <c r="IB1248" s="19">
        <v>14.6</v>
      </c>
      <c r="IC1248" s="19">
        <v>13.5</v>
      </c>
    </row>
    <row r="1249">
      <c r="A1249" s="2" t="s">
        <v>4922</v>
      </c>
      <c r="B1249" s="2" t="s">
        <v>871</v>
      </c>
      <c r="C1249" s="2" t="s">
        <v>403</v>
      </c>
      <c r="D1249" s="2" t="s">
        <v>361</v>
      </c>
      <c r="E1249" s="2" t="s">
        <v>1024</v>
      </c>
      <c r="F1249" s="2" t="s">
        <v>4923</v>
      </c>
      <c r="G1249" s="2" t="s">
        <v>3816</v>
      </c>
      <c r="H1249" s="2" t="s">
        <v>4924</v>
      </c>
      <c r="I1249" s="2" t="s">
        <v>4925</v>
      </c>
      <c r="J1249" s="2" t="s">
        <v>250</v>
      </c>
      <c r="K1249" s="2" t="s">
        <v>550</v>
      </c>
      <c r="L1249" s="3">
        <v>57.19</v>
      </c>
      <c r="M1249" s="3">
        <v>60.05</v>
      </c>
      <c r="N1249" s="3">
        <v>124.99</v>
      </c>
      <c r="O1249" s="2" t="s">
        <v>232</v>
      </c>
      <c r="P1249" s="2" t="s">
        <v>233</v>
      </c>
      <c r="Q1249" s="2" t="s">
        <v>234</v>
      </c>
      <c r="R1249" s="2" t="s">
        <v>235</v>
      </c>
      <c r="S1249" s="2" t="s">
        <v>4926</v>
      </c>
      <c r="T1249" s="2" t="s">
        <v>501</v>
      </c>
      <c r="U1249" s="2" t="s">
        <v>3619</v>
      </c>
      <c r="V1249" s="2" t="s">
        <v>880</v>
      </c>
      <c r="W1249" s="2" t="s">
        <v>1029</v>
      </c>
      <c r="X1249" s="2" t="s">
        <v>1053</v>
      </c>
      <c r="Y1249" s="2" t="s">
        <v>240</v>
      </c>
      <c r="Z1249" s="4">
        <v>201</v>
      </c>
      <c r="AA1249" s="4">
        <f>=ROUNDDOWN(50.25,0)</f>
      </c>
      <c r="AB1249" s="5">
        <v>4</v>
      </c>
      <c r="AC1249" s="2" t="s">
        <v>235</v>
      </c>
      <c r="AD1249" s="4"/>
      <c r="AE1249" s="4"/>
      <c r="AF1249" s="6">
        <v>78</v>
      </c>
      <c r="AG1249" s="6"/>
      <c r="AH1249" s="7">
        <v>1</v>
      </c>
      <c r="AI1249" s="4"/>
      <c r="AJ1249" s="4">
        <f>=ROUNDDOWN({0},0)</f>
      </c>
      <c r="AK1249" s="5"/>
      <c r="AL1249" s="2" t="s">
        <v>235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235</v>
      </c>
      <c r="AW1249" s="8" t="s">
        <v>235</v>
      </c>
      <c r="AX1249" s="4" t="s">
        <v>235</v>
      </c>
      <c r="AY1249" s="8" t="s">
        <v>235</v>
      </c>
      <c r="AZ1249" s="7" t="s">
        <v>235</v>
      </c>
      <c r="BA1249" s="7" t="s">
        <v>235</v>
      </c>
      <c r="BB1249" s="7"/>
      <c r="BC1249" s="4" t="s">
        <v>235</v>
      </c>
      <c r="BD1249" s="8" t="s">
        <v>235</v>
      </c>
      <c r="BE1249" s="4" t="s">
        <v>235</v>
      </c>
      <c r="BF1249" s="8" t="s">
        <v>235</v>
      </c>
      <c r="BG1249" s="7" t="s">
        <v>235</v>
      </c>
      <c r="BH1249" s="7" t="s">
        <v>235</v>
      </c>
      <c r="BI1249" s="7"/>
      <c r="BJ1249" s="4">
        <v>21</v>
      </c>
      <c r="BK1249" s="8">
        <v>1416.76</v>
      </c>
      <c r="BL1249" s="2" t="s">
        <v>4927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4928</v>
      </c>
      <c r="BV1249" s="2" t="s">
        <v>243</v>
      </c>
      <c r="BW1249" s="2" t="s">
        <v>235</v>
      </c>
      <c r="BX1249" s="2" t="s">
        <v>244</v>
      </c>
      <c r="BY1249" s="2" t="s">
        <v>245</v>
      </c>
      <c r="BZ1249" s="2" t="s">
        <v>232</v>
      </c>
      <c r="CA1249" s="2" t="s">
        <v>4929</v>
      </c>
      <c r="CB1249" s="2" t="s">
        <v>4930</v>
      </c>
      <c r="CC1249" s="2" t="s">
        <v>248</v>
      </c>
      <c r="CD1249" s="2" t="s">
        <v>248</v>
      </c>
      <c r="CE1249" s="2" t="s">
        <v>235</v>
      </c>
      <c r="CF1249" s="4">
        <v>201</v>
      </c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>
        <v>203</v>
      </c>
      <c r="GE1249" s="4">
        <v>197</v>
      </c>
      <c r="GF1249" s="4">
        <v>194</v>
      </c>
      <c r="GG1249" s="4">
        <v>190</v>
      </c>
      <c r="GH1249" s="4">
        <v>186</v>
      </c>
      <c r="GI1249" s="4">
        <v>184</v>
      </c>
      <c r="GJ1249" s="4">
        <v>177</v>
      </c>
      <c r="GK1249" s="4">
        <v>173</v>
      </c>
      <c r="GL1249" s="4">
        <v>167</v>
      </c>
      <c r="GM1249" s="4">
        <v>166</v>
      </c>
      <c r="GN1249" s="4">
        <v>163</v>
      </c>
      <c r="GO1249" s="4">
        <v>157</v>
      </c>
      <c r="GP1249" s="4">
        <v>149</v>
      </c>
      <c r="GQ1249" s="4">
        <v>143</v>
      </c>
      <c r="GR1249" s="4">
        <v>123</v>
      </c>
      <c r="GS1249" s="4">
        <v>112</v>
      </c>
      <c r="GT1249" s="4">
        <v>102</v>
      </c>
      <c r="GU1249" s="4">
        <v>100</v>
      </c>
      <c r="GV1249" s="4">
        <v>98</v>
      </c>
      <c r="GW1249" s="4">
        <v>96</v>
      </c>
      <c r="GX1249" s="4">
        <v>93</v>
      </c>
      <c r="GY1249" s="4">
        <v>114</v>
      </c>
      <c r="GZ1249" s="4">
        <v>113</v>
      </c>
      <c r="HA1249" s="4">
        <v>112</v>
      </c>
      <c r="HB1249" s="4">
        <v>109</v>
      </c>
      <c r="HC1249" s="4">
        <v>102</v>
      </c>
      <c r="HD1249" s="19">
        <v>50.8</v>
      </c>
      <c r="HE1249" s="19">
        <v>65.7</v>
      </c>
      <c r="HF1249" s="19">
        <v>48.5</v>
      </c>
      <c r="HG1249" s="19">
        <v>47.5</v>
      </c>
      <c r="HH1249" s="19">
        <v>37.2</v>
      </c>
      <c r="HI1249" s="19">
        <v>46</v>
      </c>
      <c r="HJ1249" s="19">
        <v>44.3</v>
      </c>
      <c r="HK1249" s="19">
        <v>43.3</v>
      </c>
      <c r="HL1249" s="19">
        <v>41.8</v>
      </c>
      <c r="HM1249" s="19">
        <v>27.7</v>
      </c>
      <c r="HN1249" s="19">
        <v>16.3</v>
      </c>
      <c r="HO1249" s="19">
        <v>14.3</v>
      </c>
      <c r="HP1249" s="19">
        <v>12.4</v>
      </c>
      <c r="HQ1249" s="19">
        <v>13</v>
      </c>
      <c r="HR1249" s="19">
        <v>20.5</v>
      </c>
      <c r="HS1249" s="19">
        <v>28</v>
      </c>
      <c r="HT1249" s="19">
        <v>51</v>
      </c>
      <c r="HU1249" s="19">
        <v>50</v>
      </c>
      <c r="HV1249" s="19">
        <v>49</v>
      </c>
      <c r="HW1249" s="19">
        <v>48</v>
      </c>
      <c r="HX1249" s="19">
        <v>46.5</v>
      </c>
      <c r="HY1249" s="19">
        <v>38</v>
      </c>
      <c r="HZ1249" s="19">
        <v>37.7</v>
      </c>
      <c r="IA1249" s="19">
        <v>28</v>
      </c>
      <c r="IB1249" s="19">
        <v>36.3</v>
      </c>
      <c r="IC1249" s="19">
        <v>51</v>
      </c>
    </row>
    <row r="1250">
      <c r="A1250" s="2" t="s">
        <v>4931</v>
      </c>
      <c r="B1250" s="2" t="s">
        <v>871</v>
      </c>
      <c r="C1250" s="2" t="s">
        <v>403</v>
      </c>
      <c r="D1250" s="2" t="s">
        <v>361</v>
      </c>
      <c r="E1250" s="2" t="s">
        <v>1024</v>
      </c>
      <c r="F1250" s="2" t="s">
        <v>4923</v>
      </c>
      <c r="G1250" s="2" t="s">
        <v>3816</v>
      </c>
      <c r="H1250" s="2" t="s">
        <v>4924</v>
      </c>
      <c r="I1250" s="2" t="s">
        <v>4925</v>
      </c>
      <c r="J1250" s="2" t="s">
        <v>272</v>
      </c>
      <c r="K1250" s="2" t="s">
        <v>550</v>
      </c>
      <c r="L1250" s="3">
        <v>67.59</v>
      </c>
      <c r="M1250" s="3">
        <v>70.97</v>
      </c>
      <c r="N1250" s="3">
        <v>144.99</v>
      </c>
      <c r="O1250" s="2" t="s">
        <v>232</v>
      </c>
      <c r="P1250" s="2" t="s">
        <v>233</v>
      </c>
      <c r="Q1250" s="2" t="s">
        <v>234</v>
      </c>
      <c r="R1250" s="2" t="s">
        <v>235</v>
      </c>
      <c r="S1250" s="2" t="s">
        <v>4926</v>
      </c>
      <c r="T1250" s="2" t="s">
        <v>501</v>
      </c>
      <c r="U1250" s="2" t="s">
        <v>3619</v>
      </c>
      <c r="V1250" s="2" t="s">
        <v>880</v>
      </c>
      <c r="W1250" s="2" t="s">
        <v>1029</v>
      </c>
      <c r="X1250" s="2" t="s">
        <v>1053</v>
      </c>
      <c r="Y1250" s="2" t="s">
        <v>240</v>
      </c>
      <c r="Z1250" s="4">
        <v>14</v>
      </c>
      <c r="AA1250" s="4">
        <f>=ROUNDDOWN(4.66666666666667,0)</f>
      </c>
      <c r="AB1250" s="5">
        <v>3</v>
      </c>
      <c r="AC1250" s="2" t="s">
        <v>235</v>
      </c>
      <c r="AD1250" s="4"/>
      <c r="AE1250" s="4"/>
      <c r="AF1250" s="6">
        <v>78</v>
      </c>
      <c r="AG1250" s="6"/>
      <c r="AH1250" s="7">
        <v>1</v>
      </c>
      <c r="AI1250" s="4"/>
      <c r="AJ1250" s="4">
        <f>=ROUNDDOWN({0},0)</f>
      </c>
      <c r="AK1250" s="5"/>
      <c r="AL1250" s="2" t="s">
        <v>235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235</v>
      </c>
      <c r="AW1250" s="8" t="s">
        <v>235</v>
      </c>
      <c r="AX1250" s="4" t="s">
        <v>235</v>
      </c>
      <c r="AY1250" s="8" t="s">
        <v>235</v>
      </c>
      <c r="AZ1250" s="7" t="s">
        <v>235</v>
      </c>
      <c r="BA1250" s="7" t="s">
        <v>235</v>
      </c>
      <c r="BB1250" s="7"/>
      <c r="BC1250" s="4" t="s">
        <v>235</v>
      </c>
      <c r="BD1250" s="8" t="s">
        <v>235</v>
      </c>
      <c r="BE1250" s="4" t="s">
        <v>235</v>
      </c>
      <c r="BF1250" s="8" t="s">
        <v>235</v>
      </c>
      <c r="BG1250" s="7" t="s">
        <v>235</v>
      </c>
      <c r="BH1250" s="7" t="s">
        <v>235</v>
      </c>
      <c r="BI1250" s="7"/>
      <c r="BJ1250" s="4">
        <v>13</v>
      </c>
      <c r="BK1250" s="8">
        <v>1009.65</v>
      </c>
      <c r="BL1250" s="2" t="s">
        <v>4932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4928</v>
      </c>
      <c r="BV1250" s="2" t="s">
        <v>243</v>
      </c>
      <c r="BW1250" s="2" t="s">
        <v>235</v>
      </c>
      <c r="BX1250" s="2" t="s">
        <v>244</v>
      </c>
      <c r="BY1250" s="2" t="s">
        <v>245</v>
      </c>
      <c r="BZ1250" s="2" t="s">
        <v>232</v>
      </c>
      <c r="CA1250" s="2" t="s">
        <v>4929</v>
      </c>
      <c r="CB1250" s="2" t="s">
        <v>4933</v>
      </c>
      <c r="CC1250" s="2" t="s">
        <v>248</v>
      </c>
      <c r="CD1250" s="2" t="s">
        <v>248</v>
      </c>
      <c r="CE1250" s="2" t="s">
        <v>235</v>
      </c>
      <c r="CF1250" s="4">
        <v>14</v>
      </c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>
        <v>14</v>
      </c>
      <c r="GE1250" s="4">
        <v>12</v>
      </c>
      <c r="GF1250" s="4">
        <v>11</v>
      </c>
      <c r="GG1250" s="4">
        <v>8</v>
      </c>
      <c r="GH1250" s="4">
        <v>5</v>
      </c>
      <c r="GI1250" s="4">
        <v>5</v>
      </c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>
        <v>82</v>
      </c>
      <c r="GZ1250" s="4">
        <v>80</v>
      </c>
      <c r="HA1250" s="4">
        <v>80</v>
      </c>
      <c r="HB1250" s="4">
        <v>78</v>
      </c>
      <c r="HC1250" s="4">
        <v>70</v>
      </c>
      <c r="HD1250" s="19">
        <v>7</v>
      </c>
      <c r="HE1250" s="19">
        <v>6</v>
      </c>
      <c r="HF1250" s="19">
        <v>3.7</v>
      </c>
      <c r="HG1250" s="19">
        <v>2.7</v>
      </c>
      <c r="HH1250" s="19">
        <v>1.7</v>
      </c>
      <c r="HI1250" s="19">
        <v>1.3</v>
      </c>
      <c r="HJ1250" s="20">
        <v>0</v>
      </c>
      <c r="HK1250" s="20">
        <v>0</v>
      </c>
      <c r="HL1250" s="20">
        <v>0</v>
      </c>
      <c r="HM1250" s="20">
        <v>0</v>
      </c>
      <c r="HN1250" s="20">
        <v>0</v>
      </c>
      <c r="HO1250" s="20">
        <v>0</v>
      </c>
      <c r="HP1250" s="20">
        <v>0</v>
      </c>
      <c r="HQ1250" s="20">
        <v>0</v>
      </c>
      <c r="HR1250" s="20">
        <v>0</v>
      </c>
      <c r="HS1250" s="20">
        <v>0</v>
      </c>
      <c r="HT1250" s="20">
        <v>0</v>
      </c>
      <c r="HU1250" s="20">
        <v>0</v>
      </c>
      <c r="HV1250" s="20">
        <v>0</v>
      </c>
      <c r="HW1250" s="20">
        <v>0</v>
      </c>
      <c r="HX1250" s="20">
        <v>0</v>
      </c>
      <c r="HY1250" s="19">
        <v>27.3</v>
      </c>
      <c r="HZ1250" s="19">
        <v>26.7</v>
      </c>
      <c r="IA1250" s="19">
        <v>20</v>
      </c>
      <c r="IB1250" s="19">
        <v>19.5</v>
      </c>
      <c r="IC1250" s="19">
        <v>23.3</v>
      </c>
    </row>
    <row r="1251">
      <c r="A1251" s="2" t="s">
        <v>4934</v>
      </c>
      <c r="B1251" s="2" t="s">
        <v>1529</v>
      </c>
      <c r="C1251" s="2" t="s">
        <v>1381</v>
      </c>
      <c r="D1251" s="2" t="s">
        <v>4257</v>
      </c>
      <c r="E1251" s="2" t="s">
        <v>4258</v>
      </c>
      <c r="F1251" s="2" t="s">
        <v>4935</v>
      </c>
      <c r="G1251" s="2" t="s">
        <v>4935</v>
      </c>
      <c r="H1251" s="2" t="s">
        <v>4935</v>
      </c>
      <c r="I1251" s="2" t="s">
        <v>4936</v>
      </c>
      <c r="J1251" s="2" t="s">
        <v>897</v>
      </c>
      <c r="K1251" s="2" t="s">
        <v>4937</v>
      </c>
      <c r="L1251" s="3">
        <v>427.86</v>
      </c>
      <c r="M1251" s="3">
        <v>449.25</v>
      </c>
      <c r="N1251" s="3">
        <v>1299</v>
      </c>
      <c r="O1251" s="2" t="s">
        <v>232</v>
      </c>
      <c r="P1251" s="2" t="s">
        <v>1533</v>
      </c>
      <c r="Q1251" s="2" t="s">
        <v>492</v>
      </c>
      <c r="R1251" s="2" t="s">
        <v>235</v>
      </c>
      <c r="S1251" s="2" t="s">
        <v>235</v>
      </c>
      <c r="T1251" s="2" t="s">
        <v>235</v>
      </c>
      <c r="U1251" s="2" t="s">
        <v>807</v>
      </c>
      <c r="V1251" s="2" t="s">
        <v>238</v>
      </c>
      <c r="W1251" s="2" t="s">
        <v>235</v>
      </c>
      <c r="X1251" s="2" t="s">
        <v>235</v>
      </c>
      <c r="Y1251" s="2" t="s">
        <v>2279</v>
      </c>
      <c r="Z1251" s="4"/>
      <c r="AA1251" s="4">
        <f>=ROUNDDOWN({0},0)</f>
      </c>
      <c r="AB1251" s="5">
        <v>0.3</v>
      </c>
      <c r="AC1251" s="2" t="s">
        <v>235</v>
      </c>
      <c r="AD1251" s="4"/>
      <c r="AE1251" s="4"/>
      <c r="AF1251" s="6">
        <v>66</v>
      </c>
      <c r="AG1251" s="6"/>
      <c r="AH1251" s="7">
        <v>0</v>
      </c>
      <c r="AI1251" s="4"/>
      <c r="AJ1251" s="4">
        <f>=ROUNDDOWN({0},0)</f>
      </c>
      <c r="AK1251" s="5"/>
      <c r="AL1251" s="2" t="s">
        <v>235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 t="s">
        <v>235</v>
      </c>
      <c r="BD1251" s="8" t="s">
        <v>235</v>
      </c>
      <c r="BE1251" s="4" t="s">
        <v>235</v>
      </c>
      <c r="BF1251" s="8" t="s">
        <v>235</v>
      </c>
      <c r="BG1251" s="7" t="s">
        <v>235</v>
      </c>
      <c r="BH1251" s="7" t="s">
        <v>235</v>
      </c>
      <c r="BI1251" s="7"/>
      <c r="BJ1251" s="4"/>
      <c r="BK1251" s="8"/>
      <c r="BL1251" s="2" t="s">
        <v>900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4938</v>
      </c>
      <c r="BV1251" s="2" t="s">
        <v>1448</v>
      </c>
      <c r="BW1251" s="2" t="s">
        <v>235</v>
      </c>
      <c r="BX1251" s="2" t="s">
        <v>244</v>
      </c>
      <c r="BY1251" s="2" t="s">
        <v>245</v>
      </c>
      <c r="BZ1251" s="2" t="s">
        <v>232</v>
      </c>
      <c r="CA1251" s="2" t="s">
        <v>2842</v>
      </c>
      <c r="CB1251" s="2" t="s">
        <v>235</v>
      </c>
      <c r="CC1251" s="2" t="s">
        <v>248</v>
      </c>
      <c r="CD1251" s="2" t="s">
        <v>248</v>
      </c>
      <c r="CE1251" s="2" t="s">
        <v>235</v>
      </c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9"/>
      <c r="HE1251" s="9"/>
      <c r="HF1251" s="9"/>
      <c r="HG1251" s="9"/>
      <c r="HH1251" s="9"/>
      <c r="HI1251" s="9"/>
      <c r="HJ1251" s="9"/>
      <c r="HK1251" s="9"/>
      <c r="HL1251" s="9"/>
      <c r="HM1251" s="9"/>
      <c r="HN1251" s="9"/>
      <c r="HO1251" s="9"/>
      <c r="HP1251" s="9"/>
      <c r="HQ1251" s="9"/>
      <c r="HR1251" s="9"/>
      <c r="HS1251" s="9"/>
      <c r="HT1251" s="9"/>
      <c r="HU1251" s="9"/>
      <c r="HV1251" s="9"/>
      <c r="HW1251" s="9"/>
      <c r="HX1251" s="9"/>
      <c r="HY1251" s="9"/>
      <c r="HZ1251" s="9"/>
      <c r="IA1251" s="9"/>
      <c r="IB1251" s="9"/>
      <c r="IC1251" s="9"/>
    </row>
    <row r="1252">
      <c r="A1252" s="2" t="s">
        <v>4939</v>
      </c>
      <c r="B1252" s="2" t="s">
        <v>1529</v>
      </c>
      <c r="C1252" s="2" t="s">
        <v>1381</v>
      </c>
      <c r="D1252" s="2" t="s">
        <v>4257</v>
      </c>
      <c r="E1252" s="2" t="s">
        <v>4258</v>
      </c>
      <c r="F1252" s="2" t="s">
        <v>4935</v>
      </c>
      <c r="G1252" s="2" t="s">
        <v>4935</v>
      </c>
      <c r="H1252" s="2" t="s">
        <v>4935</v>
      </c>
      <c r="I1252" s="2" t="s">
        <v>4936</v>
      </c>
      <c r="J1252" s="2" t="s">
        <v>897</v>
      </c>
      <c r="K1252" s="2" t="s">
        <v>1546</v>
      </c>
      <c r="L1252" s="3">
        <v>427.86</v>
      </c>
      <c r="M1252" s="3">
        <v>449.25</v>
      </c>
      <c r="N1252" s="3">
        <v>1299</v>
      </c>
      <c r="O1252" s="2" t="s">
        <v>232</v>
      </c>
      <c r="P1252" s="2" t="s">
        <v>1533</v>
      </c>
      <c r="Q1252" s="2" t="s">
        <v>492</v>
      </c>
      <c r="R1252" s="2" t="s">
        <v>235</v>
      </c>
      <c r="S1252" s="2" t="s">
        <v>235</v>
      </c>
      <c r="T1252" s="2" t="s">
        <v>235</v>
      </c>
      <c r="U1252" s="2" t="s">
        <v>807</v>
      </c>
      <c r="V1252" s="2" t="s">
        <v>238</v>
      </c>
      <c r="W1252" s="2" t="s">
        <v>235</v>
      </c>
      <c r="X1252" s="2" t="s">
        <v>235</v>
      </c>
      <c r="Y1252" s="2" t="s">
        <v>2279</v>
      </c>
      <c r="Z1252" s="4">
        <v>31</v>
      </c>
      <c r="AA1252" s="4">
        <f>=ROUNDDOWN(103.333333333333,0)</f>
      </c>
      <c r="AB1252" s="5">
        <v>0.3</v>
      </c>
      <c r="AC1252" s="2" t="s">
        <v>235</v>
      </c>
      <c r="AD1252" s="4"/>
      <c r="AE1252" s="4"/>
      <c r="AF1252" s="6">
        <v>66</v>
      </c>
      <c r="AG1252" s="6"/>
      <c r="AH1252" s="7">
        <v>1</v>
      </c>
      <c r="AI1252" s="4"/>
      <c r="AJ1252" s="4">
        <f>=ROUNDDOWN({0},0)</f>
      </c>
      <c r="AK1252" s="5"/>
      <c r="AL1252" s="2" t="s">
        <v>235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 t="s">
        <v>235</v>
      </c>
      <c r="BD1252" s="8" t="s">
        <v>235</v>
      </c>
      <c r="BE1252" s="4" t="s">
        <v>235</v>
      </c>
      <c r="BF1252" s="8" t="s">
        <v>235</v>
      </c>
      <c r="BG1252" s="7" t="s">
        <v>235</v>
      </c>
      <c r="BH1252" s="7" t="s">
        <v>235</v>
      </c>
      <c r="BI1252" s="7"/>
      <c r="BJ1252" s="4">
        <v>1</v>
      </c>
      <c r="BK1252" s="8">
        <v>323.46</v>
      </c>
      <c r="BL1252" s="2" t="s">
        <v>900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4938</v>
      </c>
      <c r="BV1252" s="2" t="s">
        <v>1448</v>
      </c>
      <c r="BW1252" s="2" t="s">
        <v>235</v>
      </c>
      <c r="BX1252" s="2" t="s">
        <v>244</v>
      </c>
      <c r="BY1252" s="2" t="s">
        <v>245</v>
      </c>
      <c r="BZ1252" s="2" t="s">
        <v>232</v>
      </c>
      <c r="CA1252" s="2" t="s">
        <v>1376</v>
      </c>
      <c r="CB1252" s="2" t="s">
        <v>235</v>
      </c>
      <c r="CC1252" s="2" t="s">
        <v>248</v>
      </c>
      <c r="CD1252" s="2" t="s">
        <v>248</v>
      </c>
      <c r="CE1252" s="2" t="s">
        <v>235</v>
      </c>
      <c r="CF1252" s="4"/>
      <c r="CG1252" s="4">
        <v>22</v>
      </c>
      <c r="CH1252" s="4"/>
      <c r="CI1252" s="4">
        <v>9</v>
      </c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>
        <v>23</v>
      </c>
      <c r="GE1252" s="4">
        <v>22</v>
      </c>
      <c r="GF1252" s="4">
        <v>22</v>
      </c>
      <c r="GG1252" s="4">
        <v>22</v>
      </c>
      <c r="GH1252" s="4">
        <v>22</v>
      </c>
      <c r="GI1252" s="4">
        <v>22</v>
      </c>
      <c r="GJ1252" s="4">
        <v>22</v>
      </c>
      <c r="GK1252" s="4">
        <v>22</v>
      </c>
      <c r="GL1252" s="4">
        <v>22</v>
      </c>
      <c r="GM1252" s="4">
        <v>22</v>
      </c>
      <c r="GN1252" s="4">
        <v>22</v>
      </c>
      <c r="GO1252" s="4">
        <v>22</v>
      </c>
      <c r="GP1252" s="4">
        <v>22</v>
      </c>
      <c r="GQ1252" s="4">
        <v>22</v>
      </c>
      <c r="GR1252" s="4">
        <v>22</v>
      </c>
      <c r="GS1252" s="4">
        <v>22</v>
      </c>
      <c r="GT1252" s="4">
        <v>22</v>
      </c>
      <c r="GU1252" s="4">
        <v>22</v>
      </c>
      <c r="GV1252" s="4">
        <v>22</v>
      </c>
      <c r="GW1252" s="4">
        <v>22</v>
      </c>
      <c r="GX1252" s="4">
        <v>22</v>
      </c>
      <c r="GY1252" s="4">
        <v>22</v>
      </c>
      <c r="GZ1252" s="4">
        <v>22</v>
      </c>
      <c r="HA1252" s="4">
        <v>22</v>
      </c>
      <c r="HB1252" s="4">
        <v>22</v>
      </c>
      <c r="HC1252" s="4">
        <v>22</v>
      </c>
      <c r="HD1252" s="20">
        <v>0</v>
      </c>
      <c r="HE1252" s="9"/>
      <c r="HF1252" s="9"/>
      <c r="HG1252" s="9"/>
      <c r="HH1252" s="9"/>
      <c r="HI1252" s="9"/>
      <c r="HJ1252" s="9"/>
      <c r="HK1252" s="9"/>
      <c r="HL1252" s="9"/>
      <c r="HM1252" s="9"/>
      <c r="HN1252" s="9"/>
      <c r="HO1252" s="9"/>
      <c r="HP1252" s="9"/>
      <c r="HQ1252" s="9"/>
      <c r="HR1252" s="9"/>
      <c r="HS1252" s="9"/>
      <c r="HT1252" s="9"/>
      <c r="HU1252" s="9"/>
      <c r="HV1252" s="9"/>
      <c r="HW1252" s="9"/>
      <c r="HX1252" s="9"/>
      <c r="HY1252" s="9"/>
      <c r="HZ1252" s="9"/>
      <c r="IA1252" s="9"/>
      <c r="IB1252" s="9"/>
      <c r="IC1252" s="9"/>
    </row>
    <row r="1253">
      <c r="A1253" s="2" t="s">
        <v>4940</v>
      </c>
      <c r="B1253" s="2" t="s">
        <v>1071</v>
      </c>
      <c r="C1253" s="2" t="s">
        <v>893</v>
      </c>
      <c r="D1253" s="2" t="s">
        <v>4374</v>
      </c>
      <c r="E1253" s="2" t="s">
        <v>330</v>
      </c>
      <c r="F1253" s="2" t="s">
        <v>4941</v>
      </c>
      <c r="G1253" s="2" t="s">
        <v>235</v>
      </c>
      <c r="H1253" s="2" t="s">
        <v>235</v>
      </c>
      <c r="I1253" s="2" t="s">
        <v>235</v>
      </c>
      <c r="J1253" s="2" t="s">
        <v>4942</v>
      </c>
      <c r="K1253" s="2" t="s">
        <v>4943</v>
      </c>
      <c r="L1253" s="3">
        <v>155.02</v>
      </c>
      <c r="M1253" s="3"/>
      <c r="N1253" s="3"/>
      <c r="O1253" s="2" t="s">
        <v>327</v>
      </c>
      <c r="P1253" s="2" t="s">
        <v>235</v>
      </c>
      <c r="Q1253" s="2" t="s">
        <v>235</v>
      </c>
      <c r="R1253" s="2" t="s">
        <v>2425</v>
      </c>
      <c r="S1253" s="2" t="s">
        <v>235</v>
      </c>
      <c r="T1253" s="2" t="s">
        <v>235</v>
      </c>
      <c r="U1253" s="2" t="s">
        <v>235</v>
      </c>
      <c r="V1253" s="2" t="s">
        <v>235</v>
      </c>
      <c r="W1253" s="2" t="s">
        <v>235</v>
      </c>
      <c r="X1253" s="2" t="s">
        <v>235</v>
      </c>
      <c r="Y1253" s="2" t="s">
        <v>235</v>
      </c>
      <c r="Z1253" s="4"/>
      <c r="AA1253" s="4">
        <f>=ROUNDDOWN({0},0)</f>
      </c>
      <c r="AB1253" s="5"/>
      <c r="AC1253" s="2" t="s">
        <v>235</v>
      </c>
      <c r="AD1253" s="4"/>
      <c r="AE1253" s="4"/>
      <c r="AF1253" s="6"/>
      <c r="AG1253" s="6"/>
      <c r="AH1253" s="7"/>
      <c r="AI1253" s="4"/>
      <c r="AJ1253" s="4">
        <f>=ROUNDDOWN({0},0)</f>
      </c>
      <c r="AK1253" s="5"/>
      <c r="AL1253" s="2" t="s">
        <v>235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235</v>
      </c>
      <c r="AW1253" s="8" t="s">
        <v>235</v>
      </c>
      <c r="AX1253" s="4" t="s">
        <v>235</v>
      </c>
      <c r="AY1253" s="8" t="s">
        <v>235</v>
      </c>
      <c r="AZ1253" s="7" t="s">
        <v>235</v>
      </c>
      <c r="BA1253" s="7" t="s">
        <v>235</v>
      </c>
      <c r="BB1253" s="7"/>
      <c r="BC1253" s="4" t="s">
        <v>235</v>
      </c>
      <c r="BD1253" s="8" t="s">
        <v>235</v>
      </c>
      <c r="BE1253" s="4" t="s">
        <v>235</v>
      </c>
      <c r="BF1253" s="8" t="s">
        <v>235</v>
      </c>
      <c r="BG1253" s="7" t="s">
        <v>235</v>
      </c>
      <c r="BH1253" s="7" t="s">
        <v>235</v>
      </c>
      <c r="BI1253" s="7"/>
      <c r="BJ1253" s="4"/>
      <c r="BK1253" s="8"/>
      <c r="BL1253" s="2" t="s">
        <v>235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235</v>
      </c>
      <c r="BV1253" s="2" t="s">
        <v>235</v>
      </c>
      <c r="BW1253" s="2" t="s">
        <v>235</v>
      </c>
      <c r="BX1253" s="2" t="s">
        <v>235</v>
      </c>
      <c r="BY1253" s="2" t="s">
        <v>235</v>
      </c>
      <c r="BZ1253" s="2" t="s">
        <v>235</v>
      </c>
      <c r="CA1253" s="2" t="s">
        <v>235</v>
      </c>
      <c r="CB1253" s="2" t="s">
        <v>235</v>
      </c>
      <c r="CC1253" s="2" t="s">
        <v>235</v>
      </c>
      <c r="CD1253" s="2" t="s">
        <v>235</v>
      </c>
      <c r="CE1253" s="2" t="s">
        <v>235</v>
      </c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9"/>
      <c r="HE1253" s="9"/>
      <c r="HF1253" s="9"/>
      <c r="HG1253" s="9"/>
      <c r="HH1253" s="9"/>
      <c r="HI1253" s="9"/>
      <c r="HJ1253" s="9"/>
      <c r="HK1253" s="9"/>
      <c r="HL1253" s="9"/>
      <c r="HM1253" s="9"/>
      <c r="HN1253" s="9"/>
      <c r="HO1253" s="9"/>
      <c r="HP1253" s="9"/>
      <c r="HQ1253" s="9"/>
      <c r="HR1253" s="9"/>
      <c r="HS1253" s="9"/>
      <c r="HT1253" s="9"/>
      <c r="HU1253" s="9"/>
      <c r="HV1253" s="9"/>
      <c r="HW1253" s="9"/>
      <c r="HX1253" s="9"/>
      <c r="HY1253" s="9"/>
      <c r="HZ1253" s="9"/>
      <c r="IA1253" s="9"/>
      <c r="IB1253" s="9"/>
      <c r="IC1253" s="9"/>
    </row>
    <row r="1254">
      <c r="A1254" s="2" t="s">
        <v>4944</v>
      </c>
      <c r="B1254" s="2" t="s">
        <v>1071</v>
      </c>
      <c r="C1254" s="2" t="s">
        <v>893</v>
      </c>
      <c r="D1254" s="2" t="s">
        <v>4374</v>
      </c>
      <c r="E1254" s="2" t="s">
        <v>330</v>
      </c>
      <c r="F1254" s="2" t="s">
        <v>4941</v>
      </c>
      <c r="G1254" s="2" t="s">
        <v>235</v>
      </c>
      <c r="H1254" s="2" t="s">
        <v>235</v>
      </c>
      <c r="I1254" s="2" t="s">
        <v>235</v>
      </c>
      <c r="J1254" s="2" t="s">
        <v>4945</v>
      </c>
      <c r="K1254" s="2" t="s">
        <v>4943</v>
      </c>
      <c r="L1254" s="3">
        <v>234.98</v>
      </c>
      <c r="M1254" s="3"/>
      <c r="N1254" s="3"/>
      <c r="O1254" s="2" t="s">
        <v>327</v>
      </c>
      <c r="P1254" s="2" t="s">
        <v>235</v>
      </c>
      <c r="Q1254" s="2" t="s">
        <v>235</v>
      </c>
      <c r="R1254" s="2" t="s">
        <v>2425</v>
      </c>
      <c r="S1254" s="2" t="s">
        <v>235</v>
      </c>
      <c r="T1254" s="2" t="s">
        <v>235</v>
      </c>
      <c r="U1254" s="2" t="s">
        <v>235</v>
      </c>
      <c r="V1254" s="2" t="s">
        <v>235</v>
      </c>
      <c r="W1254" s="2" t="s">
        <v>235</v>
      </c>
      <c r="X1254" s="2" t="s">
        <v>235</v>
      </c>
      <c r="Y1254" s="2" t="s">
        <v>235</v>
      </c>
      <c r="Z1254" s="4">
        <v>4</v>
      </c>
      <c r="AA1254" s="4">
        <f>=ROUNDDOWN({0},0)</f>
      </c>
      <c r="AB1254" s="5"/>
      <c r="AC1254" s="2" t="s">
        <v>235</v>
      </c>
      <c r="AD1254" s="4"/>
      <c r="AE1254" s="4"/>
      <c r="AF1254" s="6"/>
      <c r="AG1254" s="6"/>
      <c r="AH1254" s="7"/>
      <c r="AI1254" s="4"/>
      <c r="AJ1254" s="4">
        <f>=ROUNDDOWN({0},0)</f>
      </c>
      <c r="AK1254" s="5"/>
      <c r="AL1254" s="2" t="s">
        <v>235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235</v>
      </c>
      <c r="AW1254" s="8" t="s">
        <v>235</v>
      </c>
      <c r="AX1254" s="4" t="s">
        <v>235</v>
      </c>
      <c r="AY1254" s="8" t="s">
        <v>235</v>
      </c>
      <c r="AZ1254" s="7" t="s">
        <v>235</v>
      </c>
      <c r="BA1254" s="7" t="s">
        <v>235</v>
      </c>
      <c r="BB1254" s="7"/>
      <c r="BC1254" s="4" t="s">
        <v>235</v>
      </c>
      <c r="BD1254" s="8" t="s">
        <v>235</v>
      </c>
      <c r="BE1254" s="4" t="s">
        <v>235</v>
      </c>
      <c r="BF1254" s="8" t="s">
        <v>235</v>
      </c>
      <c r="BG1254" s="7" t="s">
        <v>235</v>
      </c>
      <c r="BH1254" s="7" t="s">
        <v>235</v>
      </c>
      <c r="BI1254" s="7"/>
      <c r="BJ1254" s="4"/>
      <c r="BK1254" s="8"/>
      <c r="BL1254" s="2" t="s">
        <v>235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235</v>
      </c>
      <c r="BV1254" s="2" t="s">
        <v>235</v>
      </c>
      <c r="BW1254" s="2" t="s">
        <v>235</v>
      </c>
      <c r="BX1254" s="2" t="s">
        <v>235</v>
      </c>
      <c r="BY1254" s="2" t="s">
        <v>235</v>
      </c>
      <c r="BZ1254" s="2" t="s">
        <v>235</v>
      </c>
      <c r="CA1254" s="2" t="s">
        <v>235</v>
      </c>
      <c r="CB1254" s="2" t="s">
        <v>235</v>
      </c>
      <c r="CC1254" s="2" t="s">
        <v>235</v>
      </c>
      <c r="CD1254" s="2" t="s">
        <v>235</v>
      </c>
      <c r="CE1254" s="2" t="s">
        <v>235</v>
      </c>
      <c r="CF1254" s="4"/>
      <c r="CG1254" s="4">
        <v>4</v>
      </c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9"/>
      <c r="HE1254" s="9"/>
      <c r="HF1254" s="9"/>
      <c r="HG1254" s="9"/>
      <c r="HH1254" s="9"/>
      <c r="HI1254" s="9"/>
      <c r="HJ1254" s="9"/>
      <c r="HK1254" s="9"/>
      <c r="HL1254" s="9"/>
      <c r="HM1254" s="9"/>
      <c r="HN1254" s="9"/>
      <c r="HO1254" s="9"/>
      <c r="HP1254" s="9"/>
      <c r="HQ1254" s="9"/>
      <c r="HR1254" s="9"/>
      <c r="HS1254" s="9"/>
      <c r="HT1254" s="9"/>
      <c r="HU1254" s="9"/>
      <c r="HV1254" s="9"/>
      <c r="HW1254" s="9"/>
      <c r="HX1254" s="9"/>
      <c r="HY1254" s="9"/>
      <c r="HZ1254" s="9"/>
      <c r="IA1254" s="9"/>
      <c r="IB1254" s="9"/>
      <c r="IC1254" s="9"/>
    </row>
    <row r="1255">
      <c r="A1255" s="2" t="s">
        <v>4946</v>
      </c>
      <c r="B1255" s="2" t="s">
        <v>871</v>
      </c>
      <c r="C1255" s="2" t="s">
        <v>923</v>
      </c>
      <c r="D1255" s="2" t="s">
        <v>1452</v>
      </c>
      <c r="E1255" s="2" t="s">
        <v>1453</v>
      </c>
      <c r="F1255" s="2" t="s">
        <v>4947</v>
      </c>
      <c r="G1255" s="2" t="s">
        <v>2199</v>
      </c>
      <c r="H1255" s="2" t="s">
        <v>4948</v>
      </c>
      <c r="I1255" s="2" t="s">
        <v>4949</v>
      </c>
      <c r="J1255" s="2" t="s">
        <v>365</v>
      </c>
      <c r="K1255" s="2" t="s">
        <v>378</v>
      </c>
      <c r="L1255" s="3">
        <v>59.99</v>
      </c>
      <c r="M1255" s="3">
        <v>62.99</v>
      </c>
      <c r="N1255" s="3">
        <v>119.99</v>
      </c>
      <c r="O1255" s="2" t="s">
        <v>485</v>
      </c>
      <c r="P1255" s="2" t="s">
        <v>408</v>
      </c>
      <c r="Q1255" s="2" t="s">
        <v>234</v>
      </c>
      <c r="R1255" s="2" t="s">
        <v>235</v>
      </c>
      <c r="S1255" s="2" t="s">
        <v>4950</v>
      </c>
      <c r="T1255" s="2" t="s">
        <v>263</v>
      </c>
      <c r="U1255" s="2" t="s">
        <v>742</v>
      </c>
      <c r="V1255" s="2" t="s">
        <v>1394</v>
      </c>
      <c r="W1255" s="2" t="s">
        <v>1681</v>
      </c>
      <c r="X1255" s="2" t="s">
        <v>682</v>
      </c>
      <c r="Y1255" s="2" t="s">
        <v>1928</v>
      </c>
      <c r="Z1255" s="4"/>
      <c r="AA1255" s="4">
        <f>=ROUNDDOWN({0},0)</f>
      </c>
      <c r="AB1255" s="5">
        <v>2</v>
      </c>
      <c r="AC1255" s="2" t="s">
        <v>235</v>
      </c>
      <c r="AD1255" s="4"/>
      <c r="AE1255" s="4"/>
      <c r="AF1255" s="6">
        <v>78</v>
      </c>
      <c r="AG1255" s="6"/>
      <c r="AH1255" s="7">
        <v>0.8387</v>
      </c>
      <c r="AI1255" s="4"/>
      <c r="AJ1255" s="4">
        <f>=ROUNDDOWN({0},0)</f>
      </c>
      <c r="AK1255" s="5"/>
      <c r="AL1255" s="2" t="s">
        <v>235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>
        <v>10</v>
      </c>
      <c r="BK1255" s="8">
        <v>644.62</v>
      </c>
      <c r="BL1255" s="2" t="s">
        <v>4951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4952</v>
      </c>
      <c r="BV1255" s="2" t="s">
        <v>243</v>
      </c>
      <c r="BW1255" s="2" t="s">
        <v>235</v>
      </c>
      <c r="BX1255" s="2" t="s">
        <v>414</v>
      </c>
      <c r="BY1255" s="2" t="s">
        <v>245</v>
      </c>
      <c r="BZ1255" s="2" t="s">
        <v>232</v>
      </c>
      <c r="CA1255" s="2" t="s">
        <v>4131</v>
      </c>
      <c r="CB1255" s="2" t="s">
        <v>4953</v>
      </c>
      <c r="CC1255" s="2" t="s">
        <v>492</v>
      </c>
      <c r="CD1255" s="2" t="s">
        <v>248</v>
      </c>
      <c r="CE1255" s="2" t="s">
        <v>235</v>
      </c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>
        <v>216</v>
      </c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19">
        <v>3.9</v>
      </c>
      <c r="HE1255" s="20">
        <v>0</v>
      </c>
      <c r="HF1255" s="20">
        <v>0</v>
      </c>
      <c r="HG1255" s="20">
        <v>0</v>
      </c>
      <c r="HH1255" s="20">
        <v>0</v>
      </c>
      <c r="HI1255" s="20">
        <v>0</v>
      </c>
      <c r="HJ1255" s="20">
        <v>0</v>
      </c>
      <c r="HK1255" s="20">
        <v>0</v>
      </c>
      <c r="HL1255" s="20">
        <v>0</v>
      </c>
      <c r="HM1255" s="20">
        <v>0</v>
      </c>
      <c r="HN1255" s="20">
        <v>0</v>
      </c>
      <c r="HO1255" s="20">
        <v>0</v>
      </c>
      <c r="HP1255" s="20">
        <v>0</v>
      </c>
      <c r="HQ1255" s="20">
        <v>0</v>
      </c>
      <c r="HR1255" s="20">
        <v>0</v>
      </c>
      <c r="HS1255" s="20">
        <v>0</v>
      </c>
      <c r="HT1255" s="20">
        <v>0</v>
      </c>
      <c r="HU1255" s="20">
        <v>0</v>
      </c>
      <c r="HV1255" s="20">
        <v>0</v>
      </c>
      <c r="HW1255" s="20">
        <v>0</v>
      </c>
      <c r="HX1255" s="20">
        <v>0</v>
      </c>
      <c r="HY1255" s="20">
        <v>0</v>
      </c>
      <c r="HZ1255" s="20">
        <v>0</v>
      </c>
      <c r="IA1255" s="20">
        <v>0</v>
      </c>
      <c r="IB1255" s="20">
        <v>0</v>
      </c>
      <c r="IC1255" s="20">
        <v>0</v>
      </c>
    </row>
    <row r="1256">
      <c r="A1256" s="2" t="s">
        <v>4954</v>
      </c>
      <c r="B1256" s="2" t="s">
        <v>905</v>
      </c>
      <c r="C1256" s="2" t="s">
        <v>403</v>
      </c>
      <c r="D1256" s="2" t="s">
        <v>361</v>
      </c>
      <c r="E1256" s="2" t="s">
        <v>924</v>
      </c>
      <c r="F1256" s="2" t="s">
        <v>4955</v>
      </c>
      <c r="G1256" s="2" t="s">
        <v>4956</v>
      </c>
      <c r="H1256" s="2" t="s">
        <v>4956</v>
      </c>
      <c r="I1256" s="2" t="s">
        <v>4957</v>
      </c>
      <c r="J1256" s="2" t="s">
        <v>877</v>
      </c>
      <c r="K1256" s="2" t="s">
        <v>1080</v>
      </c>
      <c r="L1256" s="3">
        <v>21.34</v>
      </c>
      <c r="M1256" s="3">
        <v>22.41</v>
      </c>
      <c r="N1256" s="3">
        <v>44.99</v>
      </c>
      <c r="O1256" s="2" t="s">
        <v>232</v>
      </c>
      <c r="P1256" s="2" t="s">
        <v>233</v>
      </c>
      <c r="Q1256" s="2" t="s">
        <v>234</v>
      </c>
      <c r="R1256" s="2" t="s">
        <v>235</v>
      </c>
      <c r="S1256" s="2" t="s">
        <v>4958</v>
      </c>
      <c r="T1256" s="2" t="s">
        <v>501</v>
      </c>
      <c r="U1256" s="2" t="s">
        <v>278</v>
      </c>
      <c r="V1256" s="2" t="s">
        <v>238</v>
      </c>
      <c r="W1256" s="2" t="s">
        <v>239</v>
      </c>
      <c r="X1256" s="2" t="s">
        <v>235</v>
      </c>
      <c r="Y1256" s="2" t="s">
        <v>240</v>
      </c>
      <c r="Z1256" s="4">
        <v>218</v>
      </c>
      <c r="AA1256" s="4">
        <f>=ROUNDDOWN(38.9285714285714,0)</f>
      </c>
      <c r="AB1256" s="5">
        <v>5.6</v>
      </c>
      <c r="AC1256" s="2" t="s">
        <v>235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235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235</v>
      </c>
      <c r="AW1256" s="8" t="s">
        <v>235</v>
      </c>
      <c r="AX1256" s="4" t="s">
        <v>235</v>
      </c>
      <c r="AY1256" s="8" t="s">
        <v>235</v>
      </c>
      <c r="AZ1256" s="7" t="s">
        <v>235</v>
      </c>
      <c r="BA1256" s="7" t="s">
        <v>235</v>
      </c>
      <c r="BB1256" s="7"/>
      <c r="BC1256" s="4" t="s">
        <v>235</v>
      </c>
      <c r="BD1256" s="8" t="s">
        <v>235</v>
      </c>
      <c r="BE1256" s="4" t="s">
        <v>235</v>
      </c>
      <c r="BF1256" s="8" t="s">
        <v>235</v>
      </c>
      <c r="BG1256" s="7" t="s">
        <v>235</v>
      </c>
      <c r="BH1256" s="7" t="s">
        <v>235</v>
      </c>
      <c r="BI1256" s="7"/>
      <c r="BJ1256" s="4">
        <v>46</v>
      </c>
      <c r="BK1256" s="8">
        <v>1048.61</v>
      </c>
      <c r="BL1256" s="2" t="s">
        <v>4959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4960</v>
      </c>
      <c r="BV1256" s="2" t="s">
        <v>243</v>
      </c>
      <c r="BW1256" s="2" t="s">
        <v>235</v>
      </c>
      <c r="BX1256" s="2" t="s">
        <v>244</v>
      </c>
      <c r="BY1256" s="2" t="s">
        <v>245</v>
      </c>
      <c r="BZ1256" s="2" t="s">
        <v>232</v>
      </c>
      <c r="CA1256" s="2" t="s">
        <v>252</v>
      </c>
      <c r="CB1256" s="2" t="s">
        <v>4961</v>
      </c>
      <c r="CC1256" s="2" t="s">
        <v>248</v>
      </c>
      <c r="CD1256" s="2" t="s">
        <v>248</v>
      </c>
      <c r="CE1256" s="2" t="s">
        <v>235</v>
      </c>
      <c r="CF1256" s="4">
        <v>169</v>
      </c>
      <c r="CG1256" s="4"/>
      <c r="CH1256" s="4"/>
      <c r="CI1256" s="4">
        <v>49</v>
      </c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>
        <v>219</v>
      </c>
      <c r="GE1256" s="4">
        <v>213</v>
      </c>
      <c r="GF1256" s="4">
        <v>208</v>
      </c>
      <c r="GG1256" s="4">
        <v>203</v>
      </c>
      <c r="GH1256" s="4">
        <v>198</v>
      </c>
      <c r="GI1256" s="4">
        <v>192</v>
      </c>
      <c r="GJ1256" s="4">
        <v>186</v>
      </c>
      <c r="GK1256" s="4">
        <v>180</v>
      </c>
      <c r="GL1256" s="4">
        <v>174</v>
      </c>
      <c r="GM1256" s="4">
        <v>168</v>
      </c>
      <c r="GN1256" s="4">
        <v>163</v>
      </c>
      <c r="GO1256" s="4">
        <v>155</v>
      </c>
      <c r="GP1256" s="4">
        <v>146</v>
      </c>
      <c r="GQ1256" s="4">
        <v>127</v>
      </c>
      <c r="GR1256" s="4">
        <v>111</v>
      </c>
      <c r="GS1256" s="4">
        <v>93</v>
      </c>
      <c r="GT1256" s="4">
        <v>82</v>
      </c>
      <c r="GU1256" s="4">
        <v>75</v>
      </c>
      <c r="GV1256" s="4">
        <v>70</v>
      </c>
      <c r="GW1256" s="4">
        <v>65</v>
      </c>
      <c r="GX1256" s="4">
        <v>60</v>
      </c>
      <c r="GY1256" s="4">
        <v>55</v>
      </c>
      <c r="GZ1256" s="4">
        <v>50</v>
      </c>
      <c r="HA1256" s="4">
        <v>44</v>
      </c>
      <c r="HB1256" s="4">
        <v>38</v>
      </c>
      <c r="HC1256" s="4">
        <v>32</v>
      </c>
      <c r="HD1256" s="19">
        <v>43.8</v>
      </c>
      <c r="HE1256" s="19">
        <v>42.6</v>
      </c>
      <c r="HF1256" s="19">
        <v>34.7</v>
      </c>
      <c r="HG1256" s="19">
        <v>33.8</v>
      </c>
      <c r="HH1256" s="19">
        <v>33</v>
      </c>
      <c r="HI1256" s="19">
        <v>32</v>
      </c>
      <c r="HJ1256" s="19">
        <v>31</v>
      </c>
      <c r="HK1256" s="19">
        <v>30</v>
      </c>
      <c r="HL1256" s="19">
        <v>24.9</v>
      </c>
      <c r="HM1256" s="19">
        <v>16.8</v>
      </c>
      <c r="HN1256" s="19">
        <v>12.5</v>
      </c>
      <c r="HO1256" s="19">
        <v>9.7</v>
      </c>
      <c r="HP1256" s="19">
        <v>9.1</v>
      </c>
      <c r="HQ1256" s="19">
        <v>9.8</v>
      </c>
      <c r="HR1256" s="19">
        <v>11.1</v>
      </c>
      <c r="HS1256" s="19">
        <v>13.3</v>
      </c>
      <c r="HT1256" s="19">
        <v>13.7</v>
      </c>
      <c r="HU1256" s="19">
        <v>15</v>
      </c>
      <c r="HV1256" s="19">
        <v>14</v>
      </c>
      <c r="HW1256" s="19">
        <v>13</v>
      </c>
      <c r="HX1256" s="19">
        <v>10</v>
      </c>
      <c r="HY1256" s="19">
        <v>9.2</v>
      </c>
      <c r="HZ1256" s="19">
        <v>8.3</v>
      </c>
      <c r="IA1256" s="19">
        <v>7.3</v>
      </c>
      <c r="IB1256" s="19">
        <v>6.3</v>
      </c>
      <c r="IC1256" s="19">
        <v>4.6</v>
      </c>
    </row>
    <row r="1257">
      <c r="A1257" s="2" t="s">
        <v>4962</v>
      </c>
      <c r="B1257" s="2" t="s">
        <v>905</v>
      </c>
      <c r="C1257" s="2" t="s">
        <v>403</v>
      </c>
      <c r="D1257" s="2" t="s">
        <v>361</v>
      </c>
      <c r="E1257" s="2" t="s">
        <v>924</v>
      </c>
      <c r="F1257" s="2" t="s">
        <v>4955</v>
      </c>
      <c r="G1257" s="2" t="s">
        <v>4956</v>
      </c>
      <c r="H1257" s="2" t="s">
        <v>4956</v>
      </c>
      <c r="I1257" s="2" t="s">
        <v>4957</v>
      </c>
      <c r="J1257" s="2" t="s">
        <v>365</v>
      </c>
      <c r="K1257" s="2" t="s">
        <v>1080</v>
      </c>
      <c r="L1257" s="3">
        <v>28.26</v>
      </c>
      <c r="M1257" s="3">
        <v>29.67</v>
      </c>
      <c r="N1257" s="3">
        <v>59.99</v>
      </c>
      <c r="O1257" s="2" t="s">
        <v>232</v>
      </c>
      <c r="P1257" s="2" t="s">
        <v>336</v>
      </c>
      <c r="Q1257" s="2" t="s">
        <v>234</v>
      </c>
      <c r="R1257" s="2" t="s">
        <v>235</v>
      </c>
      <c r="S1257" s="2" t="s">
        <v>4958</v>
      </c>
      <c r="T1257" s="2" t="s">
        <v>501</v>
      </c>
      <c r="U1257" s="2" t="s">
        <v>552</v>
      </c>
      <c r="V1257" s="2" t="s">
        <v>238</v>
      </c>
      <c r="W1257" s="2" t="s">
        <v>239</v>
      </c>
      <c r="X1257" s="2" t="s">
        <v>235</v>
      </c>
      <c r="Y1257" s="2" t="s">
        <v>4963</v>
      </c>
      <c r="Z1257" s="4">
        <v>1037</v>
      </c>
      <c r="AA1257" s="4">
        <f>=ROUNDDOWN(117.840909090909,0)</f>
      </c>
      <c r="AB1257" s="5">
        <v>8.8</v>
      </c>
      <c r="AC1257" s="2" t="s">
        <v>235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235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235</v>
      </c>
      <c r="AW1257" s="8" t="s">
        <v>235</v>
      </c>
      <c r="AX1257" s="4" t="s">
        <v>235</v>
      </c>
      <c r="AY1257" s="8" t="s">
        <v>235</v>
      </c>
      <c r="AZ1257" s="7" t="s">
        <v>235</v>
      </c>
      <c r="BA1257" s="7" t="s">
        <v>235</v>
      </c>
      <c r="BB1257" s="7"/>
      <c r="BC1257" s="4" t="s">
        <v>235</v>
      </c>
      <c r="BD1257" s="8" t="s">
        <v>235</v>
      </c>
      <c r="BE1257" s="4" t="s">
        <v>235</v>
      </c>
      <c r="BF1257" s="8" t="s">
        <v>235</v>
      </c>
      <c r="BG1257" s="7" t="s">
        <v>235</v>
      </c>
      <c r="BH1257" s="7" t="s">
        <v>235</v>
      </c>
      <c r="BI1257" s="7"/>
      <c r="BJ1257" s="4">
        <v>36</v>
      </c>
      <c r="BK1257" s="8">
        <v>1121.52</v>
      </c>
      <c r="BL1257" s="2" t="s">
        <v>4964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4960</v>
      </c>
      <c r="BV1257" s="2" t="s">
        <v>243</v>
      </c>
      <c r="BW1257" s="2" t="s">
        <v>235</v>
      </c>
      <c r="BX1257" s="2" t="s">
        <v>244</v>
      </c>
      <c r="BY1257" s="2" t="s">
        <v>245</v>
      </c>
      <c r="BZ1257" s="2" t="s">
        <v>232</v>
      </c>
      <c r="CA1257" s="2" t="s">
        <v>252</v>
      </c>
      <c r="CB1257" s="2" t="s">
        <v>4965</v>
      </c>
      <c r="CC1257" s="2" t="s">
        <v>248</v>
      </c>
      <c r="CD1257" s="2" t="s">
        <v>248</v>
      </c>
      <c r="CE1257" s="2" t="s">
        <v>235</v>
      </c>
      <c r="CF1257" s="4">
        <v>611</v>
      </c>
      <c r="CG1257" s="4">
        <v>58</v>
      </c>
      <c r="CH1257" s="4"/>
      <c r="CI1257" s="4">
        <v>368</v>
      </c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>
        <v>1040</v>
      </c>
      <c r="GE1257" s="4">
        <v>1029</v>
      </c>
      <c r="GF1257" s="4">
        <v>1021</v>
      </c>
      <c r="GG1257" s="4">
        <v>1013</v>
      </c>
      <c r="GH1257" s="4">
        <v>1005</v>
      </c>
      <c r="GI1257" s="4">
        <v>979</v>
      </c>
      <c r="GJ1257" s="4">
        <v>953</v>
      </c>
      <c r="GK1257" s="4">
        <v>927</v>
      </c>
      <c r="GL1257" s="4">
        <v>901</v>
      </c>
      <c r="GM1257" s="4">
        <v>875</v>
      </c>
      <c r="GN1257" s="4">
        <v>845</v>
      </c>
      <c r="GO1257" s="4">
        <v>797</v>
      </c>
      <c r="GP1257" s="4">
        <v>744</v>
      </c>
      <c r="GQ1257" s="4">
        <v>630</v>
      </c>
      <c r="GR1257" s="4">
        <v>547</v>
      </c>
      <c r="GS1257" s="4">
        <v>461</v>
      </c>
      <c r="GT1257" s="4">
        <v>410</v>
      </c>
      <c r="GU1257" s="4">
        <v>377</v>
      </c>
      <c r="GV1257" s="4">
        <v>354</v>
      </c>
      <c r="GW1257" s="4">
        <v>331</v>
      </c>
      <c r="GX1257" s="4">
        <v>308</v>
      </c>
      <c r="GY1257" s="4">
        <v>285</v>
      </c>
      <c r="GZ1257" s="4">
        <v>273</v>
      </c>
      <c r="HA1257" s="4">
        <v>264</v>
      </c>
      <c r="HB1257" s="4">
        <v>255</v>
      </c>
      <c r="HC1257" s="4">
        <v>245</v>
      </c>
      <c r="HD1257" s="19">
        <v>115.6</v>
      </c>
      <c r="HE1257" s="19">
        <v>85.8</v>
      </c>
      <c r="HF1257" s="19">
        <v>60.1</v>
      </c>
      <c r="HG1257" s="19">
        <v>46</v>
      </c>
      <c r="HH1257" s="19">
        <v>38.7</v>
      </c>
      <c r="HI1257" s="19">
        <v>37.7</v>
      </c>
      <c r="HJ1257" s="19">
        <v>35.3</v>
      </c>
      <c r="HK1257" s="19">
        <v>29</v>
      </c>
      <c r="HL1257" s="19">
        <v>23.1</v>
      </c>
      <c r="HM1257" s="19">
        <v>14.3</v>
      </c>
      <c r="HN1257" s="19">
        <v>11.4</v>
      </c>
      <c r="HO1257" s="19">
        <v>9.5</v>
      </c>
      <c r="HP1257" s="19">
        <v>8.9</v>
      </c>
      <c r="HQ1257" s="19">
        <v>10</v>
      </c>
      <c r="HR1257" s="19">
        <v>11.4</v>
      </c>
      <c r="HS1257" s="19">
        <v>14.4</v>
      </c>
      <c r="HT1257" s="19">
        <v>15.8</v>
      </c>
      <c r="HU1257" s="19">
        <v>16.4</v>
      </c>
      <c r="HV1257" s="19">
        <v>17.7</v>
      </c>
      <c r="HW1257" s="19">
        <v>19.5</v>
      </c>
      <c r="HX1257" s="19">
        <v>23.7</v>
      </c>
      <c r="HY1257" s="19">
        <v>28.5</v>
      </c>
      <c r="HZ1257" s="19">
        <v>30.3</v>
      </c>
      <c r="IA1257" s="19">
        <v>29.3</v>
      </c>
      <c r="IB1257" s="19">
        <v>28.3</v>
      </c>
      <c r="IC1257" s="19">
        <v>27.2</v>
      </c>
    </row>
    <row r="1258">
      <c r="A1258" s="2" t="s">
        <v>4966</v>
      </c>
      <c r="B1258" s="2" t="s">
        <v>905</v>
      </c>
      <c r="C1258" s="2" t="s">
        <v>403</v>
      </c>
      <c r="D1258" s="2" t="s">
        <v>361</v>
      </c>
      <c r="E1258" s="2" t="s">
        <v>924</v>
      </c>
      <c r="F1258" s="2" t="s">
        <v>4955</v>
      </c>
      <c r="G1258" s="2" t="s">
        <v>4956</v>
      </c>
      <c r="H1258" s="2" t="s">
        <v>4956</v>
      </c>
      <c r="I1258" s="2" t="s">
        <v>4957</v>
      </c>
      <c r="J1258" s="2" t="s">
        <v>877</v>
      </c>
      <c r="K1258" s="2" t="s">
        <v>4382</v>
      </c>
      <c r="L1258" s="3">
        <v>21.34</v>
      </c>
      <c r="M1258" s="3">
        <v>22.41</v>
      </c>
      <c r="N1258" s="3">
        <v>44.99</v>
      </c>
      <c r="O1258" s="2" t="s">
        <v>232</v>
      </c>
      <c r="P1258" s="2" t="s">
        <v>233</v>
      </c>
      <c r="Q1258" s="2" t="s">
        <v>234</v>
      </c>
      <c r="R1258" s="2" t="s">
        <v>235</v>
      </c>
      <c r="S1258" s="2" t="s">
        <v>4967</v>
      </c>
      <c r="T1258" s="2" t="s">
        <v>501</v>
      </c>
      <c r="U1258" s="2" t="s">
        <v>278</v>
      </c>
      <c r="V1258" s="2" t="s">
        <v>238</v>
      </c>
      <c r="W1258" s="2" t="s">
        <v>239</v>
      </c>
      <c r="X1258" s="2" t="s">
        <v>235</v>
      </c>
      <c r="Y1258" s="2" t="s">
        <v>240</v>
      </c>
      <c r="Z1258" s="4">
        <v>178</v>
      </c>
      <c r="AA1258" s="4">
        <f>=ROUNDDOWN(46.8421052631579,0)</f>
      </c>
      <c r="AB1258" s="5">
        <v>3.8</v>
      </c>
      <c r="AC1258" s="2" t="s">
        <v>235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235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 t="s">
        <v>235</v>
      </c>
      <c r="BD1258" s="8" t="s">
        <v>235</v>
      </c>
      <c r="BE1258" s="4" t="s">
        <v>235</v>
      </c>
      <c r="BF1258" s="8" t="s">
        <v>235</v>
      </c>
      <c r="BG1258" s="7" t="s">
        <v>235</v>
      </c>
      <c r="BH1258" s="7" t="s">
        <v>235</v>
      </c>
      <c r="BI1258" s="7"/>
      <c r="BJ1258" s="4">
        <v>25</v>
      </c>
      <c r="BK1258" s="8">
        <v>569.33</v>
      </c>
      <c r="BL1258" s="2" t="s">
        <v>4968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4960</v>
      </c>
      <c r="BV1258" s="2" t="s">
        <v>243</v>
      </c>
      <c r="BW1258" s="2" t="s">
        <v>235</v>
      </c>
      <c r="BX1258" s="2" t="s">
        <v>244</v>
      </c>
      <c r="BY1258" s="2" t="s">
        <v>245</v>
      </c>
      <c r="BZ1258" s="2" t="s">
        <v>232</v>
      </c>
      <c r="CA1258" s="2" t="s">
        <v>252</v>
      </c>
      <c r="CB1258" s="2" t="s">
        <v>1866</v>
      </c>
      <c r="CC1258" s="2" t="s">
        <v>248</v>
      </c>
      <c r="CD1258" s="2" t="s">
        <v>248</v>
      </c>
      <c r="CE1258" s="2" t="s">
        <v>235</v>
      </c>
      <c r="CF1258" s="4">
        <v>128</v>
      </c>
      <c r="CG1258" s="4"/>
      <c r="CH1258" s="4"/>
      <c r="CI1258" s="4">
        <v>50</v>
      </c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>
        <v>178</v>
      </c>
      <c r="GE1258" s="4">
        <v>175</v>
      </c>
      <c r="GF1258" s="4">
        <v>172</v>
      </c>
      <c r="GG1258" s="4">
        <v>169</v>
      </c>
      <c r="GH1258" s="4">
        <v>166</v>
      </c>
      <c r="GI1258" s="4">
        <v>160</v>
      </c>
      <c r="GJ1258" s="4">
        <v>154</v>
      </c>
      <c r="GK1258" s="4">
        <v>148</v>
      </c>
      <c r="GL1258" s="4">
        <v>142</v>
      </c>
      <c r="GM1258" s="4">
        <v>136</v>
      </c>
      <c r="GN1258" s="4">
        <v>131</v>
      </c>
      <c r="GO1258" s="4">
        <v>123</v>
      </c>
      <c r="GP1258" s="4">
        <v>114</v>
      </c>
      <c r="GQ1258" s="4">
        <v>95</v>
      </c>
      <c r="GR1258" s="4">
        <v>79</v>
      </c>
      <c r="GS1258" s="4">
        <v>62</v>
      </c>
      <c r="GT1258" s="4">
        <v>52</v>
      </c>
      <c r="GU1258" s="4">
        <v>46</v>
      </c>
      <c r="GV1258" s="4">
        <v>42</v>
      </c>
      <c r="GW1258" s="4">
        <v>38</v>
      </c>
      <c r="GX1258" s="4">
        <v>34</v>
      </c>
      <c r="GY1258" s="4">
        <v>30</v>
      </c>
      <c r="GZ1258" s="4">
        <v>28</v>
      </c>
      <c r="HA1258" s="4">
        <v>25</v>
      </c>
      <c r="HB1258" s="4">
        <v>22</v>
      </c>
      <c r="HC1258" s="4">
        <v>52</v>
      </c>
      <c r="HD1258" s="19">
        <v>59.3</v>
      </c>
      <c r="HE1258" s="19">
        <v>43.8</v>
      </c>
      <c r="HF1258" s="19">
        <v>43</v>
      </c>
      <c r="HG1258" s="19">
        <v>33.8</v>
      </c>
      <c r="HH1258" s="19">
        <v>27.7</v>
      </c>
      <c r="HI1258" s="19">
        <v>26.7</v>
      </c>
      <c r="HJ1258" s="19">
        <v>25.7</v>
      </c>
      <c r="HK1258" s="19">
        <v>24.7</v>
      </c>
      <c r="HL1258" s="19">
        <v>20.3</v>
      </c>
      <c r="HM1258" s="19">
        <v>13.6</v>
      </c>
      <c r="HN1258" s="19">
        <v>10.1</v>
      </c>
      <c r="HO1258" s="19">
        <v>8.2</v>
      </c>
      <c r="HP1258" s="19">
        <v>7.1</v>
      </c>
      <c r="HQ1258" s="19">
        <v>7.9</v>
      </c>
      <c r="HR1258" s="19">
        <v>8.8</v>
      </c>
      <c r="HS1258" s="19">
        <v>10.3</v>
      </c>
      <c r="HT1258" s="19">
        <v>13</v>
      </c>
      <c r="HU1258" s="19">
        <v>11.5</v>
      </c>
      <c r="HV1258" s="19">
        <v>10.5</v>
      </c>
      <c r="HW1258" s="19">
        <v>12.7</v>
      </c>
      <c r="HX1258" s="19">
        <v>11.3</v>
      </c>
      <c r="HY1258" s="19">
        <v>10</v>
      </c>
      <c r="HZ1258" s="19">
        <v>9.3</v>
      </c>
      <c r="IA1258" s="19">
        <v>8.3</v>
      </c>
      <c r="IB1258" s="19">
        <v>5.5</v>
      </c>
      <c r="IC1258" s="19">
        <v>13</v>
      </c>
    </row>
    <row r="1259">
      <c r="A1259" s="2" t="s">
        <v>4969</v>
      </c>
      <c r="B1259" s="2" t="s">
        <v>905</v>
      </c>
      <c r="C1259" s="2" t="s">
        <v>403</v>
      </c>
      <c r="D1259" s="2" t="s">
        <v>361</v>
      </c>
      <c r="E1259" s="2" t="s">
        <v>924</v>
      </c>
      <c r="F1259" s="2" t="s">
        <v>4955</v>
      </c>
      <c r="G1259" s="2" t="s">
        <v>4956</v>
      </c>
      <c r="H1259" s="2" t="s">
        <v>4956</v>
      </c>
      <c r="I1259" s="2" t="s">
        <v>4957</v>
      </c>
      <c r="J1259" s="2" t="s">
        <v>270</v>
      </c>
      <c r="K1259" s="2" t="s">
        <v>4970</v>
      </c>
      <c r="L1259" s="3">
        <v>33.66</v>
      </c>
      <c r="M1259" s="3">
        <v>35.34</v>
      </c>
      <c r="N1259" s="3">
        <v>69.99</v>
      </c>
      <c r="O1259" s="2" t="s">
        <v>232</v>
      </c>
      <c r="P1259" s="2" t="s">
        <v>336</v>
      </c>
      <c r="Q1259" s="2" t="s">
        <v>234</v>
      </c>
      <c r="R1259" s="2" t="s">
        <v>235</v>
      </c>
      <c r="S1259" s="2" t="s">
        <v>4971</v>
      </c>
      <c r="T1259" s="2" t="s">
        <v>501</v>
      </c>
      <c r="U1259" s="2" t="s">
        <v>552</v>
      </c>
      <c r="V1259" s="2" t="s">
        <v>238</v>
      </c>
      <c r="W1259" s="2" t="s">
        <v>239</v>
      </c>
      <c r="X1259" s="2" t="s">
        <v>235</v>
      </c>
      <c r="Y1259" s="2" t="s">
        <v>3326</v>
      </c>
      <c r="Z1259" s="4">
        <v>627</v>
      </c>
      <c r="AA1259" s="4">
        <f>=ROUNDDOWN(149.285714285714,0)</f>
      </c>
      <c r="AB1259" s="5">
        <v>4.2</v>
      </c>
      <c r="AC1259" s="2" t="s">
        <v>235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235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235</v>
      </c>
      <c r="BD1259" s="8" t="s">
        <v>235</v>
      </c>
      <c r="BE1259" s="4" t="s">
        <v>235</v>
      </c>
      <c r="BF1259" s="8" t="s">
        <v>235</v>
      </c>
      <c r="BG1259" s="7" t="s">
        <v>235</v>
      </c>
      <c r="BH1259" s="7" t="s">
        <v>235</v>
      </c>
      <c r="BI1259" s="7"/>
      <c r="BJ1259" s="4">
        <v>17</v>
      </c>
      <c r="BK1259" s="8">
        <v>637.49</v>
      </c>
      <c r="BL1259" s="2" t="s">
        <v>4972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4960</v>
      </c>
      <c r="BV1259" s="2" t="s">
        <v>243</v>
      </c>
      <c r="BW1259" s="2" t="s">
        <v>235</v>
      </c>
      <c r="BX1259" s="2" t="s">
        <v>244</v>
      </c>
      <c r="BY1259" s="2" t="s">
        <v>245</v>
      </c>
      <c r="BZ1259" s="2" t="s">
        <v>232</v>
      </c>
      <c r="CA1259" s="2" t="s">
        <v>4973</v>
      </c>
      <c r="CB1259" s="2" t="s">
        <v>4974</v>
      </c>
      <c r="CC1259" s="2" t="s">
        <v>248</v>
      </c>
      <c r="CD1259" s="2" t="s">
        <v>248</v>
      </c>
      <c r="CE1259" s="2" t="s">
        <v>235</v>
      </c>
      <c r="CF1259" s="4">
        <v>278</v>
      </c>
      <c r="CG1259" s="4"/>
      <c r="CH1259" s="4"/>
      <c r="CI1259" s="4">
        <v>349</v>
      </c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>
        <v>627</v>
      </c>
      <c r="GE1259" s="4">
        <v>621</v>
      </c>
      <c r="GF1259" s="4">
        <v>616</v>
      </c>
      <c r="GG1259" s="4">
        <v>611</v>
      </c>
      <c r="GH1259" s="4">
        <v>606</v>
      </c>
      <c r="GI1259" s="4">
        <v>586</v>
      </c>
      <c r="GJ1259" s="4">
        <v>566</v>
      </c>
      <c r="GK1259" s="4">
        <v>546</v>
      </c>
      <c r="GL1259" s="4">
        <v>526</v>
      </c>
      <c r="GM1259" s="4">
        <v>506</v>
      </c>
      <c r="GN1259" s="4">
        <v>494</v>
      </c>
      <c r="GO1259" s="4">
        <v>475</v>
      </c>
      <c r="GP1259" s="4">
        <v>453</v>
      </c>
      <c r="GQ1259" s="4">
        <v>407</v>
      </c>
      <c r="GR1259" s="4">
        <v>355</v>
      </c>
      <c r="GS1259" s="4">
        <v>302</v>
      </c>
      <c r="GT1259" s="4">
        <v>271</v>
      </c>
      <c r="GU1259" s="4">
        <v>252</v>
      </c>
      <c r="GV1259" s="4">
        <v>230</v>
      </c>
      <c r="GW1259" s="4">
        <v>208</v>
      </c>
      <c r="GX1259" s="4">
        <v>186</v>
      </c>
      <c r="GY1259" s="4">
        <v>164</v>
      </c>
      <c r="GZ1259" s="4">
        <v>157</v>
      </c>
      <c r="HA1259" s="4">
        <v>153</v>
      </c>
      <c r="HB1259" s="4">
        <v>149</v>
      </c>
      <c r="HC1259" s="4">
        <v>145</v>
      </c>
      <c r="HD1259" s="19">
        <v>125.4</v>
      </c>
      <c r="HE1259" s="19">
        <v>69</v>
      </c>
      <c r="HF1259" s="19">
        <v>51.3</v>
      </c>
      <c r="HG1259" s="19">
        <v>38.2</v>
      </c>
      <c r="HH1259" s="19">
        <v>30.3</v>
      </c>
      <c r="HI1259" s="19">
        <v>29.3</v>
      </c>
      <c r="HJ1259" s="19">
        <v>31.4</v>
      </c>
      <c r="HK1259" s="19">
        <v>30.3</v>
      </c>
      <c r="HL1259" s="19">
        <v>29.2</v>
      </c>
      <c r="HM1259" s="19">
        <v>20.2</v>
      </c>
      <c r="HN1259" s="19">
        <v>14.1</v>
      </c>
      <c r="HO1259" s="19">
        <v>11</v>
      </c>
      <c r="HP1259" s="19">
        <v>9.8</v>
      </c>
      <c r="HQ1259" s="19">
        <v>10.4</v>
      </c>
      <c r="HR1259" s="19">
        <v>11.5</v>
      </c>
      <c r="HS1259" s="19">
        <v>12.6</v>
      </c>
      <c r="HT1259" s="19">
        <v>12.9</v>
      </c>
      <c r="HU1259" s="19">
        <v>11.5</v>
      </c>
      <c r="HV1259" s="19">
        <v>12.8</v>
      </c>
      <c r="HW1259" s="19">
        <v>14.9</v>
      </c>
      <c r="HX1259" s="19">
        <v>20.7</v>
      </c>
      <c r="HY1259" s="19">
        <v>32.8</v>
      </c>
      <c r="HZ1259" s="19">
        <v>39.3</v>
      </c>
      <c r="IA1259" s="19">
        <v>38.3</v>
      </c>
      <c r="IB1259" s="19">
        <v>37.3</v>
      </c>
      <c r="IC1259" s="19">
        <v>36.3</v>
      </c>
    </row>
    <row r="1260">
      <c r="A1260" s="2" t="s">
        <v>4975</v>
      </c>
      <c r="B1260" s="2" t="s">
        <v>905</v>
      </c>
      <c r="C1260" s="2" t="s">
        <v>403</v>
      </c>
      <c r="D1260" s="2" t="s">
        <v>361</v>
      </c>
      <c r="E1260" s="2" t="s">
        <v>924</v>
      </c>
      <c r="F1260" s="2" t="s">
        <v>4955</v>
      </c>
      <c r="G1260" s="2" t="s">
        <v>4956</v>
      </c>
      <c r="H1260" s="2" t="s">
        <v>4956</v>
      </c>
      <c r="I1260" s="2" t="s">
        <v>4957</v>
      </c>
      <c r="J1260" s="2" t="s">
        <v>270</v>
      </c>
      <c r="K1260" s="2" t="s">
        <v>4976</v>
      </c>
      <c r="L1260" s="3">
        <v>33.66</v>
      </c>
      <c r="M1260" s="3">
        <v>35.34</v>
      </c>
      <c r="N1260" s="3">
        <v>69.99</v>
      </c>
      <c r="O1260" s="2" t="s">
        <v>232</v>
      </c>
      <c r="P1260" s="2" t="s">
        <v>233</v>
      </c>
      <c r="Q1260" s="2" t="s">
        <v>234</v>
      </c>
      <c r="R1260" s="2" t="s">
        <v>235</v>
      </c>
      <c r="S1260" s="2" t="s">
        <v>4977</v>
      </c>
      <c r="T1260" s="2" t="s">
        <v>501</v>
      </c>
      <c r="U1260" s="2" t="s">
        <v>552</v>
      </c>
      <c r="V1260" s="2" t="s">
        <v>238</v>
      </c>
      <c r="W1260" s="2" t="s">
        <v>239</v>
      </c>
      <c r="X1260" s="2" t="s">
        <v>235</v>
      </c>
      <c r="Y1260" s="2" t="s">
        <v>240</v>
      </c>
      <c r="Z1260" s="4">
        <v>282</v>
      </c>
      <c r="AA1260" s="4">
        <f>=ROUNDDOWN(188,0)</f>
      </c>
      <c r="AB1260" s="5">
        <v>1.5</v>
      </c>
      <c r="AC1260" s="2" t="s">
        <v>235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235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235</v>
      </c>
      <c r="BD1260" s="8" t="s">
        <v>235</v>
      </c>
      <c r="BE1260" s="4" t="s">
        <v>235</v>
      </c>
      <c r="BF1260" s="8" t="s">
        <v>235</v>
      </c>
      <c r="BG1260" s="7" t="s">
        <v>235</v>
      </c>
      <c r="BH1260" s="7" t="s">
        <v>235</v>
      </c>
      <c r="BI1260" s="7"/>
      <c r="BJ1260" s="4">
        <v>6</v>
      </c>
      <c r="BK1260" s="8">
        <v>206.45</v>
      </c>
      <c r="BL1260" s="2" t="s">
        <v>4978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4960</v>
      </c>
      <c r="BV1260" s="2" t="s">
        <v>243</v>
      </c>
      <c r="BW1260" s="2" t="s">
        <v>235</v>
      </c>
      <c r="BX1260" s="2" t="s">
        <v>244</v>
      </c>
      <c r="BY1260" s="2" t="s">
        <v>245</v>
      </c>
      <c r="BZ1260" s="2" t="s">
        <v>232</v>
      </c>
      <c r="CA1260" s="2" t="s">
        <v>252</v>
      </c>
      <c r="CB1260" s="2" t="s">
        <v>4979</v>
      </c>
      <c r="CC1260" s="2" t="s">
        <v>248</v>
      </c>
      <c r="CD1260" s="2" t="s">
        <v>248</v>
      </c>
      <c r="CE1260" s="2" t="s">
        <v>235</v>
      </c>
      <c r="CF1260" s="4">
        <v>282</v>
      </c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>
        <v>282</v>
      </c>
      <c r="GE1260" s="4">
        <v>279</v>
      </c>
      <c r="GF1260" s="4">
        <v>276</v>
      </c>
      <c r="GG1260" s="4">
        <v>273</v>
      </c>
      <c r="GH1260" s="4">
        <v>270</v>
      </c>
      <c r="GI1260" s="4">
        <v>263</v>
      </c>
      <c r="GJ1260" s="4">
        <v>256</v>
      </c>
      <c r="GK1260" s="4">
        <v>249</v>
      </c>
      <c r="GL1260" s="4">
        <v>242</v>
      </c>
      <c r="GM1260" s="4">
        <v>235</v>
      </c>
      <c r="GN1260" s="4">
        <v>231</v>
      </c>
      <c r="GO1260" s="4">
        <v>225</v>
      </c>
      <c r="GP1260" s="4">
        <v>218</v>
      </c>
      <c r="GQ1260" s="4">
        <v>203</v>
      </c>
      <c r="GR1260" s="4">
        <v>186</v>
      </c>
      <c r="GS1260" s="4">
        <v>168</v>
      </c>
      <c r="GT1260" s="4">
        <v>158</v>
      </c>
      <c r="GU1260" s="4">
        <v>152</v>
      </c>
      <c r="GV1260" s="4">
        <v>145</v>
      </c>
      <c r="GW1260" s="4">
        <v>149</v>
      </c>
      <c r="GX1260" s="4">
        <v>142</v>
      </c>
      <c r="GY1260" s="4">
        <v>135</v>
      </c>
      <c r="GZ1260" s="4">
        <v>131</v>
      </c>
      <c r="HA1260" s="4">
        <v>129</v>
      </c>
      <c r="HB1260" s="4">
        <v>127</v>
      </c>
      <c r="HC1260" s="4">
        <v>125</v>
      </c>
      <c r="HD1260" s="19">
        <v>94</v>
      </c>
      <c r="HE1260" s="19">
        <v>69.8</v>
      </c>
      <c r="HF1260" s="19">
        <v>55.2</v>
      </c>
      <c r="HG1260" s="19">
        <v>45.5</v>
      </c>
      <c r="HH1260" s="19">
        <v>38.6</v>
      </c>
      <c r="HI1260" s="19">
        <v>37.6</v>
      </c>
      <c r="HJ1260" s="19">
        <v>42.7</v>
      </c>
      <c r="HK1260" s="19">
        <v>41.5</v>
      </c>
      <c r="HL1260" s="19">
        <v>40.3</v>
      </c>
      <c r="HM1260" s="19">
        <v>29.4</v>
      </c>
      <c r="HN1260" s="19">
        <v>21</v>
      </c>
      <c r="HO1260" s="19">
        <v>16.1</v>
      </c>
      <c r="HP1260" s="19">
        <v>14.5</v>
      </c>
      <c r="HQ1260" s="19">
        <v>15.6</v>
      </c>
      <c r="HR1260" s="19">
        <v>18.6</v>
      </c>
      <c r="HS1260" s="19">
        <v>21</v>
      </c>
      <c r="HT1260" s="19">
        <v>22.6</v>
      </c>
      <c r="HU1260" s="19">
        <v>21.7</v>
      </c>
      <c r="HV1260" s="19">
        <v>24.2</v>
      </c>
      <c r="HW1260" s="19">
        <v>29.8</v>
      </c>
      <c r="HX1260" s="19">
        <v>35.5</v>
      </c>
      <c r="HY1260" s="19">
        <v>67.5</v>
      </c>
      <c r="HZ1260" s="19">
        <v>65.5</v>
      </c>
      <c r="IA1260" s="19">
        <v>64.5</v>
      </c>
      <c r="IB1260" s="19">
        <v>63.5</v>
      </c>
      <c r="IC1260" s="19">
        <v>62.5</v>
      </c>
    </row>
    <row r="1261">
      <c r="A1261" s="2" t="s">
        <v>4980</v>
      </c>
      <c r="B1261" s="2" t="s">
        <v>905</v>
      </c>
      <c r="C1261" s="2" t="s">
        <v>403</v>
      </c>
      <c r="D1261" s="2" t="s">
        <v>361</v>
      </c>
      <c r="E1261" s="2" t="s">
        <v>872</v>
      </c>
      <c r="F1261" s="2" t="s">
        <v>4955</v>
      </c>
      <c r="G1261" s="2" t="s">
        <v>4956</v>
      </c>
      <c r="H1261" s="2" t="s">
        <v>4956</v>
      </c>
      <c r="I1261" s="2" t="s">
        <v>4957</v>
      </c>
      <c r="J1261" s="2" t="s">
        <v>877</v>
      </c>
      <c r="K1261" s="2" t="s">
        <v>4981</v>
      </c>
      <c r="L1261" s="3">
        <v>19.46</v>
      </c>
      <c r="M1261" s="3">
        <v>20.43</v>
      </c>
      <c r="N1261" s="3">
        <v>39.99</v>
      </c>
      <c r="O1261" s="2" t="s">
        <v>232</v>
      </c>
      <c r="P1261" s="2" t="s">
        <v>878</v>
      </c>
      <c r="Q1261" s="2" t="s">
        <v>234</v>
      </c>
      <c r="R1261" s="2" t="s">
        <v>235</v>
      </c>
      <c r="S1261" s="2" t="s">
        <v>235</v>
      </c>
      <c r="T1261" s="2" t="s">
        <v>501</v>
      </c>
      <c r="U1261" s="2" t="s">
        <v>278</v>
      </c>
      <c r="V1261" s="2" t="s">
        <v>238</v>
      </c>
      <c r="W1261" s="2" t="s">
        <v>1029</v>
      </c>
      <c r="X1261" s="2" t="s">
        <v>235</v>
      </c>
      <c r="Y1261" s="2" t="s">
        <v>4982</v>
      </c>
      <c r="Z1261" s="4"/>
      <c r="AA1261" s="4">
        <f>=ROUNDDOWN({0},0)</f>
      </c>
      <c r="AB1261" s="5">
        <v>4</v>
      </c>
      <c r="AC1261" s="2" t="s">
        <v>3341</v>
      </c>
      <c r="AD1261" s="4">
        <v>210</v>
      </c>
      <c r="AE1261" s="4">
        <v>210</v>
      </c>
      <c r="AF1261" s="6">
        <v>65</v>
      </c>
      <c r="AG1261" s="6"/>
      <c r="AH1261" s="7"/>
      <c r="AI1261" s="4"/>
      <c r="AJ1261" s="4">
        <f>=ROUNDDOWN({0},0)</f>
      </c>
      <c r="AK1261" s="5"/>
      <c r="AL1261" s="2" t="s">
        <v>235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235</v>
      </c>
      <c r="AW1261" s="8" t="s">
        <v>235</v>
      </c>
      <c r="AX1261" s="4" t="s">
        <v>235</v>
      </c>
      <c r="AY1261" s="8" t="s">
        <v>235</v>
      </c>
      <c r="AZ1261" s="7" t="s">
        <v>235</v>
      </c>
      <c r="BA1261" s="7" t="s">
        <v>235</v>
      </c>
      <c r="BB1261" s="7"/>
      <c r="BC1261" s="4" t="s">
        <v>235</v>
      </c>
      <c r="BD1261" s="8" t="s">
        <v>235</v>
      </c>
      <c r="BE1261" s="4" t="s">
        <v>235</v>
      </c>
      <c r="BF1261" s="8" t="s">
        <v>235</v>
      </c>
      <c r="BG1261" s="7" t="s">
        <v>235</v>
      </c>
      <c r="BH1261" s="7" t="s">
        <v>235</v>
      </c>
      <c r="BI1261" s="7"/>
      <c r="BJ1261" s="4"/>
      <c r="BK1261" s="8"/>
      <c r="BL1261" s="2" t="s">
        <v>235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4960</v>
      </c>
      <c r="BV1261" s="2" t="s">
        <v>235</v>
      </c>
      <c r="BW1261" s="2" t="s">
        <v>235</v>
      </c>
      <c r="BX1261" s="2" t="s">
        <v>244</v>
      </c>
      <c r="BY1261" s="2" t="s">
        <v>245</v>
      </c>
      <c r="BZ1261" s="2" t="s">
        <v>232</v>
      </c>
      <c r="CA1261" s="2" t="s">
        <v>235</v>
      </c>
      <c r="CB1261" s="2" t="s">
        <v>235</v>
      </c>
      <c r="CC1261" s="2" t="s">
        <v>248</v>
      </c>
      <c r="CD1261" s="2" t="s">
        <v>248</v>
      </c>
      <c r="CE1261" s="2" t="s">
        <v>235</v>
      </c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>
        <v>210</v>
      </c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>
        <v>210</v>
      </c>
      <c r="GF1261" s="4">
        <v>209</v>
      </c>
      <c r="GG1261" s="4">
        <v>208</v>
      </c>
      <c r="GH1261" s="4">
        <v>207</v>
      </c>
      <c r="GI1261" s="4">
        <v>206</v>
      </c>
      <c r="GJ1261" s="4">
        <v>204</v>
      </c>
      <c r="GK1261" s="4">
        <v>202</v>
      </c>
      <c r="GL1261" s="4">
        <v>198</v>
      </c>
      <c r="GM1261" s="4">
        <v>194</v>
      </c>
      <c r="GN1261" s="4">
        <v>190</v>
      </c>
      <c r="GO1261" s="4">
        <v>184</v>
      </c>
      <c r="GP1261" s="4">
        <v>173</v>
      </c>
      <c r="GQ1261" s="4">
        <v>150</v>
      </c>
      <c r="GR1261" s="4">
        <v>131</v>
      </c>
      <c r="GS1261" s="4">
        <v>111</v>
      </c>
      <c r="GT1261" s="4">
        <v>100</v>
      </c>
      <c r="GU1261" s="4">
        <v>93</v>
      </c>
      <c r="GV1261" s="4">
        <v>88</v>
      </c>
      <c r="GW1261" s="4">
        <v>83</v>
      </c>
      <c r="GX1261" s="4">
        <v>78</v>
      </c>
      <c r="GY1261" s="4">
        <v>73</v>
      </c>
      <c r="GZ1261" s="4">
        <v>70</v>
      </c>
      <c r="HA1261" s="4">
        <v>66</v>
      </c>
      <c r="HB1261" s="4">
        <v>62</v>
      </c>
      <c r="HC1261" s="4">
        <v>58</v>
      </c>
      <c r="HD1261" s="9"/>
      <c r="HE1261" s="19">
        <v>210</v>
      </c>
      <c r="HF1261" s="19">
        <v>209</v>
      </c>
      <c r="HG1261" s="19">
        <v>104</v>
      </c>
      <c r="HH1261" s="19">
        <v>103.5</v>
      </c>
      <c r="HI1261" s="19">
        <v>68.7</v>
      </c>
      <c r="HJ1261" s="19">
        <v>51</v>
      </c>
      <c r="HK1261" s="19">
        <v>50.5</v>
      </c>
      <c r="HL1261" s="19">
        <v>33</v>
      </c>
      <c r="HM1261" s="19">
        <v>17.6</v>
      </c>
      <c r="HN1261" s="19">
        <v>12.7</v>
      </c>
      <c r="HO1261" s="19">
        <v>10.2</v>
      </c>
      <c r="HP1261" s="19">
        <v>9.6</v>
      </c>
      <c r="HQ1261" s="19">
        <v>10.7</v>
      </c>
      <c r="HR1261" s="19">
        <v>11.9</v>
      </c>
      <c r="HS1261" s="19">
        <v>15.9</v>
      </c>
      <c r="HT1261" s="19">
        <v>16.7</v>
      </c>
      <c r="HU1261" s="19">
        <v>18.6</v>
      </c>
      <c r="HV1261" s="19">
        <v>22</v>
      </c>
      <c r="HW1261" s="19">
        <v>20.8</v>
      </c>
      <c r="HX1261" s="19">
        <v>19.5</v>
      </c>
      <c r="HY1261" s="19">
        <v>18.3</v>
      </c>
      <c r="HZ1261" s="19">
        <v>17.5</v>
      </c>
      <c r="IA1261" s="19">
        <v>16.5</v>
      </c>
      <c r="IB1261" s="19">
        <v>15.5</v>
      </c>
      <c r="IC1261" s="19">
        <v>11.6</v>
      </c>
    </row>
    <row r="1262">
      <c r="A1262" s="2" t="s">
        <v>4983</v>
      </c>
      <c r="B1262" s="2" t="s">
        <v>905</v>
      </c>
      <c r="C1262" s="2" t="s">
        <v>403</v>
      </c>
      <c r="D1262" s="2" t="s">
        <v>361</v>
      </c>
      <c r="E1262" s="2" t="s">
        <v>872</v>
      </c>
      <c r="F1262" s="2" t="s">
        <v>4955</v>
      </c>
      <c r="G1262" s="2" t="s">
        <v>4956</v>
      </c>
      <c r="H1262" s="2" t="s">
        <v>4956</v>
      </c>
      <c r="I1262" s="2" t="s">
        <v>4957</v>
      </c>
      <c r="J1262" s="2" t="s">
        <v>365</v>
      </c>
      <c r="K1262" s="2" t="s">
        <v>4981</v>
      </c>
      <c r="L1262" s="3">
        <v>25.7</v>
      </c>
      <c r="M1262" s="3">
        <v>26.98</v>
      </c>
      <c r="N1262" s="3">
        <v>51.99</v>
      </c>
      <c r="O1262" s="2" t="s">
        <v>232</v>
      </c>
      <c r="P1262" s="2" t="s">
        <v>878</v>
      </c>
      <c r="Q1262" s="2" t="s">
        <v>234</v>
      </c>
      <c r="R1262" s="2" t="s">
        <v>235</v>
      </c>
      <c r="S1262" s="2" t="s">
        <v>235</v>
      </c>
      <c r="T1262" s="2" t="s">
        <v>501</v>
      </c>
      <c r="U1262" s="2" t="s">
        <v>552</v>
      </c>
      <c r="V1262" s="2" t="s">
        <v>238</v>
      </c>
      <c r="W1262" s="2" t="s">
        <v>1029</v>
      </c>
      <c r="X1262" s="2" t="s">
        <v>235</v>
      </c>
      <c r="Y1262" s="2" t="s">
        <v>3646</v>
      </c>
      <c r="Z1262" s="4">
        <v>800</v>
      </c>
      <c r="AA1262" s="4">
        <f>=ROUNDDOWN(133.333333333333,0)</f>
      </c>
      <c r="AB1262" s="5">
        <v>6</v>
      </c>
      <c r="AC1262" s="2" t="s">
        <v>3341</v>
      </c>
      <c r="AD1262" s="4">
        <v>100</v>
      </c>
      <c r="AE1262" s="4">
        <v>900</v>
      </c>
      <c r="AF1262" s="6">
        <v>65</v>
      </c>
      <c r="AG1262" s="6"/>
      <c r="AH1262" s="7"/>
      <c r="AI1262" s="4"/>
      <c r="AJ1262" s="4">
        <f>=ROUNDDOWN({0},0)</f>
      </c>
      <c r="AK1262" s="5"/>
      <c r="AL1262" s="2" t="s">
        <v>235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235</v>
      </c>
      <c r="AW1262" s="8" t="s">
        <v>235</v>
      </c>
      <c r="AX1262" s="4" t="s">
        <v>235</v>
      </c>
      <c r="AY1262" s="8" t="s">
        <v>235</v>
      </c>
      <c r="AZ1262" s="7" t="s">
        <v>235</v>
      </c>
      <c r="BA1262" s="7" t="s">
        <v>235</v>
      </c>
      <c r="BB1262" s="7"/>
      <c r="BC1262" s="4" t="s">
        <v>235</v>
      </c>
      <c r="BD1262" s="8" t="s">
        <v>235</v>
      </c>
      <c r="BE1262" s="4" t="s">
        <v>235</v>
      </c>
      <c r="BF1262" s="8" t="s">
        <v>235</v>
      </c>
      <c r="BG1262" s="7" t="s">
        <v>235</v>
      </c>
      <c r="BH1262" s="7" t="s">
        <v>235</v>
      </c>
      <c r="BI1262" s="7"/>
      <c r="BJ1262" s="4"/>
      <c r="BK1262" s="8"/>
      <c r="BL1262" s="2" t="s">
        <v>235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4960</v>
      </c>
      <c r="BV1262" s="2" t="s">
        <v>235</v>
      </c>
      <c r="BW1262" s="2" t="s">
        <v>235</v>
      </c>
      <c r="BX1262" s="2" t="s">
        <v>244</v>
      </c>
      <c r="BY1262" s="2" t="s">
        <v>245</v>
      </c>
      <c r="BZ1262" s="2" t="s">
        <v>232</v>
      </c>
      <c r="CA1262" s="2" t="s">
        <v>235</v>
      </c>
      <c r="CB1262" s="2" t="s">
        <v>235</v>
      </c>
      <c r="CC1262" s="2" t="s">
        <v>248</v>
      </c>
      <c r="CD1262" s="2" t="s">
        <v>248</v>
      </c>
      <c r="CE1262" s="2" t="s">
        <v>235</v>
      </c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>
        <v>800</v>
      </c>
      <c r="CR1262" s="4"/>
      <c r="CS1262" s="4"/>
      <c r="CT1262" s="4"/>
      <c r="CU1262" s="4"/>
      <c r="CV1262" s="4"/>
      <c r="CW1262" s="4"/>
      <c r="CX1262" s="4"/>
      <c r="CY1262" s="4"/>
      <c r="CZ1262" s="4">
        <v>100</v>
      </c>
      <c r="DA1262" s="4"/>
      <c r="DB1262" s="4"/>
      <c r="DC1262" s="4"/>
      <c r="DD1262" s="4"/>
      <c r="DE1262" s="4"/>
      <c r="DF1262" s="4">
        <v>800</v>
      </c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>
        <v>900</v>
      </c>
      <c r="GF1262" s="4">
        <v>899</v>
      </c>
      <c r="GG1262" s="4">
        <v>898</v>
      </c>
      <c r="GH1262" s="4">
        <v>897</v>
      </c>
      <c r="GI1262" s="4">
        <v>893</v>
      </c>
      <c r="GJ1262" s="4">
        <v>887</v>
      </c>
      <c r="GK1262" s="4">
        <v>881</v>
      </c>
      <c r="GL1262" s="4">
        <v>865</v>
      </c>
      <c r="GM1262" s="4">
        <v>849</v>
      </c>
      <c r="GN1262" s="4">
        <v>830</v>
      </c>
      <c r="GO1262" s="4">
        <v>801</v>
      </c>
      <c r="GP1262" s="4">
        <v>748</v>
      </c>
      <c r="GQ1262" s="4">
        <v>634</v>
      </c>
      <c r="GR1262" s="4">
        <v>551</v>
      </c>
      <c r="GS1262" s="4">
        <v>466</v>
      </c>
      <c r="GT1262" s="4">
        <v>416</v>
      </c>
      <c r="GU1262" s="4">
        <v>384</v>
      </c>
      <c r="GV1262" s="4">
        <v>362</v>
      </c>
      <c r="GW1262" s="4">
        <v>340</v>
      </c>
      <c r="GX1262" s="4">
        <v>318</v>
      </c>
      <c r="GY1262" s="4">
        <v>296</v>
      </c>
      <c r="GZ1262" s="4">
        <v>288</v>
      </c>
      <c r="HA1262" s="4">
        <v>282</v>
      </c>
      <c r="HB1262" s="4">
        <v>276</v>
      </c>
      <c r="HC1262" s="4">
        <v>269</v>
      </c>
      <c r="HD1262" s="20">
        <v>0</v>
      </c>
      <c r="HE1262" s="19">
        <v>450</v>
      </c>
      <c r="HF1262" s="19">
        <v>299.7</v>
      </c>
      <c r="HG1262" s="19">
        <v>224.5</v>
      </c>
      <c r="HH1262" s="19">
        <v>112.1</v>
      </c>
      <c r="HI1262" s="19">
        <v>81.2</v>
      </c>
      <c r="HJ1262" s="19">
        <v>63.4</v>
      </c>
      <c r="HK1262" s="19">
        <v>44.1</v>
      </c>
      <c r="HL1262" s="19">
        <v>29.8</v>
      </c>
      <c r="HM1262" s="19">
        <v>15.7</v>
      </c>
      <c r="HN1262" s="19">
        <v>11.9</v>
      </c>
      <c r="HO1262" s="19">
        <v>9.5</v>
      </c>
      <c r="HP1262" s="19">
        <v>9</v>
      </c>
      <c r="HQ1262" s="19">
        <v>10.2</v>
      </c>
      <c r="HR1262" s="19">
        <v>11.7</v>
      </c>
      <c r="HS1262" s="19">
        <v>14.6</v>
      </c>
      <c r="HT1262" s="19">
        <v>17.3</v>
      </c>
      <c r="HU1262" s="19">
        <v>17.5</v>
      </c>
      <c r="HV1262" s="19">
        <v>20.1</v>
      </c>
      <c r="HW1262" s="19">
        <v>24.3</v>
      </c>
      <c r="HX1262" s="19">
        <v>31.8</v>
      </c>
      <c r="HY1262" s="19">
        <v>42.3</v>
      </c>
      <c r="HZ1262" s="19">
        <v>48</v>
      </c>
      <c r="IA1262" s="19">
        <v>47</v>
      </c>
      <c r="IB1262" s="19">
        <v>46</v>
      </c>
      <c r="IC1262" s="19">
        <v>44.8</v>
      </c>
    </row>
    <row r="1263">
      <c r="A1263" s="2" t="s">
        <v>4984</v>
      </c>
      <c r="B1263" s="2" t="s">
        <v>905</v>
      </c>
      <c r="C1263" s="2" t="s">
        <v>403</v>
      </c>
      <c r="D1263" s="2" t="s">
        <v>361</v>
      </c>
      <c r="E1263" s="2" t="s">
        <v>872</v>
      </c>
      <c r="F1263" s="2" t="s">
        <v>4955</v>
      </c>
      <c r="G1263" s="2" t="s">
        <v>4956</v>
      </c>
      <c r="H1263" s="2" t="s">
        <v>4956</v>
      </c>
      <c r="I1263" s="2" t="s">
        <v>4957</v>
      </c>
      <c r="J1263" s="2" t="s">
        <v>372</v>
      </c>
      <c r="K1263" s="2" t="s">
        <v>4981</v>
      </c>
      <c r="L1263" s="3">
        <v>30.65</v>
      </c>
      <c r="M1263" s="3">
        <v>32.18</v>
      </c>
      <c r="N1263" s="3">
        <v>62.99</v>
      </c>
      <c r="O1263" s="2" t="s">
        <v>232</v>
      </c>
      <c r="P1263" s="2" t="s">
        <v>878</v>
      </c>
      <c r="Q1263" s="2" t="s">
        <v>234</v>
      </c>
      <c r="R1263" s="2" t="s">
        <v>235</v>
      </c>
      <c r="S1263" s="2" t="s">
        <v>235</v>
      </c>
      <c r="T1263" s="2" t="s">
        <v>501</v>
      </c>
      <c r="U1263" s="2" t="s">
        <v>552</v>
      </c>
      <c r="V1263" s="2" t="s">
        <v>238</v>
      </c>
      <c r="W1263" s="2" t="s">
        <v>1029</v>
      </c>
      <c r="X1263" s="2" t="s">
        <v>235</v>
      </c>
      <c r="Y1263" s="2" t="s">
        <v>4982</v>
      </c>
      <c r="Z1263" s="4"/>
      <c r="AA1263" s="4">
        <f>=ROUNDDOWN({0},0)</f>
      </c>
      <c r="AB1263" s="5">
        <v>3</v>
      </c>
      <c r="AC1263" s="2" t="s">
        <v>3341</v>
      </c>
      <c r="AD1263" s="4">
        <v>380</v>
      </c>
      <c r="AE1263" s="4">
        <v>380</v>
      </c>
      <c r="AF1263" s="6">
        <v>65</v>
      </c>
      <c r="AG1263" s="6"/>
      <c r="AH1263" s="7"/>
      <c r="AI1263" s="4"/>
      <c r="AJ1263" s="4">
        <f>=ROUNDDOWN({0},0)</f>
      </c>
      <c r="AK1263" s="5"/>
      <c r="AL1263" s="2" t="s">
        <v>235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235</v>
      </c>
      <c r="AW1263" s="8" t="s">
        <v>235</v>
      </c>
      <c r="AX1263" s="4" t="s">
        <v>235</v>
      </c>
      <c r="AY1263" s="8" t="s">
        <v>235</v>
      </c>
      <c r="AZ1263" s="7" t="s">
        <v>235</v>
      </c>
      <c r="BA1263" s="7" t="s">
        <v>235</v>
      </c>
      <c r="BB1263" s="7"/>
      <c r="BC1263" s="4" t="s">
        <v>235</v>
      </c>
      <c r="BD1263" s="8" t="s">
        <v>235</v>
      </c>
      <c r="BE1263" s="4" t="s">
        <v>235</v>
      </c>
      <c r="BF1263" s="8" t="s">
        <v>235</v>
      </c>
      <c r="BG1263" s="7" t="s">
        <v>235</v>
      </c>
      <c r="BH1263" s="7" t="s">
        <v>235</v>
      </c>
      <c r="BI1263" s="7"/>
      <c r="BJ1263" s="4"/>
      <c r="BK1263" s="8"/>
      <c r="BL1263" s="2" t="s">
        <v>235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4960</v>
      </c>
      <c r="BV1263" s="2" t="s">
        <v>235</v>
      </c>
      <c r="BW1263" s="2" t="s">
        <v>235</v>
      </c>
      <c r="BX1263" s="2" t="s">
        <v>244</v>
      </c>
      <c r="BY1263" s="2" t="s">
        <v>245</v>
      </c>
      <c r="BZ1263" s="2" t="s">
        <v>232</v>
      </c>
      <c r="CA1263" s="2" t="s">
        <v>235</v>
      </c>
      <c r="CB1263" s="2" t="s">
        <v>235</v>
      </c>
      <c r="CC1263" s="2" t="s">
        <v>248</v>
      </c>
      <c r="CD1263" s="2" t="s">
        <v>248</v>
      </c>
      <c r="CE1263" s="2" t="s">
        <v>235</v>
      </c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>
        <v>380</v>
      </c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>
        <v>380</v>
      </c>
      <c r="GF1263" s="4">
        <v>379</v>
      </c>
      <c r="GG1263" s="4">
        <v>378</v>
      </c>
      <c r="GH1263" s="4">
        <v>377</v>
      </c>
      <c r="GI1263" s="4">
        <v>374</v>
      </c>
      <c r="GJ1263" s="4">
        <v>370</v>
      </c>
      <c r="GK1263" s="4">
        <v>366</v>
      </c>
      <c r="GL1263" s="4">
        <v>357</v>
      </c>
      <c r="GM1263" s="4">
        <v>348</v>
      </c>
      <c r="GN1263" s="4">
        <v>343</v>
      </c>
      <c r="GO1263" s="4">
        <v>334</v>
      </c>
      <c r="GP1263" s="4">
        <v>318</v>
      </c>
      <c r="GQ1263" s="4">
        <v>284</v>
      </c>
      <c r="GR1263" s="4">
        <v>245</v>
      </c>
      <c r="GS1263" s="4">
        <v>205</v>
      </c>
      <c r="GT1263" s="4">
        <v>182</v>
      </c>
      <c r="GU1263" s="4">
        <v>168</v>
      </c>
      <c r="GV1263" s="4">
        <v>152</v>
      </c>
      <c r="GW1263" s="4">
        <v>136</v>
      </c>
      <c r="GX1263" s="4">
        <v>120</v>
      </c>
      <c r="GY1263" s="4">
        <v>104</v>
      </c>
      <c r="GZ1263" s="4">
        <v>99</v>
      </c>
      <c r="HA1263" s="4">
        <v>96</v>
      </c>
      <c r="HB1263" s="4">
        <v>93</v>
      </c>
      <c r="HC1263" s="4">
        <v>90</v>
      </c>
      <c r="HD1263" s="9"/>
      <c r="HE1263" s="19">
        <v>190</v>
      </c>
      <c r="HF1263" s="19">
        <v>189.5</v>
      </c>
      <c r="HG1263" s="19">
        <v>126</v>
      </c>
      <c r="HH1263" s="19">
        <v>75.4</v>
      </c>
      <c r="HI1263" s="19">
        <v>62.3</v>
      </c>
      <c r="HJ1263" s="19">
        <v>52.9</v>
      </c>
      <c r="HK1263" s="19">
        <v>45.8</v>
      </c>
      <c r="HL1263" s="19">
        <v>35.7</v>
      </c>
      <c r="HM1263" s="19">
        <v>21.8</v>
      </c>
      <c r="HN1263" s="19">
        <v>14.3</v>
      </c>
      <c r="HO1263" s="19">
        <v>10.4</v>
      </c>
      <c r="HP1263" s="19">
        <v>9.4</v>
      </c>
      <c r="HQ1263" s="19">
        <v>9.8</v>
      </c>
      <c r="HR1263" s="19">
        <v>10.7</v>
      </c>
      <c r="HS1263" s="19">
        <v>12.1</v>
      </c>
      <c r="HT1263" s="19">
        <v>11.4</v>
      </c>
      <c r="HU1263" s="19">
        <v>10.5</v>
      </c>
      <c r="HV1263" s="19">
        <v>11.7</v>
      </c>
      <c r="HW1263" s="19">
        <v>13.6</v>
      </c>
      <c r="HX1263" s="19">
        <v>17.1</v>
      </c>
      <c r="HY1263" s="19">
        <v>26</v>
      </c>
      <c r="HZ1263" s="19">
        <v>33</v>
      </c>
      <c r="IA1263" s="19">
        <v>32</v>
      </c>
      <c r="IB1263" s="19">
        <v>31</v>
      </c>
      <c r="IC1263" s="19">
        <v>30</v>
      </c>
    </row>
    <row r="1264">
      <c r="A1264" s="2" t="s">
        <v>4985</v>
      </c>
      <c r="B1264" s="2" t="s">
        <v>1071</v>
      </c>
      <c r="C1264" s="2" t="s">
        <v>943</v>
      </c>
      <c r="D1264" s="2" t="s">
        <v>4986</v>
      </c>
      <c r="E1264" s="2" t="s">
        <v>4987</v>
      </c>
      <c r="F1264" s="2" t="s">
        <v>4988</v>
      </c>
      <c r="G1264" s="2" t="s">
        <v>4988</v>
      </c>
      <c r="H1264" s="2" t="s">
        <v>4988</v>
      </c>
      <c r="I1264" s="2" t="s">
        <v>4987</v>
      </c>
      <c r="J1264" s="2" t="s">
        <v>806</v>
      </c>
      <c r="K1264" s="2" t="s">
        <v>4989</v>
      </c>
      <c r="L1264" s="3">
        <v>101.26</v>
      </c>
      <c r="M1264" s="3">
        <v>106.32</v>
      </c>
      <c r="N1264" s="3">
        <v>199.99</v>
      </c>
      <c r="O1264" s="2" t="s">
        <v>485</v>
      </c>
      <c r="P1264" s="2" t="s">
        <v>408</v>
      </c>
      <c r="Q1264" s="2" t="s">
        <v>234</v>
      </c>
      <c r="R1264" s="2" t="s">
        <v>235</v>
      </c>
      <c r="S1264" s="2" t="s">
        <v>235</v>
      </c>
      <c r="T1264" s="2" t="s">
        <v>235</v>
      </c>
      <c r="U1264" s="2" t="s">
        <v>235</v>
      </c>
      <c r="V1264" s="2" t="s">
        <v>808</v>
      </c>
      <c r="W1264" s="2" t="s">
        <v>682</v>
      </c>
      <c r="X1264" s="2" t="s">
        <v>1157</v>
      </c>
      <c r="Y1264" s="2" t="s">
        <v>4990</v>
      </c>
      <c r="Z1264" s="4">
        <v>11</v>
      </c>
      <c r="AA1264" s="4">
        <f>=ROUNDDOWN(0.718954248366013,0)</f>
      </c>
      <c r="AB1264" s="5">
        <v>15.3</v>
      </c>
      <c r="AC1264" s="2" t="s">
        <v>235</v>
      </c>
      <c r="AD1264" s="4"/>
      <c r="AE1264" s="4"/>
      <c r="AF1264" s="6">
        <v>74</v>
      </c>
      <c r="AG1264" s="6"/>
      <c r="AH1264" s="7">
        <v>1</v>
      </c>
      <c r="AI1264" s="4"/>
      <c r="AJ1264" s="4">
        <f>=ROUNDDOWN({0},0)</f>
      </c>
      <c r="AK1264" s="5"/>
      <c r="AL1264" s="2" t="s">
        <v>235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235</v>
      </c>
      <c r="BD1264" s="8" t="s">
        <v>235</v>
      </c>
      <c r="BE1264" s="4" t="s">
        <v>235</v>
      </c>
      <c r="BF1264" s="8" t="s">
        <v>235</v>
      </c>
      <c r="BG1264" s="7" t="s">
        <v>235</v>
      </c>
      <c r="BH1264" s="7" t="s">
        <v>235</v>
      </c>
      <c r="BI1264" s="7"/>
      <c r="BJ1264" s="4">
        <v>106</v>
      </c>
      <c r="BK1264" s="8">
        <v>2651.06</v>
      </c>
      <c r="BL1264" s="2" t="s">
        <v>396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4991</v>
      </c>
      <c r="BV1264" s="2" t="s">
        <v>3599</v>
      </c>
      <c r="BW1264" s="2" t="s">
        <v>235</v>
      </c>
      <c r="BX1264" s="2" t="s">
        <v>414</v>
      </c>
      <c r="BY1264" s="2" t="s">
        <v>245</v>
      </c>
      <c r="BZ1264" s="2" t="s">
        <v>232</v>
      </c>
      <c r="CA1264" s="2" t="s">
        <v>4992</v>
      </c>
      <c r="CB1264" s="2" t="s">
        <v>4993</v>
      </c>
      <c r="CC1264" s="2" t="s">
        <v>492</v>
      </c>
      <c r="CD1264" s="2" t="s">
        <v>248</v>
      </c>
      <c r="CE1264" s="2" t="s">
        <v>235</v>
      </c>
      <c r="CF1264" s="4"/>
      <c r="CG1264" s="4">
        <v>11</v>
      </c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>
        <v>29</v>
      </c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19">
        <v>1.5</v>
      </c>
      <c r="HE1264" s="20">
        <v>0</v>
      </c>
      <c r="HF1264" s="20">
        <v>0</v>
      </c>
      <c r="HG1264" s="20">
        <v>0</v>
      </c>
      <c r="HH1264" s="20">
        <v>0</v>
      </c>
      <c r="HI1264" s="20">
        <v>0</v>
      </c>
      <c r="HJ1264" s="20">
        <v>0</v>
      </c>
      <c r="HK1264" s="20">
        <v>0</v>
      </c>
      <c r="HL1264" s="20">
        <v>0</v>
      </c>
      <c r="HM1264" s="20">
        <v>0</v>
      </c>
      <c r="HN1264" s="20">
        <v>0</v>
      </c>
      <c r="HO1264" s="20">
        <v>0</v>
      </c>
      <c r="HP1264" s="20">
        <v>0</v>
      </c>
      <c r="HQ1264" s="20">
        <v>0</v>
      </c>
      <c r="HR1264" s="20">
        <v>0</v>
      </c>
      <c r="HS1264" s="20">
        <v>0</v>
      </c>
      <c r="HT1264" s="20">
        <v>0</v>
      </c>
      <c r="HU1264" s="20">
        <v>0</v>
      </c>
      <c r="HV1264" s="20">
        <v>0</v>
      </c>
      <c r="HW1264" s="20">
        <v>0</v>
      </c>
      <c r="HX1264" s="20">
        <v>0</v>
      </c>
      <c r="HY1264" s="20">
        <v>0</v>
      </c>
      <c r="HZ1264" s="20">
        <v>0</v>
      </c>
      <c r="IA1264" s="20">
        <v>0</v>
      </c>
      <c r="IB1264" s="20">
        <v>0</v>
      </c>
      <c r="IC1264" s="20">
        <v>0</v>
      </c>
    </row>
    <row r="1265">
      <c r="A1265" s="2" t="s">
        <v>4994</v>
      </c>
      <c r="B1265" s="2" t="s">
        <v>871</v>
      </c>
      <c r="C1265" s="2" t="s">
        <v>324</v>
      </c>
      <c r="D1265" s="2" t="s">
        <v>361</v>
      </c>
      <c r="E1265" s="2" t="s">
        <v>872</v>
      </c>
      <c r="F1265" s="2" t="s">
        <v>4988</v>
      </c>
      <c r="G1265" s="2" t="s">
        <v>4995</v>
      </c>
      <c r="H1265" s="2" t="s">
        <v>4996</v>
      </c>
      <c r="I1265" s="2" t="s">
        <v>4997</v>
      </c>
      <c r="J1265" s="2" t="s">
        <v>250</v>
      </c>
      <c r="K1265" s="2" t="s">
        <v>316</v>
      </c>
      <c r="L1265" s="3">
        <v>55.33</v>
      </c>
      <c r="M1265" s="3">
        <v>58.1</v>
      </c>
      <c r="N1265" s="3">
        <v>99.99</v>
      </c>
      <c r="O1265" s="2" t="s">
        <v>232</v>
      </c>
      <c r="P1265" s="2" t="s">
        <v>233</v>
      </c>
      <c r="Q1265" s="2" t="s">
        <v>234</v>
      </c>
      <c r="R1265" s="2" t="s">
        <v>235</v>
      </c>
      <c r="S1265" s="2" t="s">
        <v>4998</v>
      </c>
      <c r="T1265" s="2" t="s">
        <v>1863</v>
      </c>
      <c r="U1265" s="2" t="s">
        <v>742</v>
      </c>
      <c r="V1265" s="2" t="s">
        <v>238</v>
      </c>
      <c r="W1265" s="2" t="s">
        <v>329</v>
      </c>
      <c r="X1265" s="2" t="s">
        <v>682</v>
      </c>
      <c r="Y1265" s="2" t="s">
        <v>240</v>
      </c>
      <c r="Z1265" s="4">
        <v>285</v>
      </c>
      <c r="AA1265" s="4">
        <f>=ROUNDDOWN(71.25,0)</f>
      </c>
      <c r="AB1265" s="5">
        <v>4</v>
      </c>
      <c r="AC1265" s="2" t="s">
        <v>235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235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235</v>
      </c>
      <c r="BD1265" s="8" t="s">
        <v>235</v>
      </c>
      <c r="BE1265" s="4" t="s">
        <v>235</v>
      </c>
      <c r="BF1265" s="8" t="s">
        <v>235</v>
      </c>
      <c r="BG1265" s="7" t="s">
        <v>235</v>
      </c>
      <c r="BH1265" s="7" t="s">
        <v>235</v>
      </c>
      <c r="BI1265" s="7"/>
      <c r="BJ1265" s="4">
        <v>4</v>
      </c>
      <c r="BK1265" s="8">
        <v>241.31</v>
      </c>
      <c r="BL1265" s="2" t="s">
        <v>4999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5000</v>
      </c>
      <c r="BV1265" s="2" t="s">
        <v>243</v>
      </c>
      <c r="BW1265" s="2" t="s">
        <v>235</v>
      </c>
      <c r="BX1265" s="2" t="s">
        <v>383</v>
      </c>
      <c r="BY1265" s="2" t="s">
        <v>245</v>
      </c>
      <c r="BZ1265" s="2" t="s">
        <v>232</v>
      </c>
      <c r="CA1265" s="2" t="s">
        <v>252</v>
      </c>
      <c r="CB1265" s="2" t="s">
        <v>5001</v>
      </c>
      <c r="CC1265" s="2" t="s">
        <v>248</v>
      </c>
      <c r="CD1265" s="2" t="s">
        <v>248</v>
      </c>
      <c r="CE1265" s="2" t="s">
        <v>235</v>
      </c>
      <c r="CF1265" s="4">
        <v>1</v>
      </c>
      <c r="CG1265" s="4">
        <v>132</v>
      </c>
      <c r="CH1265" s="4"/>
      <c r="CI1265" s="4">
        <v>152</v>
      </c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>
        <v>285</v>
      </c>
      <c r="GE1265" s="4">
        <v>274</v>
      </c>
      <c r="GF1265" s="4">
        <v>271</v>
      </c>
      <c r="GG1265" s="4">
        <v>268</v>
      </c>
      <c r="GH1265" s="4">
        <v>263</v>
      </c>
      <c r="GI1265" s="4">
        <v>259</v>
      </c>
      <c r="GJ1265" s="4">
        <v>253</v>
      </c>
      <c r="GK1265" s="4">
        <v>249</v>
      </c>
      <c r="GL1265" s="4">
        <v>244</v>
      </c>
      <c r="GM1265" s="4">
        <v>240</v>
      </c>
      <c r="GN1265" s="4">
        <v>236</v>
      </c>
      <c r="GO1265" s="4">
        <v>229</v>
      </c>
      <c r="GP1265" s="4">
        <v>223</v>
      </c>
      <c r="GQ1265" s="4">
        <v>217</v>
      </c>
      <c r="GR1265" s="4">
        <v>209</v>
      </c>
      <c r="GS1265" s="4">
        <v>201</v>
      </c>
      <c r="GT1265" s="4">
        <v>195</v>
      </c>
      <c r="GU1265" s="4">
        <v>191</v>
      </c>
      <c r="GV1265" s="4">
        <v>187</v>
      </c>
      <c r="GW1265" s="4">
        <v>183</v>
      </c>
      <c r="GX1265" s="4">
        <v>181</v>
      </c>
      <c r="GY1265" s="4">
        <v>178</v>
      </c>
      <c r="GZ1265" s="4">
        <v>173</v>
      </c>
      <c r="HA1265" s="4">
        <v>170</v>
      </c>
      <c r="HB1265" s="4">
        <v>166</v>
      </c>
      <c r="HC1265" s="4">
        <v>160</v>
      </c>
      <c r="HD1265" s="19">
        <v>47.5</v>
      </c>
      <c r="HE1265" s="19">
        <v>68.5</v>
      </c>
      <c r="HF1265" s="19">
        <v>67.8</v>
      </c>
      <c r="HG1265" s="19">
        <v>53.6</v>
      </c>
      <c r="HH1265" s="19">
        <v>52.6</v>
      </c>
      <c r="HI1265" s="19">
        <v>51.8</v>
      </c>
      <c r="HJ1265" s="19">
        <v>63.3</v>
      </c>
      <c r="HK1265" s="19">
        <v>49.8</v>
      </c>
      <c r="HL1265" s="19">
        <v>48.8</v>
      </c>
      <c r="HM1265" s="19">
        <v>40</v>
      </c>
      <c r="HN1265" s="19">
        <v>33.7</v>
      </c>
      <c r="HO1265" s="19">
        <v>32.7</v>
      </c>
      <c r="HP1265" s="19">
        <v>31.9</v>
      </c>
      <c r="HQ1265" s="19">
        <v>36.2</v>
      </c>
      <c r="HR1265" s="19">
        <v>34.8</v>
      </c>
      <c r="HS1265" s="19">
        <v>50.3</v>
      </c>
      <c r="HT1265" s="19">
        <v>48.8</v>
      </c>
      <c r="HU1265" s="19">
        <v>63.7</v>
      </c>
      <c r="HV1265" s="19">
        <v>46.8</v>
      </c>
      <c r="HW1265" s="19">
        <v>61</v>
      </c>
      <c r="HX1265" s="19">
        <v>45.3</v>
      </c>
      <c r="HY1265" s="19">
        <v>44.5</v>
      </c>
      <c r="HZ1265" s="19">
        <v>43.3</v>
      </c>
      <c r="IA1265" s="19">
        <v>42.5</v>
      </c>
      <c r="IB1265" s="19">
        <v>41.5</v>
      </c>
      <c r="IC1265" s="19">
        <v>53.3</v>
      </c>
    </row>
    <row r="1266">
      <c r="A1266" s="2" t="s">
        <v>5002</v>
      </c>
      <c r="B1266" s="2" t="s">
        <v>817</v>
      </c>
      <c r="C1266" s="2" t="s">
        <v>324</v>
      </c>
      <c r="D1266" s="2" t="s">
        <v>5003</v>
      </c>
      <c r="E1266" s="2" t="s">
        <v>5004</v>
      </c>
      <c r="F1266" s="2" t="s">
        <v>5005</v>
      </c>
      <c r="G1266" s="2" t="s">
        <v>5005</v>
      </c>
      <c r="H1266" s="2" t="s">
        <v>5005</v>
      </c>
      <c r="I1266" s="2" t="s">
        <v>5006</v>
      </c>
      <c r="J1266" s="2" t="s">
        <v>897</v>
      </c>
      <c r="K1266" s="2" t="s">
        <v>292</v>
      </c>
      <c r="L1266" s="3">
        <v>23.99</v>
      </c>
      <c r="M1266" s="3">
        <v>25.19</v>
      </c>
      <c r="N1266" s="3">
        <v>52.69</v>
      </c>
      <c r="O1266" s="2" t="s">
        <v>232</v>
      </c>
      <c r="P1266" s="2" t="s">
        <v>233</v>
      </c>
      <c r="Q1266" s="2" t="s">
        <v>234</v>
      </c>
      <c r="R1266" s="2" t="s">
        <v>235</v>
      </c>
      <c r="S1266" s="2" t="s">
        <v>5007</v>
      </c>
      <c r="T1266" s="2" t="s">
        <v>235</v>
      </c>
      <c r="U1266" s="2" t="s">
        <v>807</v>
      </c>
      <c r="V1266" s="2" t="s">
        <v>930</v>
      </c>
      <c r="W1266" s="2" t="s">
        <v>1157</v>
      </c>
      <c r="X1266" s="2" t="s">
        <v>682</v>
      </c>
      <c r="Y1266" s="2" t="s">
        <v>5008</v>
      </c>
      <c r="Z1266" s="4">
        <v>168</v>
      </c>
      <c r="AA1266" s="4">
        <f>=ROUNDDOWN(24,0)</f>
      </c>
      <c r="AB1266" s="5">
        <v>7</v>
      </c>
      <c r="AC1266" s="2" t="s">
        <v>1113</v>
      </c>
      <c r="AD1266" s="4">
        <v>100</v>
      </c>
      <c r="AE1266" s="4">
        <v>100</v>
      </c>
      <c r="AF1266" s="6">
        <v>63</v>
      </c>
      <c r="AG1266" s="6">
        <v>46</v>
      </c>
      <c r="AH1266" s="7">
        <v>1</v>
      </c>
      <c r="AI1266" s="4"/>
      <c r="AJ1266" s="4">
        <f>=ROUNDDOWN({0},0)</f>
      </c>
      <c r="AK1266" s="5"/>
      <c r="AL1266" s="2" t="s">
        <v>235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>
        <v>29</v>
      </c>
      <c r="BK1266" s="8">
        <v>840.88</v>
      </c>
      <c r="BL1266" s="2" t="s">
        <v>5009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5010</v>
      </c>
      <c r="BV1266" s="2" t="s">
        <v>828</v>
      </c>
      <c r="BW1266" s="2" t="s">
        <v>235</v>
      </c>
      <c r="BX1266" s="2" t="s">
        <v>244</v>
      </c>
      <c r="BY1266" s="2" t="s">
        <v>245</v>
      </c>
      <c r="BZ1266" s="2" t="s">
        <v>232</v>
      </c>
      <c r="CA1266" s="2" t="s">
        <v>5011</v>
      </c>
      <c r="CB1266" s="2" t="s">
        <v>5012</v>
      </c>
      <c r="CC1266" s="2" t="s">
        <v>248</v>
      </c>
      <c r="CD1266" s="2" t="s">
        <v>248</v>
      </c>
      <c r="CE1266" s="2" t="s">
        <v>235</v>
      </c>
      <c r="CF1266" s="4"/>
      <c r="CG1266" s="4">
        <v>88</v>
      </c>
      <c r="CH1266" s="4"/>
      <c r="CI1266" s="4">
        <v>80</v>
      </c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>
        <v>100</v>
      </c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>
        <v>171</v>
      </c>
      <c r="GE1266" s="4">
        <v>143</v>
      </c>
      <c r="GF1266" s="4">
        <v>136</v>
      </c>
      <c r="GG1266" s="4">
        <v>129</v>
      </c>
      <c r="GH1266" s="4">
        <v>122</v>
      </c>
      <c r="GI1266" s="4">
        <v>115</v>
      </c>
      <c r="GJ1266" s="4">
        <v>108</v>
      </c>
      <c r="GK1266" s="4">
        <v>101</v>
      </c>
      <c r="GL1266" s="4">
        <v>94</v>
      </c>
      <c r="GM1266" s="4">
        <v>87</v>
      </c>
      <c r="GN1266" s="4">
        <v>80</v>
      </c>
      <c r="GO1266" s="4">
        <v>74</v>
      </c>
      <c r="GP1266" s="4">
        <v>68</v>
      </c>
      <c r="GQ1266" s="4">
        <v>162</v>
      </c>
      <c r="GR1266" s="4">
        <v>156</v>
      </c>
      <c r="GS1266" s="4">
        <v>149</v>
      </c>
      <c r="GT1266" s="4">
        <v>142</v>
      </c>
      <c r="GU1266" s="4">
        <v>134</v>
      </c>
      <c r="GV1266" s="4">
        <v>127</v>
      </c>
      <c r="GW1266" s="4">
        <v>121</v>
      </c>
      <c r="GX1266" s="4">
        <v>115</v>
      </c>
      <c r="GY1266" s="4">
        <v>109</v>
      </c>
      <c r="GZ1266" s="4">
        <v>102</v>
      </c>
      <c r="HA1266" s="4">
        <v>95</v>
      </c>
      <c r="HB1266" s="4">
        <v>87</v>
      </c>
      <c r="HC1266" s="4">
        <v>79</v>
      </c>
      <c r="HD1266" s="19">
        <v>18.4</v>
      </c>
      <c r="HE1266" s="19">
        <v>25.3</v>
      </c>
      <c r="HF1266" s="19">
        <v>24.3</v>
      </c>
      <c r="HG1266" s="19">
        <v>23.3</v>
      </c>
      <c r="HH1266" s="19">
        <v>22.3</v>
      </c>
      <c r="HI1266" s="19">
        <v>21.3</v>
      </c>
      <c r="HJ1266" s="19">
        <v>20.3</v>
      </c>
      <c r="HK1266" s="19">
        <v>19.3</v>
      </c>
      <c r="HL1266" s="19">
        <v>18.3</v>
      </c>
      <c r="HM1266" s="19">
        <v>31.5</v>
      </c>
      <c r="HN1266" s="19">
        <v>30</v>
      </c>
      <c r="HO1266" s="19">
        <v>29</v>
      </c>
      <c r="HP1266" s="19">
        <v>14.8</v>
      </c>
      <c r="HQ1266" s="19">
        <v>24</v>
      </c>
      <c r="HR1266" s="19">
        <v>23.3</v>
      </c>
      <c r="HS1266" s="19">
        <v>22.3</v>
      </c>
      <c r="HT1266" s="19">
        <v>21.3</v>
      </c>
      <c r="HU1266" s="19">
        <v>22.4</v>
      </c>
      <c r="HV1266" s="19">
        <v>21.3</v>
      </c>
      <c r="HW1266" s="19">
        <v>20.3</v>
      </c>
      <c r="HX1266" s="19">
        <v>17.4</v>
      </c>
      <c r="HY1266" s="19">
        <v>15.3</v>
      </c>
      <c r="HZ1266" s="19">
        <v>14.4</v>
      </c>
      <c r="IA1266" s="19">
        <v>13.4</v>
      </c>
      <c r="IB1266" s="19">
        <v>13.4</v>
      </c>
      <c r="IC1266" s="19">
        <v>12.3</v>
      </c>
    </row>
    <row r="1267">
      <c r="A1267" s="2" t="s">
        <v>5013</v>
      </c>
      <c r="B1267" s="2" t="s">
        <v>905</v>
      </c>
      <c r="C1267" s="2" t="s">
        <v>1036</v>
      </c>
      <c r="D1267" s="2" t="s">
        <v>361</v>
      </c>
      <c r="E1267" s="2" t="s">
        <v>924</v>
      </c>
      <c r="F1267" s="2" t="s">
        <v>5014</v>
      </c>
      <c r="G1267" s="2" t="s">
        <v>5015</v>
      </c>
      <c r="H1267" s="2" t="s">
        <v>5015</v>
      </c>
      <c r="I1267" s="2" t="s">
        <v>5016</v>
      </c>
      <c r="J1267" s="2" t="s">
        <v>372</v>
      </c>
      <c r="K1267" s="2" t="s">
        <v>295</v>
      </c>
      <c r="L1267" s="3">
        <v>44.9</v>
      </c>
      <c r="M1267" s="3">
        <v>47.15</v>
      </c>
      <c r="N1267" s="3">
        <v>99.99</v>
      </c>
      <c r="O1267" s="2" t="s">
        <v>485</v>
      </c>
      <c r="P1267" s="2" t="s">
        <v>408</v>
      </c>
      <c r="Q1267" s="2" t="s">
        <v>234</v>
      </c>
      <c r="R1267" s="2" t="s">
        <v>235</v>
      </c>
      <c r="S1267" s="2" t="s">
        <v>5017</v>
      </c>
      <c r="T1267" s="2" t="s">
        <v>1081</v>
      </c>
      <c r="U1267" s="2" t="s">
        <v>552</v>
      </c>
      <c r="V1267" s="2" t="s">
        <v>238</v>
      </c>
      <c r="W1267" s="2" t="s">
        <v>239</v>
      </c>
      <c r="X1267" s="2" t="s">
        <v>235</v>
      </c>
      <c r="Y1267" s="2" t="s">
        <v>5018</v>
      </c>
      <c r="Z1267" s="4">
        <v>227</v>
      </c>
      <c r="AA1267" s="4">
        <f>=ROUNDDOWN(141.875,0)</f>
      </c>
      <c r="AB1267" s="5">
        <v>1.6</v>
      </c>
      <c r="AC1267" s="2" t="s">
        <v>235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235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>
        <v>3</v>
      </c>
      <c r="BK1267" s="8">
        <v>138.6</v>
      </c>
      <c r="BL1267" s="2" t="s">
        <v>5019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5020</v>
      </c>
      <c r="BV1267" s="2" t="s">
        <v>243</v>
      </c>
      <c r="BW1267" s="2" t="s">
        <v>235</v>
      </c>
      <c r="BX1267" s="2" t="s">
        <v>414</v>
      </c>
      <c r="BY1267" s="2" t="s">
        <v>245</v>
      </c>
      <c r="BZ1267" s="2" t="s">
        <v>232</v>
      </c>
      <c r="CA1267" s="2" t="s">
        <v>2366</v>
      </c>
      <c r="CB1267" s="2" t="s">
        <v>1725</v>
      </c>
      <c r="CC1267" s="2" t="s">
        <v>248</v>
      </c>
      <c r="CD1267" s="2" t="s">
        <v>248</v>
      </c>
      <c r="CE1267" s="2" t="s">
        <v>235</v>
      </c>
      <c r="CF1267" s="4">
        <v>227</v>
      </c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>
        <v>227</v>
      </c>
      <c r="GE1267" s="4">
        <v>218</v>
      </c>
      <c r="GF1267" s="4">
        <v>216</v>
      </c>
      <c r="GG1267" s="4">
        <v>214</v>
      </c>
      <c r="GH1267" s="4">
        <v>212</v>
      </c>
      <c r="GI1267" s="4">
        <v>210</v>
      </c>
      <c r="GJ1267" s="4">
        <v>207</v>
      </c>
      <c r="GK1267" s="4">
        <v>205</v>
      </c>
      <c r="GL1267" s="4">
        <v>203</v>
      </c>
      <c r="GM1267" s="4">
        <v>201</v>
      </c>
      <c r="GN1267" s="4">
        <v>200</v>
      </c>
      <c r="GO1267" s="4">
        <v>198</v>
      </c>
      <c r="GP1267" s="4">
        <v>196</v>
      </c>
      <c r="GQ1267" s="4">
        <v>193</v>
      </c>
      <c r="GR1267" s="4">
        <v>191</v>
      </c>
      <c r="GS1267" s="4">
        <v>189</v>
      </c>
      <c r="GT1267" s="4">
        <v>187</v>
      </c>
      <c r="GU1267" s="4">
        <v>186</v>
      </c>
      <c r="GV1267" s="4">
        <v>184</v>
      </c>
      <c r="GW1267" s="4">
        <v>182</v>
      </c>
      <c r="GX1267" s="4">
        <v>180</v>
      </c>
      <c r="GY1267" s="4">
        <v>178</v>
      </c>
      <c r="GZ1267" s="4">
        <v>176</v>
      </c>
      <c r="HA1267" s="4">
        <v>174</v>
      </c>
      <c r="HB1267" s="4">
        <v>172</v>
      </c>
      <c r="HC1267" s="4">
        <v>170</v>
      </c>
      <c r="HD1267" s="19">
        <v>56.8</v>
      </c>
      <c r="HE1267" s="19">
        <v>109</v>
      </c>
      <c r="HF1267" s="19">
        <v>108</v>
      </c>
      <c r="HG1267" s="19">
        <v>107</v>
      </c>
      <c r="HH1267" s="19">
        <v>106</v>
      </c>
      <c r="HI1267" s="19">
        <v>105</v>
      </c>
      <c r="HJ1267" s="19">
        <v>103.5</v>
      </c>
      <c r="HK1267" s="19">
        <v>102.5</v>
      </c>
      <c r="HL1267" s="19">
        <v>101.5</v>
      </c>
      <c r="HM1267" s="19">
        <v>100.5</v>
      </c>
      <c r="HN1267" s="19">
        <v>100</v>
      </c>
      <c r="HO1267" s="19">
        <v>99</v>
      </c>
      <c r="HP1267" s="19">
        <v>98</v>
      </c>
      <c r="HQ1267" s="19">
        <v>96.5</v>
      </c>
      <c r="HR1267" s="19">
        <v>95.5</v>
      </c>
      <c r="HS1267" s="19">
        <v>94.5</v>
      </c>
      <c r="HT1267" s="19">
        <v>93.5</v>
      </c>
      <c r="HU1267" s="19">
        <v>93</v>
      </c>
      <c r="HV1267" s="19">
        <v>92</v>
      </c>
      <c r="HW1267" s="19">
        <v>91</v>
      </c>
      <c r="HX1267" s="19">
        <v>90</v>
      </c>
      <c r="HY1267" s="19">
        <v>89</v>
      </c>
      <c r="HZ1267" s="19">
        <v>88</v>
      </c>
      <c r="IA1267" s="19">
        <v>87</v>
      </c>
      <c r="IB1267" s="19">
        <v>86</v>
      </c>
      <c r="IC1267" s="19">
        <v>85</v>
      </c>
    </row>
    <row r="1268">
      <c r="A1268" s="2" t="s">
        <v>5021</v>
      </c>
      <c r="B1268" s="2" t="s">
        <v>1071</v>
      </c>
      <c r="C1268" s="2" t="s">
        <v>1085</v>
      </c>
      <c r="D1268" s="2" t="s">
        <v>5022</v>
      </c>
      <c r="E1268" s="2" t="s">
        <v>5023</v>
      </c>
      <c r="F1268" s="2" t="s">
        <v>5024</v>
      </c>
      <c r="G1268" s="2" t="s">
        <v>5024</v>
      </c>
      <c r="H1268" s="2" t="s">
        <v>5024</v>
      </c>
      <c r="I1268" s="2" t="s">
        <v>5025</v>
      </c>
      <c r="J1268" s="2" t="s">
        <v>897</v>
      </c>
      <c r="K1268" s="2" t="s">
        <v>295</v>
      </c>
      <c r="L1268" s="3">
        <v>132</v>
      </c>
      <c r="M1268" s="3">
        <v>138.6</v>
      </c>
      <c r="N1268" s="3">
        <v>279</v>
      </c>
      <c r="O1268" s="2" t="s">
        <v>232</v>
      </c>
      <c r="P1268" s="2" t="s">
        <v>5026</v>
      </c>
      <c r="Q1268" s="2" t="s">
        <v>234</v>
      </c>
      <c r="R1268" s="2" t="s">
        <v>235</v>
      </c>
      <c r="S1268" s="2" t="s">
        <v>235</v>
      </c>
      <c r="T1268" s="2" t="s">
        <v>235</v>
      </c>
      <c r="U1268" s="2" t="s">
        <v>235</v>
      </c>
      <c r="V1268" s="2" t="s">
        <v>330</v>
      </c>
      <c r="W1268" s="2" t="s">
        <v>682</v>
      </c>
      <c r="X1268" s="2" t="s">
        <v>3881</v>
      </c>
      <c r="Y1268" s="2" t="s">
        <v>235</v>
      </c>
      <c r="Z1268" s="4"/>
      <c r="AA1268" s="4">
        <f>=ROUNDDOWN({0},0)</f>
      </c>
      <c r="AB1268" s="5"/>
      <c r="AC1268" s="2" t="s">
        <v>5027</v>
      </c>
      <c r="AD1268" s="4">
        <v>95</v>
      </c>
      <c r="AE1268" s="4">
        <v>95</v>
      </c>
      <c r="AF1268" s="6">
        <v>74</v>
      </c>
      <c r="AG1268" s="6"/>
      <c r="AH1268" s="7"/>
      <c r="AI1268" s="4"/>
      <c r="AJ1268" s="4">
        <f>=ROUNDDOWN({0},0)</f>
      </c>
      <c r="AK1268" s="5"/>
      <c r="AL1268" s="2" t="s">
        <v>235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/>
      <c r="BK1268" s="8"/>
      <c r="BL1268" s="2" t="s">
        <v>235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5028</v>
      </c>
      <c r="BV1268" s="2" t="s">
        <v>235</v>
      </c>
      <c r="BW1268" s="2" t="s">
        <v>235</v>
      </c>
      <c r="BX1268" s="2" t="s">
        <v>330</v>
      </c>
      <c r="BY1268" s="2" t="s">
        <v>245</v>
      </c>
      <c r="BZ1268" s="2" t="s">
        <v>232</v>
      </c>
      <c r="CA1268" s="2" t="s">
        <v>235</v>
      </c>
      <c r="CB1268" s="2" t="s">
        <v>235</v>
      </c>
      <c r="CC1268" s="2" t="s">
        <v>248</v>
      </c>
      <c r="CD1268" s="2" t="s">
        <v>248</v>
      </c>
      <c r="CE1268" s="2" t="s">
        <v>235</v>
      </c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>
        <v>95</v>
      </c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>
        <v>95</v>
      </c>
      <c r="GO1268" s="4">
        <v>90</v>
      </c>
      <c r="GP1268" s="4">
        <v>87</v>
      </c>
      <c r="GQ1268" s="4">
        <v>80</v>
      </c>
      <c r="GR1268" s="4">
        <v>76</v>
      </c>
      <c r="GS1268" s="4">
        <v>72</v>
      </c>
      <c r="GT1268" s="4">
        <v>70</v>
      </c>
      <c r="GU1268" s="4">
        <v>67</v>
      </c>
      <c r="GV1268" s="4">
        <v>63</v>
      </c>
      <c r="GW1268" s="4">
        <v>60</v>
      </c>
      <c r="GX1268" s="4">
        <v>56</v>
      </c>
      <c r="GY1268" s="4">
        <v>53</v>
      </c>
      <c r="GZ1268" s="4">
        <v>48</v>
      </c>
      <c r="HA1268" s="4">
        <v>43</v>
      </c>
      <c r="HB1268" s="4">
        <v>38</v>
      </c>
      <c r="HC1268" s="4">
        <v>33</v>
      </c>
      <c r="HD1268" s="9"/>
      <c r="HE1268" s="9"/>
      <c r="HF1268" s="9"/>
      <c r="HG1268" s="9"/>
      <c r="HH1268" s="9"/>
      <c r="HI1268" s="9"/>
      <c r="HJ1268" s="9"/>
      <c r="HK1268" s="9"/>
      <c r="HL1268" s="9"/>
      <c r="HM1268" s="20">
        <v>0</v>
      </c>
      <c r="HN1268" s="19">
        <v>19</v>
      </c>
      <c r="HO1268" s="19">
        <v>22.5</v>
      </c>
      <c r="HP1268" s="19">
        <v>21.8</v>
      </c>
      <c r="HQ1268" s="19">
        <v>26.7</v>
      </c>
      <c r="HR1268" s="19">
        <v>25.3</v>
      </c>
      <c r="HS1268" s="19">
        <v>24</v>
      </c>
      <c r="HT1268" s="19">
        <v>17.5</v>
      </c>
      <c r="HU1268" s="19">
        <v>16.8</v>
      </c>
      <c r="HV1268" s="19">
        <v>15.8</v>
      </c>
      <c r="HW1268" s="19">
        <v>15</v>
      </c>
      <c r="HX1268" s="19">
        <v>14</v>
      </c>
      <c r="HY1268" s="19">
        <v>10.6</v>
      </c>
      <c r="HZ1268" s="19">
        <v>9.6</v>
      </c>
      <c r="IA1268" s="19">
        <v>8.6</v>
      </c>
      <c r="IB1268" s="19">
        <v>7.6</v>
      </c>
      <c r="IC1268" s="19">
        <v>6.6</v>
      </c>
    </row>
    <row r="1269">
      <c r="A1269" s="2" t="s">
        <v>5029</v>
      </c>
      <c r="B1269" s="2" t="s">
        <v>852</v>
      </c>
      <c r="C1269" s="2" t="s">
        <v>324</v>
      </c>
      <c r="D1269" s="2" t="s">
        <v>854</v>
      </c>
      <c r="E1269" s="2" t="s">
        <v>1005</v>
      </c>
      <c r="F1269" s="2" t="s">
        <v>5030</v>
      </c>
      <c r="G1269" s="2" t="s">
        <v>5030</v>
      </c>
      <c r="H1269" s="2" t="s">
        <v>5030</v>
      </c>
      <c r="I1269" s="2" t="s">
        <v>5031</v>
      </c>
      <c r="J1269" s="2" t="s">
        <v>5032</v>
      </c>
      <c r="K1269" s="2" t="s">
        <v>316</v>
      </c>
      <c r="L1269" s="3">
        <v>13.31</v>
      </c>
      <c r="M1269" s="3">
        <v>13.98</v>
      </c>
      <c r="N1269" s="3">
        <v>24.99</v>
      </c>
      <c r="O1269" s="2" t="s">
        <v>232</v>
      </c>
      <c r="P1269" s="2" t="s">
        <v>233</v>
      </c>
      <c r="Q1269" s="2" t="s">
        <v>234</v>
      </c>
      <c r="R1269" s="2" t="s">
        <v>235</v>
      </c>
      <c r="S1269" s="2" t="s">
        <v>235</v>
      </c>
      <c r="T1269" s="2" t="s">
        <v>501</v>
      </c>
      <c r="U1269" s="2" t="s">
        <v>278</v>
      </c>
      <c r="V1269" s="2" t="s">
        <v>238</v>
      </c>
      <c r="W1269" s="2" t="s">
        <v>682</v>
      </c>
      <c r="X1269" s="2" t="s">
        <v>235</v>
      </c>
      <c r="Y1269" s="2" t="s">
        <v>3035</v>
      </c>
      <c r="Z1269" s="4">
        <v>1</v>
      </c>
      <c r="AA1269" s="4">
        <f>=ROUNDDOWN(0.0625,0)</f>
      </c>
      <c r="AB1269" s="5">
        <v>16</v>
      </c>
      <c r="AC1269" s="2" t="s">
        <v>1148</v>
      </c>
      <c r="AD1269" s="4">
        <v>256</v>
      </c>
      <c r="AE1269" s="4">
        <v>436</v>
      </c>
      <c r="AF1269" s="6">
        <v>65</v>
      </c>
      <c r="AG1269" s="6"/>
      <c r="AH1269" s="7">
        <v>0</v>
      </c>
      <c r="AI1269" s="4"/>
      <c r="AJ1269" s="4">
        <f>=ROUNDDOWN({0},0)</f>
      </c>
      <c r="AK1269" s="5"/>
      <c r="AL1269" s="2" t="s">
        <v>235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235</v>
      </c>
      <c r="AW1269" s="8" t="s">
        <v>235</v>
      </c>
      <c r="AX1269" s="4" t="s">
        <v>235</v>
      </c>
      <c r="AY1269" s="8" t="s">
        <v>235</v>
      </c>
      <c r="AZ1269" s="7" t="s">
        <v>235</v>
      </c>
      <c r="BA1269" s="7" t="s">
        <v>235</v>
      </c>
      <c r="BB1269" s="7"/>
      <c r="BC1269" s="4" t="s">
        <v>235</v>
      </c>
      <c r="BD1269" s="8" t="s">
        <v>235</v>
      </c>
      <c r="BE1269" s="4" t="s">
        <v>235</v>
      </c>
      <c r="BF1269" s="8" t="s">
        <v>235</v>
      </c>
      <c r="BG1269" s="7" t="s">
        <v>235</v>
      </c>
      <c r="BH1269" s="7" t="s">
        <v>235</v>
      </c>
      <c r="BI1269" s="7"/>
      <c r="BJ1269" s="4"/>
      <c r="BK1269" s="8"/>
      <c r="BL1269" s="2" t="s">
        <v>235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5033</v>
      </c>
      <c r="BV1269" s="2" t="s">
        <v>867</v>
      </c>
      <c r="BW1269" s="2" t="s">
        <v>235</v>
      </c>
      <c r="BX1269" s="2" t="s">
        <v>244</v>
      </c>
      <c r="BY1269" s="2" t="s">
        <v>245</v>
      </c>
      <c r="BZ1269" s="2" t="s">
        <v>232</v>
      </c>
      <c r="CA1269" s="2" t="s">
        <v>5034</v>
      </c>
      <c r="CB1269" s="2" t="s">
        <v>3984</v>
      </c>
      <c r="CC1269" s="2" t="s">
        <v>248</v>
      </c>
      <c r="CD1269" s="2" t="s">
        <v>248</v>
      </c>
      <c r="CE1269" s="2" t="s">
        <v>235</v>
      </c>
      <c r="CF1269" s="4">
        <v>1</v>
      </c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>
        <v>256</v>
      </c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>
        <v>180</v>
      </c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>
        <v>1</v>
      </c>
      <c r="GE1269" s="4"/>
      <c r="GF1269" s="4"/>
      <c r="GG1269" s="4"/>
      <c r="GH1269" s="4">
        <v>256</v>
      </c>
      <c r="GI1269" s="4">
        <v>187</v>
      </c>
      <c r="GJ1269" s="4">
        <v>167</v>
      </c>
      <c r="GK1269" s="4">
        <v>148</v>
      </c>
      <c r="GL1269" s="4">
        <v>126</v>
      </c>
      <c r="GM1269" s="4">
        <v>107</v>
      </c>
      <c r="GN1269" s="4">
        <v>87</v>
      </c>
      <c r="GO1269" s="4">
        <v>244</v>
      </c>
      <c r="GP1269" s="4">
        <v>224</v>
      </c>
      <c r="GQ1269" s="4">
        <v>199</v>
      </c>
      <c r="GR1269" s="4">
        <v>179</v>
      </c>
      <c r="GS1269" s="4">
        <v>155</v>
      </c>
      <c r="GT1269" s="4">
        <v>138</v>
      </c>
      <c r="GU1269" s="4">
        <v>119</v>
      </c>
      <c r="GV1269" s="4">
        <v>100</v>
      </c>
      <c r="GW1269" s="4">
        <v>274</v>
      </c>
      <c r="GX1269" s="4">
        <v>258</v>
      </c>
      <c r="GY1269" s="4">
        <v>242</v>
      </c>
      <c r="GZ1269" s="4">
        <v>226</v>
      </c>
      <c r="HA1269" s="4">
        <v>210</v>
      </c>
      <c r="HB1269" s="4">
        <v>194</v>
      </c>
      <c r="HC1269" s="4">
        <v>176</v>
      </c>
      <c r="HD1269" s="19">
        <v>0.1</v>
      </c>
      <c r="HE1269" s="20">
        <v>0</v>
      </c>
      <c r="HF1269" s="20">
        <v>0</v>
      </c>
      <c r="HG1269" s="20">
        <v>0</v>
      </c>
      <c r="HH1269" s="19">
        <v>8</v>
      </c>
      <c r="HI1269" s="19">
        <v>9.4</v>
      </c>
      <c r="HJ1269" s="19">
        <v>8.4</v>
      </c>
      <c r="HK1269" s="19">
        <v>7</v>
      </c>
      <c r="HL1269" s="19">
        <v>6.3</v>
      </c>
      <c r="HM1269" s="19">
        <v>4.9</v>
      </c>
      <c r="HN1269" s="19">
        <v>4</v>
      </c>
      <c r="HO1269" s="19">
        <v>11.1</v>
      </c>
      <c r="HP1269" s="19">
        <v>10.2</v>
      </c>
      <c r="HQ1269" s="19">
        <v>10</v>
      </c>
      <c r="HR1269" s="19">
        <v>9</v>
      </c>
      <c r="HS1269" s="19">
        <v>8.6</v>
      </c>
      <c r="HT1269" s="19">
        <v>7.7</v>
      </c>
      <c r="HU1269" s="19">
        <v>7</v>
      </c>
      <c r="HV1269" s="19">
        <v>6.3</v>
      </c>
      <c r="HW1269" s="19">
        <v>17.1</v>
      </c>
      <c r="HX1269" s="19">
        <v>16.1</v>
      </c>
      <c r="HY1269" s="19">
        <v>15.1</v>
      </c>
      <c r="HZ1269" s="19">
        <v>14.1</v>
      </c>
      <c r="IA1269" s="19">
        <v>13.1</v>
      </c>
      <c r="IB1269" s="19">
        <v>12.1</v>
      </c>
      <c r="IC1269" s="19">
        <v>11</v>
      </c>
    </row>
    <row r="1270">
      <c r="A1270" s="2" t="s">
        <v>5035</v>
      </c>
      <c r="B1270" s="2" t="s">
        <v>852</v>
      </c>
      <c r="C1270" s="2" t="s">
        <v>324</v>
      </c>
      <c r="D1270" s="2" t="s">
        <v>854</v>
      </c>
      <c r="E1270" s="2" t="s">
        <v>1005</v>
      </c>
      <c r="F1270" s="2" t="s">
        <v>5030</v>
      </c>
      <c r="G1270" s="2" t="s">
        <v>5030</v>
      </c>
      <c r="H1270" s="2" t="s">
        <v>5030</v>
      </c>
      <c r="I1270" s="2" t="s">
        <v>5031</v>
      </c>
      <c r="J1270" s="2" t="s">
        <v>5036</v>
      </c>
      <c r="K1270" s="2" t="s">
        <v>316</v>
      </c>
      <c r="L1270" s="3">
        <v>17.23</v>
      </c>
      <c r="M1270" s="3">
        <v>18.09</v>
      </c>
      <c r="N1270" s="3">
        <v>34.99</v>
      </c>
      <c r="O1270" s="2" t="s">
        <v>232</v>
      </c>
      <c r="P1270" s="2" t="s">
        <v>233</v>
      </c>
      <c r="Q1270" s="2" t="s">
        <v>234</v>
      </c>
      <c r="R1270" s="2" t="s">
        <v>235</v>
      </c>
      <c r="S1270" s="2" t="s">
        <v>235</v>
      </c>
      <c r="T1270" s="2" t="s">
        <v>501</v>
      </c>
      <c r="U1270" s="2" t="s">
        <v>278</v>
      </c>
      <c r="V1270" s="2" t="s">
        <v>238</v>
      </c>
      <c r="W1270" s="2" t="s">
        <v>682</v>
      </c>
      <c r="X1270" s="2" t="s">
        <v>235</v>
      </c>
      <c r="Y1270" s="2" t="s">
        <v>3035</v>
      </c>
      <c r="Z1270" s="4"/>
      <c r="AA1270" s="4">
        <f>=ROUNDDOWN({0},0)</f>
      </c>
      <c r="AB1270" s="5">
        <v>24</v>
      </c>
      <c r="AC1270" s="2" t="s">
        <v>1148</v>
      </c>
      <c r="AD1270" s="4">
        <v>368</v>
      </c>
      <c r="AE1270" s="4">
        <v>564</v>
      </c>
      <c r="AF1270" s="6">
        <v>65</v>
      </c>
      <c r="AG1270" s="6"/>
      <c r="AH1270" s="7">
        <v>0</v>
      </c>
      <c r="AI1270" s="4"/>
      <c r="AJ1270" s="4">
        <f>=ROUNDDOWN({0},0)</f>
      </c>
      <c r="AK1270" s="5"/>
      <c r="AL1270" s="2" t="s">
        <v>235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235</v>
      </c>
      <c r="AW1270" s="8" t="s">
        <v>235</v>
      </c>
      <c r="AX1270" s="4" t="s">
        <v>235</v>
      </c>
      <c r="AY1270" s="8" t="s">
        <v>235</v>
      </c>
      <c r="AZ1270" s="7" t="s">
        <v>235</v>
      </c>
      <c r="BA1270" s="7" t="s">
        <v>235</v>
      </c>
      <c r="BB1270" s="7"/>
      <c r="BC1270" s="4" t="s">
        <v>235</v>
      </c>
      <c r="BD1270" s="8" t="s">
        <v>235</v>
      </c>
      <c r="BE1270" s="4" t="s">
        <v>235</v>
      </c>
      <c r="BF1270" s="8" t="s">
        <v>235</v>
      </c>
      <c r="BG1270" s="7" t="s">
        <v>235</v>
      </c>
      <c r="BH1270" s="7" t="s">
        <v>235</v>
      </c>
      <c r="BI1270" s="7"/>
      <c r="BJ1270" s="4">
        <v>1</v>
      </c>
      <c r="BK1270" s="8">
        <v>19.23</v>
      </c>
      <c r="BL1270" s="2" t="s">
        <v>1907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5033</v>
      </c>
      <c r="BV1270" s="2" t="s">
        <v>867</v>
      </c>
      <c r="BW1270" s="2" t="s">
        <v>235</v>
      </c>
      <c r="BX1270" s="2" t="s">
        <v>244</v>
      </c>
      <c r="BY1270" s="2" t="s">
        <v>245</v>
      </c>
      <c r="BZ1270" s="2" t="s">
        <v>232</v>
      </c>
      <c r="CA1270" s="2" t="s">
        <v>5034</v>
      </c>
      <c r="CB1270" s="2" t="s">
        <v>5037</v>
      </c>
      <c r="CC1270" s="2" t="s">
        <v>248</v>
      </c>
      <c r="CD1270" s="2" t="s">
        <v>248</v>
      </c>
      <c r="CE1270" s="2" t="s">
        <v>235</v>
      </c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>
        <v>368</v>
      </c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>
        <v>196</v>
      </c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>
        <v>368</v>
      </c>
      <c r="GI1270" s="4">
        <v>316</v>
      </c>
      <c r="GJ1270" s="4">
        <v>289</v>
      </c>
      <c r="GK1270" s="4">
        <v>263</v>
      </c>
      <c r="GL1270" s="4">
        <v>235</v>
      </c>
      <c r="GM1270" s="4">
        <v>209</v>
      </c>
      <c r="GN1270" s="4">
        <v>178</v>
      </c>
      <c r="GO1270" s="4">
        <v>340</v>
      </c>
      <c r="GP1270" s="4">
        <v>310</v>
      </c>
      <c r="GQ1270" s="4">
        <v>272</v>
      </c>
      <c r="GR1270" s="4">
        <v>239</v>
      </c>
      <c r="GS1270" s="4">
        <v>201</v>
      </c>
      <c r="GT1270" s="4">
        <v>177</v>
      </c>
      <c r="GU1270" s="4">
        <v>149</v>
      </c>
      <c r="GV1270" s="4">
        <v>121</v>
      </c>
      <c r="GW1270" s="4">
        <v>412</v>
      </c>
      <c r="GX1270" s="4">
        <v>388</v>
      </c>
      <c r="GY1270" s="4">
        <v>364</v>
      </c>
      <c r="GZ1270" s="4">
        <v>340</v>
      </c>
      <c r="HA1270" s="4">
        <v>316</v>
      </c>
      <c r="HB1270" s="4">
        <v>292</v>
      </c>
      <c r="HC1270" s="4">
        <v>264</v>
      </c>
      <c r="HD1270" s="20">
        <v>0</v>
      </c>
      <c r="HE1270" s="20">
        <v>0</v>
      </c>
      <c r="HF1270" s="20">
        <v>0</v>
      </c>
      <c r="HG1270" s="20">
        <v>0</v>
      </c>
      <c r="HH1270" s="19">
        <v>11.2</v>
      </c>
      <c r="HI1270" s="19">
        <v>11.7</v>
      </c>
      <c r="HJ1270" s="19">
        <v>10.3</v>
      </c>
      <c r="HK1270" s="19">
        <v>8.8</v>
      </c>
      <c r="HL1270" s="19">
        <v>7.8</v>
      </c>
      <c r="HM1270" s="19">
        <v>6.3</v>
      </c>
      <c r="HN1270" s="19">
        <v>5.2</v>
      </c>
      <c r="HO1270" s="19">
        <v>9.7</v>
      </c>
      <c r="HP1270" s="19">
        <v>9.4</v>
      </c>
      <c r="HQ1270" s="19">
        <v>8.8</v>
      </c>
      <c r="HR1270" s="19">
        <v>8</v>
      </c>
      <c r="HS1270" s="19">
        <v>7.7</v>
      </c>
      <c r="HT1270" s="19">
        <v>6.8</v>
      </c>
      <c r="HU1270" s="19">
        <v>6</v>
      </c>
      <c r="HV1270" s="19">
        <v>5</v>
      </c>
      <c r="HW1270" s="19">
        <v>17.2</v>
      </c>
      <c r="HX1270" s="19">
        <v>16.2</v>
      </c>
      <c r="HY1270" s="19">
        <v>14.6</v>
      </c>
      <c r="HZ1270" s="19">
        <v>13.6</v>
      </c>
      <c r="IA1270" s="19">
        <v>12.6</v>
      </c>
      <c r="IB1270" s="19">
        <v>11.7</v>
      </c>
      <c r="IC1270" s="19">
        <v>11</v>
      </c>
    </row>
    <row r="1271">
      <c r="A1271" s="2" t="s">
        <v>5038</v>
      </c>
      <c r="B1271" s="2" t="s">
        <v>817</v>
      </c>
      <c r="C1271" s="2" t="s">
        <v>324</v>
      </c>
      <c r="D1271" s="2" t="s">
        <v>1519</v>
      </c>
      <c r="E1271" s="2" t="s">
        <v>1520</v>
      </c>
      <c r="F1271" s="2" t="s">
        <v>5039</v>
      </c>
      <c r="G1271" s="2" t="s">
        <v>5039</v>
      </c>
      <c r="H1271" s="2" t="s">
        <v>5039</v>
      </c>
      <c r="I1271" s="2" t="s">
        <v>5040</v>
      </c>
      <c r="J1271" s="2" t="s">
        <v>897</v>
      </c>
      <c r="K1271" s="2" t="s">
        <v>735</v>
      </c>
      <c r="L1271" s="3">
        <v>76.9</v>
      </c>
      <c r="M1271" s="3">
        <v>80.74</v>
      </c>
      <c r="N1271" s="3">
        <v>161.49</v>
      </c>
      <c r="O1271" s="2" t="s">
        <v>232</v>
      </c>
      <c r="P1271" s="2" t="s">
        <v>408</v>
      </c>
      <c r="Q1271" s="2" t="s">
        <v>234</v>
      </c>
      <c r="R1271" s="2" t="s">
        <v>235</v>
      </c>
      <c r="S1271" s="2" t="s">
        <v>235</v>
      </c>
      <c r="T1271" s="2" t="s">
        <v>235</v>
      </c>
      <c r="U1271" s="2" t="s">
        <v>807</v>
      </c>
      <c r="V1271" s="2" t="s">
        <v>808</v>
      </c>
      <c r="W1271" s="2" t="s">
        <v>329</v>
      </c>
      <c r="X1271" s="2" t="s">
        <v>671</v>
      </c>
      <c r="Y1271" s="2" t="s">
        <v>475</v>
      </c>
      <c r="Z1271" s="4">
        <v>16</v>
      </c>
      <c r="AA1271" s="4">
        <f>=ROUNDDOWN(3.47826086956522,0)</f>
      </c>
      <c r="AB1271" s="5">
        <v>4.6</v>
      </c>
      <c r="AC1271" s="2" t="s">
        <v>235</v>
      </c>
      <c r="AD1271" s="4"/>
      <c r="AE1271" s="4"/>
      <c r="AF1271" s="6">
        <v>63</v>
      </c>
      <c r="AG1271" s="6"/>
      <c r="AH1271" s="7">
        <v>1</v>
      </c>
      <c r="AI1271" s="4"/>
      <c r="AJ1271" s="4">
        <f>=ROUNDDOWN({0},0)</f>
      </c>
      <c r="AK1271" s="5"/>
      <c r="AL1271" s="2" t="s">
        <v>235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>
        <v>20</v>
      </c>
      <c r="BK1271" s="8">
        <v>1867.41</v>
      </c>
      <c r="BL1271" s="2" t="s">
        <v>5041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5042</v>
      </c>
      <c r="BV1271" s="2" t="s">
        <v>828</v>
      </c>
      <c r="BW1271" s="2" t="s">
        <v>235</v>
      </c>
      <c r="BX1271" s="2" t="s">
        <v>414</v>
      </c>
      <c r="BY1271" s="2" t="s">
        <v>245</v>
      </c>
      <c r="BZ1271" s="2" t="s">
        <v>232</v>
      </c>
      <c r="CA1271" s="2" t="s">
        <v>5043</v>
      </c>
      <c r="CB1271" s="2" t="s">
        <v>2780</v>
      </c>
      <c r="CC1271" s="2" t="s">
        <v>248</v>
      </c>
      <c r="CD1271" s="2" t="s">
        <v>248</v>
      </c>
      <c r="CE1271" s="2" t="s">
        <v>235</v>
      </c>
      <c r="CF1271" s="4"/>
      <c r="CG1271" s="4">
        <v>16</v>
      </c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>
        <v>16</v>
      </c>
      <c r="GE1271" s="4">
        <v>12</v>
      </c>
      <c r="GF1271" s="4">
        <v>8</v>
      </c>
      <c r="GG1271" s="4">
        <v>4</v>
      </c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19">
        <v>4</v>
      </c>
      <c r="HE1271" s="19">
        <v>3</v>
      </c>
      <c r="HF1271" s="19">
        <v>1.6</v>
      </c>
      <c r="HG1271" s="19">
        <v>0.7</v>
      </c>
      <c r="HH1271" s="20">
        <v>0</v>
      </c>
      <c r="HI1271" s="20">
        <v>0</v>
      </c>
      <c r="HJ1271" s="20">
        <v>0</v>
      </c>
      <c r="HK1271" s="20">
        <v>0</v>
      </c>
      <c r="HL1271" s="20">
        <v>0</v>
      </c>
      <c r="HM1271" s="20">
        <v>0</v>
      </c>
      <c r="HN1271" s="20">
        <v>0</v>
      </c>
      <c r="HO1271" s="20">
        <v>0</v>
      </c>
      <c r="HP1271" s="20">
        <v>0</v>
      </c>
      <c r="HQ1271" s="20">
        <v>0</v>
      </c>
      <c r="HR1271" s="20">
        <v>0</v>
      </c>
      <c r="HS1271" s="20">
        <v>0</v>
      </c>
      <c r="HT1271" s="20">
        <v>0</v>
      </c>
      <c r="HU1271" s="20">
        <v>0</v>
      </c>
      <c r="HV1271" s="20">
        <v>0</v>
      </c>
      <c r="HW1271" s="20">
        <v>0</v>
      </c>
      <c r="HX1271" s="20">
        <v>0</v>
      </c>
      <c r="HY1271" s="20">
        <v>0</v>
      </c>
      <c r="HZ1271" s="20">
        <v>0</v>
      </c>
      <c r="IA1271" s="20">
        <v>0</v>
      </c>
      <c r="IB1271" s="20">
        <v>0</v>
      </c>
      <c r="IC1271" s="20">
        <v>0</v>
      </c>
    </row>
    <row r="1272">
      <c r="A1272" s="2" t="s">
        <v>5044</v>
      </c>
      <c r="B1272" s="2" t="s">
        <v>871</v>
      </c>
      <c r="C1272" s="2" t="s">
        <v>324</v>
      </c>
      <c r="D1272" s="2" t="s">
        <v>361</v>
      </c>
      <c r="E1272" s="2" t="s">
        <v>872</v>
      </c>
      <c r="F1272" s="2" t="s">
        <v>5045</v>
      </c>
      <c r="G1272" s="2" t="s">
        <v>5046</v>
      </c>
      <c r="H1272" s="2" t="s">
        <v>5047</v>
      </c>
      <c r="I1272" s="2" t="s">
        <v>1753</v>
      </c>
      <c r="J1272" s="2" t="s">
        <v>365</v>
      </c>
      <c r="K1272" s="2" t="s">
        <v>378</v>
      </c>
      <c r="L1272" s="3">
        <v>45.38</v>
      </c>
      <c r="M1272" s="3">
        <v>47.65</v>
      </c>
      <c r="N1272" s="3">
        <v>99.99</v>
      </c>
      <c r="O1272" s="2" t="s">
        <v>407</v>
      </c>
      <c r="P1272" s="2" t="s">
        <v>408</v>
      </c>
      <c r="Q1272" s="2" t="s">
        <v>234</v>
      </c>
      <c r="R1272" s="2" t="s">
        <v>235</v>
      </c>
      <c r="S1272" s="2" t="s">
        <v>5048</v>
      </c>
      <c r="T1272" s="2" t="s">
        <v>1298</v>
      </c>
      <c r="U1272" s="2" t="s">
        <v>614</v>
      </c>
      <c r="V1272" s="2" t="s">
        <v>1132</v>
      </c>
      <c r="W1272" s="2" t="s">
        <v>671</v>
      </c>
      <c r="X1272" s="2" t="s">
        <v>235</v>
      </c>
      <c r="Y1272" s="2" t="s">
        <v>1755</v>
      </c>
      <c r="Z1272" s="4">
        <v>253</v>
      </c>
      <c r="AA1272" s="4">
        <f>=ROUNDDOWN(50.6,0)</f>
      </c>
      <c r="AB1272" s="5">
        <v>5</v>
      </c>
      <c r="AC1272" s="2" t="s">
        <v>235</v>
      </c>
      <c r="AD1272" s="4"/>
      <c r="AE1272" s="4"/>
      <c r="AF1272" s="6">
        <v>64</v>
      </c>
      <c r="AG1272" s="6"/>
      <c r="AH1272" s="7">
        <v>1</v>
      </c>
      <c r="AI1272" s="4"/>
      <c r="AJ1272" s="4">
        <f>=ROUNDDOWN({0},0)</f>
      </c>
      <c r="AK1272" s="5"/>
      <c r="AL1272" s="2" t="s">
        <v>235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235</v>
      </c>
      <c r="BD1272" s="8" t="s">
        <v>235</v>
      </c>
      <c r="BE1272" s="4" t="s">
        <v>235</v>
      </c>
      <c r="BF1272" s="8" t="s">
        <v>235</v>
      </c>
      <c r="BG1272" s="7" t="s">
        <v>235</v>
      </c>
      <c r="BH1272" s="7" t="s">
        <v>235</v>
      </c>
      <c r="BI1272" s="7"/>
      <c r="BJ1272" s="4">
        <v>8</v>
      </c>
      <c r="BK1272" s="8">
        <v>394.46</v>
      </c>
      <c r="BL1272" s="2" t="s">
        <v>5049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5050</v>
      </c>
      <c r="BV1272" s="2" t="s">
        <v>243</v>
      </c>
      <c r="BW1272" s="2" t="s">
        <v>235</v>
      </c>
      <c r="BX1272" s="2" t="s">
        <v>414</v>
      </c>
      <c r="BY1272" s="2" t="s">
        <v>245</v>
      </c>
      <c r="BZ1272" s="2" t="s">
        <v>232</v>
      </c>
      <c r="CA1272" s="2" t="s">
        <v>5051</v>
      </c>
      <c r="CB1272" s="2" t="s">
        <v>1656</v>
      </c>
      <c r="CC1272" s="2" t="s">
        <v>248</v>
      </c>
      <c r="CD1272" s="2" t="s">
        <v>248</v>
      </c>
      <c r="CE1272" s="2" t="s">
        <v>235</v>
      </c>
      <c r="CF1272" s="4">
        <v>253</v>
      </c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>
        <v>253</v>
      </c>
      <c r="GE1272" s="4">
        <v>235</v>
      </c>
      <c r="GF1272" s="4">
        <v>230</v>
      </c>
      <c r="GG1272" s="4">
        <v>225</v>
      </c>
      <c r="GH1272" s="4">
        <v>219</v>
      </c>
      <c r="GI1272" s="4">
        <v>213</v>
      </c>
      <c r="GJ1272" s="4">
        <v>204</v>
      </c>
      <c r="GK1272" s="4">
        <v>198</v>
      </c>
      <c r="GL1272" s="4">
        <v>192</v>
      </c>
      <c r="GM1272" s="4">
        <v>187</v>
      </c>
      <c r="GN1272" s="4">
        <v>182</v>
      </c>
      <c r="GO1272" s="4">
        <v>175</v>
      </c>
      <c r="GP1272" s="4">
        <v>168</v>
      </c>
      <c r="GQ1272" s="4">
        <v>156</v>
      </c>
      <c r="GR1272" s="4">
        <v>149</v>
      </c>
      <c r="GS1272" s="4">
        <v>142</v>
      </c>
      <c r="GT1272" s="4">
        <v>137</v>
      </c>
      <c r="GU1272" s="4">
        <v>133</v>
      </c>
      <c r="GV1272" s="4">
        <v>128</v>
      </c>
      <c r="GW1272" s="4">
        <v>123</v>
      </c>
      <c r="GX1272" s="4">
        <v>118</v>
      </c>
      <c r="GY1272" s="4">
        <v>113</v>
      </c>
      <c r="GZ1272" s="4">
        <v>108</v>
      </c>
      <c r="HA1272" s="4">
        <v>103</v>
      </c>
      <c r="HB1272" s="4">
        <v>98</v>
      </c>
      <c r="HC1272" s="4">
        <v>93</v>
      </c>
      <c r="HD1272" s="19">
        <v>31.6</v>
      </c>
      <c r="HE1272" s="19">
        <v>39.2</v>
      </c>
      <c r="HF1272" s="19">
        <v>38.3</v>
      </c>
      <c r="HG1272" s="19">
        <v>32.1</v>
      </c>
      <c r="HH1272" s="19">
        <v>31.3</v>
      </c>
      <c r="HI1272" s="19">
        <v>35.5</v>
      </c>
      <c r="HJ1272" s="19">
        <v>34</v>
      </c>
      <c r="HK1272" s="19">
        <v>33</v>
      </c>
      <c r="HL1272" s="19">
        <v>32</v>
      </c>
      <c r="HM1272" s="19">
        <v>23.4</v>
      </c>
      <c r="HN1272" s="19">
        <v>22.8</v>
      </c>
      <c r="HO1272" s="19">
        <v>21.9</v>
      </c>
      <c r="HP1272" s="19">
        <v>21</v>
      </c>
      <c r="HQ1272" s="19">
        <v>26</v>
      </c>
      <c r="HR1272" s="19">
        <v>29.8</v>
      </c>
      <c r="HS1272" s="19">
        <v>28.4</v>
      </c>
      <c r="HT1272" s="19">
        <v>27.4</v>
      </c>
      <c r="HU1272" s="19">
        <v>26.6</v>
      </c>
      <c r="HV1272" s="19">
        <v>25.6</v>
      </c>
      <c r="HW1272" s="19">
        <v>24.6</v>
      </c>
      <c r="HX1272" s="19">
        <v>23.6</v>
      </c>
      <c r="HY1272" s="19">
        <v>22.6</v>
      </c>
      <c r="HZ1272" s="19">
        <v>21.6</v>
      </c>
      <c r="IA1272" s="19">
        <v>20.6</v>
      </c>
      <c r="IB1272" s="19">
        <v>19.6</v>
      </c>
      <c r="IC1272" s="19">
        <v>18.6</v>
      </c>
    </row>
    <row r="1273">
      <c r="A1273" s="2" t="s">
        <v>5052</v>
      </c>
      <c r="B1273" s="2" t="s">
        <v>871</v>
      </c>
      <c r="C1273" s="2" t="s">
        <v>853</v>
      </c>
      <c r="D1273" s="2" t="s">
        <v>361</v>
      </c>
      <c r="E1273" s="2" t="s">
        <v>872</v>
      </c>
      <c r="F1273" s="2" t="s">
        <v>5045</v>
      </c>
      <c r="G1273" s="2" t="s">
        <v>5053</v>
      </c>
      <c r="H1273" s="2" t="s">
        <v>5054</v>
      </c>
      <c r="I1273" s="2" t="s">
        <v>5055</v>
      </c>
      <c r="J1273" s="2" t="s">
        <v>270</v>
      </c>
      <c r="K1273" s="2" t="s">
        <v>295</v>
      </c>
      <c r="L1273" s="3">
        <v>36.69</v>
      </c>
      <c r="M1273" s="3">
        <v>38.52</v>
      </c>
      <c r="N1273" s="3">
        <v>79.99</v>
      </c>
      <c r="O1273" s="2" t="s">
        <v>232</v>
      </c>
      <c r="P1273" s="2" t="s">
        <v>878</v>
      </c>
      <c r="Q1273" s="2" t="s">
        <v>234</v>
      </c>
      <c r="R1273" s="2" t="s">
        <v>235</v>
      </c>
      <c r="S1273" s="2" t="s">
        <v>235</v>
      </c>
      <c r="T1273" s="2" t="s">
        <v>501</v>
      </c>
      <c r="U1273" s="2" t="s">
        <v>552</v>
      </c>
      <c r="V1273" s="2" t="s">
        <v>880</v>
      </c>
      <c r="W1273" s="2" t="s">
        <v>235</v>
      </c>
      <c r="X1273" s="2" t="s">
        <v>235</v>
      </c>
      <c r="Y1273" s="2" t="s">
        <v>2270</v>
      </c>
      <c r="Z1273" s="4">
        <v>301</v>
      </c>
      <c r="AA1273" s="4">
        <f>=ROUNDDOWN(18.8125,0)</f>
      </c>
      <c r="AB1273" s="5">
        <v>16</v>
      </c>
      <c r="AC1273" s="2" t="s">
        <v>235</v>
      </c>
      <c r="AD1273" s="4"/>
      <c r="AE1273" s="4"/>
      <c r="AF1273" s="6">
        <v>64</v>
      </c>
      <c r="AG1273" s="6"/>
      <c r="AH1273" s="7">
        <v>1</v>
      </c>
      <c r="AI1273" s="4"/>
      <c r="AJ1273" s="4">
        <f>=ROUNDDOWN({0},0)</f>
      </c>
      <c r="AK1273" s="5"/>
      <c r="AL1273" s="2" t="s">
        <v>235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235</v>
      </c>
      <c r="BD1273" s="8" t="s">
        <v>235</v>
      </c>
      <c r="BE1273" s="4" t="s">
        <v>235</v>
      </c>
      <c r="BF1273" s="8" t="s">
        <v>235</v>
      </c>
      <c r="BG1273" s="7" t="s">
        <v>235</v>
      </c>
      <c r="BH1273" s="7" t="s">
        <v>235</v>
      </c>
      <c r="BI1273" s="7"/>
      <c r="BJ1273" s="4">
        <v>78</v>
      </c>
      <c r="BK1273" s="8">
        <v>3291.01</v>
      </c>
      <c r="BL1273" s="2" t="s">
        <v>5056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5057</v>
      </c>
      <c r="BV1273" s="2" t="s">
        <v>235</v>
      </c>
      <c r="BW1273" s="2" t="s">
        <v>235</v>
      </c>
      <c r="BX1273" s="2" t="s">
        <v>244</v>
      </c>
      <c r="BY1273" s="2" t="s">
        <v>245</v>
      </c>
      <c r="BZ1273" s="2" t="s">
        <v>232</v>
      </c>
      <c r="CA1273" s="2" t="s">
        <v>235</v>
      </c>
      <c r="CB1273" s="2" t="s">
        <v>737</v>
      </c>
      <c r="CC1273" s="2" t="s">
        <v>248</v>
      </c>
      <c r="CD1273" s="2" t="s">
        <v>248</v>
      </c>
      <c r="CE1273" s="2" t="s">
        <v>235</v>
      </c>
      <c r="CF1273" s="4">
        <v>301</v>
      </c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>
        <v>301</v>
      </c>
      <c r="GE1273" s="4">
        <v>297</v>
      </c>
      <c r="GF1273" s="4">
        <v>292</v>
      </c>
      <c r="GG1273" s="4">
        <v>287</v>
      </c>
      <c r="GH1273" s="4">
        <v>278</v>
      </c>
      <c r="GI1273" s="4">
        <v>269</v>
      </c>
      <c r="GJ1273" s="4">
        <v>260</v>
      </c>
      <c r="GK1273" s="4">
        <v>251</v>
      </c>
      <c r="GL1273" s="4">
        <v>238</v>
      </c>
      <c r="GM1273" s="4">
        <v>222</v>
      </c>
      <c r="GN1273" s="4">
        <v>206</v>
      </c>
      <c r="GO1273" s="4">
        <v>188</v>
      </c>
      <c r="GP1273" s="4">
        <v>167</v>
      </c>
      <c r="GQ1273" s="4">
        <v>146</v>
      </c>
      <c r="GR1273" s="4">
        <v>113</v>
      </c>
      <c r="GS1273" s="4">
        <v>84</v>
      </c>
      <c r="GT1273" s="4">
        <v>63</v>
      </c>
      <c r="GU1273" s="4">
        <v>44</v>
      </c>
      <c r="GV1273" s="4">
        <v>275</v>
      </c>
      <c r="GW1273" s="4">
        <v>259</v>
      </c>
      <c r="GX1273" s="4">
        <v>243</v>
      </c>
      <c r="GY1273" s="4">
        <v>227</v>
      </c>
      <c r="GZ1273" s="4">
        <v>211</v>
      </c>
      <c r="HA1273" s="4">
        <v>195</v>
      </c>
      <c r="HB1273" s="4">
        <v>179</v>
      </c>
      <c r="HC1273" s="4">
        <v>160</v>
      </c>
      <c r="HD1273" s="19">
        <v>50.2</v>
      </c>
      <c r="HE1273" s="19">
        <v>42.4</v>
      </c>
      <c r="HF1273" s="19">
        <v>36.5</v>
      </c>
      <c r="HG1273" s="19">
        <v>31.9</v>
      </c>
      <c r="HH1273" s="19">
        <v>27.8</v>
      </c>
      <c r="HI1273" s="19">
        <v>22.4</v>
      </c>
      <c r="HJ1273" s="19">
        <v>18.6</v>
      </c>
      <c r="HK1273" s="19">
        <v>15.7</v>
      </c>
      <c r="HL1273" s="19">
        <v>13.2</v>
      </c>
      <c r="HM1273" s="19">
        <v>11.7</v>
      </c>
      <c r="HN1273" s="19">
        <v>9</v>
      </c>
      <c r="HO1273" s="19">
        <v>7.2</v>
      </c>
      <c r="HP1273" s="19">
        <v>6.4</v>
      </c>
      <c r="HQ1273" s="19">
        <v>5.6</v>
      </c>
      <c r="HR1273" s="19">
        <v>5.1</v>
      </c>
      <c r="HS1273" s="19">
        <v>4.4</v>
      </c>
      <c r="HT1273" s="19">
        <v>3.5</v>
      </c>
      <c r="HU1273" s="19">
        <v>2.6</v>
      </c>
      <c r="HV1273" s="19">
        <v>17.2</v>
      </c>
      <c r="HW1273" s="19">
        <v>16.2</v>
      </c>
      <c r="HX1273" s="19">
        <v>15.2</v>
      </c>
      <c r="HY1273" s="19">
        <v>13.4</v>
      </c>
      <c r="HZ1273" s="19">
        <v>12.4</v>
      </c>
      <c r="IA1273" s="19">
        <v>11.5</v>
      </c>
      <c r="IB1273" s="19">
        <v>10.5</v>
      </c>
      <c r="IC1273" s="19">
        <v>10</v>
      </c>
    </row>
    <row r="1274">
      <c r="A1274" s="2" t="s">
        <v>5058</v>
      </c>
      <c r="B1274" s="2" t="s">
        <v>871</v>
      </c>
      <c r="C1274" s="2" t="s">
        <v>853</v>
      </c>
      <c r="D1274" s="2" t="s">
        <v>361</v>
      </c>
      <c r="E1274" s="2" t="s">
        <v>872</v>
      </c>
      <c r="F1274" s="2" t="s">
        <v>5045</v>
      </c>
      <c r="G1274" s="2" t="s">
        <v>5053</v>
      </c>
      <c r="H1274" s="2" t="s">
        <v>5054</v>
      </c>
      <c r="I1274" s="2" t="s">
        <v>5059</v>
      </c>
      <c r="J1274" s="2" t="s">
        <v>394</v>
      </c>
      <c r="K1274" s="2" t="s">
        <v>889</v>
      </c>
      <c r="L1274" s="3">
        <v>26.11</v>
      </c>
      <c r="M1274" s="3">
        <v>27.42</v>
      </c>
      <c r="N1274" s="3">
        <v>54.99</v>
      </c>
      <c r="O1274" s="2" t="s">
        <v>232</v>
      </c>
      <c r="P1274" s="2" t="s">
        <v>878</v>
      </c>
      <c r="Q1274" s="2" t="s">
        <v>234</v>
      </c>
      <c r="R1274" s="2" t="s">
        <v>235</v>
      </c>
      <c r="S1274" s="2" t="s">
        <v>235</v>
      </c>
      <c r="T1274" s="2" t="s">
        <v>501</v>
      </c>
      <c r="U1274" s="2" t="s">
        <v>278</v>
      </c>
      <c r="V1274" s="2" t="s">
        <v>880</v>
      </c>
      <c r="W1274" s="2" t="s">
        <v>235</v>
      </c>
      <c r="X1274" s="2" t="s">
        <v>235</v>
      </c>
      <c r="Y1274" s="2" t="s">
        <v>4811</v>
      </c>
      <c r="Z1274" s="4">
        <v>764</v>
      </c>
      <c r="AA1274" s="4">
        <f>=ROUNDDOWN(282.962962962963,0)</f>
      </c>
      <c r="AB1274" s="5">
        <v>2.7</v>
      </c>
      <c r="AC1274" s="2" t="s">
        <v>235</v>
      </c>
      <c r="AD1274" s="4"/>
      <c r="AE1274" s="4"/>
      <c r="AF1274" s="6">
        <v>64</v>
      </c>
      <c r="AG1274" s="6"/>
      <c r="AH1274" s="7">
        <v>1</v>
      </c>
      <c r="AI1274" s="4"/>
      <c r="AJ1274" s="4">
        <f>=ROUNDDOWN({0},0)</f>
      </c>
      <c r="AK1274" s="5"/>
      <c r="AL1274" s="2" t="s">
        <v>235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235</v>
      </c>
      <c r="AW1274" s="8" t="s">
        <v>235</v>
      </c>
      <c r="AX1274" s="4" t="s">
        <v>235</v>
      </c>
      <c r="AY1274" s="8" t="s">
        <v>235</v>
      </c>
      <c r="AZ1274" s="7" t="s">
        <v>235</v>
      </c>
      <c r="BA1274" s="7" t="s">
        <v>235</v>
      </c>
      <c r="BB1274" s="7"/>
      <c r="BC1274" s="4" t="s">
        <v>235</v>
      </c>
      <c r="BD1274" s="8" t="s">
        <v>235</v>
      </c>
      <c r="BE1274" s="4" t="s">
        <v>235</v>
      </c>
      <c r="BF1274" s="8" t="s">
        <v>235</v>
      </c>
      <c r="BG1274" s="7" t="s">
        <v>235</v>
      </c>
      <c r="BH1274" s="7" t="s">
        <v>235</v>
      </c>
      <c r="BI1274" s="7"/>
      <c r="BJ1274" s="4">
        <v>19</v>
      </c>
      <c r="BK1274" s="8">
        <v>619.78</v>
      </c>
      <c r="BL1274" s="2" t="s">
        <v>5060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5057</v>
      </c>
      <c r="BV1274" s="2" t="s">
        <v>235</v>
      </c>
      <c r="BW1274" s="2" t="s">
        <v>235</v>
      </c>
      <c r="BX1274" s="2" t="s">
        <v>244</v>
      </c>
      <c r="BY1274" s="2" t="s">
        <v>245</v>
      </c>
      <c r="BZ1274" s="2" t="s">
        <v>232</v>
      </c>
      <c r="CA1274" s="2" t="s">
        <v>235</v>
      </c>
      <c r="CB1274" s="2" t="s">
        <v>235</v>
      </c>
      <c r="CC1274" s="2" t="s">
        <v>248</v>
      </c>
      <c r="CD1274" s="2" t="s">
        <v>248</v>
      </c>
      <c r="CE1274" s="2" t="s">
        <v>235</v>
      </c>
      <c r="CF1274" s="4">
        <v>764</v>
      </c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>
        <v>769</v>
      </c>
      <c r="GE1274" s="4">
        <v>761</v>
      </c>
      <c r="GF1274" s="4">
        <v>758</v>
      </c>
      <c r="GG1274" s="4">
        <v>754</v>
      </c>
      <c r="GH1274" s="4">
        <v>747</v>
      </c>
      <c r="GI1274" s="4">
        <v>740</v>
      </c>
      <c r="GJ1274" s="4">
        <v>733</v>
      </c>
      <c r="GK1274" s="4">
        <v>724</v>
      </c>
      <c r="GL1274" s="4">
        <v>714</v>
      </c>
      <c r="GM1274" s="4">
        <v>704</v>
      </c>
      <c r="GN1274" s="4">
        <v>695</v>
      </c>
      <c r="GO1274" s="4">
        <v>685</v>
      </c>
      <c r="GP1274" s="4">
        <v>675</v>
      </c>
      <c r="GQ1274" s="4">
        <v>665</v>
      </c>
      <c r="GR1274" s="4">
        <v>649</v>
      </c>
      <c r="GS1274" s="4">
        <v>635</v>
      </c>
      <c r="GT1274" s="4">
        <v>625</v>
      </c>
      <c r="GU1274" s="4">
        <v>616</v>
      </c>
      <c r="GV1274" s="4">
        <v>607</v>
      </c>
      <c r="GW1274" s="4">
        <v>599</v>
      </c>
      <c r="GX1274" s="4">
        <v>591</v>
      </c>
      <c r="GY1274" s="4">
        <v>583</v>
      </c>
      <c r="GZ1274" s="4">
        <v>575</v>
      </c>
      <c r="HA1274" s="4">
        <v>567</v>
      </c>
      <c r="HB1274" s="4">
        <v>559</v>
      </c>
      <c r="HC1274" s="4">
        <v>550</v>
      </c>
      <c r="HD1274" s="19">
        <v>128.2</v>
      </c>
      <c r="HE1274" s="19">
        <v>152.2</v>
      </c>
      <c r="HF1274" s="19">
        <v>126.3</v>
      </c>
      <c r="HG1274" s="19">
        <v>94.3</v>
      </c>
      <c r="HH1274" s="19">
        <v>93.4</v>
      </c>
      <c r="HI1274" s="19">
        <v>82.2</v>
      </c>
      <c r="HJ1274" s="19">
        <v>73.3</v>
      </c>
      <c r="HK1274" s="19">
        <v>72.4</v>
      </c>
      <c r="HL1274" s="19">
        <v>71.4</v>
      </c>
      <c r="HM1274" s="19">
        <v>70.4</v>
      </c>
      <c r="HN1274" s="19">
        <v>57.9</v>
      </c>
      <c r="HO1274" s="19">
        <v>57.1</v>
      </c>
      <c r="HP1274" s="19">
        <v>56.3</v>
      </c>
      <c r="HQ1274" s="19">
        <v>55.4</v>
      </c>
      <c r="HR1274" s="19">
        <v>64.9</v>
      </c>
      <c r="HS1274" s="19">
        <v>70.6</v>
      </c>
      <c r="HT1274" s="19">
        <v>78.1</v>
      </c>
      <c r="HU1274" s="19">
        <v>77</v>
      </c>
      <c r="HV1274" s="19">
        <v>75.9</v>
      </c>
      <c r="HW1274" s="19">
        <v>74.9</v>
      </c>
      <c r="HX1274" s="19">
        <v>73.9</v>
      </c>
      <c r="HY1274" s="19">
        <v>72.9</v>
      </c>
      <c r="HZ1274" s="19">
        <v>71.9</v>
      </c>
      <c r="IA1274" s="19">
        <v>70.9</v>
      </c>
      <c r="IB1274" s="19">
        <v>69.9</v>
      </c>
      <c r="IC1274" s="19">
        <v>68.8</v>
      </c>
    </row>
    <row r="1275">
      <c r="A1275" s="2" t="s">
        <v>5061</v>
      </c>
      <c r="B1275" s="2" t="s">
        <v>871</v>
      </c>
      <c r="C1275" s="2" t="s">
        <v>853</v>
      </c>
      <c r="D1275" s="2" t="s">
        <v>361</v>
      </c>
      <c r="E1275" s="2" t="s">
        <v>872</v>
      </c>
      <c r="F1275" s="2" t="s">
        <v>5045</v>
      </c>
      <c r="G1275" s="2" t="s">
        <v>5053</v>
      </c>
      <c r="H1275" s="2" t="s">
        <v>5054</v>
      </c>
      <c r="I1275" s="2" t="s">
        <v>5055</v>
      </c>
      <c r="J1275" s="2" t="s">
        <v>365</v>
      </c>
      <c r="K1275" s="2" t="s">
        <v>889</v>
      </c>
      <c r="L1275" s="3">
        <v>31.53</v>
      </c>
      <c r="M1275" s="3">
        <v>33.11</v>
      </c>
      <c r="N1275" s="3">
        <v>64.99</v>
      </c>
      <c r="O1275" s="2" t="s">
        <v>232</v>
      </c>
      <c r="P1275" s="2" t="s">
        <v>878</v>
      </c>
      <c r="Q1275" s="2" t="s">
        <v>234</v>
      </c>
      <c r="R1275" s="2" t="s">
        <v>235</v>
      </c>
      <c r="S1275" s="2" t="s">
        <v>235</v>
      </c>
      <c r="T1275" s="2" t="s">
        <v>501</v>
      </c>
      <c r="U1275" s="2" t="s">
        <v>552</v>
      </c>
      <c r="V1275" s="2" t="s">
        <v>880</v>
      </c>
      <c r="W1275" s="2" t="s">
        <v>235</v>
      </c>
      <c r="X1275" s="2" t="s">
        <v>235</v>
      </c>
      <c r="Y1275" s="2" t="s">
        <v>2275</v>
      </c>
      <c r="Z1275" s="4">
        <v>847</v>
      </c>
      <c r="AA1275" s="4">
        <f>=ROUNDDOWN(156.851851851852,0)</f>
      </c>
      <c r="AB1275" s="5">
        <v>5.4</v>
      </c>
      <c r="AC1275" s="2" t="s">
        <v>235</v>
      </c>
      <c r="AD1275" s="4"/>
      <c r="AE1275" s="4"/>
      <c r="AF1275" s="6">
        <v>64</v>
      </c>
      <c r="AG1275" s="6"/>
      <c r="AH1275" s="7">
        <v>1</v>
      </c>
      <c r="AI1275" s="4"/>
      <c r="AJ1275" s="4">
        <f>=ROUNDDOWN({0},0)</f>
      </c>
      <c r="AK1275" s="5"/>
      <c r="AL1275" s="2" t="s">
        <v>235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235</v>
      </c>
      <c r="AW1275" s="8" t="s">
        <v>235</v>
      </c>
      <c r="AX1275" s="4" t="s">
        <v>235</v>
      </c>
      <c r="AY1275" s="8" t="s">
        <v>235</v>
      </c>
      <c r="AZ1275" s="7" t="s">
        <v>235</v>
      </c>
      <c r="BA1275" s="7" t="s">
        <v>235</v>
      </c>
      <c r="BB1275" s="7"/>
      <c r="BC1275" s="4" t="s">
        <v>235</v>
      </c>
      <c r="BD1275" s="8" t="s">
        <v>235</v>
      </c>
      <c r="BE1275" s="4" t="s">
        <v>235</v>
      </c>
      <c r="BF1275" s="8" t="s">
        <v>235</v>
      </c>
      <c r="BG1275" s="7" t="s">
        <v>235</v>
      </c>
      <c r="BH1275" s="7" t="s">
        <v>235</v>
      </c>
      <c r="BI1275" s="7"/>
      <c r="BJ1275" s="4">
        <v>16</v>
      </c>
      <c r="BK1275" s="8">
        <v>633.76</v>
      </c>
      <c r="BL1275" s="2" t="s">
        <v>5062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5057</v>
      </c>
      <c r="BV1275" s="2" t="s">
        <v>235</v>
      </c>
      <c r="BW1275" s="2" t="s">
        <v>235</v>
      </c>
      <c r="BX1275" s="2" t="s">
        <v>244</v>
      </c>
      <c r="BY1275" s="2" t="s">
        <v>245</v>
      </c>
      <c r="BZ1275" s="2" t="s">
        <v>232</v>
      </c>
      <c r="CA1275" s="2" t="s">
        <v>235</v>
      </c>
      <c r="CB1275" s="2" t="s">
        <v>235</v>
      </c>
      <c r="CC1275" s="2" t="s">
        <v>248</v>
      </c>
      <c r="CD1275" s="2" t="s">
        <v>248</v>
      </c>
      <c r="CE1275" s="2" t="s">
        <v>235</v>
      </c>
      <c r="CF1275" s="4">
        <v>847</v>
      </c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>
        <v>862</v>
      </c>
      <c r="GE1275" s="4">
        <v>841</v>
      </c>
      <c r="GF1275" s="4">
        <v>834</v>
      </c>
      <c r="GG1275" s="4">
        <v>827</v>
      </c>
      <c r="GH1275" s="4">
        <v>817</v>
      </c>
      <c r="GI1275" s="4">
        <v>807</v>
      </c>
      <c r="GJ1275" s="4">
        <v>797</v>
      </c>
      <c r="GK1275" s="4">
        <v>784</v>
      </c>
      <c r="GL1275" s="4">
        <v>770</v>
      </c>
      <c r="GM1275" s="4">
        <v>757</v>
      </c>
      <c r="GN1275" s="4">
        <v>745</v>
      </c>
      <c r="GO1275" s="4">
        <v>732</v>
      </c>
      <c r="GP1275" s="4">
        <v>720</v>
      </c>
      <c r="GQ1275" s="4">
        <v>708</v>
      </c>
      <c r="GR1275" s="4">
        <v>690</v>
      </c>
      <c r="GS1275" s="4">
        <v>674</v>
      </c>
      <c r="GT1275" s="4">
        <v>662</v>
      </c>
      <c r="GU1275" s="4">
        <v>651</v>
      </c>
      <c r="GV1275" s="4">
        <v>639</v>
      </c>
      <c r="GW1275" s="4">
        <v>629</v>
      </c>
      <c r="GX1275" s="4">
        <v>619</v>
      </c>
      <c r="GY1275" s="4">
        <v>609</v>
      </c>
      <c r="GZ1275" s="4">
        <v>599</v>
      </c>
      <c r="HA1275" s="4">
        <v>589</v>
      </c>
      <c r="HB1275" s="4">
        <v>579</v>
      </c>
      <c r="HC1275" s="4">
        <v>568</v>
      </c>
      <c r="HD1275" s="19">
        <v>78.4</v>
      </c>
      <c r="HE1275" s="19">
        <v>105.1</v>
      </c>
      <c r="HF1275" s="19">
        <v>92.7</v>
      </c>
      <c r="HG1275" s="19">
        <v>75.2</v>
      </c>
      <c r="HH1275" s="19">
        <v>68.1</v>
      </c>
      <c r="HI1275" s="19">
        <v>67.3</v>
      </c>
      <c r="HJ1275" s="19">
        <v>61.3</v>
      </c>
      <c r="HK1275" s="19">
        <v>60.3</v>
      </c>
      <c r="HL1275" s="19">
        <v>64.2</v>
      </c>
      <c r="HM1275" s="19">
        <v>63.1</v>
      </c>
      <c r="HN1275" s="19">
        <v>53.2</v>
      </c>
      <c r="HO1275" s="19">
        <v>52.3</v>
      </c>
      <c r="HP1275" s="19">
        <v>51.4</v>
      </c>
      <c r="HQ1275" s="19">
        <v>50.6</v>
      </c>
      <c r="HR1275" s="19">
        <v>53.1</v>
      </c>
      <c r="HS1275" s="19">
        <v>61.3</v>
      </c>
      <c r="HT1275" s="19">
        <v>60.2</v>
      </c>
      <c r="HU1275" s="19">
        <v>65.1</v>
      </c>
      <c r="HV1275" s="19">
        <v>63.9</v>
      </c>
      <c r="HW1275" s="19">
        <v>62.9</v>
      </c>
      <c r="HX1275" s="19">
        <v>61.9</v>
      </c>
      <c r="HY1275" s="19">
        <v>60.9</v>
      </c>
      <c r="HZ1275" s="19">
        <v>59.9</v>
      </c>
      <c r="IA1275" s="19">
        <v>58.9</v>
      </c>
      <c r="IB1275" s="19">
        <v>57.9</v>
      </c>
      <c r="IC1275" s="19">
        <v>56.8</v>
      </c>
    </row>
    <row r="1276">
      <c r="A1276" s="2" t="s">
        <v>5063</v>
      </c>
      <c r="B1276" s="2" t="s">
        <v>871</v>
      </c>
      <c r="C1276" s="2" t="s">
        <v>853</v>
      </c>
      <c r="D1276" s="2" t="s">
        <v>361</v>
      </c>
      <c r="E1276" s="2" t="s">
        <v>872</v>
      </c>
      <c r="F1276" s="2" t="s">
        <v>5045</v>
      </c>
      <c r="G1276" s="2" t="s">
        <v>5053</v>
      </c>
      <c r="H1276" s="2" t="s">
        <v>5054</v>
      </c>
      <c r="I1276" s="2" t="s">
        <v>5055</v>
      </c>
      <c r="J1276" s="2" t="s">
        <v>270</v>
      </c>
      <c r="K1276" s="2" t="s">
        <v>889</v>
      </c>
      <c r="L1276" s="3">
        <v>36.69</v>
      </c>
      <c r="M1276" s="3">
        <v>38.52</v>
      </c>
      <c r="N1276" s="3">
        <v>79.99</v>
      </c>
      <c r="O1276" s="2" t="s">
        <v>232</v>
      </c>
      <c r="P1276" s="2" t="s">
        <v>878</v>
      </c>
      <c r="Q1276" s="2" t="s">
        <v>234</v>
      </c>
      <c r="R1276" s="2" t="s">
        <v>235</v>
      </c>
      <c r="S1276" s="2" t="s">
        <v>235</v>
      </c>
      <c r="T1276" s="2" t="s">
        <v>501</v>
      </c>
      <c r="U1276" s="2" t="s">
        <v>552</v>
      </c>
      <c r="V1276" s="2" t="s">
        <v>880</v>
      </c>
      <c r="W1276" s="2" t="s">
        <v>235</v>
      </c>
      <c r="X1276" s="2" t="s">
        <v>235</v>
      </c>
      <c r="Y1276" s="2" t="s">
        <v>2270</v>
      </c>
      <c r="Z1276" s="4">
        <v>228</v>
      </c>
      <c r="AA1276" s="4">
        <f>=ROUNDDOWN(108.571428571429,0)</f>
      </c>
      <c r="AB1276" s="5">
        <v>2.1</v>
      </c>
      <c r="AC1276" s="2" t="s">
        <v>235</v>
      </c>
      <c r="AD1276" s="4"/>
      <c r="AE1276" s="4"/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235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235</v>
      </c>
      <c r="AW1276" s="8" t="s">
        <v>235</v>
      </c>
      <c r="AX1276" s="4" t="s">
        <v>235</v>
      </c>
      <c r="AY1276" s="8" t="s">
        <v>235</v>
      </c>
      <c r="AZ1276" s="7" t="s">
        <v>235</v>
      </c>
      <c r="BA1276" s="7" t="s">
        <v>235</v>
      </c>
      <c r="BB1276" s="7"/>
      <c r="BC1276" s="4" t="s">
        <v>235</v>
      </c>
      <c r="BD1276" s="8" t="s">
        <v>235</v>
      </c>
      <c r="BE1276" s="4" t="s">
        <v>235</v>
      </c>
      <c r="BF1276" s="8" t="s">
        <v>235</v>
      </c>
      <c r="BG1276" s="7" t="s">
        <v>235</v>
      </c>
      <c r="BH1276" s="7" t="s">
        <v>235</v>
      </c>
      <c r="BI1276" s="7"/>
      <c r="BJ1276" s="4">
        <v>5</v>
      </c>
      <c r="BK1276" s="8">
        <v>211</v>
      </c>
      <c r="BL1276" s="2" t="s">
        <v>1226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5057</v>
      </c>
      <c r="BV1276" s="2" t="s">
        <v>235</v>
      </c>
      <c r="BW1276" s="2" t="s">
        <v>235</v>
      </c>
      <c r="BX1276" s="2" t="s">
        <v>244</v>
      </c>
      <c r="BY1276" s="2" t="s">
        <v>245</v>
      </c>
      <c r="BZ1276" s="2" t="s">
        <v>232</v>
      </c>
      <c r="CA1276" s="2" t="s">
        <v>235</v>
      </c>
      <c r="CB1276" s="2" t="s">
        <v>235</v>
      </c>
      <c r="CC1276" s="2" t="s">
        <v>248</v>
      </c>
      <c r="CD1276" s="2" t="s">
        <v>248</v>
      </c>
      <c r="CE1276" s="2" t="s">
        <v>235</v>
      </c>
      <c r="CF1276" s="4">
        <v>228</v>
      </c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>
        <v>233</v>
      </c>
      <c r="GE1276" s="4">
        <v>229</v>
      </c>
      <c r="GF1276" s="4">
        <v>229</v>
      </c>
      <c r="GG1276" s="4">
        <v>228</v>
      </c>
      <c r="GH1276" s="4">
        <v>226</v>
      </c>
      <c r="GI1276" s="4">
        <v>224</v>
      </c>
      <c r="GJ1276" s="4">
        <v>222</v>
      </c>
      <c r="GK1276" s="4">
        <v>219</v>
      </c>
      <c r="GL1276" s="4">
        <v>216</v>
      </c>
      <c r="GM1276" s="4">
        <v>214</v>
      </c>
      <c r="GN1276" s="4">
        <v>212</v>
      </c>
      <c r="GO1276" s="4">
        <v>210</v>
      </c>
      <c r="GP1276" s="4">
        <v>208</v>
      </c>
      <c r="GQ1276" s="4">
        <v>206</v>
      </c>
      <c r="GR1276" s="4">
        <v>203</v>
      </c>
      <c r="GS1276" s="4">
        <v>200</v>
      </c>
      <c r="GT1276" s="4">
        <v>198</v>
      </c>
      <c r="GU1276" s="4">
        <v>196</v>
      </c>
      <c r="GV1276" s="4">
        <v>194</v>
      </c>
      <c r="GW1276" s="4">
        <v>192</v>
      </c>
      <c r="GX1276" s="4">
        <v>190</v>
      </c>
      <c r="GY1276" s="4">
        <v>188</v>
      </c>
      <c r="GZ1276" s="4">
        <v>186</v>
      </c>
      <c r="HA1276" s="4">
        <v>184</v>
      </c>
      <c r="HB1276" s="4">
        <v>182</v>
      </c>
      <c r="HC1276" s="4">
        <v>180</v>
      </c>
      <c r="HD1276" s="19">
        <v>116.5</v>
      </c>
      <c r="HE1276" s="19">
        <v>229</v>
      </c>
      <c r="HF1276" s="19">
        <v>114.5</v>
      </c>
      <c r="HG1276" s="19">
        <v>114</v>
      </c>
      <c r="HH1276" s="19">
        <v>113</v>
      </c>
      <c r="HI1276" s="19">
        <v>112</v>
      </c>
      <c r="HJ1276" s="19">
        <v>111</v>
      </c>
      <c r="HK1276" s="19">
        <v>109.5</v>
      </c>
      <c r="HL1276" s="19">
        <v>108</v>
      </c>
      <c r="HM1276" s="19">
        <v>107</v>
      </c>
      <c r="HN1276" s="19">
        <v>106</v>
      </c>
      <c r="HO1276" s="19">
        <v>105</v>
      </c>
      <c r="HP1276" s="19">
        <v>104</v>
      </c>
      <c r="HQ1276" s="19">
        <v>103</v>
      </c>
      <c r="HR1276" s="19">
        <v>101.5</v>
      </c>
      <c r="HS1276" s="19">
        <v>100</v>
      </c>
      <c r="HT1276" s="19">
        <v>99</v>
      </c>
      <c r="HU1276" s="19">
        <v>98</v>
      </c>
      <c r="HV1276" s="19">
        <v>97</v>
      </c>
      <c r="HW1276" s="19">
        <v>96</v>
      </c>
      <c r="HX1276" s="19">
        <v>95</v>
      </c>
      <c r="HY1276" s="19">
        <v>94</v>
      </c>
      <c r="HZ1276" s="19">
        <v>93</v>
      </c>
      <c r="IA1276" s="19">
        <v>92</v>
      </c>
      <c r="IB1276" s="19">
        <v>91</v>
      </c>
      <c r="IC1276" s="19">
        <v>90</v>
      </c>
    </row>
    <row r="1277">
      <c r="A1277" s="2" t="s">
        <v>5064</v>
      </c>
      <c r="B1277" s="2" t="s">
        <v>871</v>
      </c>
      <c r="C1277" s="2" t="s">
        <v>853</v>
      </c>
      <c r="D1277" s="2" t="s">
        <v>361</v>
      </c>
      <c r="E1277" s="2" t="s">
        <v>872</v>
      </c>
      <c r="F1277" s="2" t="s">
        <v>5045</v>
      </c>
      <c r="G1277" s="2" t="s">
        <v>5053</v>
      </c>
      <c r="H1277" s="2" t="s">
        <v>5054</v>
      </c>
      <c r="I1277" s="2" t="s">
        <v>5059</v>
      </c>
      <c r="J1277" s="2" t="s">
        <v>394</v>
      </c>
      <c r="K1277" s="2" t="s">
        <v>550</v>
      </c>
      <c r="L1277" s="3">
        <v>26.11</v>
      </c>
      <c r="M1277" s="3">
        <v>27.42</v>
      </c>
      <c r="N1277" s="3">
        <v>54.99</v>
      </c>
      <c r="O1277" s="2" t="s">
        <v>232</v>
      </c>
      <c r="P1277" s="2" t="s">
        <v>878</v>
      </c>
      <c r="Q1277" s="2" t="s">
        <v>234</v>
      </c>
      <c r="R1277" s="2" t="s">
        <v>235</v>
      </c>
      <c r="S1277" s="2" t="s">
        <v>235</v>
      </c>
      <c r="T1277" s="2" t="s">
        <v>501</v>
      </c>
      <c r="U1277" s="2" t="s">
        <v>278</v>
      </c>
      <c r="V1277" s="2" t="s">
        <v>880</v>
      </c>
      <c r="W1277" s="2" t="s">
        <v>235</v>
      </c>
      <c r="X1277" s="2" t="s">
        <v>235</v>
      </c>
      <c r="Y1277" s="2" t="s">
        <v>2275</v>
      </c>
      <c r="Z1277" s="4">
        <v>275</v>
      </c>
      <c r="AA1277" s="4">
        <f>=ROUNDDOWN(25,0)</f>
      </c>
      <c r="AB1277" s="5">
        <v>11</v>
      </c>
      <c r="AC1277" s="2" t="s">
        <v>235</v>
      </c>
      <c r="AD1277" s="4"/>
      <c r="AE1277" s="4"/>
      <c r="AF1277" s="6">
        <v>64</v>
      </c>
      <c r="AG1277" s="6"/>
      <c r="AH1277" s="7">
        <v>1</v>
      </c>
      <c r="AI1277" s="4"/>
      <c r="AJ1277" s="4">
        <f>=ROUNDDOWN({0},0)</f>
      </c>
      <c r="AK1277" s="5"/>
      <c r="AL1277" s="2" t="s">
        <v>235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235</v>
      </c>
      <c r="AW1277" s="8" t="s">
        <v>235</v>
      </c>
      <c r="AX1277" s="4" t="s">
        <v>235</v>
      </c>
      <c r="AY1277" s="8" t="s">
        <v>235</v>
      </c>
      <c r="AZ1277" s="7" t="s">
        <v>235</v>
      </c>
      <c r="BA1277" s="7" t="s">
        <v>235</v>
      </c>
      <c r="BB1277" s="7"/>
      <c r="BC1277" s="4" t="s">
        <v>235</v>
      </c>
      <c r="BD1277" s="8" t="s">
        <v>235</v>
      </c>
      <c r="BE1277" s="4" t="s">
        <v>235</v>
      </c>
      <c r="BF1277" s="8" t="s">
        <v>235</v>
      </c>
      <c r="BG1277" s="7" t="s">
        <v>235</v>
      </c>
      <c r="BH1277" s="7" t="s">
        <v>235</v>
      </c>
      <c r="BI1277" s="7"/>
      <c r="BJ1277" s="4">
        <v>11</v>
      </c>
      <c r="BK1277" s="8">
        <v>329.91</v>
      </c>
      <c r="BL1277" s="2" t="s">
        <v>5056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5057</v>
      </c>
      <c r="BV1277" s="2" t="s">
        <v>235</v>
      </c>
      <c r="BW1277" s="2" t="s">
        <v>235</v>
      </c>
      <c r="BX1277" s="2" t="s">
        <v>244</v>
      </c>
      <c r="BY1277" s="2" t="s">
        <v>245</v>
      </c>
      <c r="BZ1277" s="2" t="s">
        <v>232</v>
      </c>
      <c r="CA1277" s="2" t="s">
        <v>235</v>
      </c>
      <c r="CB1277" s="2" t="s">
        <v>235</v>
      </c>
      <c r="CC1277" s="2" t="s">
        <v>248</v>
      </c>
      <c r="CD1277" s="2" t="s">
        <v>248</v>
      </c>
      <c r="CE1277" s="2" t="s">
        <v>235</v>
      </c>
      <c r="CF1277" s="4">
        <v>275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>
        <v>281</v>
      </c>
      <c r="GE1277" s="4">
        <v>276</v>
      </c>
      <c r="GF1277" s="4">
        <v>272</v>
      </c>
      <c r="GG1277" s="4">
        <v>268</v>
      </c>
      <c r="GH1277" s="4">
        <v>261</v>
      </c>
      <c r="GI1277" s="4">
        <v>254</v>
      </c>
      <c r="GJ1277" s="4">
        <v>247</v>
      </c>
      <c r="GK1277" s="4">
        <v>239</v>
      </c>
      <c r="GL1277" s="4">
        <v>227</v>
      </c>
      <c r="GM1277" s="4">
        <v>214</v>
      </c>
      <c r="GN1277" s="4">
        <v>201</v>
      </c>
      <c r="GO1277" s="4">
        <v>186</v>
      </c>
      <c r="GP1277" s="4">
        <v>171</v>
      </c>
      <c r="GQ1277" s="4">
        <v>156</v>
      </c>
      <c r="GR1277" s="4">
        <v>132</v>
      </c>
      <c r="GS1277" s="4">
        <v>111</v>
      </c>
      <c r="GT1277" s="4">
        <v>96</v>
      </c>
      <c r="GU1277" s="4">
        <v>83</v>
      </c>
      <c r="GV1277" s="4">
        <v>70</v>
      </c>
      <c r="GW1277" s="4">
        <v>59</v>
      </c>
      <c r="GX1277" s="4">
        <v>48</v>
      </c>
      <c r="GY1277" s="4">
        <v>37</v>
      </c>
      <c r="GZ1277" s="4">
        <v>26</v>
      </c>
      <c r="HA1277" s="4">
        <v>15</v>
      </c>
      <c r="HB1277" s="4">
        <v>4</v>
      </c>
      <c r="HC1277" s="4"/>
      <c r="HD1277" s="19">
        <v>56.2</v>
      </c>
      <c r="HE1277" s="19">
        <v>46</v>
      </c>
      <c r="HF1277" s="19">
        <v>45.3</v>
      </c>
      <c r="HG1277" s="19">
        <v>38.3</v>
      </c>
      <c r="HH1277" s="19">
        <v>32.6</v>
      </c>
      <c r="HI1277" s="19">
        <v>25.4</v>
      </c>
      <c r="HJ1277" s="19">
        <v>20.6</v>
      </c>
      <c r="HK1277" s="19">
        <v>18.4</v>
      </c>
      <c r="HL1277" s="19">
        <v>16.2</v>
      </c>
      <c r="HM1277" s="19">
        <v>15.3</v>
      </c>
      <c r="HN1277" s="19">
        <v>11.8</v>
      </c>
      <c r="HO1277" s="19">
        <v>9.8</v>
      </c>
      <c r="HP1277" s="19">
        <v>9</v>
      </c>
      <c r="HQ1277" s="19">
        <v>8.7</v>
      </c>
      <c r="HR1277" s="19">
        <v>8.3</v>
      </c>
      <c r="HS1277" s="19">
        <v>8.5</v>
      </c>
      <c r="HT1277" s="19">
        <v>8</v>
      </c>
      <c r="HU1277" s="19">
        <v>6.9</v>
      </c>
      <c r="HV1277" s="19">
        <v>6.4</v>
      </c>
      <c r="HW1277" s="19">
        <v>5.4</v>
      </c>
      <c r="HX1277" s="19">
        <v>4.4</v>
      </c>
      <c r="HY1277" s="19">
        <v>3.1</v>
      </c>
      <c r="HZ1277" s="19">
        <v>2.2</v>
      </c>
      <c r="IA1277" s="19">
        <v>1.3</v>
      </c>
      <c r="IB1277" s="19">
        <v>0.3</v>
      </c>
      <c r="IC1277" s="20">
        <v>0</v>
      </c>
    </row>
    <row r="1278">
      <c r="A1278" s="2" t="s">
        <v>5065</v>
      </c>
      <c r="B1278" s="2" t="s">
        <v>871</v>
      </c>
      <c r="C1278" s="2" t="s">
        <v>853</v>
      </c>
      <c r="D1278" s="2" t="s">
        <v>361</v>
      </c>
      <c r="E1278" s="2" t="s">
        <v>872</v>
      </c>
      <c r="F1278" s="2" t="s">
        <v>5045</v>
      </c>
      <c r="G1278" s="2" t="s">
        <v>5053</v>
      </c>
      <c r="H1278" s="2" t="s">
        <v>5054</v>
      </c>
      <c r="I1278" s="2" t="s">
        <v>5055</v>
      </c>
      <c r="J1278" s="2" t="s">
        <v>365</v>
      </c>
      <c r="K1278" s="2" t="s">
        <v>550</v>
      </c>
      <c r="L1278" s="3">
        <v>31.53</v>
      </c>
      <c r="M1278" s="3">
        <v>33.11</v>
      </c>
      <c r="N1278" s="3">
        <v>64.99</v>
      </c>
      <c r="O1278" s="2" t="s">
        <v>232</v>
      </c>
      <c r="P1278" s="2" t="s">
        <v>878</v>
      </c>
      <c r="Q1278" s="2" t="s">
        <v>234</v>
      </c>
      <c r="R1278" s="2" t="s">
        <v>235</v>
      </c>
      <c r="S1278" s="2" t="s">
        <v>235</v>
      </c>
      <c r="T1278" s="2" t="s">
        <v>501</v>
      </c>
      <c r="U1278" s="2" t="s">
        <v>552</v>
      </c>
      <c r="V1278" s="2" t="s">
        <v>880</v>
      </c>
      <c r="W1278" s="2" t="s">
        <v>235</v>
      </c>
      <c r="X1278" s="2" t="s">
        <v>235</v>
      </c>
      <c r="Y1278" s="2" t="s">
        <v>2270</v>
      </c>
      <c r="Z1278" s="4">
        <v>398</v>
      </c>
      <c r="AA1278" s="4">
        <f>=ROUNDDOWN(24.875,0)</f>
      </c>
      <c r="AB1278" s="5">
        <v>16</v>
      </c>
      <c r="AC1278" s="2" t="s">
        <v>235</v>
      </c>
      <c r="AD1278" s="4"/>
      <c r="AE1278" s="4"/>
      <c r="AF1278" s="6">
        <v>64</v>
      </c>
      <c r="AG1278" s="6"/>
      <c r="AH1278" s="7">
        <v>1</v>
      </c>
      <c r="AI1278" s="4"/>
      <c r="AJ1278" s="4">
        <f>=ROUNDDOWN({0},0)</f>
      </c>
      <c r="AK1278" s="5"/>
      <c r="AL1278" s="2" t="s">
        <v>235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235</v>
      </c>
      <c r="AW1278" s="8" t="s">
        <v>235</v>
      </c>
      <c r="AX1278" s="4" t="s">
        <v>235</v>
      </c>
      <c r="AY1278" s="8" t="s">
        <v>235</v>
      </c>
      <c r="AZ1278" s="7" t="s">
        <v>235</v>
      </c>
      <c r="BA1278" s="7" t="s">
        <v>235</v>
      </c>
      <c r="BB1278" s="7"/>
      <c r="BC1278" s="4" t="s">
        <v>235</v>
      </c>
      <c r="BD1278" s="8" t="s">
        <v>235</v>
      </c>
      <c r="BE1278" s="4" t="s">
        <v>235</v>
      </c>
      <c r="BF1278" s="8" t="s">
        <v>235</v>
      </c>
      <c r="BG1278" s="7" t="s">
        <v>235</v>
      </c>
      <c r="BH1278" s="7" t="s">
        <v>235</v>
      </c>
      <c r="BI1278" s="7"/>
      <c r="BJ1278" s="4">
        <v>22</v>
      </c>
      <c r="BK1278" s="8">
        <v>796.88</v>
      </c>
      <c r="BL1278" s="2" t="s">
        <v>5066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5057</v>
      </c>
      <c r="BV1278" s="2" t="s">
        <v>235</v>
      </c>
      <c r="BW1278" s="2" t="s">
        <v>235</v>
      </c>
      <c r="BX1278" s="2" t="s">
        <v>244</v>
      </c>
      <c r="BY1278" s="2" t="s">
        <v>245</v>
      </c>
      <c r="BZ1278" s="2" t="s">
        <v>232</v>
      </c>
      <c r="CA1278" s="2" t="s">
        <v>235</v>
      </c>
      <c r="CB1278" s="2" t="s">
        <v>235</v>
      </c>
      <c r="CC1278" s="2" t="s">
        <v>248</v>
      </c>
      <c r="CD1278" s="2" t="s">
        <v>248</v>
      </c>
      <c r="CE1278" s="2" t="s">
        <v>235</v>
      </c>
      <c r="CF1278" s="4">
        <v>398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>
        <v>405</v>
      </c>
      <c r="GE1278" s="4">
        <v>398</v>
      </c>
      <c r="GF1278" s="4">
        <v>393</v>
      </c>
      <c r="GG1278" s="4">
        <v>388</v>
      </c>
      <c r="GH1278" s="4">
        <v>375</v>
      </c>
      <c r="GI1278" s="4">
        <v>362</v>
      </c>
      <c r="GJ1278" s="4">
        <v>349</v>
      </c>
      <c r="GK1278" s="4">
        <v>334</v>
      </c>
      <c r="GL1278" s="4">
        <v>316</v>
      </c>
      <c r="GM1278" s="4">
        <v>296</v>
      </c>
      <c r="GN1278" s="4">
        <v>277</v>
      </c>
      <c r="GO1278" s="4">
        <v>255</v>
      </c>
      <c r="GP1278" s="4">
        <v>233</v>
      </c>
      <c r="GQ1278" s="4">
        <v>211</v>
      </c>
      <c r="GR1278" s="4">
        <v>177</v>
      </c>
      <c r="GS1278" s="4">
        <v>147</v>
      </c>
      <c r="GT1278" s="4">
        <v>125</v>
      </c>
      <c r="GU1278" s="4">
        <v>106</v>
      </c>
      <c r="GV1278" s="4">
        <v>87</v>
      </c>
      <c r="GW1278" s="4">
        <v>71</v>
      </c>
      <c r="GX1278" s="4">
        <v>55</v>
      </c>
      <c r="GY1278" s="4">
        <v>39</v>
      </c>
      <c r="GZ1278" s="4">
        <v>23</v>
      </c>
      <c r="HA1278" s="4">
        <v>7</v>
      </c>
      <c r="HB1278" s="4"/>
      <c r="HC1278" s="4"/>
      <c r="HD1278" s="19">
        <v>50.6</v>
      </c>
      <c r="HE1278" s="19">
        <v>44.2</v>
      </c>
      <c r="HF1278" s="19">
        <v>35.7</v>
      </c>
      <c r="HG1278" s="19">
        <v>27.7</v>
      </c>
      <c r="HH1278" s="19">
        <v>25</v>
      </c>
      <c r="HI1278" s="19">
        <v>22.6</v>
      </c>
      <c r="HJ1278" s="19">
        <v>19.4</v>
      </c>
      <c r="HK1278" s="19">
        <v>16.7</v>
      </c>
      <c r="HL1278" s="19">
        <v>15</v>
      </c>
      <c r="HM1278" s="19">
        <v>14.1</v>
      </c>
      <c r="HN1278" s="19">
        <v>11.1</v>
      </c>
      <c r="HO1278" s="19">
        <v>9.4</v>
      </c>
      <c r="HP1278" s="19">
        <v>8.6</v>
      </c>
      <c r="HQ1278" s="19">
        <v>8.1</v>
      </c>
      <c r="HR1278" s="19">
        <v>8</v>
      </c>
      <c r="HS1278" s="19">
        <v>7.7</v>
      </c>
      <c r="HT1278" s="19">
        <v>6.9</v>
      </c>
      <c r="HU1278" s="19">
        <v>6.2</v>
      </c>
      <c r="HV1278" s="19">
        <v>5.4</v>
      </c>
      <c r="HW1278" s="19">
        <v>4.4</v>
      </c>
      <c r="HX1278" s="19">
        <v>3.4</v>
      </c>
      <c r="HY1278" s="19">
        <v>2.3</v>
      </c>
      <c r="HZ1278" s="19">
        <v>1.4</v>
      </c>
      <c r="IA1278" s="19">
        <v>0.4</v>
      </c>
      <c r="IB1278" s="20">
        <v>0</v>
      </c>
      <c r="IC1278" s="20">
        <v>0</v>
      </c>
    </row>
    <row r="1279">
      <c r="A1279" s="2" t="s">
        <v>5067</v>
      </c>
      <c r="B1279" s="2" t="s">
        <v>871</v>
      </c>
      <c r="C1279" s="2" t="s">
        <v>853</v>
      </c>
      <c r="D1279" s="2" t="s">
        <v>361</v>
      </c>
      <c r="E1279" s="2" t="s">
        <v>872</v>
      </c>
      <c r="F1279" s="2" t="s">
        <v>5045</v>
      </c>
      <c r="G1279" s="2" t="s">
        <v>5053</v>
      </c>
      <c r="H1279" s="2" t="s">
        <v>5054</v>
      </c>
      <c r="I1279" s="2" t="s">
        <v>5055</v>
      </c>
      <c r="J1279" s="2" t="s">
        <v>270</v>
      </c>
      <c r="K1279" s="2" t="s">
        <v>316</v>
      </c>
      <c r="L1279" s="3">
        <v>36.69</v>
      </c>
      <c r="M1279" s="3">
        <v>38.52</v>
      </c>
      <c r="N1279" s="3">
        <v>79.99</v>
      </c>
      <c r="O1279" s="2" t="s">
        <v>232</v>
      </c>
      <c r="P1279" s="2" t="s">
        <v>878</v>
      </c>
      <c r="Q1279" s="2" t="s">
        <v>234</v>
      </c>
      <c r="R1279" s="2" t="s">
        <v>235</v>
      </c>
      <c r="S1279" s="2" t="s">
        <v>235</v>
      </c>
      <c r="T1279" s="2" t="s">
        <v>501</v>
      </c>
      <c r="U1279" s="2" t="s">
        <v>552</v>
      </c>
      <c r="V1279" s="2" t="s">
        <v>880</v>
      </c>
      <c r="W1279" s="2" t="s">
        <v>235</v>
      </c>
      <c r="X1279" s="2" t="s">
        <v>235</v>
      </c>
      <c r="Y1279" s="2" t="s">
        <v>2275</v>
      </c>
      <c r="Z1279" s="4">
        <v>109</v>
      </c>
      <c r="AA1279" s="4">
        <f>=ROUNDDOWN(21.8,0)</f>
      </c>
      <c r="AB1279" s="5">
        <v>5</v>
      </c>
      <c r="AC1279" s="2" t="s">
        <v>235</v>
      </c>
      <c r="AD1279" s="4"/>
      <c r="AE1279" s="4"/>
      <c r="AF1279" s="6">
        <v>64</v>
      </c>
      <c r="AG1279" s="6"/>
      <c r="AH1279" s="7">
        <v>1</v>
      </c>
      <c r="AI1279" s="4"/>
      <c r="AJ1279" s="4">
        <f>=ROUNDDOWN({0},0)</f>
      </c>
      <c r="AK1279" s="5"/>
      <c r="AL1279" s="2" t="s">
        <v>235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235</v>
      </c>
      <c r="BD1279" s="8" t="s">
        <v>235</v>
      </c>
      <c r="BE1279" s="4" t="s">
        <v>235</v>
      </c>
      <c r="BF1279" s="8" t="s">
        <v>235</v>
      </c>
      <c r="BG1279" s="7" t="s">
        <v>235</v>
      </c>
      <c r="BH1279" s="7" t="s">
        <v>235</v>
      </c>
      <c r="BI1279" s="7"/>
      <c r="BJ1279" s="4">
        <v>9</v>
      </c>
      <c r="BK1279" s="8">
        <v>379.8</v>
      </c>
      <c r="BL1279" s="2" t="s">
        <v>2683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5057</v>
      </c>
      <c r="BV1279" s="2" t="s">
        <v>235</v>
      </c>
      <c r="BW1279" s="2" t="s">
        <v>235</v>
      </c>
      <c r="BX1279" s="2" t="s">
        <v>244</v>
      </c>
      <c r="BY1279" s="2" t="s">
        <v>245</v>
      </c>
      <c r="BZ1279" s="2" t="s">
        <v>232</v>
      </c>
      <c r="CA1279" s="2" t="s">
        <v>235</v>
      </c>
      <c r="CB1279" s="2" t="s">
        <v>3831</v>
      </c>
      <c r="CC1279" s="2" t="s">
        <v>248</v>
      </c>
      <c r="CD1279" s="2" t="s">
        <v>248</v>
      </c>
      <c r="CE1279" s="2" t="s">
        <v>235</v>
      </c>
      <c r="CF1279" s="4">
        <v>109</v>
      </c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>
        <v>114</v>
      </c>
      <c r="GE1279" s="4">
        <v>109</v>
      </c>
      <c r="GF1279" s="4">
        <v>108</v>
      </c>
      <c r="GG1279" s="4">
        <v>107</v>
      </c>
      <c r="GH1279" s="4">
        <v>104</v>
      </c>
      <c r="GI1279" s="4">
        <v>100</v>
      </c>
      <c r="GJ1279" s="4">
        <v>96</v>
      </c>
      <c r="GK1279" s="4">
        <v>91</v>
      </c>
      <c r="GL1279" s="4">
        <v>85</v>
      </c>
      <c r="GM1279" s="4">
        <v>79</v>
      </c>
      <c r="GN1279" s="4">
        <v>73</v>
      </c>
      <c r="GO1279" s="4">
        <v>66</v>
      </c>
      <c r="GP1279" s="4">
        <v>59</v>
      </c>
      <c r="GQ1279" s="4">
        <v>52</v>
      </c>
      <c r="GR1279" s="4">
        <v>42</v>
      </c>
      <c r="GS1279" s="4">
        <v>33</v>
      </c>
      <c r="GT1279" s="4">
        <v>26</v>
      </c>
      <c r="GU1279" s="4">
        <v>20</v>
      </c>
      <c r="GV1279" s="4">
        <v>179</v>
      </c>
      <c r="GW1279" s="4">
        <v>174</v>
      </c>
      <c r="GX1279" s="4">
        <v>169</v>
      </c>
      <c r="GY1279" s="4">
        <v>164</v>
      </c>
      <c r="GZ1279" s="4">
        <v>159</v>
      </c>
      <c r="HA1279" s="4">
        <v>154</v>
      </c>
      <c r="HB1279" s="4">
        <v>149</v>
      </c>
      <c r="HC1279" s="4">
        <v>143</v>
      </c>
      <c r="HD1279" s="19">
        <v>57</v>
      </c>
      <c r="HE1279" s="19">
        <v>54.5</v>
      </c>
      <c r="HF1279" s="19">
        <v>36</v>
      </c>
      <c r="HG1279" s="19">
        <v>26.8</v>
      </c>
      <c r="HH1279" s="19">
        <v>20.8</v>
      </c>
      <c r="HI1279" s="19">
        <v>20</v>
      </c>
      <c r="HJ1279" s="19">
        <v>16</v>
      </c>
      <c r="HK1279" s="19">
        <v>15.2</v>
      </c>
      <c r="HL1279" s="19">
        <v>14.2</v>
      </c>
      <c r="HM1279" s="19">
        <v>11.3</v>
      </c>
      <c r="HN1279" s="19">
        <v>9.1</v>
      </c>
      <c r="HO1279" s="19">
        <v>8.3</v>
      </c>
      <c r="HP1279" s="19">
        <v>7.4</v>
      </c>
      <c r="HQ1279" s="19">
        <v>6.5</v>
      </c>
      <c r="HR1279" s="19">
        <v>6</v>
      </c>
      <c r="HS1279" s="19">
        <v>5.5</v>
      </c>
      <c r="HT1279" s="19">
        <v>4.3</v>
      </c>
      <c r="HU1279" s="19">
        <v>4</v>
      </c>
      <c r="HV1279" s="19">
        <v>35.8</v>
      </c>
      <c r="HW1279" s="19">
        <v>34.8</v>
      </c>
      <c r="HX1279" s="19">
        <v>33.8</v>
      </c>
      <c r="HY1279" s="19">
        <v>32.8</v>
      </c>
      <c r="HZ1279" s="19">
        <v>31.8</v>
      </c>
      <c r="IA1279" s="19">
        <v>30.8</v>
      </c>
      <c r="IB1279" s="19">
        <v>29.8</v>
      </c>
      <c r="IC1279" s="19">
        <v>28.6</v>
      </c>
    </row>
    <row r="1280">
      <c r="A1280" s="2" t="s">
        <v>5068</v>
      </c>
      <c r="B1280" s="2" t="s">
        <v>255</v>
      </c>
      <c r="C1280" s="2" t="s">
        <v>256</v>
      </c>
      <c r="D1280" s="2" t="s">
        <v>906</v>
      </c>
      <c r="E1280" s="2" t="s">
        <v>1301</v>
      </c>
      <c r="F1280" s="2" t="s">
        <v>5069</v>
      </c>
      <c r="G1280" s="2" t="s">
        <v>5069</v>
      </c>
      <c r="H1280" s="2" t="s">
        <v>5069</v>
      </c>
      <c r="I1280" s="2" t="s">
        <v>1430</v>
      </c>
      <c r="J1280" s="2" t="s">
        <v>365</v>
      </c>
      <c r="K1280" s="2" t="s">
        <v>2561</v>
      </c>
      <c r="L1280" s="3">
        <v>200</v>
      </c>
      <c r="M1280" s="3">
        <v>210</v>
      </c>
      <c r="N1280" s="3">
        <v>499.99</v>
      </c>
      <c r="O1280" s="2" t="s">
        <v>232</v>
      </c>
      <c r="P1280" s="2" t="s">
        <v>262</v>
      </c>
      <c r="Q1280" s="2" t="s">
        <v>234</v>
      </c>
      <c r="R1280" s="2" t="s">
        <v>235</v>
      </c>
      <c r="S1280" s="2" t="s">
        <v>235</v>
      </c>
      <c r="T1280" s="2" t="s">
        <v>302</v>
      </c>
      <c r="U1280" s="2" t="s">
        <v>552</v>
      </c>
      <c r="V1280" s="2" t="s">
        <v>238</v>
      </c>
      <c r="W1280" s="2" t="s">
        <v>329</v>
      </c>
      <c r="X1280" s="2" t="s">
        <v>265</v>
      </c>
      <c r="Y1280" s="2" t="s">
        <v>3646</v>
      </c>
      <c r="Z1280" s="4">
        <v>72</v>
      </c>
      <c r="AA1280" s="4">
        <f>=ROUNDDOWN(14.4,0)</f>
      </c>
      <c r="AB1280" s="5">
        <v>5</v>
      </c>
      <c r="AC1280" s="2" t="s">
        <v>3341</v>
      </c>
      <c r="AD1280" s="4">
        <v>132</v>
      </c>
      <c r="AE1280" s="4">
        <v>204</v>
      </c>
      <c r="AF1280" s="6"/>
      <c r="AG1280" s="6">
        <v>50</v>
      </c>
      <c r="AH1280" s="7"/>
      <c r="AI1280" s="4"/>
      <c r="AJ1280" s="4">
        <f>=ROUNDDOWN({0},0)</f>
      </c>
      <c r="AK1280" s="5"/>
      <c r="AL1280" s="2" t="s">
        <v>235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235</v>
      </c>
      <c r="AW1280" s="8" t="s">
        <v>235</v>
      </c>
      <c r="AX1280" s="4" t="s">
        <v>235</v>
      </c>
      <c r="AY1280" s="8" t="s">
        <v>235</v>
      </c>
      <c r="AZ1280" s="7" t="s">
        <v>235</v>
      </c>
      <c r="BA1280" s="7" t="s">
        <v>235</v>
      </c>
      <c r="BB1280" s="7"/>
      <c r="BC1280" s="4" t="s">
        <v>235</v>
      </c>
      <c r="BD1280" s="8" t="s">
        <v>235</v>
      </c>
      <c r="BE1280" s="4" t="s">
        <v>235</v>
      </c>
      <c r="BF1280" s="8" t="s">
        <v>235</v>
      </c>
      <c r="BG1280" s="7" t="s">
        <v>235</v>
      </c>
      <c r="BH1280" s="7" t="s">
        <v>235</v>
      </c>
      <c r="BI1280" s="7"/>
      <c r="BJ1280" s="4"/>
      <c r="BK1280" s="8"/>
      <c r="BL1280" s="2" t="s">
        <v>235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5070</v>
      </c>
      <c r="BV1280" s="2" t="s">
        <v>235</v>
      </c>
      <c r="BW1280" s="2" t="s">
        <v>235</v>
      </c>
      <c r="BX1280" s="2" t="s">
        <v>244</v>
      </c>
      <c r="BY1280" s="2" t="s">
        <v>245</v>
      </c>
      <c r="BZ1280" s="2" t="s">
        <v>232</v>
      </c>
      <c r="CA1280" s="2" t="s">
        <v>235</v>
      </c>
      <c r="CB1280" s="2" t="s">
        <v>235</v>
      </c>
      <c r="CC1280" s="2" t="s">
        <v>248</v>
      </c>
      <c r="CD1280" s="2" t="s">
        <v>248</v>
      </c>
      <c r="CE1280" s="2" t="s">
        <v>235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>
        <v>72</v>
      </c>
      <c r="CR1280" s="4"/>
      <c r="CS1280" s="4"/>
      <c r="CT1280" s="4"/>
      <c r="CU1280" s="4"/>
      <c r="CV1280" s="4"/>
      <c r="CW1280" s="4"/>
      <c r="CX1280" s="4"/>
      <c r="CY1280" s="4"/>
      <c r="CZ1280" s="4">
        <v>132</v>
      </c>
      <c r="DA1280" s="4"/>
      <c r="DB1280" s="4"/>
      <c r="DC1280" s="4"/>
      <c r="DD1280" s="4"/>
      <c r="DE1280" s="4"/>
      <c r="DF1280" s="4">
        <v>72</v>
      </c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>
        <v>204</v>
      </c>
      <c r="GF1280" s="4">
        <v>195</v>
      </c>
      <c r="GG1280" s="4">
        <v>190</v>
      </c>
      <c r="GH1280" s="4">
        <v>185</v>
      </c>
      <c r="GI1280" s="4">
        <v>180</v>
      </c>
      <c r="GJ1280" s="4">
        <v>173</v>
      </c>
      <c r="GK1280" s="4">
        <v>167</v>
      </c>
      <c r="GL1280" s="4">
        <v>161</v>
      </c>
      <c r="GM1280" s="4">
        <v>156</v>
      </c>
      <c r="GN1280" s="4">
        <v>151</v>
      </c>
      <c r="GO1280" s="4">
        <v>144</v>
      </c>
      <c r="GP1280" s="4">
        <v>137</v>
      </c>
      <c r="GQ1280" s="4">
        <v>124</v>
      </c>
      <c r="GR1280" s="4">
        <v>116</v>
      </c>
      <c r="GS1280" s="4">
        <v>109</v>
      </c>
      <c r="GT1280" s="4">
        <v>104</v>
      </c>
      <c r="GU1280" s="4">
        <v>100</v>
      </c>
      <c r="GV1280" s="4">
        <v>95</v>
      </c>
      <c r="GW1280" s="4">
        <v>90</v>
      </c>
      <c r="GX1280" s="4">
        <v>85</v>
      </c>
      <c r="GY1280" s="4">
        <v>80</v>
      </c>
      <c r="GZ1280" s="4">
        <v>75</v>
      </c>
      <c r="HA1280" s="4">
        <v>70</v>
      </c>
      <c r="HB1280" s="4">
        <v>65</v>
      </c>
      <c r="HC1280" s="4">
        <v>60</v>
      </c>
      <c r="HD1280" s="20">
        <v>0</v>
      </c>
      <c r="HE1280" s="19">
        <v>34</v>
      </c>
      <c r="HF1280" s="19">
        <v>32.5</v>
      </c>
      <c r="HG1280" s="19">
        <v>31.7</v>
      </c>
      <c r="HH1280" s="19">
        <v>30.8</v>
      </c>
      <c r="HI1280" s="19">
        <v>30</v>
      </c>
      <c r="HJ1280" s="19">
        <v>28.8</v>
      </c>
      <c r="HK1280" s="19">
        <v>27.8</v>
      </c>
      <c r="HL1280" s="19">
        <v>26.8</v>
      </c>
      <c r="HM1280" s="19">
        <v>19.5</v>
      </c>
      <c r="HN1280" s="19">
        <v>16.8</v>
      </c>
      <c r="HO1280" s="19">
        <v>16</v>
      </c>
      <c r="HP1280" s="19">
        <v>17.1</v>
      </c>
      <c r="HQ1280" s="19">
        <v>20.7</v>
      </c>
      <c r="HR1280" s="19">
        <v>23.2</v>
      </c>
      <c r="HS1280" s="19">
        <v>21.8</v>
      </c>
      <c r="HT1280" s="19">
        <v>20.8</v>
      </c>
      <c r="HU1280" s="19">
        <v>20</v>
      </c>
      <c r="HV1280" s="19">
        <v>19</v>
      </c>
      <c r="HW1280" s="19">
        <v>18</v>
      </c>
      <c r="HX1280" s="19">
        <v>17</v>
      </c>
      <c r="HY1280" s="19">
        <v>16</v>
      </c>
      <c r="HZ1280" s="19">
        <v>15</v>
      </c>
      <c r="IA1280" s="19">
        <v>14</v>
      </c>
      <c r="IB1280" s="19">
        <v>13</v>
      </c>
      <c r="IC1280" s="19">
        <v>12</v>
      </c>
    </row>
    <row r="1281">
      <c r="A1281" s="2" t="s">
        <v>5071</v>
      </c>
      <c r="B1281" s="2" t="s">
        <v>255</v>
      </c>
      <c r="C1281" s="2" t="s">
        <v>256</v>
      </c>
      <c r="D1281" s="2" t="s">
        <v>906</v>
      </c>
      <c r="E1281" s="2" t="s">
        <v>1301</v>
      </c>
      <c r="F1281" s="2" t="s">
        <v>5069</v>
      </c>
      <c r="G1281" s="2" t="s">
        <v>5069</v>
      </c>
      <c r="H1281" s="2" t="s">
        <v>5069</v>
      </c>
      <c r="I1281" s="2" t="s">
        <v>1430</v>
      </c>
      <c r="J1281" s="2" t="s">
        <v>372</v>
      </c>
      <c r="K1281" s="2" t="s">
        <v>2561</v>
      </c>
      <c r="L1281" s="3">
        <v>240</v>
      </c>
      <c r="M1281" s="3">
        <v>252</v>
      </c>
      <c r="N1281" s="3">
        <v>599.99</v>
      </c>
      <c r="O1281" s="2" t="s">
        <v>232</v>
      </c>
      <c r="P1281" s="2" t="s">
        <v>262</v>
      </c>
      <c r="Q1281" s="2" t="s">
        <v>234</v>
      </c>
      <c r="R1281" s="2" t="s">
        <v>235</v>
      </c>
      <c r="S1281" s="2" t="s">
        <v>235</v>
      </c>
      <c r="T1281" s="2" t="s">
        <v>302</v>
      </c>
      <c r="U1281" s="2" t="s">
        <v>552</v>
      </c>
      <c r="V1281" s="2" t="s">
        <v>238</v>
      </c>
      <c r="W1281" s="2" t="s">
        <v>329</v>
      </c>
      <c r="X1281" s="2" t="s">
        <v>265</v>
      </c>
      <c r="Y1281" s="2" t="s">
        <v>3646</v>
      </c>
      <c r="Z1281" s="4">
        <v>144</v>
      </c>
      <c r="AA1281" s="4">
        <f>=ROUNDDOWN(20.5714285714286,0)</f>
      </c>
      <c r="AB1281" s="5">
        <v>7</v>
      </c>
      <c r="AC1281" s="2" t="s">
        <v>3341</v>
      </c>
      <c r="AD1281" s="4">
        <v>156</v>
      </c>
      <c r="AE1281" s="4">
        <v>300</v>
      </c>
      <c r="AF1281" s="6"/>
      <c r="AG1281" s="6">
        <v>50</v>
      </c>
      <c r="AH1281" s="7"/>
      <c r="AI1281" s="4"/>
      <c r="AJ1281" s="4">
        <f>=ROUNDDOWN({0},0)</f>
      </c>
      <c r="AK1281" s="5"/>
      <c r="AL1281" s="2" t="s">
        <v>235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235</v>
      </c>
      <c r="AW1281" s="8" t="s">
        <v>235</v>
      </c>
      <c r="AX1281" s="4" t="s">
        <v>235</v>
      </c>
      <c r="AY1281" s="8" t="s">
        <v>235</v>
      </c>
      <c r="AZ1281" s="7" t="s">
        <v>235</v>
      </c>
      <c r="BA1281" s="7" t="s">
        <v>235</v>
      </c>
      <c r="BB1281" s="7"/>
      <c r="BC1281" s="4" t="s">
        <v>235</v>
      </c>
      <c r="BD1281" s="8" t="s">
        <v>235</v>
      </c>
      <c r="BE1281" s="4" t="s">
        <v>235</v>
      </c>
      <c r="BF1281" s="8" t="s">
        <v>235</v>
      </c>
      <c r="BG1281" s="7" t="s">
        <v>235</v>
      </c>
      <c r="BH1281" s="7" t="s">
        <v>235</v>
      </c>
      <c r="BI1281" s="7"/>
      <c r="BJ1281" s="4"/>
      <c r="BK1281" s="8"/>
      <c r="BL1281" s="2" t="s">
        <v>235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5070</v>
      </c>
      <c r="BV1281" s="2" t="s">
        <v>235</v>
      </c>
      <c r="BW1281" s="2" t="s">
        <v>235</v>
      </c>
      <c r="BX1281" s="2" t="s">
        <v>244</v>
      </c>
      <c r="BY1281" s="2" t="s">
        <v>245</v>
      </c>
      <c r="BZ1281" s="2" t="s">
        <v>232</v>
      </c>
      <c r="CA1281" s="2" t="s">
        <v>235</v>
      </c>
      <c r="CB1281" s="2" t="s">
        <v>235</v>
      </c>
      <c r="CC1281" s="2" t="s">
        <v>248</v>
      </c>
      <c r="CD1281" s="2" t="s">
        <v>248</v>
      </c>
      <c r="CE1281" s="2" t="s">
        <v>235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>
        <v>144</v>
      </c>
      <c r="CR1281" s="4"/>
      <c r="CS1281" s="4"/>
      <c r="CT1281" s="4"/>
      <c r="CU1281" s="4"/>
      <c r="CV1281" s="4"/>
      <c r="CW1281" s="4"/>
      <c r="CX1281" s="4"/>
      <c r="CY1281" s="4"/>
      <c r="CZ1281" s="4">
        <v>156</v>
      </c>
      <c r="DA1281" s="4"/>
      <c r="DB1281" s="4"/>
      <c r="DC1281" s="4"/>
      <c r="DD1281" s="4"/>
      <c r="DE1281" s="4"/>
      <c r="DF1281" s="4">
        <v>144</v>
      </c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>
        <v>300</v>
      </c>
      <c r="GF1281" s="4">
        <v>289</v>
      </c>
      <c r="GG1281" s="4">
        <v>282</v>
      </c>
      <c r="GH1281" s="4">
        <v>275</v>
      </c>
      <c r="GI1281" s="4">
        <v>268</v>
      </c>
      <c r="GJ1281" s="4">
        <v>258</v>
      </c>
      <c r="GK1281" s="4">
        <v>249</v>
      </c>
      <c r="GL1281" s="4">
        <v>240</v>
      </c>
      <c r="GM1281" s="4">
        <v>232</v>
      </c>
      <c r="GN1281" s="4">
        <v>224</v>
      </c>
      <c r="GO1281" s="4">
        <v>215</v>
      </c>
      <c r="GP1281" s="4">
        <v>205</v>
      </c>
      <c r="GQ1281" s="4">
        <v>187</v>
      </c>
      <c r="GR1281" s="4">
        <v>176</v>
      </c>
      <c r="GS1281" s="4">
        <v>166</v>
      </c>
      <c r="GT1281" s="4">
        <v>160</v>
      </c>
      <c r="GU1281" s="4">
        <v>155</v>
      </c>
      <c r="GV1281" s="4">
        <v>147</v>
      </c>
      <c r="GW1281" s="4">
        <v>140</v>
      </c>
      <c r="GX1281" s="4">
        <v>133</v>
      </c>
      <c r="GY1281" s="4">
        <v>126</v>
      </c>
      <c r="GZ1281" s="4">
        <v>119</v>
      </c>
      <c r="HA1281" s="4">
        <v>112</v>
      </c>
      <c r="HB1281" s="4">
        <v>105</v>
      </c>
      <c r="HC1281" s="4">
        <v>97</v>
      </c>
      <c r="HD1281" s="20">
        <v>0</v>
      </c>
      <c r="HE1281" s="19">
        <v>37.5</v>
      </c>
      <c r="HF1281" s="19">
        <v>36.1</v>
      </c>
      <c r="HG1281" s="19">
        <v>35.3</v>
      </c>
      <c r="HH1281" s="19">
        <v>30.6</v>
      </c>
      <c r="HI1281" s="19">
        <v>29.8</v>
      </c>
      <c r="HJ1281" s="19">
        <v>32.3</v>
      </c>
      <c r="HK1281" s="19">
        <v>31.1</v>
      </c>
      <c r="HL1281" s="19">
        <v>26.7</v>
      </c>
      <c r="HM1281" s="19">
        <v>21.1</v>
      </c>
      <c r="HN1281" s="19">
        <v>18.7</v>
      </c>
      <c r="HO1281" s="19">
        <v>17.9</v>
      </c>
      <c r="HP1281" s="19">
        <v>18.6</v>
      </c>
      <c r="HQ1281" s="19">
        <v>23.4</v>
      </c>
      <c r="HR1281" s="19">
        <v>25.1</v>
      </c>
      <c r="HS1281" s="19">
        <v>27.7</v>
      </c>
      <c r="HT1281" s="19">
        <v>22.9</v>
      </c>
      <c r="HU1281" s="19">
        <v>22.1</v>
      </c>
      <c r="HV1281" s="19">
        <v>21</v>
      </c>
      <c r="HW1281" s="19">
        <v>20</v>
      </c>
      <c r="HX1281" s="19">
        <v>19</v>
      </c>
      <c r="HY1281" s="19">
        <v>18</v>
      </c>
      <c r="HZ1281" s="19">
        <v>17</v>
      </c>
      <c r="IA1281" s="19">
        <v>16</v>
      </c>
      <c r="IB1281" s="19">
        <v>15</v>
      </c>
      <c r="IC1281" s="19">
        <v>13.9</v>
      </c>
    </row>
    <row r="1282">
      <c r="A1282" s="2" t="s">
        <v>5072</v>
      </c>
      <c r="B1282" s="2" t="s">
        <v>255</v>
      </c>
      <c r="C1282" s="2" t="s">
        <v>256</v>
      </c>
      <c r="D1282" s="2" t="s">
        <v>906</v>
      </c>
      <c r="E1282" s="2" t="s">
        <v>1301</v>
      </c>
      <c r="F1282" s="2" t="s">
        <v>5069</v>
      </c>
      <c r="G1282" s="2" t="s">
        <v>5069</v>
      </c>
      <c r="H1282" s="2" t="s">
        <v>5069</v>
      </c>
      <c r="I1282" s="2" t="s">
        <v>1430</v>
      </c>
      <c r="J1282" s="2" t="s">
        <v>365</v>
      </c>
      <c r="K1282" s="2" t="s">
        <v>5073</v>
      </c>
      <c r="L1282" s="3">
        <v>200</v>
      </c>
      <c r="M1282" s="3">
        <v>210</v>
      </c>
      <c r="N1282" s="3">
        <v>499.99</v>
      </c>
      <c r="O1282" s="2" t="s">
        <v>232</v>
      </c>
      <c r="P1282" s="2" t="s">
        <v>262</v>
      </c>
      <c r="Q1282" s="2" t="s">
        <v>234</v>
      </c>
      <c r="R1282" s="2" t="s">
        <v>235</v>
      </c>
      <c r="S1282" s="2" t="s">
        <v>235</v>
      </c>
      <c r="T1282" s="2" t="s">
        <v>302</v>
      </c>
      <c r="U1282" s="2" t="s">
        <v>552</v>
      </c>
      <c r="V1282" s="2" t="s">
        <v>238</v>
      </c>
      <c r="W1282" s="2" t="s">
        <v>329</v>
      </c>
      <c r="X1282" s="2" t="s">
        <v>265</v>
      </c>
      <c r="Y1282" s="2" t="s">
        <v>3646</v>
      </c>
      <c r="Z1282" s="4">
        <v>72</v>
      </c>
      <c r="AA1282" s="4">
        <f>=ROUNDDOWN(14.4,0)</f>
      </c>
      <c r="AB1282" s="5">
        <v>5</v>
      </c>
      <c r="AC1282" s="2" t="s">
        <v>3341</v>
      </c>
      <c r="AD1282" s="4">
        <v>128</v>
      </c>
      <c r="AE1282" s="4">
        <v>200</v>
      </c>
      <c r="AF1282" s="6"/>
      <c r="AG1282" s="6">
        <v>50</v>
      </c>
      <c r="AH1282" s="7"/>
      <c r="AI1282" s="4"/>
      <c r="AJ1282" s="4">
        <f>=ROUNDDOWN({0},0)</f>
      </c>
      <c r="AK1282" s="5"/>
      <c r="AL1282" s="2" t="s">
        <v>235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235</v>
      </c>
      <c r="AW1282" s="8" t="s">
        <v>235</v>
      </c>
      <c r="AX1282" s="4" t="s">
        <v>235</v>
      </c>
      <c r="AY1282" s="8" t="s">
        <v>235</v>
      </c>
      <c r="AZ1282" s="7" t="s">
        <v>235</v>
      </c>
      <c r="BA1282" s="7" t="s">
        <v>235</v>
      </c>
      <c r="BB1282" s="7"/>
      <c r="BC1282" s="4" t="s">
        <v>235</v>
      </c>
      <c r="BD1282" s="8" t="s">
        <v>235</v>
      </c>
      <c r="BE1282" s="4" t="s">
        <v>235</v>
      </c>
      <c r="BF1282" s="8" t="s">
        <v>235</v>
      </c>
      <c r="BG1282" s="7" t="s">
        <v>235</v>
      </c>
      <c r="BH1282" s="7" t="s">
        <v>235</v>
      </c>
      <c r="BI1282" s="7"/>
      <c r="BJ1282" s="4"/>
      <c r="BK1282" s="8"/>
      <c r="BL1282" s="2" t="s">
        <v>235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5070</v>
      </c>
      <c r="BV1282" s="2" t="s">
        <v>235</v>
      </c>
      <c r="BW1282" s="2" t="s">
        <v>235</v>
      </c>
      <c r="BX1282" s="2" t="s">
        <v>244</v>
      </c>
      <c r="BY1282" s="2" t="s">
        <v>245</v>
      </c>
      <c r="BZ1282" s="2" t="s">
        <v>232</v>
      </c>
      <c r="CA1282" s="2" t="s">
        <v>235</v>
      </c>
      <c r="CB1282" s="2" t="s">
        <v>235</v>
      </c>
      <c r="CC1282" s="2" t="s">
        <v>248</v>
      </c>
      <c r="CD1282" s="2" t="s">
        <v>248</v>
      </c>
      <c r="CE1282" s="2" t="s">
        <v>235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>
        <v>72</v>
      </c>
      <c r="CR1282" s="4"/>
      <c r="CS1282" s="4"/>
      <c r="CT1282" s="4"/>
      <c r="CU1282" s="4"/>
      <c r="CV1282" s="4"/>
      <c r="CW1282" s="4"/>
      <c r="CX1282" s="4"/>
      <c r="CY1282" s="4"/>
      <c r="CZ1282" s="4">
        <v>128</v>
      </c>
      <c r="DA1282" s="4"/>
      <c r="DB1282" s="4"/>
      <c r="DC1282" s="4"/>
      <c r="DD1282" s="4"/>
      <c r="DE1282" s="4"/>
      <c r="DF1282" s="4">
        <v>72</v>
      </c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>
        <v>200</v>
      </c>
      <c r="GF1282" s="4">
        <v>191</v>
      </c>
      <c r="GG1282" s="4">
        <v>186</v>
      </c>
      <c r="GH1282" s="4">
        <v>181</v>
      </c>
      <c r="GI1282" s="4">
        <v>176</v>
      </c>
      <c r="GJ1282" s="4">
        <v>169</v>
      </c>
      <c r="GK1282" s="4">
        <v>163</v>
      </c>
      <c r="GL1282" s="4">
        <v>157</v>
      </c>
      <c r="GM1282" s="4">
        <v>152</v>
      </c>
      <c r="GN1282" s="4">
        <v>147</v>
      </c>
      <c r="GO1282" s="4">
        <v>140</v>
      </c>
      <c r="GP1282" s="4">
        <v>133</v>
      </c>
      <c r="GQ1282" s="4">
        <v>120</v>
      </c>
      <c r="GR1282" s="4">
        <v>112</v>
      </c>
      <c r="GS1282" s="4">
        <v>105</v>
      </c>
      <c r="GT1282" s="4">
        <v>100</v>
      </c>
      <c r="GU1282" s="4">
        <v>96</v>
      </c>
      <c r="GV1282" s="4">
        <v>91</v>
      </c>
      <c r="GW1282" s="4">
        <v>86</v>
      </c>
      <c r="GX1282" s="4">
        <v>81</v>
      </c>
      <c r="GY1282" s="4">
        <v>76</v>
      </c>
      <c r="GZ1282" s="4">
        <v>71</v>
      </c>
      <c r="HA1282" s="4">
        <v>66</v>
      </c>
      <c r="HB1282" s="4">
        <v>61</v>
      </c>
      <c r="HC1282" s="4">
        <v>56</v>
      </c>
      <c r="HD1282" s="20">
        <v>0</v>
      </c>
      <c r="HE1282" s="19">
        <v>33.3</v>
      </c>
      <c r="HF1282" s="19">
        <v>31.8</v>
      </c>
      <c r="HG1282" s="19">
        <v>31</v>
      </c>
      <c r="HH1282" s="19">
        <v>30.2</v>
      </c>
      <c r="HI1282" s="19">
        <v>29.3</v>
      </c>
      <c r="HJ1282" s="19">
        <v>28.2</v>
      </c>
      <c r="HK1282" s="19">
        <v>27.2</v>
      </c>
      <c r="HL1282" s="19">
        <v>26.2</v>
      </c>
      <c r="HM1282" s="19">
        <v>19</v>
      </c>
      <c r="HN1282" s="19">
        <v>16.3</v>
      </c>
      <c r="HO1282" s="19">
        <v>15.6</v>
      </c>
      <c r="HP1282" s="19">
        <v>16.6</v>
      </c>
      <c r="HQ1282" s="19">
        <v>20</v>
      </c>
      <c r="HR1282" s="19">
        <v>22.4</v>
      </c>
      <c r="HS1282" s="19">
        <v>21</v>
      </c>
      <c r="HT1282" s="19">
        <v>20</v>
      </c>
      <c r="HU1282" s="19">
        <v>19.2</v>
      </c>
      <c r="HV1282" s="19">
        <v>18.2</v>
      </c>
      <c r="HW1282" s="19">
        <v>17.2</v>
      </c>
      <c r="HX1282" s="19">
        <v>16.2</v>
      </c>
      <c r="HY1282" s="19">
        <v>15.2</v>
      </c>
      <c r="HZ1282" s="19">
        <v>14.2</v>
      </c>
      <c r="IA1282" s="19">
        <v>13.2</v>
      </c>
      <c r="IB1282" s="19">
        <v>12.2</v>
      </c>
      <c r="IC1282" s="19">
        <v>11.2</v>
      </c>
    </row>
    <row r="1283">
      <c r="A1283" s="2" t="s">
        <v>5074</v>
      </c>
      <c r="B1283" s="2" t="s">
        <v>255</v>
      </c>
      <c r="C1283" s="2" t="s">
        <v>256</v>
      </c>
      <c r="D1283" s="2" t="s">
        <v>906</v>
      </c>
      <c r="E1283" s="2" t="s">
        <v>1301</v>
      </c>
      <c r="F1283" s="2" t="s">
        <v>5069</v>
      </c>
      <c r="G1283" s="2" t="s">
        <v>5069</v>
      </c>
      <c r="H1283" s="2" t="s">
        <v>5069</v>
      </c>
      <c r="I1283" s="2" t="s">
        <v>1430</v>
      </c>
      <c r="J1283" s="2" t="s">
        <v>372</v>
      </c>
      <c r="K1283" s="2" t="s">
        <v>5073</v>
      </c>
      <c r="L1283" s="3">
        <v>240</v>
      </c>
      <c r="M1283" s="3">
        <v>252</v>
      </c>
      <c r="N1283" s="3">
        <v>599.99</v>
      </c>
      <c r="O1283" s="2" t="s">
        <v>232</v>
      </c>
      <c r="P1283" s="2" t="s">
        <v>262</v>
      </c>
      <c r="Q1283" s="2" t="s">
        <v>234</v>
      </c>
      <c r="R1283" s="2" t="s">
        <v>235</v>
      </c>
      <c r="S1283" s="2" t="s">
        <v>235</v>
      </c>
      <c r="T1283" s="2" t="s">
        <v>302</v>
      </c>
      <c r="U1283" s="2" t="s">
        <v>552</v>
      </c>
      <c r="V1283" s="2" t="s">
        <v>238</v>
      </c>
      <c r="W1283" s="2" t="s">
        <v>329</v>
      </c>
      <c r="X1283" s="2" t="s">
        <v>265</v>
      </c>
      <c r="Y1283" s="2" t="s">
        <v>3646</v>
      </c>
      <c r="Z1283" s="4">
        <v>72</v>
      </c>
      <c r="AA1283" s="4">
        <f>=ROUNDDOWN(10.2857142857143,0)</f>
      </c>
      <c r="AB1283" s="5">
        <v>7</v>
      </c>
      <c r="AC1283" s="2" t="s">
        <v>3341</v>
      </c>
      <c r="AD1283" s="4">
        <v>232</v>
      </c>
      <c r="AE1283" s="4">
        <v>304</v>
      </c>
      <c r="AF1283" s="6"/>
      <c r="AG1283" s="6">
        <v>50</v>
      </c>
      <c r="AH1283" s="7"/>
      <c r="AI1283" s="4"/>
      <c r="AJ1283" s="4">
        <f>=ROUNDDOWN({0},0)</f>
      </c>
      <c r="AK1283" s="5"/>
      <c r="AL1283" s="2" t="s">
        <v>235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235</v>
      </c>
      <c r="AW1283" s="8" t="s">
        <v>235</v>
      </c>
      <c r="AX1283" s="4" t="s">
        <v>235</v>
      </c>
      <c r="AY1283" s="8" t="s">
        <v>235</v>
      </c>
      <c r="AZ1283" s="7" t="s">
        <v>235</v>
      </c>
      <c r="BA1283" s="7" t="s">
        <v>235</v>
      </c>
      <c r="BB1283" s="7"/>
      <c r="BC1283" s="4" t="s">
        <v>235</v>
      </c>
      <c r="BD1283" s="8" t="s">
        <v>235</v>
      </c>
      <c r="BE1283" s="4" t="s">
        <v>235</v>
      </c>
      <c r="BF1283" s="8" t="s">
        <v>235</v>
      </c>
      <c r="BG1283" s="7" t="s">
        <v>235</v>
      </c>
      <c r="BH1283" s="7" t="s">
        <v>235</v>
      </c>
      <c r="BI1283" s="7"/>
      <c r="BJ1283" s="4"/>
      <c r="BK1283" s="8"/>
      <c r="BL1283" s="2" t="s">
        <v>235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5070</v>
      </c>
      <c r="BV1283" s="2" t="s">
        <v>235</v>
      </c>
      <c r="BW1283" s="2" t="s">
        <v>235</v>
      </c>
      <c r="BX1283" s="2" t="s">
        <v>244</v>
      </c>
      <c r="BY1283" s="2" t="s">
        <v>245</v>
      </c>
      <c r="BZ1283" s="2" t="s">
        <v>232</v>
      </c>
      <c r="CA1283" s="2" t="s">
        <v>235</v>
      </c>
      <c r="CB1283" s="2" t="s">
        <v>235</v>
      </c>
      <c r="CC1283" s="2" t="s">
        <v>248</v>
      </c>
      <c r="CD1283" s="2" t="s">
        <v>248</v>
      </c>
      <c r="CE1283" s="2" t="s">
        <v>235</v>
      </c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>
        <v>72</v>
      </c>
      <c r="CR1283" s="4"/>
      <c r="CS1283" s="4"/>
      <c r="CT1283" s="4"/>
      <c r="CU1283" s="4"/>
      <c r="CV1283" s="4"/>
      <c r="CW1283" s="4"/>
      <c r="CX1283" s="4"/>
      <c r="CY1283" s="4"/>
      <c r="CZ1283" s="4">
        <v>232</v>
      </c>
      <c r="DA1283" s="4"/>
      <c r="DB1283" s="4"/>
      <c r="DC1283" s="4"/>
      <c r="DD1283" s="4"/>
      <c r="DE1283" s="4"/>
      <c r="DF1283" s="4">
        <v>72</v>
      </c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>
        <v>304</v>
      </c>
      <c r="GF1283" s="4">
        <v>293</v>
      </c>
      <c r="GG1283" s="4">
        <v>286</v>
      </c>
      <c r="GH1283" s="4">
        <v>279</v>
      </c>
      <c r="GI1283" s="4">
        <v>272</v>
      </c>
      <c r="GJ1283" s="4">
        <v>262</v>
      </c>
      <c r="GK1283" s="4">
        <v>253</v>
      </c>
      <c r="GL1283" s="4">
        <v>244</v>
      </c>
      <c r="GM1283" s="4">
        <v>236</v>
      </c>
      <c r="GN1283" s="4">
        <v>228</v>
      </c>
      <c r="GO1283" s="4">
        <v>219</v>
      </c>
      <c r="GP1283" s="4">
        <v>209</v>
      </c>
      <c r="GQ1283" s="4">
        <v>191</v>
      </c>
      <c r="GR1283" s="4">
        <v>180</v>
      </c>
      <c r="GS1283" s="4">
        <v>170</v>
      </c>
      <c r="GT1283" s="4">
        <v>164</v>
      </c>
      <c r="GU1283" s="4">
        <v>159</v>
      </c>
      <c r="GV1283" s="4">
        <v>151</v>
      </c>
      <c r="GW1283" s="4">
        <v>144</v>
      </c>
      <c r="GX1283" s="4">
        <v>137</v>
      </c>
      <c r="GY1283" s="4">
        <v>130</v>
      </c>
      <c r="GZ1283" s="4">
        <v>123</v>
      </c>
      <c r="HA1283" s="4">
        <v>116</v>
      </c>
      <c r="HB1283" s="4">
        <v>109</v>
      </c>
      <c r="HC1283" s="4">
        <v>101</v>
      </c>
      <c r="HD1283" s="20">
        <v>0</v>
      </c>
      <c r="HE1283" s="19">
        <v>38</v>
      </c>
      <c r="HF1283" s="19">
        <v>36.6</v>
      </c>
      <c r="HG1283" s="19">
        <v>35.8</v>
      </c>
      <c r="HH1283" s="19">
        <v>31</v>
      </c>
      <c r="HI1283" s="19">
        <v>30.2</v>
      </c>
      <c r="HJ1283" s="19">
        <v>32.8</v>
      </c>
      <c r="HK1283" s="19">
        <v>31.6</v>
      </c>
      <c r="HL1283" s="19">
        <v>27.1</v>
      </c>
      <c r="HM1283" s="19">
        <v>21.5</v>
      </c>
      <c r="HN1283" s="19">
        <v>19</v>
      </c>
      <c r="HO1283" s="19">
        <v>18.3</v>
      </c>
      <c r="HP1283" s="19">
        <v>19</v>
      </c>
      <c r="HQ1283" s="19">
        <v>23.9</v>
      </c>
      <c r="HR1283" s="19">
        <v>25.7</v>
      </c>
      <c r="HS1283" s="19">
        <v>28.3</v>
      </c>
      <c r="HT1283" s="19">
        <v>23.4</v>
      </c>
      <c r="HU1283" s="19">
        <v>22.7</v>
      </c>
      <c r="HV1283" s="19">
        <v>21.6</v>
      </c>
      <c r="HW1283" s="19">
        <v>20.6</v>
      </c>
      <c r="HX1283" s="19">
        <v>19.6</v>
      </c>
      <c r="HY1283" s="19">
        <v>18.6</v>
      </c>
      <c r="HZ1283" s="19">
        <v>17.6</v>
      </c>
      <c r="IA1283" s="19">
        <v>16.6</v>
      </c>
      <c r="IB1283" s="19">
        <v>15.6</v>
      </c>
      <c r="IC1283" s="19">
        <v>14.4</v>
      </c>
    </row>
    <row r="1284">
      <c r="A1284" s="2" t="s">
        <v>5075</v>
      </c>
      <c r="B1284" s="2" t="s">
        <v>871</v>
      </c>
      <c r="C1284" s="2" t="s">
        <v>324</v>
      </c>
      <c r="D1284" s="2" t="s">
        <v>1452</v>
      </c>
      <c r="E1284" s="2" t="s">
        <v>1453</v>
      </c>
      <c r="F1284" s="2" t="s">
        <v>5076</v>
      </c>
      <c r="G1284" s="2" t="s">
        <v>5077</v>
      </c>
      <c r="H1284" s="2" t="s">
        <v>5078</v>
      </c>
      <c r="I1284" s="2" t="s">
        <v>5079</v>
      </c>
      <c r="J1284" s="2" t="s">
        <v>261</v>
      </c>
      <c r="K1284" s="2" t="s">
        <v>231</v>
      </c>
      <c r="L1284" s="3">
        <v>33.33</v>
      </c>
      <c r="M1284" s="3">
        <v>35</v>
      </c>
      <c r="N1284" s="3">
        <v>69.99</v>
      </c>
      <c r="O1284" s="2" t="s">
        <v>232</v>
      </c>
      <c r="P1284" s="2" t="s">
        <v>262</v>
      </c>
      <c r="Q1284" s="2" t="s">
        <v>234</v>
      </c>
      <c r="R1284" s="2" t="s">
        <v>235</v>
      </c>
      <c r="S1284" s="2" t="s">
        <v>235</v>
      </c>
      <c r="T1284" s="2" t="s">
        <v>879</v>
      </c>
      <c r="U1284" s="2" t="s">
        <v>552</v>
      </c>
      <c r="V1284" s="2" t="s">
        <v>1843</v>
      </c>
      <c r="W1284" s="2" t="s">
        <v>882</v>
      </c>
      <c r="X1284" s="2" t="s">
        <v>881</v>
      </c>
      <c r="Y1284" s="2" t="s">
        <v>235</v>
      </c>
      <c r="Z1284" s="4"/>
      <c r="AA1284" s="4">
        <f>=ROUNDDOWN({0},0)</f>
      </c>
      <c r="AB1284" s="5"/>
      <c r="AC1284" s="2" t="s">
        <v>184</v>
      </c>
      <c r="AD1284" s="4">
        <v>740</v>
      </c>
      <c r="AE1284" s="4">
        <v>740</v>
      </c>
      <c r="AF1284" s="6">
        <v>82</v>
      </c>
      <c r="AG1284" s="6"/>
      <c r="AH1284" s="7"/>
      <c r="AI1284" s="4"/>
      <c r="AJ1284" s="4">
        <f>=ROUNDDOWN({0},0)</f>
      </c>
      <c r="AK1284" s="5"/>
      <c r="AL1284" s="2" t="s">
        <v>235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235</v>
      </c>
      <c r="AW1284" s="8" t="s">
        <v>235</v>
      </c>
      <c r="AX1284" s="4" t="s">
        <v>235</v>
      </c>
      <c r="AY1284" s="8" t="s">
        <v>235</v>
      </c>
      <c r="AZ1284" s="7" t="s">
        <v>235</v>
      </c>
      <c r="BA1284" s="7" t="s">
        <v>235</v>
      </c>
      <c r="BB1284" s="7"/>
      <c r="BC1284" s="4" t="s">
        <v>235</v>
      </c>
      <c r="BD1284" s="8" t="s">
        <v>235</v>
      </c>
      <c r="BE1284" s="4" t="s">
        <v>235</v>
      </c>
      <c r="BF1284" s="8" t="s">
        <v>235</v>
      </c>
      <c r="BG1284" s="7" t="s">
        <v>235</v>
      </c>
      <c r="BH1284" s="7" t="s">
        <v>235</v>
      </c>
      <c r="BI1284" s="7"/>
      <c r="BJ1284" s="4"/>
      <c r="BK1284" s="8"/>
      <c r="BL1284" s="2" t="s">
        <v>235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330</v>
      </c>
      <c r="BV1284" s="2" t="s">
        <v>235</v>
      </c>
      <c r="BW1284" s="2" t="s">
        <v>235</v>
      </c>
      <c r="BX1284" s="2" t="s">
        <v>330</v>
      </c>
      <c r="BY1284" s="2" t="s">
        <v>331</v>
      </c>
      <c r="BZ1284" s="2" t="s">
        <v>232</v>
      </c>
      <c r="CA1284" s="2" t="s">
        <v>235</v>
      </c>
      <c r="CB1284" s="2" t="s">
        <v>235</v>
      </c>
      <c r="CC1284" s="2" t="s">
        <v>248</v>
      </c>
      <c r="CD1284" s="2" t="s">
        <v>248</v>
      </c>
      <c r="CE1284" s="2" t="s">
        <v>235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>
        <v>740</v>
      </c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>
        <v>740</v>
      </c>
      <c r="GP1284" s="4">
        <v>737</v>
      </c>
      <c r="GQ1284" s="4">
        <v>726</v>
      </c>
      <c r="GR1284" s="4">
        <v>718</v>
      </c>
      <c r="GS1284" s="4">
        <v>709</v>
      </c>
      <c r="GT1284" s="4">
        <v>703</v>
      </c>
      <c r="GU1284" s="4">
        <v>697</v>
      </c>
      <c r="GV1284" s="4">
        <v>687</v>
      </c>
      <c r="GW1284" s="4">
        <v>670</v>
      </c>
      <c r="GX1284" s="4">
        <v>653</v>
      </c>
      <c r="GY1284" s="4">
        <v>636</v>
      </c>
      <c r="GZ1284" s="4">
        <v>619</v>
      </c>
      <c r="HA1284" s="4">
        <v>594</v>
      </c>
      <c r="HB1284" s="4">
        <v>569</v>
      </c>
      <c r="HC1284" s="4">
        <v>539</v>
      </c>
      <c r="HD1284" s="9"/>
      <c r="HE1284" s="9"/>
      <c r="HF1284" s="9"/>
      <c r="HG1284" s="9"/>
      <c r="HH1284" s="9"/>
      <c r="HI1284" s="9"/>
      <c r="HJ1284" s="9"/>
      <c r="HK1284" s="9"/>
      <c r="HL1284" s="9"/>
      <c r="HM1284" s="9"/>
      <c r="HN1284" s="9"/>
      <c r="HO1284" s="19">
        <v>92.5</v>
      </c>
      <c r="HP1284" s="19">
        <v>92.1</v>
      </c>
      <c r="HQ1284" s="19">
        <v>103.7</v>
      </c>
      <c r="HR1284" s="19">
        <v>89.8</v>
      </c>
      <c r="HS1284" s="19">
        <v>70.9</v>
      </c>
      <c r="HT1284" s="19">
        <v>58.6</v>
      </c>
      <c r="HU1284" s="19">
        <v>46.5</v>
      </c>
      <c r="HV1284" s="19">
        <v>40.4</v>
      </c>
      <c r="HW1284" s="19">
        <v>35.3</v>
      </c>
      <c r="HX1284" s="19">
        <v>31.1</v>
      </c>
      <c r="HY1284" s="19">
        <v>26.5</v>
      </c>
      <c r="HZ1284" s="19">
        <v>22.9</v>
      </c>
      <c r="IA1284" s="19">
        <v>22</v>
      </c>
      <c r="IB1284" s="19">
        <v>20.3</v>
      </c>
      <c r="IC1284" s="19">
        <v>20</v>
      </c>
    </row>
    <row r="1285">
      <c r="A1285" s="2" t="s">
        <v>5080</v>
      </c>
      <c r="B1285" s="2" t="s">
        <v>871</v>
      </c>
      <c r="C1285" s="2" t="s">
        <v>324</v>
      </c>
      <c r="D1285" s="2" t="s">
        <v>1452</v>
      </c>
      <c r="E1285" s="2" t="s">
        <v>1453</v>
      </c>
      <c r="F1285" s="2" t="s">
        <v>5076</v>
      </c>
      <c r="G1285" s="2" t="s">
        <v>5077</v>
      </c>
      <c r="H1285" s="2" t="s">
        <v>5078</v>
      </c>
      <c r="I1285" s="2" t="s">
        <v>5079</v>
      </c>
      <c r="J1285" s="2" t="s">
        <v>372</v>
      </c>
      <c r="K1285" s="2" t="s">
        <v>231</v>
      </c>
      <c r="L1285" s="3">
        <v>38.09</v>
      </c>
      <c r="M1285" s="3">
        <v>40</v>
      </c>
      <c r="N1285" s="3">
        <v>79.99</v>
      </c>
      <c r="O1285" s="2" t="s">
        <v>232</v>
      </c>
      <c r="P1285" s="2" t="s">
        <v>262</v>
      </c>
      <c r="Q1285" s="2" t="s">
        <v>234</v>
      </c>
      <c r="R1285" s="2" t="s">
        <v>235</v>
      </c>
      <c r="S1285" s="2" t="s">
        <v>235</v>
      </c>
      <c r="T1285" s="2" t="s">
        <v>879</v>
      </c>
      <c r="U1285" s="2" t="s">
        <v>552</v>
      </c>
      <c r="V1285" s="2" t="s">
        <v>1843</v>
      </c>
      <c r="W1285" s="2" t="s">
        <v>882</v>
      </c>
      <c r="X1285" s="2" t="s">
        <v>881</v>
      </c>
      <c r="Y1285" s="2" t="s">
        <v>235</v>
      </c>
      <c r="Z1285" s="4"/>
      <c r="AA1285" s="4">
        <f>=ROUNDDOWN({0},0)</f>
      </c>
      <c r="AB1285" s="5"/>
      <c r="AC1285" s="2" t="s">
        <v>184</v>
      </c>
      <c r="AD1285" s="4">
        <v>560</v>
      </c>
      <c r="AE1285" s="4">
        <v>560</v>
      </c>
      <c r="AF1285" s="6">
        <v>82</v>
      </c>
      <c r="AG1285" s="6"/>
      <c r="AH1285" s="7"/>
      <c r="AI1285" s="4"/>
      <c r="AJ1285" s="4">
        <f>=ROUNDDOWN({0},0)</f>
      </c>
      <c r="AK1285" s="5"/>
      <c r="AL1285" s="2" t="s">
        <v>235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235</v>
      </c>
      <c r="AW1285" s="8" t="s">
        <v>235</v>
      </c>
      <c r="AX1285" s="4" t="s">
        <v>235</v>
      </c>
      <c r="AY1285" s="8" t="s">
        <v>235</v>
      </c>
      <c r="AZ1285" s="7" t="s">
        <v>235</v>
      </c>
      <c r="BA1285" s="7" t="s">
        <v>235</v>
      </c>
      <c r="BB1285" s="7"/>
      <c r="BC1285" s="4" t="s">
        <v>235</v>
      </c>
      <c r="BD1285" s="8" t="s">
        <v>235</v>
      </c>
      <c r="BE1285" s="4" t="s">
        <v>235</v>
      </c>
      <c r="BF1285" s="8" t="s">
        <v>235</v>
      </c>
      <c r="BG1285" s="7" t="s">
        <v>235</v>
      </c>
      <c r="BH1285" s="7" t="s">
        <v>235</v>
      </c>
      <c r="BI1285" s="7"/>
      <c r="BJ1285" s="4"/>
      <c r="BK1285" s="8"/>
      <c r="BL1285" s="2" t="s">
        <v>235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330</v>
      </c>
      <c r="BV1285" s="2" t="s">
        <v>235</v>
      </c>
      <c r="BW1285" s="2" t="s">
        <v>235</v>
      </c>
      <c r="BX1285" s="2" t="s">
        <v>330</v>
      </c>
      <c r="BY1285" s="2" t="s">
        <v>331</v>
      </c>
      <c r="BZ1285" s="2" t="s">
        <v>232</v>
      </c>
      <c r="CA1285" s="2" t="s">
        <v>235</v>
      </c>
      <c r="CB1285" s="2" t="s">
        <v>235</v>
      </c>
      <c r="CC1285" s="2" t="s">
        <v>248</v>
      </c>
      <c r="CD1285" s="2" t="s">
        <v>248</v>
      </c>
      <c r="CE1285" s="2" t="s">
        <v>235</v>
      </c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>
        <v>560</v>
      </c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>
        <v>560</v>
      </c>
      <c r="GP1285" s="4">
        <v>558</v>
      </c>
      <c r="GQ1285" s="4">
        <v>551</v>
      </c>
      <c r="GR1285" s="4">
        <v>546</v>
      </c>
      <c r="GS1285" s="4">
        <v>539</v>
      </c>
      <c r="GT1285" s="4">
        <v>535</v>
      </c>
      <c r="GU1285" s="4">
        <v>531</v>
      </c>
      <c r="GV1285" s="4">
        <v>523</v>
      </c>
      <c r="GW1285" s="4">
        <v>510</v>
      </c>
      <c r="GX1285" s="4">
        <v>497</v>
      </c>
      <c r="GY1285" s="4">
        <v>484</v>
      </c>
      <c r="GZ1285" s="4">
        <v>471</v>
      </c>
      <c r="HA1285" s="4">
        <v>452</v>
      </c>
      <c r="HB1285" s="4">
        <v>433</v>
      </c>
      <c r="HC1285" s="4">
        <v>411</v>
      </c>
      <c r="HD1285" s="9"/>
      <c r="HE1285" s="9"/>
      <c r="HF1285" s="9"/>
      <c r="HG1285" s="9"/>
      <c r="HH1285" s="9"/>
      <c r="HI1285" s="9"/>
      <c r="HJ1285" s="9"/>
      <c r="HK1285" s="9"/>
      <c r="HL1285" s="9"/>
      <c r="HM1285" s="9"/>
      <c r="HN1285" s="9"/>
      <c r="HO1285" s="19">
        <v>112</v>
      </c>
      <c r="HP1285" s="19">
        <v>93</v>
      </c>
      <c r="HQ1285" s="19">
        <v>110.2</v>
      </c>
      <c r="HR1285" s="19">
        <v>91</v>
      </c>
      <c r="HS1285" s="19">
        <v>77</v>
      </c>
      <c r="HT1285" s="19">
        <v>53.5</v>
      </c>
      <c r="HU1285" s="19">
        <v>44.3</v>
      </c>
      <c r="HV1285" s="19">
        <v>40.2</v>
      </c>
      <c r="HW1285" s="19">
        <v>36.4</v>
      </c>
      <c r="HX1285" s="19">
        <v>31.1</v>
      </c>
      <c r="HY1285" s="19">
        <v>26.9</v>
      </c>
      <c r="HZ1285" s="19">
        <v>23.6</v>
      </c>
      <c r="IA1285" s="19">
        <v>22.6</v>
      </c>
      <c r="IB1285" s="19">
        <v>21.7</v>
      </c>
      <c r="IC1285" s="19">
        <v>20.6</v>
      </c>
    </row>
    <row r="1286">
      <c r="A1286" s="2" t="s">
        <v>5081</v>
      </c>
      <c r="B1286" s="2" t="s">
        <v>871</v>
      </c>
      <c r="C1286" s="2" t="s">
        <v>324</v>
      </c>
      <c r="D1286" s="2" t="s">
        <v>1452</v>
      </c>
      <c r="E1286" s="2" t="s">
        <v>1453</v>
      </c>
      <c r="F1286" s="2" t="s">
        <v>5076</v>
      </c>
      <c r="G1286" s="2" t="s">
        <v>5077</v>
      </c>
      <c r="H1286" s="2" t="s">
        <v>5078</v>
      </c>
      <c r="I1286" s="2" t="s">
        <v>5079</v>
      </c>
      <c r="J1286" s="2" t="s">
        <v>261</v>
      </c>
      <c r="K1286" s="2" t="s">
        <v>1172</v>
      </c>
      <c r="L1286" s="3">
        <v>33.33</v>
      </c>
      <c r="M1286" s="3">
        <v>35</v>
      </c>
      <c r="N1286" s="3">
        <v>69.99</v>
      </c>
      <c r="O1286" s="2" t="s">
        <v>232</v>
      </c>
      <c r="P1286" s="2" t="s">
        <v>262</v>
      </c>
      <c r="Q1286" s="2" t="s">
        <v>234</v>
      </c>
      <c r="R1286" s="2" t="s">
        <v>235</v>
      </c>
      <c r="S1286" s="2" t="s">
        <v>235</v>
      </c>
      <c r="T1286" s="2" t="s">
        <v>879</v>
      </c>
      <c r="U1286" s="2" t="s">
        <v>552</v>
      </c>
      <c r="V1286" s="2" t="s">
        <v>1843</v>
      </c>
      <c r="W1286" s="2" t="s">
        <v>882</v>
      </c>
      <c r="X1286" s="2" t="s">
        <v>881</v>
      </c>
      <c r="Y1286" s="2" t="s">
        <v>235</v>
      </c>
      <c r="Z1286" s="4"/>
      <c r="AA1286" s="4">
        <f>=ROUNDDOWN({0},0)</f>
      </c>
      <c r="AB1286" s="5"/>
      <c r="AC1286" s="2" t="s">
        <v>184</v>
      </c>
      <c r="AD1286" s="4">
        <v>830</v>
      </c>
      <c r="AE1286" s="4">
        <v>830</v>
      </c>
      <c r="AF1286" s="6">
        <v>82</v>
      </c>
      <c r="AG1286" s="6"/>
      <c r="AH1286" s="7"/>
      <c r="AI1286" s="4"/>
      <c r="AJ1286" s="4">
        <f>=ROUNDDOWN({0},0)</f>
      </c>
      <c r="AK1286" s="5"/>
      <c r="AL1286" s="2" t="s">
        <v>235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235</v>
      </c>
      <c r="AW1286" s="8" t="s">
        <v>235</v>
      </c>
      <c r="AX1286" s="4" t="s">
        <v>235</v>
      </c>
      <c r="AY1286" s="8" t="s">
        <v>235</v>
      </c>
      <c r="AZ1286" s="7" t="s">
        <v>235</v>
      </c>
      <c r="BA1286" s="7" t="s">
        <v>235</v>
      </c>
      <c r="BB1286" s="7"/>
      <c r="BC1286" s="4" t="s">
        <v>235</v>
      </c>
      <c r="BD1286" s="8" t="s">
        <v>235</v>
      </c>
      <c r="BE1286" s="4" t="s">
        <v>235</v>
      </c>
      <c r="BF1286" s="8" t="s">
        <v>235</v>
      </c>
      <c r="BG1286" s="7" t="s">
        <v>235</v>
      </c>
      <c r="BH1286" s="7" t="s">
        <v>235</v>
      </c>
      <c r="BI1286" s="7"/>
      <c r="BJ1286" s="4"/>
      <c r="BK1286" s="8"/>
      <c r="BL1286" s="2" t="s">
        <v>235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330</v>
      </c>
      <c r="BV1286" s="2" t="s">
        <v>235</v>
      </c>
      <c r="BW1286" s="2" t="s">
        <v>235</v>
      </c>
      <c r="BX1286" s="2" t="s">
        <v>330</v>
      </c>
      <c r="BY1286" s="2" t="s">
        <v>331</v>
      </c>
      <c r="BZ1286" s="2" t="s">
        <v>232</v>
      </c>
      <c r="CA1286" s="2" t="s">
        <v>235</v>
      </c>
      <c r="CB1286" s="2" t="s">
        <v>235</v>
      </c>
      <c r="CC1286" s="2" t="s">
        <v>248</v>
      </c>
      <c r="CD1286" s="2" t="s">
        <v>248</v>
      </c>
      <c r="CE1286" s="2" t="s">
        <v>235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>
        <v>830</v>
      </c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>
        <v>830</v>
      </c>
      <c r="GP1286" s="4">
        <v>828</v>
      </c>
      <c r="GQ1286" s="4">
        <v>818</v>
      </c>
      <c r="GR1286" s="4">
        <v>811</v>
      </c>
      <c r="GS1286" s="4">
        <v>803</v>
      </c>
      <c r="GT1286" s="4">
        <v>798</v>
      </c>
      <c r="GU1286" s="4">
        <v>792</v>
      </c>
      <c r="GV1286" s="4">
        <v>783</v>
      </c>
      <c r="GW1286" s="4">
        <v>768</v>
      </c>
      <c r="GX1286" s="4">
        <v>753</v>
      </c>
      <c r="GY1286" s="4">
        <v>738</v>
      </c>
      <c r="GZ1286" s="4">
        <v>723</v>
      </c>
      <c r="HA1286" s="4">
        <v>701</v>
      </c>
      <c r="HB1286" s="4">
        <v>679</v>
      </c>
      <c r="HC1286" s="4">
        <v>653</v>
      </c>
      <c r="HD1286" s="9"/>
      <c r="HE1286" s="9"/>
      <c r="HF1286" s="9"/>
      <c r="HG1286" s="9"/>
      <c r="HH1286" s="9"/>
      <c r="HI1286" s="9"/>
      <c r="HJ1286" s="9"/>
      <c r="HK1286" s="9"/>
      <c r="HL1286" s="9"/>
      <c r="HM1286" s="9"/>
      <c r="HN1286" s="9"/>
      <c r="HO1286" s="19">
        <v>118.6</v>
      </c>
      <c r="HP1286" s="19">
        <v>103.5</v>
      </c>
      <c r="HQ1286" s="19">
        <v>136.3</v>
      </c>
      <c r="HR1286" s="19">
        <v>115.9</v>
      </c>
      <c r="HS1286" s="19">
        <v>89.2</v>
      </c>
      <c r="HT1286" s="19">
        <v>72.5</v>
      </c>
      <c r="HU1286" s="19">
        <v>56.6</v>
      </c>
      <c r="HV1286" s="19">
        <v>52.2</v>
      </c>
      <c r="HW1286" s="19">
        <v>45.2</v>
      </c>
      <c r="HX1286" s="19">
        <v>41.8</v>
      </c>
      <c r="HY1286" s="19">
        <v>35.1</v>
      </c>
      <c r="HZ1286" s="19">
        <v>30.1</v>
      </c>
      <c r="IA1286" s="19">
        <v>29.2</v>
      </c>
      <c r="IB1286" s="19">
        <v>28.3</v>
      </c>
      <c r="IC1286" s="19">
        <v>27.2</v>
      </c>
    </row>
    <row r="1287">
      <c r="A1287" s="2" t="s">
        <v>5082</v>
      </c>
      <c r="B1287" s="2" t="s">
        <v>871</v>
      </c>
      <c r="C1287" s="2" t="s">
        <v>324</v>
      </c>
      <c r="D1287" s="2" t="s">
        <v>1452</v>
      </c>
      <c r="E1287" s="2" t="s">
        <v>1453</v>
      </c>
      <c r="F1287" s="2" t="s">
        <v>5076</v>
      </c>
      <c r="G1287" s="2" t="s">
        <v>5077</v>
      </c>
      <c r="H1287" s="2" t="s">
        <v>5078</v>
      </c>
      <c r="I1287" s="2" t="s">
        <v>5079</v>
      </c>
      <c r="J1287" s="2" t="s">
        <v>372</v>
      </c>
      <c r="K1287" s="2" t="s">
        <v>1172</v>
      </c>
      <c r="L1287" s="3">
        <v>38.09</v>
      </c>
      <c r="M1287" s="3">
        <v>40</v>
      </c>
      <c r="N1287" s="3">
        <v>79.99</v>
      </c>
      <c r="O1287" s="2" t="s">
        <v>232</v>
      </c>
      <c r="P1287" s="2" t="s">
        <v>262</v>
      </c>
      <c r="Q1287" s="2" t="s">
        <v>234</v>
      </c>
      <c r="R1287" s="2" t="s">
        <v>235</v>
      </c>
      <c r="S1287" s="2" t="s">
        <v>235</v>
      </c>
      <c r="T1287" s="2" t="s">
        <v>879</v>
      </c>
      <c r="U1287" s="2" t="s">
        <v>552</v>
      </c>
      <c r="V1287" s="2" t="s">
        <v>1843</v>
      </c>
      <c r="W1287" s="2" t="s">
        <v>882</v>
      </c>
      <c r="X1287" s="2" t="s">
        <v>881</v>
      </c>
      <c r="Y1287" s="2" t="s">
        <v>235</v>
      </c>
      <c r="Z1287" s="4"/>
      <c r="AA1287" s="4">
        <f>=ROUNDDOWN({0},0)</f>
      </c>
      <c r="AB1287" s="5"/>
      <c r="AC1287" s="2" t="s">
        <v>184</v>
      </c>
      <c r="AD1287" s="4">
        <v>640</v>
      </c>
      <c r="AE1287" s="4">
        <v>640</v>
      </c>
      <c r="AF1287" s="6">
        <v>82</v>
      </c>
      <c r="AG1287" s="6"/>
      <c r="AH1287" s="7"/>
      <c r="AI1287" s="4"/>
      <c r="AJ1287" s="4">
        <f>=ROUNDDOWN({0},0)</f>
      </c>
      <c r="AK1287" s="5"/>
      <c r="AL1287" s="2" t="s">
        <v>235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235</v>
      </c>
      <c r="AW1287" s="8" t="s">
        <v>235</v>
      </c>
      <c r="AX1287" s="4" t="s">
        <v>235</v>
      </c>
      <c r="AY1287" s="8" t="s">
        <v>235</v>
      </c>
      <c r="AZ1287" s="7" t="s">
        <v>235</v>
      </c>
      <c r="BA1287" s="7" t="s">
        <v>235</v>
      </c>
      <c r="BB1287" s="7"/>
      <c r="BC1287" s="4" t="s">
        <v>235</v>
      </c>
      <c r="BD1287" s="8" t="s">
        <v>235</v>
      </c>
      <c r="BE1287" s="4" t="s">
        <v>235</v>
      </c>
      <c r="BF1287" s="8" t="s">
        <v>235</v>
      </c>
      <c r="BG1287" s="7" t="s">
        <v>235</v>
      </c>
      <c r="BH1287" s="7" t="s">
        <v>235</v>
      </c>
      <c r="BI1287" s="7"/>
      <c r="BJ1287" s="4"/>
      <c r="BK1287" s="8"/>
      <c r="BL1287" s="2" t="s">
        <v>235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330</v>
      </c>
      <c r="BV1287" s="2" t="s">
        <v>235</v>
      </c>
      <c r="BW1287" s="2" t="s">
        <v>235</v>
      </c>
      <c r="BX1287" s="2" t="s">
        <v>330</v>
      </c>
      <c r="BY1287" s="2" t="s">
        <v>331</v>
      </c>
      <c r="BZ1287" s="2" t="s">
        <v>232</v>
      </c>
      <c r="CA1287" s="2" t="s">
        <v>235</v>
      </c>
      <c r="CB1287" s="2" t="s">
        <v>235</v>
      </c>
      <c r="CC1287" s="2" t="s">
        <v>248</v>
      </c>
      <c r="CD1287" s="2" t="s">
        <v>248</v>
      </c>
      <c r="CE1287" s="2" t="s">
        <v>235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>
        <v>640</v>
      </c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>
        <v>640</v>
      </c>
      <c r="GP1287" s="4">
        <v>638</v>
      </c>
      <c r="GQ1287" s="4">
        <v>631</v>
      </c>
      <c r="GR1287" s="4">
        <v>626</v>
      </c>
      <c r="GS1287" s="4">
        <v>620</v>
      </c>
      <c r="GT1287" s="4">
        <v>617</v>
      </c>
      <c r="GU1287" s="4">
        <v>613</v>
      </c>
      <c r="GV1287" s="4">
        <v>606</v>
      </c>
      <c r="GW1287" s="4">
        <v>594</v>
      </c>
      <c r="GX1287" s="4">
        <v>582</v>
      </c>
      <c r="GY1287" s="4">
        <v>570</v>
      </c>
      <c r="GZ1287" s="4">
        <v>558</v>
      </c>
      <c r="HA1287" s="4">
        <v>541</v>
      </c>
      <c r="HB1287" s="4">
        <v>524</v>
      </c>
      <c r="HC1287" s="4">
        <v>504</v>
      </c>
      <c r="HD1287" s="9"/>
      <c r="HE1287" s="9"/>
      <c r="HF1287" s="9"/>
      <c r="HG1287" s="9"/>
      <c r="HH1287" s="9"/>
      <c r="HI1287" s="9"/>
      <c r="HJ1287" s="9"/>
      <c r="HK1287" s="9"/>
      <c r="HL1287" s="9"/>
      <c r="HM1287" s="9"/>
      <c r="HN1287" s="9"/>
      <c r="HO1287" s="19">
        <v>128</v>
      </c>
      <c r="HP1287" s="19">
        <v>127.6</v>
      </c>
      <c r="HQ1287" s="19">
        <v>157.8</v>
      </c>
      <c r="HR1287" s="19">
        <v>125.2</v>
      </c>
      <c r="HS1287" s="19">
        <v>103.3</v>
      </c>
      <c r="HT1287" s="19">
        <v>68.6</v>
      </c>
      <c r="HU1287" s="19">
        <v>55.7</v>
      </c>
      <c r="HV1287" s="19">
        <v>50.5</v>
      </c>
      <c r="HW1287" s="19">
        <v>45.7</v>
      </c>
      <c r="HX1287" s="19">
        <v>41.6</v>
      </c>
      <c r="HY1287" s="19">
        <v>35.6</v>
      </c>
      <c r="HZ1287" s="19">
        <v>31</v>
      </c>
      <c r="IA1287" s="19">
        <v>30.1</v>
      </c>
      <c r="IB1287" s="19">
        <v>29.1</v>
      </c>
      <c r="IC1287" s="19">
        <v>28</v>
      </c>
    </row>
    <row r="1288">
      <c r="A1288" s="2" t="s">
        <v>5083</v>
      </c>
      <c r="B1288" s="2" t="s">
        <v>800</v>
      </c>
      <c r="C1288" s="2" t="s">
        <v>943</v>
      </c>
      <c r="D1288" s="2" t="s">
        <v>960</v>
      </c>
      <c r="E1288" s="2" t="s">
        <v>961</v>
      </c>
      <c r="F1288" s="2" t="s">
        <v>5084</v>
      </c>
      <c r="G1288" s="2" t="s">
        <v>5084</v>
      </c>
      <c r="H1288" s="2" t="s">
        <v>5084</v>
      </c>
      <c r="I1288" s="2" t="s">
        <v>5085</v>
      </c>
      <c r="J1288" s="2" t="s">
        <v>806</v>
      </c>
      <c r="K1288" s="2" t="s">
        <v>4349</v>
      </c>
      <c r="L1288" s="3">
        <v>76.5</v>
      </c>
      <c r="M1288" s="3">
        <v>80.33</v>
      </c>
      <c r="N1288" s="3">
        <v>159.99</v>
      </c>
      <c r="O1288" s="2" t="s">
        <v>407</v>
      </c>
      <c r="P1288" s="2" t="s">
        <v>408</v>
      </c>
      <c r="Q1288" s="2" t="s">
        <v>234</v>
      </c>
      <c r="R1288" s="2" t="s">
        <v>235</v>
      </c>
      <c r="S1288" s="2" t="s">
        <v>235</v>
      </c>
      <c r="T1288" s="2" t="s">
        <v>235</v>
      </c>
      <c r="U1288" s="2" t="s">
        <v>278</v>
      </c>
      <c r="V1288" s="2" t="s">
        <v>808</v>
      </c>
      <c r="W1288" s="2" t="s">
        <v>682</v>
      </c>
      <c r="X1288" s="2" t="s">
        <v>682</v>
      </c>
      <c r="Y1288" s="2" t="s">
        <v>5086</v>
      </c>
      <c r="Z1288" s="4">
        <v>24</v>
      </c>
      <c r="AA1288" s="4">
        <f>=ROUNDDOWN(11.4285714285714,0)</f>
      </c>
      <c r="AB1288" s="5">
        <v>2.1</v>
      </c>
      <c r="AC1288" s="2" t="s">
        <v>235</v>
      </c>
      <c r="AD1288" s="4"/>
      <c r="AE1288" s="4"/>
      <c r="AF1288" s="6">
        <v>63</v>
      </c>
      <c r="AG1288" s="6"/>
      <c r="AH1288" s="7">
        <v>1</v>
      </c>
      <c r="AI1288" s="4"/>
      <c r="AJ1288" s="4">
        <f>=ROUNDDOWN({0},0)</f>
      </c>
      <c r="AK1288" s="5"/>
      <c r="AL1288" s="2" t="s">
        <v>235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>
        <v>5</v>
      </c>
      <c r="BK1288" s="8">
        <v>446.48</v>
      </c>
      <c r="BL1288" s="2" t="s">
        <v>5087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5088</v>
      </c>
      <c r="BV1288" s="2" t="s">
        <v>813</v>
      </c>
      <c r="BW1288" s="2" t="s">
        <v>235</v>
      </c>
      <c r="BX1288" s="2" t="s">
        <v>414</v>
      </c>
      <c r="BY1288" s="2" t="s">
        <v>245</v>
      </c>
      <c r="BZ1288" s="2" t="s">
        <v>232</v>
      </c>
      <c r="CA1288" s="2" t="s">
        <v>5089</v>
      </c>
      <c r="CB1288" s="2" t="s">
        <v>5090</v>
      </c>
      <c r="CC1288" s="2" t="s">
        <v>248</v>
      </c>
      <c r="CD1288" s="2" t="s">
        <v>248</v>
      </c>
      <c r="CE1288" s="2" t="s">
        <v>235</v>
      </c>
      <c r="CF1288" s="4"/>
      <c r="CG1288" s="4">
        <v>24</v>
      </c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>
        <v>24</v>
      </c>
      <c r="GE1288" s="4">
        <v>22</v>
      </c>
      <c r="GF1288" s="4">
        <v>20</v>
      </c>
      <c r="GG1288" s="4">
        <v>18</v>
      </c>
      <c r="GH1288" s="4">
        <v>16</v>
      </c>
      <c r="GI1288" s="4">
        <v>14</v>
      </c>
      <c r="GJ1288" s="4">
        <v>12</v>
      </c>
      <c r="GK1288" s="4">
        <v>10</v>
      </c>
      <c r="GL1288" s="4">
        <v>8</v>
      </c>
      <c r="GM1288" s="4">
        <v>6</v>
      </c>
      <c r="GN1288" s="4">
        <v>4</v>
      </c>
      <c r="GO1288" s="4">
        <v>2</v>
      </c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19">
        <v>12</v>
      </c>
      <c r="HE1288" s="19">
        <v>11</v>
      </c>
      <c r="HF1288" s="19">
        <v>10</v>
      </c>
      <c r="HG1288" s="19">
        <v>9</v>
      </c>
      <c r="HH1288" s="19">
        <v>8</v>
      </c>
      <c r="HI1288" s="19">
        <v>7</v>
      </c>
      <c r="HJ1288" s="19">
        <v>6</v>
      </c>
      <c r="HK1288" s="19">
        <v>5</v>
      </c>
      <c r="HL1288" s="19">
        <v>4</v>
      </c>
      <c r="HM1288" s="19">
        <v>3</v>
      </c>
      <c r="HN1288" s="19">
        <v>2</v>
      </c>
      <c r="HO1288" s="19">
        <v>1</v>
      </c>
      <c r="HP1288" s="20">
        <v>0</v>
      </c>
      <c r="HQ1288" s="20">
        <v>0</v>
      </c>
      <c r="HR1288" s="20">
        <v>0</v>
      </c>
      <c r="HS1288" s="20">
        <v>0</v>
      </c>
      <c r="HT1288" s="20">
        <v>0</v>
      </c>
      <c r="HU1288" s="20">
        <v>0</v>
      </c>
      <c r="HV1288" s="20">
        <v>0</v>
      </c>
      <c r="HW1288" s="20">
        <v>0</v>
      </c>
      <c r="HX1288" s="20">
        <v>0</v>
      </c>
      <c r="HY1288" s="20">
        <v>0</v>
      </c>
      <c r="HZ1288" s="20">
        <v>0</v>
      </c>
      <c r="IA1288" s="20">
        <v>0</v>
      </c>
      <c r="IB1288" s="20">
        <v>0</v>
      </c>
      <c r="IC1288" s="20">
        <v>0</v>
      </c>
    </row>
    <row r="1289">
      <c r="A1289" s="2" t="s">
        <v>5091</v>
      </c>
      <c r="B1289" s="2" t="s">
        <v>905</v>
      </c>
      <c r="C1289" s="2" t="s">
        <v>324</v>
      </c>
      <c r="D1289" s="2" t="s">
        <v>981</v>
      </c>
      <c r="E1289" s="2" t="s">
        <v>982</v>
      </c>
      <c r="F1289" s="2" t="s">
        <v>5092</v>
      </c>
      <c r="G1289" s="2" t="s">
        <v>5092</v>
      </c>
      <c r="H1289" s="2" t="s">
        <v>5092</v>
      </c>
      <c r="I1289" s="2" t="s">
        <v>982</v>
      </c>
      <c r="J1289" s="2" t="s">
        <v>394</v>
      </c>
      <c r="K1289" s="2" t="s">
        <v>612</v>
      </c>
      <c r="L1289" s="3">
        <v>21.15</v>
      </c>
      <c r="M1289" s="3">
        <v>22.21</v>
      </c>
      <c r="N1289" s="3">
        <v>44.99</v>
      </c>
      <c r="O1289" s="2" t="s">
        <v>232</v>
      </c>
      <c r="P1289" s="2" t="s">
        <v>878</v>
      </c>
      <c r="Q1289" s="2" t="s">
        <v>234</v>
      </c>
      <c r="R1289" s="2" t="s">
        <v>235</v>
      </c>
      <c r="S1289" s="2" t="s">
        <v>235</v>
      </c>
      <c r="T1289" s="2" t="s">
        <v>263</v>
      </c>
      <c r="U1289" s="2" t="s">
        <v>807</v>
      </c>
      <c r="V1289" s="2" t="s">
        <v>238</v>
      </c>
      <c r="W1289" s="2" t="s">
        <v>1029</v>
      </c>
      <c r="X1289" s="2" t="s">
        <v>235</v>
      </c>
      <c r="Y1289" s="2" t="s">
        <v>235</v>
      </c>
      <c r="Z1289" s="4"/>
      <c r="AA1289" s="4">
        <f>=ROUNDDOWN({0},0)</f>
      </c>
      <c r="AB1289" s="5"/>
      <c r="AC1289" s="2" t="s">
        <v>5093</v>
      </c>
      <c r="AD1289" s="4">
        <v>130</v>
      </c>
      <c r="AE1289" s="4">
        <v>130</v>
      </c>
      <c r="AF1289" s="6">
        <v>77</v>
      </c>
      <c r="AG1289" s="6"/>
      <c r="AH1289" s="7"/>
      <c r="AI1289" s="4"/>
      <c r="AJ1289" s="4">
        <f>=ROUNDDOWN({0},0)</f>
      </c>
      <c r="AK1289" s="5"/>
      <c r="AL1289" s="2" t="s">
        <v>235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235</v>
      </c>
      <c r="AW1289" s="8" t="s">
        <v>235</v>
      </c>
      <c r="AX1289" s="4" t="s">
        <v>235</v>
      </c>
      <c r="AY1289" s="8" t="s">
        <v>235</v>
      </c>
      <c r="AZ1289" s="7" t="s">
        <v>235</v>
      </c>
      <c r="BA1289" s="7" t="s">
        <v>235</v>
      </c>
      <c r="BB1289" s="7"/>
      <c r="BC1289" s="4" t="s">
        <v>235</v>
      </c>
      <c r="BD1289" s="8" t="s">
        <v>235</v>
      </c>
      <c r="BE1289" s="4" t="s">
        <v>235</v>
      </c>
      <c r="BF1289" s="8" t="s">
        <v>235</v>
      </c>
      <c r="BG1289" s="7" t="s">
        <v>235</v>
      </c>
      <c r="BH1289" s="7" t="s">
        <v>235</v>
      </c>
      <c r="BI1289" s="7"/>
      <c r="BJ1289" s="4"/>
      <c r="BK1289" s="8"/>
      <c r="BL1289" s="2" t="s">
        <v>235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330</v>
      </c>
      <c r="BV1289" s="2" t="s">
        <v>235</v>
      </c>
      <c r="BW1289" s="2" t="s">
        <v>235</v>
      </c>
      <c r="BX1289" s="2" t="s">
        <v>330</v>
      </c>
      <c r="BY1289" s="2" t="s">
        <v>331</v>
      </c>
      <c r="BZ1289" s="2" t="s">
        <v>232</v>
      </c>
      <c r="CA1289" s="2" t="s">
        <v>235</v>
      </c>
      <c r="CB1289" s="2" t="s">
        <v>235</v>
      </c>
      <c r="CC1289" s="2" t="s">
        <v>248</v>
      </c>
      <c r="CD1289" s="2" t="s">
        <v>248</v>
      </c>
      <c r="CE1289" s="2" t="s">
        <v>235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>
        <v>130</v>
      </c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>
        <v>130</v>
      </c>
      <c r="GV1289" s="4">
        <v>122</v>
      </c>
      <c r="GW1289" s="4">
        <v>120</v>
      </c>
      <c r="GX1289" s="4">
        <v>118</v>
      </c>
      <c r="GY1289" s="4">
        <v>116</v>
      </c>
      <c r="GZ1289" s="4">
        <v>114</v>
      </c>
      <c r="HA1289" s="4">
        <v>112</v>
      </c>
      <c r="HB1289" s="4">
        <v>110</v>
      </c>
      <c r="HC1289" s="4">
        <v>106</v>
      </c>
      <c r="HD1289" s="9"/>
      <c r="HE1289" s="9"/>
      <c r="HF1289" s="9"/>
      <c r="HG1289" s="9"/>
      <c r="HH1289" s="9"/>
      <c r="HI1289" s="9"/>
      <c r="HJ1289" s="9"/>
      <c r="HK1289" s="9"/>
      <c r="HL1289" s="9"/>
      <c r="HM1289" s="9"/>
      <c r="HN1289" s="9"/>
      <c r="HO1289" s="9"/>
      <c r="HP1289" s="9"/>
      <c r="HQ1289" s="9"/>
      <c r="HR1289" s="9"/>
      <c r="HS1289" s="9"/>
      <c r="HT1289" s="9"/>
      <c r="HU1289" s="19">
        <v>32.5</v>
      </c>
      <c r="HV1289" s="19">
        <v>61</v>
      </c>
      <c r="HW1289" s="19">
        <v>60</v>
      </c>
      <c r="HX1289" s="19">
        <v>59</v>
      </c>
      <c r="HY1289" s="19">
        <v>58</v>
      </c>
      <c r="HZ1289" s="19">
        <v>38</v>
      </c>
      <c r="IA1289" s="19">
        <v>28</v>
      </c>
      <c r="IB1289" s="19">
        <v>27.5</v>
      </c>
      <c r="IC1289" s="19">
        <v>21.2</v>
      </c>
    </row>
    <row r="1290">
      <c r="A1290" s="2" t="s">
        <v>5094</v>
      </c>
      <c r="B1290" s="2" t="s">
        <v>905</v>
      </c>
      <c r="C1290" s="2" t="s">
        <v>324</v>
      </c>
      <c r="D1290" s="2" t="s">
        <v>981</v>
      </c>
      <c r="E1290" s="2" t="s">
        <v>982</v>
      </c>
      <c r="F1290" s="2" t="s">
        <v>5092</v>
      </c>
      <c r="G1290" s="2" t="s">
        <v>5092</v>
      </c>
      <c r="H1290" s="2" t="s">
        <v>5092</v>
      </c>
      <c r="I1290" s="2" t="s">
        <v>982</v>
      </c>
      <c r="J1290" s="2" t="s">
        <v>365</v>
      </c>
      <c r="K1290" s="2" t="s">
        <v>612</v>
      </c>
      <c r="L1290" s="3">
        <v>26.4</v>
      </c>
      <c r="M1290" s="3">
        <v>27.72</v>
      </c>
      <c r="N1290" s="3">
        <v>54.99</v>
      </c>
      <c r="O1290" s="2" t="s">
        <v>232</v>
      </c>
      <c r="P1290" s="2" t="s">
        <v>878</v>
      </c>
      <c r="Q1290" s="2" t="s">
        <v>234</v>
      </c>
      <c r="R1290" s="2" t="s">
        <v>235</v>
      </c>
      <c r="S1290" s="2" t="s">
        <v>235</v>
      </c>
      <c r="T1290" s="2" t="s">
        <v>263</v>
      </c>
      <c r="U1290" s="2" t="s">
        <v>807</v>
      </c>
      <c r="V1290" s="2" t="s">
        <v>238</v>
      </c>
      <c r="W1290" s="2" t="s">
        <v>1029</v>
      </c>
      <c r="X1290" s="2" t="s">
        <v>235</v>
      </c>
      <c r="Y1290" s="2" t="s">
        <v>235</v>
      </c>
      <c r="Z1290" s="4"/>
      <c r="AA1290" s="4">
        <f>=ROUNDDOWN({0},0)</f>
      </c>
      <c r="AB1290" s="5"/>
      <c r="AC1290" s="2" t="s">
        <v>5093</v>
      </c>
      <c r="AD1290" s="4">
        <v>240</v>
      </c>
      <c r="AE1290" s="4">
        <v>240</v>
      </c>
      <c r="AF1290" s="6">
        <v>77</v>
      </c>
      <c r="AG1290" s="6"/>
      <c r="AH1290" s="7"/>
      <c r="AI1290" s="4"/>
      <c r="AJ1290" s="4">
        <f>=ROUNDDOWN({0},0)</f>
      </c>
      <c r="AK1290" s="5"/>
      <c r="AL1290" s="2" t="s">
        <v>235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235</v>
      </c>
      <c r="AW1290" s="8" t="s">
        <v>235</v>
      </c>
      <c r="AX1290" s="4" t="s">
        <v>235</v>
      </c>
      <c r="AY1290" s="8" t="s">
        <v>235</v>
      </c>
      <c r="AZ1290" s="7" t="s">
        <v>235</v>
      </c>
      <c r="BA1290" s="7" t="s">
        <v>235</v>
      </c>
      <c r="BB1290" s="7"/>
      <c r="BC1290" s="4" t="s">
        <v>235</v>
      </c>
      <c r="BD1290" s="8" t="s">
        <v>235</v>
      </c>
      <c r="BE1290" s="4" t="s">
        <v>235</v>
      </c>
      <c r="BF1290" s="8" t="s">
        <v>235</v>
      </c>
      <c r="BG1290" s="7" t="s">
        <v>235</v>
      </c>
      <c r="BH1290" s="7" t="s">
        <v>235</v>
      </c>
      <c r="BI1290" s="7"/>
      <c r="BJ1290" s="4"/>
      <c r="BK1290" s="8"/>
      <c r="BL1290" s="2" t="s">
        <v>235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330</v>
      </c>
      <c r="BV1290" s="2" t="s">
        <v>235</v>
      </c>
      <c r="BW1290" s="2" t="s">
        <v>235</v>
      </c>
      <c r="BX1290" s="2" t="s">
        <v>330</v>
      </c>
      <c r="BY1290" s="2" t="s">
        <v>331</v>
      </c>
      <c r="BZ1290" s="2" t="s">
        <v>232</v>
      </c>
      <c r="CA1290" s="2" t="s">
        <v>235</v>
      </c>
      <c r="CB1290" s="2" t="s">
        <v>235</v>
      </c>
      <c r="CC1290" s="2" t="s">
        <v>248</v>
      </c>
      <c r="CD1290" s="2" t="s">
        <v>248</v>
      </c>
      <c r="CE1290" s="2" t="s">
        <v>235</v>
      </c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>
        <v>240</v>
      </c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>
        <v>240</v>
      </c>
      <c r="GV1290" s="4">
        <v>231</v>
      </c>
      <c r="GW1290" s="4">
        <v>229</v>
      </c>
      <c r="GX1290" s="4">
        <v>227</v>
      </c>
      <c r="GY1290" s="4">
        <v>225</v>
      </c>
      <c r="GZ1290" s="4">
        <v>223</v>
      </c>
      <c r="HA1290" s="4">
        <v>220</v>
      </c>
      <c r="HB1290" s="4">
        <v>217</v>
      </c>
      <c r="HC1290" s="4">
        <v>212</v>
      </c>
      <c r="HD1290" s="9"/>
      <c r="HE1290" s="9"/>
      <c r="HF1290" s="9"/>
      <c r="HG1290" s="9"/>
      <c r="HH1290" s="9"/>
      <c r="HI1290" s="9"/>
      <c r="HJ1290" s="9"/>
      <c r="HK1290" s="9"/>
      <c r="HL1290" s="9"/>
      <c r="HM1290" s="9"/>
      <c r="HN1290" s="9"/>
      <c r="HO1290" s="9"/>
      <c r="HP1290" s="9"/>
      <c r="HQ1290" s="9"/>
      <c r="HR1290" s="9"/>
      <c r="HS1290" s="9"/>
      <c r="HT1290" s="9"/>
      <c r="HU1290" s="19">
        <v>60</v>
      </c>
      <c r="HV1290" s="19">
        <v>115.5</v>
      </c>
      <c r="HW1290" s="19">
        <v>114.5</v>
      </c>
      <c r="HX1290" s="19">
        <v>113.5</v>
      </c>
      <c r="HY1290" s="19">
        <v>75</v>
      </c>
      <c r="HZ1290" s="19">
        <v>55.8</v>
      </c>
      <c r="IA1290" s="19">
        <v>44</v>
      </c>
      <c r="IB1290" s="19">
        <v>36.2</v>
      </c>
      <c r="IC1290" s="19">
        <v>26.5</v>
      </c>
    </row>
    <row r="1291">
      <c r="A1291" s="2" t="s">
        <v>5095</v>
      </c>
      <c r="B1291" s="2" t="s">
        <v>905</v>
      </c>
      <c r="C1291" s="2" t="s">
        <v>324</v>
      </c>
      <c r="D1291" s="2" t="s">
        <v>981</v>
      </c>
      <c r="E1291" s="2" t="s">
        <v>982</v>
      </c>
      <c r="F1291" s="2" t="s">
        <v>5092</v>
      </c>
      <c r="G1291" s="2" t="s">
        <v>5092</v>
      </c>
      <c r="H1291" s="2" t="s">
        <v>5092</v>
      </c>
      <c r="I1291" s="2" t="s">
        <v>982</v>
      </c>
      <c r="J1291" s="2" t="s">
        <v>270</v>
      </c>
      <c r="K1291" s="2" t="s">
        <v>612</v>
      </c>
      <c r="L1291" s="3">
        <v>31.85</v>
      </c>
      <c r="M1291" s="3">
        <v>33.44</v>
      </c>
      <c r="N1291" s="3">
        <v>64.99</v>
      </c>
      <c r="O1291" s="2" t="s">
        <v>232</v>
      </c>
      <c r="P1291" s="2" t="s">
        <v>878</v>
      </c>
      <c r="Q1291" s="2" t="s">
        <v>234</v>
      </c>
      <c r="R1291" s="2" t="s">
        <v>235</v>
      </c>
      <c r="S1291" s="2" t="s">
        <v>235</v>
      </c>
      <c r="T1291" s="2" t="s">
        <v>263</v>
      </c>
      <c r="U1291" s="2" t="s">
        <v>807</v>
      </c>
      <c r="V1291" s="2" t="s">
        <v>238</v>
      </c>
      <c r="W1291" s="2" t="s">
        <v>1029</v>
      </c>
      <c r="X1291" s="2" t="s">
        <v>235</v>
      </c>
      <c r="Y1291" s="2" t="s">
        <v>235</v>
      </c>
      <c r="Z1291" s="4"/>
      <c r="AA1291" s="4">
        <f>=ROUNDDOWN({0},0)</f>
      </c>
      <c r="AB1291" s="5"/>
      <c r="AC1291" s="2" t="s">
        <v>5093</v>
      </c>
      <c r="AD1291" s="4">
        <v>170</v>
      </c>
      <c r="AE1291" s="4">
        <v>170</v>
      </c>
      <c r="AF1291" s="6">
        <v>77</v>
      </c>
      <c r="AG1291" s="6"/>
      <c r="AH1291" s="7"/>
      <c r="AI1291" s="4"/>
      <c r="AJ1291" s="4">
        <f>=ROUNDDOWN({0},0)</f>
      </c>
      <c r="AK1291" s="5"/>
      <c r="AL1291" s="2" t="s">
        <v>235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235</v>
      </c>
      <c r="AW1291" s="8" t="s">
        <v>235</v>
      </c>
      <c r="AX1291" s="4" t="s">
        <v>235</v>
      </c>
      <c r="AY1291" s="8" t="s">
        <v>235</v>
      </c>
      <c r="AZ1291" s="7" t="s">
        <v>235</v>
      </c>
      <c r="BA1291" s="7" t="s">
        <v>235</v>
      </c>
      <c r="BB1291" s="7"/>
      <c r="BC1291" s="4" t="s">
        <v>235</v>
      </c>
      <c r="BD1291" s="8" t="s">
        <v>235</v>
      </c>
      <c r="BE1291" s="4" t="s">
        <v>235</v>
      </c>
      <c r="BF1291" s="8" t="s">
        <v>235</v>
      </c>
      <c r="BG1291" s="7" t="s">
        <v>235</v>
      </c>
      <c r="BH1291" s="7" t="s">
        <v>235</v>
      </c>
      <c r="BI1291" s="7"/>
      <c r="BJ1291" s="4"/>
      <c r="BK1291" s="8"/>
      <c r="BL1291" s="2" t="s">
        <v>235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330</v>
      </c>
      <c r="BV1291" s="2" t="s">
        <v>235</v>
      </c>
      <c r="BW1291" s="2" t="s">
        <v>235</v>
      </c>
      <c r="BX1291" s="2" t="s">
        <v>330</v>
      </c>
      <c r="BY1291" s="2" t="s">
        <v>331</v>
      </c>
      <c r="BZ1291" s="2" t="s">
        <v>232</v>
      </c>
      <c r="CA1291" s="2" t="s">
        <v>235</v>
      </c>
      <c r="CB1291" s="2" t="s">
        <v>235</v>
      </c>
      <c r="CC1291" s="2" t="s">
        <v>248</v>
      </c>
      <c r="CD1291" s="2" t="s">
        <v>248</v>
      </c>
      <c r="CE1291" s="2" t="s">
        <v>235</v>
      </c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>
        <v>170</v>
      </c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>
        <v>170</v>
      </c>
      <c r="GV1291" s="4">
        <v>162</v>
      </c>
      <c r="GW1291" s="4">
        <v>160</v>
      </c>
      <c r="GX1291" s="4">
        <v>158</v>
      </c>
      <c r="GY1291" s="4">
        <v>156</v>
      </c>
      <c r="GZ1291" s="4">
        <v>154</v>
      </c>
      <c r="HA1291" s="4">
        <v>152</v>
      </c>
      <c r="HB1291" s="4">
        <v>150</v>
      </c>
      <c r="HC1291" s="4">
        <v>146</v>
      </c>
      <c r="HD1291" s="9"/>
      <c r="HE1291" s="9"/>
      <c r="HF1291" s="9"/>
      <c r="HG1291" s="9"/>
      <c r="HH1291" s="9"/>
      <c r="HI1291" s="9"/>
      <c r="HJ1291" s="9"/>
      <c r="HK1291" s="9"/>
      <c r="HL1291" s="9"/>
      <c r="HM1291" s="9"/>
      <c r="HN1291" s="9"/>
      <c r="HO1291" s="9"/>
      <c r="HP1291" s="9"/>
      <c r="HQ1291" s="9"/>
      <c r="HR1291" s="9"/>
      <c r="HS1291" s="9"/>
      <c r="HT1291" s="9"/>
      <c r="HU1291" s="19">
        <v>42.5</v>
      </c>
      <c r="HV1291" s="19">
        <v>81</v>
      </c>
      <c r="HW1291" s="19">
        <v>80</v>
      </c>
      <c r="HX1291" s="19">
        <v>79</v>
      </c>
      <c r="HY1291" s="19">
        <v>78</v>
      </c>
      <c r="HZ1291" s="19">
        <v>51.3</v>
      </c>
      <c r="IA1291" s="19">
        <v>38</v>
      </c>
      <c r="IB1291" s="19">
        <v>25</v>
      </c>
      <c r="IC1291" s="19">
        <v>20.9</v>
      </c>
    </row>
    <row r="1292">
      <c r="A1292" s="2" t="s">
        <v>5096</v>
      </c>
      <c r="B1292" s="2" t="s">
        <v>905</v>
      </c>
      <c r="C1292" s="2" t="s">
        <v>324</v>
      </c>
      <c r="D1292" s="2" t="s">
        <v>981</v>
      </c>
      <c r="E1292" s="2" t="s">
        <v>982</v>
      </c>
      <c r="F1292" s="2" t="s">
        <v>5092</v>
      </c>
      <c r="G1292" s="2" t="s">
        <v>5092</v>
      </c>
      <c r="H1292" s="2" t="s">
        <v>5092</v>
      </c>
      <c r="I1292" s="2" t="s">
        <v>982</v>
      </c>
      <c r="J1292" s="2" t="s">
        <v>394</v>
      </c>
      <c r="K1292" s="2" t="s">
        <v>295</v>
      </c>
      <c r="L1292" s="3">
        <v>21.15</v>
      </c>
      <c r="M1292" s="3">
        <v>22.21</v>
      </c>
      <c r="N1292" s="3">
        <v>44.99</v>
      </c>
      <c r="O1292" s="2" t="s">
        <v>232</v>
      </c>
      <c r="P1292" s="2" t="s">
        <v>233</v>
      </c>
      <c r="Q1292" s="2" t="s">
        <v>234</v>
      </c>
      <c r="R1292" s="2" t="s">
        <v>235</v>
      </c>
      <c r="S1292" s="2" t="s">
        <v>5097</v>
      </c>
      <c r="T1292" s="2" t="s">
        <v>263</v>
      </c>
      <c r="U1292" s="2" t="s">
        <v>235</v>
      </c>
      <c r="V1292" s="2" t="s">
        <v>238</v>
      </c>
      <c r="W1292" s="2" t="s">
        <v>239</v>
      </c>
      <c r="X1292" s="2" t="s">
        <v>235</v>
      </c>
      <c r="Y1292" s="2" t="s">
        <v>240</v>
      </c>
      <c r="Z1292" s="4">
        <v>733</v>
      </c>
      <c r="AA1292" s="4">
        <f>=ROUNDDOWN(91.625,0)</f>
      </c>
      <c r="AB1292" s="5">
        <v>8</v>
      </c>
      <c r="AC1292" s="2" t="s">
        <v>235</v>
      </c>
      <c r="AD1292" s="4"/>
      <c r="AE1292" s="4"/>
      <c r="AF1292" s="6">
        <v>77</v>
      </c>
      <c r="AG1292" s="6"/>
      <c r="AH1292" s="7">
        <v>1</v>
      </c>
      <c r="AI1292" s="4"/>
      <c r="AJ1292" s="4">
        <f>=ROUNDDOWN({0},0)</f>
      </c>
      <c r="AK1292" s="5"/>
      <c r="AL1292" s="2" t="s">
        <v>235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 t="s">
        <v>235</v>
      </c>
      <c r="BD1292" s="8" t="s">
        <v>235</v>
      </c>
      <c r="BE1292" s="4" t="s">
        <v>235</v>
      </c>
      <c r="BF1292" s="8" t="s">
        <v>235</v>
      </c>
      <c r="BG1292" s="7" t="s">
        <v>235</v>
      </c>
      <c r="BH1292" s="7" t="s">
        <v>235</v>
      </c>
      <c r="BI1292" s="7"/>
      <c r="BJ1292" s="4">
        <v>25</v>
      </c>
      <c r="BK1292" s="8">
        <v>523.7</v>
      </c>
      <c r="BL1292" s="2" t="s">
        <v>5098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5099</v>
      </c>
      <c r="BV1292" s="2" t="s">
        <v>243</v>
      </c>
      <c r="BW1292" s="2" t="s">
        <v>235</v>
      </c>
      <c r="BX1292" s="2" t="s">
        <v>685</v>
      </c>
      <c r="BY1292" s="2" t="s">
        <v>245</v>
      </c>
      <c r="BZ1292" s="2" t="s">
        <v>232</v>
      </c>
      <c r="CA1292" s="2" t="s">
        <v>252</v>
      </c>
      <c r="CB1292" s="2" t="s">
        <v>5100</v>
      </c>
      <c r="CC1292" s="2" t="s">
        <v>248</v>
      </c>
      <c r="CD1292" s="2" t="s">
        <v>248</v>
      </c>
      <c r="CE1292" s="2" t="s">
        <v>235</v>
      </c>
      <c r="CF1292" s="4">
        <v>733</v>
      </c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>
        <v>734</v>
      </c>
      <c r="GE1292" s="4">
        <v>705</v>
      </c>
      <c r="GF1292" s="4">
        <v>698</v>
      </c>
      <c r="GG1292" s="4">
        <v>691</v>
      </c>
      <c r="GH1292" s="4">
        <v>684</v>
      </c>
      <c r="GI1292" s="4">
        <v>677</v>
      </c>
      <c r="GJ1292" s="4">
        <v>668</v>
      </c>
      <c r="GK1292" s="4">
        <v>660</v>
      </c>
      <c r="GL1292" s="4">
        <v>651</v>
      </c>
      <c r="GM1292" s="4">
        <v>643</v>
      </c>
      <c r="GN1292" s="4">
        <v>634</v>
      </c>
      <c r="GO1292" s="4">
        <v>621</v>
      </c>
      <c r="GP1292" s="4">
        <v>609</v>
      </c>
      <c r="GQ1292" s="4">
        <v>590</v>
      </c>
      <c r="GR1292" s="4">
        <v>580</v>
      </c>
      <c r="GS1292" s="4">
        <v>569</v>
      </c>
      <c r="GT1292" s="4">
        <v>564</v>
      </c>
      <c r="GU1292" s="4">
        <v>560</v>
      </c>
      <c r="GV1292" s="4">
        <v>553</v>
      </c>
      <c r="GW1292" s="4">
        <v>547</v>
      </c>
      <c r="GX1292" s="4">
        <v>541</v>
      </c>
      <c r="GY1292" s="4">
        <v>535</v>
      </c>
      <c r="GZ1292" s="4">
        <v>529</v>
      </c>
      <c r="HA1292" s="4">
        <v>522</v>
      </c>
      <c r="HB1292" s="4">
        <v>515</v>
      </c>
      <c r="HC1292" s="4">
        <v>508</v>
      </c>
      <c r="HD1292" s="19">
        <v>61.2</v>
      </c>
      <c r="HE1292" s="19">
        <v>100.7</v>
      </c>
      <c r="HF1292" s="19">
        <v>87.3</v>
      </c>
      <c r="HG1292" s="19">
        <v>86.4</v>
      </c>
      <c r="HH1292" s="19">
        <v>85.5</v>
      </c>
      <c r="HI1292" s="19">
        <v>84.6</v>
      </c>
      <c r="HJ1292" s="19">
        <v>83.5</v>
      </c>
      <c r="HK1292" s="19">
        <v>66</v>
      </c>
      <c r="HL1292" s="19">
        <v>65.1</v>
      </c>
      <c r="HM1292" s="19">
        <v>49.5</v>
      </c>
      <c r="HN1292" s="19">
        <v>45.3</v>
      </c>
      <c r="HO1292" s="19">
        <v>47.8</v>
      </c>
      <c r="HP1292" s="19">
        <v>55.4</v>
      </c>
      <c r="HQ1292" s="19">
        <v>73.8</v>
      </c>
      <c r="HR1292" s="19">
        <v>82.9</v>
      </c>
      <c r="HS1292" s="19">
        <v>94.8</v>
      </c>
      <c r="HT1292" s="19">
        <v>94</v>
      </c>
      <c r="HU1292" s="19">
        <v>93.3</v>
      </c>
      <c r="HV1292" s="19">
        <v>92.2</v>
      </c>
      <c r="HW1292" s="19">
        <v>91.2</v>
      </c>
      <c r="HX1292" s="19">
        <v>90.2</v>
      </c>
      <c r="HY1292" s="19">
        <v>76.4</v>
      </c>
      <c r="HZ1292" s="19">
        <v>75.6</v>
      </c>
      <c r="IA1292" s="19">
        <v>65.3</v>
      </c>
      <c r="IB1292" s="19">
        <v>64.4</v>
      </c>
      <c r="IC1292" s="19">
        <v>56.4</v>
      </c>
    </row>
    <row r="1293">
      <c r="A1293" s="2" t="s">
        <v>5101</v>
      </c>
      <c r="B1293" s="2" t="s">
        <v>905</v>
      </c>
      <c r="C1293" s="2" t="s">
        <v>324</v>
      </c>
      <c r="D1293" s="2" t="s">
        <v>981</v>
      </c>
      <c r="E1293" s="2" t="s">
        <v>982</v>
      </c>
      <c r="F1293" s="2" t="s">
        <v>5092</v>
      </c>
      <c r="G1293" s="2" t="s">
        <v>5092</v>
      </c>
      <c r="H1293" s="2" t="s">
        <v>5092</v>
      </c>
      <c r="I1293" s="2" t="s">
        <v>982</v>
      </c>
      <c r="J1293" s="2" t="s">
        <v>394</v>
      </c>
      <c r="K1293" s="2" t="s">
        <v>793</v>
      </c>
      <c r="L1293" s="3">
        <v>21.15</v>
      </c>
      <c r="M1293" s="3">
        <v>22.21</v>
      </c>
      <c r="N1293" s="3">
        <v>44.99</v>
      </c>
      <c r="O1293" s="2" t="s">
        <v>232</v>
      </c>
      <c r="P1293" s="2" t="s">
        <v>878</v>
      </c>
      <c r="Q1293" s="2" t="s">
        <v>234</v>
      </c>
      <c r="R1293" s="2" t="s">
        <v>235</v>
      </c>
      <c r="S1293" s="2" t="s">
        <v>235</v>
      </c>
      <c r="T1293" s="2" t="s">
        <v>263</v>
      </c>
      <c r="U1293" s="2" t="s">
        <v>807</v>
      </c>
      <c r="V1293" s="2" t="s">
        <v>238</v>
      </c>
      <c r="W1293" s="2" t="s">
        <v>1029</v>
      </c>
      <c r="X1293" s="2" t="s">
        <v>235</v>
      </c>
      <c r="Y1293" s="2" t="s">
        <v>235</v>
      </c>
      <c r="Z1293" s="4"/>
      <c r="AA1293" s="4">
        <f>=ROUNDDOWN({0},0)</f>
      </c>
      <c r="AB1293" s="5"/>
      <c r="AC1293" s="2" t="s">
        <v>5093</v>
      </c>
      <c r="AD1293" s="4">
        <v>130</v>
      </c>
      <c r="AE1293" s="4">
        <v>130</v>
      </c>
      <c r="AF1293" s="6">
        <v>77</v>
      </c>
      <c r="AG1293" s="6"/>
      <c r="AH1293" s="7"/>
      <c r="AI1293" s="4"/>
      <c r="AJ1293" s="4">
        <f>=ROUNDDOWN({0},0)</f>
      </c>
      <c r="AK1293" s="5"/>
      <c r="AL1293" s="2" t="s">
        <v>235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235</v>
      </c>
      <c r="AW1293" s="8" t="s">
        <v>235</v>
      </c>
      <c r="AX1293" s="4" t="s">
        <v>235</v>
      </c>
      <c r="AY1293" s="8" t="s">
        <v>235</v>
      </c>
      <c r="AZ1293" s="7" t="s">
        <v>235</v>
      </c>
      <c r="BA1293" s="7" t="s">
        <v>235</v>
      </c>
      <c r="BB1293" s="7"/>
      <c r="BC1293" s="4" t="s">
        <v>235</v>
      </c>
      <c r="BD1293" s="8" t="s">
        <v>235</v>
      </c>
      <c r="BE1293" s="4" t="s">
        <v>235</v>
      </c>
      <c r="BF1293" s="8" t="s">
        <v>235</v>
      </c>
      <c r="BG1293" s="7" t="s">
        <v>235</v>
      </c>
      <c r="BH1293" s="7" t="s">
        <v>235</v>
      </c>
      <c r="BI1293" s="7"/>
      <c r="BJ1293" s="4"/>
      <c r="BK1293" s="8"/>
      <c r="BL1293" s="2" t="s">
        <v>235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330</v>
      </c>
      <c r="BV1293" s="2" t="s">
        <v>235</v>
      </c>
      <c r="BW1293" s="2" t="s">
        <v>235</v>
      </c>
      <c r="BX1293" s="2" t="s">
        <v>330</v>
      </c>
      <c r="BY1293" s="2" t="s">
        <v>331</v>
      </c>
      <c r="BZ1293" s="2" t="s">
        <v>232</v>
      </c>
      <c r="CA1293" s="2" t="s">
        <v>235</v>
      </c>
      <c r="CB1293" s="2" t="s">
        <v>235</v>
      </c>
      <c r="CC1293" s="2" t="s">
        <v>248</v>
      </c>
      <c r="CD1293" s="2" t="s">
        <v>248</v>
      </c>
      <c r="CE1293" s="2" t="s">
        <v>235</v>
      </c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>
        <v>130</v>
      </c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>
        <v>130</v>
      </c>
      <c r="GV1293" s="4">
        <v>122</v>
      </c>
      <c r="GW1293" s="4">
        <v>120</v>
      </c>
      <c r="GX1293" s="4">
        <v>118</v>
      </c>
      <c r="GY1293" s="4">
        <v>116</v>
      </c>
      <c r="GZ1293" s="4">
        <v>114</v>
      </c>
      <c r="HA1293" s="4">
        <v>112</v>
      </c>
      <c r="HB1293" s="4">
        <v>110</v>
      </c>
      <c r="HC1293" s="4">
        <v>106</v>
      </c>
      <c r="HD1293" s="9"/>
      <c r="HE1293" s="9"/>
      <c r="HF1293" s="9"/>
      <c r="HG1293" s="9"/>
      <c r="HH1293" s="9"/>
      <c r="HI1293" s="9"/>
      <c r="HJ1293" s="9"/>
      <c r="HK1293" s="9"/>
      <c r="HL1293" s="9"/>
      <c r="HM1293" s="9"/>
      <c r="HN1293" s="9"/>
      <c r="HO1293" s="9"/>
      <c r="HP1293" s="9"/>
      <c r="HQ1293" s="9"/>
      <c r="HR1293" s="9"/>
      <c r="HS1293" s="9"/>
      <c r="HT1293" s="9"/>
      <c r="HU1293" s="19">
        <v>32.5</v>
      </c>
      <c r="HV1293" s="19">
        <v>61</v>
      </c>
      <c r="HW1293" s="19">
        <v>60</v>
      </c>
      <c r="HX1293" s="19">
        <v>59</v>
      </c>
      <c r="HY1293" s="19">
        <v>58</v>
      </c>
      <c r="HZ1293" s="19">
        <v>38</v>
      </c>
      <c r="IA1293" s="19">
        <v>28</v>
      </c>
      <c r="IB1293" s="19">
        <v>27.5</v>
      </c>
      <c r="IC1293" s="19">
        <v>21.2</v>
      </c>
    </row>
    <row r="1294">
      <c r="A1294" s="2" t="s">
        <v>5102</v>
      </c>
      <c r="B1294" s="2" t="s">
        <v>905</v>
      </c>
      <c r="C1294" s="2" t="s">
        <v>324</v>
      </c>
      <c r="D1294" s="2" t="s">
        <v>981</v>
      </c>
      <c r="E1294" s="2" t="s">
        <v>982</v>
      </c>
      <c r="F1294" s="2" t="s">
        <v>5092</v>
      </c>
      <c r="G1294" s="2" t="s">
        <v>5092</v>
      </c>
      <c r="H1294" s="2" t="s">
        <v>5092</v>
      </c>
      <c r="I1294" s="2" t="s">
        <v>982</v>
      </c>
      <c r="J1294" s="2" t="s">
        <v>365</v>
      </c>
      <c r="K1294" s="2" t="s">
        <v>793</v>
      </c>
      <c r="L1294" s="3">
        <v>26.4</v>
      </c>
      <c r="M1294" s="3">
        <v>27.72</v>
      </c>
      <c r="N1294" s="3">
        <v>54.99</v>
      </c>
      <c r="O1294" s="2" t="s">
        <v>232</v>
      </c>
      <c r="P1294" s="2" t="s">
        <v>878</v>
      </c>
      <c r="Q1294" s="2" t="s">
        <v>234</v>
      </c>
      <c r="R1294" s="2" t="s">
        <v>235</v>
      </c>
      <c r="S1294" s="2" t="s">
        <v>235</v>
      </c>
      <c r="T1294" s="2" t="s">
        <v>263</v>
      </c>
      <c r="U1294" s="2" t="s">
        <v>807</v>
      </c>
      <c r="V1294" s="2" t="s">
        <v>238</v>
      </c>
      <c r="W1294" s="2" t="s">
        <v>1029</v>
      </c>
      <c r="X1294" s="2" t="s">
        <v>235</v>
      </c>
      <c r="Y1294" s="2" t="s">
        <v>235</v>
      </c>
      <c r="Z1294" s="4"/>
      <c r="AA1294" s="4">
        <f>=ROUNDDOWN({0},0)</f>
      </c>
      <c r="AB1294" s="5"/>
      <c r="AC1294" s="2" t="s">
        <v>5093</v>
      </c>
      <c r="AD1294" s="4">
        <v>240</v>
      </c>
      <c r="AE1294" s="4">
        <v>240</v>
      </c>
      <c r="AF1294" s="6">
        <v>77</v>
      </c>
      <c r="AG1294" s="6"/>
      <c r="AH1294" s="7"/>
      <c r="AI1294" s="4"/>
      <c r="AJ1294" s="4">
        <f>=ROUNDDOWN({0},0)</f>
      </c>
      <c r="AK1294" s="5"/>
      <c r="AL1294" s="2" t="s">
        <v>235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235</v>
      </c>
      <c r="AW1294" s="8" t="s">
        <v>235</v>
      </c>
      <c r="AX1294" s="4" t="s">
        <v>235</v>
      </c>
      <c r="AY1294" s="8" t="s">
        <v>235</v>
      </c>
      <c r="AZ1294" s="7" t="s">
        <v>235</v>
      </c>
      <c r="BA1294" s="7" t="s">
        <v>235</v>
      </c>
      <c r="BB1294" s="7"/>
      <c r="BC1294" s="4" t="s">
        <v>235</v>
      </c>
      <c r="BD1294" s="8" t="s">
        <v>235</v>
      </c>
      <c r="BE1294" s="4" t="s">
        <v>235</v>
      </c>
      <c r="BF1294" s="8" t="s">
        <v>235</v>
      </c>
      <c r="BG1294" s="7" t="s">
        <v>235</v>
      </c>
      <c r="BH1294" s="7" t="s">
        <v>235</v>
      </c>
      <c r="BI1294" s="7"/>
      <c r="BJ1294" s="4"/>
      <c r="BK1294" s="8"/>
      <c r="BL1294" s="2" t="s">
        <v>235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330</v>
      </c>
      <c r="BV1294" s="2" t="s">
        <v>235</v>
      </c>
      <c r="BW1294" s="2" t="s">
        <v>235</v>
      </c>
      <c r="BX1294" s="2" t="s">
        <v>330</v>
      </c>
      <c r="BY1294" s="2" t="s">
        <v>331</v>
      </c>
      <c r="BZ1294" s="2" t="s">
        <v>232</v>
      </c>
      <c r="CA1294" s="2" t="s">
        <v>235</v>
      </c>
      <c r="CB1294" s="2" t="s">
        <v>235</v>
      </c>
      <c r="CC1294" s="2" t="s">
        <v>248</v>
      </c>
      <c r="CD1294" s="2" t="s">
        <v>248</v>
      </c>
      <c r="CE1294" s="2" t="s">
        <v>235</v>
      </c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>
        <v>240</v>
      </c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>
        <v>240</v>
      </c>
      <c r="GV1294" s="4">
        <v>231</v>
      </c>
      <c r="GW1294" s="4">
        <v>229</v>
      </c>
      <c r="GX1294" s="4">
        <v>227</v>
      </c>
      <c r="GY1294" s="4">
        <v>225</v>
      </c>
      <c r="GZ1294" s="4">
        <v>223</v>
      </c>
      <c r="HA1294" s="4">
        <v>220</v>
      </c>
      <c r="HB1294" s="4">
        <v>217</v>
      </c>
      <c r="HC1294" s="4">
        <v>212</v>
      </c>
      <c r="HD1294" s="9"/>
      <c r="HE1294" s="9"/>
      <c r="HF1294" s="9"/>
      <c r="HG1294" s="9"/>
      <c r="HH1294" s="9"/>
      <c r="HI1294" s="9"/>
      <c r="HJ1294" s="9"/>
      <c r="HK1294" s="9"/>
      <c r="HL1294" s="9"/>
      <c r="HM1294" s="9"/>
      <c r="HN1294" s="9"/>
      <c r="HO1294" s="9"/>
      <c r="HP1294" s="9"/>
      <c r="HQ1294" s="9"/>
      <c r="HR1294" s="9"/>
      <c r="HS1294" s="9"/>
      <c r="HT1294" s="9"/>
      <c r="HU1294" s="19">
        <v>60</v>
      </c>
      <c r="HV1294" s="19">
        <v>115.5</v>
      </c>
      <c r="HW1294" s="19">
        <v>114.5</v>
      </c>
      <c r="HX1294" s="19">
        <v>113.5</v>
      </c>
      <c r="HY1294" s="19">
        <v>75</v>
      </c>
      <c r="HZ1294" s="19">
        <v>55.8</v>
      </c>
      <c r="IA1294" s="19">
        <v>44</v>
      </c>
      <c r="IB1294" s="19">
        <v>36.2</v>
      </c>
      <c r="IC1294" s="19">
        <v>26.5</v>
      </c>
    </row>
    <row r="1295">
      <c r="A1295" s="2" t="s">
        <v>5103</v>
      </c>
      <c r="B1295" s="2" t="s">
        <v>905</v>
      </c>
      <c r="C1295" s="2" t="s">
        <v>324</v>
      </c>
      <c r="D1295" s="2" t="s">
        <v>981</v>
      </c>
      <c r="E1295" s="2" t="s">
        <v>982</v>
      </c>
      <c r="F1295" s="2" t="s">
        <v>5092</v>
      </c>
      <c r="G1295" s="2" t="s">
        <v>5092</v>
      </c>
      <c r="H1295" s="2" t="s">
        <v>5092</v>
      </c>
      <c r="I1295" s="2" t="s">
        <v>982</v>
      </c>
      <c r="J1295" s="2" t="s">
        <v>270</v>
      </c>
      <c r="K1295" s="2" t="s">
        <v>793</v>
      </c>
      <c r="L1295" s="3">
        <v>31.85</v>
      </c>
      <c r="M1295" s="3">
        <v>33.44</v>
      </c>
      <c r="N1295" s="3">
        <v>64.99</v>
      </c>
      <c r="O1295" s="2" t="s">
        <v>232</v>
      </c>
      <c r="P1295" s="2" t="s">
        <v>878</v>
      </c>
      <c r="Q1295" s="2" t="s">
        <v>234</v>
      </c>
      <c r="R1295" s="2" t="s">
        <v>235</v>
      </c>
      <c r="S1295" s="2" t="s">
        <v>235</v>
      </c>
      <c r="T1295" s="2" t="s">
        <v>263</v>
      </c>
      <c r="U1295" s="2" t="s">
        <v>807</v>
      </c>
      <c r="V1295" s="2" t="s">
        <v>238</v>
      </c>
      <c r="W1295" s="2" t="s">
        <v>1029</v>
      </c>
      <c r="X1295" s="2" t="s">
        <v>235</v>
      </c>
      <c r="Y1295" s="2" t="s">
        <v>235</v>
      </c>
      <c r="Z1295" s="4"/>
      <c r="AA1295" s="4">
        <f>=ROUNDDOWN({0},0)</f>
      </c>
      <c r="AB1295" s="5"/>
      <c r="AC1295" s="2" t="s">
        <v>5093</v>
      </c>
      <c r="AD1295" s="4">
        <v>160</v>
      </c>
      <c r="AE1295" s="4">
        <v>160</v>
      </c>
      <c r="AF1295" s="6">
        <v>77</v>
      </c>
      <c r="AG1295" s="6"/>
      <c r="AH1295" s="7"/>
      <c r="AI1295" s="4"/>
      <c r="AJ1295" s="4">
        <f>=ROUNDDOWN({0},0)</f>
      </c>
      <c r="AK1295" s="5"/>
      <c r="AL1295" s="2" t="s">
        <v>235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235</v>
      </c>
      <c r="AW1295" s="8" t="s">
        <v>235</v>
      </c>
      <c r="AX1295" s="4" t="s">
        <v>235</v>
      </c>
      <c r="AY1295" s="8" t="s">
        <v>235</v>
      </c>
      <c r="AZ1295" s="7" t="s">
        <v>235</v>
      </c>
      <c r="BA1295" s="7" t="s">
        <v>235</v>
      </c>
      <c r="BB1295" s="7"/>
      <c r="BC1295" s="4" t="s">
        <v>235</v>
      </c>
      <c r="BD1295" s="8" t="s">
        <v>235</v>
      </c>
      <c r="BE1295" s="4" t="s">
        <v>235</v>
      </c>
      <c r="BF1295" s="8" t="s">
        <v>235</v>
      </c>
      <c r="BG1295" s="7" t="s">
        <v>235</v>
      </c>
      <c r="BH1295" s="7" t="s">
        <v>235</v>
      </c>
      <c r="BI1295" s="7"/>
      <c r="BJ1295" s="4"/>
      <c r="BK1295" s="8"/>
      <c r="BL1295" s="2" t="s">
        <v>235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330</v>
      </c>
      <c r="BV1295" s="2" t="s">
        <v>235</v>
      </c>
      <c r="BW1295" s="2" t="s">
        <v>235</v>
      </c>
      <c r="BX1295" s="2" t="s">
        <v>330</v>
      </c>
      <c r="BY1295" s="2" t="s">
        <v>331</v>
      </c>
      <c r="BZ1295" s="2" t="s">
        <v>232</v>
      </c>
      <c r="CA1295" s="2" t="s">
        <v>235</v>
      </c>
      <c r="CB1295" s="2" t="s">
        <v>235</v>
      </c>
      <c r="CC1295" s="2" t="s">
        <v>248</v>
      </c>
      <c r="CD1295" s="2" t="s">
        <v>248</v>
      </c>
      <c r="CE1295" s="2" t="s">
        <v>235</v>
      </c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>
        <v>160</v>
      </c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>
        <v>160</v>
      </c>
      <c r="GV1295" s="4">
        <v>152</v>
      </c>
      <c r="GW1295" s="4">
        <v>150</v>
      </c>
      <c r="GX1295" s="4">
        <v>148</v>
      </c>
      <c r="GY1295" s="4">
        <v>146</v>
      </c>
      <c r="GZ1295" s="4">
        <v>144</v>
      </c>
      <c r="HA1295" s="4">
        <v>142</v>
      </c>
      <c r="HB1295" s="4">
        <v>140</v>
      </c>
      <c r="HC1295" s="4">
        <v>136</v>
      </c>
      <c r="HD1295" s="9"/>
      <c r="HE1295" s="9"/>
      <c r="HF1295" s="9"/>
      <c r="HG1295" s="9"/>
      <c r="HH1295" s="9"/>
      <c r="HI1295" s="9"/>
      <c r="HJ1295" s="9"/>
      <c r="HK1295" s="9"/>
      <c r="HL1295" s="9"/>
      <c r="HM1295" s="9"/>
      <c r="HN1295" s="9"/>
      <c r="HO1295" s="9"/>
      <c r="HP1295" s="9"/>
      <c r="HQ1295" s="9"/>
      <c r="HR1295" s="9"/>
      <c r="HS1295" s="9"/>
      <c r="HT1295" s="9"/>
      <c r="HU1295" s="19">
        <v>40</v>
      </c>
      <c r="HV1295" s="19">
        <v>76</v>
      </c>
      <c r="HW1295" s="19">
        <v>75</v>
      </c>
      <c r="HX1295" s="19">
        <v>74</v>
      </c>
      <c r="HY1295" s="19">
        <v>73</v>
      </c>
      <c r="HZ1295" s="19">
        <v>48</v>
      </c>
      <c r="IA1295" s="19">
        <v>35.5</v>
      </c>
      <c r="IB1295" s="19">
        <v>23.3</v>
      </c>
      <c r="IC1295" s="19">
        <v>19.4</v>
      </c>
    </row>
    <row r="1296">
      <c r="A1296" s="2" t="s">
        <v>5104</v>
      </c>
      <c r="B1296" s="2" t="s">
        <v>871</v>
      </c>
      <c r="C1296" s="2" t="s">
        <v>606</v>
      </c>
      <c r="D1296" s="2" t="s">
        <v>361</v>
      </c>
      <c r="E1296" s="2" t="s">
        <v>872</v>
      </c>
      <c r="F1296" s="2" t="s">
        <v>5105</v>
      </c>
      <c r="G1296" s="2" t="s">
        <v>5106</v>
      </c>
      <c r="H1296" s="2" t="s">
        <v>5107</v>
      </c>
      <c r="I1296" s="2" t="s">
        <v>5108</v>
      </c>
      <c r="J1296" s="2" t="s">
        <v>877</v>
      </c>
      <c r="K1296" s="2" t="s">
        <v>5109</v>
      </c>
      <c r="L1296" s="3">
        <v>26.19</v>
      </c>
      <c r="M1296" s="3">
        <v>27.5</v>
      </c>
      <c r="N1296" s="3">
        <v>54.99</v>
      </c>
      <c r="O1296" s="2" t="s">
        <v>232</v>
      </c>
      <c r="P1296" s="2" t="s">
        <v>878</v>
      </c>
      <c r="Q1296" s="2" t="s">
        <v>234</v>
      </c>
      <c r="R1296" s="2" t="s">
        <v>235</v>
      </c>
      <c r="S1296" s="2" t="s">
        <v>235</v>
      </c>
      <c r="T1296" s="2" t="s">
        <v>879</v>
      </c>
      <c r="U1296" s="2" t="s">
        <v>282</v>
      </c>
      <c r="V1296" s="2" t="s">
        <v>420</v>
      </c>
      <c r="W1296" s="2" t="s">
        <v>682</v>
      </c>
      <c r="X1296" s="2" t="s">
        <v>682</v>
      </c>
      <c r="Y1296" s="2" t="s">
        <v>3819</v>
      </c>
      <c r="Z1296" s="4">
        <v>275</v>
      </c>
      <c r="AA1296" s="4">
        <f>=ROUNDDOWN(550,0)</f>
      </c>
      <c r="AB1296" s="5">
        <v>0.5</v>
      </c>
      <c r="AC1296" s="2" t="s">
        <v>4370</v>
      </c>
      <c r="AD1296" s="4">
        <v>3</v>
      </c>
      <c r="AE1296" s="4">
        <v>3</v>
      </c>
      <c r="AF1296" s="6">
        <v>64</v>
      </c>
      <c r="AG1296" s="6">
        <v>47</v>
      </c>
      <c r="AH1296" s="7">
        <v>1</v>
      </c>
      <c r="AI1296" s="4"/>
      <c r="AJ1296" s="4">
        <f>=ROUNDDOWN({0},0)</f>
      </c>
      <c r="AK1296" s="5"/>
      <c r="AL1296" s="2" t="s">
        <v>235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235</v>
      </c>
      <c r="AW1296" s="8" t="s">
        <v>235</v>
      </c>
      <c r="AX1296" s="4" t="s">
        <v>235</v>
      </c>
      <c r="AY1296" s="8" t="s">
        <v>235</v>
      </c>
      <c r="AZ1296" s="7" t="s">
        <v>235</v>
      </c>
      <c r="BA1296" s="7" t="s">
        <v>235</v>
      </c>
      <c r="BB1296" s="7" t="s">
        <v>235</v>
      </c>
      <c r="BC1296" s="4" t="s">
        <v>235</v>
      </c>
      <c r="BD1296" s="8" t="s">
        <v>235</v>
      </c>
      <c r="BE1296" s="4" t="s">
        <v>235</v>
      </c>
      <c r="BF1296" s="8" t="s">
        <v>235</v>
      </c>
      <c r="BG1296" s="7" t="s">
        <v>235</v>
      </c>
      <c r="BH1296" s="7" t="s">
        <v>235</v>
      </c>
      <c r="BI1296" s="7"/>
      <c r="BJ1296" s="4">
        <v>7</v>
      </c>
      <c r="BK1296" s="8">
        <v>293.3</v>
      </c>
      <c r="BL1296" s="2" t="s">
        <v>2683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5110</v>
      </c>
      <c r="BV1296" s="2" t="s">
        <v>235</v>
      </c>
      <c r="BW1296" s="2" t="s">
        <v>235</v>
      </c>
      <c r="BX1296" s="2" t="s">
        <v>619</v>
      </c>
      <c r="BY1296" s="2" t="s">
        <v>245</v>
      </c>
      <c r="BZ1296" s="2" t="s">
        <v>232</v>
      </c>
      <c r="CA1296" s="2" t="s">
        <v>235</v>
      </c>
      <c r="CB1296" s="2" t="s">
        <v>235</v>
      </c>
      <c r="CC1296" s="2" t="s">
        <v>248</v>
      </c>
      <c r="CD1296" s="2" t="s">
        <v>248</v>
      </c>
      <c r="CE1296" s="2" t="s">
        <v>235</v>
      </c>
      <c r="CF1296" s="4">
        <v>140</v>
      </c>
      <c r="CG1296" s="4"/>
      <c r="CH1296" s="4"/>
      <c r="CI1296" s="4">
        <v>135</v>
      </c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>
        <v>3</v>
      </c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>
        <v>278</v>
      </c>
      <c r="GE1296" s="4">
        <v>273</v>
      </c>
      <c r="GF1296" s="4">
        <v>266</v>
      </c>
      <c r="GG1296" s="4">
        <v>258</v>
      </c>
      <c r="GH1296" s="4">
        <v>250</v>
      </c>
      <c r="GI1296" s="4">
        <v>241</v>
      </c>
      <c r="GJ1296" s="4">
        <v>232</v>
      </c>
      <c r="GK1296" s="4">
        <v>223</v>
      </c>
      <c r="GL1296" s="4">
        <v>215</v>
      </c>
      <c r="GM1296" s="4">
        <v>204</v>
      </c>
      <c r="GN1296" s="4">
        <v>193</v>
      </c>
      <c r="GO1296" s="4">
        <v>182</v>
      </c>
      <c r="GP1296" s="4">
        <v>164</v>
      </c>
      <c r="GQ1296" s="4">
        <v>146</v>
      </c>
      <c r="GR1296" s="4">
        <v>131</v>
      </c>
      <c r="GS1296" s="4">
        <v>120</v>
      </c>
      <c r="GT1296" s="4">
        <v>109</v>
      </c>
      <c r="GU1296" s="4">
        <v>100</v>
      </c>
      <c r="GV1296" s="4">
        <v>92</v>
      </c>
      <c r="GW1296" s="4">
        <v>84</v>
      </c>
      <c r="GX1296" s="4">
        <v>77</v>
      </c>
      <c r="GY1296" s="4">
        <v>70</v>
      </c>
      <c r="GZ1296" s="4">
        <v>63</v>
      </c>
      <c r="HA1296" s="4">
        <v>56</v>
      </c>
      <c r="HB1296" s="4">
        <v>49</v>
      </c>
      <c r="HC1296" s="4">
        <v>41</v>
      </c>
      <c r="HD1296" s="19">
        <v>45.7</v>
      </c>
      <c r="HE1296" s="19">
        <v>45.4</v>
      </c>
      <c r="HF1296" s="19">
        <v>44.5</v>
      </c>
      <c r="HG1296" s="19">
        <v>32.5</v>
      </c>
      <c r="HH1296" s="19">
        <v>31.7</v>
      </c>
      <c r="HI1296" s="19">
        <v>30.7</v>
      </c>
      <c r="HJ1296" s="19">
        <v>28.4</v>
      </c>
      <c r="HK1296" s="19">
        <v>26.6</v>
      </c>
      <c r="HL1296" s="19">
        <v>20.3</v>
      </c>
      <c r="HM1296" s="19">
        <v>18.9</v>
      </c>
      <c r="HN1296" s="19">
        <v>17.8</v>
      </c>
      <c r="HO1296" s="19">
        <v>17</v>
      </c>
      <c r="HP1296" s="19">
        <v>16.1</v>
      </c>
      <c r="HQ1296" s="19">
        <v>19.6</v>
      </c>
      <c r="HR1296" s="19">
        <v>26.5</v>
      </c>
      <c r="HS1296" s="19">
        <v>25.2</v>
      </c>
      <c r="HT1296" s="19">
        <v>16.9</v>
      </c>
      <c r="HU1296" s="19">
        <v>12.5</v>
      </c>
      <c r="HV1296" s="19">
        <v>8.7</v>
      </c>
      <c r="HW1296" s="19">
        <v>6</v>
      </c>
      <c r="HX1296" s="19">
        <v>5.5</v>
      </c>
      <c r="HY1296" s="19">
        <v>5</v>
      </c>
      <c r="HZ1296" s="19">
        <v>4.5</v>
      </c>
      <c r="IA1296" s="19">
        <v>4</v>
      </c>
      <c r="IB1296" s="19">
        <v>4.1</v>
      </c>
      <c r="IC1296" s="19">
        <v>5.2</v>
      </c>
    </row>
    <row r="1297">
      <c r="A1297" s="2" t="s">
        <v>5111</v>
      </c>
      <c r="B1297" s="2" t="s">
        <v>871</v>
      </c>
      <c r="C1297" s="2" t="s">
        <v>606</v>
      </c>
      <c r="D1297" s="2" t="s">
        <v>906</v>
      </c>
      <c r="E1297" s="2" t="s">
        <v>1301</v>
      </c>
      <c r="F1297" s="2" t="s">
        <v>5105</v>
      </c>
      <c r="G1297" s="2" t="s">
        <v>5106</v>
      </c>
      <c r="H1297" s="2" t="s">
        <v>5107</v>
      </c>
      <c r="I1297" s="2" t="s">
        <v>5112</v>
      </c>
      <c r="J1297" s="2" t="s">
        <v>877</v>
      </c>
      <c r="K1297" s="2" t="s">
        <v>5109</v>
      </c>
      <c r="L1297" s="3">
        <v>16.66</v>
      </c>
      <c r="M1297" s="3">
        <v>17.49</v>
      </c>
      <c r="N1297" s="3">
        <v>34.99</v>
      </c>
      <c r="O1297" s="2" t="s">
        <v>232</v>
      </c>
      <c r="P1297" s="2" t="s">
        <v>878</v>
      </c>
      <c r="Q1297" s="2" t="s">
        <v>234</v>
      </c>
      <c r="R1297" s="2" t="s">
        <v>235</v>
      </c>
      <c r="S1297" s="2" t="s">
        <v>235</v>
      </c>
      <c r="T1297" s="2" t="s">
        <v>879</v>
      </c>
      <c r="U1297" s="2" t="s">
        <v>278</v>
      </c>
      <c r="V1297" s="2" t="s">
        <v>420</v>
      </c>
      <c r="W1297" s="2" t="s">
        <v>682</v>
      </c>
      <c r="X1297" s="2" t="s">
        <v>682</v>
      </c>
      <c r="Y1297" s="2" t="s">
        <v>4811</v>
      </c>
      <c r="Z1297" s="4">
        <v>121</v>
      </c>
      <c r="AA1297" s="4">
        <f>=ROUNDDOWN(48.4,0)</f>
      </c>
      <c r="AB1297" s="5">
        <v>2.5</v>
      </c>
      <c r="AC1297" s="2" t="s">
        <v>235</v>
      </c>
      <c r="AD1297" s="4"/>
      <c r="AE1297" s="4"/>
      <c r="AF1297" s="6">
        <v>64</v>
      </c>
      <c r="AG1297" s="6">
        <v>47</v>
      </c>
      <c r="AH1297" s="7">
        <v>1</v>
      </c>
      <c r="AI1297" s="4"/>
      <c r="AJ1297" s="4">
        <f>=ROUNDDOWN({0},0)</f>
      </c>
      <c r="AK1297" s="5"/>
      <c r="AL1297" s="2" t="s">
        <v>235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235</v>
      </c>
      <c r="AW1297" s="8" t="s">
        <v>235</v>
      </c>
      <c r="AX1297" s="4" t="s">
        <v>235</v>
      </c>
      <c r="AY1297" s="8" t="s">
        <v>235</v>
      </c>
      <c r="AZ1297" s="7" t="s">
        <v>235</v>
      </c>
      <c r="BA1297" s="7" t="s">
        <v>235</v>
      </c>
      <c r="BB1297" s="7" t="s">
        <v>235</v>
      </c>
      <c r="BC1297" s="4" t="s">
        <v>235</v>
      </c>
      <c r="BD1297" s="8" t="s">
        <v>235</v>
      </c>
      <c r="BE1297" s="4" t="s">
        <v>235</v>
      </c>
      <c r="BF1297" s="8" t="s">
        <v>235</v>
      </c>
      <c r="BG1297" s="7" t="s">
        <v>235</v>
      </c>
      <c r="BH1297" s="7" t="s">
        <v>235</v>
      </c>
      <c r="BI1297" s="7"/>
      <c r="BJ1297" s="4">
        <v>21</v>
      </c>
      <c r="BK1297" s="8">
        <v>405.3</v>
      </c>
      <c r="BL1297" s="2" t="s">
        <v>2683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5113</v>
      </c>
      <c r="BV1297" s="2" t="s">
        <v>235</v>
      </c>
      <c r="BW1297" s="2" t="s">
        <v>235</v>
      </c>
      <c r="BX1297" s="2" t="s">
        <v>619</v>
      </c>
      <c r="BY1297" s="2" t="s">
        <v>245</v>
      </c>
      <c r="BZ1297" s="2" t="s">
        <v>232</v>
      </c>
      <c r="CA1297" s="2" t="s">
        <v>235</v>
      </c>
      <c r="CB1297" s="2" t="s">
        <v>235</v>
      </c>
      <c r="CC1297" s="2" t="s">
        <v>248</v>
      </c>
      <c r="CD1297" s="2" t="s">
        <v>248</v>
      </c>
      <c r="CE1297" s="2" t="s">
        <v>235</v>
      </c>
      <c r="CF1297" s="4">
        <v>38</v>
      </c>
      <c r="CG1297" s="4"/>
      <c r="CH1297" s="4"/>
      <c r="CI1297" s="4">
        <v>83</v>
      </c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>
        <v>121</v>
      </c>
      <c r="GE1297" s="4">
        <v>116</v>
      </c>
      <c r="GF1297" s="4">
        <v>112</v>
      </c>
      <c r="GG1297" s="4">
        <v>108</v>
      </c>
      <c r="GH1297" s="4">
        <v>104</v>
      </c>
      <c r="GI1297" s="4">
        <v>100</v>
      </c>
      <c r="GJ1297" s="4">
        <v>96</v>
      </c>
      <c r="GK1297" s="4">
        <v>92</v>
      </c>
      <c r="GL1297" s="4">
        <v>88</v>
      </c>
      <c r="GM1297" s="4">
        <v>84</v>
      </c>
      <c r="GN1297" s="4">
        <v>79</v>
      </c>
      <c r="GO1297" s="4">
        <v>72</v>
      </c>
      <c r="GP1297" s="4">
        <v>64</v>
      </c>
      <c r="GQ1297" s="4">
        <v>53</v>
      </c>
      <c r="GR1297" s="4">
        <v>45</v>
      </c>
      <c r="GS1297" s="4">
        <v>40</v>
      </c>
      <c r="GT1297" s="4">
        <v>35</v>
      </c>
      <c r="GU1297" s="4">
        <v>30</v>
      </c>
      <c r="GV1297" s="4">
        <v>25</v>
      </c>
      <c r="GW1297" s="4">
        <v>20</v>
      </c>
      <c r="GX1297" s="4">
        <v>15</v>
      </c>
      <c r="GY1297" s="4">
        <v>10</v>
      </c>
      <c r="GZ1297" s="4">
        <v>5</v>
      </c>
      <c r="HA1297" s="4"/>
      <c r="HB1297" s="4">
        <v>26</v>
      </c>
      <c r="HC1297" s="4">
        <v>21</v>
      </c>
      <c r="HD1297" s="19">
        <v>47.9</v>
      </c>
      <c r="HE1297" s="19">
        <v>46.7</v>
      </c>
      <c r="HF1297" s="19">
        <v>45.7</v>
      </c>
      <c r="HG1297" s="19">
        <v>44.7</v>
      </c>
      <c r="HH1297" s="19">
        <v>43.7</v>
      </c>
      <c r="HI1297" s="19">
        <v>42.7</v>
      </c>
      <c r="HJ1297" s="19">
        <v>41.7</v>
      </c>
      <c r="HK1297" s="19">
        <v>40</v>
      </c>
      <c r="HL1297" s="19">
        <v>14.2</v>
      </c>
      <c r="HM1297" s="19">
        <v>9.1</v>
      </c>
      <c r="HN1297" s="19">
        <v>6.7</v>
      </c>
      <c r="HO1297" s="19">
        <v>5</v>
      </c>
      <c r="HP1297" s="19">
        <v>4.6</v>
      </c>
      <c r="HQ1297" s="19">
        <v>4.4</v>
      </c>
      <c r="HR1297" s="19">
        <v>4.5</v>
      </c>
      <c r="HS1297" s="19">
        <v>4</v>
      </c>
      <c r="HT1297" s="19">
        <v>3.5</v>
      </c>
      <c r="HU1297" s="19">
        <v>3</v>
      </c>
      <c r="HV1297" s="19">
        <v>2.5</v>
      </c>
      <c r="HW1297" s="19">
        <v>2</v>
      </c>
      <c r="HX1297" s="19">
        <v>1.9</v>
      </c>
      <c r="HY1297" s="19">
        <v>1.3</v>
      </c>
      <c r="HZ1297" s="19">
        <v>0.7</v>
      </c>
      <c r="IA1297" s="20">
        <v>0</v>
      </c>
      <c r="IB1297" s="19">
        <v>3.3</v>
      </c>
      <c r="IC1297" s="19">
        <v>3.5</v>
      </c>
    </row>
    <row r="1298">
      <c r="A1298" s="2" t="s">
        <v>5114</v>
      </c>
      <c r="B1298" s="2" t="s">
        <v>871</v>
      </c>
      <c r="C1298" s="2" t="s">
        <v>606</v>
      </c>
      <c r="D1298" s="2" t="s">
        <v>361</v>
      </c>
      <c r="E1298" s="2" t="s">
        <v>872</v>
      </c>
      <c r="F1298" s="2" t="s">
        <v>5105</v>
      </c>
      <c r="G1298" s="2" t="s">
        <v>5106</v>
      </c>
      <c r="H1298" s="2" t="s">
        <v>5107</v>
      </c>
      <c r="I1298" s="2" t="s">
        <v>5108</v>
      </c>
      <c r="J1298" s="2" t="s">
        <v>250</v>
      </c>
      <c r="K1298" s="2" t="s">
        <v>5109</v>
      </c>
      <c r="L1298" s="3">
        <v>30.95</v>
      </c>
      <c r="M1298" s="3">
        <v>32.5</v>
      </c>
      <c r="N1298" s="3">
        <v>64.99</v>
      </c>
      <c r="O1298" s="2" t="s">
        <v>232</v>
      </c>
      <c r="P1298" s="2" t="s">
        <v>878</v>
      </c>
      <c r="Q1298" s="2" t="s">
        <v>234</v>
      </c>
      <c r="R1298" s="2" t="s">
        <v>235</v>
      </c>
      <c r="S1298" s="2" t="s">
        <v>235</v>
      </c>
      <c r="T1298" s="2" t="s">
        <v>879</v>
      </c>
      <c r="U1298" s="2" t="s">
        <v>742</v>
      </c>
      <c r="V1298" s="2" t="s">
        <v>420</v>
      </c>
      <c r="W1298" s="2" t="s">
        <v>682</v>
      </c>
      <c r="X1298" s="2" t="s">
        <v>682</v>
      </c>
      <c r="Y1298" s="2" t="s">
        <v>3819</v>
      </c>
      <c r="Z1298" s="4">
        <v>601</v>
      </c>
      <c r="AA1298" s="4">
        <f>=ROUNDDOWN(667.777777777778,0)</f>
      </c>
      <c r="AB1298" s="5">
        <v>0.9</v>
      </c>
      <c r="AC1298" s="2" t="s">
        <v>4370</v>
      </c>
      <c r="AD1298" s="4">
        <v>243</v>
      </c>
      <c r="AE1298" s="4">
        <v>243</v>
      </c>
      <c r="AF1298" s="6">
        <v>64</v>
      </c>
      <c r="AG1298" s="6">
        <v>47</v>
      </c>
      <c r="AH1298" s="7">
        <v>1</v>
      </c>
      <c r="AI1298" s="4"/>
      <c r="AJ1298" s="4">
        <f>=ROUNDDOWN({0},0)</f>
      </c>
      <c r="AK1298" s="5"/>
      <c r="AL1298" s="2" t="s">
        <v>235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235</v>
      </c>
      <c r="AW1298" s="8" t="s">
        <v>235</v>
      </c>
      <c r="AX1298" s="4" t="s">
        <v>235</v>
      </c>
      <c r="AY1298" s="8" t="s">
        <v>235</v>
      </c>
      <c r="AZ1298" s="7" t="s">
        <v>235</v>
      </c>
      <c r="BA1298" s="7" t="s">
        <v>235</v>
      </c>
      <c r="BB1298" s="7" t="s">
        <v>235</v>
      </c>
      <c r="BC1298" s="4" t="s">
        <v>235</v>
      </c>
      <c r="BD1298" s="8" t="s">
        <v>235</v>
      </c>
      <c r="BE1298" s="4" t="s">
        <v>235</v>
      </c>
      <c r="BF1298" s="8" t="s">
        <v>235</v>
      </c>
      <c r="BG1298" s="7" t="s">
        <v>235</v>
      </c>
      <c r="BH1298" s="7" t="s">
        <v>235</v>
      </c>
      <c r="BI1298" s="7"/>
      <c r="BJ1298" s="4">
        <v>8</v>
      </c>
      <c r="BK1298" s="8">
        <v>390.4</v>
      </c>
      <c r="BL1298" s="2" t="s">
        <v>2683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5110</v>
      </c>
      <c r="BV1298" s="2" t="s">
        <v>235</v>
      </c>
      <c r="BW1298" s="2" t="s">
        <v>235</v>
      </c>
      <c r="BX1298" s="2" t="s">
        <v>619</v>
      </c>
      <c r="BY1298" s="2" t="s">
        <v>245</v>
      </c>
      <c r="BZ1298" s="2" t="s">
        <v>232</v>
      </c>
      <c r="CA1298" s="2" t="s">
        <v>235</v>
      </c>
      <c r="CB1298" s="2" t="s">
        <v>235</v>
      </c>
      <c r="CC1298" s="2" t="s">
        <v>248</v>
      </c>
      <c r="CD1298" s="2" t="s">
        <v>248</v>
      </c>
      <c r="CE1298" s="2" t="s">
        <v>235</v>
      </c>
      <c r="CF1298" s="4">
        <v>513</v>
      </c>
      <c r="CG1298" s="4"/>
      <c r="CH1298" s="4"/>
      <c r="CI1298" s="4">
        <v>88</v>
      </c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>
        <v>243</v>
      </c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>
        <v>601</v>
      </c>
      <c r="GE1298" s="4">
        <v>803</v>
      </c>
      <c r="GF1298" s="4">
        <v>772</v>
      </c>
      <c r="GG1298" s="4">
        <v>740</v>
      </c>
      <c r="GH1298" s="4">
        <v>708</v>
      </c>
      <c r="GI1298" s="4">
        <v>675</v>
      </c>
      <c r="GJ1298" s="4">
        <v>642</v>
      </c>
      <c r="GK1298" s="4">
        <v>609</v>
      </c>
      <c r="GL1298" s="4">
        <v>577</v>
      </c>
      <c r="GM1298" s="4">
        <v>536</v>
      </c>
      <c r="GN1298" s="4">
        <v>495</v>
      </c>
      <c r="GO1298" s="4">
        <v>451</v>
      </c>
      <c r="GP1298" s="4">
        <v>376</v>
      </c>
      <c r="GQ1298" s="4">
        <v>301</v>
      </c>
      <c r="GR1298" s="4">
        <v>238</v>
      </c>
      <c r="GS1298" s="4">
        <v>329</v>
      </c>
      <c r="GT1298" s="4">
        <v>288</v>
      </c>
      <c r="GU1298" s="4">
        <v>254</v>
      </c>
      <c r="GV1298" s="4">
        <v>855</v>
      </c>
      <c r="GW1298" s="4">
        <v>823</v>
      </c>
      <c r="GX1298" s="4">
        <v>791</v>
      </c>
      <c r="GY1298" s="4">
        <v>759</v>
      </c>
      <c r="GZ1298" s="4">
        <v>727</v>
      </c>
      <c r="HA1298" s="4">
        <v>695</v>
      </c>
      <c r="HB1298" s="4">
        <v>663</v>
      </c>
      <c r="HC1298" s="4">
        <v>624</v>
      </c>
      <c r="HD1298" s="19">
        <v>15.1</v>
      </c>
      <c r="HE1298" s="19">
        <v>28.2</v>
      </c>
      <c r="HF1298" s="19">
        <v>26.9</v>
      </c>
      <c r="HG1298" s="19">
        <v>26</v>
      </c>
      <c r="HH1298" s="19">
        <v>25</v>
      </c>
      <c r="HI1298" s="19">
        <v>22</v>
      </c>
      <c r="HJ1298" s="19">
        <v>20.6</v>
      </c>
      <c r="HK1298" s="19">
        <v>18</v>
      </c>
      <c r="HL1298" s="19">
        <v>13.5</v>
      </c>
      <c r="HM1298" s="19">
        <v>11.1</v>
      </c>
      <c r="HN1298" s="19">
        <v>9.7</v>
      </c>
      <c r="HO1298" s="19">
        <v>9</v>
      </c>
      <c r="HP1298" s="19">
        <v>8.9</v>
      </c>
      <c r="HQ1298" s="19">
        <v>7.7</v>
      </c>
      <c r="HR1298" s="19">
        <v>6.3</v>
      </c>
      <c r="HS1298" s="19">
        <v>9.3</v>
      </c>
      <c r="HT1298" s="19">
        <v>8.1</v>
      </c>
      <c r="HU1298" s="19">
        <v>9.1</v>
      </c>
      <c r="HV1298" s="19">
        <v>26.2</v>
      </c>
      <c r="HW1298" s="19">
        <v>25.2</v>
      </c>
      <c r="HX1298" s="19">
        <v>24.2</v>
      </c>
      <c r="HY1298" s="19">
        <v>21.6</v>
      </c>
      <c r="HZ1298" s="19">
        <v>20.7</v>
      </c>
      <c r="IA1298" s="19">
        <v>19.7</v>
      </c>
      <c r="IB1298" s="19">
        <v>18.8</v>
      </c>
      <c r="IC1298" s="19">
        <v>19</v>
      </c>
    </row>
    <row r="1299">
      <c r="A1299" s="2" t="s">
        <v>5115</v>
      </c>
      <c r="B1299" s="2" t="s">
        <v>871</v>
      </c>
      <c r="C1299" s="2" t="s">
        <v>606</v>
      </c>
      <c r="D1299" s="2" t="s">
        <v>906</v>
      </c>
      <c r="E1299" s="2" t="s">
        <v>1301</v>
      </c>
      <c r="F1299" s="2" t="s">
        <v>5105</v>
      </c>
      <c r="G1299" s="2" t="s">
        <v>5106</v>
      </c>
      <c r="H1299" s="2" t="s">
        <v>5107</v>
      </c>
      <c r="I1299" s="2" t="s">
        <v>5112</v>
      </c>
      <c r="J1299" s="2" t="s">
        <v>250</v>
      </c>
      <c r="K1299" s="2" t="s">
        <v>5109</v>
      </c>
      <c r="L1299" s="3">
        <v>19.04</v>
      </c>
      <c r="M1299" s="3">
        <v>19.99</v>
      </c>
      <c r="N1299" s="3">
        <v>39.99</v>
      </c>
      <c r="O1299" s="2" t="s">
        <v>232</v>
      </c>
      <c r="P1299" s="2" t="s">
        <v>878</v>
      </c>
      <c r="Q1299" s="2" t="s">
        <v>234</v>
      </c>
      <c r="R1299" s="2" t="s">
        <v>235</v>
      </c>
      <c r="S1299" s="2" t="s">
        <v>235</v>
      </c>
      <c r="T1299" s="2" t="s">
        <v>879</v>
      </c>
      <c r="U1299" s="2" t="s">
        <v>552</v>
      </c>
      <c r="V1299" s="2" t="s">
        <v>420</v>
      </c>
      <c r="W1299" s="2" t="s">
        <v>682</v>
      </c>
      <c r="X1299" s="2" t="s">
        <v>682</v>
      </c>
      <c r="Y1299" s="2" t="s">
        <v>4811</v>
      </c>
      <c r="Z1299" s="4">
        <v>276</v>
      </c>
      <c r="AA1299" s="4">
        <f>=ROUNDDOWN({0},0)</f>
      </c>
      <c r="AB1299" s="5"/>
      <c r="AC1299" s="2" t="s">
        <v>235</v>
      </c>
      <c r="AD1299" s="4"/>
      <c r="AE1299" s="4"/>
      <c r="AF1299" s="6">
        <v>64</v>
      </c>
      <c r="AG1299" s="6">
        <v>47</v>
      </c>
      <c r="AH1299" s="7">
        <v>1</v>
      </c>
      <c r="AI1299" s="4"/>
      <c r="AJ1299" s="4">
        <f>=ROUNDDOWN({0},0)</f>
      </c>
      <c r="AK1299" s="5"/>
      <c r="AL1299" s="2" t="s">
        <v>235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235</v>
      </c>
      <c r="AW1299" s="8" t="s">
        <v>235</v>
      </c>
      <c r="AX1299" s="4" t="s">
        <v>235</v>
      </c>
      <c r="AY1299" s="8" t="s">
        <v>235</v>
      </c>
      <c r="AZ1299" s="7" t="s">
        <v>235</v>
      </c>
      <c r="BA1299" s="7" t="s">
        <v>235</v>
      </c>
      <c r="BB1299" s="7" t="s">
        <v>235</v>
      </c>
      <c r="BC1299" s="4" t="s">
        <v>235</v>
      </c>
      <c r="BD1299" s="8" t="s">
        <v>235</v>
      </c>
      <c r="BE1299" s="4" t="s">
        <v>235</v>
      </c>
      <c r="BF1299" s="8" t="s">
        <v>235</v>
      </c>
      <c r="BG1299" s="7" t="s">
        <v>235</v>
      </c>
      <c r="BH1299" s="7" t="s">
        <v>235</v>
      </c>
      <c r="BI1299" s="7"/>
      <c r="BJ1299" s="4"/>
      <c r="BK1299" s="8"/>
      <c r="BL1299" s="2" t="s">
        <v>235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5113</v>
      </c>
      <c r="BV1299" s="2" t="s">
        <v>235</v>
      </c>
      <c r="BW1299" s="2" t="s">
        <v>235</v>
      </c>
      <c r="BX1299" s="2" t="s">
        <v>619</v>
      </c>
      <c r="BY1299" s="2" t="s">
        <v>245</v>
      </c>
      <c r="BZ1299" s="2" t="s">
        <v>232</v>
      </c>
      <c r="CA1299" s="2" t="s">
        <v>235</v>
      </c>
      <c r="CB1299" s="2" t="s">
        <v>235</v>
      </c>
      <c r="CC1299" s="2" t="s">
        <v>248</v>
      </c>
      <c r="CD1299" s="2" t="s">
        <v>248</v>
      </c>
      <c r="CE1299" s="2" t="s">
        <v>235</v>
      </c>
      <c r="CF1299" s="4">
        <v>156</v>
      </c>
      <c r="CG1299" s="4"/>
      <c r="CH1299" s="4"/>
      <c r="CI1299" s="4">
        <v>120</v>
      </c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>
        <v>276</v>
      </c>
      <c r="GE1299" s="4">
        <v>239</v>
      </c>
      <c r="GF1299" s="4">
        <v>226</v>
      </c>
      <c r="GG1299" s="4">
        <v>212</v>
      </c>
      <c r="GH1299" s="4">
        <v>197</v>
      </c>
      <c r="GI1299" s="4">
        <v>180</v>
      </c>
      <c r="GJ1299" s="4">
        <v>162</v>
      </c>
      <c r="GK1299" s="4">
        <v>146</v>
      </c>
      <c r="GL1299" s="4">
        <v>132</v>
      </c>
      <c r="GM1299" s="4">
        <v>118</v>
      </c>
      <c r="GN1299" s="4">
        <v>100</v>
      </c>
      <c r="GO1299" s="4">
        <v>80</v>
      </c>
      <c r="GP1299" s="4">
        <v>55</v>
      </c>
      <c r="GQ1299" s="4">
        <v>27</v>
      </c>
      <c r="GR1299" s="4">
        <v>6</v>
      </c>
      <c r="GS1299" s="4">
        <v>135</v>
      </c>
      <c r="GT1299" s="4">
        <v>118</v>
      </c>
      <c r="GU1299" s="4">
        <v>104</v>
      </c>
      <c r="GV1299" s="4">
        <v>318</v>
      </c>
      <c r="GW1299" s="4">
        <v>305</v>
      </c>
      <c r="GX1299" s="4">
        <v>292</v>
      </c>
      <c r="GY1299" s="4">
        <v>279</v>
      </c>
      <c r="GZ1299" s="4">
        <v>266</v>
      </c>
      <c r="HA1299" s="4">
        <v>253</v>
      </c>
      <c r="HB1299" s="4">
        <v>240</v>
      </c>
      <c r="HC1299" s="4">
        <v>225</v>
      </c>
      <c r="HD1299" s="19">
        <v>17.6</v>
      </c>
      <c r="HE1299" s="19">
        <v>19.7</v>
      </c>
      <c r="HF1299" s="19">
        <v>18.4</v>
      </c>
      <c r="HG1299" s="19">
        <v>17.5</v>
      </c>
      <c r="HH1299" s="19">
        <v>16.5</v>
      </c>
      <c r="HI1299" s="19">
        <v>15.8</v>
      </c>
      <c r="HJ1299" s="19">
        <v>14.5</v>
      </c>
      <c r="HK1299" s="19">
        <v>11.1</v>
      </c>
      <c r="HL1299" s="19">
        <v>8</v>
      </c>
      <c r="HM1299" s="19">
        <v>5</v>
      </c>
      <c r="HN1299" s="19">
        <v>3.9</v>
      </c>
      <c r="HO1299" s="19">
        <v>3.1</v>
      </c>
      <c r="HP1299" s="19">
        <v>1.6</v>
      </c>
      <c r="HQ1299" s="19">
        <v>1</v>
      </c>
      <c r="HR1299" s="19">
        <v>0.3</v>
      </c>
      <c r="HS1299" s="19">
        <v>5.7</v>
      </c>
      <c r="HT1299" s="19">
        <v>6.6</v>
      </c>
      <c r="HU1299" s="19">
        <v>7.5</v>
      </c>
      <c r="HV1299" s="19">
        <v>23.9</v>
      </c>
      <c r="HW1299" s="19">
        <v>22.9</v>
      </c>
      <c r="HX1299" s="19">
        <v>21.9</v>
      </c>
      <c r="HY1299" s="19">
        <v>20.9</v>
      </c>
      <c r="HZ1299" s="19">
        <v>19.9</v>
      </c>
      <c r="IA1299" s="19">
        <v>18.9</v>
      </c>
      <c r="IB1299" s="19">
        <v>17.9</v>
      </c>
      <c r="IC1299" s="19">
        <v>16.7</v>
      </c>
    </row>
    <row r="1300">
      <c r="A1300" s="2" t="s">
        <v>5116</v>
      </c>
      <c r="B1300" s="2" t="s">
        <v>871</v>
      </c>
      <c r="C1300" s="2" t="s">
        <v>606</v>
      </c>
      <c r="D1300" s="2" t="s">
        <v>361</v>
      </c>
      <c r="E1300" s="2" t="s">
        <v>872</v>
      </c>
      <c r="F1300" s="2" t="s">
        <v>5105</v>
      </c>
      <c r="G1300" s="2" t="s">
        <v>5106</v>
      </c>
      <c r="H1300" s="2" t="s">
        <v>5107</v>
      </c>
      <c r="I1300" s="2" t="s">
        <v>5108</v>
      </c>
      <c r="J1300" s="2" t="s">
        <v>261</v>
      </c>
      <c r="K1300" s="2" t="s">
        <v>5109</v>
      </c>
      <c r="L1300" s="3">
        <v>33.33</v>
      </c>
      <c r="M1300" s="3">
        <v>35</v>
      </c>
      <c r="N1300" s="3">
        <v>69.99</v>
      </c>
      <c r="O1300" s="2" t="s">
        <v>232</v>
      </c>
      <c r="P1300" s="2" t="s">
        <v>878</v>
      </c>
      <c r="Q1300" s="2" t="s">
        <v>234</v>
      </c>
      <c r="R1300" s="2" t="s">
        <v>235</v>
      </c>
      <c r="S1300" s="2" t="s">
        <v>235</v>
      </c>
      <c r="T1300" s="2" t="s">
        <v>879</v>
      </c>
      <c r="U1300" s="2" t="s">
        <v>742</v>
      </c>
      <c r="V1300" s="2" t="s">
        <v>420</v>
      </c>
      <c r="W1300" s="2" t="s">
        <v>682</v>
      </c>
      <c r="X1300" s="2" t="s">
        <v>682</v>
      </c>
      <c r="Y1300" s="2" t="s">
        <v>3819</v>
      </c>
      <c r="Z1300" s="4">
        <v>1025</v>
      </c>
      <c r="AA1300" s="4">
        <f>=ROUNDDOWN(569.444444444444,0)</f>
      </c>
      <c r="AB1300" s="5">
        <v>1.8</v>
      </c>
      <c r="AC1300" s="2" t="s">
        <v>4370</v>
      </c>
      <c r="AD1300" s="4">
        <v>12</v>
      </c>
      <c r="AE1300" s="4">
        <v>12</v>
      </c>
      <c r="AF1300" s="6">
        <v>64</v>
      </c>
      <c r="AG1300" s="6">
        <v>47</v>
      </c>
      <c r="AH1300" s="7">
        <v>1</v>
      </c>
      <c r="AI1300" s="4"/>
      <c r="AJ1300" s="4">
        <f>=ROUNDDOWN({0},0)</f>
      </c>
      <c r="AK1300" s="5"/>
      <c r="AL1300" s="2" t="s">
        <v>235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235</v>
      </c>
      <c r="AW1300" s="8" t="s">
        <v>235</v>
      </c>
      <c r="AX1300" s="4" t="s">
        <v>235</v>
      </c>
      <c r="AY1300" s="8" t="s">
        <v>235</v>
      </c>
      <c r="AZ1300" s="7" t="s">
        <v>235</v>
      </c>
      <c r="BA1300" s="7" t="s">
        <v>235</v>
      </c>
      <c r="BB1300" s="7" t="s">
        <v>235</v>
      </c>
      <c r="BC1300" s="4" t="s">
        <v>235</v>
      </c>
      <c r="BD1300" s="8" t="s">
        <v>235</v>
      </c>
      <c r="BE1300" s="4" t="s">
        <v>235</v>
      </c>
      <c r="BF1300" s="8" t="s">
        <v>235</v>
      </c>
      <c r="BG1300" s="7" t="s">
        <v>235</v>
      </c>
      <c r="BH1300" s="7" t="s">
        <v>235</v>
      </c>
      <c r="BI1300" s="7"/>
      <c r="BJ1300" s="4">
        <v>20</v>
      </c>
      <c r="BK1300" s="8">
        <v>1052</v>
      </c>
      <c r="BL1300" s="2" t="s">
        <v>2683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5110</v>
      </c>
      <c r="BV1300" s="2" t="s">
        <v>235</v>
      </c>
      <c r="BW1300" s="2" t="s">
        <v>235</v>
      </c>
      <c r="BX1300" s="2" t="s">
        <v>619</v>
      </c>
      <c r="BY1300" s="2" t="s">
        <v>245</v>
      </c>
      <c r="BZ1300" s="2" t="s">
        <v>232</v>
      </c>
      <c r="CA1300" s="2" t="s">
        <v>235</v>
      </c>
      <c r="CB1300" s="2" t="s">
        <v>235</v>
      </c>
      <c r="CC1300" s="2" t="s">
        <v>248</v>
      </c>
      <c r="CD1300" s="2" t="s">
        <v>248</v>
      </c>
      <c r="CE1300" s="2" t="s">
        <v>235</v>
      </c>
      <c r="CF1300" s="4">
        <v>560</v>
      </c>
      <c r="CG1300" s="4"/>
      <c r="CH1300" s="4"/>
      <c r="CI1300" s="4">
        <v>465</v>
      </c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>
        <v>12</v>
      </c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>
        <v>1026</v>
      </c>
      <c r="GE1300" s="4">
        <v>991</v>
      </c>
      <c r="GF1300" s="4">
        <v>963</v>
      </c>
      <c r="GG1300" s="4">
        <v>935</v>
      </c>
      <c r="GH1300" s="4">
        <v>907</v>
      </c>
      <c r="GI1300" s="4">
        <v>877</v>
      </c>
      <c r="GJ1300" s="4">
        <v>844</v>
      </c>
      <c r="GK1300" s="4">
        <v>812</v>
      </c>
      <c r="GL1300" s="4">
        <v>781</v>
      </c>
      <c r="GM1300" s="4">
        <v>742</v>
      </c>
      <c r="GN1300" s="4">
        <v>704</v>
      </c>
      <c r="GO1300" s="4">
        <v>663</v>
      </c>
      <c r="GP1300" s="4">
        <v>594</v>
      </c>
      <c r="GQ1300" s="4">
        <v>525</v>
      </c>
      <c r="GR1300" s="4">
        <v>467</v>
      </c>
      <c r="GS1300" s="4">
        <v>426</v>
      </c>
      <c r="GT1300" s="4">
        <v>388</v>
      </c>
      <c r="GU1300" s="4">
        <v>355</v>
      </c>
      <c r="GV1300" s="4">
        <v>933</v>
      </c>
      <c r="GW1300" s="4">
        <v>903</v>
      </c>
      <c r="GX1300" s="4">
        <v>873</v>
      </c>
      <c r="GY1300" s="4">
        <v>843</v>
      </c>
      <c r="GZ1300" s="4">
        <v>813</v>
      </c>
      <c r="HA1300" s="4">
        <v>783</v>
      </c>
      <c r="HB1300" s="4">
        <v>753</v>
      </c>
      <c r="HC1300" s="4">
        <v>718</v>
      </c>
      <c r="HD1300" s="19">
        <v>40.8</v>
      </c>
      <c r="HE1300" s="19">
        <v>45.3</v>
      </c>
      <c r="HF1300" s="19">
        <v>44.3</v>
      </c>
      <c r="HG1300" s="19">
        <v>38.8</v>
      </c>
      <c r="HH1300" s="19">
        <v>37.5</v>
      </c>
      <c r="HI1300" s="19">
        <v>36.2</v>
      </c>
      <c r="HJ1300" s="19">
        <v>31.9</v>
      </c>
      <c r="HK1300" s="19">
        <v>30.4</v>
      </c>
      <c r="HL1300" s="19">
        <v>22.5</v>
      </c>
      <c r="HM1300" s="19">
        <v>19.7</v>
      </c>
      <c r="HN1300" s="19">
        <v>17.6</v>
      </c>
      <c r="HO1300" s="19">
        <v>16.9</v>
      </c>
      <c r="HP1300" s="19">
        <v>18.3</v>
      </c>
      <c r="HQ1300" s="19">
        <v>20.3</v>
      </c>
      <c r="HR1300" s="19">
        <v>23.5</v>
      </c>
      <c r="HS1300" s="19">
        <v>22.5</v>
      </c>
      <c r="HT1300" s="19">
        <v>24.2</v>
      </c>
      <c r="HU1300" s="19">
        <v>23.2</v>
      </c>
      <c r="HV1300" s="19">
        <v>35.4</v>
      </c>
      <c r="HW1300" s="19">
        <v>34.4</v>
      </c>
      <c r="HX1300" s="19">
        <v>33.4</v>
      </c>
      <c r="HY1300" s="19">
        <v>31.9</v>
      </c>
      <c r="HZ1300" s="19">
        <v>30.9</v>
      </c>
      <c r="IA1300" s="19">
        <v>29.9</v>
      </c>
      <c r="IB1300" s="19">
        <v>28.9</v>
      </c>
      <c r="IC1300" s="19">
        <v>28.2</v>
      </c>
    </row>
    <row r="1301">
      <c r="A1301" s="2" t="s">
        <v>5117</v>
      </c>
      <c r="B1301" s="2" t="s">
        <v>871</v>
      </c>
      <c r="C1301" s="2" t="s">
        <v>606</v>
      </c>
      <c r="D1301" s="2" t="s">
        <v>906</v>
      </c>
      <c r="E1301" s="2" t="s">
        <v>1301</v>
      </c>
      <c r="F1301" s="2" t="s">
        <v>5105</v>
      </c>
      <c r="G1301" s="2" t="s">
        <v>5106</v>
      </c>
      <c r="H1301" s="2" t="s">
        <v>5107</v>
      </c>
      <c r="I1301" s="2" t="s">
        <v>5112</v>
      </c>
      <c r="J1301" s="2" t="s">
        <v>261</v>
      </c>
      <c r="K1301" s="2" t="s">
        <v>5109</v>
      </c>
      <c r="L1301" s="3">
        <v>21.42</v>
      </c>
      <c r="M1301" s="3">
        <v>22.49</v>
      </c>
      <c r="N1301" s="3">
        <v>44.99</v>
      </c>
      <c r="O1301" s="2" t="s">
        <v>232</v>
      </c>
      <c r="P1301" s="2" t="s">
        <v>878</v>
      </c>
      <c r="Q1301" s="2" t="s">
        <v>234</v>
      </c>
      <c r="R1301" s="2" t="s">
        <v>235</v>
      </c>
      <c r="S1301" s="2" t="s">
        <v>235</v>
      </c>
      <c r="T1301" s="2" t="s">
        <v>879</v>
      </c>
      <c r="U1301" s="2" t="s">
        <v>552</v>
      </c>
      <c r="V1301" s="2" t="s">
        <v>420</v>
      </c>
      <c r="W1301" s="2" t="s">
        <v>682</v>
      </c>
      <c r="X1301" s="2" t="s">
        <v>682</v>
      </c>
      <c r="Y1301" s="2" t="s">
        <v>3819</v>
      </c>
      <c r="Z1301" s="4">
        <v>459</v>
      </c>
      <c r="AA1301" s="4">
        <f>=ROUNDDOWN(88.2692307692308,0)</f>
      </c>
      <c r="AB1301" s="5">
        <v>5.2</v>
      </c>
      <c r="AC1301" s="2" t="s">
        <v>235</v>
      </c>
      <c r="AD1301" s="4"/>
      <c r="AE1301" s="4"/>
      <c r="AF1301" s="6">
        <v>64</v>
      </c>
      <c r="AG1301" s="6">
        <v>47</v>
      </c>
      <c r="AH1301" s="7">
        <v>1</v>
      </c>
      <c r="AI1301" s="4"/>
      <c r="AJ1301" s="4">
        <f>=ROUNDDOWN({0},0)</f>
      </c>
      <c r="AK1301" s="5"/>
      <c r="AL1301" s="2" t="s">
        <v>235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235</v>
      </c>
      <c r="AW1301" s="8" t="s">
        <v>235</v>
      </c>
      <c r="AX1301" s="4" t="s">
        <v>235</v>
      </c>
      <c r="AY1301" s="8" t="s">
        <v>235</v>
      </c>
      <c r="AZ1301" s="7" t="s">
        <v>235</v>
      </c>
      <c r="BA1301" s="7" t="s">
        <v>235</v>
      </c>
      <c r="BB1301" s="7" t="s">
        <v>235</v>
      </c>
      <c r="BC1301" s="4" t="s">
        <v>235</v>
      </c>
      <c r="BD1301" s="8" t="s">
        <v>235</v>
      </c>
      <c r="BE1301" s="4" t="s">
        <v>235</v>
      </c>
      <c r="BF1301" s="8" t="s">
        <v>235</v>
      </c>
      <c r="BG1301" s="7" t="s">
        <v>235</v>
      </c>
      <c r="BH1301" s="7" t="s">
        <v>235</v>
      </c>
      <c r="BI1301" s="7"/>
      <c r="BJ1301" s="4">
        <v>11</v>
      </c>
      <c r="BK1301" s="8">
        <v>288.2</v>
      </c>
      <c r="BL1301" s="2" t="s">
        <v>2683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5113</v>
      </c>
      <c r="BV1301" s="2" t="s">
        <v>235</v>
      </c>
      <c r="BW1301" s="2" t="s">
        <v>235</v>
      </c>
      <c r="BX1301" s="2" t="s">
        <v>619</v>
      </c>
      <c r="BY1301" s="2" t="s">
        <v>245</v>
      </c>
      <c r="BZ1301" s="2" t="s">
        <v>232</v>
      </c>
      <c r="CA1301" s="2" t="s">
        <v>235</v>
      </c>
      <c r="CB1301" s="2" t="s">
        <v>235</v>
      </c>
      <c r="CC1301" s="2" t="s">
        <v>248</v>
      </c>
      <c r="CD1301" s="2" t="s">
        <v>248</v>
      </c>
      <c r="CE1301" s="2" t="s">
        <v>235</v>
      </c>
      <c r="CF1301" s="4">
        <v>194</v>
      </c>
      <c r="CG1301" s="4"/>
      <c r="CH1301" s="4"/>
      <c r="CI1301" s="4">
        <v>265</v>
      </c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>
        <v>464</v>
      </c>
      <c r="GE1301" s="4">
        <v>452</v>
      </c>
      <c r="GF1301" s="4">
        <v>446</v>
      </c>
      <c r="GG1301" s="4">
        <v>440</v>
      </c>
      <c r="GH1301" s="4">
        <v>434</v>
      </c>
      <c r="GI1301" s="4">
        <v>428</v>
      </c>
      <c r="GJ1301" s="4">
        <v>422</v>
      </c>
      <c r="GK1301" s="4">
        <v>414</v>
      </c>
      <c r="GL1301" s="4">
        <v>407</v>
      </c>
      <c r="GM1301" s="4">
        <v>400</v>
      </c>
      <c r="GN1301" s="4">
        <v>391</v>
      </c>
      <c r="GO1301" s="4">
        <v>380</v>
      </c>
      <c r="GP1301" s="4">
        <v>366</v>
      </c>
      <c r="GQ1301" s="4">
        <v>348</v>
      </c>
      <c r="GR1301" s="4">
        <v>335</v>
      </c>
      <c r="GS1301" s="4">
        <v>326</v>
      </c>
      <c r="GT1301" s="4">
        <v>318</v>
      </c>
      <c r="GU1301" s="4">
        <v>310</v>
      </c>
      <c r="GV1301" s="4">
        <v>397</v>
      </c>
      <c r="GW1301" s="4">
        <v>390</v>
      </c>
      <c r="GX1301" s="4">
        <v>383</v>
      </c>
      <c r="GY1301" s="4">
        <v>376</v>
      </c>
      <c r="GZ1301" s="4">
        <v>369</v>
      </c>
      <c r="HA1301" s="4">
        <v>362</v>
      </c>
      <c r="HB1301" s="4">
        <v>355</v>
      </c>
      <c r="HC1301" s="4">
        <v>347</v>
      </c>
      <c r="HD1301" s="19">
        <v>151.2</v>
      </c>
      <c r="HE1301" s="19">
        <v>152.4</v>
      </c>
      <c r="HF1301" s="19">
        <v>151.4</v>
      </c>
      <c r="HG1301" s="19">
        <v>150.4</v>
      </c>
      <c r="HH1301" s="19">
        <v>146.6</v>
      </c>
      <c r="HI1301" s="19">
        <v>145.7</v>
      </c>
      <c r="HJ1301" s="19">
        <v>144.8</v>
      </c>
      <c r="HK1301" s="19">
        <v>141.5</v>
      </c>
      <c r="HL1301" s="19">
        <v>73.2</v>
      </c>
      <c r="HM1301" s="19">
        <v>71.2</v>
      </c>
      <c r="HN1301" s="19">
        <v>70.1</v>
      </c>
      <c r="HO1301" s="19">
        <v>69.2</v>
      </c>
      <c r="HP1301" s="19">
        <v>69.1</v>
      </c>
      <c r="HQ1301" s="19">
        <v>131.6</v>
      </c>
      <c r="HR1301" s="19">
        <v>130.7</v>
      </c>
      <c r="HS1301" s="19">
        <v>129.6</v>
      </c>
      <c r="HT1301" s="19">
        <v>129.4</v>
      </c>
      <c r="HU1301" s="19">
        <v>128.4</v>
      </c>
      <c r="HV1301" s="19">
        <v>135.2</v>
      </c>
      <c r="HW1301" s="19">
        <v>134.2</v>
      </c>
      <c r="HX1301" s="19">
        <v>133.2</v>
      </c>
      <c r="HY1301" s="19">
        <v>132.2</v>
      </c>
      <c r="HZ1301" s="19">
        <v>131.2</v>
      </c>
      <c r="IA1301" s="19">
        <v>130.2</v>
      </c>
      <c r="IB1301" s="19">
        <v>129.2</v>
      </c>
      <c r="IC1301" s="19">
        <v>128.1</v>
      </c>
    </row>
    <row r="1302">
      <c r="A1302" s="2" t="s">
        <v>5118</v>
      </c>
      <c r="B1302" s="2" t="s">
        <v>871</v>
      </c>
      <c r="C1302" s="2" t="s">
        <v>606</v>
      </c>
      <c r="D1302" s="2" t="s">
        <v>361</v>
      </c>
      <c r="E1302" s="2" t="s">
        <v>872</v>
      </c>
      <c r="F1302" s="2" t="s">
        <v>5105</v>
      </c>
      <c r="G1302" s="2" t="s">
        <v>5106</v>
      </c>
      <c r="H1302" s="2" t="s">
        <v>5107</v>
      </c>
      <c r="I1302" s="2" t="s">
        <v>5108</v>
      </c>
      <c r="J1302" s="2" t="s">
        <v>270</v>
      </c>
      <c r="K1302" s="2" t="s">
        <v>5109</v>
      </c>
      <c r="L1302" s="3">
        <v>35.71</v>
      </c>
      <c r="M1302" s="3">
        <v>37.5</v>
      </c>
      <c r="N1302" s="3">
        <v>74.99</v>
      </c>
      <c r="O1302" s="2" t="s">
        <v>232</v>
      </c>
      <c r="P1302" s="2" t="s">
        <v>878</v>
      </c>
      <c r="Q1302" s="2" t="s">
        <v>234</v>
      </c>
      <c r="R1302" s="2" t="s">
        <v>235</v>
      </c>
      <c r="S1302" s="2" t="s">
        <v>235</v>
      </c>
      <c r="T1302" s="2" t="s">
        <v>879</v>
      </c>
      <c r="U1302" s="2" t="s">
        <v>742</v>
      </c>
      <c r="V1302" s="2" t="s">
        <v>420</v>
      </c>
      <c r="W1302" s="2" t="s">
        <v>682</v>
      </c>
      <c r="X1302" s="2" t="s">
        <v>682</v>
      </c>
      <c r="Y1302" s="2" t="s">
        <v>3819</v>
      </c>
      <c r="Z1302" s="4">
        <v>503</v>
      </c>
      <c r="AA1302" s="4">
        <f>=ROUNDDOWN(359.285714285714,0)</f>
      </c>
      <c r="AB1302" s="5">
        <v>1.4</v>
      </c>
      <c r="AC1302" s="2" t="s">
        <v>4370</v>
      </c>
      <c r="AD1302" s="4">
        <v>3</v>
      </c>
      <c r="AE1302" s="4">
        <v>3</v>
      </c>
      <c r="AF1302" s="6">
        <v>64</v>
      </c>
      <c r="AG1302" s="6">
        <v>47</v>
      </c>
      <c r="AH1302" s="7">
        <v>1</v>
      </c>
      <c r="AI1302" s="4"/>
      <c r="AJ1302" s="4">
        <f>=ROUNDDOWN({0},0)</f>
      </c>
      <c r="AK1302" s="5"/>
      <c r="AL1302" s="2" t="s">
        <v>235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235</v>
      </c>
      <c r="AW1302" s="8" t="s">
        <v>235</v>
      </c>
      <c r="AX1302" s="4" t="s">
        <v>235</v>
      </c>
      <c r="AY1302" s="8" t="s">
        <v>235</v>
      </c>
      <c r="AZ1302" s="7" t="s">
        <v>235</v>
      </c>
      <c r="BA1302" s="7" t="s">
        <v>235</v>
      </c>
      <c r="BB1302" s="7" t="s">
        <v>235</v>
      </c>
      <c r="BC1302" s="4" t="s">
        <v>235</v>
      </c>
      <c r="BD1302" s="8" t="s">
        <v>235</v>
      </c>
      <c r="BE1302" s="4" t="s">
        <v>235</v>
      </c>
      <c r="BF1302" s="8" t="s">
        <v>235</v>
      </c>
      <c r="BG1302" s="7" t="s">
        <v>235</v>
      </c>
      <c r="BH1302" s="7" t="s">
        <v>235</v>
      </c>
      <c r="BI1302" s="7"/>
      <c r="BJ1302" s="4">
        <v>25</v>
      </c>
      <c r="BK1302" s="8">
        <v>1442.5</v>
      </c>
      <c r="BL1302" s="2" t="s">
        <v>2683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5110</v>
      </c>
      <c r="BV1302" s="2" t="s">
        <v>235</v>
      </c>
      <c r="BW1302" s="2" t="s">
        <v>235</v>
      </c>
      <c r="BX1302" s="2" t="s">
        <v>619</v>
      </c>
      <c r="BY1302" s="2" t="s">
        <v>245</v>
      </c>
      <c r="BZ1302" s="2" t="s">
        <v>232</v>
      </c>
      <c r="CA1302" s="2" t="s">
        <v>235</v>
      </c>
      <c r="CB1302" s="2" t="s">
        <v>235</v>
      </c>
      <c r="CC1302" s="2" t="s">
        <v>248</v>
      </c>
      <c r="CD1302" s="2" t="s">
        <v>248</v>
      </c>
      <c r="CE1302" s="2" t="s">
        <v>235</v>
      </c>
      <c r="CF1302" s="4">
        <v>221</v>
      </c>
      <c r="CG1302" s="4"/>
      <c r="CH1302" s="4"/>
      <c r="CI1302" s="4">
        <v>282</v>
      </c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>
        <v>3</v>
      </c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>
        <v>503</v>
      </c>
      <c r="GE1302" s="4">
        <v>494</v>
      </c>
      <c r="GF1302" s="4">
        <v>487</v>
      </c>
      <c r="GG1302" s="4">
        <v>480</v>
      </c>
      <c r="GH1302" s="4">
        <v>473</v>
      </c>
      <c r="GI1302" s="4">
        <v>466</v>
      </c>
      <c r="GJ1302" s="4">
        <v>459</v>
      </c>
      <c r="GK1302" s="4">
        <v>452</v>
      </c>
      <c r="GL1302" s="4">
        <v>445</v>
      </c>
      <c r="GM1302" s="4">
        <v>435</v>
      </c>
      <c r="GN1302" s="4">
        <v>425</v>
      </c>
      <c r="GO1302" s="4">
        <v>415</v>
      </c>
      <c r="GP1302" s="4">
        <v>398</v>
      </c>
      <c r="GQ1302" s="4">
        <v>381</v>
      </c>
      <c r="GR1302" s="4">
        <v>367</v>
      </c>
      <c r="GS1302" s="4">
        <v>357</v>
      </c>
      <c r="GT1302" s="4">
        <v>347</v>
      </c>
      <c r="GU1302" s="4">
        <v>339</v>
      </c>
      <c r="GV1302" s="4">
        <v>331</v>
      </c>
      <c r="GW1302" s="4">
        <v>323</v>
      </c>
      <c r="GX1302" s="4">
        <v>315</v>
      </c>
      <c r="GY1302" s="4">
        <v>307</v>
      </c>
      <c r="GZ1302" s="4">
        <v>299</v>
      </c>
      <c r="HA1302" s="4">
        <v>291</v>
      </c>
      <c r="HB1302" s="4">
        <v>283</v>
      </c>
      <c r="HC1302" s="4">
        <v>274</v>
      </c>
      <c r="HD1302" s="19">
        <v>88.9</v>
      </c>
      <c r="HE1302" s="19">
        <v>91.7</v>
      </c>
      <c r="HF1302" s="19">
        <v>90.7</v>
      </c>
      <c r="HG1302" s="19">
        <v>89.7</v>
      </c>
      <c r="HH1302" s="19">
        <v>88.7</v>
      </c>
      <c r="HI1302" s="19">
        <v>84.5</v>
      </c>
      <c r="HJ1302" s="19">
        <v>83.6</v>
      </c>
      <c r="HK1302" s="19">
        <v>60.2</v>
      </c>
      <c r="HL1302" s="19">
        <v>44.6</v>
      </c>
      <c r="HM1302" s="19">
        <v>41.7</v>
      </c>
      <c r="HN1302" s="19">
        <v>40.9</v>
      </c>
      <c r="HO1302" s="19">
        <v>40.2</v>
      </c>
      <c r="HP1302" s="19">
        <v>39.8</v>
      </c>
      <c r="HQ1302" s="19">
        <v>49.8</v>
      </c>
      <c r="HR1302" s="19">
        <v>71.4</v>
      </c>
      <c r="HS1302" s="19">
        <v>70.1</v>
      </c>
      <c r="HT1302" s="19">
        <v>68.8</v>
      </c>
      <c r="HU1302" s="19">
        <v>67.8</v>
      </c>
      <c r="HV1302" s="19">
        <v>66.8</v>
      </c>
      <c r="HW1302" s="19">
        <v>65.8</v>
      </c>
      <c r="HX1302" s="19">
        <v>64.8</v>
      </c>
      <c r="HY1302" s="19">
        <v>63.8</v>
      </c>
      <c r="HZ1302" s="19">
        <v>62.8</v>
      </c>
      <c r="IA1302" s="19">
        <v>61.8</v>
      </c>
      <c r="IB1302" s="19">
        <v>60.8</v>
      </c>
      <c r="IC1302" s="19">
        <v>59.7</v>
      </c>
    </row>
    <row r="1303">
      <c r="A1303" s="2" t="s">
        <v>5119</v>
      </c>
      <c r="B1303" s="2" t="s">
        <v>871</v>
      </c>
      <c r="C1303" s="2" t="s">
        <v>606</v>
      </c>
      <c r="D1303" s="2" t="s">
        <v>906</v>
      </c>
      <c r="E1303" s="2" t="s">
        <v>1301</v>
      </c>
      <c r="F1303" s="2" t="s">
        <v>5105</v>
      </c>
      <c r="G1303" s="2" t="s">
        <v>5106</v>
      </c>
      <c r="H1303" s="2" t="s">
        <v>5107</v>
      </c>
      <c r="I1303" s="2" t="s">
        <v>5112</v>
      </c>
      <c r="J1303" s="2" t="s">
        <v>270</v>
      </c>
      <c r="K1303" s="2" t="s">
        <v>5109</v>
      </c>
      <c r="L1303" s="3">
        <v>23.8</v>
      </c>
      <c r="M1303" s="3">
        <v>24.99</v>
      </c>
      <c r="N1303" s="3">
        <v>49.99</v>
      </c>
      <c r="O1303" s="2" t="s">
        <v>232</v>
      </c>
      <c r="P1303" s="2" t="s">
        <v>878</v>
      </c>
      <c r="Q1303" s="2" t="s">
        <v>234</v>
      </c>
      <c r="R1303" s="2" t="s">
        <v>235</v>
      </c>
      <c r="S1303" s="2" t="s">
        <v>235</v>
      </c>
      <c r="T1303" s="2" t="s">
        <v>879</v>
      </c>
      <c r="U1303" s="2" t="s">
        <v>552</v>
      </c>
      <c r="V1303" s="2" t="s">
        <v>420</v>
      </c>
      <c r="W1303" s="2" t="s">
        <v>682</v>
      </c>
      <c r="X1303" s="2" t="s">
        <v>682</v>
      </c>
      <c r="Y1303" s="2" t="s">
        <v>4811</v>
      </c>
      <c r="Z1303" s="4">
        <v>414</v>
      </c>
      <c r="AA1303" s="4">
        <f>=ROUNDDOWN(88.0851063829787,0)</f>
      </c>
      <c r="AB1303" s="5">
        <v>4.7</v>
      </c>
      <c r="AC1303" s="2" t="s">
        <v>235</v>
      </c>
      <c r="AD1303" s="4"/>
      <c r="AE1303" s="4"/>
      <c r="AF1303" s="6">
        <v>64</v>
      </c>
      <c r="AG1303" s="6">
        <v>47</v>
      </c>
      <c r="AH1303" s="7">
        <v>1</v>
      </c>
      <c r="AI1303" s="4"/>
      <c r="AJ1303" s="4">
        <f>=ROUNDDOWN({0},0)</f>
      </c>
      <c r="AK1303" s="5"/>
      <c r="AL1303" s="2" t="s">
        <v>235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235</v>
      </c>
      <c r="AW1303" s="8" t="s">
        <v>235</v>
      </c>
      <c r="AX1303" s="4" t="s">
        <v>235</v>
      </c>
      <c r="AY1303" s="8" t="s">
        <v>235</v>
      </c>
      <c r="AZ1303" s="7" t="s">
        <v>235</v>
      </c>
      <c r="BA1303" s="7" t="s">
        <v>235</v>
      </c>
      <c r="BB1303" s="7" t="s">
        <v>235</v>
      </c>
      <c r="BC1303" s="4" t="s">
        <v>235</v>
      </c>
      <c r="BD1303" s="8" t="s">
        <v>235</v>
      </c>
      <c r="BE1303" s="4" t="s">
        <v>235</v>
      </c>
      <c r="BF1303" s="8" t="s">
        <v>235</v>
      </c>
      <c r="BG1303" s="7" t="s">
        <v>235</v>
      </c>
      <c r="BH1303" s="7" t="s">
        <v>235</v>
      </c>
      <c r="BI1303" s="7"/>
      <c r="BJ1303" s="4">
        <v>21</v>
      </c>
      <c r="BK1303" s="8">
        <v>602.7</v>
      </c>
      <c r="BL1303" s="2" t="s">
        <v>2683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5113</v>
      </c>
      <c r="BV1303" s="2" t="s">
        <v>235</v>
      </c>
      <c r="BW1303" s="2" t="s">
        <v>235</v>
      </c>
      <c r="BX1303" s="2" t="s">
        <v>619</v>
      </c>
      <c r="BY1303" s="2" t="s">
        <v>245</v>
      </c>
      <c r="BZ1303" s="2" t="s">
        <v>232</v>
      </c>
      <c r="CA1303" s="2" t="s">
        <v>235</v>
      </c>
      <c r="CB1303" s="2" t="s">
        <v>235</v>
      </c>
      <c r="CC1303" s="2" t="s">
        <v>248</v>
      </c>
      <c r="CD1303" s="2" t="s">
        <v>248</v>
      </c>
      <c r="CE1303" s="2" t="s">
        <v>235</v>
      </c>
      <c r="CF1303" s="4">
        <v>156</v>
      </c>
      <c r="CG1303" s="4"/>
      <c r="CH1303" s="4"/>
      <c r="CI1303" s="4">
        <v>258</v>
      </c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>
        <v>418</v>
      </c>
      <c r="GE1303" s="4">
        <v>405</v>
      </c>
      <c r="GF1303" s="4">
        <v>396</v>
      </c>
      <c r="GG1303" s="4">
        <v>386</v>
      </c>
      <c r="GH1303" s="4">
        <v>376</v>
      </c>
      <c r="GI1303" s="4">
        <v>364</v>
      </c>
      <c r="GJ1303" s="4">
        <v>351</v>
      </c>
      <c r="GK1303" s="4">
        <v>339</v>
      </c>
      <c r="GL1303" s="4">
        <v>329</v>
      </c>
      <c r="GM1303" s="4">
        <v>319</v>
      </c>
      <c r="GN1303" s="4">
        <v>308</v>
      </c>
      <c r="GO1303" s="4">
        <v>297</v>
      </c>
      <c r="GP1303" s="4">
        <v>282</v>
      </c>
      <c r="GQ1303" s="4">
        <v>265</v>
      </c>
      <c r="GR1303" s="4">
        <v>250</v>
      </c>
      <c r="GS1303" s="4">
        <v>240</v>
      </c>
      <c r="GT1303" s="4">
        <v>230</v>
      </c>
      <c r="GU1303" s="4">
        <v>220</v>
      </c>
      <c r="GV1303" s="4">
        <v>209</v>
      </c>
      <c r="GW1303" s="4">
        <v>200</v>
      </c>
      <c r="GX1303" s="4">
        <v>192</v>
      </c>
      <c r="GY1303" s="4">
        <v>184</v>
      </c>
      <c r="GZ1303" s="4">
        <v>176</v>
      </c>
      <c r="HA1303" s="4">
        <v>168</v>
      </c>
      <c r="HB1303" s="4">
        <v>160</v>
      </c>
      <c r="HC1303" s="4">
        <v>151</v>
      </c>
      <c r="HD1303" s="19">
        <v>53</v>
      </c>
      <c r="HE1303" s="19">
        <v>53.2</v>
      </c>
      <c r="HF1303" s="19">
        <v>40.5</v>
      </c>
      <c r="HG1303" s="19">
        <v>39.7</v>
      </c>
      <c r="HH1303" s="19">
        <v>38.9</v>
      </c>
      <c r="HI1303" s="19">
        <v>37.9</v>
      </c>
      <c r="HJ1303" s="19">
        <v>46.7</v>
      </c>
      <c r="HK1303" s="19">
        <v>45.6</v>
      </c>
      <c r="HL1303" s="19">
        <v>44</v>
      </c>
      <c r="HM1303" s="19">
        <v>42.2</v>
      </c>
      <c r="HN1303" s="19">
        <v>41</v>
      </c>
      <c r="HO1303" s="19">
        <v>40.3</v>
      </c>
      <c r="HP1303" s="19">
        <v>58.1</v>
      </c>
      <c r="HQ1303" s="19">
        <v>56.9</v>
      </c>
      <c r="HR1303" s="19">
        <v>55.8</v>
      </c>
      <c r="HS1303" s="19">
        <v>37.4</v>
      </c>
      <c r="HT1303" s="19">
        <v>28.3</v>
      </c>
      <c r="HU1303" s="19">
        <v>18.9</v>
      </c>
      <c r="HV1303" s="19">
        <v>15.7</v>
      </c>
      <c r="HW1303" s="19">
        <v>12.5</v>
      </c>
      <c r="HX1303" s="19">
        <v>12</v>
      </c>
      <c r="HY1303" s="19">
        <v>11.5</v>
      </c>
      <c r="HZ1303" s="19">
        <v>11</v>
      </c>
      <c r="IA1303" s="19">
        <v>10.5</v>
      </c>
      <c r="IB1303" s="19">
        <v>11.5</v>
      </c>
      <c r="IC1303" s="19">
        <v>15.1</v>
      </c>
    </row>
    <row r="1304">
      <c r="A1304" s="2" t="s">
        <v>5120</v>
      </c>
      <c r="B1304" s="2" t="s">
        <v>871</v>
      </c>
      <c r="C1304" s="2" t="s">
        <v>606</v>
      </c>
      <c r="D1304" s="2" t="s">
        <v>361</v>
      </c>
      <c r="E1304" s="2" t="s">
        <v>872</v>
      </c>
      <c r="F1304" s="2" t="s">
        <v>5105</v>
      </c>
      <c r="G1304" s="2" t="s">
        <v>5106</v>
      </c>
      <c r="H1304" s="2" t="s">
        <v>5107</v>
      </c>
      <c r="I1304" s="2" t="s">
        <v>5108</v>
      </c>
      <c r="J1304" s="2" t="s">
        <v>272</v>
      </c>
      <c r="K1304" s="2" t="s">
        <v>5109</v>
      </c>
      <c r="L1304" s="3">
        <v>38.09</v>
      </c>
      <c r="M1304" s="3">
        <v>39.99</v>
      </c>
      <c r="N1304" s="3">
        <v>79.99</v>
      </c>
      <c r="O1304" s="2" t="s">
        <v>232</v>
      </c>
      <c r="P1304" s="2" t="s">
        <v>878</v>
      </c>
      <c r="Q1304" s="2" t="s">
        <v>234</v>
      </c>
      <c r="R1304" s="2" t="s">
        <v>235</v>
      </c>
      <c r="S1304" s="2" t="s">
        <v>235</v>
      </c>
      <c r="T1304" s="2" t="s">
        <v>879</v>
      </c>
      <c r="U1304" s="2" t="s">
        <v>742</v>
      </c>
      <c r="V1304" s="2" t="s">
        <v>420</v>
      </c>
      <c r="W1304" s="2" t="s">
        <v>682</v>
      </c>
      <c r="X1304" s="2" t="s">
        <v>682</v>
      </c>
      <c r="Y1304" s="2" t="s">
        <v>3819</v>
      </c>
      <c r="Z1304" s="4">
        <v>378</v>
      </c>
      <c r="AA1304" s="4">
        <f>=ROUNDDOWN(222.352941176471,0)</f>
      </c>
      <c r="AB1304" s="5">
        <v>1.7</v>
      </c>
      <c r="AC1304" s="2" t="s">
        <v>4370</v>
      </c>
      <c r="AD1304" s="4">
        <v>3</v>
      </c>
      <c r="AE1304" s="4">
        <v>3</v>
      </c>
      <c r="AF1304" s="6">
        <v>64</v>
      </c>
      <c r="AG1304" s="6">
        <v>47</v>
      </c>
      <c r="AH1304" s="7">
        <v>1</v>
      </c>
      <c r="AI1304" s="4"/>
      <c r="AJ1304" s="4">
        <f>=ROUNDDOWN({0},0)</f>
      </c>
      <c r="AK1304" s="5"/>
      <c r="AL1304" s="2" t="s">
        <v>235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235</v>
      </c>
      <c r="AW1304" s="8" t="s">
        <v>235</v>
      </c>
      <c r="AX1304" s="4" t="s">
        <v>235</v>
      </c>
      <c r="AY1304" s="8" t="s">
        <v>235</v>
      </c>
      <c r="AZ1304" s="7" t="s">
        <v>235</v>
      </c>
      <c r="BA1304" s="7" t="s">
        <v>235</v>
      </c>
      <c r="BB1304" s="7" t="s">
        <v>235</v>
      </c>
      <c r="BC1304" s="4" t="s">
        <v>235</v>
      </c>
      <c r="BD1304" s="8" t="s">
        <v>235</v>
      </c>
      <c r="BE1304" s="4" t="s">
        <v>235</v>
      </c>
      <c r="BF1304" s="8" t="s">
        <v>235</v>
      </c>
      <c r="BG1304" s="7" t="s">
        <v>235</v>
      </c>
      <c r="BH1304" s="7" t="s">
        <v>235</v>
      </c>
      <c r="BI1304" s="7"/>
      <c r="BJ1304" s="4">
        <v>8</v>
      </c>
      <c r="BK1304" s="8">
        <v>484</v>
      </c>
      <c r="BL1304" s="2" t="s">
        <v>2683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5110</v>
      </c>
      <c r="BV1304" s="2" t="s">
        <v>235</v>
      </c>
      <c r="BW1304" s="2" t="s">
        <v>235</v>
      </c>
      <c r="BX1304" s="2" t="s">
        <v>619</v>
      </c>
      <c r="BY1304" s="2" t="s">
        <v>245</v>
      </c>
      <c r="BZ1304" s="2" t="s">
        <v>232</v>
      </c>
      <c r="CA1304" s="2" t="s">
        <v>235</v>
      </c>
      <c r="CB1304" s="2" t="s">
        <v>266</v>
      </c>
      <c r="CC1304" s="2" t="s">
        <v>248</v>
      </c>
      <c r="CD1304" s="2" t="s">
        <v>248</v>
      </c>
      <c r="CE1304" s="2" t="s">
        <v>235</v>
      </c>
      <c r="CF1304" s="4">
        <v>198</v>
      </c>
      <c r="CG1304" s="4"/>
      <c r="CH1304" s="4"/>
      <c r="CI1304" s="4">
        <v>180</v>
      </c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>
        <v>3</v>
      </c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>
        <v>378</v>
      </c>
      <c r="GE1304" s="4">
        <v>379</v>
      </c>
      <c r="GF1304" s="4">
        <v>377</v>
      </c>
      <c r="GG1304" s="4">
        <v>374</v>
      </c>
      <c r="GH1304" s="4">
        <v>371</v>
      </c>
      <c r="GI1304" s="4">
        <v>367</v>
      </c>
      <c r="GJ1304" s="4">
        <v>363</v>
      </c>
      <c r="GK1304" s="4">
        <v>359</v>
      </c>
      <c r="GL1304" s="4">
        <v>356</v>
      </c>
      <c r="GM1304" s="4">
        <v>353</v>
      </c>
      <c r="GN1304" s="4">
        <v>350</v>
      </c>
      <c r="GO1304" s="4">
        <v>347</v>
      </c>
      <c r="GP1304" s="4">
        <v>342</v>
      </c>
      <c r="GQ1304" s="4">
        <v>337</v>
      </c>
      <c r="GR1304" s="4">
        <v>332</v>
      </c>
      <c r="GS1304" s="4">
        <v>329</v>
      </c>
      <c r="GT1304" s="4">
        <v>326</v>
      </c>
      <c r="GU1304" s="4">
        <v>323</v>
      </c>
      <c r="GV1304" s="4">
        <v>320</v>
      </c>
      <c r="GW1304" s="4">
        <v>317</v>
      </c>
      <c r="GX1304" s="4">
        <v>314</v>
      </c>
      <c r="GY1304" s="4">
        <v>311</v>
      </c>
      <c r="GZ1304" s="4">
        <v>308</v>
      </c>
      <c r="HA1304" s="4">
        <v>305</v>
      </c>
      <c r="HB1304" s="4">
        <v>302</v>
      </c>
      <c r="HC1304" s="4">
        <v>299</v>
      </c>
      <c r="HD1304" s="19">
        <v>139.5</v>
      </c>
      <c r="HE1304" s="19">
        <v>140.3</v>
      </c>
      <c r="HF1304" s="19">
        <v>94.3</v>
      </c>
      <c r="HG1304" s="19">
        <v>93.5</v>
      </c>
      <c r="HH1304" s="19">
        <v>92.8</v>
      </c>
      <c r="HI1304" s="19">
        <v>91.8</v>
      </c>
      <c r="HJ1304" s="19">
        <v>134.5</v>
      </c>
      <c r="HK1304" s="19">
        <v>133</v>
      </c>
      <c r="HL1304" s="19">
        <v>132</v>
      </c>
      <c r="HM1304" s="19">
        <v>88.3</v>
      </c>
      <c r="HN1304" s="19">
        <v>72.5</v>
      </c>
      <c r="HO1304" s="19">
        <v>71.9</v>
      </c>
      <c r="HP1304" s="19">
        <v>85.5</v>
      </c>
      <c r="HQ1304" s="19">
        <v>125.5</v>
      </c>
      <c r="HR1304" s="19">
        <v>123.8</v>
      </c>
      <c r="HS1304" s="19">
        <v>122.8</v>
      </c>
      <c r="HT1304" s="19">
        <v>121.8</v>
      </c>
      <c r="HU1304" s="19">
        <v>120.8</v>
      </c>
      <c r="HV1304" s="19">
        <v>119.8</v>
      </c>
      <c r="HW1304" s="19">
        <v>118.8</v>
      </c>
      <c r="HX1304" s="19">
        <v>117.8</v>
      </c>
      <c r="HY1304" s="19">
        <v>116.8</v>
      </c>
      <c r="HZ1304" s="19">
        <v>115.8</v>
      </c>
      <c r="IA1304" s="19">
        <v>114.8</v>
      </c>
      <c r="IB1304" s="19">
        <v>113.8</v>
      </c>
      <c r="IC1304" s="19">
        <v>112.8</v>
      </c>
    </row>
    <row r="1305">
      <c r="A1305" s="2" t="s">
        <v>5121</v>
      </c>
      <c r="B1305" s="2" t="s">
        <v>871</v>
      </c>
      <c r="C1305" s="2" t="s">
        <v>606</v>
      </c>
      <c r="D1305" s="2" t="s">
        <v>906</v>
      </c>
      <c r="E1305" s="2" t="s">
        <v>1301</v>
      </c>
      <c r="F1305" s="2" t="s">
        <v>5105</v>
      </c>
      <c r="G1305" s="2" t="s">
        <v>5106</v>
      </c>
      <c r="H1305" s="2" t="s">
        <v>5107</v>
      </c>
      <c r="I1305" s="2" t="s">
        <v>5112</v>
      </c>
      <c r="J1305" s="2" t="s">
        <v>272</v>
      </c>
      <c r="K1305" s="2" t="s">
        <v>5109</v>
      </c>
      <c r="L1305" s="3">
        <v>26.19</v>
      </c>
      <c r="M1305" s="3">
        <v>27.5</v>
      </c>
      <c r="N1305" s="3">
        <v>54.99</v>
      </c>
      <c r="O1305" s="2" t="s">
        <v>232</v>
      </c>
      <c r="P1305" s="2" t="s">
        <v>878</v>
      </c>
      <c r="Q1305" s="2" t="s">
        <v>234</v>
      </c>
      <c r="R1305" s="2" t="s">
        <v>235</v>
      </c>
      <c r="S1305" s="2" t="s">
        <v>235</v>
      </c>
      <c r="T1305" s="2" t="s">
        <v>879</v>
      </c>
      <c r="U1305" s="2" t="s">
        <v>552</v>
      </c>
      <c r="V1305" s="2" t="s">
        <v>420</v>
      </c>
      <c r="W1305" s="2" t="s">
        <v>682</v>
      </c>
      <c r="X1305" s="2" t="s">
        <v>682</v>
      </c>
      <c r="Y1305" s="2" t="s">
        <v>4811</v>
      </c>
      <c r="Z1305" s="4">
        <v>163</v>
      </c>
      <c r="AA1305" s="4">
        <f>=ROUNDDOWN(326,0)</f>
      </c>
      <c r="AB1305" s="5">
        <v>0.5</v>
      </c>
      <c r="AC1305" s="2" t="s">
        <v>235</v>
      </c>
      <c r="AD1305" s="4"/>
      <c r="AE1305" s="4"/>
      <c r="AF1305" s="6">
        <v>64</v>
      </c>
      <c r="AG1305" s="6">
        <v>47</v>
      </c>
      <c r="AH1305" s="7">
        <v>1</v>
      </c>
      <c r="AI1305" s="4"/>
      <c r="AJ1305" s="4">
        <f>=ROUNDDOWN({0},0)</f>
      </c>
      <c r="AK1305" s="5"/>
      <c r="AL1305" s="2" t="s">
        <v>235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235</v>
      </c>
      <c r="AW1305" s="8" t="s">
        <v>235</v>
      </c>
      <c r="AX1305" s="4" t="s">
        <v>235</v>
      </c>
      <c r="AY1305" s="8" t="s">
        <v>235</v>
      </c>
      <c r="AZ1305" s="7" t="s">
        <v>235</v>
      </c>
      <c r="BA1305" s="7" t="s">
        <v>235</v>
      </c>
      <c r="BB1305" s="7" t="s">
        <v>235</v>
      </c>
      <c r="BC1305" s="4" t="s">
        <v>235</v>
      </c>
      <c r="BD1305" s="8" t="s">
        <v>235</v>
      </c>
      <c r="BE1305" s="4" t="s">
        <v>235</v>
      </c>
      <c r="BF1305" s="8" t="s">
        <v>235</v>
      </c>
      <c r="BG1305" s="7" t="s">
        <v>235</v>
      </c>
      <c r="BH1305" s="7" t="s">
        <v>235</v>
      </c>
      <c r="BI1305" s="7"/>
      <c r="BJ1305" s="4">
        <v>5</v>
      </c>
      <c r="BK1305" s="8">
        <v>149.5</v>
      </c>
      <c r="BL1305" s="2" t="s">
        <v>2683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5113</v>
      </c>
      <c r="BV1305" s="2" t="s">
        <v>235</v>
      </c>
      <c r="BW1305" s="2" t="s">
        <v>235</v>
      </c>
      <c r="BX1305" s="2" t="s">
        <v>619</v>
      </c>
      <c r="BY1305" s="2" t="s">
        <v>245</v>
      </c>
      <c r="BZ1305" s="2" t="s">
        <v>232</v>
      </c>
      <c r="CA1305" s="2" t="s">
        <v>235</v>
      </c>
      <c r="CB1305" s="2" t="s">
        <v>235</v>
      </c>
      <c r="CC1305" s="2" t="s">
        <v>248</v>
      </c>
      <c r="CD1305" s="2" t="s">
        <v>248</v>
      </c>
      <c r="CE1305" s="2" t="s">
        <v>235</v>
      </c>
      <c r="CF1305" s="4">
        <v>64</v>
      </c>
      <c r="CG1305" s="4"/>
      <c r="CH1305" s="4"/>
      <c r="CI1305" s="4">
        <v>99</v>
      </c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>
        <v>163</v>
      </c>
      <c r="GE1305" s="4">
        <v>156</v>
      </c>
      <c r="GF1305" s="4">
        <v>152</v>
      </c>
      <c r="GG1305" s="4">
        <v>148</v>
      </c>
      <c r="GH1305" s="4">
        <v>144</v>
      </c>
      <c r="GI1305" s="4">
        <v>139</v>
      </c>
      <c r="GJ1305" s="4">
        <v>134</v>
      </c>
      <c r="GK1305" s="4">
        <v>129</v>
      </c>
      <c r="GL1305" s="4">
        <v>125</v>
      </c>
      <c r="GM1305" s="4">
        <v>121</v>
      </c>
      <c r="GN1305" s="4">
        <v>117</v>
      </c>
      <c r="GO1305" s="4">
        <v>112</v>
      </c>
      <c r="GP1305" s="4">
        <v>105</v>
      </c>
      <c r="GQ1305" s="4">
        <v>97</v>
      </c>
      <c r="GR1305" s="4">
        <v>90</v>
      </c>
      <c r="GS1305" s="4">
        <v>86</v>
      </c>
      <c r="GT1305" s="4">
        <v>82</v>
      </c>
      <c r="GU1305" s="4">
        <v>78</v>
      </c>
      <c r="GV1305" s="4">
        <v>74</v>
      </c>
      <c r="GW1305" s="4">
        <v>70</v>
      </c>
      <c r="GX1305" s="4">
        <v>66</v>
      </c>
      <c r="GY1305" s="4">
        <v>62</v>
      </c>
      <c r="GZ1305" s="4">
        <v>58</v>
      </c>
      <c r="HA1305" s="4">
        <v>54</v>
      </c>
      <c r="HB1305" s="4">
        <v>50</v>
      </c>
      <c r="HC1305" s="4">
        <v>46</v>
      </c>
      <c r="HD1305" s="19">
        <v>57.5</v>
      </c>
      <c r="HE1305" s="19">
        <v>58.7</v>
      </c>
      <c r="HF1305" s="19">
        <v>55.4</v>
      </c>
      <c r="HG1305" s="19">
        <v>54.5</v>
      </c>
      <c r="HH1305" s="19">
        <v>53.7</v>
      </c>
      <c r="HI1305" s="19">
        <v>52.7</v>
      </c>
      <c r="HJ1305" s="19">
        <v>53.4</v>
      </c>
      <c r="HK1305" s="19">
        <v>52.2</v>
      </c>
      <c r="HL1305" s="19">
        <v>49.8</v>
      </c>
      <c r="HM1305" s="19">
        <v>26.4</v>
      </c>
      <c r="HN1305" s="19">
        <v>25.1</v>
      </c>
      <c r="HO1305" s="19">
        <v>24.4</v>
      </c>
      <c r="HP1305" s="19">
        <v>23.9</v>
      </c>
      <c r="HQ1305" s="19">
        <v>23.2</v>
      </c>
      <c r="HR1305" s="19">
        <v>22.5</v>
      </c>
      <c r="HS1305" s="19">
        <v>16</v>
      </c>
      <c r="HT1305" s="19">
        <v>10</v>
      </c>
      <c r="HU1305" s="19">
        <v>9.8</v>
      </c>
      <c r="HV1305" s="19">
        <v>9.3</v>
      </c>
      <c r="HW1305" s="19">
        <v>8.8</v>
      </c>
      <c r="HX1305" s="19">
        <v>8.3</v>
      </c>
      <c r="HY1305" s="19">
        <v>7.8</v>
      </c>
      <c r="HZ1305" s="19">
        <v>7.3</v>
      </c>
      <c r="IA1305" s="19">
        <v>6.8</v>
      </c>
      <c r="IB1305" s="19">
        <v>8.4</v>
      </c>
      <c r="IC1305" s="19">
        <v>11.5</v>
      </c>
    </row>
    <row r="1306">
      <c r="A1306" s="2" t="s">
        <v>5122</v>
      </c>
      <c r="B1306" s="2" t="s">
        <v>871</v>
      </c>
      <c r="C1306" s="2" t="s">
        <v>606</v>
      </c>
      <c r="D1306" s="2" t="s">
        <v>361</v>
      </c>
      <c r="E1306" s="2" t="s">
        <v>872</v>
      </c>
      <c r="F1306" s="2" t="s">
        <v>5105</v>
      </c>
      <c r="G1306" s="2" t="s">
        <v>5106</v>
      </c>
      <c r="H1306" s="2" t="s">
        <v>5107</v>
      </c>
      <c r="I1306" s="2" t="s">
        <v>5108</v>
      </c>
      <c r="J1306" s="2" t="s">
        <v>877</v>
      </c>
      <c r="K1306" s="2" t="s">
        <v>338</v>
      </c>
      <c r="L1306" s="3">
        <v>26.19</v>
      </c>
      <c r="M1306" s="3">
        <v>27.5</v>
      </c>
      <c r="N1306" s="3">
        <v>54.99</v>
      </c>
      <c r="O1306" s="2" t="s">
        <v>232</v>
      </c>
      <c r="P1306" s="2" t="s">
        <v>878</v>
      </c>
      <c r="Q1306" s="2" t="s">
        <v>234</v>
      </c>
      <c r="R1306" s="2" t="s">
        <v>235</v>
      </c>
      <c r="S1306" s="2" t="s">
        <v>235</v>
      </c>
      <c r="T1306" s="2" t="s">
        <v>879</v>
      </c>
      <c r="U1306" s="2" t="s">
        <v>282</v>
      </c>
      <c r="V1306" s="2" t="s">
        <v>420</v>
      </c>
      <c r="W1306" s="2" t="s">
        <v>682</v>
      </c>
      <c r="X1306" s="2" t="s">
        <v>682</v>
      </c>
      <c r="Y1306" s="2" t="s">
        <v>4811</v>
      </c>
      <c r="Z1306" s="4">
        <v>93</v>
      </c>
      <c r="AA1306" s="4">
        <f>=ROUNDDOWN({0},0)</f>
      </c>
      <c r="AB1306" s="5"/>
      <c r="AC1306" s="2" t="s">
        <v>235</v>
      </c>
      <c r="AD1306" s="4"/>
      <c r="AE1306" s="4"/>
      <c r="AF1306" s="6">
        <v>64</v>
      </c>
      <c r="AG1306" s="6">
        <v>47</v>
      </c>
      <c r="AH1306" s="7">
        <v>1</v>
      </c>
      <c r="AI1306" s="4"/>
      <c r="AJ1306" s="4">
        <f>=ROUNDDOWN({0},0)</f>
      </c>
      <c r="AK1306" s="5"/>
      <c r="AL1306" s="2" t="s">
        <v>235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235</v>
      </c>
      <c r="AW1306" s="8" t="s">
        <v>235</v>
      </c>
      <c r="AX1306" s="4" t="s">
        <v>235</v>
      </c>
      <c r="AY1306" s="8" t="s">
        <v>235</v>
      </c>
      <c r="AZ1306" s="7" t="s">
        <v>235</v>
      </c>
      <c r="BA1306" s="7" t="s">
        <v>235</v>
      </c>
      <c r="BB1306" s="7" t="s">
        <v>235</v>
      </c>
      <c r="BC1306" s="4" t="s">
        <v>235</v>
      </c>
      <c r="BD1306" s="8" t="s">
        <v>235</v>
      </c>
      <c r="BE1306" s="4" t="s">
        <v>235</v>
      </c>
      <c r="BF1306" s="8" t="s">
        <v>235</v>
      </c>
      <c r="BG1306" s="7" t="s">
        <v>235</v>
      </c>
      <c r="BH1306" s="7" t="s">
        <v>235</v>
      </c>
      <c r="BI1306" s="7"/>
      <c r="BJ1306" s="4"/>
      <c r="BK1306" s="8"/>
      <c r="BL1306" s="2" t="s">
        <v>235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5110</v>
      </c>
      <c r="BV1306" s="2" t="s">
        <v>235</v>
      </c>
      <c r="BW1306" s="2" t="s">
        <v>235</v>
      </c>
      <c r="BX1306" s="2" t="s">
        <v>619</v>
      </c>
      <c r="BY1306" s="2" t="s">
        <v>245</v>
      </c>
      <c r="BZ1306" s="2" t="s">
        <v>232</v>
      </c>
      <c r="CA1306" s="2" t="s">
        <v>235</v>
      </c>
      <c r="CB1306" s="2" t="s">
        <v>235</v>
      </c>
      <c r="CC1306" s="2" t="s">
        <v>248</v>
      </c>
      <c r="CD1306" s="2" t="s">
        <v>248</v>
      </c>
      <c r="CE1306" s="2" t="s">
        <v>235</v>
      </c>
      <c r="CF1306" s="4">
        <v>57</v>
      </c>
      <c r="CG1306" s="4"/>
      <c r="CH1306" s="4"/>
      <c r="CI1306" s="4">
        <v>36</v>
      </c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>
        <v>93</v>
      </c>
      <c r="GE1306" s="4">
        <v>88</v>
      </c>
      <c r="GF1306" s="4">
        <v>84</v>
      </c>
      <c r="GG1306" s="4">
        <v>80</v>
      </c>
      <c r="GH1306" s="4">
        <v>76</v>
      </c>
      <c r="GI1306" s="4">
        <v>72</v>
      </c>
      <c r="GJ1306" s="4">
        <v>68</v>
      </c>
      <c r="GK1306" s="4">
        <v>64</v>
      </c>
      <c r="GL1306" s="4">
        <v>60</v>
      </c>
      <c r="GM1306" s="4">
        <v>55</v>
      </c>
      <c r="GN1306" s="4">
        <v>50</v>
      </c>
      <c r="GO1306" s="4">
        <v>45</v>
      </c>
      <c r="GP1306" s="4">
        <v>36</v>
      </c>
      <c r="GQ1306" s="4">
        <v>27</v>
      </c>
      <c r="GR1306" s="4">
        <v>19</v>
      </c>
      <c r="GS1306" s="4">
        <v>68</v>
      </c>
      <c r="GT1306" s="4">
        <v>63</v>
      </c>
      <c r="GU1306" s="4">
        <v>59</v>
      </c>
      <c r="GV1306" s="4">
        <v>237</v>
      </c>
      <c r="GW1306" s="4">
        <v>233</v>
      </c>
      <c r="GX1306" s="4">
        <v>229</v>
      </c>
      <c r="GY1306" s="4">
        <v>225</v>
      </c>
      <c r="GZ1306" s="4">
        <v>221</v>
      </c>
      <c r="HA1306" s="4">
        <v>217</v>
      </c>
      <c r="HB1306" s="4">
        <v>213</v>
      </c>
      <c r="HC1306" s="4">
        <v>208</v>
      </c>
      <c r="HD1306" s="19">
        <v>27.5</v>
      </c>
      <c r="HE1306" s="19">
        <v>26.4</v>
      </c>
      <c r="HF1306" s="19">
        <v>25.4</v>
      </c>
      <c r="HG1306" s="19">
        <v>24.4</v>
      </c>
      <c r="HH1306" s="19">
        <v>23.4</v>
      </c>
      <c r="HI1306" s="19">
        <v>22.4</v>
      </c>
      <c r="HJ1306" s="19">
        <v>19.8</v>
      </c>
      <c r="HK1306" s="19">
        <v>18.9</v>
      </c>
      <c r="HL1306" s="19">
        <v>17.2</v>
      </c>
      <c r="HM1306" s="19">
        <v>9.1</v>
      </c>
      <c r="HN1306" s="19">
        <v>8.5</v>
      </c>
      <c r="HO1306" s="19">
        <v>6.2</v>
      </c>
      <c r="HP1306" s="19">
        <v>5.1</v>
      </c>
      <c r="HQ1306" s="19">
        <v>4.2</v>
      </c>
      <c r="HR1306" s="19">
        <v>2.4</v>
      </c>
      <c r="HS1306" s="19">
        <v>8.5</v>
      </c>
      <c r="HT1306" s="19">
        <v>15.8</v>
      </c>
      <c r="HU1306" s="19">
        <v>14.8</v>
      </c>
      <c r="HV1306" s="19">
        <v>57.9</v>
      </c>
      <c r="HW1306" s="19">
        <v>56.9</v>
      </c>
      <c r="HX1306" s="19">
        <v>55.9</v>
      </c>
      <c r="HY1306" s="19">
        <v>54.9</v>
      </c>
      <c r="HZ1306" s="19">
        <v>53.9</v>
      </c>
      <c r="IA1306" s="19">
        <v>52.9</v>
      </c>
      <c r="IB1306" s="19">
        <v>51.9</v>
      </c>
      <c r="IC1306" s="19">
        <v>50.7</v>
      </c>
    </row>
    <row r="1307">
      <c r="A1307" s="2" t="s">
        <v>5123</v>
      </c>
      <c r="B1307" s="2" t="s">
        <v>871</v>
      </c>
      <c r="C1307" s="2" t="s">
        <v>606</v>
      </c>
      <c r="D1307" s="2" t="s">
        <v>906</v>
      </c>
      <c r="E1307" s="2" t="s">
        <v>1301</v>
      </c>
      <c r="F1307" s="2" t="s">
        <v>5105</v>
      </c>
      <c r="G1307" s="2" t="s">
        <v>5106</v>
      </c>
      <c r="H1307" s="2" t="s">
        <v>5107</v>
      </c>
      <c r="I1307" s="2" t="s">
        <v>5112</v>
      </c>
      <c r="J1307" s="2" t="s">
        <v>877</v>
      </c>
      <c r="K1307" s="2" t="s">
        <v>338</v>
      </c>
      <c r="L1307" s="3">
        <v>16.66</v>
      </c>
      <c r="M1307" s="3">
        <v>17.49</v>
      </c>
      <c r="N1307" s="3">
        <v>34.99</v>
      </c>
      <c r="O1307" s="2" t="s">
        <v>232</v>
      </c>
      <c r="P1307" s="2" t="s">
        <v>878</v>
      </c>
      <c r="Q1307" s="2" t="s">
        <v>234</v>
      </c>
      <c r="R1307" s="2" t="s">
        <v>235</v>
      </c>
      <c r="S1307" s="2" t="s">
        <v>235</v>
      </c>
      <c r="T1307" s="2" t="s">
        <v>879</v>
      </c>
      <c r="U1307" s="2" t="s">
        <v>278</v>
      </c>
      <c r="V1307" s="2" t="s">
        <v>420</v>
      </c>
      <c r="W1307" s="2" t="s">
        <v>682</v>
      </c>
      <c r="X1307" s="2" t="s">
        <v>682</v>
      </c>
      <c r="Y1307" s="2" t="s">
        <v>4811</v>
      </c>
      <c r="Z1307" s="4">
        <v>34</v>
      </c>
      <c r="AA1307" s="4">
        <f>=ROUNDDOWN(17,0)</f>
      </c>
      <c r="AB1307" s="5">
        <v>2</v>
      </c>
      <c r="AC1307" s="2" t="s">
        <v>235</v>
      </c>
      <c r="AD1307" s="4"/>
      <c r="AE1307" s="4"/>
      <c r="AF1307" s="6">
        <v>64</v>
      </c>
      <c r="AG1307" s="6">
        <v>47</v>
      </c>
      <c r="AH1307" s="7">
        <v>1</v>
      </c>
      <c r="AI1307" s="4"/>
      <c r="AJ1307" s="4">
        <f>=ROUNDDOWN({0},0)</f>
      </c>
      <c r="AK1307" s="5"/>
      <c r="AL1307" s="2" t="s">
        <v>235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235</v>
      </c>
      <c r="AW1307" s="8" t="s">
        <v>235</v>
      </c>
      <c r="AX1307" s="4" t="s">
        <v>235</v>
      </c>
      <c r="AY1307" s="8" t="s">
        <v>235</v>
      </c>
      <c r="AZ1307" s="7" t="s">
        <v>235</v>
      </c>
      <c r="BA1307" s="7" t="s">
        <v>235</v>
      </c>
      <c r="BB1307" s="7" t="s">
        <v>235</v>
      </c>
      <c r="BC1307" s="4" t="s">
        <v>235</v>
      </c>
      <c r="BD1307" s="8" t="s">
        <v>235</v>
      </c>
      <c r="BE1307" s="4" t="s">
        <v>235</v>
      </c>
      <c r="BF1307" s="8" t="s">
        <v>235</v>
      </c>
      <c r="BG1307" s="7" t="s">
        <v>235</v>
      </c>
      <c r="BH1307" s="7" t="s">
        <v>235</v>
      </c>
      <c r="BI1307" s="7"/>
      <c r="BJ1307" s="4"/>
      <c r="BK1307" s="8"/>
      <c r="BL1307" s="2" t="s">
        <v>235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5113</v>
      </c>
      <c r="BV1307" s="2" t="s">
        <v>235</v>
      </c>
      <c r="BW1307" s="2" t="s">
        <v>235</v>
      </c>
      <c r="BX1307" s="2" t="s">
        <v>619</v>
      </c>
      <c r="BY1307" s="2" t="s">
        <v>245</v>
      </c>
      <c r="BZ1307" s="2" t="s">
        <v>232</v>
      </c>
      <c r="CA1307" s="2" t="s">
        <v>235</v>
      </c>
      <c r="CB1307" s="2" t="s">
        <v>235</v>
      </c>
      <c r="CC1307" s="2" t="s">
        <v>248</v>
      </c>
      <c r="CD1307" s="2" t="s">
        <v>248</v>
      </c>
      <c r="CE1307" s="2" t="s">
        <v>235</v>
      </c>
      <c r="CF1307" s="4">
        <v>22</v>
      </c>
      <c r="CG1307" s="4"/>
      <c r="CH1307" s="4"/>
      <c r="CI1307" s="4">
        <v>12</v>
      </c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>
        <v>34</v>
      </c>
      <c r="GE1307" s="4">
        <v>31</v>
      </c>
      <c r="GF1307" s="4">
        <v>28</v>
      </c>
      <c r="GG1307" s="4">
        <v>25</v>
      </c>
      <c r="GH1307" s="4">
        <v>22</v>
      </c>
      <c r="GI1307" s="4">
        <v>19</v>
      </c>
      <c r="GJ1307" s="4">
        <v>16</v>
      </c>
      <c r="GK1307" s="4">
        <v>13</v>
      </c>
      <c r="GL1307" s="4">
        <v>10</v>
      </c>
      <c r="GM1307" s="4">
        <v>7</v>
      </c>
      <c r="GN1307" s="4">
        <v>3</v>
      </c>
      <c r="GO1307" s="4"/>
      <c r="GP1307" s="4"/>
      <c r="GQ1307" s="4"/>
      <c r="GR1307" s="4"/>
      <c r="GS1307" s="4">
        <v>60</v>
      </c>
      <c r="GT1307" s="4">
        <v>57</v>
      </c>
      <c r="GU1307" s="4">
        <v>54</v>
      </c>
      <c r="GV1307" s="4">
        <v>159</v>
      </c>
      <c r="GW1307" s="4">
        <v>156</v>
      </c>
      <c r="GX1307" s="4">
        <v>153</v>
      </c>
      <c r="GY1307" s="4">
        <v>150</v>
      </c>
      <c r="GZ1307" s="4">
        <v>147</v>
      </c>
      <c r="HA1307" s="4">
        <v>144</v>
      </c>
      <c r="HB1307" s="4">
        <v>141</v>
      </c>
      <c r="HC1307" s="4">
        <v>138</v>
      </c>
      <c r="HD1307" s="19">
        <v>11.5</v>
      </c>
      <c r="HE1307" s="19">
        <v>10.5</v>
      </c>
      <c r="HF1307" s="19">
        <v>9.5</v>
      </c>
      <c r="HG1307" s="19">
        <v>8.5</v>
      </c>
      <c r="HH1307" s="19">
        <v>7.5</v>
      </c>
      <c r="HI1307" s="19">
        <v>6.5</v>
      </c>
      <c r="HJ1307" s="19">
        <v>5.5</v>
      </c>
      <c r="HK1307" s="19">
        <v>4.5</v>
      </c>
      <c r="HL1307" s="19">
        <v>2</v>
      </c>
      <c r="HM1307" s="19">
        <v>1.3</v>
      </c>
      <c r="HN1307" s="19">
        <v>0.7</v>
      </c>
      <c r="HO1307" s="20">
        <v>0</v>
      </c>
      <c r="HP1307" s="20">
        <v>0</v>
      </c>
      <c r="HQ1307" s="20">
        <v>0</v>
      </c>
      <c r="HR1307" s="20">
        <v>0</v>
      </c>
      <c r="HS1307" s="19">
        <v>15</v>
      </c>
      <c r="HT1307" s="19">
        <v>14.3</v>
      </c>
      <c r="HU1307" s="19">
        <v>13.5</v>
      </c>
      <c r="HV1307" s="19">
        <v>52.5</v>
      </c>
      <c r="HW1307" s="19">
        <v>51.5</v>
      </c>
      <c r="HX1307" s="19">
        <v>50.5</v>
      </c>
      <c r="HY1307" s="19">
        <v>49.5</v>
      </c>
      <c r="HZ1307" s="19">
        <v>48.5</v>
      </c>
      <c r="IA1307" s="19">
        <v>47.5</v>
      </c>
      <c r="IB1307" s="19">
        <v>46.5</v>
      </c>
      <c r="IC1307" s="19">
        <v>45.5</v>
      </c>
    </row>
    <row r="1308">
      <c r="A1308" s="2" t="s">
        <v>5124</v>
      </c>
      <c r="B1308" s="2" t="s">
        <v>871</v>
      </c>
      <c r="C1308" s="2" t="s">
        <v>606</v>
      </c>
      <c r="D1308" s="2" t="s">
        <v>361</v>
      </c>
      <c r="E1308" s="2" t="s">
        <v>872</v>
      </c>
      <c r="F1308" s="2" t="s">
        <v>5105</v>
      </c>
      <c r="G1308" s="2" t="s">
        <v>5106</v>
      </c>
      <c r="H1308" s="2" t="s">
        <v>5107</v>
      </c>
      <c r="I1308" s="2" t="s">
        <v>5108</v>
      </c>
      <c r="J1308" s="2" t="s">
        <v>250</v>
      </c>
      <c r="K1308" s="2" t="s">
        <v>338</v>
      </c>
      <c r="L1308" s="3">
        <v>30.95</v>
      </c>
      <c r="M1308" s="3">
        <v>32.5</v>
      </c>
      <c r="N1308" s="3">
        <v>64.99</v>
      </c>
      <c r="O1308" s="2" t="s">
        <v>232</v>
      </c>
      <c r="P1308" s="2" t="s">
        <v>878</v>
      </c>
      <c r="Q1308" s="2" t="s">
        <v>234</v>
      </c>
      <c r="R1308" s="2" t="s">
        <v>235</v>
      </c>
      <c r="S1308" s="2" t="s">
        <v>235</v>
      </c>
      <c r="T1308" s="2" t="s">
        <v>879</v>
      </c>
      <c r="U1308" s="2" t="s">
        <v>742</v>
      </c>
      <c r="V1308" s="2" t="s">
        <v>420</v>
      </c>
      <c r="W1308" s="2" t="s">
        <v>682</v>
      </c>
      <c r="X1308" s="2" t="s">
        <v>682</v>
      </c>
      <c r="Y1308" s="2" t="s">
        <v>4811</v>
      </c>
      <c r="Z1308" s="4">
        <v>543</v>
      </c>
      <c r="AA1308" s="4">
        <f>=ROUNDDOWN({0},0)</f>
      </c>
      <c r="AB1308" s="5"/>
      <c r="AC1308" s="2" t="s">
        <v>235</v>
      </c>
      <c r="AD1308" s="4"/>
      <c r="AE1308" s="4"/>
      <c r="AF1308" s="6">
        <v>64</v>
      </c>
      <c r="AG1308" s="6">
        <v>47</v>
      </c>
      <c r="AH1308" s="7">
        <v>1</v>
      </c>
      <c r="AI1308" s="4"/>
      <c r="AJ1308" s="4">
        <f>=ROUNDDOWN({0},0)</f>
      </c>
      <c r="AK1308" s="5"/>
      <c r="AL1308" s="2" t="s">
        <v>235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235</v>
      </c>
      <c r="AW1308" s="8" t="s">
        <v>235</v>
      </c>
      <c r="AX1308" s="4" t="s">
        <v>235</v>
      </c>
      <c r="AY1308" s="8" t="s">
        <v>235</v>
      </c>
      <c r="AZ1308" s="7" t="s">
        <v>235</v>
      </c>
      <c r="BA1308" s="7" t="s">
        <v>235</v>
      </c>
      <c r="BB1308" s="7" t="s">
        <v>235</v>
      </c>
      <c r="BC1308" s="4" t="s">
        <v>235</v>
      </c>
      <c r="BD1308" s="8" t="s">
        <v>235</v>
      </c>
      <c r="BE1308" s="4" t="s">
        <v>235</v>
      </c>
      <c r="BF1308" s="8" t="s">
        <v>235</v>
      </c>
      <c r="BG1308" s="7" t="s">
        <v>235</v>
      </c>
      <c r="BH1308" s="7" t="s">
        <v>235</v>
      </c>
      <c r="BI1308" s="7"/>
      <c r="BJ1308" s="4"/>
      <c r="BK1308" s="8"/>
      <c r="BL1308" s="2" t="s">
        <v>235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5110</v>
      </c>
      <c r="BV1308" s="2" t="s">
        <v>235</v>
      </c>
      <c r="BW1308" s="2" t="s">
        <v>235</v>
      </c>
      <c r="BX1308" s="2" t="s">
        <v>619</v>
      </c>
      <c r="BY1308" s="2" t="s">
        <v>245</v>
      </c>
      <c r="BZ1308" s="2" t="s">
        <v>232</v>
      </c>
      <c r="CA1308" s="2" t="s">
        <v>235</v>
      </c>
      <c r="CB1308" s="2" t="s">
        <v>235</v>
      </c>
      <c r="CC1308" s="2" t="s">
        <v>248</v>
      </c>
      <c r="CD1308" s="2" t="s">
        <v>248</v>
      </c>
      <c r="CE1308" s="2" t="s">
        <v>235</v>
      </c>
      <c r="CF1308" s="4">
        <v>339</v>
      </c>
      <c r="CG1308" s="4"/>
      <c r="CH1308" s="4"/>
      <c r="CI1308" s="4">
        <v>204</v>
      </c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>
        <v>543</v>
      </c>
      <c r="GE1308" s="4">
        <v>517</v>
      </c>
      <c r="GF1308" s="4">
        <v>495</v>
      </c>
      <c r="GG1308" s="4">
        <v>473</v>
      </c>
      <c r="GH1308" s="4">
        <v>451</v>
      </c>
      <c r="GI1308" s="4">
        <v>429</v>
      </c>
      <c r="GJ1308" s="4">
        <v>407</v>
      </c>
      <c r="GK1308" s="4">
        <v>385</v>
      </c>
      <c r="GL1308" s="4">
        <v>363</v>
      </c>
      <c r="GM1308" s="4">
        <v>334</v>
      </c>
      <c r="GN1308" s="4">
        <v>305</v>
      </c>
      <c r="GO1308" s="4">
        <v>275</v>
      </c>
      <c r="GP1308" s="4">
        <v>223</v>
      </c>
      <c r="GQ1308" s="4">
        <v>171</v>
      </c>
      <c r="GR1308" s="4">
        <v>127</v>
      </c>
      <c r="GS1308" s="4">
        <v>272</v>
      </c>
      <c r="GT1308" s="4">
        <v>244</v>
      </c>
      <c r="GU1308" s="4">
        <v>221</v>
      </c>
      <c r="GV1308" s="4">
        <v>786</v>
      </c>
      <c r="GW1308" s="4">
        <v>764</v>
      </c>
      <c r="GX1308" s="4">
        <v>742</v>
      </c>
      <c r="GY1308" s="4">
        <v>720</v>
      </c>
      <c r="GZ1308" s="4">
        <v>698</v>
      </c>
      <c r="HA1308" s="4">
        <v>676</v>
      </c>
      <c r="HB1308" s="4">
        <v>654</v>
      </c>
      <c r="HC1308" s="4">
        <v>628</v>
      </c>
      <c r="HD1308" s="19">
        <v>27</v>
      </c>
      <c r="HE1308" s="19">
        <v>26.4</v>
      </c>
      <c r="HF1308" s="19">
        <v>25.4</v>
      </c>
      <c r="HG1308" s="19">
        <v>24.4</v>
      </c>
      <c r="HH1308" s="19">
        <v>23.4</v>
      </c>
      <c r="HI1308" s="19">
        <v>22</v>
      </c>
      <c r="HJ1308" s="19">
        <v>18.6</v>
      </c>
      <c r="HK1308" s="19">
        <v>15.7</v>
      </c>
      <c r="HL1308" s="19">
        <v>11.8</v>
      </c>
      <c r="HM1308" s="19">
        <v>9.8</v>
      </c>
      <c r="HN1308" s="19">
        <v>8.4</v>
      </c>
      <c r="HO1308" s="19">
        <v>7.7</v>
      </c>
      <c r="HP1308" s="19">
        <v>6.9</v>
      </c>
      <c r="HQ1308" s="19">
        <v>5.6</v>
      </c>
      <c r="HR1308" s="19">
        <v>4.7</v>
      </c>
      <c r="HS1308" s="19">
        <v>8.9</v>
      </c>
      <c r="HT1308" s="19">
        <v>8.7</v>
      </c>
      <c r="HU1308" s="19">
        <v>11.1</v>
      </c>
      <c r="HV1308" s="19">
        <v>35.1</v>
      </c>
      <c r="HW1308" s="19">
        <v>34.1</v>
      </c>
      <c r="HX1308" s="19">
        <v>33.1</v>
      </c>
      <c r="HY1308" s="19">
        <v>31.1</v>
      </c>
      <c r="HZ1308" s="19">
        <v>30.1</v>
      </c>
      <c r="IA1308" s="19">
        <v>29.1</v>
      </c>
      <c r="IB1308" s="19">
        <v>28.2</v>
      </c>
      <c r="IC1308" s="19">
        <v>27.9</v>
      </c>
    </row>
    <row r="1309">
      <c r="A1309" s="2" t="s">
        <v>5125</v>
      </c>
      <c r="B1309" s="2" t="s">
        <v>871</v>
      </c>
      <c r="C1309" s="2" t="s">
        <v>606</v>
      </c>
      <c r="D1309" s="2" t="s">
        <v>906</v>
      </c>
      <c r="E1309" s="2" t="s">
        <v>1301</v>
      </c>
      <c r="F1309" s="2" t="s">
        <v>5105</v>
      </c>
      <c r="G1309" s="2" t="s">
        <v>5106</v>
      </c>
      <c r="H1309" s="2" t="s">
        <v>5107</v>
      </c>
      <c r="I1309" s="2" t="s">
        <v>5112</v>
      </c>
      <c r="J1309" s="2" t="s">
        <v>250</v>
      </c>
      <c r="K1309" s="2" t="s">
        <v>338</v>
      </c>
      <c r="L1309" s="3">
        <v>19.04</v>
      </c>
      <c r="M1309" s="3">
        <v>19.99</v>
      </c>
      <c r="N1309" s="3">
        <v>39.99</v>
      </c>
      <c r="O1309" s="2" t="s">
        <v>232</v>
      </c>
      <c r="P1309" s="2" t="s">
        <v>878</v>
      </c>
      <c r="Q1309" s="2" t="s">
        <v>234</v>
      </c>
      <c r="R1309" s="2" t="s">
        <v>235</v>
      </c>
      <c r="S1309" s="2" t="s">
        <v>235</v>
      </c>
      <c r="T1309" s="2" t="s">
        <v>879</v>
      </c>
      <c r="U1309" s="2" t="s">
        <v>552</v>
      </c>
      <c r="V1309" s="2" t="s">
        <v>420</v>
      </c>
      <c r="W1309" s="2" t="s">
        <v>682</v>
      </c>
      <c r="X1309" s="2" t="s">
        <v>682</v>
      </c>
      <c r="Y1309" s="2" t="s">
        <v>4811</v>
      </c>
      <c r="Z1309" s="4">
        <v>160</v>
      </c>
      <c r="AA1309" s="4">
        <f>=ROUNDDOWN({0},0)</f>
      </c>
      <c r="AB1309" s="5"/>
      <c r="AC1309" s="2" t="s">
        <v>235</v>
      </c>
      <c r="AD1309" s="4"/>
      <c r="AE1309" s="4"/>
      <c r="AF1309" s="6">
        <v>64</v>
      </c>
      <c r="AG1309" s="6">
        <v>47</v>
      </c>
      <c r="AH1309" s="7">
        <v>1</v>
      </c>
      <c r="AI1309" s="4"/>
      <c r="AJ1309" s="4">
        <f>=ROUNDDOWN({0},0)</f>
      </c>
      <c r="AK1309" s="5"/>
      <c r="AL1309" s="2" t="s">
        <v>235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235</v>
      </c>
      <c r="AW1309" s="8" t="s">
        <v>235</v>
      </c>
      <c r="AX1309" s="4" t="s">
        <v>235</v>
      </c>
      <c r="AY1309" s="8" t="s">
        <v>235</v>
      </c>
      <c r="AZ1309" s="7" t="s">
        <v>235</v>
      </c>
      <c r="BA1309" s="7" t="s">
        <v>235</v>
      </c>
      <c r="BB1309" s="7" t="s">
        <v>235</v>
      </c>
      <c r="BC1309" s="4" t="s">
        <v>235</v>
      </c>
      <c r="BD1309" s="8" t="s">
        <v>235</v>
      </c>
      <c r="BE1309" s="4" t="s">
        <v>235</v>
      </c>
      <c r="BF1309" s="8" t="s">
        <v>235</v>
      </c>
      <c r="BG1309" s="7" t="s">
        <v>235</v>
      </c>
      <c r="BH1309" s="7" t="s">
        <v>235</v>
      </c>
      <c r="BI1309" s="7"/>
      <c r="BJ1309" s="4"/>
      <c r="BK1309" s="8"/>
      <c r="BL1309" s="2" t="s">
        <v>235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5113</v>
      </c>
      <c r="BV1309" s="2" t="s">
        <v>235</v>
      </c>
      <c r="BW1309" s="2" t="s">
        <v>235</v>
      </c>
      <c r="BX1309" s="2" t="s">
        <v>619</v>
      </c>
      <c r="BY1309" s="2" t="s">
        <v>245</v>
      </c>
      <c r="BZ1309" s="2" t="s">
        <v>232</v>
      </c>
      <c r="CA1309" s="2" t="s">
        <v>235</v>
      </c>
      <c r="CB1309" s="2" t="s">
        <v>235</v>
      </c>
      <c r="CC1309" s="2" t="s">
        <v>248</v>
      </c>
      <c r="CD1309" s="2" t="s">
        <v>248</v>
      </c>
      <c r="CE1309" s="2" t="s">
        <v>235</v>
      </c>
      <c r="CF1309" s="4">
        <v>100</v>
      </c>
      <c r="CG1309" s="4"/>
      <c r="CH1309" s="4"/>
      <c r="CI1309" s="4">
        <v>60</v>
      </c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>
        <v>160</v>
      </c>
      <c r="GE1309" s="4">
        <v>152</v>
      </c>
      <c r="GF1309" s="4">
        <v>145</v>
      </c>
      <c r="GG1309" s="4">
        <v>138</v>
      </c>
      <c r="GH1309" s="4">
        <v>131</v>
      </c>
      <c r="GI1309" s="4">
        <v>124</v>
      </c>
      <c r="GJ1309" s="4">
        <v>117</v>
      </c>
      <c r="GK1309" s="4">
        <v>110</v>
      </c>
      <c r="GL1309" s="4">
        <v>103</v>
      </c>
      <c r="GM1309" s="4">
        <v>96</v>
      </c>
      <c r="GN1309" s="4">
        <v>86</v>
      </c>
      <c r="GO1309" s="4">
        <v>75</v>
      </c>
      <c r="GP1309" s="4">
        <v>60</v>
      </c>
      <c r="GQ1309" s="4">
        <v>41</v>
      </c>
      <c r="GR1309" s="4">
        <v>27</v>
      </c>
      <c r="GS1309" s="4">
        <v>83</v>
      </c>
      <c r="GT1309" s="4">
        <v>76</v>
      </c>
      <c r="GU1309" s="4">
        <v>69</v>
      </c>
      <c r="GV1309" s="4">
        <v>235</v>
      </c>
      <c r="GW1309" s="4">
        <v>228</v>
      </c>
      <c r="GX1309" s="4">
        <v>221</v>
      </c>
      <c r="GY1309" s="4">
        <v>214</v>
      </c>
      <c r="GZ1309" s="4">
        <v>207</v>
      </c>
      <c r="HA1309" s="4">
        <v>200</v>
      </c>
      <c r="HB1309" s="4">
        <v>193</v>
      </c>
      <c r="HC1309" s="4">
        <v>185</v>
      </c>
      <c r="HD1309" s="19">
        <v>25</v>
      </c>
      <c r="HE1309" s="19">
        <v>23.9</v>
      </c>
      <c r="HF1309" s="19">
        <v>22.9</v>
      </c>
      <c r="HG1309" s="19">
        <v>21.9</v>
      </c>
      <c r="HH1309" s="19">
        <v>20.9</v>
      </c>
      <c r="HI1309" s="19">
        <v>19.9</v>
      </c>
      <c r="HJ1309" s="19">
        <v>17.8</v>
      </c>
      <c r="HK1309" s="19">
        <v>16.9</v>
      </c>
      <c r="HL1309" s="19">
        <v>11.1</v>
      </c>
      <c r="HM1309" s="19">
        <v>8</v>
      </c>
      <c r="HN1309" s="19">
        <v>7.1</v>
      </c>
      <c r="HO1309" s="19">
        <v>5.6</v>
      </c>
      <c r="HP1309" s="19">
        <v>4.7</v>
      </c>
      <c r="HQ1309" s="19">
        <v>4</v>
      </c>
      <c r="HR1309" s="19">
        <v>2.7</v>
      </c>
      <c r="HS1309" s="19">
        <v>6.9</v>
      </c>
      <c r="HT1309" s="19">
        <v>9.5</v>
      </c>
      <c r="HU1309" s="19">
        <v>11.5</v>
      </c>
      <c r="HV1309" s="19">
        <v>32.8</v>
      </c>
      <c r="HW1309" s="19">
        <v>31.8</v>
      </c>
      <c r="HX1309" s="19">
        <v>30.8</v>
      </c>
      <c r="HY1309" s="19">
        <v>29.8</v>
      </c>
      <c r="HZ1309" s="19">
        <v>28.8</v>
      </c>
      <c r="IA1309" s="19">
        <v>27.8</v>
      </c>
      <c r="IB1309" s="19">
        <v>26.8</v>
      </c>
      <c r="IC1309" s="19">
        <v>25.7</v>
      </c>
    </row>
    <row r="1310">
      <c r="A1310" s="2" t="s">
        <v>5126</v>
      </c>
      <c r="B1310" s="2" t="s">
        <v>871</v>
      </c>
      <c r="C1310" s="2" t="s">
        <v>606</v>
      </c>
      <c r="D1310" s="2" t="s">
        <v>361</v>
      </c>
      <c r="E1310" s="2" t="s">
        <v>872</v>
      </c>
      <c r="F1310" s="2" t="s">
        <v>5105</v>
      </c>
      <c r="G1310" s="2" t="s">
        <v>5106</v>
      </c>
      <c r="H1310" s="2" t="s">
        <v>5107</v>
      </c>
      <c r="I1310" s="2" t="s">
        <v>5108</v>
      </c>
      <c r="J1310" s="2" t="s">
        <v>261</v>
      </c>
      <c r="K1310" s="2" t="s">
        <v>338</v>
      </c>
      <c r="L1310" s="3">
        <v>33.33</v>
      </c>
      <c r="M1310" s="3">
        <v>35</v>
      </c>
      <c r="N1310" s="3">
        <v>69.99</v>
      </c>
      <c r="O1310" s="2" t="s">
        <v>232</v>
      </c>
      <c r="P1310" s="2" t="s">
        <v>878</v>
      </c>
      <c r="Q1310" s="2" t="s">
        <v>234</v>
      </c>
      <c r="R1310" s="2" t="s">
        <v>235</v>
      </c>
      <c r="S1310" s="2" t="s">
        <v>235</v>
      </c>
      <c r="T1310" s="2" t="s">
        <v>879</v>
      </c>
      <c r="U1310" s="2" t="s">
        <v>742</v>
      </c>
      <c r="V1310" s="2" t="s">
        <v>420</v>
      </c>
      <c r="W1310" s="2" t="s">
        <v>682</v>
      </c>
      <c r="X1310" s="2" t="s">
        <v>682</v>
      </c>
      <c r="Y1310" s="2" t="s">
        <v>3819</v>
      </c>
      <c r="Z1310" s="4">
        <v>566</v>
      </c>
      <c r="AA1310" s="4">
        <f>=ROUNDDOWN(2830,0)</f>
      </c>
      <c r="AB1310" s="5">
        <v>0.2</v>
      </c>
      <c r="AC1310" s="2" t="s">
        <v>235</v>
      </c>
      <c r="AD1310" s="4"/>
      <c r="AE1310" s="4"/>
      <c r="AF1310" s="6">
        <v>64</v>
      </c>
      <c r="AG1310" s="6">
        <v>47</v>
      </c>
      <c r="AH1310" s="7">
        <v>1</v>
      </c>
      <c r="AI1310" s="4"/>
      <c r="AJ1310" s="4">
        <f>=ROUNDDOWN({0},0)</f>
      </c>
      <c r="AK1310" s="5"/>
      <c r="AL1310" s="2" t="s">
        <v>235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235</v>
      </c>
      <c r="AW1310" s="8" t="s">
        <v>235</v>
      </c>
      <c r="AX1310" s="4" t="s">
        <v>235</v>
      </c>
      <c r="AY1310" s="8" t="s">
        <v>235</v>
      </c>
      <c r="AZ1310" s="7" t="s">
        <v>235</v>
      </c>
      <c r="BA1310" s="7" t="s">
        <v>235</v>
      </c>
      <c r="BB1310" s="7" t="s">
        <v>235</v>
      </c>
      <c r="BC1310" s="4" t="s">
        <v>235</v>
      </c>
      <c r="BD1310" s="8" t="s">
        <v>235</v>
      </c>
      <c r="BE1310" s="4" t="s">
        <v>235</v>
      </c>
      <c r="BF1310" s="8" t="s">
        <v>235</v>
      </c>
      <c r="BG1310" s="7" t="s">
        <v>235</v>
      </c>
      <c r="BH1310" s="7" t="s">
        <v>235</v>
      </c>
      <c r="BI1310" s="7"/>
      <c r="BJ1310" s="4"/>
      <c r="BK1310" s="8"/>
      <c r="BL1310" s="2" t="s">
        <v>235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5110</v>
      </c>
      <c r="BV1310" s="2" t="s">
        <v>235</v>
      </c>
      <c r="BW1310" s="2" t="s">
        <v>235</v>
      </c>
      <c r="BX1310" s="2" t="s">
        <v>619</v>
      </c>
      <c r="BY1310" s="2" t="s">
        <v>245</v>
      </c>
      <c r="BZ1310" s="2" t="s">
        <v>232</v>
      </c>
      <c r="CA1310" s="2" t="s">
        <v>235</v>
      </c>
      <c r="CB1310" s="2" t="s">
        <v>235</v>
      </c>
      <c r="CC1310" s="2" t="s">
        <v>248</v>
      </c>
      <c r="CD1310" s="2" t="s">
        <v>248</v>
      </c>
      <c r="CE1310" s="2" t="s">
        <v>235</v>
      </c>
      <c r="CF1310" s="4">
        <v>354</v>
      </c>
      <c r="CG1310" s="4"/>
      <c r="CH1310" s="4"/>
      <c r="CI1310" s="4">
        <v>212</v>
      </c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>
        <v>567</v>
      </c>
      <c r="GE1310" s="4">
        <v>540</v>
      </c>
      <c r="GF1310" s="4">
        <v>517</v>
      </c>
      <c r="GG1310" s="4">
        <v>494</v>
      </c>
      <c r="GH1310" s="4">
        <v>471</v>
      </c>
      <c r="GI1310" s="4">
        <v>448</v>
      </c>
      <c r="GJ1310" s="4">
        <v>425</v>
      </c>
      <c r="GK1310" s="4">
        <v>402</v>
      </c>
      <c r="GL1310" s="4">
        <v>379</v>
      </c>
      <c r="GM1310" s="4">
        <v>349</v>
      </c>
      <c r="GN1310" s="4">
        <v>319</v>
      </c>
      <c r="GO1310" s="4">
        <v>287</v>
      </c>
      <c r="GP1310" s="4">
        <v>232</v>
      </c>
      <c r="GQ1310" s="4">
        <v>177</v>
      </c>
      <c r="GR1310" s="4">
        <v>131</v>
      </c>
      <c r="GS1310" s="4">
        <v>275</v>
      </c>
      <c r="GT1310" s="4">
        <v>246</v>
      </c>
      <c r="GU1310" s="4">
        <v>222</v>
      </c>
      <c r="GV1310" s="4">
        <v>822</v>
      </c>
      <c r="GW1310" s="4">
        <v>799</v>
      </c>
      <c r="GX1310" s="4">
        <v>776</v>
      </c>
      <c r="GY1310" s="4">
        <v>753</v>
      </c>
      <c r="GZ1310" s="4">
        <v>730</v>
      </c>
      <c r="HA1310" s="4">
        <v>707</v>
      </c>
      <c r="HB1310" s="4">
        <v>684</v>
      </c>
      <c r="HC1310" s="4">
        <v>657</v>
      </c>
      <c r="HD1310" s="19">
        <v>27.6</v>
      </c>
      <c r="HE1310" s="19">
        <v>27</v>
      </c>
      <c r="HF1310" s="19">
        <v>26</v>
      </c>
      <c r="HG1310" s="19">
        <v>25</v>
      </c>
      <c r="HH1310" s="19">
        <v>24</v>
      </c>
      <c r="HI1310" s="19">
        <v>22.6</v>
      </c>
      <c r="HJ1310" s="19">
        <v>18.8</v>
      </c>
      <c r="HK1310" s="19">
        <v>16.2</v>
      </c>
      <c r="HL1310" s="19">
        <v>12.2</v>
      </c>
      <c r="HM1310" s="19">
        <v>10.1</v>
      </c>
      <c r="HN1310" s="19">
        <v>8.6</v>
      </c>
      <c r="HO1310" s="19">
        <v>8</v>
      </c>
      <c r="HP1310" s="19">
        <v>6.5</v>
      </c>
      <c r="HQ1310" s="19">
        <v>5.4</v>
      </c>
      <c r="HR1310" s="19">
        <v>4.4</v>
      </c>
      <c r="HS1310" s="19">
        <v>8</v>
      </c>
      <c r="HT1310" s="19">
        <v>8.8</v>
      </c>
      <c r="HU1310" s="19">
        <v>11.1</v>
      </c>
      <c r="HV1310" s="19">
        <v>35</v>
      </c>
      <c r="HW1310" s="19">
        <v>34</v>
      </c>
      <c r="HX1310" s="19">
        <v>33</v>
      </c>
      <c r="HY1310" s="19">
        <v>31.1</v>
      </c>
      <c r="HZ1310" s="19">
        <v>30.1</v>
      </c>
      <c r="IA1310" s="19">
        <v>29.2</v>
      </c>
      <c r="IB1310" s="19">
        <v>28.2</v>
      </c>
      <c r="IC1310" s="19">
        <v>27.9</v>
      </c>
    </row>
    <row r="1311">
      <c r="A1311" s="2" t="s">
        <v>5127</v>
      </c>
      <c r="B1311" s="2" t="s">
        <v>871</v>
      </c>
      <c r="C1311" s="2" t="s">
        <v>606</v>
      </c>
      <c r="D1311" s="2" t="s">
        <v>906</v>
      </c>
      <c r="E1311" s="2" t="s">
        <v>1301</v>
      </c>
      <c r="F1311" s="2" t="s">
        <v>5105</v>
      </c>
      <c r="G1311" s="2" t="s">
        <v>5106</v>
      </c>
      <c r="H1311" s="2" t="s">
        <v>5107</v>
      </c>
      <c r="I1311" s="2" t="s">
        <v>5112</v>
      </c>
      <c r="J1311" s="2" t="s">
        <v>261</v>
      </c>
      <c r="K1311" s="2" t="s">
        <v>338</v>
      </c>
      <c r="L1311" s="3">
        <v>21.42</v>
      </c>
      <c r="M1311" s="3">
        <v>22.49</v>
      </c>
      <c r="N1311" s="3">
        <v>44.99</v>
      </c>
      <c r="O1311" s="2" t="s">
        <v>232</v>
      </c>
      <c r="P1311" s="2" t="s">
        <v>878</v>
      </c>
      <c r="Q1311" s="2" t="s">
        <v>234</v>
      </c>
      <c r="R1311" s="2" t="s">
        <v>235</v>
      </c>
      <c r="S1311" s="2" t="s">
        <v>235</v>
      </c>
      <c r="T1311" s="2" t="s">
        <v>879</v>
      </c>
      <c r="U1311" s="2" t="s">
        <v>552</v>
      </c>
      <c r="V1311" s="2" t="s">
        <v>420</v>
      </c>
      <c r="W1311" s="2" t="s">
        <v>682</v>
      </c>
      <c r="X1311" s="2" t="s">
        <v>682</v>
      </c>
      <c r="Y1311" s="2" t="s">
        <v>3819</v>
      </c>
      <c r="Z1311" s="4">
        <v>189</v>
      </c>
      <c r="AA1311" s="4">
        <f>=ROUNDDOWN(94.5,0)</f>
      </c>
      <c r="AB1311" s="5">
        <v>2</v>
      </c>
      <c r="AC1311" s="2" t="s">
        <v>235</v>
      </c>
      <c r="AD1311" s="4"/>
      <c r="AE1311" s="4"/>
      <c r="AF1311" s="6">
        <v>64</v>
      </c>
      <c r="AG1311" s="6">
        <v>47</v>
      </c>
      <c r="AH1311" s="7">
        <v>1</v>
      </c>
      <c r="AI1311" s="4"/>
      <c r="AJ1311" s="4">
        <f>=ROUNDDOWN({0},0)</f>
      </c>
      <c r="AK1311" s="5"/>
      <c r="AL1311" s="2" t="s">
        <v>235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235</v>
      </c>
      <c r="AW1311" s="8" t="s">
        <v>235</v>
      </c>
      <c r="AX1311" s="4" t="s">
        <v>235</v>
      </c>
      <c r="AY1311" s="8" t="s">
        <v>235</v>
      </c>
      <c r="AZ1311" s="7" t="s">
        <v>235</v>
      </c>
      <c r="BA1311" s="7" t="s">
        <v>235</v>
      </c>
      <c r="BB1311" s="7" t="s">
        <v>235</v>
      </c>
      <c r="BC1311" s="4" t="s">
        <v>235</v>
      </c>
      <c r="BD1311" s="8" t="s">
        <v>235</v>
      </c>
      <c r="BE1311" s="4" t="s">
        <v>235</v>
      </c>
      <c r="BF1311" s="8" t="s">
        <v>235</v>
      </c>
      <c r="BG1311" s="7" t="s">
        <v>235</v>
      </c>
      <c r="BH1311" s="7" t="s">
        <v>235</v>
      </c>
      <c r="BI1311" s="7"/>
      <c r="BJ1311" s="4"/>
      <c r="BK1311" s="8"/>
      <c r="BL1311" s="2" t="s">
        <v>235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5113</v>
      </c>
      <c r="BV1311" s="2" t="s">
        <v>235</v>
      </c>
      <c r="BW1311" s="2" t="s">
        <v>235</v>
      </c>
      <c r="BX1311" s="2" t="s">
        <v>619</v>
      </c>
      <c r="BY1311" s="2" t="s">
        <v>245</v>
      </c>
      <c r="BZ1311" s="2" t="s">
        <v>232</v>
      </c>
      <c r="CA1311" s="2" t="s">
        <v>235</v>
      </c>
      <c r="CB1311" s="2" t="s">
        <v>235</v>
      </c>
      <c r="CC1311" s="2" t="s">
        <v>248</v>
      </c>
      <c r="CD1311" s="2" t="s">
        <v>248</v>
      </c>
      <c r="CE1311" s="2" t="s">
        <v>235</v>
      </c>
      <c r="CF1311" s="4">
        <v>118</v>
      </c>
      <c r="CG1311" s="4"/>
      <c r="CH1311" s="4"/>
      <c r="CI1311" s="4">
        <v>71</v>
      </c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>
        <v>190</v>
      </c>
      <c r="GE1311" s="4">
        <v>186</v>
      </c>
      <c r="GF1311" s="4">
        <v>182</v>
      </c>
      <c r="GG1311" s="4">
        <v>178</v>
      </c>
      <c r="GH1311" s="4">
        <v>174</v>
      </c>
      <c r="GI1311" s="4">
        <v>170</v>
      </c>
      <c r="GJ1311" s="4">
        <v>166</v>
      </c>
      <c r="GK1311" s="4">
        <v>162</v>
      </c>
      <c r="GL1311" s="4">
        <v>158</v>
      </c>
      <c r="GM1311" s="4">
        <v>154</v>
      </c>
      <c r="GN1311" s="4">
        <v>148</v>
      </c>
      <c r="GO1311" s="4">
        <v>142</v>
      </c>
      <c r="GP1311" s="4">
        <v>134</v>
      </c>
      <c r="GQ1311" s="4">
        <v>124</v>
      </c>
      <c r="GR1311" s="4">
        <v>116</v>
      </c>
      <c r="GS1311" s="4">
        <v>146</v>
      </c>
      <c r="GT1311" s="4">
        <v>142</v>
      </c>
      <c r="GU1311" s="4">
        <v>138</v>
      </c>
      <c r="GV1311" s="4">
        <v>134</v>
      </c>
      <c r="GW1311" s="4">
        <v>130</v>
      </c>
      <c r="GX1311" s="4">
        <v>126</v>
      </c>
      <c r="GY1311" s="4">
        <v>122</v>
      </c>
      <c r="GZ1311" s="4">
        <v>118</v>
      </c>
      <c r="HA1311" s="4">
        <v>114</v>
      </c>
      <c r="HB1311" s="4">
        <v>110</v>
      </c>
      <c r="HC1311" s="4">
        <v>106</v>
      </c>
      <c r="HD1311" s="19">
        <v>47.5</v>
      </c>
      <c r="HE1311" s="19">
        <v>46.5</v>
      </c>
      <c r="HF1311" s="19">
        <v>45.5</v>
      </c>
      <c r="HG1311" s="19">
        <v>44.5</v>
      </c>
      <c r="HH1311" s="19">
        <v>43.5</v>
      </c>
      <c r="HI1311" s="19">
        <v>42.5</v>
      </c>
      <c r="HJ1311" s="19">
        <v>41.5</v>
      </c>
      <c r="HK1311" s="19">
        <v>40.5</v>
      </c>
      <c r="HL1311" s="19">
        <v>26.4</v>
      </c>
      <c r="HM1311" s="19">
        <v>19.3</v>
      </c>
      <c r="HN1311" s="19">
        <v>18.6</v>
      </c>
      <c r="HO1311" s="19">
        <v>17.8</v>
      </c>
      <c r="HP1311" s="19">
        <v>16.8</v>
      </c>
      <c r="HQ1311" s="19">
        <v>20.7</v>
      </c>
      <c r="HR1311" s="19">
        <v>29</v>
      </c>
      <c r="HS1311" s="19">
        <v>36.5</v>
      </c>
      <c r="HT1311" s="19">
        <v>35.5</v>
      </c>
      <c r="HU1311" s="19">
        <v>34.5</v>
      </c>
      <c r="HV1311" s="19">
        <v>33.5</v>
      </c>
      <c r="HW1311" s="19">
        <v>32.5</v>
      </c>
      <c r="HX1311" s="19">
        <v>31.5</v>
      </c>
      <c r="HY1311" s="19">
        <v>30.5</v>
      </c>
      <c r="HZ1311" s="19">
        <v>29.5</v>
      </c>
      <c r="IA1311" s="19">
        <v>28.5</v>
      </c>
      <c r="IB1311" s="19">
        <v>27.5</v>
      </c>
      <c r="IC1311" s="19">
        <v>26.5</v>
      </c>
    </row>
    <row r="1312">
      <c r="A1312" s="2" t="s">
        <v>5128</v>
      </c>
      <c r="B1312" s="2" t="s">
        <v>871</v>
      </c>
      <c r="C1312" s="2" t="s">
        <v>606</v>
      </c>
      <c r="D1312" s="2" t="s">
        <v>361</v>
      </c>
      <c r="E1312" s="2" t="s">
        <v>872</v>
      </c>
      <c r="F1312" s="2" t="s">
        <v>5105</v>
      </c>
      <c r="G1312" s="2" t="s">
        <v>5106</v>
      </c>
      <c r="H1312" s="2" t="s">
        <v>5107</v>
      </c>
      <c r="I1312" s="2" t="s">
        <v>5108</v>
      </c>
      <c r="J1312" s="2" t="s">
        <v>270</v>
      </c>
      <c r="K1312" s="2" t="s">
        <v>338</v>
      </c>
      <c r="L1312" s="3">
        <v>35.71</v>
      </c>
      <c r="M1312" s="3">
        <v>37.5</v>
      </c>
      <c r="N1312" s="3">
        <v>74.99</v>
      </c>
      <c r="O1312" s="2" t="s">
        <v>232</v>
      </c>
      <c r="P1312" s="2" t="s">
        <v>878</v>
      </c>
      <c r="Q1312" s="2" t="s">
        <v>234</v>
      </c>
      <c r="R1312" s="2" t="s">
        <v>235</v>
      </c>
      <c r="S1312" s="2" t="s">
        <v>235</v>
      </c>
      <c r="T1312" s="2" t="s">
        <v>879</v>
      </c>
      <c r="U1312" s="2" t="s">
        <v>742</v>
      </c>
      <c r="V1312" s="2" t="s">
        <v>420</v>
      </c>
      <c r="W1312" s="2" t="s">
        <v>682</v>
      </c>
      <c r="X1312" s="2" t="s">
        <v>682</v>
      </c>
      <c r="Y1312" s="2" t="s">
        <v>4811</v>
      </c>
      <c r="Z1312" s="4">
        <v>105</v>
      </c>
      <c r="AA1312" s="4">
        <f>=ROUNDDOWN({0},0)</f>
      </c>
      <c r="AB1312" s="5"/>
      <c r="AC1312" s="2" t="s">
        <v>235</v>
      </c>
      <c r="AD1312" s="4"/>
      <c r="AE1312" s="4"/>
      <c r="AF1312" s="6">
        <v>64</v>
      </c>
      <c r="AG1312" s="6">
        <v>47</v>
      </c>
      <c r="AH1312" s="7">
        <v>1</v>
      </c>
      <c r="AI1312" s="4"/>
      <c r="AJ1312" s="4">
        <f>=ROUNDDOWN({0},0)</f>
      </c>
      <c r="AK1312" s="5"/>
      <c r="AL1312" s="2" t="s">
        <v>235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235</v>
      </c>
      <c r="AW1312" s="8" t="s">
        <v>235</v>
      </c>
      <c r="AX1312" s="4" t="s">
        <v>235</v>
      </c>
      <c r="AY1312" s="8" t="s">
        <v>235</v>
      </c>
      <c r="AZ1312" s="7" t="s">
        <v>235</v>
      </c>
      <c r="BA1312" s="7" t="s">
        <v>235</v>
      </c>
      <c r="BB1312" s="7" t="s">
        <v>235</v>
      </c>
      <c r="BC1312" s="4" t="s">
        <v>235</v>
      </c>
      <c r="BD1312" s="8" t="s">
        <v>235</v>
      </c>
      <c r="BE1312" s="4" t="s">
        <v>235</v>
      </c>
      <c r="BF1312" s="8" t="s">
        <v>235</v>
      </c>
      <c r="BG1312" s="7" t="s">
        <v>235</v>
      </c>
      <c r="BH1312" s="7" t="s">
        <v>235</v>
      </c>
      <c r="BI1312" s="7"/>
      <c r="BJ1312" s="4"/>
      <c r="BK1312" s="8"/>
      <c r="BL1312" s="2" t="s">
        <v>235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5110</v>
      </c>
      <c r="BV1312" s="2" t="s">
        <v>235</v>
      </c>
      <c r="BW1312" s="2" t="s">
        <v>235</v>
      </c>
      <c r="BX1312" s="2" t="s">
        <v>619</v>
      </c>
      <c r="BY1312" s="2" t="s">
        <v>245</v>
      </c>
      <c r="BZ1312" s="2" t="s">
        <v>232</v>
      </c>
      <c r="CA1312" s="2" t="s">
        <v>235</v>
      </c>
      <c r="CB1312" s="2" t="s">
        <v>235</v>
      </c>
      <c r="CC1312" s="2" t="s">
        <v>248</v>
      </c>
      <c r="CD1312" s="2" t="s">
        <v>248</v>
      </c>
      <c r="CE1312" s="2" t="s">
        <v>235</v>
      </c>
      <c r="CF1312" s="4">
        <v>66</v>
      </c>
      <c r="CG1312" s="4"/>
      <c r="CH1312" s="4"/>
      <c r="CI1312" s="4">
        <v>39</v>
      </c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>
        <v>105</v>
      </c>
      <c r="GE1312" s="4">
        <v>100</v>
      </c>
      <c r="GF1312" s="4">
        <v>96</v>
      </c>
      <c r="GG1312" s="4">
        <v>92</v>
      </c>
      <c r="GH1312" s="4">
        <v>88</v>
      </c>
      <c r="GI1312" s="4">
        <v>84</v>
      </c>
      <c r="GJ1312" s="4">
        <v>80</v>
      </c>
      <c r="GK1312" s="4">
        <v>76</v>
      </c>
      <c r="GL1312" s="4">
        <v>72</v>
      </c>
      <c r="GM1312" s="4">
        <v>67</v>
      </c>
      <c r="GN1312" s="4">
        <v>62</v>
      </c>
      <c r="GO1312" s="4">
        <v>57</v>
      </c>
      <c r="GP1312" s="4">
        <v>48</v>
      </c>
      <c r="GQ1312" s="4">
        <v>39</v>
      </c>
      <c r="GR1312" s="4">
        <v>31</v>
      </c>
      <c r="GS1312" s="4">
        <v>68</v>
      </c>
      <c r="GT1312" s="4">
        <v>63</v>
      </c>
      <c r="GU1312" s="4">
        <v>59</v>
      </c>
      <c r="GV1312" s="4">
        <v>237</v>
      </c>
      <c r="GW1312" s="4">
        <v>233</v>
      </c>
      <c r="GX1312" s="4">
        <v>229</v>
      </c>
      <c r="GY1312" s="4">
        <v>225</v>
      </c>
      <c r="GZ1312" s="4">
        <v>221</v>
      </c>
      <c r="HA1312" s="4">
        <v>217</v>
      </c>
      <c r="HB1312" s="4">
        <v>213</v>
      </c>
      <c r="HC1312" s="4">
        <v>208</v>
      </c>
      <c r="HD1312" s="19">
        <v>30.5</v>
      </c>
      <c r="HE1312" s="19">
        <v>29.4</v>
      </c>
      <c r="HF1312" s="19">
        <v>28.4</v>
      </c>
      <c r="HG1312" s="19">
        <v>27.4</v>
      </c>
      <c r="HH1312" s="19">
        <v>26.4</v>
      </c>
      <c r="HI1312" s="19">
        <v>25.4</v>
      </c>
      <c r="HJ1312" s="19">
        <v>22.4</v>
      </c>
      <c r="HK1312" s="19">
        <v>21.5</v>
      </c>
      <c r="HL1312" s="19">
        <v>19.6</v>
      </c>
      <c r="HM1312" s="19">
        <v>10.6</v>
      </c>
      <c r="HN1312" s="19">
        <v>10</v>
      </c>
      <c r="HO1312" s="19">
        <v>9.4</v>
      </c>
      <c r="HP1312" s="19">
        <v>8.7</v>
      </c>
      <c r="HQ1312" s="19">
        <v>7.9</v>
      </c>
      <c r="HR1312" s="19">
        <v>7.8</v>
      </c>
      <c r="HS1312" s="19">
        <v>17</v>
      </c>
      <c r="HT1312" s="19">
        <v>15.8</v>
      </c>
      <c r="HU1312" s="19">
        <v>14.8</v>
      </c>
      <c r="HV1312" s="19">
        <v>57.9</v>
      </c>
      <c r="HW1312" s="19">
        <v>56.9</v>
      </c>
      <c r="HX1312" s="19">
        <v>55.9</v>
      </c>
      <c r="HY1312" s="19">
        <v>54.9</v>
      </c>
      <c r="HZ1312" s="19">
        <v>53.9</v>
      </c>
      <c r="IA1312" s="19">
        <v>52.9</v>
      </c>
      <c r="IB1312" s="19">
        <v>51.9</v>
      </c>
      <c r="IC1312" s="19">
        <v>50.7</v>
      </c>
    </row>
    <row r="1313">
      <c r="A1313" s="2" t="s">
        <v>5129</v>
      </c>
      <c r="B1313" s="2" t="s">
        <v>871</v>
      </c>
      <c r="C1313" s="2" t="s">
        <v>606</v>
      </c>
      <c r="D1313" s="2" t="s">
        <v>906</v>
      </c>
      <c r="E1313" s="2" t="s">
        <v>1301</v>
      </c>
      <c r="F1313" s="2" t="s">
        <v>5105</v>
      </c>
      <c r="G1313" s="2" t="s">
        <v>5106</v>
      </c>
      <c r="H1313" s="2" t="s">
        <v>5107</v>
      </c>
      <c r="I1313" s="2" t="s">
        <v>5112</v>
      </c>
      <c r="J1313" s="2" t="s">
        <v>270</v>
      </c>
      <c r="K1313" s="2" t="s">
        <v>338</v>
      </c>
      <c r="L1313" s="3">
        <v>23.8</v>
      </c>
      <c r="M1313" s="3">
        <v>24.99</v>
      </c>
      <c r="N1313" s="3">
        <v>49.99</v>
      </c>
      <c r="O1313" s="2" t="s">
        <v>232</v>
      </c>
      <c r="P1313" s="2" t="s">
        <v>878</v>
      </c>
      <c r="Q1313" s="2" t="s">
        <v>234</v>
      </c>
      <c r="R1313" s="2" t="s">
        <v>235</v>
      </c>
      <c r="S1313" s="2" t="s">
        <v>235</v>
      </c>
      <c r="T1313" s="2" t="s">
        <v>879</v>
      </c>
      <c r="U1313" s="2" t="s">
        <v>552</v>
      </c>
      <c r="V1313" s="2" t="s">
        <v>420</v>
      </c>
      <c r="W1313" s="2" t="s">
        <v>682</v>
      </c>
      <c r="X1313" s="2" t="s">
        <v>682</v>
      </c>
      <c r="Y1313" s="2" t="s">
        <v>4811</v>
      </c>
      <c r="Z1313" s="4">
        <v>22</v>
      </c>
      <c r="AA1313" s="4">
        <f>=ROUNDDOWN(11,0)</f>
      </c>
      <c r="AB1313" s="5">
        <v>2</v>
      </c>
      <c r="AC1313" s="2" t="s">
        <v>235</v>
      </c>
      <c r="AD1313" s="4"/>
      <c r="AE1313" s="4"/>
      <c r="AF1313" s="6">
        <v>64</v>
      </c>
      <c r="AG1313" s="6">
        <v>47</v>
      </c>
      <c r="AH1313" s="7">
        <v>1</v>
      </c>
      <c r="AI1313" s="4"/>
      <c r="AJ1313" s="4">
        <f>=ROUNDDOWN({0},0)</f>
      </c>
      <c r="AK1313" s="5"/>
      <c r="AL1313" s="2" t="s">
        <v>235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235</v>
      </c>
      <c r="AW1313" s="8" t="s">
        <v>235</v>
      </c>
      <c r="AX1313" s="4" t="s">
        <v>235</v>
      </c>
      <c r="AY1313" s="8" t="s">
        <v>235</v>
      </c>
      <c r="AZ1313" s="7" t="s">
        <v>235</v>
      </c>
      <c r="BA1313" s="7" t="s">
        <v>235</v>
      </c>
      <c r="BB1313" s="7" t="s">
        <v>235</v>
      </c>
      <c r="BC1313" s="4" t="s">
        <v>235</v>
      </c>
      <c r="BD1313" s="8" t="s">
        <v>235</v>
      </c>
      <c r="BE1313" s="4" t="s">
        <v>235</v>
      </c>
      <c r="BF1313" s="8" t="s">
        <v>235</v>
      </c>
      <c r="BG1313" s="7" t="s">
        <v>235</v>
      </c>
      <c r="BH1313" s="7" t="s">
        <v>235</v>
      </c>
      <c r="BI1313" s="7"/>
      <c r="BJ1313" s="4"/>
      <c r="BK1313" s="8"/>
      <c r="BL1313" s="2" t="s">
        <v>235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5113</v>
      </c>
      <c r="BV1313" s="2" t="s">
        <v>235</v>
      </c>
      <c r="BW1313" s="2" t="s">
        <v>235</v>
      </c>
      <c r="BX1313" s="2" t="s">
        <v>619</v>
      </c>
      <c r="BY1313" s="2" t="s">
        <v>245</v>
      </c>
      <c r="BZ1313" s="2" t="s">
        <v>232</v>
      </c>
      <c r="CA1313" s="2" t="s">
        <v>235</v>
      </c>
      <c r="CB1313" s="2" t="s">
        <v>235</v>
      </c>
      <c r="CC1313" s="2" t="s">
        <v>248</v>
      </c>
      <c r="CD1313" s="2" t="s">
        <v>248</v>
      </c>
      <c r="CE1313" s="2" t="s">
        <v>235</v>
      </c>
      <c r="CF1313" s="4">
        <v>10</v>
      </c>
      <c r="CG1313" s="4"/>
      <c r="CH1313" s="4"/>
      <c r="CI1313" s="4">
        <v>12</v>
      </c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>
        <v>22</v>
      </c>
      <c r="GE1313" s="4">
        <v>19</v>
      </c>
      <c r="GF1313" s="4">
        <v>16</v>
      </c>
      <c r="GG1313" s="4">
        <v>13</v>
      </c>
      <c r="GH1313" s="4">
        <v>10</v>
      </c>
      <c r="GI1313" s="4">
        <v>7</v>
      </c>
      <c r="GJ1313" s="4">
        <v>4</v>
      </c>
      <c r="GK1313" s="4">
        <v>1</v>
      </c>
      <c r="GL1313" s="4"/>
      <c r="GM1313" s="4"/>
      <c r="GN1313" s="4"/>
      <c r="GO1313" s="4"/>
      <c r="GP1313" s="4"/>
      <c r="GQ1313" s="4"/>
      <c r="GR1313" s="4"/>
      <c r="GS1313" s="4">
        <v>60</v>
      </c>
      <c r="GT1313" s="4">
        <v>57</v>
      </c>
      <c r="GU1313" s="4">
        <v>54</v>
      </c>
      <c r="GV1313" s="4">
        <v>158</v>
      </c>
      <c r="GW1313" s="4">
        <v>155</v>
      </c>
      <c r="GX1313" s="4">
        <v>152</v>
      </c>
      <c r="GY1313" s="4">
        <v>149</v>
      </c>
      <c r="GZ1313" s="4">
        <v>146</v>
      </c>
      <c r="HA1313" s="4">
        <v>143</v>
      </c>
      <c r="HB1313" s="4">
        <v>140</v>
      </c>
      <c r="HC1313" s="4">
        <v>137</v>
      </c>
      <c r="HD1313" s="19">
        <v>8.5</v>
      </c>
      <c r="HE1313" s="19">
        <v>7.5</v>
      </c>
      <c r="HF1313" s="19">
        <v>4</v>
      </c>
      <c r="HG1313" s="19">
        <v>4.3</v>
      </c>
      <c r="HH1313" s="19">
        <v>3</v>
      </c>
      <c r="HI1313" s="19">
        <v>1.8</v>
      </c>
      <c r="HJ1313" s="19">
        <v>1</v>
      </c>
      <c r="HK1313" s="19">
        <v>0.5</v>
      </c>
      <c r="HL1313" s="20">
        <v>0</v>
      </c>
      <c r="HM1313" s="20">
        <v>0</v>
      </c>
      <c r="HN1313" s="20">
        <v>0</v>
      </c>
      <c r="HO1313" s="20">
        <v>0</v>
      </c>
      <c r="HP1313" s="20">
        <v>0</v>
      </c>
      <c r="HQ1313" s="20">
        <v>0</v>
      </c>
      <c r="HR1313" s="20">
        <v>0</v>
      </c>
      <c r="HS1313" s="19">
        <v>15</v>
      </c>
      <c r="HT1313" s="19">
        <v>14.3</v>
      </c>
      <c r="HU1313" s="19">
        <v>13.5</v>
      </c>
      <c r="HV1313" s="19">
        <v>52.3</v>
      </c>
      <c r="HW1313" s="19">
        <v>51.3</v>
      </c>
      <c r="HX1313" s="19">
        <v>50.3</v>
      </c>
      <c r="HY1313" s="19">
        <v>49.3</v>
      </c>
      <c r="HZ1313" s="19">
        <v>48.3</v>
      </c>
      <c r="IA1313" s="19">
        <v>47.3</v>
      </c>
      <c r="IB1313" s="19">
        <v>46.3</v>
      </c>
      <c r="IC1313" s="19">
        <v>45.3</v>
      </c>
    </row>
    <row r="1314">
      <c r="A1314" s="2" t="s">
        <v>5130</v>
      </c>
      <c r="B1314" s="2" t="s">
        <v>871</v>
      </c>
      <c r="C1314" s="2" t="s">
        <v>606</v>
      </c>
      <c r="D1314" s="2" t="s">
        <v>361</v>
      </c>
      <c r="E1314" s="2" t="s">
        <v>872</v>
      </c>
      <c r="F1314" s="2" t="s">
        <v>5105</v>
      </c>
      <c r="G1314" s="2" t="s">
        <v>5106</v>
      </c>
      <c r="H1314" s="2" t="s">
        <v>5107</v>
      </c>
      <c r="I1314" s="2" t="s">
        <v>5108</v>
      </c>
      <c r="J1314" s="2" t="s">
        <v>272</v>
      </c>
      <c r="K1314" s="2" t="s">
        <v>338</v>
      </c>
      <c r="L1314" s="3">
        <v>38.09</v>
      </c>
      <c r="M1314" s="3">
        <v>39.99</v>
      </c>
      <c r="N1314" s="3">
        <v>79.99</v>
      </c>
      <c r="O1314" s="2" t="s">
        <v>232</v>
      </c>
      <c r="P1314" s="2" t="s">
        <v>878</v>
      </c>
      <c r="Q1314" s="2" t="s">
        <v>234</v>
      </c>
      <c r="R1314" s="2" t="s">
        <v>235</v>
      </c>
      <c r="S1314" s="2" t="s">
        <v>235</v>
      </c>
      <c r="T1314" s="2" t="s">
        <v>879</v>
      </c>
      <c r="U1314" s="2" t="s">
        <v>742</v>
      </c>
      <c r="V1314" s="2" t="s">
        <v>420</v>
      </c>
      <c r="W1314" s="2" t="s">
        <v>682</v>
      </c>
      <c r="X1314" s="2" t="s">
        <v>682</v>
      </c>
      <c r="Y1314" s="2" t="s">
        <v>4811</v>
      </c>
      <c r="Z1314" s="4">
        <v>186</v>
      </c>
      <c r="AA1314" s="4">
        <f>=ROUNDDOWN({0},0)</f>
      </c>
      <c r="AB1314" s="5"/>
      <c r="AC1314" s="2" t="s">
        <v>235</v>
      </c>
      <c r="AD1314" s="4"/>
      <c r="AE1314" s="4"/>
      <c r="AF1314" s="6">
        <v>64</v>
      </c>
      <c r="AG1314" s="6">
        <v>47</v>
      </c>
      <c r="AH1314" s="7">
        <v>1</v>
      </c>
      <c r="AI1314" s="4"/>
      <c r="AJ1314" s="4">
        <f>=ROUNDDOWN({0},0)</f>
      </c>
      <c r="AK1314" s="5"/>
      <c r="AL1314" s="2" t="s">
        <v>235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235</v>
      </c>
      <c r="AW1314" s="8" t="s">
        <v>235</v>
      </c>
      <c r="AX1314" s="4" t="s">
        <v>235</v>
      </c>
      <c r="AY1314" s="8" t="s">
        <v>235</v>
      </c>
      <c r="AZ1314" s="7" t="s">
        <v>235</v>
      </c>
      <c r="BA1314" s="7" t="s">
        <v>235</v>
      </c>
      <c r="BB1314" s="7" t="s">
        <v>235</v>
      </c>
      <c r="BC1314" s="4" t="s">
        <v>235</v>
      </c>
      <c r="BD1314" s="8" t="s">
        <v>235</v>
      </c>
      <c r="BE1314" s="4" t="s">
        <v>235</v>
      </c>
      <c r="BF1314" s="8" t="s">
        <v>235</v>
      </c>
      <c r="BG1314" s="7" t="s">
        <v>235</v>
      </c>
      <c r="BH1314" s="7" t="s">
        <v>235</v>
      </c>
      <c r="BI1314" s="7"/>
      <c r="BJ1314" s="4"/>
      <c r="BK1314" s="8"/>
      <c r="BL1314" s="2" t="s">
        <v>235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5110</v>
      </c>
      <c r="BV1314" s="2" t="s">
        <v>235</v>
      </c>
      <c r="BW1314" s="2" t="s">
        <v>235</v>
      </c>
      <c r="BX1314" s="2" t="s">
        <v>619</v>
      </c>
      <c r="BY1314" s="2" t="s">
        <v>245</v>
      </c>
      <c r="BZ1314" s="2" t="s">
        <v>232</v>
      </c>
      <c r="CA1314" s="2" t="s">
        <v>235</v>
      </c>
      <c r="CB1314" s="2" t="s">
        <v>235</v>
      </c>
      <c r="CC1314" s="2" t="s">
        <v>248</v>
      </c>
      <c r="CD1314" s="2" t="s">
        <v>248</v>
      </c>
      <c r="CE1314" s="2" t="s">
        <v>235</v>
      </c>
      <c r="CF1314" s="4">
        <v>117</v>
      </c>
      <c r="CG1314" s="4"/>
      <c r="CH1314" s="4"/>
      <c r="CI1314" s="4">
        <v>69</v>
      </c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>
        <v>186</v>
      </c>
      <c r="GE1314" s="4">
        <v>177</v>
      </c>
      <c r="GF1314" s="4">
        <v>169</v>
      </c>
      <c r="GG1314" s="4">
        <v>161</v>
      </c>
      <c r="GH1314" s="4">
        <v>153</v>
      </c>
      <c r="GI1314" s="4">
        <v>145</v>
      </c>
      <c r="GJ1314" s="4">
        <v>137</v>
      </c>
      <c r="GK1314" s="4">
        <v>129</v>
      </c>
      <c r="GL1314" s="4">
        <v>121</v>
      </c>
      <c r="GM1314" s="4">
        <v>110</v>
      </c>
      <c r="GN1314" s="4">
        <v>99</v>
      </c>
      <c r="GO1314" s="4">
        <v>88</v>
      </c>
      <c r="GP1314" s="4">
        <v>69</v>
      </c>
      <c r="GQ1314" s="4">
        <v>50</v>
      </c>
      <c r="GR1314" s="4">
        <v>34</v>
      </c>
      <c r="GS1314" s="4">
        <v>136</v>
      </c>
      <c r="GT1314" s="4">
        <v>126</v>
      </c>
      <c r="GU1314" s="4">
        <v>118</v>
      </c>
      <c r="GV1314" s="4">
        <v>471</v>
      </c>
      <c r="GW1314" s="4">
        <v>463</v>
      </c>
      <c r="GX1314" s="4">
        <v>455</v>
      </c>
      <c r="GY1314" s="4">
        <v>447</v>
      </c>
      <c r="GZ1314" s="4">
        <v>439</v>
      </c>
      <c r="HA1314" s="4">
        <v>431</v>
      </c>
      <c r="HB1314" s="4">
        <v>423</v>
      </c>
      <c r="HC1314" s="4">
        <v>414</v>
      </c>
      <c r="HD1314" s="19">
        <v>27</v>
      </c>
      <c r="HE1314" s="19">
        <v>25.9</v>
      </c>
      <c r="HF1314" s="19">
        <v>24.9</v>
      </c>
      <c r="HG1314" s="19">
        <v>23.9</v>
      </c>
      <c r="HH1314" s="19">
        <v>22.9</v>
      </c>
      <c r="HI1314" s="19">
        <v>21.9</v>
      </c>
      <c r="HJ1314" s="19">
        <v>20</v>
      </c>
      <c r="HK1314" s="19">
        <v>13.8</v>
      </c>
      <c r="HL1314" s="19">
        <v>10.1</v>
      </c>
      <c r="HM1314" s="19">
        <v>9</v>
      </c>
      <c r="HN1314" s="19">
        <v>8.1</v>
      </c>
      <c r="HO1314" s="19">
        <v>6.4</v>
      </c>
      <c r="HP1314" s="19">
        <v>5.2</v>
      </c>
      <c r="HQ1314" s="19">
        <v>4.5</v>
      </c>
      <c r="HR1314" s="19">
        <v>2.9</v>
      </c>
      <c r="HS1314" s="19">
        <v>9.7</v>
      </c>
      <c r="HT1314" s="19">
        <v>12.6</v>
      </c>
      <c r="HU1314" s="19">
        <v>19.7</v>
      </c>
      <c r="HV1314" s="19">
        <v>57.8</v>
      </c>
      <c r="HW1314" s="19">
        <v>56.8</v>
      </c>
      <c r="HX1314" s="19">
        <v>55.8</v>
      </c>
      <c r="HY1314" s="19">
        <v>54.8</v>
      </c>
      <c r="HZ1314" s="19">
        <v>53.8</v>
      </c>
      <c r="IA1314" s="19">
        <v>52.8</v>
      </c>
      <c r="IB1314" s="19">
        <v>51.8</v>
      </c>
      <c r="IC1314" s="19">
        <v>50.7</v>
      </c>
    </row>
    <row r="1315">
      <c r="A1315" s="2" t="s">
        <v>5131</v>
      </c>
      <c r="B1315" s="2" t="s">
        <v>871</v>
      </c>
      <c r="C1315" s="2" t="s">
        <v>606</v>
      </c>
      <c r="D1315" s="2" t="s">
        <v>906</v>
      </c>
      <c r="E1315" s="2" t="s">
        <v>1301</v>
      </c>
      <c r="F1315" s="2" t="s">
        <v>5105</v>
      </c>
      <c r="G1315" s="2" t="s">
        <v>5106</v>
      </c>
      <c r="H1315" s="2" t="s">
        <v>5107</v>
      </c>
      <c r="I1315" s="2" t="s">
        <v>5112</v>
      </c>
      <c r="J1315" s="2" t="s">
        <v>272</v>
      </c>
      <c r="K1315" s="2" t="s">
        <v>338</v>
      </c>
      <c r="L1315" s="3">
        <v>26.185714</v>
      </c>
      <c r="M1315" s="3">
        <v>27.5</v>
      </c>
      <c r="N1315" s="3">
        <v>54.99</v>
      </c>
      <c r="O1315" s="2" t="s">
        <v>232</v>
      </c>
      <c r="P1315" s="2" t="s">
        <v>878</v>
      </c>
      <c r="Q1315" s="2" t="s">
        <v>234</v>
      </c>
      <c r="R1315" s="2" t="s">
        <v>235</v>
      </c>
      <c r="S1315" s="2" t="s">
        <v>235</v>
      </c>
      <c r="T1315" s="2" t="s">
        <v>879</v>
      </c>
      <c r="U1315" s="2" t="s">
        <v>552</v>
      </c>
      <c r="V1315" s="2" t="s">
        <v>420</v>
      </c>
      <c r="W1315" s="2" t="s">
        <v>682</v>
      </c>
      <c r="X1315" s="2" t="s">
        <v>682</v>
      </c>
      <c r="Y1315" s="2" t="s">
        <v>4811</v>
      </c>
      <c r="Z1315" s="4">
        <v>40</v>
      </c>
      <c r="AA1315" s="4">
        <f>=ROUNDDOWN({0},0)</f>
      </c>
      <c r="AB1315" s="5"/>
      <c r="AC1315" s="2" t="s">
        <v>235</v>
      </c>
      <c r="AD1315" s="4"/>
      <c r="AE1315" s="4"/>
      <c r="AF1315" s="6">
        <v>64</v>
      </c>
      <c r="AG1315" s="6">
        <v>47</v>
      </c>
      <c r="AH1315" s="7">
        <v>1</v>
      </c>
      <c r="AI1315" s="4"/>
      <c r="AJ1315" s="4">
        <f>=ROUNDDOWN({0},0)</f>
      </c>
      <c r="AK1315" s="5"/>
      <c r="AL1315" s="2" t="s">
        <v>235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235</v>
      </c>
      <c r="AW1315" s="8" t="s">
        <v>235</v>
      </c>
      <c r="AX1315" s="4" t="s">
        <v>235</v>
      </c>
      <c r="AY1315" s="8" t="s">
        <v>235</v>
      </c>
      <c r="AZ1315" s="7" t="s">
        <v>235</v>
      </c>
      <c r="BA1315" s="7" t="s">
        <v>235</v>
      </c>
      <c r="BB1315" s="7" t="s">
        <v>235</v>
      </c>
      <c r="BC1315" s="4" t="s">
        <v>235</v>
      </c>
      <c r="BD1315" s="8" t="s">
        <v>235</v>
      </c>
      <c r="BE1315" s="4" t="s">
        <v>235</v>
      </c>
      <c r="BF1315" s="8" t="s">
        <v>235</v>
      </c>
      <c r="BG1315" s="7" t="s">
        <v>235</v>
      </c>
      <c r="BH1315" s="7" t="s">
        <v>235</v>
      </c>
      <c r="BI1315" s="7"/>
      <c r="BJ1315" s="4"/>
      <c r="BK1315" s="8"/>
      <c r="BL1315" s="2" t="s">
        <v>235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5113</v>
      </c>
      <c r="BV1315" s="2" t="s">
        <v>235</v>
      </c>
      <c r="BW1315" s="2" t="s">
        <v>235</v>
      </c>
      <c r="BX1315" s="2" t="s">
        <v>619</v>
      </c>
      <c r="BY1315" s="2" t="s">
        <v>245</v>
      </c>
      <c r="BZ1315" s="2" t="s">
        <v>232</v>
      </c>
      <c r="CA1315" s="2" t="s">
        <v>235</v>
      </c>
      <c r="CB1315" s="2" t="s">
        <v>235</v>
      </c>
      <c r="CC1315" s="2" t="s">
        <v>248</v>
      </c>
      <c r="CD1315" s="2" t="s">
        <v>248</v>
      </c>
      <c r="CE1315" s="2" t="s">
        <v>235</v>
      </c>
      <c r="CF1315" s="4">
        <v>24</v>
      </c>
      <c r="CG1315" s="4"/>
      <c r="CH1315" s="4"/>
      <c r="CI1315" s="4">
        <v>16</v>
      </c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>
        <v>40</v>
      </c>
      <c r="GE1315" s="4">
        <v>37</v>
      </c>
      <c r="GF1315" s="4">
        <v>34</v>
      </c>
      <c r="GG1315" s="4">
        <v>31</v>
      </c>
      <c r="GH1315" s="4">
        <v>28</v>
      </c>
      <c r="GI1315" s="4">
        <v>25</v>
      </c>
      <c r="GJ1315" s="4">
        <v>22</v>
      </c>
      <c r="GK1315" s="4">
        <v>19</v>
      </c>
      <c r="GL1315" s="4">
        <v>16</v>
      </c>
      <c r="GM1315" s="4">
        <v>13</v>
      </c>
      <c r="GN1315" s="4">
        <v>10</v>
      </c>
      <c r="GO1315" s="4">
        <v>6</v>
      </c>
      <c r="GP1315" s="4"/>
      <c r="GQ1315" s="4"/>
      <c r="GR1315" s="4"/>
      <c r="GS1315" s="4">
        <v>60</v>
      </c>
      <c r="GT1315" s="4">
        <v>57</v>
      </c>
      <c r="GU1315" s="4">
        <v>54</v>
      </c>
      <c r="GV1315" s="4">
        <v>158</v>
      </c>
      <c r="GW1315" s="4">
        <v>155</v>
      </c>
      <c r="GX1315" s="4">
        <v>152</v>
      </c>
      <c r="GY1315" s="4">
        <v>149</v>
      </c>
      <c r="GZ1315" s="4">
        <v>146</v>
      </c>
      <c r="HA1315" s="4">
        <v>143</v>
      </c>
      <c r="HB1315" s="4">
        <v>140</v>
      </c>
      <c r="HC1315" s="4">
        <v>137</v>
      </c>
      <c r="HD1315" s="19">
        <v>14</v>
      </c>
      <c r="HE1315" s="19">
        <v>13</v>
      </c>
      <c r="HF1315" s="19">
        <v>12</v>
      </c>
      <c r="HG1315" s="19">
        <v>11</v>
      </c>
      <c r="HH1315" s="19">
        <v>10</v>
      </c>
      <c r="HI1315" s="19">
        <v>9</v>
      </c>
      <c r="HJ1315" s="19">
        <v>8</v>
      </c>
      <c r="HK1315" s="19">
        <v>7</v>
      </c>
      <c r="HL1315" s="19">
        <v>4</v>
      </c>
      <c r="HM1315" s="19">
        <v>2.8</v>
      </c>
      <c r="HN1315" s="19">
        <v>2.2</v>
      </c>
      <c r="HO1315" s="19">
        <v>1.4</v>
      </c>
      <c r="HP1315" s="20">
        <v>0</v>
      </c>
      <c r="HQ1315" s="20">
        <v>0</v>
      </c>
      <c r="HR1315" s="20">
        <v>0</v>
      </c>
      <c r="HS1315" s="19">
        <v>15</v>
      </c>
      <c r="HT1315" s="19">
        <v>14.3</v>
      </c>
      <c r="HU1315" s="19">
        <v>13.5</v>
      </c>
      <c r="HV1315" s="19">
        <v>52.3</v>
      </c>
      <c r="HW1315" s="19">
        <v>51.3</v>
      </c>
      <c r="HX1315" s="19">
        <v>50.3</v>
      </c>
      <c r="HY1315" s="19">
        <v>49.3</v>
      </c>
      <c r="HZ1315" s="19">
        <v>48.3</v>
      </c>
      <c r="IA1315" s="19">
        <v>47.3</v>
      </c>
      <c r="IB1315" s="19">
        <v>46.3</v>
      </c>
      <c r="IC1315" s="19">
        <v>45.3</v>
      </c>
    </row>
    <row r="1316">
      <c r="A1316" s="2" t="s">
        <v>5132</v>
      </c>
      <c r="B1316" s="2" t="s">
        <v>871</v>
      </c>
      <c r="C1316" s="2" t="s">
        <v>606</v>
      </c>
      <c r="D1316" s="2" t="s">
        <v>361</v>
      </c>
      <c r="E1316" s="2" t="s">
        <v>872</v>
      </c>
      <c r="F1316" s="2" t="s">
        <v>5105</v>
      </c>
      <c r="G1316" s="2" t="s">
        <v>5106</v>
      </c>
      <c r="H1316" s="2" t="s">
        <v>5107</v>
      </c>
      <c r="I1316" s="2" t="s">
        <v>5108</v>
      </c>
      <c r="J1316" s="2" t="s">
        <v>877</v>
      </c>
      <c r="K1316" s="2" t="s">
        <v>822</v>
      </c>
      <c r="L1316" s="3">
        <v>26.19</v>
      </c>
      <c r="M1316" s="3">
        <v>27.5</v>
      </c>
      <c r="N1316" s="3">
        <v>54.99</v>
      </c>
      <c r="O1316" s="2" t="s">
        <v>232</v>
      </c>
      <c r="P1316" s="2" t="s">
        <v>878</v>
      </c>
      <c r="Q1316" s="2" t="s">
        <v>234</v>
      </c>
      <c r="R1316" s="2" t="s">
        <v>235</v>
      </c>
      <c r="S1316" s="2" t="s">
        <v>235</v>
      </c>
      <c r="T1316" s="2" t="s">
        <v>879</v>
      </c>
      <c r="U1316" s="2" t="s">
        <v>282</v>
      </c>
      <c r="V1316" s="2" t="s">
        <v>420</v>
      </c>
      <c r="W1316" s="2" t="s">
        <v>682</v>
      </c>
      <c r="X1316" s="2" t="s">
        <v>682</v>
      </c>
      <c r="Y1316" s="2" t="s">
        <v>4643</v>
      </c>
      <c r="Z1316" s="4">
        <v>377</v>
      </c>
      <c r="AA1316" s="4">
        <f>=ROUNDDOWN({0},0)</f>
      </c>
      <c r="AB1316" s="5"/>
      <c r="AC1316" s="2" t="s">
        <v>4370</v>
      </c>
      <c r="AD1316" s="4">
        <v>3</v>
      </c>
      <c r="AE1316" s="4">
        <v>3</v>
      </c>
      <c r="AF1316" s="6">
        <v>64</v>
      </c>
      <c r="AG1316" s="6">
        <v>47</v>
      </c>
      <c r="AH1316" s="7">
        <v>1</v>
      </c>
      <c r="AI1316" s="4"/>
      <c r="AJ1316" s="4">
        <f>=ROUNDDOWN({0},0)</f>
      </c>
      <c r="AK1316" s="5"/>
      <c r="AL1316" s="2" t="s">
        <v>235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235</v>
      </c>
      <c r="AW1316" s="8" t="s">
        <v>235</v>
      </c>
      <c r="AX1316" s="4" t="s">
        <v>235</v>
      </c>
      <c r="AY1316" s="8" t="s">
        <v>235</v>
      </c>
      <c r="AZ1316" s="7" t="s">
        <v>235</v>
      </c>
      <c r="BA1316" s="7" t="s">
        <v>235</v>
      </c>
      <c r="BB1316" s="7" t="s">
        <v>235</v>
      </c>
      <c r="BC1316" s="4" t="s">
        <v>235</v>
      </c>
      <c r="BD1316" s="8" t="s">
        <v>235</v>
      </c>
      <c r="BE1316" s="4" t="s">
        <v>235</v>
      </c>
      <c r="BF1316" s="8" t="s">
        <v>235</v>
      </c>
      <c r="BG1316" s="7" t="s">
        <v>235</v>
      </c>
      <c r="BH1316" s="7" t="s">
        <v>235</v>
      </c>
      <c r="BI1316" s="7"/>
      <c r="BJ1316" s="4"/>
      <c r="BK1316" s="8"/>
      <c r="BL1316" s="2" t="s">
        <v>235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5110</v>
      </c>
      <c r="BV1316" s="2" t="s">
        <v>235</v>
      </c>
      <c r="BW1316" s="2" t="s">
        <v>235</v>
      </c>
      <c r="BX1316" s="2" t="s">
        <v>619</v>
      </c>
      <c r="BY1316" s="2" t="s">
        <v>245</v>
      </c>
      <c r="BZ1316" s="2" t="s">
        <v>232</v>
      </c>
      <c r="CA1316" s="2" t="s">
        <v>235</v>
      </c>
      <c r="CB1316" s="2" t="s">
        <v>235</v>
      </c>
      <c r="CC1316" s="2" t="s">
        <v>248</v>
      </c>
      <c r="CD1316" s="2" t="s">
        <v>248</v>
      </c>
      <c r="CE1316" s="2" t="s">
        <v>235</v>
      </c>
      <c r="CF1316" s="4">
        <v>183</v>
      </c>
      <c r="CG1316" s="4"/>
      <c r="CH1316" s="4"/>
      <c r="CI1316" s="4">
        <v>194</v>
      </c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>
        <v>3</v>
      </c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>
        <v>381</v>
      </c>
      <c r="GE1316" s="4">
        <v>308</v>
      </c>
      <c r="GF1316" s="4">
        <v>289</v>
      </c>
      <c r="GG1316" s="4">
        <v>270</v>
      </c>
      <c r="GH1316" s="4">
        <v>250</v>
      </c>
      <c r="GI1316" s="4">
        <v>221</v>
      </c>
      <c r="GJ1316" s="4">
        <v>192</v>
      </c>
      <c r="GK1316" s="4">
        <v>167</v>
      </c>
      <c r="GL1316" s="4">
        <v>147</v>
      </c>
      <c r="GM1316" s="4">
        <v>127</v>
      </c>
      <c r="GN1316" s="4">
        <v>108</v>
      </c>
      <c r="GO1316" s="4">
        <v>90</v>
      </c>
      <c r="GP1316" s="4">
        <v>66</v>
      </c>
      <c r="GQ1316" s="4">
        <v>42</v>
      </c>
      <c r="GR1316" s="4">
        <v>21</v>
      </c>
      <c r="GS1316" s="4">
        <v>236</v>
      </c>
      <c r="GT1316" s="4">
        <v>211</v>
      </c>
      <c r="GU1316" s="4">
        <v>195</v>
      </c>
      <c r="GV1316" s="4">
        <v>757</v>
      </c>
      <c r="GW1316" s="4">
        <v>741</v>
      </c>
      <c r="GX1316" s="4">
        <v>725</v>
      </c>
      <c r="GY1316" s="4">
        <v>709</v>
      </c>
      <c r="GZ1316" s="4">
        <v>693</v>
      </c>
      <c r="HA1316" s="4">
        <v>677</v>
      </c>
      <c r="HB1316" s="4">
        <v>661</v>
      </c>
      <c r="HC1316" s="4">
        <v>644</v>
      </c>
      <c r="HD1316" s="19">
        <v>17.6</v>
      </c>
      <c r="HE1316" s="19">
        <v>21.9</v>
      </c>
      <c r="HF1316" s="19">
        <v>20.7</v>
      </c>
      <c r="HG1316" s="19">
        <v>16.9</v>
      </c>
      <c r="HH1316" s="19">
        <v>16.2</v>
      </c>
      <c r="HI1316" s="19">
        <v>11</v>
      </c>
      <c r="HJ1316" s="19">
        <v>8.3</v>
      </c>
      <c r="HK1316" s="19">
        <v>6.7</v>
      </c>
      <c r="HL1316" s="19">
        <v>3.9</v>
      </c>
      <c r="HM1316" s="19">
        <v>3</v>
      </c>
      <c r="HN1316" s="19">
        <v>2.5</v>
      </c>
      <c r="HO1316" s="19">
        <v>2.3</v>
      </c>
      <c r="HP1316" s="19">
        <v>1.7</v>
      </c>
      <c r="HQ1316" s="19">
        <v>1.2</v>
      </c>
      <c r="HR1316" s="19">
        <v>0.6</v>
      </c>
      <c r="HS1316" s="19">
        <v>7.4</v>
      </c>
      <c r="HT1316" s="19">
        <v>10.6</v>
      </c>
      <c r="HU1316" s="19">
        <v>14</v>
      </c>
      <c r="HV1316" s="19">
        <v>46.4</v>
      </c>
      <c r="HW1316" s="19">
        <v>45.4</v>
      </c>
      <c r="HX1316" s="19">
        <v>44.4</v>
      </c>
      <c r="HY1316" s="19">
        <v>43.4</v>
      </c>
      <c r="HZ1316" s="19">
        <v>42.4</v>
      </c>
      <c r="IA1316" s="19">
        <v>41.4</v>
      </c>
      <c r="IB1316" s="19">
        <v>40.4</v>
      </c>
      <c r="IC1316" s="19">
        <v>39.4</v>
      </c>
    </row>
    <row r="1317">
      <c r="A1317" s="2" t="s">
        <v>5133</v>
      </c>
      <c r="B1317" s="2" t="s">
        <v>871</v>
      </c>
      <c r="C1317" s="2" t="s">
        <v>606</v>
      </c>
      <c r="D1317" s="2" t="s">
        <v>906</v>
      </c>
      <c r="E1317" s="2" t="s">
        <v>1301</v>
      </c>
      <c r="F1317" s="2" t="s">
        <v>5105</v>
      </c>
      <c r="G1317" s="2" t="s">
        <v>5106</v>
      </c>
      <c r="H1317" s="2" t="s">
        <v>5107</v>
      </c>
      <c r="I1317" s="2" t="s">
        <v>5112</v>
      </c>
      <c r="J1317" s="2" t="s">
        <v>877</v>
      </c>
      <c r="K1317" s="2" t="s">
        <v>822</v>
      </c>
      <c r="L1317" s="3">
        <v>16.66</v>
      </c>
      <c r="M1317" s="3">
        <v>17.49</v>
      </c>
      <c r="N1317" s="3">
        <v>34.99</v>
      </c>
      <c r="O1317" s="2" t="s">
        <v>232</v>
      </c>
      <c r="P1317" s="2" t="s">
        <v>878</v>
      </c>
      <c r="Q1317" s="2" t="s">
        <v>234</v>
      </c>
      <c r="R1317" s="2" t="s">
        <v>235</v>
      </c>
      <c r="S1317" s="2" t="s">
        <v>235</v>
      </c>
      <c r="T1317" s="2" t="s">
        <v>879</v>
      </c>
      <c r="U1317" s="2" t="s">
        <v>278</v>
      </c>
      <c r="V1317" s="2" t="s">
        <v>420</v>
      </c>
      <c r="W1317" s="2" t="s">
        <v>682</v>
      </c>
      <c r="X1317" s="2" t="s">
        <v>682</v>
      </c>
      <c r="Y1317" s="2" t="s">
        <v>4811</v>
      </c>
      <c r="Z1317" s="4">
        <v>226</v>
      </c>
      <c r="AA1317" s="4">
        <f>=ROUNDDOWN(113,0)</f>
      </c>
      <c r="AB1317" s="5">
        <v>2</v>
      </c>
      <c r="AC1317" s="2" t="s">
        <v>235</v>
      </c>
      <c r="AD1317" s="4"/>
      <c r="AE1317" s="4"/>
      <c r="AF1317" s="6">
        <v>64</v>
      </c>
      <c r="AG1317" s="6">
        <v>47</v>
      </c>
      <c r="AH1317" s="7">
        <v>1</v>
      </c>
      <c r="AI1317" s="4"/>
      <c r="AJ1317" s="4">
        <f>=ROUNDDOWN({0},0)</f>
      </c>
      <c r="AK1317" s="5"/>
      <c r="AL1317" s="2" t="s">
        <v>235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235</v>
      </c>
      <c r="AW1317" s="8" t="s">
        <v>235</v>
      </c>
      <c r="AX1317" s="4" t="s">
        <v>235</v>
      </c>
      <c r="AY1317" s="8" t="s">
        <v>235</v>
      </c>
      <c r="AZ1317" s="7" t="s">
        <v>235</v>
      </c>
      <c r="BA1317" s="7" t="s">
        <v>235</v>
      </c>
      <c r="BB1317" s="7" t="s">
        <v>235</v>
      </c>
      <c r="BC1317" s="4" t="s">
        <v>235</v>
      </c>
      <c r="BD1317" s="8" t="s">
        <v>235</v>
      </c>
      <c r="BE1317" s="4" t="s">
        <v>235</v>
      </c>
      <c r="BF1317" s="8" t="s">
        <v>235</v>
      </c>
      <c r="BG1317" s="7" t="s">
        <v>235</v>
      </c>
      <c r="BH1317" s="7" t="s">
        <v>235</v>
      </c>
      <c r="BI1317" s="7"/>
      <c r="BJ1317" s="4"/>
      <c r="BK1317" s="8"/>
      <c r="BL1317" s="2" t="s">
        <v>235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5113</v>
      </c>
      <c r="BV1317" s="2" t="s">
        <v>235</v>
      </c>
      <c r="BW1317" s="2" t="s">
        <v>235</v>
      </c>
      <c r="BX1317" s="2" t="s">
        <v>619</v>
      </c>
      <c r="BY1317" s="2" t="s">
        <v>245</v>
      </c>
      <c r="BZ1317" s="2" t="s">
        <v>232</v>
      </c>
      <c r="CA1317" s="2" t="s">
        <v>235</v>
      </c>
      <c r="CB1317" s="2" t="s">
        <v>235</v>
      </c>
      <c r="CC1317" s="2" t="s">
        <v>248</v>
      </c>
      <c r="CD1317" s="2" t="s">
        <v>248</v>
      </c>
      <c r="CE1317" s="2" t="s">
        <v>235</v>
      </c>
      <c r="CF1317" s="4">
        <v>94</v>
      </c>
      <c r="CG1317" s="4"/>
      <c r="CH1317" s="4"/>
      <c r="CI1317" s="4">
        <v>132</v>
      </c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>
        <v>234</v>
      </c>
      <c r="GE1317" s="4">
        <v>168</v>
      </c>
      <c r="GF1317" s="4">
        <v>157</v>
      </c>
      <c r="GG1317" s="4">
        <v>143</v>
      </c>
      <c r="GH1317" s="4">
        <v>128</v>
      </c>
      <c r="GI1317" s="4">
        <v>109</v>
      </c>
      <c r="GJ1317" s="4">
        <v>86</v>
      </c>
      <c r="GK1317" s="4">
        <v>69</v>
      </c>
      <c r="GL1317" s="4">
        <v>56</v>
      </c>
      <c r="GM1317" s="4">
        <v>44</v>
      </c>
      <c r="GN1317" s="4">
        <v>31</v>
      </c>
      <c r="GO1317" s="4">
        <v>17</v>
      </c>
      <c r="GP1317" s="4">
        <v>11</v>
      </c>
      <c r="GQ1317" s="4">
        <v>4</v>
      </c>
      <c r="GR1317" s="4"/>
      <c r="GS1317" s="4">
        <v>103</v>
      </c>
      <c r="GT1317" s="4">
        <v>65</v>
      </c>
      <c r="GU1317" s="4">
        <v>55</v>
      </c>
      <c r="GV1317" s="4">
        <v>496</v>
      </c>
      <c r="GW1317" s="4">
        <v>485</v>
      </c>
      <c r="GX1317" s="4">
        <v>474</v>
      </c>
      <c r="GY1317" s="4">
        <v>463</v>
      </c>
      <c r="GZ1317" s="4">
        <v>452</v>
      </c>
      <c r="HA1317" s="4">
        <v>441</v>
      </c>
      <c r="HB1317" s="4">
        <v>430</v>
      </c>
      <c r="HC1317" s="4">
        <v>419</v>
      </c>
      <c r="HD1317" s="19">
        <v>36.1</v>
      </c>
      <c r="HE1317" s="19">
        <v>13.1</v>
      </c>
      <c r="HF1317" s="19">
        <v>7.3</v>
      </c>
      <c r="HG1317" s="19">
        <v>5.4</v>
      </c>
      <c r="HH1317" s="19">
        <v>3.6</v>
      </c>
      <c r="HI1317" s="19">
        <v>3.4</v>
      </c>
      <c r="HJ1317" s="19">
        <v>3.1</v>
      </c>
      <c r="HK1317" s="19">
        <v>2.7</v>
      </c>
      <c r="HL1317" s="19">
        <v>2.6</v>
      </c>
      <c r="HM1317" s="19">
        <v>2.2</v>
      </c>
      <c r="HN1317" s="19">
        <v>2</v>
      </c>
      <c r="HO1317" s="19">
        <v>2.2</v>
      </c>
      <c r="HP1317" s="19">
        <v>0.5</v>
      </c>
      <c r="HQ1317" s="19">
        <v>0.2</v>
      </c>
      <c r="HR1317" s="20">
        <v>0</v>
      </c>
      <c r="HS1317" s="19">
        <v>3.5</v>
      </c>
      <c r="HT1317" s="19">
        <v>5.4</v>
      </c>
      <c r="HU1317" s="19">
        <v>6.9</v>
      </c>
      <c r="HV1317" s="19">
        <v>44.2</v>
      </c>
      <c r="HW1317" s="19">
        <v>43.2</v>
      </c>
      <c r="HX1317" s="19">
        <v>42.2</v>
      </c>
      <c r="HY1317" s="19">
        <v>41.2</v>
      </c>
      <c r="HZ1317" s="19">
        <v>40.2</v>
      </c>
      <c r="IA1317" s="19">
        <v>39.2</v>
      </c>
      <c r="IB1317" s="19">
        <v>38.2</v>
      </c>
      <c r="IC1317" s="19">
        <v>37.2</v>
      </c>
    </row>
    <row r="1318">
      <c r="A1318" s="2" t="s">
        <v>5134</v>
      </c>
      <c r="B1318" s="2" t="s">
        <v>871</v>
      </c>
      <c r="C1318" s="2" t="s">
        <v>606</v>
      </c>
      <c r="D1318" s="2" t="s">
        <v>361</v>
      </c>
      <c r="E1318" s="2" t="s">
        <v>872</v>
      </c>
      <c r="F1318" s="2" t="s">
        <v>5105</v>
      </c>
      <c r="G1318" s="2" t="s">
        <v>5106</v>
      </c>
      <c r="H1318" s="2" t="s">
        <v>5107</v>
      </c>
      <c r="I1318" s="2" t="s">
        <v>5108</v>
      </c>
      <c r="J1318" s="2" t="s">
        <v>250</v>
      </c>
      <c r="K1318" s="2" t="s">
        <v>822</v>
      </c>
      <c r="L1318" s="3">
        <v>30.95</v>
      </c>
      <c r="M1318" s="3">
        <v>32.5</v>
      </c>
      <c r="N1318" s="3">
        <v>64.99</v>
      </c>
      <c r="O1318" s="2" t="s">
        <v>232</v>
      </c>
      <c r="P1318" s="2" t="s">
        <v>878</v>
      </c>
      <c r="Q1318" s="2" t="s">
        <v>234</v>
      </c>
      <c r="R1318" s="2" t="s">
        <v>235</v>
      </c>
      <c r="S1318" s="2" t="s">
        <v>235</v>
      </c>
      <c r="T1318" s="2" t="s">
        <v>879</v>
      </c>
      <c r="U1318" s="2" t="s">
        <v>742</v>
      </c>
      <c r="V1318" s="2" t="s">
        <v>420</v>
      </c>
      <c r="W1318" s="2" t="s">
        <v>682</v>
      </c>
      <c r="X1318" s="2" t="s">
        <v>682</v>
      </c>
      <c r="Y1318" s="2" t="s">
        <v>3819</v>
      </c>
      <c r="Z1318" s="4">
        <v>1598</v>
      </c>
      <c r="AA1318" s="4">
        <f>=ROUNDDOWN(3196,0)</f>
      </c>
      <c r="AB1318" s="5">
        <v>0.5</v>
      </c>
      <c r="AC1318" s="2" t="s">
        <v>235</v>
      </c>
      <c r="AD1318" s="4"/>
      <c r="AE1318" s="4"/>
      <c r="AF1318" s="6">
        <v>64</v>
      </c>
      <c r="AG1318" s="6">
        <v>47</v>
      </c>
      <c r="AH1318" s="7">
        <v>1</v>
      </c>
      <c r="AI1318" s="4"/>
      <c r="AJ1318" s="4">
        <f>=ROUNDDOWN({0},0)</f>
      </c>
      <c r="AK1318" s="5"/>
      <c r="AL1318" s="2" t="s">
        <v>235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235</v>
      </c>
      <c r="AW1318" s="8" t="s">
        <v>235</v>
      </c>
      <c r="AX1318" s="4" t="s">
        <v>235</v>
      </c>
      <c r="AY1318" s="8" t="s">
        <v>235</v>
      </c>
      <c r="AZ1318" s="7" t="s">
        <v>235</v>
      </c>
      <c r="BA1318" s="7" t="s">
        <v>235</v>
      </c>
      <c r="BB1318" s="7" t="s">
        <v>235</v>
      </c>
      <c r="BC1318" s="4" t="s">
        <v>235</v>
      </c>
      <c r="BD1318" s="8" t="s">
        <v>235</v>
      </c>
      <c r="BE1318" s="4" t="s">
        <v>235</v>
      </c>
      <c r="BF1318" s="8" t="s">
        <v>235</v>
      </c>
      <c r="BG1318" s="7" t="s">
        <v>235</v>
      </c>
      <c r="BH1318" s="7" t="s">
        <v>235</v>
      </c>
      <c r="BI1318" s="7"/>
      <c r="BJ1318" s="4">
        <v>4</v>
      </c>
      <c r="BK1318" s="8">
        <v>195.2</v>
      </c>
      <c r="BL1318" s="2" t="s">
        <v>2683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5110</v>
      </c>
      <c r="BV1318" s="2" t="s">
        <v>235</v>
      </c>
      <c r="BW1318" s="2" t="s">
        <v>235</v>
      </c>
      <c r="BX1318" s="2" t="s">
        <v>619</v>
      </c>
      <c r="BY1318" s="2" t="s">
        <v>245</v>
      </c>
      <c r="BZ1318" s="2" t="s">
        <v>232</v>
      </c>
      <c r="CA1318" s="2" t="s">
        <v>235</v>
      </c>
      <c r="CB1318" s="2" t="s">
        <v>235</v>
      </c>
      <c r="CC1318" s="2" t="s">
        <v>248</v>
      </c>
      <c r="CD1318" s="2" t="s">
        <v>248</v>
      </c>
      <c r="CE1318" s="2" t="s">
        <v>235</v>
      </c>
      <c r="CF1318" s="4">
        <v>968</v>
      </c>
      <c r="CG1318" s="4"/>
      <c r="CH1318" s="4"/>
      <c r="CI1318" s="4">
        <v>630</v>
      </c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>
        <v>1601</v>
      </c>
      <c r="GE1318" s="4">
        <v>1529</v>
      </c>
      <c r="GF1318" s="4">
        <v>1470</v>
      </c>
      <c r="GG1318" s="4">
        <v>1411</v>
      </c>
      <c r="GH1318" s="4">
        <v>1352</v>
      </c>
      <c r="GI1318" s="4">
        <v>1292</v>
      </c>
      <c r="GJ1318" s="4">
        <v>1232</v>
      </c>
      <c r="GK1318" s="4">
        <v>1172</v>
      </c>
      <c r="GL1318" s="4">
        <v>1113</v>
      </c>
      <c r="GM1318" s="4">
        <v>1036</v>
      </c>
      <c r="GN1318" s="4">
        <v>959</v>
      </c>
      <c r="GO1318" s="4">
        <v>877</v>
      </c>
      <c r="GP1318" s="4">
        <v>737</v>
      </c>
      <c r="GQ1318" s="4">
        <v>597</v>
      </c>
      <c r="GR1318" s="4">
        <v>480</v>
      </c>
      <c r="GS1318" s="4">
        <v>578</v>
      </c>
      <c r="GT1318" s="4">
        <v>501</v>
      </c>
      <c r="GU1318" s="4">
        <v>439</v>
      </c>
      <c r="GV1318" s="4">
        <v>1633</v>
      </c>
      <c r="GW1318" s="4">
        <v>1574</v>
      </c>
      <c r="GX1318" s="4">
        <v>1515</v>
      </c>
      <c r="GY1318" s="4">
        <v>1456</v>
      </c>
      <c r="GZ1318" s="4">
        <v>1397</v>
      </c>
      <c r="HA1318" s="4">
        <v>1338</v>
      </c>
      <c r="HB1318" s="4">
        <v>1279</v>
      </c>
      <c r="HC1318" s="4">
        <v>1208</v>
      </c>
      <c r="HD1318" s="19">
        <v>30.3</v>
      </c>
      <c r="HE1318" s="19">
        <v>30.8</v>
      </c>
      <c r="HF1318" s="19">
        <v>29.8</v>
      </c>
      <c r="HG1318" s="19">
        <v>28.6</v>
      </c>
      <c r="HH1318" s="19">
        <v>27.6</v>
      </c>
      <c r="HI1318" s="19">
        <v>25</v>
      </c>
      <c r="HJ1318" s="19">
        <v>21.7</v>
      </c>
      <c r="HK1318" s="19">
        <v>19.7</v>
      </c>
      <c r="HL1318" s="19">
        <v>14.9</v>
      </c>
      <c r="HM1318" s="19">
        <v>12.1</v>
      </c>
      <c r="HN1318" s="19">
        <v>10.3</v>
      </c>
      <c r="HO1318" s="19">
        <v>9.6</v>
      </c>
      <c r="HP1318" s="19">
        <v>9.7</v>
      </c>
      <c r="HQ1318" s="19">
        <v>8.5</v>
      </c>
      <c r="HR1318" s="19">
        <v>6.8</v>
      </c>
      <c r="HS1318" s="19">
        <v>8.6</v>
      </c>
      <c r="HT1318" s="19">
        <v>7.9</v>
      </c>
      <c r="HU1318" s="19">
        <v>8.8</v>
      </c>
      <c r="HV1318" s="19">
        <v>27</v>
      </c>
      <c r="HW1318" s="19">
        <v>26</v>
      </c>
      <c r="HX1318" s="19">
        <v>25</v>
      </c>
      <c r="HY1318" s="19">
        <v>22.8</v>
      </c>
      <c r="HZ1318" s="19">
        <v>21.8</v>
      </c>
      <c r="IA1318" s="19">
        <v>20.9</v>
      </c>
      <c r="IB1318" s="19">
        <v>19.9</v>
      </c>
      <c r="IC1318" s="19">
        <v>19.8</v>
      </c>
    </row>
    <row r="1319">
      <c r="A1319" s="2" t="s">
        <v>5135</v>
      </c>
      <c r="B1319" s="2" t="s">
        <v>871</v>
      </c>
      <c r="C1319" s="2" t="s">
        <v>606</v>
      </c>
      <c r="D1319" s="2" t="s">
        <v>906</v>
      </c>
      <c r="E1319" s="2" t="s">
        <v>1301</v>
      </c>
      <c r="F1319" s="2" t="s">
        <v>5105</v>
      </c>
      <c r="G1319" s="2" t="s">
        <v>5106</v>
      </c>
      <c r="H1319" s="2" t="s">
        <v>5107</v>
      </c>
      <c r="I1319" s="2" t="s">
        <v>5112</v>
      </c>
      <c r="J1319" s="2" t="s">
        <v>250</v>
      </c>
      <c r="K1319" s="2" t="s">
        <v>822</v>
      </c>
      <c r="L1319" s="3">
        <v>19.04</v>
      </c>
      <c r="M1319" s="3">
        <v>19.99</v>
      </c>
      <c r="N1319" s="3">
        <v>39.99</v>
      </c>
      <c r="O1319" s="2" t="s">
        <v>232</v>
      </c>
      <c r="P1319" s="2" t="s">
        <v>878</v>
      </c>
      <c r="Q1319" s="2" t="s">
        <v>234</v>
      </c>
      <c r="R1319" s="2" t="s">
        <v>235</v>
      </c>
      <c r="S1319" s="2" t="s">
        <v>235</v>
      </c>
      <c r="T1319" s="2" t="s">
        <v>879</v>
      </c>
      <c r="U1319" s="2" t="s">
        <v>552</v>
      </c>
      <c r="V1319" s="2" t="s">
        <v>420</v>
      </c>
      <c r="W1319" s="2" t="s">
        <v>682</v>
      </c>
      <c r="X1319" s="2" t="s">
        <v>682</v>
      </c>
      <c r="Y1319" s="2" t="s">
        <v>4811</v>
      </c>
      <c r="Z1319" s="4">
        <v>408</v>
      </c>
      <c r="AA1319" s="4">
        <f>=ROUNDDOWN({0},0)</f>
      </c>
      <c r="AB1319" s="5"/>
      <c r="AC1319" s="2" t="s">
        <v>235</v>
      </c>
      <c r="AD1319" s="4"/>
      <c r="AE1319" s="4"/>
      <c r="AF1319" s="6">
        <v>64</v>
      </c>
      <c r="AG1319" s="6">
        <v>47</v>
      </c>
      <c r="AH1319" s="7">
        <v>1</v>
      </c>
      <c r="AI1319" s="4"/>
      <c r="AJ1319" s="4">
        <f>=ROUNDDOWN({0},0)</f>
      </c>
      <c r="AK1319" s="5"/>
      <c r="AL1319" s="2" t="s">
        <v>235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235</v>
      </c>
      <c r="AW1319" s="8" t="s">
        <v>235</v>
      </c>
      <c r="AX1319" s="4" t="s">
        <v>235</v>
      </c>
      <c r="AY1319" s="8" t="s">
        <v>235</v>
      </c>
      <c r="AZ1319" s="7" t="s">
        <v>235</v>
      </c>
      <c r="BA1319" s="7" t="s">
        <v>235</v>
      </c>
      <c r="BB1319" s="7" t="s">
        <v>235</v>
      </c>
      <c r="BC1319" s="4" t="s">
        <v>235</v>
      </c>
      <c r="BD1319" s="8" t="s">
        <v>235</v>
      </c>
      <c r="BE1319" s="4" t="s">
        <v>235</v>
      </c>
      <c r="BF1319" s="8" t="s">
        <v>235</v>
      </c>
      <c r="BG1319" s="7" t="s">
        <v>235</v>
      </c>
      <c r="BH1319" s="7" t="s">
        <v>235</v>
      </c>
      <c r="BI1319" s="7"/>
      <c r="BJ1319" s="4"/>
      <c r="BK1319" s="8"/>
      <c r="BL1319" s="2" t="s">
        <v>235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5113</v>
      </c>
      <c r="BV1319" s="2" t="s">
        <v>235</v>
      </c>
      <c r="BW1319" s="2" t="s">
        <v>235</v>
      </c>
      <c r="BX1319" s="2" t="s">
        <v>619</v>
      </c>
      <c r="BY1319" s="2" t="s">
        <v>245</v>
      </c>
      <c r="BZ1319" s="2" t="s">
        <v>232</v>
      </c>
      <c r="CA1319" s="2" t="s">
        <v>235</v>
      </c>
      <c r="CB1319" s="2" t="s">
        <v>235</v>
      </c>
      <c r="CC1319" s="2" t="s">
        <v>248</v>
      </c>
      <c r="CD1319" s="2" t="s">
        <v>248</v>
      </c>
      <c r="CE1319" s="2" t="s">
        <v>235</v>
      </c>
      <c r="CF1319" s="4">
        <v>232</v>
      </c>
      <c r="CG1319" s="4"/>
      <c r="CH1319" s="4"/>
      <c r="CI1319" s="4">
        <v>176</v>
      </c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>
        <v>408</v>
      </c>
      <c r="GE1319" s="4">
        <v>360</v>
      </c>
      <c r="GF1319" s="4">
        <v>344</v>
      </c>
      <c r="GG1319" s="4">
        <v>326</v>
      </c>
      <c r="GH1319" s="4">
        <v>308</v>
      </c>
      <c r="GI1319" s="4">
        <v>287</v>
      </c>
      <c r="GJ1319" s="4">
        <v>264</v>
      </c>
      <c r="GK1319" s="4">
        <v>244</v>
      </c>
      <c r="GL1319" s="4">
        <v>226</v>
      </c>
      <c r="GM1319" s="4">
        <v>209</v>
      </c>
      <c r="GN1319" s="4">
        <v>187</v>
      </c>
      <c r="GO1319" s="4">
        <v>163</v>
      </c>
      <c r="GP1319" s="4">
        <v>132</v>
      </c>
      <c r="GQ1319" s="4">
        <v>97</v>
      </c>
      <c r="GR1319" s="4">
        <v>71</v>
      </c>
      <c r="GS1319" s="4">
        <v>148</v>
      </c>
      <c r="GT1319" s="4">
        <v>130</v>
      </c>
      <c r="GU1319" s="4">
        <v>112</v>
      </c>
      <c r="GV1319" s="4">
        <v>411</v>
      </c>
      <c r="GW1319" s="4">
        <v>395</v>
      </c>
      <c r="GX1319" s="4">
        <v>379</v>
      </c>
      <c r="GY1319" s="4">
        <v>363</v>
      </c>
      <c r="GZ1319" s="4">
        <v>347</v>
      </c>
      <c r="HA1319" s="4">
        <v>331</v>
      </c>
      <c r="HB1319" s="4">
        <v>315</v>
      </c>
      <c r="HC1319" s="4">
        <v>296</v>
      </c>
      <c r="HD1319" s="19">
        <v>20.8</v>
      </c>
      <c r="HE1319" s="19">
        <v>27.6</v>
      </c>
      <c r="HF1319" s="19">
        <v>25.9</v>
      </c>
      <c r="HG1319" s="19">
        <v>21</v>
      </c>
      <c r="HH1319" s="19">
        <v>20.2</v>
      </c>
      <c r="HI1319" s="19">
        <v>23.2</v>
      </c>
      <c r="HJ1319" s="19">
        <v>22</v>
      </c>
      <c r="HK1319" s="19">
        <v>17.1</v>
      </c>
      <c r="HL1319" s="19">
        <v>13.7</v>
      </c>
      <c r="HM1319" s="19">
        <v>10.2</v>
      </c>
      <c r="HN1319" s="19">
        <v>6.4</v>
      </c>
      <c r="HO1319" s="19">
        <v>5.4</v>
      </c>
      <c r="HP1319" s="19">
        <v>4.4</v>
      </c>
      <c r="HQ1319" s="19">
        <v>2.5</v>
      </c>
      <c r="HR1319" s="19">
        <v>2</v>
      </c>
      <c r="HS1319" s="19">
        <v>5</v>
      </c>
      <c r="HT1319" s="19">
        <v>5.9</v>
      </c>
      <c r="HU1319" s="19">
        <v>7</v>
      </c>
      <c r="HV1319" s="19">
        <v>24.9</v>
      </c>
      <c r="HW1319" s="19">
        <v>23.9</v>
      </c>
      <c r="HX1319" s="19">
        <v>22.9</v>
      </c>
      <c r="HY1319" s="19">
        <v>21.9</v>
      </c>
      <c r="HZ1319" s="19">
        <v>20.9</v>
      </c>
      <c r="IA1319" s="19">
        <v>19.9</v>
      </c>
      <c r="IB1319" s="19">
        <v>18.9</v>
      </c>
      <c r="IC1319" s="19">
        <v>17.7</v>
      </c>
    </row>
    <row r="1320">
      <c r="A1320" s="2" t="s">
        <v>5136</v>
      </c>
      <c r="B1320" s="2" t="s">
        <v>871</v>
      </c>
      <c r="C1320" s="2" t="s">
        <v>606</v>
      </c>
      <c r="D1320" s="2" t="s">
        <v>361</v>
      </c>
      <c r="E1320" s="2" t="s">
        <v>872</v>
      </c>
      <c r="F1320" s="2" t="s">
        <v>5105</v>
      </c>
      <c r="G1320" s="2" t="s">
        <v>5106</v>
      </c>
      <c r="H1320" s="2" t="s">
        <v>5107</v>
      </c>
      <c r="I1320" s="2" t="s">
        <v>5108</v>
      </c>
      <c r="J1320" s="2" t="s">
        <v>261</v>
      </c>
      <c r="K1320" s="2" t="s">
        <v>822</v>
      </c>
      <c r="L1320" s="3">
        <v>33.33</v>
      </c>
      <c r="M1320" s="3">
        <v>35</v>
      </c>
      <c r="N1320" s="3">
        <v>69.99</v>
      </c>
      <c r="O1320" s="2" t="s">
        <v>232</v>
      </c>
      <c r="P1320" s="2" t="s">
        <v>878</v>
      </c>
      <c r="Q1320" s="2" t="s">
        <v>234</v>
      </c>
      <c r="R1320" s="2" t="s">
        <v>235</v>
      </c>
      <c r="S1320" s="2" t="s">
        <v>235</v>
      </c>
      <c r="T1320" s="2" t="s">
        <v>879</v>
      </c>
      <c r="U1320" s="2" t="s">
        <v>742</v>
      </c>
      <c r="V1320" s="2" t="s">
        <v>420</v>
      </c>
      <c r="W1320" s="2" t="s">
        <v>682</v>
      </c>
      <c r="X1320" s="2" t="s">
        <v>682</v>
      </c>
      <c r="Y1320" s="2" t="s">
        <v>4643</v>
      </c>
      <c r="Z1320" s="4">
        <v>1830</v>
      </c>
      <c r="AA1320" s="4">
        <f>=ROUNDDOWN(1076.47058823529,0)</f>
      </c>
      <c r="AB1320" s="5">
        <v>1.7</v>
      </c>
      <c r="AC1320" s="2" t="s">
        <v>235</v>
      </c>
      <c r="AD1320" s="4"/>
      <c r="AE1320" s="4"/>
      <c r="AF1320" s="6">
        <v>64</v>
      </c>
      <c r="AG1320" s="6">
        <v>47</v>
      </c>
      <c r="AH1320" s="7">
        <v>1</v>
      </c>
      <c r="AI1320" s="4"/>
      <c r="AJ1320" s="4">
        <f>=ROUNDDOWN({0},0)</f>
      </c>
      <c r="AK1320" s="5"/>
      <c r="AL1320" s="2" t="s">
        <v>235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235</v>
      </c>
      <c r="AW1320" s="8" t="s">
        <v>235</v>
      </c>
      <c r="AX1320" s="4" t="s">
        <v>235</v>
      </c>
      <c r="AY1320" s="8" t="s">
        <v>235</v>
      </c>
      <c r="AZ1320" s="7" t="s">
        <v>235</v>
      </c>
      <c r="BA1320" s="7" t="s">
        <v>235</v>
      </c>
      <c r="BB1320" s="7" t="s">
        <v>235</v>
      </c>
      <c r="BC1320" s="4" t="s">
        <v>235</v>
      </c>
      <c r="BD1320" s="8" t="s">
        <v>235</v>
      </c>
      <c r="BE1320" s="4" t="s">
        <v>235</v>
      </c>
      <c r="BF1320" s="8" t="s">
        <v>235</v>
      </c>
      <c r="BG1320" s="7" t="s">
        <v>235</v>
      </c>
      <c r="BH1320" s="7" t="s">
        <v>235</v>
      </c>
      <c r="BI1320" s="7"/>
      <c r="BJ1320" s="4">
        <v>11</v>
      </c>
      <c r="BK1320" s="8">
        <v>578.6</v>
      </c>
      <c r="BL1320" s="2" t="s">
        <v>2683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5110</v>
      </c>
      <c r="BV1320" s="2" t="s">
        <v>235</v>
      </c>
      <c r="BW1320" s="2" t="s">
        <v>235</v>
      </c>
      <c r="BX1320" s="2" t="s">
        <v>619</v>
      </c>
      <c r="BY1320" s="2" t="s">
        <v>245</v>
      </c>
      <c r="BZ1320" s="2" t="s">
        <v>232</v>
      </c>
      <c r="CA1320" s="2" t="s">
        <v>235</v>
      </c>
      <c r="CB1320" s="2" t="s">
        <v>235</v>
      </c>
      <c r="CC1320" s="2" t="s">
        <v>248</v>
      </c>
      <c r="CD1320" s="2" t="s">
        <v>248</v>
      </c>
      <c r="CE1320" s="2" t="s">
        <v>235</v>
      </c>
      <c r="CF1320" s="4">
        <v>979</v>
      </c>
      <c r="CG1320" s="4"/>
      <c r="CH1320" s="4"/>
      <c r="CI1320" s="4">
        <v>851</v>
      </c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>
        <v>1837</v>
      </c>
      <c r="GE1320" s="4">
        <v>1815</v>
      </c>
      <c r="GF1320" s="4">
        <v>1799</v>
      </c>
      <c r="GG1320" s="4">
        <v>1781</v>
      </c>
      <c r="GH1320" s="4">
        <v>1763</v>
      </c>
      <c r="GI1320" s="4">
        <v>1743</v>
      </c>
      <c r="GJ1320" s="4">
        <v>1723</v>
      </c>
      <c r="GK1320" s="4">
        <v>1704</v>
      </c>
      <c r="GL1320" s="4">
        <v>1686</v>
      </c>
      <c r="GM1320" s="4">
        <v>1663</v>
      </c>
      <c r="GN1320" s="4">
        <v>1641</v>
      </c>
      <c r="GO1320" s="4">
        <v>1618</v>
      </c>
      <c r="GP1320" s="4">
        <v>1580</v>
      </c>
      <c r="GQ1320" s="4">
        <v>1542</v>
      </c>
      <c r="GR1320" s="4">
        <v>1510</v>
      </c>
      <c r="GS1320" s="4">
        <v>1487</v>
      </c>
      <c r="GT1320" s="4">
        <v>1465</v>
      </c>
      <c r="GU1320" s="4">
        <v>1447</v>
      </c>
      <c r="GV1320" s="4">
        <v>1430</v>
      </c>
      <c r="GW1320" s="4">
        <v>1413</v>
      </c>
      <c r="GX1320" s="4">
        <v>1396</v>
      </c>
      <c r="GY1320" s="4">
        <v>1379</v>
      </c>
      <c r="GZ1320" s="4">
        <v>1362</v>
      </c>
      <c r="HA1320" s="4">
        <v>1345</v>
      </c>
      <c r="HB1320" s="4">
        <v>1328</v>
      </c>
      <c r="HC1320" s="4">
        <v>1308</v>
      </c>
      <c r="HD1320" s="19">
        <v>153.6</v>
      </c>
      <c r="HE1320" s="19">
        <v>152.3</v>
      </c>
      <c r="HF1320" s="19">
        <v>127.1</v>
      </c>
      <c r="HG1320" s="19">
        <v>126.2</v>
      </c>
      <c r="HH1320" s="19">
        <v>125.3</v>
      </c>
      <c r="HI1320" s="19">
        <v>122.3</v>
      </c>
      <c r="HJ1320" s="19">
        <v>119.7</v>
      </c>
      <c r="HK1320" s="19">
        <v>117.3</v>
      </c>
      <c r="HL1320" s="19">
        <v>96.6</v>
      </c>
      <c r="HM1320" s="19">
        <v>93.6</v>
      </c>
      <c r="HN1320" s="19">
        <v>91.7</v>
      </c>
      <c r="HO1320" s="19">
        <v>90.9</v>
      </c>
      <c r="HP1320" s="19">
        <v>91.4</v>
      </c>
      <c r="HQ1320" s="19">
        <v>108.3</v>
      </c>
      <c r="HR1320" s="19">
        <v>132.8</v>
      </c>
      <c r="HS1320" s="19">
        <v>134.2</v>
      </c>
      <c r="HT1320" s="19">
        <v>134.5</v>
      </c>
      <c r="HU1320" s="19">
        <v>133.5</v>
      </c>
      <c r="HV1320" s="19">
        <v>132.5</v>
      </c>
      <c r="HW1320" s="19">
        <v>131.5</v>
      </c>
      <c r="HX1320" s="19">
        <v>130.5</v>
      </c>
      <c r="HY1320" s="19">
        <v>128.1</v>
      </c>
      <c r="HZ1320" s="19">
        <v>127.2</v>
      </c>
      <c r="IA1320" s="19">
        <v>126.2</v>
      </c>
      <c r="IB1320" s="19">
        <v>125.2</v>
      </c>
      <c r="IC1320" s="19">
        <v>125.4</v>
      </c>
    </row>
    <row r="1321">
      <c r="A1321" s="2" t="s">
        <v>5137</v>
      </c>
      <c r="B1321" s="2" t="s">
        <v>871</v>
      </c>
      <c r="C1321" s="2" t="s">
        <v>606</v>
      </c>
      <c r="D1321" s="2" t="s">
        <v>906</v>
      </c>
      <c r="E1321" s="2" t="s">
        <v>1301</v>
      </c>
      <c r="F1321" s="2" t="s">
        <v>5105</v>
      </c>
      <c r="G1321" s="2" t="s">
        <v>5106</v>
      </c>
      <c r="H1321" s="2" t="s">
        <v>5107</v>
      </c>
      <c r="I1321" s="2" t="s">
        <v>5112</v>
      </c>
      <c r="J1321" s="2" t="s">
        <v>261</v>
      </c>
      <c r="K1321" s="2" t="s">
        <v>822</v>
      </c>
      <c r="L1321" s="3">
        <v>21.42</v>
      </c>
      <c r="M1321" s="3">
        <v>22.49</v>
      </c>
      <c r="N1321" s="3">
        <v>44.99</v>
      </c>
      <c r="O1321" s="2" t="s">
        <v>232</v>
      </c>
      <c r="P1321" s="2" t="s">
        <v>878</v>
      </c>
      <c r="Q1321" s="2" t="s">
        <v>234</v>
      </c>
      <c r="R1321" s="2" t="s">
        <v>235</v>
      </c>
      <c r="S1321" s="2" t="s">
        <v>235</v>
      </c>
      <c r="T1321" s="2" t="s">
        <v>879</v>
      </c>
      <c r="U1321" s="2" t="s">
        <v>552</v>
      </c>
      <c r="V1321" s="2" t="s">
        <v>420</v>
      </c>
      <c r="W1321" s="2" t="s">
        <v>682</v>
      </c>
      <c r="X1321" s="2" t="s">
        <v>682</v>
      </c>
      <c r="Y1321" s="2" t="s">
        <v>3819</v>
      </c>
      <c r="Z1321" s="4">
        <v>933</v>
      </c>
      <c r="AA1321" s="4">
        <f>=ROUNDDOWN(311,0)</f>
      </c>
      <c r="AB1321" s="5">
        <v>3</v>
      </c>
      <c r="AC1321" s="2" t="s">
        <v>4370</v>
      </c>
      <c r="AD1321" s="4">
        <v>8</v>
      </c>
      <c r="AE1321" s="4">
        <v>8</v>
      </c>
      <c r="AF1321" s="6">
        <v>64</v>
      </c>
      <c r="AG1321" s="6">
        <v>47</v>
      </c>
      <c r="AH1321" s="7">
        <v>1</v>
      </c>
      <c r="AI1321" s="4"/>
      <c r="AJ1321" s="4">
        <f>=ROUNDDOWN({0},0)</f>
      </c>
      <c r="AK1321" s="5"/>
      <c r="AL1321" s="2" t="s">
        <v>235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235</v>
      </c>
      <c r="AW1321" s="8" t="s">
        <v>235</v>
      </c>
      <c r="AX1321" s="4" t="s">
        <v>235</v>
      </c>
      <c r="AY1321" s="8" t="s">
        <v>235</v>
      </c>
      <c r="AZ1321" s="7" t="s">
        <v>235</v>
      </c>
      <c r="BA1321" s="7" t="s">
        <v>235</v>
      </c>
      <c r="BB1321" s="7" t="s">
        <v>235</v>
      </c>
      <c r="BC1321" s="4" t="s">
        <v>235</v>
      </c>
      <c r="BD1321" s="8" t="s">
        <v>235</v>
      </c>
      <c r="BE1321" s="4" t="s">
        <v>235</v>
      </c>
      <c r="BF1321" s="8" t="s">
        <v>235</v>
      </c>
      <c r="BG1321" s="7" t="s">
        <v>235</v>
      </c>
      <c r="BH1321" s="7" t="s">
        <v>235</v>
      </c>
      <c r="BI1321" s="7"/>
      <c r="BJ1321" s="4">
        <v>7</v>
      </c>
      <c r="BK1321" s="8">
        <v>183.4</v>
      </c>
      <c r="BL1321" s="2" t="s">
        <v>2683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5113</v>
      </c>
      <c r="BV1321" s="2" t="s">
        <v>235</v>
      </c>
      <c r="BW1321" s="2" t="s">
        <v>235</v>
      </c>
      <c r="BX1321" s="2" t="s">
        <v>619</v>
      </c>
      <c r="BY1321" s="2" t="s">
        <v>245</v>
      </c>
      <c r="BZ1321" s="2" t="s">
        <v>232</v>
      </c>
      <c r="CA1321" s="2" t="s">
        <v>235</v>
      </c>
      <c r="CB1321" s="2" t="s">
        <v>235</v>
      </c>
      <c r="CC1321" s="2" t="s">
        <v>248</v>
      </c>
      <c r="CD1321" s="2" t="s">
        <v>248</v>
      </c>
      <c r="CE1321" s="2" t="s">
        <v>235</v>
      </c>
      <c r="CF1321" s="4">
        <v>416</v>
      </c>
      <c r="CG1321" s="4"/>
      <c r="CH1321" s="4"/>
      <c r="CI1321" s="4">
        <v>517</v>
      </c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>
        <v>8</v>
      </c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>
        <v>947</v>
      </c>
      <c r="GE1321" s="4">
        <v>937</v>
      </c>
      <c r="GF1321" s="4">
        <v>930</v>
      </c>
      <c r="GG1321" s="4">
        <v>923</v>
      </c>
      <c r="GH1321" s="4">
        <v>916</v>
      </c>
      <c r="GI1321" s="4">
        <v>909</v>
      </c>
      <c r="GJ1321" s="4">
        <v>902</v>
      </c>
      <c r="GK1321" s="4">
        <v>895</v>
      </c>
      <c r="GL1321" s="4">
        <v>888</v>
      </c>
      <c r="GM1321" s="4">
        <v>881</v>
      </c>
      <c r="GN1321" s="4">
        <v>870</v>
      </c>
      <c r="GO1321" s="4">
        <v>858</v>
      </c>
      <c r="GP1321" s="4">
        <v>841</v>
      </c>
      <c r="GQ1321" s="4">
        <v>821</v>
      </c>
      <c r="GR1321" s="4">
        <v>806</v>
      </c>
      <c r="GS1321" s="4">
        <v>795</v>
      </c>
      <c r="GT1321" s="4">
        <v>785</v>
      </c>
      <c r="GU1321" s="4">
        <v>775</v>
      </c>
      <c r="GV1321" s="4">
        <v>765</v>
      </c>
      <c r="GW1321" s="4">
        <v>757</v>
      </c>
      <c r="GX1321" s="4">
        <v>749</v>
      </c>
      <c r="GY1321" s="4">
        <v>741</v>
      </c>
      <c r="GZ1321" s="4">
        <v>733</v>
      </c>
      <c r="HA1321" s="4">
        <v>725</v>
      </c>
      <c r="HB1321" s="4">
        <v>717</v>
      </c>
      <c r="HC1321" s="4">
        <v>707</v>
      </c>
      <c r="HD1321" s="19">
        <v>107.8</v>
      </c>
      <c r="HE1321" s="19">
        <v>134.3</v>
      </c>
      <c r="HF1321" s="19">
        <v>133.3</v>
      </c>
      <c r="HG1321" s="19">
        <v>132.3</v>
      </c>
      <c r="HH1321" s="19">
        <v>131.3</v>
      </c>
      <c r="HI1321" s="19">
        <v>130.3</v>
      </c>
      <c r="HJ1321" s="19">
        <v>112.8</v>
      </c>
      <c r="HK1321" s="19">
        <v>99.4</v>
      </c>
      <c r="HL1321" s="19">
        <v>74</v>
      </c>
      <c r="HM1321" s="19">
        <v>58.5</v>
      </c>
      <c r="HN1321" s="19">
        <v>54.4</v>
      </c>
      <c r="HO1321" s="19">
        <v>57</v>
      </c>
      <c r="HP1321" s="19">
        <v>60.3</v>
      </c>
      <c r="HQ1321" s="19">
        <v>68.4</v>
      </c>
      <c r="HR1321" s="19">
        <v>80.6</v>
      </c>
      <c r="HS1321" s="19">
        <v>79.5</v>
      </c>
      <c r="HT1321" s="19">
        <v>98.2</v>
      </c>
      <c r="HU1321" s="19">
        <v>96.9</v>
      </c>
      <c r="HV1321" s="19">
        <v>95.7</v>
      </c>
      <c r="HW1321" s="19">
        <v>94.7</v>
      </c>
      <c r="HX1321" s="19">
        <v>93.7</v>
      </c>
      <c r="HY1321" s="19">
        <v>92.7</v>
      </c>
      <c r="HZ1321" s="19">
        <v>91.7</v>
      </c>
      <c r="IA1321" s="19">
        <v>90.7</v>
      </c>
      <c r="IB1321" s="19">
        <v>89.7</v>
      </c>
      <c r="IC1321" s="19">
        <v>88.4</v>
      </c>
    </row>
    <row r="1322">
      <c r="A1322" s="2" t="s">
        <v>5138</v>
      </c>
      <c r="B1322" s="2" t="s">
        <v>871</v>
      </c>
      <c r="C1322" s="2" t="s">
        <v>606</v>
      </c>
      <c r="D1322" s="2" t="s">
        <v>361</v>
      </c>
      <c r="E1322" s="2" t="s">
        <v>872</v>
      </c>
      <c r="F1322" s="2" t="s">
        <v>5105</v>
      </c>
      <c r="G1322" s="2" t="s">
        <v>5106</v>
      </c>
      <c r="H1322" s="2" t="s">
        <v>5107</v>
      </c>
      <c r="I1322" s="2" t="s">
        <v>5108</v>
      </c>
      <c r="J1322" s="2" t="s">
        <v>270</v>
      </c>
      <c r="K1322" s="2" t="s">
        <v>822</v>
      </c>
      <c r="L1322" s="3">
        <v>35.71</v>
      </c>
      <c r="M1322" s="3">
        <v>37.5</v>
      </c>
      <c r="N1322" s="3">
        <v>74.99</v>
      </c>
      <c r="O1322" s="2" t="s">
        <v>232</v>
      </c>
      <c r="P1322" s="2" t="s">
        <v>878</v>
      </c>
      <c r="Q1322" s="2" t="s">
        <v>234</v>
      </c>
      <c r="R1322" s="2" t="s">
        <v>235</v>
      </c>
      <c r="S1322" s="2" t="s">
        <v>235</v>
      </c>
      <c r="T1322" s="2" t="s">
        <v>879</v>
      </c>
      <c r="U1322" s="2" t="s">
        <v>742</v>
      </c>
      <c r="V1322" s="2" t="s">
        <v>420</v>
      </c>
      <c r="W1322" s="2" t="s">
        <v>682</v>
      </c>
      <c r="X1322" s="2" t="s">
        <v>682</v>
      </c>
      <c r="Y1322" s="2" t="s">
        <v>3819</v>
      </c>
      <c r="Z1322" s="4">
        <v>765</v>
      </c>
      <c r="AA1322" s="4">
        <f>=ROUNDDOWN(402.631578947368,0)</f>
      </c>
      <c r="AB1322" s="5">
        <v>1.9</v>
      </c>
      <c r="AC1322" s="2" t="s">
        <v>235</v>
      </c>
      <c r="AD1322" s="4"/>
      <c r="AE1322" s="4"/>
      <c r="AF1322" s="6">
        <v>64</v>
      </c>
      <c r="AG1322" s="6">
        <v>47</v>
      </c>
      <c r="AH1322" s="7">
        <v>1</v>
      </c>
      <c r="AI1322" s="4"/>
      <c r="AJ1322" s="4">
        <f>=ROUNDDOWN({0},0)</f>
      </c>
      <c r="AK1322" s="5"/>
      <c r="AL1322" s="2" t="s">
        <v>235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235</v>
      </c>
      <c r="AW1322" s="8" t="s">
        <v>235</v>
      </c>
      <c r="AX1322" s="4" t="s">
        <v>235</v>
      </c>
      <c r="AY1322" s="8" t="s">
        <v>235</v>
      </c>
      <c r="AZ1322" s="7" t="s">
        <v>235</v>
      </c>
      <c r="BA1322" s="7" t="s">
        <v>235</v>
      </c>
      <c r="BB1322" s="7" t="s">
        <v>235</v>
      </c>
      <c r="BC1322" s="4" t="s">
        <v>235</v>
      </c>
      <c r="BD1322" s="8" t="s">
        <v>235</v>
      </c>
      <c r="BE1322" s="4" t="s">
        <v>235</v>
      </c>
      <c r="BF1322" s="8" t="s">
        <v>235</v>
      </c>
      <c r="BG1322" s="7" t="s">
        <v>235</v>
      </c>
      <c r="BH1322" s="7" t="s">
        <v>235</v>
      </c>
      <c r="BI1322" s="7"/>
      <c r="BJ1322" s="4">
        <v>19</v>
      </c>
      <c r="BK1322" s="8">
        <v>1076.1</v>
      </c>
      <c r="BL1322" s="2" t="s">
        <v>4269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5110</v>
      </c>
      <c r="BV1322" s="2" t="s">
        <v>235</v>
      </c>
      <c r="BW1322" s="2" t="s">
        <v>235</v>
      </c>
      <c r="BX1322" s="2" t="s">
        <v>619</v>
      </c>
      <c r="BY1322" s="2" t="s">
        <v>245</v>
      </c>
      <c r="BZ1322" s="2" t="s">
        <v>232</v>
      </c>
      <c r="CA1322" s="2" t="s">
        <v>235</v>
      </c>
      <c r="CB1322" s="2" t="s">
        <v>235</v>
      </c>
      <c r="CC1322" s="2" t="s">
        <v>248</v>
      </c>
      <c r="CD1322" s="2" t="s">
        <v>248</v>
      </c>
      <c r="CE1322" s="2" t="s">
        <v>235</v>
      </c>
      <c r="CF1322" s="4">
        <v>309</v>
      </c>
      <c r="CG1322" s="4"/>
      <c r="CH1322" s="4"/>
      <c r="CI1322" s="4">
        <v>456</v>
      </c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>
        <v>768</v>
      </c>
      <c r="GE1322" s="4">
        <v>765</v>
      </c>
      <c r="GF1322" s="4">
        <v>760</v>
      </c>
      <c r="GG1322" s="4">
        <v>755</v>
      </c>
      <c r="GH1322" s="4">
        <v>750</v>
      </c>
      <c r="GI1322" s="4">
        <v>743</v>
      </c>
      <c r="GJ1322" s="4">
        <v>736</v>
      </c>
      <c r="GK1322" s="4">
        <v>730</v>
      </c>
      <c r="GL1322" s="4">
        <v>725</v>
      </c>
      <c r="GM1322" s="4">
        <v>719</v>
      </c>
      <c r="GN1322" s="4">
        <v>714</v>
      </c>
      <c r="GO1322" s="4">
        <v>709</v>
      </c>
      <c r="GP1322" s="4">
        <v>702</v>
      </c>
      <c r="GQ1322" s="4">
        <v>695</v>
      </c>
      <c r="GR1322" s="4">
        <v>689</v>
      </c>
      <c r="GS1322" s="4">
        <v>684</v>
      </c>
      <c r="GT1322" s="4">
        <v>679</v>
      </c>
      <c r="GU1322" s="4">
        <v>675</v>
      </c>
      <c r="GV1322" s="4">
        <v>671</v>
      </c>
      <c r="GW1322" s="4">
        <v>667</v>
      </c>
      <c r="GX1322" s="4">
        <v>663</v>
      </c>
      <c r="GY1322" s="4">
        <v>659</v>
      </c>
      <c r="GZ1322" s="4">
        <v>655</v>
      </c>
      <c r="HA1322" s="4">
        <v>651</v>
      </c>
      <c r="HB1322" s="4">
        <v>647</v>
      </c>
      <c r="HC1322" s="4">
        <v>643</v>
      </c>
      <c r="HD1322" s="19">
        <v>267</v>
      </c>
      <c r="HE1322" s="19">
        <v>266.7</v>
      </c>
      <c r="HF1322" s="19">
        <v>151.9</v>
      </c>
      <c r="HG1322" s="19">
        <v>143.6</v>
      </c>
      <c r="HH1322" s="19">
        <v>143</v>
      </c>
      <c r="HI1322" s="19">
        <v>254.7</v>
      </c>
      <c r="HJ1322" s="19">
        <v>260.4</v>
      </c>
      <c r="HK1322" s="19">
        <v>259.3</v>
      </c>
      <c r="HL1322" s="19">
        <v>251.3</v>
      </c>
      <c r="HM1322" s="19">
        <v>250.3</v>
      </c>
      <c r="HN1322" s="19">
        <v>249.4</v>
      </c>
      <c r="HO1322" s="19">
        <v>248.5</v>
      </c>
      <c r="HP1322" s="19">
        <v>247.4</v>
      </c>
      <c r="HQ1322" s="19">
        <v>252.7</v>
      </c>
      <c r="HR1322" s="19">
        <v>251.5</v>
      </c>
      <c r="HS1322" s="19">
        <v>260.7</v>
      </c>
      <c r="HT1322" s="19">
        <v>259.5</v>
      </c>
      <c r="HU1322" s="19">
        <v>258.5</v>
      </c>
      <c r="HV1322" s="19">
        <v>257.5</v>
      </c>
      <c r="HW1322" s="19">
        <v>256.5</v>
      </c>
      <c r="HX1322" s="19">
        <v>255.5</v>
      </c>
      <c r="HY1322" s="19">
        <v>254.5</v>
      </c>
      <c r="HZ1322" s="19">
        <v>253.5</v>
      </c>
      <c r="IA1322" s="19">
        <v>252.5</v>
      </c>
      <c r="IB1322" s="19">
        <v>251.5</v>
      </c>
      <c r="IC1322" s="19">
        <v>250.5</v>
      </c>
    </row>
    <row r="1323">
      <c r="A1323" s="2" t="s">
        <v>5139</v>
      </c>
      <c r="B1323" s="2" t="s">
        <v>871</v>
      </c>
      <c r="C1323" s="2" t="s">
        <v>606</v>
      </c>
      <c r="D1323" s="2" t="s">
        <v>906</v>
      </c>
      <c r="E1323" s="2" t="s">
        <v>1301</v>
      </c>
      <c r="F1323" s="2" t="s">
        <v>5105</v>
      </c>
      <c r="G1323" s="2" t="s">
        <v>5106</v>
      </c>
      <c r="H1323" s="2" t="s">
        <v>5107</v>
      </c>
      <c r="I1323" s="2" t="s">
        <v>5112</v>
      </c>
      <c r="J1323" s="2" t="s">
        <v>270</v>
      </c>
      <c r="K1323" s="2" t="s">
        <v>822</v>
      </c>
      <c r="L1323" s="3">
        <v>23.8</v>
      </c>
      <c r="M1323" s="3">
        <v>24.99</v>
      </c>
      <c r="N1323" s="3">
        <v>49.99</v>
      </c>
      <c r="O1323" s="2" t="s">
        <v>232</v>
      </c>
      <c r="P1323" s="2" t="s">
        <v>878</v>
      </c>
      <c r="Q1323" s="2" t="s">
        <v>234</v>
      </c>
      <c r="R1323" s="2" t="s">
        <v>235</v>
      </c>
      <c r="S1323" s="2" t="s">
        <v>235</v>
      </c>
      <c r="T1323" s="2" t="s">
        <v>879</v>
      </c>
      <c r="U1323" s="2" t="s">
        <v>552</v>
      </c>
      <c r="V1323" s="2" t="s">
        <v>420</v>
      </c>
      <c r="W1323" s="2" t="s">
        <v>682</v>
      </c>
      <c r="X1323" s="2" t="s">
        <v>682</v>
      </c>
      <c r="Y1323" s="2" t="s">
        <v>4811</v>
      </c>
      <c r="Z1323" s="4">
        <v>542</v>
      </c>
      <c r="AA1323" s="4">
        <f>=ROUNDDOWN(164.242424242424,0)</f>
      </c>
      <c r="AB1323" s="5">
        <v>3.3</v>
      </c>
      <c r="AC1323" s="2" t="s">
        <v>4370</v>
      </c>
      <c r="AD1323" s="4">
        <v>136</v>
      </c>
      <c r="AE1323" s="4">
        <v>136</v>
      </c>
      <c r="AF1323" s="6">
        <v>64</v>
      </c>
      <c r="AG1323" s="6">
        <v>47</v>
      </c>
      <c r="AH1323" s="7">
        <v>1</v>
      </c>
      <c r="AI1323" s="4"/>
      <c r="AJ1323" s="4">
        <f>=ROUNDDOWN({0},0)</f>
      </c>
      <c r="AK1323" s="5"/>
      <c r="AL1323" s="2" t="s">
        <v>235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235</v>
      </c>
      <c r="AW1323" s="8" t="s">
        <v>235</v>
      </c>
      <c r="AX1323" s="4" t="s">
        <v>235</v>
      </c>
      <c r="AY1323" s="8" t="s">
        <v>235</v>
      </c>
      <c r="AZ1323" s="7" t="s">
        <v>235</v>
      </c>
      <c r="BA1323" s="7" t="s">
        <v>235</v>
      </c>
      <c r="BB1323" s="7" t="s">
        <v>235</v>
      </c>
      <c r="BC1323" s="4" t="s">
        <v>235</v>
      </c>
      <c r="BD1323" s="8" t="s">
        <v>235</v>
      </c>
      <c r="BE1323" s="4" t="s">
        <v>235</v>
      </c>
      <c r="BF1323" s="8" t="s">
        <v>235</v>
      </c>
      <c r="BG1323" s="7" t="s">
        <v>235</v>
      </c>
      <c r="BH1323" s="7" t="s">
        <v>235</v>
      </c>
      <c r="BI1323" s="7"/>
      <c r="BJ1323" s="4">
        <v>16</v>
      </c>
      <c r="BK1323" s="8">
        <v>459.2</v>
      </c>
      <c r="BL1323" s="2" t="s">
        <v>2683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5113</v>
      </c>
      <c r="BV1323" s="2" t="s">
        <v>235</v>
      </c>
      <c r="BW1323" s="2" t="s">
        <v>235</v>
      </c>
      <c r="BX1323" s="2" t="s">
        <v>619</v>
      </c>
      <c r="BY1323" s="2" t="s">
        <v>245</v>
      </c>
      <c r="BZ1323" s="2" t="s">
        <v>232</v>
      </c>
      <c r="CA1323" s="2" t="s">
        <v>235</v>
      </c>
      <c r="CB1323" s="2" t="s">
        <v>235</v>
      </c>
      <c r="CC1323" s="2" t="s">
        <v>248</v>
      </c>
      <c r="CD1323" s="2" t="s">
        <v>248</v>
      </c>
      <c r="CE1323" s="2" t="s">
        <v>235</v>
      </c>
      <c r="CF1323" s="4">
        <v>251</v>
      </c>
      <c r="CG1323" s="4"/>
      <c r="CH1323" s="4"/>
      <c r="CI1323" s="4">
        <v>291</v>
      </c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>
        <v>136</v>
      </c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>
        <v>546</v>
      </c>
      <c r="GE1323" s="4">
        <v>671</v>
      </c>
      <c r="GF1323" s="4">
        <v>667</v>
      </c>
      <c r="GG1323" s="4">
        <v>663</v>
      </c>
      <c r="GH1323" s="4">
        <v>659</v>
      </c>
      <c r="GI1323" s="4">
        <v>655</v>
      </c>
      <c r="GJ1323" s="4">
        <v>651</v>
      </c>
      <c r="GK1323" s="4">
        <v>647</v>
      </c>
      <c r="GL1323" s="4">
        <v>643</v>
      </c>
      <c r="GM1323" s="4">
        <v>639</v>
      </c>
      <c r="GN1323" s="4">
        <v>634</v>
      </c>
      <c r="GO1323" s="4">
        <v>629</v>
      </c>
      <c r="GP1323" s="4">
        <v>621</v>
      </c>
      <c r="GQ1323" s="4">
        <v>611</v>
      </c>
      <c r="GR1323" s="4">
        <v>602</v>
      </c>
      <c r="GS1323" s="4">
        <v>596</v>
      </c>
      <c r="GT1323" s="4">
        <v>590</v>
      </c>
      <c r="GU1323" s="4">
        <v>584</v>
      </c>
      <c r="GV1323" s="4">
        <v>597</v>
      </c>
      <c r="GW1323" s="4">
        <v>592</v>
      </c>
      <c r="GX1323" s="4">
        <v>587</v>
      </c>
      <c r="GY1323" s="4">
        <v>582</v>
      </c>
      <c r="GZ1323" s="4">
        <v>577</v>
      </c>
      <c r="HA1323" s="4">
        <v>572</v>
      </c>
      <c r="HB1323" s="4">
        <v>567</v>
      </c>
      <c r="HC1323" s="4">
        <v>561</v>
      </c>
      <c r="HD1323" s="19">
        <v>178.9</v>
      </c>
      <c r="HE1323" s="19">
        <v>254.9</v>
      </c>
      <c r="HF1323" s="19">
        <v>253.9</v>
      </c>
      <c r="HG1323" s="19">
        <v>252.9</v>
      </c>
      <c r="HH1323" s="19">
        <v>251.9</v>
      </c>
      <c r="HI1323" s="19">
        <v>250.9</v>
      </c>
      <c r="HJ1323" s="19">
        <v>249.9</v>
      </c>
      <c r="HK1323" s="19">
        <v>239.5</v>
      </c>
      <c r="HL1323" s="19">
        <v>238.7</v>
      </c>
      <c r="HM1323" s="19">
        <v>123.4</v>
      </c>
      <c r="HN1323" s="19">
        <v>122.9</v>
      </c>
      <c r="HO1323" s="19">
        <v>122.3</v>
      </c>
      <c r="HP1323" s="19">
        <v>121.3</v>
      </c>
      <c r="HQ1323" s="19">
        <v>223.9</v>
      </c>
      <c r="HR1323" s="19">
        <v>225.4</v>
      </c>
      <c r="HS1323" s="19">
        <v>229</v>
      </c>
      <c r="HT1323" s="19">
        <v>227.9</v>
      </c>
      <c r="HU1323" s="19">
        <v>226.8</v>
      </c>
      <c r="HV1323" s="19">
        <v>228</v>
      </c>
      <c r="HW1323" s="19">
        <v>227</v>
      </c>
      <c r="HX1323" s="19">
        <v>226</v>
      </c>
      <c r="HY1323" s="19">
        <v>225</v>
      </c>
      <c r="HZ1323" s="19">
        <v>224</v>
      </c>
      <c r="IA1323" s="19">
        <v>223</v>
      </c>
      <c r="IB1323" s="19">
        <v>222</v>
      </c>
      <c r="IC1323" s="19">
        <v>220.9</v>
      </c>
    </row>
    <row r="1324">
      <c r="A1324" s="2" t="s">
        <v>5140</v>
      </c>
      <c r="B1324" s="2" t="s">
        <v>871</v>
      </c>
      <c r="C1324" s="2" t="s">
        <v>606</v>
      </c>
      <c r="D1324" s="2" t="s">
        <v>361</v>
      </c>
      <c r="E1324" s="2" t="s">
        <v>872</v>
      </c>
      <c r="F1324" s="2" t="s">
        <v>5105</v>
      </c>
      <c r="G1324" s="2" t="s">
        <v>5106</v>
      </c>
      <c r="H1324" s="2" t="s">
        <v>5107</v>
      </c>
      <c r="I1324" s="2" t="s">
        <v>5108</v>
      </c>
      <c r="J1324" s="2" t="s">
        <v>272</v>
      </c>
      <c r="K1324" s="2" t="s">
        <v>822</v>
      </c>
      <c r="L1324" s="3">
        <v>38.09</v>
      </c>
      <c r="M1324" s="3">
        <v>39.99</v>
      </c>
      <c r="N1324" s="3">
        <v>79.99</v>
      </c>
      <c r="O1324" s="2" t="s">
        <v>232</v>
      </c>
      <c r="P1324" s="2" t="s">
        <v>878</v>
      </c>
      <c r="Q1324" s="2" t="s">
        <v>234</v>
      </c>
      <c r="R1324" s="2" t="s">
        <v>235</v>
      </c>
      <c r="S1324" s="2" t="s">
        <v>235</v>
      </c>
      <c r="T1324" s="2" t="s">
        <v>879</v>
      </c>
      <c r="U1324" s="2" t="s">
        <v>742</v>
      </c>
      <c r="V1324" s="2" t="s">
        <v>420</v>
      </c>
      <c r="W1324" s="2" t="s">
        <v>682</v>
      </c>
      <c r="X1324" s="2" t="s">
        <v>682</v>
      </c>
      <c r="Y1324" s="2" t="s">
        <v>3819</v>
      </c>
      <c r="Z1324" s="4">
        <v>521</v>
      </c>
      <c r="AA1324" s="4">
        <f>=ROUNDDOWN(1042,0)</f>
      </c>
      <c r="AB1324" s="5">
        <v>0.5</v>
      </c>
      <c r="AC1324" s="2" t="s">
        <v>235</v>
      </c>
      <c r="AD1324" s="4"/>
      <c r="AE1324" s="4"/>
      <c r="AF1324" s="6">
        <v>64</v>
      </c>
      <c r="AG1324" s="6">
        <v>47</v>
      </c>
      <c r="AH1324" s="7">
        <v>1</v>
      </c>
      <c r="AI1324" s="4"/>
      <c r="AJ1324" s="4">
        <f>=ROUNDDOWN({0},0)</f>
      </c>
      <c r="AK1324" s="5"/>
      <c r="AL1324" s="2" t="s">
        <v>235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235</v>
      </c>
      <c r="AW1324" s="8" t="s">
        <v>235</v>
      </c>
      <c r="AX1324" s="4" t="s">
        <v>235</v>
      </c>
      <c r="AY1324" s="8" t="s">
        <v>235</v>
      </c>
      <c r="AZ1324" s="7" t="s">
        <v>235</v>
      </c>
      <c r="BA1324" s="7" t="s">
        <v>235</v>
      </c>
      <c r="BB1324" s="7" t="s">
        <v>235</v>
      </c>
      <c r="BC1324" s="4" t="s">
        <v>235</v>
      </c>
      <c r="BD1324" s="8" t="s">
        <v>235</v>
      </c>
      <c r="BE1324" s="4" t="s">
        <v>235</v>
      </c>
      <c r="BF1324" s="8" t="s">
        <v>235</v>
      </c>
      <c r="BG1324" s="7" t="s">
        <v>235</v>
      </c>
      <c r="BH1324" s="7" t="s">
        <v>235</v>
      </c>
      <c r="BI1324" s="7"/>
      <c r="BJ1324" s="4">
        <v>7</v>
      </c>
      <c r="BK1324" s="8">
        <v>423.5</v>
      </c>
      <c r="BL1324" s="2" t="s">
        <v>2683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5110</v>
      </c>
      <c r="BV1324" s="2" t="s">
        <v>235</v>
      </c>
      <c r="BW1324" s="2" t="s">
        <v>235</v>
      </c>
      <c r="BX1324" s="2" t="s">
        <v>619</v>
      </c>
      <c r="BY1324" s="2" t="s">
        <v>245</v>
      </c>
      <c r="BZ1324" s="2" t="s">
        <v>232</v>
      </c>
      <c r="CA1324" s="2" t="s">
        <v>235</v>
      </c>
      <c r="CB1324" s="2" t="s">
        <v>235</v>
      </c>
      <c r="CC1324" s="2" t="s">
        <v>248</v>
      </c>
      <c r="CD1324" s="2" t="s">
        <v>248</v>
      </c>
      <c r="CE1324" s="2" t="s">
        <v>235</v>
      </c>
      <c r="CF1324" s="4">
        <v>248</v>
      </c>
      <c r="CG1324" s="4"/>
      <c r="CH1324" s="4"/>
      <c r="CI1324" s="4">
        <v>273</v>
      </c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>
        <v>521</v>
      </c>
      <c r="GE1324" s="4">
        <v>505</v>
      </c>
      <c r="GF1324" s="4">
        <v>495</v>
      </c>
      <c r="GG1324" s="4">
        <v>485</v>
      </c>
      <c r="GH1324" s="4">
        <v>474</v>
      </c>
      <c r="GI1324" s="4">
        <v>462</v>
      </c>
      <c r="GJ1324" s="4">
        <v>450</v>
      </c>
      <c r="GK1324" s="4">
        <v>438</v>
      </c>
      <c r="GL1324" s="4">
        <v>427</v>
      </c>
      <c r="GM1324" s="4">
        <v>413</v>
      </c>
      <c r="GN1324" s="4">
        <v>399</v>
      </c>
      <c r="GO1324" s="4">
        <v>384</v>
      </c>
      <c r="GP1324" s="4">
        <v>359</v>
      </c>
      <c r="GQ1324" s="4">
        <v>334</v>
      </c>
      <c r="GR1324" s="4">
        <v>313</v>
      </c>
      <c r="GS1324" s="4">
        <v>298</v>
      </c>
      <c r="GT1324" s="4">
        <v>284</v>
      </c>
      <c r="GU1324" s="4">
        <v>272</v>
      </c>
      <c r="GV1324" s="4">
        <v>608</v>
      </c>
      <c r="GW1324" s="4">
        <v>597</v>
      </c>
      <c r="GX1324" s="4">
        <v>586</v>
      </c>
      <c r="GY1324" s="4">
        <v>575</v>
      </c>
      <c r="GZ1324" s="4">
        <v>564</v>
      </c>
      <c r="HA1324" s="4">
        <v>553</v>
      </c>
      <c r="HB1324" s="4">
        <v>542</v>
      </c>
      <c r="HC1324" s="4">
        <v>529</v>
      </c>
      <c r="HD1324" s="19">
        <v>61</v>
      </c>
      <c r="HE1324" s="19">
        <v>59.6</v>
      </c>
      <c r="HF1324" s="19">
        <v>58.7</v>
      </c>
      <c r="HG1324" s="19">
        <v>56.2</v>
      </c>
      <c r="HH1324" s="19">
        <v>55.3</v>
      </c>
      <c r="HI1324" s="19">
        <v>54.3</v>
      </c>
      <c r="HJ1324" s="19">
        <v>42.7</v>
      </c>
      <c r="HK1324" s="19">
        <v>40.8</v>
      </c>
      <c r="HL1324" s="19">
        <v>32.3</v>
      </c>
      <c r="HM1324" s="19">
        <v>26.4</v>
      </c>
      <c r="HN1324" s="19">
        <v>25</v>
      </c>
      <c r="HO1324" s="19">
        <v>24.3</v>
      </c>
      <c r="HP1324" s="19">
        <v>27.6</v>
      </c>
      <c r="HQ1324" s="19">
        <v>32.9</v>
      </c>
      <c r="HR1324" s="19">
        <v>31.9</v>
      </c>
      <c r="HS1324" s="19">
        <v>40.2</v>
      </c>
      <c r="HT1324" s="19">
        <v>39.4</v>
      </c>
      <c r="HU1324" s="19">
        <v>38.4</v>
      </c>
      <c r="HV1324" s="19">
        <v>59.1</v>
      </c>
      <c r="HW1324" s="19">
        <v>58.1</v>
      </c>
      <c r="HX1324" s="19">
        <v>57.1</v>
      </c>
      <c r="HY1324" s="19">
        <v>56.1</v>
      </c>
      <c r="HZ1324" s="19">
        <v>55.1</v>
      </c>
      <c r="IA1324" s="19">
        <v>54.1</v>
      </c>
      <c r="IB1324" s="19">
        <v>53.1</v>
      </c>
      <c r="IC1324" s="19">
        <v>51.8</v>
      </c>
    </row>
    <row r="1325">
      <c r="A1325" s="2" t="s">
        <v>5141</v>
      </c>
      <c r="B1325" s="2" t="s">
        <v>871</v>
      </c>
      <c r="C1325" s="2" t="s">
        <v>606</v>
      </c>
      <c r="D1325" s="2" t="s">
        <v>906</v>
      </c>
      <c r="E1325" s="2" t="s">
        <v>1301</v>
      </c>
      <c r="F1325" s="2" t="s">
        <v>5105</v>
      </c>
      <c r="G1325" s="2" t="s">
        <v>5106</v>
      </c>
      <c r="H1325" s="2" t="s">
        <v>5107</v>
      </c>
      <c r="I1325" s="2" t="s">
        <v>5112</v>
      </c>
      <c r="J1325" s="2" t="s">
        <v>272</v>
      </c>
      <c r="K1325" s="2" t="s">
        <v>822</v>
      </c>
      <c r="L1325" s="3">
        <v>26.19</v>
      </c>
      <c r="M1325" s="3">
        <v>27.5</v>
      </c>
      <c r="N1325" s="3">
        <v>54.99</v>
      </c>
      <c r="O1325" s="2" t="s">
        <v>232</v>
      </c>
      <c r="P1325" s="2" t="s">
        <v>878</v>
      </c>
      <c r="Q1325" s="2" t="s">
        <v>234</v>
      </c>
      <c r="R1325" s="2" t="s">
        <v>235</v>
      </c>
      <c r="S1325" s="2" t="s">
        <v>235</v>
      </c>
      <c r="T1325" s="2" t="s">
        <v>879</v>
      </c>
      <c r="U1325" s="2" t="s">
        <v>552</v>
      </c>
      <c r="V1325" s="2" t="s">
        <v>420</v>
      </c>
      <c r="W1325" s="2" t="s">
        <v>682</v>
      </c>
      <c r="X1325" s="2" t="s">
        <v>682</v>
      </c>
      <c r="Y1325" s="2" t="s">
        <v>4811</v>
      </c>
      <c r="Z1325" s="4">
        <v>263</v>
      </c>
      <c r="AA1325" s="4">
        <f>=ROUNDDOWN(375.714285714286,0)</f>
      </c>
      <c r="AB1325" s="5">
        <v>0.7</v>
      </c>
      <c r="AC1325" s="2" t="s">
        <v>4370</v>
      </c>
      <c r="AD1325" s="4">
        <v>4</v>
      </c>
      <c r="AE1325" s="4">
        <v>4</v>
      </c>
      <c r="AF1325" s="6">
        <v>64</v>
      </c>
      <c r="AG1325" s="6">
        <v>47</v>
      </c>
      <c r="AH1325" s="7">
        <v>1</v>
      </c>
      <c r="AI1325" s="4"/>
      <c r="AJ1325" s="4">
        <f>=ROUNDDOWN({0},0)</f>
      </c>
      <c r="AK1325" s="5"/>
      <c r="AL1325" s="2" t="s">
        <v>235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235</v>
      </c>
      <c r="AW1325" s="8" t="s">
        <v>235</v>
      </c>
      <c r="AX1325" s="4" t="s">
        <v>235</v>
      </c>
      <c r="AY1325" s="8" t="s">
        <v>235</v>
      </c>
      <c r="AZ1325" s="7" t="s">
        <v>235</v>
      </c>
      <c r="BA1325" s="7" t="s">
        <v>235</v>
      </c>
      <c r="BB1325" s="7" t="s">
        <v>235</v>
      </c>
      <c r="BC1325" s="4" t="s">
        <v>235</v>
      </c>
      <c r="BD1325" s="8" t="s">
        <v>235</v>
      </c>
      <c r="BE1325" s="4" t="s">
        <v>235</v>
      </c>
      <c r="BF1325" s="8" t="s">
        <v>235</v>
      </c>
      <c r="BG1325" s="7" t="s">
        <v>235</v>
      </c>
      <c r="BH1325" s="7" t="s">
        <v>235</v>
      </c>
      <c r="BI1325" s="7"/>
      <c r="BJ1325" s="4">
        <v>1</v>
      </c>
      <c r="BK1325" s="8">
        <v>29.9</v>
      </c>
      <c r="BL1325" s="2" t="s">
        <v>1377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5113</v>
      </c>
      <c r="BV1325" s="2" t="s">
        <v>235</v>
      </c>
      <c r="BW1325" s="2" t="s">
        <v>235</v>
      </c>
      <c r="BX1325" s="2" t="s">
        <v>619</v>
      </c>
      <c r="BY1325" s="2" t="s">
        <v>245</v>
      </c>
      <c r="BZ1325" s="2" t="s">
        <v>232</v>
      </c>
      <c r="CA1325" s="2" t="s">
        <v>235</v>
      </c>
      <c r="CB1325" s="2" t="s">
        <v>235</v>
      </c>
      <c r="CC1325" s="2" t="s">
        <v>248</v>
      </c>
      <c r="CD1325" s="2" t="s">
        <v>248</v>
      </c>
      <c r="CE1325" s="2" t="s">
        <v>235</v>
      </c>
      <c r="CF1325" s="4">
        <v>107</v>
      </c>
      <c r="CG1325" s="4"/>
      <c r="CH1325" s="4"/>
      <c r="CI1325" s="4">
        <v>156</v>
      </c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>
        <v>4</v>
      </c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>
        <v>267</v>
      </c>
      <c r="GE1325" s="4">
        <v>264</v>
      </c>
      <c r="GF1325" s="4">
        <v>260</v>
      </c>
      <c r="GG1325" s="4">
        <v>256</v>
      </c>
      <c r="GH1325" s="4">
        <v>252</v>
      </c>
      <c r="GI1325" s="4">
        <v>247</v>
      </c>
      <c r="GJ1325" s="4">
        <v>242</v>
      </c>
      <c r="GK1325" s="4">
        <v>237</v>
      </c>
      <c r="GL1325" s="4">
        <v>233</v>
      </c>
      <c r="GM1325" s="4">
        <v>229</v>
      </c>
      <c r="GN1325" s="4">
        <v>225</v>
      </c>
      <c r="GO1325" s="4">
        <v>220</v>
      </c>
      <c r="GP1325" s="4">
        <v>213</v>
      </c>
      <c r="GQ1325" s="4">
        <v>205</v>
      </c>
      <c r="GR1325" s="4">
        <v>198</v>
      </c>
      <c r="GS1325" s="4">
        <v>194</v>
      </c>
      <c r="GT1325" s="4">
        <v>190</v>
      </c>
      <c r="GU1325" s="4">
        <v>186</v>
      </c>
      <c r="GV1325" s="4">
        <v>277</v>
      </c>
      <c r="GW1325" s="4">
        <v>273</v>
      </c>
      <c r="GX1325" s="4">
        <v>269</v>
      </c>
      <c r="GY1325" s="4">
        <v>265</v>
      </c>
      <c r="GZ1325" s="4">
        <v>261</v>
      </c>
      <c r="HA1325" s="4">
        <v>257</v>
      </c>
      <c r="HB1325" s="4">
        <v>253</v>
      </c>
      <c r="HC1325" s="4">
        <v>249</v>
      </c>
      <c r="HD1325" s="19">
        <v>91.9</v>
      </c>
      <c r="HE1325" s="19">
        <v>97</v>
      </c>
      <c r="HF1325" s="19">
        <v>91.8</v>
      </c>
      <c r="HG1325" s="19">
        <v>90.9</v>
      </c>
      <c r="HH1325" s="19">
        <v>90</v>
      </c>
      <c r="HI1325" s="19">
        <v>89</v>
      </c>
      <c r="HJ1325" s="19">
        <v>91.7</v>
      </c>
      <c r="HK1325" s="19">
        <v>90.5</v>
      </c>
      <c r="HL1325" s="19">
        <v>86.2</v>
      </c>
      <c r="HM1325" s="19">
        <v>47.5</v>
      </c>
      <c r="HN1325" s="19">
        <v>45</v>
      </c>
      <c r="HO1325" s="19">
        <v>44.4</v>
      </c>
      <c r="HP1325" s="19">
        <v>45</v>
      </c>
      <c r="HQ1325" s="19">
        <v>80</v>
      </c>
      <c r="HR1325" s="19">
        <v>80.7</v>
      </c>
      <c r="HS1325" s="19">
        <v>79.7</v>
      </c>
      <c r="HT1325" s="19">
        <v>78.7</v>
      </c>
      <c r="HU1325" s="19">
        <v>77.7</v>
      </c>
      <c r="HV1325" s="19">
        <v>92.5</v>
      </c>
      <c r="HW1325" s="19">
        <v>91.5</v>
      </c>
      <c r="HX1325" s="19">
        <v>90.5</v>
      </c>
      <c r="HY1325" s="19">
        <v>89.5</v>
      </c>
      <c r="HZ1325" s="19">
        <v>88.5</v>
      </c>
      <c r="IA1325" s="19">
        <v>87.5</v>
      </c>
      <c r="IB1325" s="19">
        <v>86.5</v>
      </c>
      <c r="IC1325" s="19">
        <v>85.5</v>
      </c>
    </row>
    <row r="1326">
      <c r="A1326" s="2" t="s">
        <v>5142</v>
      </c>
      <c r="B1326" s="2" t="s">
        <v>871</v>
      </c>
      <c r="C1326" s="2" t="s">
        <v>606</v>
      </c>
      <c r="D1326" s="2" t="s">
        <v>361</v>
      </c>
      <c r="E1326" s="2" t="s">
        <v>872</v>
      </c>
      <c r="F1326" s="2" t="s">
        <v>5105</v>
      </c>
      <c r="G1326" s="2" t="s">
        <v>5106</v>
      </c>
      <c r="H1326" s="2" t="s">
        <v>5107</v>
      </c>
      <c r="I1326" s="2" t="s">
        <v>5108</v>
      </c>
      <c r="J1326" s="2" t="s">
        <v>877</v>
      </c>
      <c r="K1326" s="2" t="s">
        <v>316</v>
      </c>
      <c r="L1326" s="3">
        <v>26.19</v>
      </c>
      <c r="M1326" s="3">
        <v>27.5</v>
      </c>
      <c r="N1326" s="3">
        <v>54.99</v>
      </c>
      <c r="O1326" s="2" t="s">
        <v>232</v>
      </c>
      <c r="P1326" s="2" t="s">
        <v>878</v>
      </c>
      <c r="Q1326" s="2" t="s">
        <v>234</v>
      </c>
      <c r="R1326" s="2" t="s">
        <v>235</v>
      </c>
      <c r="S1326" s="2" t="s">
        <v>235</v>
      </c>
      <c r="T1326" s="2" t="s">
        <v>879</v>
      </c>
      <c r="U1326" s="2" t="s">
        <v>282</v>
      </c>
      <c r="V1326" s="2" t="s">
        <v>420</v>
      </c>
      <c r="W1326" s="2" t="s">
        <v>682</v>
      </c>
      <c r="X1326" s="2" t="s">
        <v>682</v>
      </c>
      <c r="Y1326" s="2" t="s">
        <v>4811</v>
      </c>
      <c r="Z1326" s="4">
        <v>216</v>
      </c>
      <c r="AA1326" s="4">
        <f>=ROUNDDOWN({0},0)</f>
      </c>
      <c r="AB1326" s="5"/>
      <c r="AC1326" s="2" t="s">
        <v>235</v>
      </c>
      <c r="AD1326" s="4"/>
      <c r="AE1326" s="4"/>
      <c r="AF1326" s="6">
        <v>64</v>
      </c>
      <c r="AG1326" s="6">
        <v>47</v>
      </c>
      <c r="AH1326" s="7">
        <v>1</v>
      </c>
      <c r="AI1326" s="4"/>
      <c r="AJ1326" s="4">
        <f>=ROUNDDOWN({0},0)</f>
      </c>
      <c r="AK1326" s="5"/>
      <c r="AL1326" s="2" t="s">
        <v>235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235</v>
      </c>
      <c r="AW1326" s="8" t="s">
        <v>235</v>
      </c>
      <c r="AX1326" s="4" t="s">
        <v>235</v>
      </c>
      <c r="AY1326" s="8" t="s">
        <v>235</v>
      </c>
      <c r="AZ1326" s="7" t="s">
        <v>235</v>
      </c>
      <c r="BA1326" s="7" t="s">
        <v>235</v>
      </c>
      <c r="BB1326" s="7" t="s">
        <v>235</v>
      </c>
      <c r="BC1326" s="4" t="s">
        <v>235</v>
      </c>
      <c r="BD1326" s="8" t="s">
        <v>235</v>
      </c>
      <c r="BE1326" s="4" t="s">
        <v>235</v>
      </c>
      <c r="BF1326" s="8" t="s">
        <v>235</v>
      </c>
      <c r="BG1326" s="7" t="s">
        <v>235</v>
      </c>
      <c r="BH1326" s="7" t="s">
        <v>235</v>
      </c>
      <c r="BI1326" s="7"/>
      <c r="BJ1326" s="4"/>
      <c r="BK1326" s="8"/>
      <c r="BL1326" s="2" t="s">
        <v>235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5110</v>
      </c>
      <c r="BV1326" s="2" t="s">
        <v>235</v>
      </c>
      <c r="BW1326" s="2" t="s">
        <v>235</v>
      </c>
      <c r="BX1326" s="2" t="s">
        <v>619</v>
      </c>
      <c r="BY1326" s="2" t="s">
        <v>245</v>
      </c>
      <c r="BZ1326" s="2" t="s">
        <v>232</v>
      </c>
      <c r="CA1326" s="2" t="s">
        <v>235</v>
      </c>
      <c r="CB1326" s="2" t="s">
        <v>235</v>
      </c>
      <c r="CC1326" s="2" t="s">
        <v>248</v>
      </c>
      <c r="CD1326" s="2" t="s">
        <v>248</v>
      </c>
      <c r="CE1326" s="2" t="s">
        <v>235</v>
      </c>
      <c r="CF1326" s="4">
        <v>102</v>
      </c>
      <c r="CG1326" s="4"/>
      <c r="CH1326" s="4"/>
      <c r="CI1326" s="4">
        <v>114</v>
      </c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>
        <v>219</v>
      </c>
      <c r="GE1326" s="4">
        <v>177</v>
      </c>
      <c r="GF1326" s="4">
        <v>166</v>
      </c>
      <c r="GG1326" s="4">
        <v>155</v>
      </c>
      <c r="GH1326" s="4">
        <v>144</v>
      </c>
      <c r="GI1326" s="4">
        <v>128</v>
      </c>
      <c r="GJ1326" s="4">
        <v>112</v>
      </c>
      <c r="GK1326" s="4">
        <v>98</v>
      </c>
      <c r="GL1326" s="4">
        <v>87</v>
      </c>
      <c r="GM1326" s="4">
        <v>76</v>
      </c>
      <c r="GN1326" s="4">
        <v>66</v>
      </c>
      <c r="GO1326" s="4">
        <v>57</v>
      </c>
      <c r="GP1326" s="4">
        <v>44</v>
      </c>
      <c r="GQ1326" s="4">
        <v>31</v>
      </c>
      <c r="GR1326" s="4">
        <v>19</v>
      </c>
      <c r="GS1326" s="4">
        <v>123</v>
      </c>
      <c r="GT1326" s="4">
        <v>114</v>
      </c>
      <c r="GU1326" s="4">
        <v>106</v>
      </c>
      <c r="GV1326" s="4">
        <v>460</v>
      </c>
      <c r="GW1326" s="4">
        <v>451</v>
      </c>
      <c r="GX1326" s="4">
        <v>442</v>
      </c>
      <c r="GY1326" s="4">
        <v>433</v>
      </c>
      <c r="GZ1326" s="4">
        <v>424</v>
      </c>
      <c r="HA1326" s="4">
        <v>415</v>
      </c>
      <c r="HB1326" s="4">
        <v>406</v>
      </c>
      <c r="HC1326" s="4">
        <v>396</v>
      </c>
      <c r="HD1326" s="19">
        <v>17.8</v>
      </c>
      <c r="HE1326" s="19">
        <v>30.1</v>
      </c>
      <c r="HF1326" s="19">
        <v>28.8</v>
      </c>
      <c r="HG1326" s="19">
        <v>19.2</v>
      </c>
      <c r="HH1326" s="19">
        <v>18.7</v>
      </c>
      <c r="HI1326" s="19">
        <v>11.7</v>
      </c>
      <c r="HJ1326" s="19">
        <v>8.5</v>
      </c>
      <c r="HK1326" s="19">
        <v>7.5</v>
      </c>
      <c r="HL1326" s="19">
        <v>4</v>
      </c>
      <c r="HM1326" s="19">
        <v>3.5</v>
      </c>
      <c r="HN1326" s="19">
        <v>2.8</v>
      </c>
      <c r="HO1326" s="19">
        <v>2.4</v>
      </c>
      <c r="HP1326" s="19">
        <v>2</v>
      </c>
      <c r="HQ1326" s="19">
        <v>1.6</v>
      </c>
      <c r="HR1326" s="19">
        <v>1.1</v>
      </c>
      <c r="HS1326" s="19">
        <v>8.8</v>
      </c>
      <c r="HT1326" s="19">
        <v>11.4</v>
      </c>
      <c r="HU1326" s="19">
        <v>13.3</v>
      </c>
      <c r="HV1326" s="19">
        <v>50.2</v>
      </c>
      <c r="HW1326" s="19">
        <v>49.2</v>
      </c>
      <c r="HX1326" s="19">
        <v>48.2</v>
      </c>
      <c r="HY1326" s="19">
        <v>47.2</v>
      </c>
      <c r="HZ1326" s="19">
        <v>46.2</v>
      </c>
      <c r="IA1326" s="19">
        <v>45.2</v>
      </c>
      <c r="IB1326" s="19">
        <v>44.2</v>
      </c>
      <c r="IC1326" s="19">
        <v>43.1</v>
      </c>
    </row>
    <row r="1327">
      <c r="A1327" s="2" t="s">
        <v>5143</v>
      </c>
      <c r="B1327" s="2" t="s">
        <v>871</v>
      </c>
      <c r="C1327" s="2" t="s">
        <v>606</v>
      </c>
      <c r="D1327" s="2" t="s">
        <v>906</v>
      </c>
      <c r="E1327" s="2" t="s">
        <v>1301</v>
      </c>
      <c r="F1327" s="2" t="s">
        <v>5105</v>
      </c>
      <c r="G1327" s="2" t="s">
        <v>5106</v>
      </c>
      <c r="H1327" s="2" t="s">
        <v>5107</v>
      </c>
      <c r="I1327" s="2" t="s">
        <v>5112</v>
      </c>
      <c r="J1327" s="2" t="s">
        <v>877</v>
      </c>
      <c r="K1327" s="2" t="s">
        <v>316</v>
      </c>
      <c r="L1327" s="3">
        <v>16.661905</v>
      </c>
      <c r="M1327" s="3">
        <v>17.49</v>
      </c>
      <c r="N1327" s="3">
        <v>34.99</v>
      </c>
      <c r="O1327" s="2" t="s">
        <v>232</v>
      </c>
      <c r="P1327" s="2" t="s">
        <v>878</v>
      </c>
      <c r="Q1327" s="2" t="s">
        <v>234</v>
      </c>
      <c r="R1327" s="2" t="s">
        <v>235</v>
      </c>
      <c r="S1327" s="2" t="s">
        <v>235</v>
      </c>
      <c r="T1327" s="2" t="s">
        <v>879</v>
      </c>
      <c r="U1327" s="2" t="s">
        <v>278</v>
      </c>
      <c r="V1327" s="2" t="s">
        <v>420</v>
      </c>
      <c r="W1327" s="2" t="s">
        <v>682</v>
      </c>
      <c r="X1327" s="2" t="s">
        <v>682</v>
      </c>
      <c r="Y1327" s="2" t="s">
        <v>4811</v>
      </c>
      <c r="Z1327" s="4">
        <v>135</v>
      </c>
      <c r="AA1327" s="4">
        <f>=ROUNDDOWN(58.695652173913,0)</f>
      </c>
      <c r="AB1327" s="5">
        <v>2.3</v>
      </c>
      <c r="AC1327" s="2" t="s">
        <v>235</v>
      </c>
      <c r="AD1327" s="4"/>
      <c r="AE1327" s="4"/>
      <c r="AF1327" s="6">
        <v>64</v>
      </c>
      <c r="AG1327" s="6">
        <v>47</v>
      </c>
      <c r="AH1327" s="7">
        <v>1</v>
      </c>
      <c r="AI1327" s="4"/>
      <c r="AJ1327" s="4">
        <f>=ROUNDDOWN({0},0)</f>
      </c>
      <c r="AK1327" s="5"/>
      <c r="AL1327" s="2" t="s">
        <v>235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235</v>
      </c>
      <c r="AW1327" s="8" t="s">
        <v>235</v>
      </c>
      <c r="AX1327" s="4" t="s">
        <v>235</v>
      </c>
      <c r="AY1327" s="8" t="s">
        <v>235</v>
      </c>
      <c r="AZ1327" s="7" t="s">
        <v>235</v>
      </c>
      <c r="BA1327" s="7" t="s">
        <v>235</v>
      </c>
      <c r="BB1327" s="7" t="s">
        <v>235</v>
      </c>
      <c r="BC1327" s="4" t="s">
        <v>235</v>
      </c>
      <c r="BD1327" s="8" t="s">
        <v>235</v>
      </c>
      <c r="BE1327" s="4" t="s">
        <v>235</v>
      </c>
      <c r="BF1327" s="8" t="s">
        <v>235</v>
      </c>
      <c r="BG1327" s="7" t="s">
        <v>235</v>
      </c>
      <c r="BH1327" s="7" t="s">
        <v>235</v>
      </c>
      <c r="BI1327" s="7"/>
      <c r="BJ1327" s="4">
        <v>1</v>
      </c>
      <c r="BK1327" s="8">
        <v>23.32</v>
      </c>
      <c r="BL1327" s="2" t="s">
        <v>900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5113</v>
      </c>
      <c r="BV1327" s="2" t="s">
        <v>235</v>
      </c>
      <c r="BW1327" s="2" t="s">
        <v>235</v>
      </c>
      <c r="BX1327" s="2" t="s">
        <v>619</v>
      </c>
      <c r="BY1327" s="2" t="s">
        <v>245</v>
      </c>
      <c r="BZ1327" s="2" t="s">
        <v>232</v>
      </c>
      <c r="CA1327" s="2" t="s">
        <v>235</v>
      </c>
      <c r="CB1327" s="2" t="s">
        <v>235</v>
      </c>
      <c r="CC1327" s="2" t="s">
        <v>248</v>
      </c>
      <c r="CD1327" s="2" t="s">
        <v>248</v>
      </c>
      <c r="CE1327" s="2" t="s">
        <v>235</v>
      </c>
      <c r="CF1327" s="4">
        <v>52</v>
      </c>
      <c r="CG1327" s="4"/>
      <c r="CH1327" s="4"/>
      <c r="CI1327" s="4">
        <v>83</v>
      </c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>
        <v>139</v>
      </c>
      <c r="GE1327" s="4">
        <v>97</v>
      </c>
      <c r="GF1327" s="4">
        <v>90</v>
      </c>
      <c r="GG1327" s="4">
        <v>81</v>
      </c>
      <c r="GH1327" s="4">
        <v>71</v>
      </c>
      <c r="GI1327" s="4">
        <v>59</v>
      </c>
      <c r="GJ1327" s="4">
        <v>44</v>
      </c>
      <c r="GK1327" s="4">
        <v>33</v>
      </c>
      <c r="GL1327" s="4">
        <v>25</v>
      </c>
      <c r="GM1327" s="4">
        <v>18</v>
      </c>
      <c r="GN1327" s="4">
        <v>10</v>
      </c>
      <c r="GO1327" s="4">
        <v>6</v>
      </c>
      <c r="GP1327" s="4">
        <v>2</v>
      </c>
      <c r="GQ1327" s="4"/>
      <c r="GR1327" s="4"/>
      <c r="GS1327" s="4">
        <v>87</v>
      </c>
      <c r="GT1327" s="4">
        <v>58</v>
      </c>
      <c r="GU1327" s="4">
        <v>52</v>
      </c>
      <c r="GV1327" s="4">
        <v>332</v>
      </c>
      <c r="GW1327" s="4">
        <v>325</v>
      </c>
      <c r="GX1327" s="4">
        <v>318</v>
      </c>
      <c r="GY1327" s="4">
        <v>311</v>
      </c>
      <c r="GZ1327" s="4">
        <v>304</v>
      </c>
      <c r="HA1327" s="4">
        <v>297</v>
      </c>
      <c r="HB1327" s="4">
        <v>290</v>
      </c>
      <c r="HC1327" s="4">
        <v>283</v>
      </c>
      <c r="HD1327" s="19">
        <v>15.9</v>
      </c>
      <c r="HE1327" s="19">
        <v>11.3</v>
      </c>
      <c r="HF1327" s="19">
        <v>6.7</v>
      </c>
      <c r="HG1327" s="19">
        <v>5</v>
      </c>
      <c r="HH1327" s="19">
        <v>3</v>
      </c>
      <c r="HI1327" s="19">
        <v>3</v>
      </c>
      <c r="HJ1327" s="19">
        <v>2.8</v>
      </c>
      <c r="HK1327" s="19">
        <v>2.4</v>
      </c>
      <c r="HL1327" s="19">
        <v>2.1</v>
      </c>
      <c r="HM1327" s="19">
        <v>2.3</v>
      </c>
      <c r="HN1327" s="19">
        <v>2.5</v>
      </c>
      <c r="HO1327" s="19">
        <v>1.5</v>
      </c>
      <c r="HP1327" s="19">
        <v>0.2</v>
      </c>
      <c r="HQ1327" s="20">
        <v>0</v>
      </c>
      <c r="HR1327" s="20">
        <v>0</v>
      </c>
      <c r="HS1327" s="19">
        <v>4</v>
      </c>
      <c r="HT1327" s="19">
        <v>7.3</v>
      </c>
      <c r="HU1327" s="19">
        <v>13</v>
      </c>
      <c r="HV1327" s="19">
        <v>46.4</v>
      </c>
      <c r="HW1327" s="19">
        <v>45.4</v>
      </c>
      <c r="HX1327" s="19">
        <v>44.4</v>
      </c>
      <c r="HY1327" s="19">
        <v>43.4</v>
      </c>
      <c r="HZ1327" s="19">
        <v>42.4</v>
      </c>
      <c r="IA1327" s="19">
        <v>41.4</v>
      </c>
      <c r="IB1327" s="19">
        <v>40.4</v>
      </c>
      <c r="IC1327" s="19">
        <v>39.4</v>
      </c>
    </row>
    <row r="1328">
      <c r="A1328" s="2" t="s">
        <v>5144</v>
      </c>
      <c r="B1328" s="2" t="s">
        <v>871</v>
      </c>
      <c r="C1328" s="2" t="s">
        <v>606</v>
      </c>
      <c r="D1328" s="2" t="s">
        <v>361</v>
      </c>
      <c r="E1328" s="2" t="s">
        <v>872</v>
      </c>
      <c r="F1328" s="2" t="s">
        <v>5105</v>
      </c>
      <c r="G1328" s="2" t="s">
        <v>5106</v>
      </c>
      <c r="H1328" s="2" t="s">
        <v>5107</v>
      </c>
      <c r="I1328" s="2" t="s">
        <v>5108</v>
      </c>
      <c r="J1328" s="2" t="s">
        <v>250</v>
      </c>
      <c r="K1328" s="2" t="s">
        <v>316</v>
      </c>
      <c r="L1328" s="3">
        <v>30.95</v>
      </c>
      <c r="M1328" s="3">
        <v>32.5</v>
      </c>
      <c r="N1328" s="3">
        <v>64.99</v>
      </c>
      <c r="O1328" s="2" t="s">
        <v>232</v>
      </c>
      <c r="P1328" s="2" t="s">
        <v>878</v>
      </c>
      <c r="Q1328" s="2" t="s">
        <v>234</v>
      </c>
      <c r="R1328" s="2" t="s">
        <v>235</v>
      </c>
      <c r="S1328" s="2" t="s">
        <v>235</v>
      </c>
      <c r="T1328" s="2" t="s">
        <v>879</v>
      </c>
      <c r="U1328" s="2" t="s">
        <v>742</v>
      </c>
      <c r="V1328" s="2" t="s">
        <v>420</v>
      </c>
      <c r="W1328" s="2" t="s">
        <v>682</v>
      </c>
      <c r="X1328" s="2" t="s">
        <v>682</v>
      </c>
      <c r="Y1328" s="2" t="s">
        <v>4811</v>
      </c>
      <c r="Z1328" s="4">
        <v>415</v>
      </c>
      <c r="AA1328" s="4">
        <f>=ROUNDDOWN(518.75,0)</f>
      </c>
      <c r="AB1328" s="5">
        <v>0.8</v>
      </c>
      <c r="AC1328" s="2" t="s">
        <v>235</v>
      </c>
      <c r="AD1328" s="4"/>
      <c r="AE1328" s="4"/>
      <c r="AF1328" s="6">
        <v>64</v>
      </c>
      <c r="AG1328" s="6">
        <v>47</v>
      </c>
      <c r="AH1328" s="7">
        <v>1</v>
      </c>
      <c r="AI1328" s="4"/>
      <c r="AJ1328" s="4">
        <f>=ROUNDDOWN({0},0)</f>
      </c>
      <c r="AK1328" s="5"/>
      <c r="AL1328" s="2" t="s">
        <v>235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235</v>
      </c>
      <c r="AW1328" s="8" t="s">
        <v>235</v>
      </c>
      <c r="AX1328" s="4" t="s">
        <v>235</v>
      </c>
      <c r="AY1328" s="8" t="s">
        <v>235</v>
      </c>
      <c r="AZ1328" s="7" t="s">
        <v>235</v>
      </c>
      <c r="BA1328" s="7" t="s">
        <v>235</v>
      </c>
      <c r="BB1328" s="7" t="s">
        <v>235</v>
      </c>
      <c r="BC1328" s="4" t="s">
        <v>235</v>
      </c>
      <c r="BD1328" s="8" t="s">
        <v>235</v>
      </c>
      <c r="BE1328" s="4" t="s">
        <v>235</v>
      </c>
      <c r="BF1328" s="8" t="s">
        <v>235</v>
      </c>
      <c r="BG1328" s="7" t="s">
        <v>235</v>
      </c>
      <c r="BH1328" s="7" t="s">
        <v>235</v>
      </c>
      <c r="BI1328" s="7"/>
      <c r="BJ1328" s="4">
        <v>7</v>
      </c>
      <c r="BK1328" s="8">
        <v>341.6</v>
      </c>
      <c r="BL1328" s="2" t="s">
        <v>2683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5110</v>
      </c>
      <c r="BV1328" s="2" t="s">
        <v>235</v>
      </c>
      <c r="BW1328" s="2" t="s">
        <v>235</v>
      </c>
      <c r="BX1328" s="2" t="s">
        <v>619</v>
      </c>
      <c r="BY1328" s="2" t="s">
        <v>245</v>
      </c>
      <c r="BZ1328" s="2" t="s">
        <v>232</v>
      </c>
      <c r="CA1328" s="2" t="s">
        <v>235</v>
      </c>
      <c r="CB1328" s="2" t="s">
        <v>235</v>
      </c>
      <c r="CC1328" s="2" t="s">
        <v>248</v>
      </c>
      <c r="CD1328" s="2" t="s">
        <v>248</v>
      </c>
      <c r="CE1328" s="2" t="s">
        <v>235</v>
      </c>
      <c r="CF1328" s="4">
        <v>239</v>
      </c>
      <c r="CG1328" s="4"/>
      <c r="CH1328" s="4"/>
      <c r="CI1328" s="4">
        <v>176</v>
      </c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>
        <v>415</v>
      </c>
      <c r="GE1328" s="4">
        <v>395</v>
      </c>
      <c r="GF1328" s="4">
        <v>380</v>
      </c>
      <c r="GG1328" s="4">
        <v>365</v>
      </c>
      <c r="GH1328" s="4">
        <v>350</v>
      </c>
      <c r="GI1328" s="4">
        <v>333</v>
      </c>
      <c r="GJ1328" s="4">
        <v>316</v>
      </c>
      <c r="GK1328" s="4">
        <v>299</v>
      </c>
      <c r="GL1328" s="4">
        <v>284</v>
      </c>
      <c r="GM1328" s="4">
        <v>265</v>
      </c>
      <c r="GN1328" s="4">
        <v>246</v>
      </c>
      <c r="GO1328" s="4">
        <v>225</v>
      </c>
      <c r="GP1328" s="4">
        <v>189</v>
      </c>
      <c r="GQ1328" s="4">
        <v>153</v>
      </c>
      <c r="GR1328" s="4">
        <v>123</v>
      </c>
      <c r="GS1328" s="4">
        <v>238</v>
      </c>
      <c r="GT1328" s="4">
        <v>219</v>
      </c>
      <c r="GU1328" s="4">
        <v>204</v>
      </c>
      <c r="GV1328" s="4">
        <v>795</v>
      </c>
      <c r="GW1328" s="4">
        <v>780</v>
      </c>
      <c r="GX1328" s="4">
        <v>765</v>
      </c>
      <c r="GY1328" s="4">
        <v>750</v>
      </c>
      <c r="GZ1328" s="4">
        <v>735</v>
      </c>
      <c r="HA1328" s="4">
        <v>720</v>
      </c>
      <c r="HB1328" s="4">
        <v>705</v>
      </c>
      <c r="HC1328" s="4">
        <v>687</v>
      </c>
      <c r="HD1328" s="19">
        <v>32</v>
      </c>
      <c r="HE1328" s="19">
        <v>31.5</v>
      </c>
      <c r="HF1328" s="19">
        <v>29.7</v>
      </c>
      <c r="HG1328" s="19">
        <v>24.7</v>
      </c>
      <c r="HH1328" s="19">
        <v>23.8</v>
      </c>
      <c r="HI1328" s="19">
        <v>22.8</v>
      </c>
      <c r="HJ1328" s="19">
        <v>21.3</v>
      </c>
      <c r="HK1328" s="19">
        <v>19.9</v>
      </c>
      <c r="HL1328" s="19">
        <v>15.9</v>
      </c>
      <c r="HM1328" s="19">
        <v>11.7</v>
      </c>
      <c r="HN1328" s="19">
        <v>10.7</v>
      </c>
      <c r="HO1328" s="19">
        <v>10</v>
      </c>
      <c r="HP1328" s="19">
        <v>9.1</v>
      </c>
      <c r="HQ1328" s="19">
        <v>7.6</v>
      </c>
      <c r="HR1328" s="19">
        <v>6.5</v>
      </c>
      <c r="HS1328" s="19">
        <v>12.4</v>
      </c>
      <c r="HT1328" s="19">
        <v>12.2</v>
      </c>
      <c r="HU1328" s="19">
        <v>17</v>
      </c>
      <c r="HV1328" s="19">
        <v>51.3</v>
      </c>
      <c r="HW1328" s="19">
        <v>50.3</v>
      </c>
      <c r="HX1328" s="19">
        <v>49.3</v>
      </c>
      <c r="HY1328" s="19">
        <v>46.1</v>
      </c>
      <c r="HZ1328" s="19">
        <v>45.2</v>
      </c>
      <c r="IA1328" s="19">
        <v>44.2</v>
      </c>
      <c r="IB1328" s="19">
        <v>43.2</v>
      </c>
      <c r="IC1328" s="19">
        <v>44.1</v>
      </c>
    </row>
    <row r="1329">
      <c r="A1329" s="2" t="s">
        <v>5145</v>
      </c>
      <c r="B1329" s="2" t="s">
        <v>871</v>
      </c>
      <c r="C1329" s="2" t="s">
        <v>606</v>
      </c>
      <c r="D1329" s="2" t="s">
        <v>906</v>
      </c>
      <c r="E1329" s="2" t="s">
        <v>1301</v>
      </c>
      <c r="F1329" s="2" t="s">
        <v>5105</v>
      </c>
      <c r="G1329" s="2" t="s">
        <v>5106</v>
      </c>
      <c r="H1329" s="2" t="s">
        <v>5107</v>
      </c>
      <c r="I1329" s="2" t="s">
        <v>5112</v>
      </c>
      <c r="J1329" s="2" t="s">
        <v>250</v>
      </c>
      <c r="K1329" s="2" t="s">
        <v>316</v>
      </c>
      <c r="L1329" s="3">
        <v>19.04</v>
      </c>
      <c r="M1329" s="3">
        <v>19.99</v>
      </c>
      <c r="N1329" s="3">
        <v>39.99</v>
      </c>
      <c r="O1329" s="2" t="s">
        <v>232</v>
      </c>
      <c r="P1329" s="2" t="s">
        <v>878</v>
      </c>
      <c r="Q1329" s="2" t="s">
        <v>234</v>
      </c>
      <c r="R1329" s="2" t="s">
        <v>235</v>
      </c>
      <c r="S1329" s="2" t="s">
        <v>235</v>
      </c>
      <c r="T1329" s="2" t="s">
        <v>879</v>
      </c>
      <c r="U1329" s="2" t="s">
        <v>552</v>
      </c>
      <c r="V1329" s="2" t="s">
        <v>420</v>
      </c>
      <c r="W1329" s="2" t="s">
        <v>682</v>
      </c>
      <c r="X1329" s="2" t="s">
        <v>682</v>
      </c>
      <c r="Y1329" s="2" t="s">
        <v>4811</v>
      </c>
      <c r="Z1329" s="4">
        <v>111</v>
      </c>
      <c r="AA1329" s="4">
        <f>=ROUNDDOWN(158.571428571429,0)</f>
      </c>
      <c r="AB1329" s="5">
        <v>0.7</v>
      </c>
      <c r="AC1329" s="2" t="s">
        <v>4370</v>
      </c>
      <c r="AD1329" s="4">
        <v>100</v>
      </c>
      <c r="AE1329" s="4">
        <v>100</v>
      </c>
      <c r="AF1329" s="6">
        <v>64</v>
      </c>
      <c r="AG1329" s="6">
        <v>47</v>
      </c>
      <c r="AH1329" s="7">
        <v>1</v>
      </c>
      <c r="AI1329" s="4"/>
      <c r="AJ1329" s="4">
        <f>=ROUNDDOWN({0},0)</f>
      </c>
      <c r="AK1329" s="5"/>
      <c r="AL1329" s="2" t="s">
        <v>235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235</v>
      </c>
      <c r="AW1329" s="8" t="s">
        <v>235</v>
      </c>
      <c r="AX1329" s="4" t="s">
        <v>235</v>
      </c>
      <c r="AY1329" s="8" t="s">
        <v>235</v>
      </c>
      <c r="AZ1329" s="7" t="s">
        <v>235</v>
      </c>
      <c r="BA1329" s="7" t="s">
        <v>235</v>
      </c>
      <c r="BB1329" s="7" t="s">
        <v>235</v>
      </c>
      <c r="BC1329" s="4" t="s">
        <v>235</v>
      </c>
      <c r="BD1329" s="8" t="s">
        <v>235</v>
      </c>
      <c r="BE1329" s="4" t="s">
        <v>235</v>
      </c>
      <c r="BF1329" s="8" t="s">
        <v>235</v>
      </c>
      <c r="BG1329" s="7" t="s">
        <v>235</v>
      </c>
      <c r="BH1329" s="7" t="s">
        <v>235</v>
      </c>
      <c r="BI1329" s="7"/>
      <c r="BJ1329" s="4">
        <v>1</v>
      </c>
      <c r="BK1329" s="8">
        <v>24.4</v>
      </c>
      <c r="BL1329" s="2" t="s">
        <v>1377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5113</v>
      </c>
      <c r="BV1329" s="2" t="s">
        <v>235</v>
      </c>
      <c r="BW1329" s="2" t="s">
        <v>235</v>
      </c>
      <c r="BX1329" s="2" t="s">
        <v>619</v>
      </c>
      <c r="BY1329" s="2" t="s">
        <v>245</v>
      </c>
      <c r="BZ1329" s="2" t="s">
        <v>232</v>
      </c>
      <c r="CA1329" s="2" t="s">
        <v>235</v>
      </c>
      <c r="CB1329" s="2" t="s">
        <v>235</v>
      </c>
      <c r="CC1329" s="2" t="s">
        <v>248</v>
      </c>
      <c r="CD1329" s="2" t="s">
        <v>248</v>
      </c>
      <c r="CE1329" s="2" t="s">
        <v>235</v>
      </c>
      <c r="CF1329" s="4">
        <v>108</v>
      </c>
      <c r="CG1329" s="4"/>
      <c r="CH1329" s="4"/>
      <c r="CI1329" s="4">
        <v>3</v>
      </c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>
        <v>100</v>
      </c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>
        <v>119</v>
      </c>
      <c r="GE1329" s="4">
        <v>204</v>
      </c>
      <c r="GF1329" s="4">
        <v>196</v>
      </c>
      <c r="GG1329" s="4">
        <v>188</v>
      </c>
      <c r="GH1329" s="4">
        <v>179</v>
      </c>
      <c r="GI1329" s="4">
        <v>170</v>
      </c>
      <c r="GJ1329" s="4">
        <v>160</v>
      </c>
      <c r="GK1329" s="4">
        <v>151</v>
      </c>
      <c r="GL1329" s="4">
        <v>143</v>
      </c>
      <c r="GM1329" s="4">
        <v>135</v>
      </c>
      <c r="GN1329" s="4">
        <v>124</v>
      </c>
      <c r="GO1329" s="4">
        <v>112</v>
      </c>
      <c r="GP1329" s="4">
        <v>96</v>
      </c>
      <c r="GQ1329" s="4">
        <v>76</v>
      </c>
      <c r="GR1329" s="4">
        <v>61</v>
      </c>
      <c r="GS1329" s="4">
        <v>157</v>
      </c>
      <c r="GT1329" s="4">
        <v>148</v>
      </c>
      <c r="GU1329" s="4">
        <v>140</v>
      </c>
      <c r="GV1329" s="4">
        <v>391</v>
      </c>
      <c r="GW1329" s="4">
        <v>383</v>
      </c>
      <c r="GX1329" s="4">
        <v>375</v>
      </c>
      <c r="GY1329" s="4">
        <v>367</v>
      </c>
      <c r="GZ1329" s="4">
        <v>359</v>
      </c>
      <c r="HA1329" s="4">
        <v>351</v>
      </c>
      <c r="HB1329" s="4">
        <v>343</v>
      </c>
      <c r="HC1329" s="4">
        <v>334</v>
      </c>
      <c r="HD1329" s="19">
        <v>8.7</v>
      </c>
      <c r="HE1329" s="19">
        <v>22.9</v>
      </c>
      <c r="HF1329" s="19">
        <v>22.1</v>
      </c>
      <c r="HG1329" s="19">
        <v>21.2</v>
      </c>
      <c r="HH1329" s="19">
        <v>20.2</v>
      </c>
      <c r="HI1329" s="19">
        <v>19.2</v>
      </c>
      <c r="HJ1329" s="19">
        <v>16.8</v>
      </c>
      <c r="HK1329" s="19">
        <v>15.8</v>
      </c>
      <c r="HL1329" s="19">
        <v>13.6</v>
      </c>
      <c r="HM1329" s="19">
        <v>10.3</v>
      </c>
      <c r="HN1329" s="19">
        <v>9.3</v>
      </c>
      <c r="HO1329" s="19">
        <v>8.8</v>
      </c>
      <c r="HP1329" s="19">
        <v>9.4</v>
      </c>
      <c r="HQ1329" s="19">
        <v>7.2</v>
      </c>
      <c r="HR1329" s="19">
        <v>5.7</v>
      </c>
      <c r="HS1329" s="19">
        <v>15.9</v>
      </c>
      <c r="HT1329" s="19">
        <v>14.9</v>
      </c>
      <c r="HU1329" s="19">
        <v>17.5</v>
      </c>
      <c r="HV1329" s="19">
        <v>47.9</v>
      </c>
      <c r="HW1329" s="19">
        <v>46.9</v>
      </c>
      <c r="HX1329" s="19">
        <v>45.9</v>
      </c>
      <c r="HY1329" s="19">
        <v>44.9</v>
      </c>
      <c r="HZ1329" s="19">
        <v>43.9</v>
      </c>
      <c r="IA1329" s="19">
        <v>42.9</v>
      </c>
      <c r="IB1329" s="19">
        <v>41.9</v>
      </c>
      <c r="IC1329" s="19">
        <v>40.8</v>
      </c>
    </row>
    <row r="1330">
      <c r="A1330" s="2" t="s">
        <v>5146</v>
      </c>
      <c r="B1330" s="2" t="s">
        <v>871</v>
      </c>
      <c r="C1330" s="2" t="s">
        <v>606</v>
      </c>
      <c r="D1330" s="2" t="s">
        <v>361</v>
      </c>
      <c r="E1330" s="2" t="s">
        <v>872</v>
      </c>
      <c r="F1330" s="2" t="s">
        <v>5105</v>
      </c>
      <c r="G1330" s="2" t="s">
        <v>5106</v>
      </c>
      <c r="H1330" s="2" t="s">
        <v>5107</v>
      </c>
      <c r="I1330" s="2" t="s">
        <v>5108</v>
      </c>
      <c r="J1330" s="2" t="s">
        <v>261</v>
      </c>
      <c r="K1330" s="2" t="s">
        <v>316</v>
      </c>
      <c r="L1330" s="3">
        <v>33.33</v>
      </c>
      <c r="M1330" s="3">
        <v>35</v>
      </c>
      <c r="N1330" s="3">
        <v>69.99</v>
      </c>
      <c r="O1330" s="2" t="s">
        <v>232</v>
      </c>
      <c r="P1330" s="2" t="s">
        <v>878</v>
      </c>
      <c r="Q1330" s="2" t="s">
        <v>234</v>
      </c>
      <c r="R1330" s="2" t="s">
        <v>235</v>
      </c>
      <c r="S1330" s="2" t="s">
        <v>235</v>
      </c>
      <c r="T1330" s="2" t="s">
        <v>879</v>
      </c>
      <c r="U1330" s="2" t="s">
        <v>742</v>
      </c>
      <c r="V1330" s="2" t="s">
        <v>420</v>
      </c>
      <c r="W1330" s="2" t="s">
        <v>682</v>
      </c>
      <c r="X1330" s="2" t="s">
        <v>682</v>
      </c>
      <c r="Y1330" s="2" t="s">
        <v>3819</v>
      </c>
      <c r="Z1330" s="4">
        <v>647</v>
      </c>
      <c r="AA1330" s="4">
        <f>=ROUNDDOWN(718.888888888889,0)</f>
      </c>
      <c r="AB1330" s="5">
        <v>0.9</v>
      </c>
      <c r="AC1330" s="2" t="s">
        <v>235</v>
      </c>
      <c r="AD1330" s="4"/>
      <c r="AE1330" s="4"/>
      <c r="AF1330" s="6">
        <v>64</v>
      </c>
      <c r="AG1330" s="6">
        <v>47</v>
      </c>
      <c r="AH1330" s="7">
        <v>1</v>
      </c>
      <c r="AI1330" s="4"/>
      <c r="AJ1330" s="4">
        <f>=ROUNDDOWN({0},0)</f>
      </c>
      <c r="AK1330" s="5"/>
      <c r="AL1330" s="2" t="s">
        <v>235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235</v>
      </c>
      <c r="AW1330" s="8" t="s">
        <v>235</v>
      </c>
      <c r="AX1330" s="4" t="s">
        <v>235</v>
      </c>
      <c r="AY1330" s="8" t="s">
        <v>235</v>
      </c>
      <c r="AZ1330" s="7" t="s">
        <v>235</v>
      </c>
      <c r="BA1330" s="7" t="s">
        <v>235</v>
      </c>
      <c r="BB1330" s="7" t="s">
        <v>235</v>
      </c>
      <c r="BC1330" s="4" t="s">
        <v>235</v>
      </c>
      <c r="BD1330" s="8" t="s">
        <v>235</v>
      </c>
      <c r="BE1330" s="4" t="s">
        <v>235</v>
      </c>
      <c r="BF1330" s="8" t="s">
        <v>235</v>
      </c>
      <c r="BG1330" s="7" t="s">
        <v>235</v>
      </c>
      <c r="BH1330" s="7" t="s">
        <v>235</v>
      </c>
      <c r="BI1330" s="7"/>
      <c r="BJ1330" s="4">
        <v>18</v>
      </c>
      <c r="BK1330" s="8">
        <v>946.8</v>
      </c>
      <c r="BL1330" s="2" t="s">
        <v>2683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5110</v>
      </c>
      <c r="BV1330" s="2" t="s">
        <v>235</v>
      </c>
      <c r="BW1330" s="2" t="s">
        <v>235</v>
      </c>
      <c r="BX1330" s="2" t="s">
        <v>619</v>
      </c>
      <c r="BY1330" s="2" t="s">
        <v>245</v>
      </c>
      <c r="BZ1330" s="2" t="s">
        <v>232</v>
      </c>
      <c r="CA1330" s="2" t="s">
        <v>235</v>
      </c>
      <c r="CB1330" s="2" t="s">
        <v>235</v>
      </c>
      <c r="CC1330" s="2" t="s">
        <v>248</v>
      </c>
      <c r="CD1330" s="2" t="s">
        <v>248</v>
      </c>
      <c r="CE1330" s="2" t="s">
        <v>235</v>
      </c>
      <c r="CF1330" s="4">
        <v>317</v>
      </c>
      <c r="CG1330" s="4"/>
      <c r="CH1330" s="4"/>
      <c r="CI1330" s="4">
        <v>330</v>
      </c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>
        <v>648</v>
      </c>
      <c r="GE1330" s="4">
        <v>630</v>
      </c>
      <c r="GF1330" s="4">
        <v>618</v>
      </c>
      <c r="GG1330" s="4">
        <v>606</v>
      </c>
      <c r="GH1330" s="4">
        <v>594</v>
      </c>
      <c r="GI1330" s="4">
        <v>582</v>
      </c>
      <c r="GJ1330" s="4">
        <v>570</v>
      </c>
      <c r="GK1330" s="4">
        <v>558</v>
      </c>
      <c r="GL1330" s="4">
        <v>546</v>
      </c>
      <c r="GM1330" s="4">
        <v>529</v>
      </c>
      <c r="GN1330" s="4">
        <v>512</v>
      </c>
      <c r="GO1330" s="4">
        <v>494</v>
      </c>
      <c r="GP1330" s="4">
        <v>464</v>
      </c>
      <c r="GQ1330" s="4">
        <v>434</v>
      </c>
      <c r="GR1330" s="4">
        <v>409</v>
      </c>
      <c r="GS1330" s="4">
        <v>391</v>
      </c>
      <c r="GT1330" s="4">
        <v>374</v>
      </c>
      <c r="GU1330" s="4">
        <v>360</v>
      </c>
      <c r="GV1330" s="4">
        <v>800</v>
      </c>
      <c r="GW1330" s="4">
        <v>787</v>
      </c>
      <c r="GX1330" s="4">
        <v>774</v>
      </c>
      <c r="GY1330" s="4">
        <v>761</v>
      </c>
      <c r="GZ1330" s="4">
        <v>748</v>
      </c>
      <c r="HA1330" s="4">
        <v>735</v>
      </c>
      <c r="HB1330" s="4">
        <v>722</v>
      </c>
      <c r="HC1330" s="4">
        <v>706</v>
      </c>
      <c r="HD1330" s="19">
        <v>57.3</v>
      </c>
      <c r="HE1330" s="19">
        <v>71.3</v>
      </c>
      <c r="HF1330" s="19">
        <v>70.3</v>
      </c>
      <c r="HG1330" s="19">
        <v>69.3</v>
      </c>
      <c r="HH1330" s="19">
        <v>68.3</v>
      </c>
      <c r="HI1330" s="19">
        <v>65.8</v>
      </c>
      <c r="HJ1330" s="19">
        <v>50.7</v>
      </c>
      <c r="HK1330" s="19">
        <v>48.9</v>
      </c>
      <c r="HL1330" s="19">
        <v>38.1</v>
      </c>
      <c r="HM1330" s="19">
        <v>31.5</v>
      </c>
      <c r="HN1330" s="19">
        <v>30.2</v>
      </c>
      <c r="HO1330" s="19">
        <v>29.5</v>
      </c>
      <c r="HP1330" s="19">
        <v>33.9</v>
      </c>
      <c r="HQ1330" s="19">
        <v>40.5</v>
      </c>
      <c r="HR1330" s="19">
        <v>39.8</v>
      </c>
      <c r="HS1330" s="19">
        <v>50.4</v>
      </c>
      <c r="HT1330" s="19">
        <v>49.6</v>
      </c>
      <c r="HU1330" s="19">
        <v>48.6</v>
      </c>
      <c r="HV1330" s="19">
        <v>70.2</v>
      </c>
      <c r="HW1330" s="19">
        <v>69.2</v>
      </c>
      <c r="HX1330" s="19">
        <v>68.2</v>
      </c>
      <c r="HY1330" s="19">
        <v>67.2</v>
      </c>
      <c r="HZ1330" s="19">
        <v>66.2</v>
      </c>
      <c r="IA1330" s="19">
        <v>65.2</v>
      </c>
      <c r="IB1330" s="19">
        <v>64.2</v>
      </c>
      <c r="IC1330" s="19">
        <v>63</v>
      </c>
    </row>
    <row r="1331">
      <c r="A1331" s="2" t="s">
        <v>5147</v>
      </c>
      <c r="B1331" s="2" t="s">
        <v>871</v>
      </c>
      <c r="C1331" s="2" t="s">
        <v>606</v>
      </c>
      <c r="D1331" s="2" t="s">
        <v>906</v>
      </c>
      <c r="E1331" s="2" t="s">
        <v>1301</v>
      </c>
      <c r="F1331" s="2" t="s">
        <v>5105</v>
      </c>
      <c r="G1331" s="2" t="s">
        <v>5106</v>
      </c>
      <c r="H1331" s="2" t="s">
        <v>5107</v>
      </c>
      <c r="I1331" s="2" t="s">
        <v>5112</v>
      </c>
      <c r="J1331" s="2" t="s">
        <v>261</v>
      </c>
      <c r="K1331" s="2" t="s">
        <v>316</v>
      </c>
      <c r="L1331" s="3">
        <v>21.42</v>
      </c>
      <c r="M1331" s="3">
        <v>22.49</v>
      </c>
      <c r="N1331" s="3">
        <v>44.99</v>
      </c>
      <c r="O1331" s="2" t="s">
        <v>232</v>
      </c>
      <c r="P1331" s="2" t="s">
        <v>878</v>
      </c>
      <c r="Q1331" s="2" t="s">
        <v>234</v>
      </c>
      <c r="R1331" s="2" t="s">
        <v>235</v>
      </c>
      <c r="S1331" s="2" t="s">
        <v>235</v>
      </c>
      <c r="T1331" s="2" t="s">
        <v>879</v>
      </c>
      <c r="U1331" s="2" t="s">
        <v>552</v>
      </c>
      <c r="V1331" s="2" t="s">
        <v>420</v>
      </c>
      <c r="W1331" s="2" t="s">
        <v>682</v>
      </c>
      <c r="X1331" s="2" t="s">
        <v>682</v>
      </c>
      <c r="Y1331" s="2" t="s">
        <v>3819</v>
      </c>
      <c r="Z1331" s="4">
        <v>317</v>
      </c>
      <c r="AA1331" s="4">
        <f>=ROUNDDOWN(55.6140350877193,0)</f>
      </c>
      <c r="AB1331" s="5">
        <v>5.7</v>
      </c>
      <c r="AC1331" s="2" t="s">
        <v>4370</v>
      </c>
      <c r="AD1331" s="4">
        <v>220</v>
      </c>
      <c r="AE1331" s="4">
        <v>220</v>
      </c>
      <c r="AF1331" s="6">
        <v>64</v>
      </c>
      <c r="AG1331" s="6">
        <v>47</v>
      </c>
      <c r="AH1331" s="7">
        <v>1</v>
      </c>
      <c r="AI1331" s="4"/>
      <c r="AJ1331" s="4">
        <f>=ROUNDDOWN({0},0)</f>
      </c>
      <c r="AK1331" s="5"/>
      <c r="AL1331" s="2" t="s">
        <v>235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235</v>
      </c>
      <c r="AW1331" s="8" t="s">
        <v>235</v>
      </c>
      <c r="AX1331" s="4" t="s">
        <v>235</v>
      </c>
      <c r="AY1331" s="8" t="s">
        <v>235</v>
      </c>
      <c r="AZ1331" s="7" t="s">
        <v>235</v>
      </c>
      <c r="BA1331" s="7" t="s">
        <v>235</v>
      </c>
      <c r="BB1331" s="7" t="s">
        <v>235</v>
      </c>
      <c r="BC1331" s="4" t="s">
        <v>235</v>
      </c>
      <c r="BD1331" s="8" t="s">
        <v>235</v>
      </c>
      <c r="BE1331" s="4" t="s">
        <v>235</v>
      </c>
      <c r="BF1331" s="8" t="s">
        <v>235</v>
      </c>
      <c r="BG1331" s="7" t="s">
        <v>235</v>
      </c>
      <c r="BH1331" s="7" t="s">
        <v>235</v>
      </c>
      <c r="BI1331" s="7"/>
      <c r="BJ1331" s="4">
        <v>1</v>
      </c>
      <c r="BK1331" s="8">
        <v>26.2</v>
      </c>
      <c r="BL1331" s="2" t="s">
        <v>1377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5113</v>
      </c>
      <c r="BV1331" s="2" t="s">
        <v>235</v>
      </c>
      <c r="BW1331" s="2" t="s">
        <v>235</v>
      </c>
      <c r="BX1331" s="2" t="s">
        <v>619</v>
      </c>
      <c r="BY1331" s="2" t="s">
        <v>245</v>
      </c>
      <c r="BZ1331" s="2" t="s">
        <v>232</v>
      </c>
      <c r="CA1331" s="2" t="s">
        <v>235</v>
      </c>
      <c r="CB1331" s="2" t="s">
        <v>235</v>
      </c>
      <c r="CC1331" s="2" t="s">
        <v>248</v>
      </c>
      <c r="CD1331" s="2" t="s">
        <v>248</v>
      </c>
      <c r="CE1331" s="2" t="s">
        <v>235</v>
      </c>
      <c r="CF1331" s="4">
        <v>230</v>
      </c>
      <c r="CG1331" s="4"/>
      <c r="CH1331" s="4"/>
      <c r="CI1331" s="4">
        <v>87</v>
      </c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>
        <v>220</v>
      </c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>
        <v>322</v>
      </c>
      <c r="GE1331" s="4">
        <v>525</v>
      </c>
      <c r="GF1331" s="4">
        <v>516</v>
      </c>
      <c r="GG1331" s="4">
        <v>507</v>
      </c>
      <c r="GH1331" s="4">
        <v>497</v>
      </c>
      <c r="GI1331" s="4">
        <v>487</v>
      </c>
      <c r="GJ1331" s="4">
        <v>476</v>
      </c>
      <c r="GK1331" s="4">
        <v>466</v>
      </c>
      <c r="GL1331" s="4">
        <v>457</v>
      </c>
      <c r="GM1331" s="4">
        <v>448</v>
      </c>
      <c r="GN1331" s="4">
        <v>436</v>
      </c>
      <c r="GO1331" s="4">
        <v>423</v>
      </c>
      <c r="GP1331" s="4">
        <v>405</v>
      </c>
      <c r="GQ1331" s="4">
        <v>383</v>
      </c>
      <c r="GR1331" s="4">
        <v>366</v>
      </c>
      <c r="GS1331" s="4">
        <v>354</v>
      </c>
      <c r="GT1331" s="4">
        <v>344</v>
      </c>
      <c r="GU1331" s="4">
        <v>334</v>
      </c>
      <c r="GV1331" s="4">
        <v>616</v>
      </c>
      <c r="GW1331" s="4">
        <v>607</v>
      </c>
      <c r="GX1331" s="4">
        <v>598</v>
      </c>
      <c r="GY1331" s="4">
        <v>589</v>
      </c>
      <c r="GZ1331" s="4">
        <v>580</v>
      </c>
      <c r="HA1331" s="4">
        <v>571</v>
      </c>
      <c r="HB1331" s="4">
        <v>562</v>
      </c>
      <c r="HC1331" s="4">
        <v>552</v>
      </c>
      <c r="HD1331" s="19">
        <v>35</v>
      </c>
      <c r="HE1331" s="19">
        <v>90.2</v>
      </c>
      <c r="HF1331" s="19">
        <v>89.3</v>
      </c>
      <c r="HG1331" s="19">
        <v>88.3</v>
      </c>
      <c r="HH1331" s="19">
        <v>87.3</v>
      </c>
      <c r="HI1331" s="19">
        <v>86.3</v>
      </c>
      <c r="HJ1331" s="19">
        <v>85.3</v>
      </c>
      <c r="HK1331" s="19">
        <v>84.3</v>
      </c>
      <c r="HL1331" s="19">
        <v>56.9</v>
      </c>
      <c r="HM1331" s="19">
        <v>42.9</v>
      </c>
      <c r="HN1331" s="19">
        <v>41.2</v>
      </c>
      <c r="HO1331" s="19">
        <v>40.9</v>
      </c>
      <c r="HP1331" s="19">
        <v>40.2</v>
      </c>
      <c r="HQ1331" s="19">
        <v>51.3</v>
      </c>
      <c r="HR1331" s="19">
        <v>73.7</v>
      </c>
      <c r="HS1331" s="19">
        <v>72.4</v>
      </c>
      <c r="HT1331" s="19">
        <v>71.4</v>
      </c>
      <c r="HU1331" s="19">
        <v>71</v>
      </c>
      <c r="HV1331" s="19">
        <v>90.8</v>
      </c>
      <c r="HW1331" s="19">
        <v>89.8</v>
      </c>
      <c r="HX1331" s="19">
        <v>88.8</v>
      </c>
      <c r="HY1331" s="19">
        <v>87.8</v>
      </c>
      <c r="HZ1331" s="19">
        <v>86.8</v>
      </c>
      <c r="IA1331" s="19">
        <v>85.8</v>
      </c>
      <c r="IB1331" s="19">
        <v>84.8</v>
      </c>
      <c r="IC1331" s="19">
        <v>83.7</v>
      </c>
    </row>
    <row r="1332">
      <c r="A1332" s="2" t="s">
        <v>5148</v>
      </c>
      <c r="B1332" s="2" t="s">
        <v>871</v>
      </c>
      <c r="C1332" s="2" t="s">
        <v>606</v>
      </c>
      <c r="D1332" s="2" t="s">
        <v>361</v>
      </c>
      <c r="E1332" s="2" t="s">
        <v>872</v>
      </c>
      <c r="F1332" s="2" t="s">
        <v>5105</v>
      </c>
      <c r="G1332" s="2" t="s">
        <v>5106</v>
      </c>
      <c r="H1332" s="2" t="s">
        <v>5107</v>
      </c>
      <c r="I1332" s="2" t="s">
        <v>5108</v>
      </c>
      <c r="J1332" s="2" t="s">
        <v>270</v>
      </c>
      <c r="K1332" s="2" t="s">
        <v>316</v>
      </c>
      <c r="L1332" s="3">
        <v>35.71</v>
      </c>
      <c r="M1332" s="3">
        <v>37.5</v>
      </c>
      <c r="N1332" s="3">
        <v>74.99</v>
      </c>
      <c r="O1332" s="2" t="s">
        <v>232</v>
      </c>
      <c r="P1332" s="2" t="s">
        <v>878</v>
      </c>
      <c r="Q1332" s="2" t="s">
        <v>234</v>
      </c>
      <c r="R1332" s="2" t="s">
        <v>235</v>
      </c>
      <c r="S1332" s="2" t="s">
        <v>235</v>
      </c>
      <c r="T1332" s="2" t="s">
        <v>879</v>
      </c>
      <c r="U1332" s="2" t="s">
        <v>742</v>
      </c>
      <c r="V1332" s="2" t="s">
        <v>420</v>
      </c>
      <c r="W1332" s="2" t="s">
        <v>682</v>
      </c>
      <c r="X1332" s="2" t="s">
        <v>682</v>
      </c>
      <c r="Y1332" s="2" t="s">
        <v>4811</v>
      </c>
      <c r="Z1332" s="4">
        <v>451</v>
      </c>
      <c r="AA1332" s="4">
        <f>=ROUNDDOWN(751.666666666667,0)</f>
      </c>
      <c r="AB1332" s="5">
        <v>0.6</v>
      </c>
      <c r="AC1332" s="2" t="s">
        <v>235</v>
      </c>
      <c r="AD1332" s="4"/>
      <c r="AE1332" s="4"/>
      <c r="AF1332" s="6">
        <v>64</v>
      </c>
      <c r="AG1332" s="6">
        <v>47</v>
      </c>
      <c r="AH1332" s="7">
        <v>1</v>
      </c>
      <c r="AI1332" s="4"/>
      <c r="AJ1332" s="4">
        <f>=ROUNDDOWN({0},0)</f>
      </c>
      <c r="AK1332" s="5"/>
      <c r="AL1332" s="2" t="s">
        <v>235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235</v>
      </c>
      <c r="AW1332" s="8" t="s">
        <v>235</v>
      </c>
      <c r="AX1332" s="4" t="s">
        <v>235</v>
      </c>
      <c r="AY1332" s="8" t="s">
        <v>235</v>
      </c>
      <c r="AZ1332" s="7" t="s">
        <v>235</v>
      </c>
      <c r="BA1332" s="7" t="s">
        <v>235</v>
      </c>
      <c r="BB1332" s="7" t="s">
        <v>235</v>
      </c>
      <c r="BC1332" s="4" t="s">
        <v>235</v>
      </c>
      <c r="BD1332" s="8" t="s">
        <v>235</v>
      </c>
      <c r="BE1332" s="4" t="s">
        <v>235</v>
      </c>
      <c r="BF1332" s="8" t="s">
        <v>235</v>
      </c>
      <c r="BG1332" s="7" t="s">
        <v>235</v>
      </c>
      <c r="BH1332" s="7" t="s">
        <v>235</v>
      </c>
      <c r="BI1332" s="7"/>
      <c r="BJ1332" s="4">
        <v>8</v>
      </c>
      <c r="BK1332" s="8">
        <v>461.6</v>
      </c>
      <c r="BL1332" s="2" t="s">
        <v>2683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5110</v>
      </c>
      <c r="BV1332" s="2" t="s">
        <v>235</v>
      </c>
      <c r="BW1332" s="2" t="s">
        <v>235</v>
      </c>
      <c r="BX1332" s="2" t="s">
        <v>619</v>
      </c>
      <c r="BY1332" s="2" t="s">
        <v>245</v>
      </c>
      <c r="BZ1332" s="2" t="s">
        <v>232</v>
      </c>
      <c r="CA1332" s="2" t="s">
        <v>235</v>
      </c>
      <c r="CB1332" s="2" t="s">
        <v>235</v>
      </c>
      <c r="CC1332" s="2" t="s">
        <v>248</v>
      </c>
      <c r="CD1332" s="2" t="s">
        <v>248</v>
      </c>
      <c r="CE1332" s="2" t="s">
        <v>235</v>
      </c>
      <c r="CF1332" s="4">
        <v>185</v>
      </c>
      <c r="CG1332" s="4"/>
      <c r="CH1332" s="4"/>
      <c r="CI1332" s="4">
        <v>266</v>
      </c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>
        <v>451</v>
      </c>
      <c r="GE1332" s="4">
        <v>446</v>
      </c>
      <c r="GF1332" s="4">
        <v>442</v>
      </c>
      <c r="GG1332" s="4">
        <v>438</v>
      </c>
      <c r="GH1332" s="4">
        <v>434</v>
      </c>
      <c r="GI1332" s="4">
        <v>429</v>
      </c>
      <c r="GJ1332" s="4">
        <v>424</v>
      </c>
      <c r="GK1332" s="4">
        <v>419</v>
      </c>
      <c r="GL1332" s="4">
        <v>415</v>
      </c>
      <c r="GM1332" s="4">
        <v>410</v>
      </c>
      <c r="GN1332" s="4">
        <v>405</v>
      </c>
      <c r="GO1332" s="4">
        <v>400</v>
      </c>
      <c r="GP1332" s="4">
        <v>392</v>
      </c>
      <c r="GQ1332" s="4">
        <v>384</v>
      </c>
      <c r="GR1332" s="4">
        <v>377</v>
      </c>
      <c r="GS1332" s="4">
        <v>372</v>
      </c>
      <c r="GT1332" s="4">
        <v>367</v>
      </c>
      <c r="GU1332" s="4">
        <v>363</v>
      </c>
      <c r="GV1332" s="4">
        <v>400</v>
      </c>
      <c r="GW1332" s="4">
        <v>396</v>
      </c>
      <c r="GX1332" s="4">
        <v>392</v>
      </c>
      <c r="GY1332" s="4">
        <v>388</v>
      </c>
      <c r="GZ1332" s="4">
        <v>384</v>
      </c>
      <c r="HA1332" s="4">
        <v>380</v>
      </c>
      <c r="HB1332" s="4">
        <v>376</v>
      </c>
      <c r="HC1332" s="4">
        <v>372</v>
      </c>
      <c r="HD1332" s="19">
        <v>163.9</v>
      </c>
      <c r="HE1332" s="19">
        <v>162.4</v>
      </c>
      <c r="HF1332" s="19">
        <v>95.6</v>
      </c>
      <c r="HG1332" s="19">
        <v>94.9</v>
      </c>
      <c r="HH1332" s="19">
        <v>94.1</v>
      </c>
      <c r="HI1332" s="19">
        <v>93.1</v>
      </c>
      <c r="HJ1332" s="19">
        <v>149.4</v>
      </c>
      <c r="HK1332" s="19">
        <v>148</v>
      </c>
      <c r="HL1332" s="19">
        <v>147.2</v>
      </c>
      <c r="HM1332" s="19">
        <v>79</v>
      </c>
      <c r="HN1332" s="19">
        <v>78.3</v>
      </c>
      <c r="HO1332" s="19">
        <v>77.7</v>
      </c>
      <c r="HP1332" s="19">
        <v>76.6</v>
      </c>
      <c r="HQ1332" s="19">
        <v>140.7</v>
      </c>
      <c r="HR1332" s="19">
        <v>139</v>
      </c>
      <c r="HS1332" s="19">
        <v>143.4</v>
      </c>
      <c r="HT1332" s="19">
        <v>142.2</v>
      </c>
      <c r="HU1332" s="19">
        <v>141.2</v>
      </c>
      <c r="HV1332" s="19">
        <v>147</v>
      </c>
      <c r="HW1332" s="19">
        <v>146</v>
      </c>
      <c r="HX1332" s="19">
        <v>145</v>
      </c>
      <c r="HY1332" s="19">
        <v>144</v>
      </c>
      <c r="HZ1332" s="19">
        <v>143</v>
      </c>
      <c r="IA1332" s="19">
        <v>142</v>
      </c>
      <c r="IB1332" s="19">
        <v>141</v>
      </c>
      <c r="IC1332" s="19">
        <v>140</v>
      </c>
    </row>
    <row r="1333">
      <c r="A1333" s="2" t="s">
        <v>5149</v>
      </c>
      <c r="B1333" s="2" t="s">
        <v>871</v>
      </c>
      <c r="C1333" s="2" t="s">
        <v>606</v>
      </c>
      <c r="D1333" s="2" t="s">
        <v>906</v>
      </c>
      <c r="E1333" s="2" t="s">
        <v>1301</v>
      </c>
      <c r="F1333" s="2" t="s">
        <v>5105</v>
      </c>
      <c r="G1333" s="2" t="s">
        <v>5106</v>
      </c>
      <c r="H1333" s="2" t="s">
        <v>5107</v>
      </c>
      <c r="I1333" s="2" t="s">
        <v>5112</v>
      </c>
      <c r="J1333" s="2" t="s">
        <v>270</v>
      </c>
      <c r="K1333" s="2" t="s">
        <v>316</v>
      </c>
      <c r="L1333" s="3">
        <v>23.8</v>
      </c>
      <c r="M1333" s="3">
        <v>24.99</v>
      </c>
      <c r="N1333" s="3">
        <v>49.99</v>
      </c>
      <c r="O1333" s="2" t="s">
        <v>232</v>
      </c>
      <c r="P1333" s="2" t="s">
        <v>878</v>
      </c>
      <c r="Q1333" s="2" t="s">
        <v>234</v>
      </c>
      <c r="R1333" s="2" t="s">
        <v>235</v>
      </c>
      <c r="S1333" s="2" t="s">
        <v>235</v>
      </c>
      <c r="T1333" s="2" t="s">
        <v>879</v>
      </c>
      <c r="U1333" s="2" t="s">
        <v>552</v>
      </c>
      <c r="V1333" s="2" t="s">
        <v>420</v>
      </c>
      <c r="W1333" s="2" t="s">
        <v>682</v>
      </c>
      <c r="X1333" s="2" t="s">
        <v>682</v>
      </c>
      <c r="Y1333" s="2" t="s">
        <v>4811</v>
      </c>
      <c r="Z1333" s="4">
        <v>178</v>
      </c>
      <c r="AA1333" s="4">
        <f>=ROUNDDOWN(32.962962962963,0)</f>
      </c>
      <c r="AB1333" s="5">
        <v>5.4</v>
      </c>
      <c r="AC1333" s="2" t="s">
        <v>4370</v>
      </c>
      <c r="AD1333" s="4">
        <v>236</v>
      </c>
      <c r="AE1333" s="4">
        <v>236</v>
      </c>
      <c r="AF1333" s="6">
        <v>64</v>
      </c>
      <c r="AG1333" s="6">
        <v>47</v>
      </c>
      <c r="AH1333" s="7">
        <v>1</v>
      </c>
      <c r="AI1333" s="4"/>
      <c r="AJ1333" s="4">
        <f>=ROUNDDOWN({0},0)</f>
      </c>
      <c r="AK1333" s="5"/>
      <c r="AL1333" s="2" t="s">
        <v>235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235</v>
      </c>
      <c r="AW1333" s="8" t="s">
        <v>235</v>
      </c>
      <c r="AX1333" s="4" t="s">
        <v>235</v>
      </c>
      <c r="AY1333" s="8" t="s">
        <v>235</v>
      </c>
      <c r="AZ1333" s="7" t="s">
        <v>235</v>
      </c>
      <c r="BA1333" s="7" t="s">
        <v>235</v>
      </c>
      <c r="BB1333" s="7" t="s">
        <v>235</v>
      </c>
      <c r="BC1333" s="4" t="s">
        <v>235</v>
      </c>
      <c r="BD1333" s="8" t="s">
        <v>235</v>
      </c>
      <c r="BE1333" s="4" t="s">
        <v>235</v>
      </c>
      <c r="BF1333" s="8" t="s">
        <v>235</v>
      </c>
      <c r="BG1333" s="7" t="s">
        <v>235</v>
      </c>
      <c r="BH1333" s="7" t="s">
        <v>235</v>
      </c>
      <c r="BI1333" s="7"/>
      <c r="BJ1333" s="4"/>
      <c r="BK1333" s="8"/>
      <c r="BL1333" s="2" t="s">
        <v>235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5113</v>
      </c>
      <c r="BV1333" s="2" t="s">
        <v>235</v>
      </c>
      <c r="BW1333" s="2" t="s">
        <v>235</v>
      </c>
      <c r="BX1333" s="2" t="s">
        <v>619</v>
      </c>
      <c r="BY1333" s="2" t="s">
        <v>245</v>
      </c>
      <c r="BZ1333" s="2" t="s">
        <v>232</v>
      </c>
      <c r="CA1333" s="2" t="s">
        <v>235</v>
      </c>
      <c r="CB1333" s="2" t="s">
        <v>235</v>
      </c>
      <c r="CC1333" s="2" t="s">
        <v>248</v>
      </c>
      <c r="CD1333" s="2" t="s">
        <v>248</v>
      </c>
      <c r="CE1333" s="2" t="s">
        <v>235</v>
      </c>
      <c r="CF1333" s="4">
        <v>143</v>
      </c>
      <c r="CG1333" s="4"/>
      <c r="CH1333" s="4"/>
      <c r="CI1333" s="4">
        <v>35</v>
      </c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>
        <v>236</v>
      </c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>
        <v>187</v>
      </c>
      <c r="GE1333" s="4">
        <v>407</v>
      </c>
      <c r="GF1333" s="4">
        <v>401</v>
      </c>
      <c r="GG1333" s="4">
        <v>394</v>
      </c>
      <c r="GH1333" s="4">
        <v>387</v>
      </c>
      <c r="GI1333" s="4">
        <v>379</v>
      </c>
      <c r="GJ1333" s="4">
        <v>371</v>
      </c>
      <c r="GK1333" s="4">
        <v>363</v>
      </c>
      <c r="GL1333" s="4">
        <v>356</v>
      </c>
      <c r="GM1333" s="4">
        <v>349</v>
      </c>
      <c r="GN1333" s="4">
        <v>341</v>
      </c>
      <c r="GO1333" s="4">
        <v>332</v>
      </c>
      <c r="GP1333" s="4">
        <v>319</v>
      </c>
      <c r="GQ1333" s="4">
        <v>304</v>
      </c>
      <c r="GR1333" s="4">
        <v>291</v>
      </c>
      <c r="GS1333" s="4">
        <v>283</v>
      </c>
      <c r="GT1333" s="4">
        <v>275</v>
      </c>
      <c r="GU1333" s="4">
        <v>267</v>
      </c>
      <c r="GV1333" s="4">
        <v>571</v>
      </c>
      <c r="GW1333" s="4">
        <v>564</v>
      </c>
      <c r="GX1333" s="4">
        <v>557</v>
      </c>
      <c r="GY1333" s="4">
        <v>550</v>
      </c>
      <c r="GZ1333" s="4">
        <v>543</v>
      </c>
      <c r="HA1333" s="4">
        <v>536</v>
      </c>
      <c r="HB1333" s="4">
        <v>529</v>
      </c>
      <c r="HC1333" s="4">
        <v>521</v>
      </c>
      <c r="HD1333" s="19">
        <v>28.8</v>
      </c>
      <c r="HE1333" s="19">
        <v>148.1</v>
      </c>
      <c r="HF1333" s="19">
        <v>147.2</v>
      </c>
      <c r="HG1333" s="19">
        <v>144.7</v>
      </c>
      <c r="HH1333" s="19">
        <v>143.8</v>
      </c>
      <c r="HI1333" s="19">
        <v>144.1</v>
      </c>
      <c r="HJ1333" s="19">
        <v>143</v>
      </c>
      <c r="HK1333" s="19">
        <v>140.8</v>
      </c>
      <c r="HL1333" s="19">
        <v>139.1</v>
      </c>
      <c r="HM1333" s="19">
        <v>70.7</v>
      </c>
      <c r="HN1333" s="19">
        <v>69.7</v>
      </c>
      <c r="HO1333" s="19">
        <v>69.4</v>
      </c>
      <c r="HP1333" s="19">
        <v>68.4</v>
      </c>
      <c r="HQ1333" s="19">
        <v>132.8</v>
      </c>
      <c r="HR1333" s="19">
        <v>131.4</v>
      </c>
      <c r="HS1333" s="19">
        <v>130.4</v>
      </c>
      <c r="HT1333" s="19">
        <v>129.6</v>
      </c>
      <c r="HU1333" s="19">
        <v>128.5</v>
      </c>
      <c r="HV1333" s="19">
        <v>153.4</v>
      </c>
      <c r="HW1333" s="19">
        <v>152.4</v>
      </c>
      <c r="HX1333" s="19">
        <v>151.4</v>
      </c>
      <c r="HY1333" s="19">
        <v>150.4</v>
      </c>
      <c r="HZ1333" s="19">
        <v>149.4</v>
      </c>
      <c r="IA1333" s="19">
        <v>148.4</v>
      </c>
      <c r="IB1333" s="19">
        <v>147.4</v>
      </c>
      <c r="IC1333" s="19">
        <v>146.4</v>
      </c>
    </row>
    <row r="1334">
      <c r="A1334" s="2" t="s">
        <v>5150</v>
      </c>
      <c r="B1334" s="2" t="s">
        <v>871</v>
      </c>
      <c r="C1334" s="2" t="s">
        <v>606</v>
      </c>
      <c r="D1334" s="2" t="s">
        <v>361</v>
      </c>
      <c r="E1334" s="2" t="s">
        <v>872</v>
      </c>
      <c r="F1334" s="2" t="s">
        <v>5105</v>
      </c>
      <c r="G1334" s="2" t="s">
        <v>5106</v>
      </c>
      <c r="H1334" s="2" t="s">
        <v>5107</v>
      </c>
      <c r="I1334" s="2" t="s">
        <v>5108</v>
      </c>
      <c r="J1334" s="2" t="s">
        <v>272</v>
      </c>
      <c r="K1334" s="2" t="s">
        <v>316</v>
      </c>
      <c r="L1334" s="3">
        <v>38.09</v>
      </c>
      <c r="M1334" s="3">
        <v>39.99</v>
      </c>
      <c r="N1334" s="3">
        <v>79.99</v>
      </c>
      <c r="O1334" s="2" t="s">
        <v>232</v>
      </c>
      <c r="P1334" s="2" t="s">
        <v>878</v>
      </c>
      <c r="Q1334" s="2" t="s">
        <v>234</v>
      </c>
      <c r="R1334" s="2" t="s">
        <v>235</v>
      </c>
      <c r="S1334" s="2" t="s">
        <v>235</v>
      </c>
      <c r="T1334" s="2" t="s">
        <v>879</v>
      </c>
      <c r="U1334" s="2" t="s">
        <v>742</v>
      </c>
      <c r="V1334" s="2" t="s">
        <v>420</v>
      </c>
      <c r="W1334" s="2" t="s">
        <v>682</v>
      </c>
      <c r="X1334" s="2" t="s">
        <v>682</v>
      </c>
      <c r="Y1334" s="2" t="s">
        <v>4811</v>
      </c>
      <c r="Z1334" s="4">
        <v>260</v>
      </c>
      <c r="AA1334" s="4">
        <f>=ROUNDDOWN(520,0)</f>
      </c>
      <c r="AB1334" s="5">
        <v>0.5</v>
      </c>
      <c r="AC1334" s="2" t="s">
        <v>235</v>
      </c>
      <c r="AD1334" s="4"/>
      <c r="AE1334" s="4"/>
      <c r="AF1334" s="6">
        <v>64</v>
      </c>
      <c r="AG1334" s="6">
        <v>47</v>
      </c>
      <c r="AH1334" s="7">
        <v>1</v>
      </c>
      <c r="AI1334" s="4"/>
      <c r="AJ1334" s="4">
        <f>=ROUNDDOWN({0},0)</f>
      </c>
      <c r="AK1334" s="5"/>
      <c r="AL1334" s="2" t="s">
        <v>235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235</v>
      </c>
      <c r="AW1334" s="8" t="s">
        <v>235</v>
      </c>
      <c r="AX1334" s="4" t="s">
        <v>235</v>
      </c>
      <c r="AY1334" s="8" t="s">
        <v>235</v>
      </c>
      <c r="AZ1334" s="7" t="s">
        <v>235</v>
      </c>
      <c r="BA1334" s="7" t="s">
        <v>235</v>
      </c>
      <c r="BB1334" s="7" t="s">
        <v>235</v>
      </c>
      <c r="BC1334" s="4" t="s">
        <v>235</v>
      </c>
      <c r="BD1334" s="8" t="s">
        <v>235</v>
      </c>
      <c r="BE1334" s="4" t="s">
        <v>235</v>
      </c>
      <c r="BF1334" s="8" t="s">
        <v>235</v>
      </c>
      <c r="BG1334" s="7" t="s">
        <v>235</v>
      </c>
      <c r="BH1334" s="7" t="s">
        <v>235</v>
      </c>
      <c r="BI1334" s="7"/>
      <c r="BJ1334" s="4">
        <v>7</v>
      </c>
      <c r="BK1334" s="8">
        <v>423.5</v>
      </c>
      <c r="BL1334" s="2" t="s">
        <v>2683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5110</v>
      </c>
      <c r="BV1334" s="2" t="s">
        <v>235</v>
      </c>
      <c r="BW1334" s="2" t="s">
        <v>235</v>
      </c>
      <c r="BX1334" s="2" t="s">
        <v>619</v>
      </c>
      <c r="BY1334" s="2" t="s">
        <v>245</v>
      </c>
      <c r="BZ1334" s="2" t="s">
        <v>232</v>
      </c>
      <c r="CA1334" s="2" t="s">
        <v>235</v>
      </c>
      <c r="CB1334" s="2" t="s">
        <v>235</v>
      </c>
      <c r="CC1334" s="2" t="s">
        <v>248</v>
      </c>
      <c r="CD1334" s="2" t="s">
        <v>248</v>
      </c>
      <c r="CE1334" s="2" t="s">
        <v>235</v>
      </c>
      <c r="CF1334" s="4">
        <v>120</v>
      </c>
      <c r="CG1334" s="4"/>
      <c r="CH1334" s="4"/>
      <c r="CI1334" s="4">
        <v>140</v>
      </c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>
        <v>260</v>
      </c>
      <c r="GE1334" s="4">
        <v>253</v>
      </c>
      <c r="GF1334" s="4">
        <v>248</v>
      </c>
      <c r="GG1334" s="4">
        <v>243</v>
      </c>
      <c r="GH1334" s="4">
        <v>238</v>
      </c>
      <c r="GI1334" s="4">
        <v>232</v>
      </c>
      <c r="GJ1334" s="4">
        <v>226</v>
      </c>
      <c r="GK1334" s="4">
        <v>220</v>
      </c>
      <c r="GL1334" s="4">
        <v>215</v>
      </c>
      <c r="GM1334" s="4">
        <v>209</v>
      </c>
      <c r="GN1334" s="4">
        <v>203</v>
      </c>
      <c r="GO1334" s="4">
        <v>197</v>
      </c>
      <c r="GP1334" s="4">
        <v>187</v>
      </c>
      <c r="GQ1334" s="4">
        <v>177</v>
      </c>
      <c r="GR1334" s="4">
        <v>168</v>
      </c>
      <c r="GS1334" s="4">
        <v>162</v>
      </c>
      <c r="GT1334" s="4">
        <v>156</v>
      </c>
      <c r="GU1334" s="4">
        <v>151</v>
      </c>
      <c r="GV1334" s="4">
        <v>337</v>
      </c>
      <c r="GW1334" s="4">
        <v>332</v>
      </c>
      <c r="GX1334" s="4">
        <v>327</v>
      </c>
      <c r="GY1334" s="4">
        <v>322</v>
      </c>
      <c r="GZ1334" s="4">
        <v>317</v>
      </c>
      <c r="HA1334" s="4">
        <v>312</v>
      </c>
      <c r="HB1334" s="4">
        <v>307</v>
      </c>
      <c r="HC1334" s="4">
        <v>301</v>
      </c>
      <c r="HD1334" s="19">
        <v>85</v>
      </c>
      <c r="HE1334" s="19">
        <v>83.4</v>
      </c>
      <c r="HF1334" s="19">
        <v>48.2</v>
      </c>
      <c r="HG1334" s="19">
        <v>47.4</v>
      </c>
      <c r="HH1334" s="19">
        <v>46.7</v>
      </c>
      <c r="HI1334" s="19">
        <v>45.7</v>
      </c>
      <c r="HJ1334" s="19">
        <v>77.4</v>
      </c>
      <c r="HK1334" s="19">
        <v>73.6</v>
      </c>
      <c r="HL1334" s="19">
        <v>71.3</v>
      </c>
      <c r="HM1334" s="19">
        <v>38.6</v>
      </c>
      <c r="HN1334" s="19">
        <v>37</v>
      </c>
      <c r="HO1334" s="19">
        <v>36.4</v>
      </c>
      <c r="HP1334" s="19">
        <v>36.1</v>
      </c>
      <c r="HQ1334" s="19">
        <v>66.1</v>
      </c>
      <c r="HR1334" s="19">
        <v>65.7</v>
      </c>
      <c r="HS1334" s="19">
        <v>64.5</v>
      </c>
      <c r="HT1334" s="19">
        <v>63.4</v>
      </c>
      <c r="HU1334" s="19">
        <v>62.4</v>
      </c>
      <c r="HV1334" s="19">
        <v>85.3</v>
      </c>
      <c r="HW1334" s="19">
        <v>84.3</v>
      </c>
      <c r="HX1334" s="19">
        <v>83.3</v>
      </c>
      <c r="HY1334" s="19">
        <v>82.3</v>
      </c>
      <c r="HZ1334" s="19">
        <v>81.3</v>
      </c>
      <c r="IA1334" s="19">
        <v>80.3</v>
      </c>
      <c r="IB1334" s="19">
        <v>79.3</v>
      </c>
      <c r="IC1334" s="19">
        <v>78.2</v>
      </c>
    </row>
    <row r="1335">
      <c r="A1335" s="2" t="s">
        <v>5151</v>
      </c>
      <c r="B1335" s="2" t="s">
        <v>871</v>
      </c>
      <c r="C1335" s="2" t="s">
        <v>606</v>
      </c>
      <c r="D1335" s="2" t="s">
        <v>906</v>
      </c>
      <c r="E1335" s="2" t="s">
        <v>1301</v>
      </c>
      <c r="F1335" s="2" t="s">
        <v>5105</v>
      </c>
      <c r="G1335" s="2" t="s">
        <v>5106</v>
      </c>
      <c r="H1335" s="2" t="s">
        <v>5107</v>
      </c>
      <c r="I1335" s="2" t="s">
        <v>5112</v>
      </c>
      <c r="J1335" s="2" t="s">
        <v>272</v>
      </c>
      <c r="K1335" s="2" t="s">
        <v>316</v>
      </c>
      <c r="L1335" s="3">
        <v>26.19</v>
      </c>
      <c r="M1335" s="3">
        <v>27.5</v>
      </c>
      <c r="N1335" s="3">
        <v>54.99</v>
      </c>
      <c r="O1335" s="2" t="s">
        <v>232</v>
      </c>
      <c r="P1335" s="2" t="s">
        <v>878</v>
      </c>
      <c r="Q1335" s="2" t="s">
        <v>234</v>
      </c>
      <c r="R1335" s="2" t="s">
        <v>235</v>
      </c>
      <c r="S1335" s="2" t="s">
        <v>235</v>
      </c>
      <c r="T1335" s="2" t="s">
        <v>879</v>
      </c>
      <c r="U1335" s="2" t="s">
        <v>552</v>
      </c>
      <c r="V1335" s="2" t="s">
        <v>420</v>
      </c>
      <c r="W1335" s="2" t="s">
        <v>682</v>
      </c>
      <c r="X1335" s="2" t="s">
        <v>682</v>
      </c>
      <c r="Y1335" s="2" t="s">
        <v>4811</v>
      </c>
      <c r="Z1335" s="4">
        <v>148</v>
      </c>
      <c r="AA1335" s="4">
        <f>=ROUNDDOWN({0},0)</f>
      </c>
      <c r="AB1335" s="5"/>
      <c r="AC1335" s="2" t="s">
        <v>235</v>
      </c>
      <c r="AD1335" s="4"/>
      <c r="AE1335" s="4"/>
      <c r="AF1335" s="6">
        <v>64</v>
      </c>
      <c r="AG1335" s="6">
        <v>47</v>
      </c>
      <c r="AH1335" s="7">
        <v>1</v>
      </c>
      <c r="AI1335" s="4"/>
      <c r="AJ1335" s="4">
        <f>=ROUNDDOWN({0},0)</f>
      </c>
      <c r="AK1335" s="5"/>
      <c r="AL1335" s="2" t="s">
        <v>235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235</v>
      </c>
      <c r="AW1335" s="8" t="s">
        <v>235</v>
      </c>
      <c r="AX1335" s="4" t="s">
        <v>235</v>
      </c>
      <c r="AY1335" s="8" t="s">
        <v>235</v>
      </c>
      <c r="AZ1335" s="7" t="s">
        <v>235</v>
      </c>
      <c r="BA1335" s="7" t="s">
        <v>235</v>
      </c>
      <c r="BB1335" s="7" t="s">
        <v>235</v>
      </c>
      <c r="BC1335" s="4" t="s">
        <v>235</v>
      </c>
      <c r="BD1335" s="8" t="s">
        <v>235</v>
      </c>
      <c r="BE1335" s="4" t="s">
        <v>235</v>
      </c>
      <c r="BF1335" s="8" t="s">
        <v>235</v>
      </c>
      <c r="BG1335" s="7" t="s">
        <v>235</v>
      </c>
      <c r="BH1335" s="7" t="s">
        <v>235</v>
      </c>
      <c r="BI1335" s="7"/>
      <c r="BJ1335" s="4"/>
      <c r="BK1335" s="8"/>
      <c r="BL1335" s="2" t="s">
        <v>235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5113</v>
      </c>
      <c r="BV1335" s="2" t="s">
        <v>235</v>
      </c>
      <c r="BW1335" s="2" t="s">
        <v>235</v>
      </c>
      <c r="BX1335" s="2" t="s">
        <v>619</v>
      </c>
      <c r="BY1335" s="2" t="s">
        <v>245</v>
      </c>
      <c r="BZ1335" s="2" t="s">
        <v>232</v>
      </c>
      <c r="CA1335" s="2" t="s">
        <v>235</v>
      </c>
      <c r="CB1335" s="2" t="s">
        <v>235</v>
      </c>
      <c r="CC1335" s="2" t="s">
        <v>248</v>
      </c>
      <c r="CD1335" s="2" t="s">
        <v>248</v>
      </c>
      <c r="CE1335" s="2" t="s">
        <v>235</v>
      </c>
      <c r="CF1335" s="4">
        <v>60</v>
      </c>
      <c r="CG1335" s="4"/>
      <c r="CH1335" s="4"/>
      <c r="CI1335" s="4">
        <v>88</v>
      </c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>
        <v>148</v>
      </c>
      <c r="GE1335" s="4">
        <v>97</v>
      </c>
      <c r="GF1335" s="4">
        <v>89</v>
      </c>
      <c r="GG1335" s="4">
        <v>80</v>
      </c>
      <c r="GH1335" s="4">
        <v>70</v>
      </c>
      <c r="GI1335" s="4">
        <v>57</v>
      </c>
      <c r="GJ1335" s="4">
        <v>42</v>
      </c>
      <c r="GK1335" s="4">
        <v>29</v>
      </c>
      <c r="GL1335" s="4">
        <v>21</v>
      </c>
      <c r="GM1335" s="4">
        <v>13</v>
      </c>
      <c r="GN1335" s="4">
        <v>6</v>
      </c>
      <c r="GO1335" s="4">
        <v>4</v>
      </c>
      <c r="GP1335" s="4"/>
      <c r="GQ1335" s="4"/>
      <c r="GR1335" s="4"/>
      <c r="GS1335" s="4">
        <v>147</v>
      </c>
      <c r="GT1335" s="4">
        <v>110</v>
      </c>
      <c r="GU1335" s="4">
        <v>103</v>
      </c>
      <c r="GV1335" s="4">
        <v>363</v>
      </c>
      <c r="GW1335" s="4">
        <v>355</v>
      </c>
      <c r="GX1335" s="4">
        <v>347</v>
      </c>
      <c r="GY1335" s="4">
        <v>339</v>
      </c>
      <c r="GZ1335" s="4">
        <v>331</v>
      </c>
      <c r="HA1335" s="4">
        <v>323</v>
      </c>
      <c r="HB1335" s="4">
        <v>315</v>
      </c>
      <c r="HC1335" s="4">
        <v>307</v>
      </c>
      <c r="HD1335" s="19">
        <v>13</v>
      </c>
      <c r="HE1335" s="19">
        <v>9.7</v>
      </c>
      <c r="HF1335" s="19">
        <v>6.5</v>
      </c>
      <c r="HG1335" s="19">
        <v>5.1</v>
      </c>
      <c r="HH1335" s="19">
        <v>2.9</v>
      </c>
      <c r="HI1335" s="19">
        <v>2.6</v>
      </c>
      <c r="HJ1335" s="19">
        <v>2.4</v>
      </c>
      <c r="HK1335" s="19">
        <v>2.4</v>
      </c>
      <c r="HL1335" s="19">
        <v>2.1</v>
      </c>
      <c r="HM1335" s="19">
        <v>1.7</v>
      </c>
      <c r="HN1335" s="19">
        <v>1.5</v>
      </c>
      <c r="HO1335" s="19">
        <v>1</v>
      </c>
      <c r="HP1335" s="20">
        <v>0</v>
      </c>
      <c r="HQ1335" s="20">
        <v>0</v>
      </c>
      <c r="HR1335" s="20">
        <v>0</v>
      </c>
      <c r="HS1335" s="19">
        <v>5.3</v>
      </c>
      <c r="HT1335" s="19">
        <v>11</v>
      </c>
      <c r="HU1335" s="19">
        <v>12.9</v>
      </c>
      <c r="HV1335" s="19">
        <v>46.1</v>
      </c>
      <c r="HW1335" s="19">
        <v>45.1</v>
      </c>
      <c r="HX1335" s="19">
        <v>44.1</v>
      </c>
      <c r="HY1335" s="19">
        <v>43.1</v>
      </c>
      <c r="HZ1335" s="19">
        <v>42.1</v>
      </c>
      <c r="IA1335" s="19">
        <v>41.1</v>
      </c>
      <c r="IB1335" s="19">
        <v>40.1</v>
      </c>
      <c r="IC1335" s="19">
        <v>39.1</v>
      </c>
    </row>
    <row r="1336">
      <c r="A1336" s="2" t="s">
        <v>5152</v>
      </c>
      <c r="B1336" s="2" t="s">
        <v>871</v>
      </c>
      <c r="C1336" s="2" t="s">
        <v>324</v>
      </c>
      <c r="D1336" s="2" t="s">
        <v>906</v>
      </c>
      <c r="E1336" s="2" t="s">
        <v>1301</v>
      </c>
      <c r="F1336" s="2" t="s">
        <v>4324</v>
      </c>
      <c r="G1336" s="2" t="s">
        <v>5153</v>
      </c>
      <c r="H1336" s="2" t="s">
        <v>5154</v>
      </c>
      <c r="I1336" s="2" t="s">
        <v>5155</v>
      </c>
      <c r="J1336" s="2" t="s">
        <v>372</v>
      </c>
      <c r="K1336" s="2" t="s">
        <v>5156</v>
      </c>
      <c r="L1336" s="3">
        <v>59.99</v>
      </c>
      <c r="M1336" s="3">
        <v>62.99</v>
      </c>
      <c r="N1336" s="3">
        <v>119.99</v>
      </c>
      <c r="O1336" s="2" t="s">
        <v>232</v>
      </c>
      <c r="P1336" s="2" t="s">
        <v>336</v>
      </c>
      <c r="Q1336" s="2" t="s">
        <v>234</v>
      </c>
      <c r="R1336" s="2" t="s">
        <v>235</v>
      </c>
      <c r="S1336" s="2" t="s">
        <v>5157</v>
      </c>
      <c r="T1336" s="2" t="s">
        <v>2235</v>
      </c>
      <c r="U1336" s="2" t="s">
        <v>614</v>
      </c>
      <c r="V1336" s="2" t="s">
        <v>880</v>
      </c>
      <c r="W1336" s="2" t="s">
        <v>1029</v>
      </c>
      <c r="X1336" s="2" t="s">
        <v>5158</v>
      </c>
      <c r="Y1336" s="2" t="s">
        <v>240</v>
      </c>
      <c r="Z1336" s="4">
        <v>157</v>
      </c>
      <c r="AA1336" s="4">
        <f>=ROUNDDOWN(26.1666666666667,0)</f>
      </c>
      <c r="AB1336" s="5">
        <v>6</v>
      </c>
      <c r="AC1336" s="2" t="s">
        <v>235</v>
      </c>
      <c r="AD1336" s="4"/>
      <c r="AE1336" s="4"/>
      <c r="AF1336" s="6">
        <v>78</v>
      </c>
      <c r="AG1336" s="6"/>
      <c r="AH1336" s="7">
        <v>0.1613</v>
      </c>
      <c r="AI1336" s="4"/>
      <c r="AJ1336" s="4">
        <f>=ROUNDDOWN({0},0)</f>
      </c>
      <c r="AK1336" s="5"/>
      <c r="AL1336" s="2" t="s">
        <v>235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2</v>
      </c>
      <c r="BK1336" s="8">
        <v>239.98</v>
      </c>
      <c r="BL1336" s="2" t="s">
        <v>5159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5160</v>
      </c>
      <c r="BV1336" s="2" t="s">
        <v>243</v>
      </c>
      <c r="BW1336" s="2" t="s">
        <v>235</v>
      </c>
      <c r="BX1336" s="2" t="s">
        <v>244</v>
      </c>
      <c r="BY1336" s="2" t="s">
        <v>245</v>
      </c>
      <c r="BZ1336" s="2" t="s">
        <v>232</v>
      </c>
      <c r="CA1336" s="2" t="s">
        <v>252</v>
      </c>
      <c r="CB1336" s="2" t="s">
        <v>5161</v>
      </c>
      <c r="CC1336" s="2" t="s">
        <v>248</v>
      </c>
      <c r="CD1336" s="2" t="s">
        <v>248</v>
      </c>
      <c r="CE1336" s="2" t="s">
        <v>235</v>
      </c>
      <c r="CF1336" s="4">
        <v>157</v>
      </c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>
        <v>158</v>
      </c>
      <c r="GE1336" s="4">
        <v>139</v>
      </c>
      <c r="GF1336" s="4">
        <v>135</v>
      </c>
      <c r="GG1336" s="4">
        <v>131</v>
      </c>
      <c r="GH1336" s="4">
        <v>125</v>
      </c>
      <c r="GI1336" s="4">
        <v>119</v>
      </c>
      <c r="GJ1336" s="4">
        <v>110</v>
      </c>
      <c r="GK1336" s="4">
        <v>102</v>
      </c>
      <c r="GL1336" s="4">
        <v>94</v>
      </c>
      <c r="GM1336" s="4">
        <v>88</v>
      </c>
      <c r="GN1336" s="4">
        <v>84</v>
      </c>
      <c r="GO1336" s="4">
        <v>80</v>
      </c>
      <c r="GP1336" s="4">
        <v>72</v>
      </c>
      <c r="GQ1336" s="4">
        <v>59</v>
      </c>
      <c r="GR1336" s="4">
        <v>47</v>
      </c>
      <c r="GS1336" s="4">
        <v>38</v>
      </c>
      <c r="GT1336" s="4">
        <v>33</v>
      </c>
      <c r="GU1336" s="4">
        <v>28</v>
      </c>
      <c r="GV1336" s="4">
        <v>24</v>
      </c>
      <c r="GW1336" s="4">
        <v>17</v>
      </c>
      <c r="GX1336" s="4">
        <v>12</v>
      </c>
      <c r="GY1336" s="4">
        <v>97</v>
      </c>
      <c r="GZ1336" s="4">
        <v>90</v>
      </c>
      <c r="HA1336" s="4">
        <v>85</v>
      </c>
      <c r="HB1336" s="4">
        <v>79</v>
      </c>
      <c r="HC1336" s="4">
        <v>73</v>
      </c>
      <c r="HD1336" s="19">
        <v>19.8</v>
      </c>
      <c r="HE1336" s="19">
        <v>27.8</v>
      </c>
      <c r="HF1336" s="19">
        <v>22.5</v>
      </c>
      <c r="HG1336" s="19">
        <v>18.7</v>
      </c>
      <c r="HH1336" s="19">
        <v>15.6</v>
      </c>
      <c r="HI1336" s="19">
        <v>14.9</v>
      </c>
      <c r="HJ1336" s="19">
        <v>18.3</v>
      </c>
      <c r="HK1336" s="19">
        <v>17</v>
      </c>
      <c r="HL1336" s="19">
        <v>15.7</v>
      </c>
      <c r="HM1336" s="19">
        <v>12.6</v>
      </c>
      <c r="HN1336" s="19">
        <v>9.3</v>
      </c>
      <c r="HO1336" s="19">
        <v>8</v>
      </c>
      <c r="HP1336" s="19">
        <v>7.2</v>
      </c>
      <c r="HQ1336" s="19">
        <v>7.4</v>
      </c>
      <c r="HR1336" s="19">
        <v>7.8</v>
      </c>
      <c r="HS1336" s="19">
        <v>7.6</v>
      </c>
      <c r="HT1336" s="19">
        <v>6.6</v>
      </c>
      <c r="HU1336" s="19">
        <v>5.6</v>
      </c>
      <c r="HV1336" s="19">
        <v>4</v>
      </c>
      <c r="HW1336" s="19">
        <v>2.8</v>
      </c>
      <c r="HX1336" s="19">
        <v>2</v>
      </c>
      <c r="HY1336" s="19">
        <v>16.2</v>
      </c>
      <c r="HZ1336" s="19">
        <v>18</v>
      </c>
      <c r="IA1336" s="19">
        <v>17</v>
      </c>
      <c r="IB1336" s="19">
        <v>15.8</v>
      </c>
      <c r="IC1336" s="19">
        <v>14.6</v>
      </c>
    </row>
    <row r="1337">
      <c r="A1337" s="2" t="s">
        <v>5162</v>
      </c>
      <c r="B1337" s="2" t="s">
        <v>1071</v>
      </c>
      <c r="C1337" s="2" t="s">
        <v>1085</v>
      </c>
      <c r="D1337" s="2" t="s">
        <v>1818</v>
      </c>
      <c r="E1337" s="2" t="s">
        <v>1819</v>
      </c>
      <c r="F1337" s="2" t="s">
        <v>5163</v>
      </c>
      <c r="G1337" s="2" t="s">
        <v>5163</v>
      </c>
      <c r="H1337" s="2" t="s">
        <v>5163</v>
      </c>
      <c r="I1337" s="2" t="s">
        <v>5164</v>
      </c>
      <c r="J1337" s="2" t="s">
        <v>897</v>
      </c>
      <c r="K1337" s="2" t="s">
        <v>612</v>
      </c>
      <c r="L1337" s="3">
        <v>167</v>
      </c>
      <c r="M1337" s="3">
        <v>175.35</v>
      </c>
      <c r="N1337" s="3">
        <v>349</v>
      </c>
      <c r="O1337" s="2" t="s">
        <v>232</v>
      </c>
      <c r="P1337" s="2" t="s">
        <v>878</v>
      </c>
      <c r="Q1337" s="2" t="s">
        <v>234</v>
      </c>
      <c r="R1337" s="2" t="s">
        <v>235</v>
      </c>
      <c r="S1337" s="2" t="s">
        <v>235</v>
      </c>
      <c r="T1337" s="2" t="s">
        <v>235</v>
      </c>
      <c r="U1337" s="2" t="s">
        <v>807</v>
      </c>
      <c r="V1337" s="2" t="s">
        <v>330</v>
      </c>
      <c r="W1337" s="2" t="s">
        <v>882</v>
      </c>
      <c r="X1337" s="2" t="s">
        <v>966</v>
      </c>
      <c r="Y1337" s="2" t="s">
        <v>1089</v>
      </c>
      <c r="Z1337" s="4">
        <v>389</v>
      </c>
      <c r="AA1337" s="4">
        <f>=ROUNDDOWN(194.5,0)</f>
      </c>
      <c r="AB1337" s="5">
        <v>2</v>
      </c>
      <c r="AC1337" s="2" t="s">
        <v>235</v>
      </c>
      <c r="AD1337" s="4"/>
      <c r="AE1337" s="4"/>
      <c r="AF1337" s="6">
        <v>74</v>
      </c>
      <c r="AG1337" s="6"/>
      <c r="AH1337" s="7">
        <v>1</v>
      </c>
      <c r="AI1337" s="4"/>
      <c r="AJ1337" s="4">
        <f>=ROUNDDOWN({0},0)</f>
      </c>
      <c r="AK1337" s="5"/>
      <c r="AL1337" s="2" t="s">
        <v>235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 t="s">
        <v>235</v>
      </c>
      <c r="BD1337" s="8" t="s">
        <v>235</v>
      </c>
      <c r="BE1337" s="4" t="s">
        <v>235</v>
      </c>
      <c r="BF1337" s="8" t="s">
        <v>235</v>
      </c>
      <c r="BG1337" s="7" t="s">
        <v>235</v>
      </c>
      <c r="BH1337" s="7" t="s">
        <v>235</v>
      </c>
      <c r="BI1337" s="7"/>
      <c r="BJ1337" s="4">
        <v>5</v>
      </c>
      <c r="BK1337" s="8">
        <v>957.4</v>
      </c>
      <c r="BL1337" s="2" t="s">
        <v>1770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5165</v>
      </c>
      <c r="BV1337" s="2" t="s">
        <v>235</v>
      </c>
      <c r="BW1337" s="2" t="s">
        <v>235</v>
      </c>
      <c r="BX1337" s="2" t="s">
        <v>244</v>
      </c>
      <c r="BY1337" s="2" t="s">
        <v>245</v>
      </c>
      <c r="BZ1337" s="2" t="s">
        <v>232</v>
      </c>
      <c r="CA1337" s="2" t="s">
        <v>235</v>
      </c>
      <c r="CB1337" s="2" t="s">
        <v>235</v>
      </c>
      <c r="CC1337" s="2" t="s">
        <v>248</v>
      </c>
      <c r="CD1337" s="2" t="s">
        <v>248</v>
      </c>
      <c r="CE1337" s="2" t="s">
        <v>235</v>
      </c>
      <c r="CF1337" s="4"/>
      <c r="CG1337" s="4">
        <v>389</v>
      </c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>
        <v>391</v>
      </c>
      <c r="GE1337" s="4">
        <v>380</v>
      </c>
      <c r="GF1337" s="4">
        <v>378</v>
      </c>
      <c r="GG1337" s="4">
        <v>376</v>
      </c>
      <c r="GH1337" s="4">
        <v>374</v>
      </c>
      <c r="GI1337" s="4">
        <v>372</v>
      </c>
      <c r="GJ1337" s="4">
        <v>370</v>
      </c>
      <c r="GK1337" s="4">
        <v>368</v>
      </c>
      <c r="GL1337" s="4">
        <v>366</v>
      </c>
      <c r="GM1337" s="4">
        <v>364</v>
      </c>
      <c r="GN1337" s="4">
        <v>362</v>
      </c>
      <c r="GO1337" s="4">
        <v>360</v>
      </c>
      <c r="GP1337" s="4">
        <v>358</v>
      </c>
      <c r="GQ1337" s="4">
        <v>355</v>
      </c>
      <c r="GR1337" s="4">
        <v>353</v>
      </c>
      <c r="GS1337" s="4">
        <v>351</v>
      </c>
      <c r="GT1337" s="4">
        <v>349</v>
      </c>
      <c r="GU1337" s="4">
        <v>347</v>
      </c>
      <c r="GV1337" s="4">
        <v>345</v>
      </c>
      <c r="GW1337" s="4">
        <v>343</v>
      </c>
      <c r="GX1337" s="4">
        <v>341</v>
      </c>
      <c r="GY1337" s="4">
        <v>339</v>
      </c>
      <c r="GZ1337" s="4">
        <v>337</v>
      </c>
      <c r="HA1337" s="4">
        <v>335</v>
      </c>
      <c r="HB1337" s="4">
        <v>333</v>
      </c>
      <c r="HC1337" s="4">
        <v>331</v>
      </c>
      <c r="HD1337" s="19">
        <v>97.8</v>
      </c>
      <c r="HE1337" s="19">
        <v>190</v>
      </c>
      <c r="HF1337" s="19">
        <v>189</v>
      </c>
      <c r="HG1337" s="19">
        <v>188</v>
      </c>
      <c r="HH1337" s="19">
        <v>187</v>
      </c>
      <c r="HI1337" s="19">
        <v>186</v>
      </c>
      <c r="HJ1337" s="19">
        <v>185</v>
      </c>
      <c r="HK1337" s="19">
        <v>184</v>
      </c>
      <c r="HL1337" s="19">
        <v>183</v>
      </c>
      <c r="HM1337" s="19">
        <v>182</v>
      </c>
      <c r="HN1337" s="19">
        <v>181</v>
      </c>
      <c r="HO1337" s="19">
        <v>180</v>
      </c>
      <c r="HP1337" s="19">
        <v>179</v>
      </c>
      <c r="HQ1337" s="19">
        <v>177.5</v>
      </c>
      <c r="HR1337" s="19">
        <v>176.5</v>
      </c>
      <c r="HS1337" s="19">
        <v>175.5</v>
      </c>
      <c r="HT1337" s="19">
        <v>174.5</v>
      </c>
      <c r="HU1337" s="19">
        <v>173.5</v>
      </c>
      <c r="HV1337" s="19">
        <v>172.5</v>
      </c>
      <c r="HW1337" s="19">
        <v>171.5</v>
      </c>
      <c r="HX1337" s="19">
        <v>170.5</v>
      </c>
      <c r="HY1337" s="19">
        <v>169.5</v>
      </c>
      <c r="HZ1337" s="19">
        <v>168.5</v>
      </c>
      <c r="IA1337" s="19">
        <v>167.5</v>
      </c>
      <c r="IB1337" s="19">
        <v>166.5</v>
      </c>
      <c r="IC1337" s="19">
        <v>165.5</v>
      </c>
    </row>
    <row r="1338">
      <c r="A1338" s="2" t="s">
        <v>5166</v>
      </c>
      <c r="B1338" s="2" t="s">
        <v>1071</v>
      </c>
      <c r="C1338" s="2" t="s">
        <v>1085</v>
      </c>
      <c r="D1338" s="2" t="s">
        <v>1818</v>
      </c>
      <c r="E1338" s="2" t="s">
        <v>1819</v>
      </c>
      <c r="F1338" s="2" t="s">
        <v>5163</v>
      </c>
      <c r="G1338" s="2" t="s">
        <v>5163</v>
      </c>
      <c r="H1338" s="2" t="s">
        <v>5163</v>
      </c>
      <c r="I1338" s="2" t="s">
        <v>5164</v>
      </c>
      <c r="J1338" s="2" t="s">
        <v>897</v>
      </c>
      <c r="K1338" s="2" t="s">
        <v>292</v>
      </c>
      <c r="L1338" s="3">
        <v>167</v>
      </c>
      <c r="M1338" s="3">
        <v>175.35</v>
      </c>
      <c r="N1338" s="3">
        <v>349</v>
      </c>
      <c r="O1338" s="2" t="s">
        <v>232</v>
      </c>
      <c r="P1338" s="2" t="s">
        <v>878</v>
      </c>
      <c r="Q1338" s="2" t="s">
        <v>234</v>
      </c>
      <c r="R1338" s="2" t="s">
        <v>235</v>
      </c>
      <c r="S1338" s="2" t="s">
        <v>235</v>
      </c>
      <c r="T1338" s="2" t="s">
        <v>235</v>
      </c>
      <c r="U1338" s="2" t="s">
        <v>807</v>
      </c>
      <c r="V1338" s="2" t="s">
        <v>238</v>
      </c>
      <c r="W1338" s="2" t="s">
        <v>882</v>
      </c>
      <c r="X1338" s="2" t="s">
        <v>966</v>
      </c>
      <c r="Y1338" s="2" t="s">
        <v>5167</v>
      </c>
      <c r="Z1338" s="4">
        <v>121</v>
      </c>
      <c r="AA1338" s="4">
        <f>=ROUNDDOWN(60.5,0)</f>
      </c>
      <c r="AB1338" s="5">
        <v>2</v>
      </c>
      <c r="AC1338" s="2" t="s">
        <v>235</v>
      </c>
      <c r="AD1338" s="4"/>
      <c r="AE1338" s="4"/>
      <c r="AF1338" s="6">
        <v>74</v>
      </c>
      <c r="AG1338" s="6"/>
      <c r="AH1338" s="7">
        <v>1</v>
      </c>
      <c r="AI1338" s="4"/>
      <c r="AJ1338" s="4">
        <f>=ROUNDDOWN({0},0)</f>
      </c>
      <c r="AK1338" s="5"/>
      <c r="AL1338" s="2" t="s">
        <v>235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 t="s">
        <v>235</v>
      </c>
      <c r="BD1338" s="8" t="s">
        <v>235</v>
      </c>
      <c r="BE1338" s="4" t="s">
        <v>235</v>
      </c>
      <c r="BF1338" s="8" t="s">
        <v>235</v>
      </c>
      <c r="BG1338" s="7" t="s">
        <v>235</v>
      </c>
      <c r="BH1338" s="7" t="s">
        <v>235</v>
      </c>
      <c r="BI1338" s="7"/>
      <c r="BJ1338" s="4">
        <v>1</v>
      </c>
      <c r="BK1338" s="8">
        <v>192.88</v>
      </c>
      <c r="BL1338" s="2" t="s">
        <v>1461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5165</v>
      </c>
      <c r="BV1338" s="2" t="s">
        <v>235</v>
      </c>
      <c r="BW1338" s="2" t="s">
        <v>235</v>
      </c>
      <c r="BX1338" s="2" t="s">
        <v>244</v>
      </c>
      <c r="BY1338" s="2" t="s">
        <v>245</v>
      </c>
      <c r="BZ1338" s="2" t="s">
        <v>232</v>
      </c>
      <c r="CA1338" s="2" t="s">
        <v>235</v>
      </c>
      <c r="CB1338" s="2" t="s">
        <v>235</v>
      </c>
      <c r="CC1338" s="2" t="s">
        <v>248</v>
      </c>
      <c r="CD1338" s="2" t="s">
        <v>248</v>
      </c>
      <c r="CE1338" s="2" t="s">
        <v>235</v>
      </c>
      <c r="CF1338" s="4"/>
      <c r="CG1338" s="4">
        <v>121</v>
      </c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>
        <v>122</v>
      </c>
      <c r="GE1338" s="4">
        <v>112</v>
      </c>
      <c r="GF1338" s="4">
        <v>110</v>
      </c>
      <c r="GG1338" s="4">
        <v>108</v>
      </c>
      <c r="GH1338" s="4">
        <v>106</v>
      </c>
      <c r="GI1338" s="4">
        <v>104</v>
      </c>
      <c r="GJ1338" s="4">
        <v>102</v>
      </c>
      <c r="GK1338" s="4">
        <v>100</v>
      </c>
      <c r="GL1338" s="4">
        <v>98</v>
      </c>
      <c r="GM1338" s="4">
        <v>96</v>
      </c>
      <c r="GN1338" s="4">
        <v>94</v>
      </c>
      <c r="GO1338" s="4">
        <v>92</v>
      </c>
      <c r="GP1338" s="4">
        <v>90</v>
      </c>
      <c r="GQ1338" s="4">
        <v>87</v>
      </c>
      <c r="GR1338" s="4">
        <v>85</v>
      </c>
      <c r="GS1338" s="4">
        <v>83</v>
      </c>
      <c r="GT1338" s="4">
        <v>81</v>
      </c>
      <c r="GU1338" s="4">
        <v>79</v>
      </c>
      <c r="GV1338" s="4">
        <v>77</v>
      </c>
      <c r="GW1338" s="4">
        <v>75</v>
      </c>
      <c r="GX1338" s="4">
        <v>73</v>
      </c>
      <c r="GY1338" s="4">
        <v>71</v>
      </c>
      <c r="GZ1338" s="4">
        <v>69</v>
      </c>
      <c r="HA1338" s="4">
        <v>67</v>
      </c>
      <c r="HB1338" s="4">
        <v>65</v>
      </c>
      <c r="HC1338" s="4">
        <v>63</v>
      </c>
      <c r="HD1338" s="19">
        <v>30.5</v>
      </c>
      <c r="HE1338" s="19">
        <v>56</v>
      </c>
      <c r="HF1338" s="19">
        <v>55</v>
      </c>
      <c r="HG1338" s="19">
        <v>54</v>
      </c>
      <c r="HH1338" s="19">
        <v>53</v>
      </c>
      <c r="HI1338" s="19">
        <v>52</v>
      </c>
      <c r="HJ1338" s="19">
        <v>51</v>
      </c>
      <c r="HK1338" s="19">
        <v>50</v>
      </c>
      <c r="HL1338" s="19">
        <v>49</v>
      </c>
      <c r="HM1338" s="19">
        <v>48</v>
      </c>
      <c r="HN1338" s="19">
        <v>47</v>
      </c>
      <c r="HO1338" s="19">
        <v>46</v>
      </c>
      <c r="HP1338" s="19">
        <v>45</v>
      </c>
      <c r="HQ1338" s="19">
        <v>43.5</v>
      </c>
      <c r="HR1338" s="19">
        <v>42.5</v>
      </c>
      <c r="HS1338" s="19">
        <v>41.5</v>
      </c>
      <c r="HT1338" s="19">
        <v>40.5</v>
      </c>
      <c r="HU1338" s="19">
        <v>39.5</v>
      </c>
      <c r="HV1338" s="19">
        <v>38.5</v>
      </c>
      <c r="HW1338" s="19">
        <v>37.5</v>
      </c>
      <c r="HX1338" s="19">
        <v>36.5</v>
      </c>
      <c r="HY1338" s="19">
        <v>35.5</v>
      </c>
      <c r="HZ1338" s="19">
        <v>34.5</v>
      </c>
      <c r="IA1338" s="19">
        <v>33.5</v>
      </c>
      <c r="IB1338" s="19">
        <v>32.5</v>
      </c>
      <c r="IC1338" s="19">
        <v>31.5</v>
      </c>
    </row>
    <row r="1339">
      <c r="A1339" s="2" t="s">
        <v>5168</v>
      </c>
      <c r="B1339" s="2" t="s">
        <v>871</v>
      </c>
      <c r="C1339" s="2" t="s">
        <v>1561</v>
      </c>
      <c r="D1339" s="2" t="s">
        <v>361</v>
      </c>
      <c r="E1339" s="2" t="s">
        <v>872</v>
      </c>
      <c r="F1339" s="2" t="s">
        <v>5169</v>
      </c>
      <c r="G1339" s="2" t="s">
        <v>5169</v>
      </c>
      <c r="H1339" s="2" t="s">
        <v>5169</v>
      </c>
      <c r="I1339" s="2" t="s">
        <v>5170</v>
      </c>
      <c r="J1339" s="2" t="s">
        <v>272</v>
      </c>
      <c r="K1339" s="2" t="s">
        <v>612</v>
      </c>
      <c r="L1339" s="3">
        <v>204.28</v>
      </c>
      <c r="M1339" s="3">
        <v>214.49</v>
      </c>
      <c r="N1339" s="3">
        <v>599.99</v>
      </c>
      <c r="O1339" s="2" t="s">
        <v>232</v>
      </c>
      <c r="P1339" s="2" t="s">
        <v>624</v>
      </c>
      <c r="Q1339" s="2" t="s">
        <v>234</v>
      </c>
      <c r="R1339" s="2" t="s">
        <v>235</v>
      </c>
      <c r="S1339" s="2" t="s">
        <v>235</v>
      </c>
      <c r="T1339" s="2" t="s">
        <v>235</v>
      </c>
      <c r="U1339" s="2" t="s">
        <v>264</v>
      </c>
      <c r="V1339" s="2" t="s">
        <v>1843</v>
      </c>
      <c r="W1339" s="2" t="s">
        <v>671</v>
      </c>
      <c r="X1339" s="2" t="s">
        <v>235</v>
      </c>
      <c r="Y1339" s="2" t="s">
        <v>2437</v>
      </c>
      <c r="Z1339" s="4">
        <v>37</v>
      </c>
      <c r="AA1339" s="4">
        <f>=ROUNDDOWN(37,0)</f>
      </c>
      <c r="AB1339" s="5">
        <v>1</v>
      </c>
      <c r="AC1339" s="2" t="s">
        <v>235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235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/>
      <c r="BD1339" s="8"/>
      <c r="BE1339" s="4"/>
      <c r="BF1339" s="8"/>
      <c r="BG1339" s="7"/>
      <c r="BH1339" s="7"/>
      <c r="BI1339" s="7"/>
      <c r="BJ1339" s="4"/>
      <c r="BK1339" s="8"/>
      <c r="BL1339" s="2" t="s">
        <v>235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5171</v>
      </c>
      <c r="BV1339" s="2" t="s">
        <v>243</v>
      </c>
      <c r="BW1339" s="2" t="s">
        <v>235</v>
      </c>
      <c r="BX1339" s="2" t="s">
        <v>414</v>
      </c>
      <c r="BY1339" s="2" t="s">
        <v>245</v>
      </c>
      <c r="BZ1339" s="2" t="s">
        <v>232</v>
      </c>
      <c r="CA1339" s="2" t="s">
        <v>1577</v>
      </c>
      <c r="CB1339" s="2" t="s">
        <v>5172</v>
      </c>
      <c r="CC1339" s="2" t="s">
        <v>248</v>
      </c>
      <c r="CD1339" s="2" t="s">
        <v>248</v>
      </c>
      <c r="CE1339" s="2" t="s">
        <v>235</v>
      </c>
      <c r="CF1339" s="4">
        <v>37</v>
      </c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>
        <v>37</v>
      </c>
      <c r="GE1339" s="4">
        <v>36</v>
      </c>
      <c r="GF1339" s="4">
        <v>35</v>
      </c>
      <c r="GG1339" s="4">
        <v>34</v>
      </c>
      <c r="GH1339" s="4">
        <v>33</v>
      </c>
      <c r="GI1339" s="4">
        <v>32</v>
      </c>
      <c r="GJ1339" s="4">
        <v>31</v>
      </c>
      <c r="GK1339" s="4">
        <v>30</v>
      </c>
      <c r="GL1339" s="4">
        <v>29</v>
      </c>
      <c r="GM1339" s="4">
        <v>28</v>
      </c>
      <c r="GN1339" s="4">
        <v>27</v>
      </c>
      <c r="GO1339" s="4">
        <v>25</v>
      </c>
      <c r="GP1339" s="4">
        <v>23</v>
      </c>
      <c r="GQ1339" s="4">
        <v>20</v>
      </c>
      <c r="GR1339" s="4">
        <v>18</v>
      </c>
      <c r="GS1339" s="4">
        <v>16</v>
      </c>
      <c r="GT1339" s="4">
        <v>15</v>
      </c>
      <c r="GU1339" s="4">
        <v>14</v>
      </c>
      <c r="GV1339" s="4">
        <v>13</v>
      </c>
      <c r="GW1339" s="4">
        <v>12</v>
      </c>
      <c r="GX1339" s="4">
        <v>11</v>
      </c>
      <c r="GY1339" s="4">
        <v>10</v>
      </c>
      <c r="GZ1339" s="4">
        <v>9</v>
      </c>
      <c r="HA1339" s="4">
        <v>8</v>
      </c>
      <c r="HB1339" s="4">
        <v>7</v>
      </c>
      <c r="HC1339" s="4">
        <v>6</v>
      </c>
      <c r="HD1339" s="19">
        <v>37</v>
      </c>
      <c r="HE1339" s="19">
        <v>36</v>
      </c>
      <c r="HF1339" s="19">
        <v>35</v>
      </c>
      <c r="HG1339" s="19">
        <v>34</v>
      </c>
      <c r="HH1339" s="19">
        <v>33</v>
      </c>
      <c r="HI1339" s="19">
        <v>32</v>
      </c>
      <c r="HJ1339" s="19">
        <v>31</v>
      </c>
      <c r="HK1339" s="19">
        <v>30</v>
      </c>
      <c r="HL1339" s="19">
        <v>14.5</v>
      </c>
      <c r="HM1339" s="19">
        <v>14</v>
      </c>
      <c r="HN1339" s="19">
        <v>13.5</v>
      </c>
      <c r="HO1339" s="19">
        <v>12.5</v>
      </c>
      <c r="HP1339" s="19">
        <v>11.5</v>
      </c>
      <c r="HQ1339" s="19">
        <v>10</v>
      </c>
      <c r="HR1339" s="19">
        <v>18</v>
      </c>
      <c r="HS1339" s="19">
        <v>16</v>
      </c>
      <c r="HT1339" s="19">
        <v>15</v>
      </c>
      <c r="HU1339" s="19">
        <v>14</v>
      </c>
      <c r="HV1339" s="19">
        <v>13</v>
      </c>
      <c r="HW1339" s="19">
        <v>12</v>
      </c>
      <c r="HX1339" s="19">
        <v>11</v>
      </c>
      <c r="HY1339" s="19">
        <v>10</v>
      </c>
      <c r="HZ1339" s="19">
        <v>9</v>
      </c>
      <c r="IA1339" s="19">
        <v>8</v>
      </c>
      <c r="IB1339" s="19">
        <v>7</v>
      </c>
      <c r="IC1339" s="19">
        <v>6</v>
      </c>
    </row>
    <row r="1340">
      <c r="A1340" s="2" t="s">
        <v>5173</v>
      </c>
      <c r="B1340" s="2" t="s">
        <v>871</v>
      </c>
      <c r="C1340" s="2" t="s">
        <v>324</v>
      </c>
      <c r="D1340" s="2" t="s">
        <v>361</v>
      </c>
      <c r="E1340" s="2" t="s">
        <v>872</v>
      </c>
      <c r="F1340" s="2" t="s">
        <v>5174</v>
      </c>
      <c r="G1340" s="2" t="s">
        <v>5175</v>
      </c>
      <c r="H1340" s="2" t="s">
        <v>5176</v>
      </c>
      <c r="I1340" s="2" t="s">
        <v>1753</v>
      </c>
      <c r="J1340" s="2" t="s">
        <v>365</v>
      </c>
      <c r="K1340" s="2" t="s">
        <v>5177</v>
      </c>
      <c r="L1340" s="3">
        <v>45.49</v>
      </c>
      <c r="M1340" s="3">
        <v>47.76</v>
      </c>
      <c r="N1340" s="3">
        <v>99.99</v>
      </c>
      <c r="O1340" s="2" t="s">
        <v>407</v>
      </c>
      <c r="P1340" s="2" t="s">
        <v>408</v>
      </c>
      <c r="Q1340" s="2" t="s">
        <v>234</v>
      </c>
      <c r="R1340" s="2" t="s">
        <v>235</v>
      </c>
      <c r="S1340" s="2" t="s">
        <v>5178</v>
      </c>
      <c r="T1340" s="2" t="s">
        <v>1298</v>
      </c>
      <c r="U1340" s="2" t="s">
        <v>614</v>
      </c>
      <c r="V1340" s="2" t="s">
        <v>420</v>
      </c>
      <c r="W1340" s="2" t="s">
        <v>671</v>
      </c>
      <c r="X1340" s="2" t="s">
        <v>1157</v>
      </c>
      <c r="Y1340" s="2" t="s">
        <v>5179</v>
      </c>
      <c r="Z1340" s="4">
        <v>166</v>
      </c>
      <c r="AA1340" s="4">
        <f>=ROUNDDOWN(27.6666666666667,0)</f>
      </c>
      <c r="AB1340" s="5">
        <v>6</v>
      </c>
      <c r="AC1340" s="2" t="s">
        <v>235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235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235</v>
      </c>
      <c r="AW1340" s="8" t="s">
        <v>235</v>
      </c>
      <c r="AX1340" s="4" t="s">
        <v>235</v>
      </c>
      <c r="AY1340" s="8" t="s">
        <v>235</v>
      </c>
      <c r="AZ1340" s="7" t="s">
        <v>235</v>
      </c>
      <c r="BA1340" s="7" t="s">
        <v>235</v>
      </c>
      <c r="BB1340" s="7"/>
      <c r="BC1340" s="4" t="s">
        <v>235</v>
      </c>
      <c r="BD1340" s="8" t="s">
        <v>235</v>
      </c>
      <c r="BE1340" s="4" t="s">
        <v>235</v>
      </c>
      <c r="BF1340" s="8" t="s">
        <v>235</v>
      </c>
      <c r="BG1340" s="7" t="s">
        <v>235</v>
      </c>
      <c r="BH1340" s="7" t="s">
        <v>235</v>
      </c>
      <c r="BI1340" s="7"/>
      <c r="BJ1340" s="4">
        <v>13</v>
      </c>
      <c r="BK1340" s="8">
        <v>675.12</v>
      </c>
      <c r="BL1340" s="2" t="s">
        <v>5180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5181</v>
      </c>
      <c r="BV1340" s="2" t="s">
        <v>243</v>
      </c>
      <c r="BW1340" s="2" t="s">
        <v>235</v>
      </c>
      <c r="BX1340" s="2" t="s">
        <v>244</v>
      </c>
      <c r="BY1340" s="2" t="s">
        <v>245</v>
      </c>
      <c r="BZ1340" s="2" t="s">
        <v>232</v>
      </c>
      <c r="CA1340" s="2" t="s">
        <v>1526</v>
      </c>
      <c r="CB1340" s="2" t="s">
        <v>3189</v>
      </c>
      <c r="CC1340" s="2" t="s">
        <v>248</v>
      </c>
      <c r="CD1340" s="2" t="s">
        <v>248</v>
      </c>
      <c r="CE1340" s="2" t="s">
        <v>235</v>
      </c>
      <c r="CF1340" s="4">
        <v>166</v>
      </c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>
        <v>168</v>
      </c>
      <c r="GE1340" s="4">
        <v>159</v>
      </c>
      <c r="GF1340" s="4">
        <v>153</v>
      </c>
      <c r="GG1340" s="4">
        <v>147</v>
      </c>
      <c r="GH1340" s="4">
        <v>141</v>
      </c>
      <c r="GI1340" s="4">
        <v>135</v>
      </c>
      <c r="GJ1340" s="4">
        <v>128</v>
      </c>
      <c r="GK1340" s="4">
        <v>121</v>
      </c>
      <c r="GL1340" s="4">
        <v>114</v>
      </c>
      <c r="GM1340" s="4">
        <v>107</v>
      </c>
      <c r="GN1340" s="4">
        <v>100</v>
      </c>
      <c r="GO1340" s="4">
        <v>91</v>
      </c>
      <c r="GP1340" s="4">
        <v>81</v>
      </c>
      <c r="GQ1340" s="4">
        <v>62</v>
      </c>
      <c r="GR1340" s="4">
        <v>52</v>
      </c>
      <c r="GS1340" s="4">
        <v>43</v>
      </c>
      <c r="GT1340" s="4">
        <v>38</v>
      </c>
      <c r="GU1340" s="4">
        <v>34</v>
      </c>
      <c r="GV1340" s="4">
        <v>27</v>
      </c>
      <c r="GW1340" s="4">
        <v>21</v>
      </c>
      <c r="GX1340" s="4">
        <v>15</v>
      </c>
      <c r="GY1340" s="4">
        <v>9</v>
      </c>
      <c r="GZ1340" s="4">
        <v>3</v>
      </c>
      <c r="HA1340" s="4"/>
      <c r="HB1340" s="4"/>
      <c r="HC1340" s="4"/>
      <c r="HD1340" s="19">
        <v>24</v>
      </c>
      <c r="HE1340" s="19">
        <v>26.5</v>
      </c>
      <c r="HF1340" s="19">
        <v>25.5</v>
      </c>
      <c r="HG1340" s="19">
        <v>24.5</v>
      </c>
      <c r="HH1340" s="19">
        <v>20.1</v>
      </c>
      <c r="HI1340" s="19">
        <v>19.3</v>
      </c>
      <c r="HJ1340" s="19">
        <v>18.3</v>
      </c>
      <c r="HK1340" s="19">
        <v>15.1</v>
      </c>
      <c r="HL1340" s="19">
        <v>14.3</v>
      </c>
      <c r="HM1340" s="19">
        <v>9.7</v>
      </c>
      <c r="HN1340" s="19">
        <v>8.3</v>
      </c>
      <c r="HO1340" s="19">
        <v>7.6</v>
      </c>
      <c r="HP1340" s="19">
        <v>7.4</v>
      </c>
      <c r="HQ1340" s="19">
        <v>8.9</v>
      </c>
      <c r="HR1340" s="19">
        <v>8.7</v>
      </c>
      <c r="HS1340" s="19">
        <v>7.2</v>
      </c>
      <c r="HT1340" s="19">
        <v>6.3</v>
      </c>
      <c r="HU1340" s="19">
        <v>5.7</v>
      </c>
      <c r="HV1340" s="19">
        <v>4.5</v>
      </c>
      <c r="HW1340" s="19">
        <v>3.5</v>
      </c>
      <c r="HX1340" s="19">
        <v>2.5</v>
      </c>
      <c r="HY1340" s="19">
        <v>1.5</v>
      </c>
      <c r="HZ1340" s="19">
        <v>0.5</v>
      </c>
      <c r="IA1340" s="20">
        <v>0</v>
      </c>
      <c r="IB1340" s="20">
        <v>0</v>
      </c>
      <c r="IC1340" s="20">
        <v>0</v>
      </c>
    </row>
    <row r="1341">
      <c r="A1341" s="2" t="s">
        <v>5182</v>
      </c>
      <c r="B1341" s="2" t="s">
        <v>871</v>
      </c>
      <c r="C1341" s="2" t="s">
        <v>324</v>
      </c>
      <c r="D1341" s="2" t="s">
        <v>361</v>
      </c>
      <c r="E1341" s="2" t="s">
        <v>872</v>
      </c>
      <c r="F1341" s="2" t="s">
        <v>5174</v>
      </c>
      <c r="G1341" s="2" t="s">
        <v>5175</v>
      </c>
      <c r="H1341" s="2" t="s">
        <v>5176</v>
      </c>
      <c r="I1341" s="2" t="s">
        <v>1753</v>
      </c>
      <c r="J1341" s="2" t="s">
        <v>372</v>
      </c>
      <c r="K1341" s="2" t="s">
        <v>5177</v>
      </c>
      <c r="L1341" s="3">
        <v>50.44</v>
      </c>
      <c r="M1341" s="3">
        <v>52.96</v>
      </c>
      <c r="N1341" s="3">
        <v>114.99</v>
      </c>
      <c r="O1341" s="2" t="s">
        <v>407</v>
      </c>
      <c r="P1341" s="2" t="s">
        <v>408</v>
      </c>
      <c r="Q1341" s="2" t="s">
        <v>234</v>
      </c>
      <c r="R1341" s="2" t="s">
        <v>235</v>
      </c>
      <c r="S1341" s="2" t="s">
        <v>5178</v>
      </c>
      <c r="T1341" s="2" t="s">
        <v>1298</v>
      </c>
      <c r="U1341" s="2" t="s">
        <v>614</v>
      </c>
      <c r="V1341" s="2" t="s">
        <v>420</v>
      </c>
      <c r="W1341" s="2" t="s">
        <v>671</v>
      </c>
      <c r="X1341" s="2" t="s">
        <v>1157</v>
      </c>
      <c r="Y1341" s="2" t="s">
        <v>5179</v>
      </c>
      <c r="Z1341" s="4">
        <v>118</v>
      </c>
      <c r="AA1341" s="4">
        <f>=ROUNDDOWN(19.6666666666667,0)</f>
      </c>
      <c r="AB1341" s="5">
        <v>6</v>
      </c>
      <c r="AC1341" s="2" t="s">
        <v>235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235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235</v>
      </c>
      <c r="AW1341" s="8" t="s">
        <v>235</v>
      </c>
      <c r="AX1341" s="4" t="s">
        <v>235</v>
      </c>
      <c r="AY1341" s="8" t="s">
        <v>235</v>
      </c>
      <c r="AZ1341" s="7" t="s">
        <v>235</v>
      </c>
      <c r="BA1341" s="7" t="s">
        <v>235</v>
      </c>
      <c r="BB1341" s="7"/>
      <c r="BC1341" s="4" t="s">
        <v>235</v>
      </c>
      <c r="BD1341" s="8" t="s">
        <v>235</v>
      </c>
      <c r="BE1341" s="4" t="s">
        <v>235</v>
      </c>
      <c r="BF1341" s="8" t="s">
        <v>235</v>
      </c>
      <c r="BG1341" s="7" t="s">
        <v>235</v>
      </c>
      <c r="BH1341" s="7" t="s">
        <v>235</v>
      </c>
      <c r="BI1341" s="7"/>
      <c r="BJ1341" s="4">
        <v>17</v>
      </c>
      <c r="BK1341" s="8">
        <v>968.46</v>
      </c>
      <c r="BL1341" s="2" t="s">
        <v>5183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5181</v>
      </c>
      <c r="BV1341" s="2" t="s">
        <v>243</v>
      </c>
      <c r="BW1341" s="2" t="s">
        <v>235</v>
      </c>
      <c r="BX1341" s="2" t="s">
        <v>244</v>
      </c>
      <c r="BY1341" s="2" t="s">
        <v>245</v>
      </c>
      <c r="BZ1341" s="2" t="s">
        <v>232</v>
      </c>
      <c r="CA1341" s="2" t="s">
        <v>1526</v>
      </c>
      <c r="CB1341" s="2" t="s">
        <v>1426</v>
      </c>
      <c r="CC1341" s="2" t="s">
        <v>248</v>
      </c>
      <c r="CD1341" s="2" t="s">
        <v>248</v>
      </c>
      <c r="CE1341" s="2" t="s">
        <v>235</v>
      </c>
      <c r="CF1341" s="4">
        <v>118</v>
      </c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>
        <v>121</v>
      </c>
      <c r="GE1341" s="4">
        <v>106</v>
      </c>
      <c r="GF1341" s="4">
        <v>100</v>
      </c>
      <c r="GG1341" s="4">
        <v>94</v>
      </c>
      <c r="GH1341" s="4">
        <v>87</v>
      </c>
      <c r="GI1341" s="4">
        <v>80</v>
      </c>
      <c r="GJ1341" s="4">
        <v>71</v>
      </c>
      <c r="GK1341" s="4">
        <v>63</v>
      </c>
      <c r="GL1341" s="4">
        <v>55</v>
      </c>
      <c r="GM1341" s="4">
        <v>48</v>
      </c>
      <c r="GN1341" s="4">
        <v>41</v>
      </c>
      <c r="GO1341" s="4">
        <v>32</v>
      </c>
      <c r="GP1341" s="4">
        <v>22</v>
      </c>
      <c r="GQ1341" s="4">
        <v>5</v>
      </c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19">
        <v>15.1</v>
      </c>
      <c r="HE1341" s="19">
        <v>17.7</v>
      </c>
      <c r="HF1341" s="19">
        <v>14.3</v>
      </c>
      <c r="HG1341" s="19">
        <v>11.8</v>
      </c>
      <c r="HH1341" s="19">
        <v>10.9</v>
      </c>
      <c r="HI1341" s="19">
        <v>10</v>
      </c>
      <c r="HJ1341" s="19">
        <v>8.9</v>
      </c>
      <c r="HK1341" s="19">
        <v>7.9</v>
      </c>
      <c r="HL1341" s="19">
        <v>6.9</v>
      </c>
      <c r="HM1341" s="19">
        <v>4.4</v>
      </c>
      <c r="HN1341" s="19">
        <v>3.7</v>
      </c>
      <c r="HO1341" s="19">
        <v>2.9</v>
      </c>
      <c r="HP1341" s="19">
        <v>2.2</v>
      </c>
      <c r="HQ1341" s="19">
        <v>0.8</v>
      </c>
      <c r="HR1341" s="20">
        <v>0</v>
      </c>
      <c r="HS1341" s="20">
        <v>0</v>
      </c>
      <c r="HT1341" s="20">
        <v>0</v>
      </c>
      <c r="HU1341" s="20">
        <v>0</v>
      </c>
      <c r="HV1341" s="20">
        <v>0</v>
      </c>
      <c r="HW1341" s="20">
        <v>0</v>
      </c>
      <c r="HX1341" s="20">
        <v>0</v>
      </c>
      <c r="HY1341" s="20">
        <v>0</v>
      </c>
      <c r="HZ1341" s="20">
        <v>0</v>
      </c>
      <c r="IA1341" s="20">
        <v>0</v>
      </c>
      <c r="IB1341" s="20">
        <v>0</v>
      </c>
      <c r="IC1341" s="20">
        <v>0</v>
      </c>
    </row>
    <row r="1342">
      <c r="A1342" s="2" t="s">
        <v>5184</v>
      </c>
      <c r="B1342" s="2" t="s">
        <v>605</v>
      </c>
      <c r="C1342" s="2" t="s">
        <v>360</v>
      </c>
      <c r="D1342" s="2" t="s">
        <v>607</v>
      </c>
      <c r="E1342" s="2" t="s">
        <v>608</v>
      </c>
      <c r="F1342" s="2" t="s">
        <v>5185</v>
      </c>
      <c r="G1342" s="2" t="s">
        <v>5185</v>
      </c>
      <c r="H1342" s="2" t="s">
        <v>5185</v>
      </c>
      <c r="I1342" s="2" t="s">
        <v>5186</v>
      </c>
      <c r="J1342" s="2" t="s">
        <v>611</v>
      </c>
      <c r="K1342" s="2" t="s">
        <v>292</v>
      </c>
      <c r="L1342" s="3">
        <v>42.75</v>
      </c>
      <c r="M1342" s="3">
        <v>44.89</v>
      </c>
      <c r="N1342" s="3">
        <v>94.99</v>
      </c>
      <c r="O1342" s="2" t="s">
        <v>407</v>
      </c>
      <c r="P1342" s="2" t="s">
        <v>408</v>
      </c>
      <c r="Q1342" s="2" t="s">
        <v>234</v>
      </c>
      <c r="R1342" s="2" t="s">
        <v>235</v>
      </c>
      <c r="S1342" s="2" t="s">
        <v>5187</v>
      </c>
      <c r="T1342" s="2" t="s">
        <v>263</v>
      </c>
      <c r="U1342" s="2" t="s">
        <v>614</v>
      </c>
      <c r="V1342" s="2" t="s">
        <v>238</v>
      </c>
      <c r="W1342" s="2" t="s">
        <v>329</v>
      </c>
      <c r="X1342" s="2" t="s">
        <v>1157</v>
      </c>
      <c r="Y1342" s="2" t="s">
        <v>919</v>
      </c>
      <c r="Z1342" s="4">
        <v>489</v>
      </c>
      <c r="AA1342" s="4">
        <f>=ROUNDDOWN(94.0384615384615,0)</f>
      </c>
      <c r="AB1342" s="5">
        <v>5.2</v>
      </c>
      <c r="AC1342" s="2" t="s">
        <v>235</v>
      </c>
      <c r="AD1342" s="4"/>
      <c r="AE1342" s="4"/>
      <c r="AF1342" s="6">
        <v>81</v>
      </c>
      <c r="AG1342" s="6"/>
      <c r="AH1342" s="7">
        <v>1</v>
      </c>
      <c r="AI1342" s="4"/>
      <c r="AJ1342" s="4">
        <f>=ROUNDDOWN({0},0)</f>
      </c>
      <c r="AK1342" s="5"/>
      <c r="AL1342" s="2" t="s">
        <v>235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235</v>
      </c>
      <c r="BD1342" s="8" t="s">
        <v>235</v>
      </c>
      <c r="BE1342" s="4" t="s">
        <v>235</v>
      </c>
      <c r="BF1342" s="8" t="s">
        <v>235</v>
      </c>
      <c r="BG1342" s="7" t="s">
        <v>235</v>
      </c>
      <c r="BH1342" s="7" t="s">
        <v>235</v>
      </c>
      <c r="BI1342" s="7"/>
      <c r="BJ1342" s="4">
        <v>22</v>
      </c>
      <c r="BK1342" s="8">
        <v>989.89</v>
      </c>
      <c r="BL1342" s="2" t="s">
        <v>5188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5189</v>
      </c>
      <c r="BV1342" s="2" t="s">
        <v>618</v>
      </c>
      <c r="BW1342" s="2" t="s">
        <v>235</v>
      </c>
      <c r="BX1342" s="2" t="s">
        <v>244</v>
      </c>
      <c r="BY1342" s="2" t="s">
        <v>245</v>
      </c>
      <c r="BZ1342" s="2" t="s">
        <v>232</v>
      </c>
      <c r="CA1342" s="2" t="s">
        <v>3493</v>
      </c>
      <c r="CB1342" s="2" t="s">
        <v>5190</v>
      </c>
      <c r="CC1342" s="2" t="s">
        <v>248</v>
      </c>
      <c r="CD1342" s="2" t="s">
        <v>248</v>
      </c>
      <c r="CE1342" s="2" t="s">
        <v>235</v>
      </c>
      <c r="CF1342" s="4">
        <v>489</v>
      </c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>
        <v>490</v>
      </c>
      <c r="GE1342" s="4">
        <v>484</v>
      </c>
      <c r="GF1342" s="4">
        <v>480</v>
      </c>
      <c r="GG1342" s="4">
        <v>476</v>
      </c>
      <c r="GH1342" s="4">
        <v>472</v>
      </c>
      <c r="GI1342" s="4">
        <v>468</v>
      </c>
      <c r="GJ1342" s="4">
        <v>463</v>
      </c>
      <c r="GK1342" s="4">
        <v>458</v>
      </c>
      <c r="GL1342" s="4">
        <v>453</v>
      </c>
      <c r="GM1342" s="4">
        <v>448</v>
      </c>
      <c r="GN1342" s="4">
        <v>443</v>
      </c>
      <c r="GO1342" s="4">
        <v>437</v>
      </c>
      <c r="GP1342" s="4">
        <v>428</v>
      </c>
      <c r="GQ1342" s="4">
        <v>417</v>
      </c>
      <c r="GR1342" s="4">
        <v>404</v>
      </c>
      <c r="GS1342" s="4">
        <v>395</v>
      </c>
      <c r="GT1342" s="4">
        <v>388</v>
      </c>
      <c r="GU1342" s="4">
        <v>384</v>
      </c>
      <c r="GV1342" s="4">
        <v>380</v>
      </c>
      <c r="GW1342" s="4">
        <v>376</v>
      </c>
      <c r="GX1342" s="4">
        <v>372</v>
      </c>
      <c r="GY1342" s="4">
        <v>368</v>
      </c>
      <c r="GZ1342" s="4">
        <v>363</v>
      </c>
      <c r="HA1342" s="4">
        <v>358</v>
      </c>
      <c r="HB1342" s="4">
        <v>353</v>
      </c>
      <c r="HC1342" s="4">
        <v>348</v>
      </c>
      <c r="HD1342" s="19">
        <v>122.5</v>
      </c>
      <c r="HE1342" s="19">
        <v>121</v>
      </c>
      <c r="HF1342" s="19">
        <v>120</v>
      </c>
      <c r="HG1342" s="19">
        <v>119</v>
      </c>
      <c r="HH1342" s="19">
        <v>94.4</v>
      </c>
      <c r="HI1342" s="19">
        <v>93.6</v>
      </c>
      <c r="HJ1342" s="19">
        <v>92.6</v>
      </c>
      <c r="HK1342" s="19">
        <v>91.6</v>
      </c>
      <c r="HL1342" s="19">
        <v>75.5</v>
      </c>
      <c r="HM1342" s="19">
        <v>56</v>
      </c>
      <c r="HN1342" s="19">
        <v>44.3</v>
      </c>
      <c r="HO1342" s="19">
        <v>43.7</v>
      </c>
      <c r="HP1342" s="19">
        <v>42.8</v>
      </c>
      <c r="HQ1342" s="19">
        <v>52.1</v>
      </c>
      <c r="HR1342" s="19">
        <v>67.3</v>
      </c>
      <c r="HS1342" s="19">
        <v>79</v>
      </c>
      <c r="HT1342" s="19">
        <v>97</v>
      </c>
      <c r="HU1342" s="19">
        <v>96</v>
      </c>
      <c r="HV1342" s="19">
        <v>95</v>
      </c>
      <c r="HW1342" s="19">
        <v>94</v>
      </c>
      <c r="HX1342" s="19">
        <v>74.4</v>
      </c>
      <c r="HY1342" s="19">
        <v>73.6</v>
      </c>
      <c r="HZ1342" s="19">
        <v>72.6</v>
      </c>
      <c r="IA1342" s="19">
        <v>71.6</v>
      </c>
      <c r="IB1342" s="19">
        <v>70.6</v>
      </c>
      <c r="IC1342" s="19">
        <v>69.6</v>
      </c>
    </row>
    <row r="1343">
      <c r="A1343" s="2" t="s">
        <v>5191</v>
      </c>
      <c r="B1343" s="2" t="s">
        <v>605</v>
      </c>
      <c r="C1343" s="2" t="s">
        <v>360</v>
      </c>
      <c r="D1343" s="2" t="s">
        <v>607</v>
      </c>
      <c r="E1343" s="2" t="s">
        <v>608</v>
      </c>
      <c r="F1343" s="2" t="s">
        <v>5185</v>
      </c>
      <c r="G1343" s="2" t="s">
        <v>5185</v>
      </c>
      <c r="H1343" s="2" t="s">
        <v>5185</v>
      </c>
      <c r="I1343" s="2" t="s">
        <v>5186</v>
      </c>
      <c r="J1343" s="2" t="s">
        <v>611</v>
      </c>
      <c r="K1343" s="2" t="s">
        <v>5192</v>
      </c>
      <c r="L1343" s="3">
        <v>42.75</v>
      </c>
      <c r="M1343" s="3">
        <v>44.89</v>
      </c>
      <c r="N1343" s="3">
        <v>94.99</v>
      </c>
      <c r="O1343" s="2" t="s">
        <v>232</v>
      </c>
      <c r="P1343" s="2" t="s">
        <v>233</v>
      </c>
      <c r="Q1343" s="2" t="s">
        <v>234</v>
      </c>
      <c r="R1343" s="2" t="s">
        <v>235</v>
      </c>
      <c r="S1343" s="2" t="s">
        <v>5187</v>
      </c>
      <c r="T1343" s="2" t="s">
        <v>263</v>
      </c>
      <c r="U1343" s="2" t="s">
        <v>614</v>
      </c>
      <c r="V1343" s="2" t="s">
        <v>238</v>
      </c>
      <c r="W1343" s="2" t="s">
        <v>329</v>
      </c>
      <c r="X1343" s="2" t="s">
        <v>1157</v>
      </c>
      <c r="Y1343" s="2" t="s">
        <v>5193</v>
      </c>
      <c r="Z1343" s="4">
        <v>721</v>
      </c>
      <c r="AA1343" s="4">
        <f>=ROUNDDOWN(144.2,0)</f>
      </c>
      <c r="AB1343" s="5">
        <v>5</v>
      </c>
      <c r="AC1343" s="2" t="s">
        <v>4315</v>
      </c>
      <c r="AD1343" s="4">
        <v>610</v>
      </c>
      <c r="AE1343" s="4">
        <v>610</v>
      </c>
      <c r="AF1343" s="6">
        <v>81</v>
      </c>
      <c r="AG1343" s="6"/>
      <c r="AH1343" s="7">
        <v>1</v>
      </c>
      <c r="AI1343" s="4"/>
      <c r="AJ1343" s="4">
        <f>=ROUNDDOWN({0},0)</f>
      </c>
      <c r="AK1343" s="5"/>
      <c r="AL1343" s="2" t="s">
        <v>235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 t="s">
        <v>235</v>
      </c>
      <c r="BD1343" s="8" t="s">
        <v>235</v>
      </c>
      <c r="BE1343" s="4" t="s">
        <v>235</v>
      </c>
      <c r="BF1343" s="8" t="s">
        <v>235</v>
      </c>
      <c r="BG1343" s="7" t="s">
        <v>235</v>
      </c>
      <c r="BH1343" s="7" t="s">
        <v>235</v>
      </c>
      <c r="BI1343" s="7"/>
      <c r="BJ1343" s="4">
        <v>21</v>
      </c>
      <c r="BK1343" s="8">
        <v>1031.51</v>
      </c>
      <c r="BL1343" s="2" t="s">
        <v>5194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5189</v>
      </c>
      <c r="BV1343" s="2" t="s">
        <v>618</v>
      </c>
      <c r="BW1343" s="2" t="s">
        <v>235</v>
      </c>
      <c r="BX1343" s="2" t="s">
        <v>244</v>
      </c>
      <c r="BY1343" s="2" t="s">
        <v>245</v>
      </c>
      <c r="BZ1343" s="2" t="s">
        <v>232</v>
      </c>
      <c r="CA1343" s="2" t="s">
        <v>5195</v>
      </c>
      <c r="CB1343" s="2" t="s">
        <v>5196</v>
      </c>
      <c r="CC1343" s="2" t="s">
        <v>248</v>
      </c>
      <c r="CD1343" s="2" t="s">
        <v>248</v>
      </c>
      <c r="CE1343" s="2" t="s">
        <v>235</v>
      </c>
      <c r="CF1343" s="4">
        <v>720</v>
      </c>
      <c r="CG1343" s="4"/>
      <c r="CH1343" s="4"/>
      <c r="CI1343" s="4"/>
      <c r="CJ1343" s="4"/>
      <c r="CK1343" s="4"/>
      <c r="CL1343" s="4"/>
      <c r="CM1343" s="4">
        <v>1</v>
      </c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>
        <v>610</v>
      </c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>
        <v>724</v>
      </c>
      <c r="GE1343" s="4">
        <v>717</v>
      </c>
      <c r="GF1343" s="4">
        <v>713</v>
      </c>
      <c r="GG1343" s="4">
        <v>709</v>
      </c>
      <c r="GH1343" s="4">
        <v>705</v>
      </c>
      <c r="GI1343" s="4">
        <v>701</v>
      </c>
      <c r="GJ1343" s="4">
        <v>695</v>
      </c>
      <c r="GK1343" s="4">
        <v>689</v>
      </c>
      <c r="GL1343" s="4">
        <v>684</v>
      </c>
      <c r="GM1343" s="4">
        <v>679</v>
      </c>
      <c r="GN1343" s="4">
        <v>674</v>
      </c>
      <c r="GO1343" s="4">
        <v>669</v>
      </c>
      <c r="GP1343" s="4">
        <v>661</v>
      </c>
      <c r="GQ1343" s="4">
        <v>1261</v>
      </c>
      <c r="GR1343" s="4">
        <v>1250</v>
      </c>
      <c r="GS1343" s="4">
        <v>1242</v>
      </c>
      <c r="GT1343" s="4">
        <v>1235</v>
      </c>
      <c r="GU1343" s="4">
        <v>1231</v>
      </c>
      <c r="GV1343" s="4">
        <v>1227</v>
      </c>
      <c r="GW1343" s="4">
        <v>1223</v>
      </c>
      <c r="GX1343" s="4">
        <v>1219</v>
      </c>
      <c r="GY1343" s="4">
        <v>1215</v>
      </c>
      <c r="GZ1343" s="4">
        <v>1210</v>
      </c>
      <c r="HA1343" s="4">
        <v>1205</v>
      </c>
      <c r="HB1343" s="4">
        <v>1200</v>
      </c>
      <c r="HC1343" s="4">
        <v>1195</v>
      </c>
      <c r="HD1343" s="19">
        <v>144.8</v>
      </c>
      <c r="HE1343" s="19">
        <v>179.3</v>
      </c>
      <c r="HF1343" s="19">
        <v>178.3</v>
      </c>
      <c r="HG1343" s="19">
        <v>141.8</v>
      </c>
      <c r="HH1343" s="19">
        <v>141</v>
      </c>
      <c r="HI1343" s="19">
        <v>116.8</v>
      </c>
      <c r="HJ1343" s="19">
        <v>139</v>
      </c>
      <c r="HK1343" s="19">
        <v>137.8</v>
      </c>
      <c r="HL1343" s="19">
        <v>114</v>
      </c>
      <c r="HM1343" s="19">
        <v>97</v>
      </c>
      <c r="HN1343" s="19">
        <v>84.3</v>
      </c>
      <c r="HO1343" s="19">
        <v>74.3</v>
      </c>
      <c r="HP1343" s="19">
        <v>73.4</v>
      </c>
      <c r="HQ1343" s="19">
        <v>157.6</v>
      </c>
      <c r="HR1343" s="19">
        <v>208.3</v>
      </c>
      <c r="HS1343" s="19">
        <v>248.4</v>
      </c>
      <c r="HT1343" s="19">
        <v>308.8</v>
      </c>
      <c r="HU1343" s="19">
        <v>307.8</v>
      </c>
      <c r="HV1343" s="19">
        <v>306.8</v>
      </c>
      <c r="HW1343" s="19">
        <v>305.8</v>
      </c>
      <c r="HX1343" s="19">
        <v>243.8</v>
      </c>
      <c r="HY1343" s="19">
        <v>243</v>
      </c>
      <c r="HZ1343" s="19">
        <v>242</v>
      </c>
      <c r="IA1343" s="19">
        <v>241</v>
      </c>
      <c r="IB1343" s="19">
        <v>240</v>
      </c>
      <c r="IC1343" s="19">
        <v>239</v>
      </c>
    </row>
    <row r="1344">
      <c r="A1344" s="2" t="s">
        <v>5197</v>
      </c>
      <c r="B1344" s="2" t="s">
        <v>605</v>
      </c>
      <c r="C1344" s="2" t="s">
        <v>360</v>
      </c>
      <c r="D1344" s="2" t="s">
        <v>607</v>
      </c>
      <c r="E1344" s="2" t="s">
        <v>608</v>
      </c>
      <c r="F1344" s="2" t="s">
        <v>5185</v>
      </c>
      <c r="G1344" s="2" t="s">
        <v>5185</v>
      </c>
      <c r="H1344" s="2" t="s">
        <v>5185</v>
      </c>
      <c r="I1344" s="2" t="s">
        <v>5186</v>
      </c>
      <c r="J1344" s="2" t="s">
        <v>611</v>
      </c>
      <c r="K1344" s="2" t="s">
        <v>316</v>
      </c>
      <c r="L1344" s="3">
        <v>42.75</v>
      </c>
      <c r="M1344" s="3">
        <v>44.89</v>
      </c>
      <c r="N1344" s="3">
        <v>94.99</v>
      </c>
      <c r="O1344" s="2" t="s">
        <v>232</v>
      </c>
      <c r="P1344" s="2" t="s">
        <v>233</v>
      </c>
      <c r="Q1344" s="2" t="s">
        <v>234</v>
      </c>
      <c r="R1344" s="2" t="s">
        <v>235</v>
      </c>
      <c r="S1344" s="2" t="s">
        <v>5187</v>
      </c>
      <c r="T1344" s="2" t="s">
        <v>263</v>
      </c>
      <c r="U1344" s="2" t="s">
        <v>614</v>
      </c>
      <c r="V1344" s="2" t="s">
        <v>238</v>
      </c>
      <c r="W1344" s="2" t="s">
        <v>329</v>
      </c>
      <c r="X1344" s="2" t="s">
        <v>1157</v>
      </c>
      <c r="Y1344" s="2" t="s">
        <v>5193</v>
      </c>
      <c r="Z1344" s="4">
        <v>715</v>
      </c>
      <c r="AA1344" s="4">
        <f>=ROUNDDOWN(94.0789473684211,0)</f>
      </c>
      <c r="AB1344" s="5">
        <v>7.6</v>
      </c>
      <c r="AC1344" s="2" t="s">
        <v>4315</v>
      </c>
      <c r="AD1344" s="4">
        <v>590</v>
      </c>
      <c r="AE1344" s="4">
        <v>590</v>
      </c>
      <c r="AF1344" s="6">
        <v>81</v>
      </c>
      <c r="AG1344" s="6"/>
      <c r="AH1344" s="7">
        <v>1</v>
      </c>
      <c r="AI1344" s="4"/>
      <c r="AJ1344" s="4">
        <f>=ROUNDDOWN({0},0)</f>
      </c>
      <c r="AK1344" s="5"/>
      <c r="AL1344" s="2" t="s">
        <v>235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 t="s">
        <v>235</v>
      </c>
      <c r="BD1344" s="8" t="s">
        <v>235</v>
      </c>
      <c r="BE1344" s="4" t="s">
        <v>235</v>
      </c>
      <c r="BF1344" s="8" t="s">
        <v>235</v>
      </c>
      <c r="BG1344" s="7" t="s">
        <v>235</v>
      </c>
      <c r="BH1344" s="7" t="s">
        <v>235</v>
      </c>
      <c r="BI1344" s="7"/>
      <c r="BJ1344" s="4">
        <v>18</v>
      </c>
      <c r="BK1344" s="8">
        <v>861.19</v>
      </c>
      <c r="BL1344" s="2" t="s">
        <v>5198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5189</v>
      </c>
      <c r="BV1344" s="2" t="s">
        <v>618</v>
      </c>
      <c r="BW1344" s="2" t="s">
        <v>235</v>
      </c>
      <c r="BX1344" s="2" t="s">
        <v>244</v>
      </c>
      <c r="BY1344" s="2" t="s">
        <v>245</v>
      </c>
      <c r="BZ1344" s="2" t="s">
        <v>232</v>
      </c>
      <c r="CA1344" s="2" t="s">
        <v>5195</v>
      </c>
      <c r="CB1344" s="2" t="s">
        <v>5199</v>
      </c>
      <c r="CC1344" s="2" t="s">
        <v>248</v>
      </c>
      <c r="CD1344" s="2" t="s">
        <v>248</v>
      </c>
      <c r="CE1344" s="2" t="s">
        <v>235</v>
      </c>
      <c r="CF1344" s="4">
        <v>715</v>
      </c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>
        <v>590</v>
      </c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>
        <v>715</v>
      </c>
      <c r="GE1344" s="4">
        <v>708</v>
      </c>
      <c r="GF1344" s="4">
        <v>702</v>
      </c>
      <c r="GG1344" s="4">
        <v>696</v>
      </c>
      <c r="GH1344" s="4">
        <v>690</v>
      </c>
      <c r="GI1344" s="4">
        <v>684</v>
      </c>
      <c r="GJ1344" s="4">
        <v>678</v>
      </c>
      <c r="GK1344" s="4">
        <v>672</v>
      </c>
      <c r="GL1344" s="4">
        <v>666</v>
      </c>
      <c r="GM1344" s="4">
        <v>660</v>
      </c>
      <c r="GN1344" s="4">
        <v>654</v>
      </c>
      <c r="GO1344" s="4">
        <v>646</v>
      </c>
      <c r="GP1344" s="4">
        <v>634</v>
      </c>
      <c r="GQ1344" s="4">
        <v>1209</v>
      </c>
      <c r="GR1344" s="4">
        <v>1191</v>
      </c>
      <c r="GS1344" s="4">
        <v>1178</v>
      </c>
      <c r="GT1344" s="4">
        <v>1168</v>
      </c>
      <c r="GU1344" s="4">
        <v>1162</v>
      </c>
      <c r="GV1344" s="4">
        <v>1156</v>
      </c>
      <c r="GW1344" s="4">
        <v>1150</v>
      </c>
      <c r="GX1344" s="4">
        <v>1144</v>
      </c>
      <c r="GY1344" s="4">
        <v>1138</v>
      </c>
      <c r="GZ1344" s="4">
        <v>1131</v>
      </c>
      <c r="HA1344" s="4">
        <v>1124</v>
      </c>
      <c r="HB1344" s="4">
        <v>1117</v>
      </c>
      <c r="HC1344" s="4">
        <v>1110</v>
      </c>
      <c r="HD1344" s="19">
        <v>119.2</v>
      </c>
      <c r="HE1344" s="19">
        <v>118</v>
      </c>
      <c r="HF1344" s="19">
        <v>117</v>
      </c>
      <c r="HG1344" s="19">
        <v>116</v>
      </c>
      <c r="HH1344" s="19">
        <v>115</v>
      </c>
      <c r="HI1344" s="19">
        <v>114</v>
      </c>
      <c r="HJ1344" s="19">
        <v>113</v>
      </c>
      <c r="HK1344" s="19">
        <v>112</v>
      </c>
      <c r="HL1344" s="19">
        <v>83.3</v>
      </c>
      <c r="HM1344" s="19">
        <v>66</v>
      </c>
      <c r="HN1344" s="19">
        <v>50.3</v>
      </c>
      <c r="HO1344" s="19">
        <v>46.1</v>
      </c>
      <c r="HP1344" s="19">
        <v>45.3</v>
      </c>
      <c r="HQ1344" s="19">
        <v>100.8</v>
      </c>
      <c r="HR1344" s="19">
        <v>132.3</v>
      </c>
      <c r="HS1344" s="19">
        <v>168.3</v>
      </c>
      <c r="HT1344" s="19">
        <v>194.7</v>
      </c>
      <c r="HU1344" s="19">
        <v>193.7</v>
      </c>
      <c r="HV1344" s="19">
        <v>192.7</v>
      </c>
      <c r="HW1344" s="19">
        <v>191.7</v>
      </c>
      <c r="HX1344" s="19">
        <v>163.4</v>
      </c>
      <c r="HY1344" s="19">
        <v>162.6</v>
      </c>
      <c r="HZ1344" s="19">
        <v>161.6</v>
      </c>
      <c r="IA1344" s="19">
        <v>160.6</v>
      </c>
      <c r="IB1344" s="19">
        <v>159.6</v>
      </c>
      <c r="IC1344" s="19">
        <v>158.6</v>
      </c>
    </row>
    <row r="1345">
      <c r="A1345" s="2" t="s">
        <v>5200</v>
      </c>
      <c r="B1345" s="2" t="s">
        <v>871</v>
      </c>
      <c r="C1345" s="2" t="s">
        <v>853</v>
      </c>
      <c r="D1345" s="2" t="s">
        <v>906</v>
      </c>
      <c r="E1345" s="2" t="s">
        <v>907</v>
      </c>
      <c r="F1345" s="2" t="s">
        <v>5201</v>
      </c>
      <c r="G1345" s="2" t="s">
        <v>5202</v>
      </c>
      <c r="H1345" s="2" t="s">
        <v>3850</v>
      </c>
      <c r="I1345" s="2" t="s">
        <v>5203</v>
      </c>
      <c r="J1345" s="2" t="s">
        <v>877</v>
      </c>
      <c r="K1345" s="2" t="s">
        <v>378</v>
      </c>
      <c r="L1345" s="3">
        <v>28.5</v>
      </c>
      <c r="M1345" s="3">
        <v>29.92</v>
      </c>
      <c r="N1345" s="3">
        <v>59.99</v>
      </c>
      <c r="O1345" s="2" t="s">
        <v>232</v>
      </c>
      <c r="P1345" s="2" t="s">
        <v>233</v>
      </c>
      <c r="Q1345" s="2" t="s">
        <v>234</v>
      </c>
      <c r="R1345" s="2" t="s">
        <v>235</v>
      </c>
      <c r="S1345" s="2" t="s">
        <v>5204</v>
      </c>
      <c r="T1345" s="2" t="s">
        <v>879</v>
      </c>
      <c r="U1345" s="2" t="s">
        <v>278</v>
      </c>
      <c r="V1345" s="2" t="s">
        <v>238</v>
      </c>
      <c r="W1345" s="2" t="s">
        <v>682</v>
      </c>
      <c r="X1345" s="2" t="s">
        <v>239</v>
      </c>
      <c r="Y1345" s="2" t="s">
        <v>1755</v>
      </c>
      <c r="Z1345" s="4">
        <v>86</v>
      </c>
      <c r="AA1345" s="4">
        <f>=ROUNDDOWN(86,0)</f>
      </c>
      <c r="AB1345" s="5">
        <v>1</v>
      </c>
      <c r="AC1345" s="2" t="s">
        <v>235</v>
      </c>
      <c r="AD1345" s="4"/>
      <c r="AE1345" s="4"/>
      <c r="AF1345" s="6">
        <v>66</v>
      </c>
      <c r="AG1345" s="6"/>
      <c r="AH1345" s="7">
        <v>1</v>
      </c>
      <c r="AI1345" s="4"/>
      <c r="AJ1345" s="4">
        <f>=ROUNDDOWN({0},0)</f>
      </c>
      <c r="AK1345" s="5"/>
      <c r="AL1345" s="2" t="s">
        <v>235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235</v>
      </c>
      <c r="AW1345" s="8" t="s">
        <v>235</v>
      </c>
      <c r="AX1345" s="4" t="s">
        <v>235</v>
      </c>
      <c r="AY1345" s="8" t="s">
        <v>235</v>
      </c>
      <c r="AZ1345" s="7" t="s">
        <v>235</v>
      </c>
      <c r="BA1345" s="7" t="s">
        <v>235</v>
      </c>
      <c r="BB1345" s="7"/>
      <c r="BC1345" s="4" t="s">
        <v>235</v>
      </c>
      <c r="BD1345" s="8" t="s">
        <v>235</v>
      </c>
      <c r="BE1345" s="4" t="s">
        <v>235</v>
      </c>
      <c r="BF1345" s="8" t="s">
        <v>235</v>
      </c>
      <c r="BG1345" s="7" t="s">
        <v>235</v>
      </c>
      <c r="BH1345" s="7" t="s">
        <v>235</v>
      </c>
      <c r="BI1345" s="7"/>
      <c r="BJ1345" s="4">
        <v>2</v>
      </c>
      <c r="BK1345" s="8">
        <v>62.47</v>
      </c>
      <c r="BL1345" s="2" t="s">
        <v>3232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5205</v>
      </c>
      <c r="BV1345" s="2" t="s">
        <v>243</v>
      </c>
      <c r="BW1345" s="2" t="s">
        <v>235</v>
      </c>
      <c r="BX1345" s="2" t="s">
        <v>383</v>
      </c>
      <c r="BY1345" s="2" t="s">
        <v>245</v>
      </c>
      <c r="BZ1345" s="2" t="s">
        <v>232</v>
      </c>
      <c r="CA1345" s="2" t="s">
        <v>1973</v>
      </c>
      <c r="CB1345" s="2" t="s">
        <v>235</v>
      </c>
      <c r="CC1345" s="2" t="s">
        <v>248</v>
      </c>
      <c r="CD1345" s="2" t="s">
        <v>248</v>
      </c>
      <c r="CE1345" s="2" t="s">
        <v>235</v>
      </c>
      <c r="CF1345" s="4">
        <v>86</v>
      </c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>
        <v>86</v>
      </c>
      <c r="GE1345" s="4">
        <v>85</v>
      </c>
      <c r="GF1345" s="4">
        <v>84</v>
      </c>
      <c r="GG1345" s="4">
        <v>83</v>
      </c>
      <c r="GH1345" s="4">
        <v>82</v>
      </c>
      <c r="GI1345" s="4">
        <v>81</v>
      </c>
      <c r="GJ1345" s="4">
        <v>80</v>
      </c>
      <c r="GK1345" s="4">
        <v>79</v>
      </c>
      <c r="GL1345" s="4">
        <v>78</v>
      </c>
      <c r="GM1345" s="4">
        <v>77</v>
      </c>
      <c r="GN1345" s="4">
        <v>76</v>
      </c>
      <c r="GO1345" s="4">
        <v>75</v>
      </c>
      <c r="GP1345" s="4">
        <v>74</v>
      </c>
      <c r="GQ1345" s="4">
        <v>73</v>
      </c>
      <c r="GR1345" s="4">
        <v>71</v>
      </c>
      <c r="GS1345" s="4">
        <v>69</v>
      </c>
      <c r="GT1345" s="4">
        <v>68</v>
      </c>
      <c r="GU1345" s="4">
        <v>67</v>
      </c>
      <c r="GV1345" s="4">
        <v>66</v>
      </c>
      <c r="GW1345" s="4">
        <v>65</v>
      </c>
      <c r="GX1345" s="4">
        <v>64</v>
      </c>
      <c r="GY1345" s="4">
        <v>63</v>
      </c>
      <c r="GZ1345" s="4">
        <v>62</v>
      </c>
      <c r="HA1345" s="4">
        <v>61</v>
      </c>
      <c r="HB1345" s="4">
        <v>60</v>
      </c>
      <c r="HC1345" s="4">
        <v>59</v>
      </c>
      <c r="HD1345" s="19">
        <v>86</v>
      </c>
      <c r="HE1345" s="19">
        <v>85</v>
      </c>
      <c r="HF1345" s="19">
        <v>84</v>
      </c>
      <c r="HG1345" s="19">
        <v>83</v>
      </c>
      <c r="HH1345" s="19">
        <v>82</v>
      </c>
      <c r="HI1345" s="19">
        <v>81</v>
      </c>
      <c r="HJ1345" s="19">
        <v>80</v>
      </c>
      <c r="HK1345" s="19">
        <v>79</v>
      </c>
      <c r="HL1345" s="19">
        <v>78</v>
      </c>
      <c r="HM1345" s="19">
        <v>77</v>
      </c>
      <c r="HN1345" s="19">
        <v>76</v>
      </c>
      <c r="HO1345" s="19">
        <v>37.5</v>
      </c>
      <c r="HP1345" s="19">
        <v>37</v>
      </c>
      <c r="HQ1345" s="19">
        <v>36.5</v>
      </c>
      <c r="HR1345" s="19">
        <v>71</v>
      </c>
      <c r="HS1345" s="19">
        <v>69</v>
      </c>
      <c r="HT1345" s="19">
        <v>68</v>
      </c>
      <c r="HU1345" s="19">
        <v>67</v>
      </c>
      <c r="HV1345" s="19">
        <v>66</v>
      </c>
      <c r="HW1345" s="19">
        <v>65</v>
      </c>
      <c r="HX1345" s="19">
        <v>64</v>
      </c>
      <c r="HY1345" s="19">
        <v>63</v>
      </c>
      <c r="HZ1345" s="19">
        <v>62</v>
      </c>
      <c r="IA1345" s="19">
        <v>61</v>
      </c>
      <c r="IB1345" s="19">
        <v>60</v>
      </c>
      <c r="IC1345" s="19">
        <v>59</v>
      </c>
    </row>
    <row r="1346">
      <c r="A1346" s="2" t="s">
        <v>5206</v>
      </c>
      <c r="B1346" s="2" t="s">
        <v>871</v>
      </c>
      <c r="C1346" s="2" t="s">
        <v>853</v>
      </c>
      <c r="D1346" s="2" t="s">
        <v>361</v>
      </c>
      <c r="E1346" s="2" t="s">
        <v>924</v>
      </c>
      <c r="F1346" s="2" t="s">
        <v>5201</v>
      </c>
      <c r="G1346" s="2" t="s">
        <v>5202</v>
      </c>
      <c r="H1346" s="2" t="s">
        <v>3850</v>
      </c>
      <c r="I1346" s="2" t="s">
        <v>5207</v>
      </c>
      <c r="J1346" s="2" t="s">
        <v>372</v>
      </c>
      <c r="K1346" s="2" t="s">
        <v>378</v>
      </c>
      <c r="L1346" s="3">
        <v>47.23</v>
      </c>
      <c r="M1346" s="3">
        <v>49.59</v>
      </c>
      <c r="N1346" s="3">
        <v>99.99</v>
      </c>
      <c r="O1346" s="2" t="s">
        <v>232</v>
      </c>
      <c r="P1346" s="2" t="s">
        <v>233</v>
      </c>
      <c r="Q1346" s="2" t="s">
        <v>234</v>
      </c>
      <c r="R1346" s="2" t="s">
        <v>235</v>
      </c>
      <c r="S1346" s="2" t="s">
        <v>5204</v>
      </c>
      <c r="T1346" s="2" t="s">
        <v>879</v>
      </c>
      <c r="U1346" s="2" t="s">
        <v>552</v>
      </c>
      <c r="V1346" s="2" t="s">
        <v>238</v>
      </c>
      <c r="W1346" s="2" t="s">
        <v>682</v>
      </c>
      <c r="X1346" s="2" t="s">
        <v>239</v>
      </c>
      <c r="Y1346" s="2" t="s">
        <v>1755</v>
      </c>
      <c r="Z1346" s="4">
        <v>147</v>
      </c>
      <c r="AA1346" s="4">
        <f>=ROUNDDOWN(73.5,0)</f>
      </c>
      <c r="AB1346" s="5">
        <v>2</v>
      </c>
      <c r="AC1346" s="2" t="s">
        <v>235</v>
      </c>
      <c r="AD1346" s="4"/>
      <c r="AE1346" s="4"/>
      <c r="AF1346" s="6">
        <v>66</v>
      </c>
      <c r="AG1346" s="6"/>
      <c r="AH1346" s="7">
        <v>1</v>
      </c>
      <c r="AI1346" s="4"/>
      <c r="AJ1346" s="4">
        <f>=ROUNDDOWN({0},0)</f>
      </c>
      <c r="AK1346" s="5"/>
      <c r="AL1346" s="2" t="s">
        <v>235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235</v>
      </c>
      <c r="AW1346" s="8" t="s">
        <v>235</v>
      </c>
      <c r="AX1346" s="4" t="s">
        <v>235</v>
      </c>
      <c r="AY1346" s="8" t="s">
        <v>235</v>
      </c>
      <c r="AZ1346" s="7" t="s">
        <v>235</v>
      </c>
      <c r="BA1346" s="7" t="s">
        <v>235</v>
      </c>
      <c r="BB1346" s="7"/>
      <c r="BC1346" s="4" t="s">
        <v>235</v>
      </c>
      <c r="BD1346" s="8" t="s">
        <v>235</v>
      </c>
      <c r="BE1346" s="4" t="s">
        <v>235</v>
      </c>
      <c r="BF1346" s="8" t="s">
        <v>235</v>
      </c>
      <c r="BG1346" s="7" t="s">
        <v>235</v>
      </c>
      <c r="BH1346" s="7" t="s">
        <v>235</v>
      </c>
      <c r="BI1346" s="7"/>
      <c r="BJ1346" s="4">
        <v>7</v>
      </c>
      <c r="BK1346" s="8">
        <v>412.63</v>
      </c>
      <c r="BL1346" s="2" t="s">
        <v>5208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5209</v>
      </c>
      <c r="BV1346" s="2" t="s">
        <v>243</v>
      </c>
      <c r="BW1346" s="2" t="s">
        <v>235</v>
      </c>
      <c r="BX1346" s="2" t="s">
        <v>685</v>
      </c>
      <c r="BY1346" s="2" t="s">
        <v>245</v>
      </c>
      <c r="BZ1346" s="2" t="s">
        <v>232</v>
      </c>
      <c r="CA1346" s="2" t="s">
        <v>1973</v>
      </c>
      <c r="CB1346" s="2" t="s">
        <v>3189</v>
      </c>
      <c r="CC1346" s="2" t="s">
        <v>248</v>
      </c>
      <c r="CD1346" s="2" t="s">
        <v>248</v>
      </c>
      <c r="CE1346" s="2" t="s">
        <v>235</v>
      </c>
      <c r="CF1346" s="4">
        <v>147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>
        <v>147</v>
      </c>
      <c r="GE1346" s="4">
        <v>145</v>
      </c>
      <c r="GF1346" s="4">
        <v>143</v>
      </c>
      <c r="GG1346" s="4">
        <v>141</v>
      </c>
      <c r="GH1346" s="4">
        <v>139</v>
      </c>
      <c r="GI1346" s="4">
        <v>137</v>
      </c>
      <c r="GJ1346" s="4">
        <v>135</v>
      </c>
      <c r="GK1346" s="4">
        <v>133</v>
      </c>
      <c r="GL1346" s="4">
        <v>131</v>
      </c>
      <c r="GM1346" s="4">
        <v>129</v>
      </c>
      <c r="GN1346" s="4">
        <v>127</v>
      </c>
      <c r="GO1346" s="4">
        <v>124</v>
      </c>
      <c r="GP1346" s="4">
        <v>121</v>
      </c>
      <c r="GQ1346" s="4">
        <v>118</v>
      </c>
      <c r="GR1346" s="4">
        <v>113</v>
      </c>
      <c r="GS1346" s="4">
        <v>109</v>
      </c>
      <c r="GT1346" s="4">
        <v>106</v>
      </c>
      <c r="GU1346" s="4">
        <v>104</v>
      </c>
      <c r="GV1346" s="4">
        <v>102</v>
      </c>
      <c r="GW1346" s="4">
        <v>100</v>
      </c>
      <c r="GX1346" s="4">
        <v>98</v>
      </c>
      <c r="GY1346" s="4">
        <v>96</v>
      </c>
      <c r="GZ1346" s="4">
        <v>94</v>
      </c>
      <c r="HA1346" s="4">
        <v>92</v>
      </c>
      <c r="HB1346" s="4">
        <v>90</v>
      </c>
      <c r="HC1346" s="4">
        <v>88</v>
      </c>
      <c r="HD1346" s="19">
        <v>73.5</v>
      </c>
      <c r="HE1346" s="19">
        <v>72.5</v>
      </c>
      <c r="HF1346" s="19">
        <v>71.5</v>
      </c>
      <c r="HG1346" s="19">
        <v>70.5</v>
      </c>
      <c r="HH1346" s="19">
        <v>69.5</v>
      </c>
      <c r="HI1346" s="19">
        <v>68.5</v>
      </c>
      <c r="HJ1346" s="19">
        <v>67.5</v>
      </c>
      <c r="HK1346" s="19">
        <v>66.5</v>
      </c>
      <c r="HL1346" s="19">
        <v>65.5</v>
      </c>
      <c r="HM1346" s="19">
        <v>43</v>
      </c>
      <c r="HN1346" s="19">
        <v>31.8</v>
      </c>
      <c r="HO1346" s="19">
        <v>31</v>
      </c>
      <c r="HP1346" s="19">
        <v>30.3</v>
      </c>
      <c r="HQ1346" s="19">
        <v>29.5</v>
      </c>
      <c r="HR1346" s="19">
        <v>37.7</v>
      </c>
      <c r="HS1346" s="19">
        <v>54.5</v>
      </c>
      <c r="HT1346" s="19">
        <v>53</v>
      </c>
      <c r="HU1346" s="19">
        <v>52</v>
      </c>
      <c r="HV1346" s="19">
        <v>51</v>
      </c>
      <c r="HW1346" s="19">
        <v>50</v>
      </c>
      <c r="HX1346" s="19">
        <v>49</v>
      </c>
      <c r="HY1346" s="19">
        <v>48</v>
      </c>
      <c r="HZ1346" s="19">
        <v>47</v>
      </c>
      <c r="IA1346" s="19">
        <v>46</v>
      </c>
      <c r="IB1346" s="19">
        <v>45</v>
      </c>
      <c r="IC1346" s="19">
        <v>44</v>
      </c>
    </row>
    <row r="1347">
      <c r="A1347" s="2" t="s">
        <v>5210</v>
      </c>
      <c r="B1347" s="2" t="s">
        <v>871</v>
      </c>
      <c r="C1347" s="2" t="s">
        <v>853</v>
      </c>
      <c r="D1347" s="2" t="s">
        <v>906</v>
      </c>
      <c r="E1347" s="2" t="s">
        <v>907</v>
      </c>
      <c r="F1347" s="2" t="s">
        <v>5201</v>
      </c>
      <c r="G1347" s="2" t="s">
        <v>5202</v>
      </c>
      <c r="H1347" s="2" t="s">
        <v>3850</v>
      </c>
      <c r="I1347" s="2" t="s">
        <v>5203</v>
      </c>
      <c r="J1347" s="2" t="s">
        <v>877</v>
      </c>
      <c r="K1347" s="2" t="s">
        <v>231</v>
      </c>
      <c r="L1347" s="3">
        <v>28.5</v>
      </c>
      <c r="M1347" s="3">
        <v>29.92</v>
      </c>
      <c r="N1347" s="3">
        <v>59.99</v>
      </c>
      <c r="O1347" s="2" t="s">
        <v>232</v>
      </c>
      <c r="P1347" s="2" t="s">
        <v>233</v>
      </c>
      <c r="Q1347" s="2" t="s">
        <v>234</v>
      </c>
      <c r="R1347" s="2" t="s">
        <v>235</v>
      </c>
      <c r="S1347" s="2" t="s">
        <v>5211</v>
      </c>
      <c r="T1347" s="2" t="s">
        <v>879</v>
      </c>
      <c r="U1347" s="2" t="s">
        <v>278</v>
      </c>
      <c r="V1347" s="2" t="s">
        <v>238</v>
      </c>
      <c r="W1347" s="2" t="s">
        <v>682</v>
      </c>
      <c r="X1347" s="2" t="s">
        <v>239</v>
      </c>
      <c r="Y1347" s="2" t="s">
        <v>1755</v>
      </c>
      <c r="Z1347" s="4">
        <v>79</v>
      </c>
      <c r="AA1347" s="4">
        <f>=ROUNDDOWN(19.2682926829268,0)</f>
      </c>
      <c r="AB1347" s="5">
        <v>4.1</v>
      </c>
      <c r="AC1347" s="2" t="s">
        <v>235</v>
      </c>
      <c r="AD1347" s="4"/>
      <c r="AE1347" s="4"/>
      <c r="AF1347" s="6">
        <v>66</v>
      </c>
      <c r="AG1347" s="6"/>
      <c r="AH1347" s="7">
        <v>1</v>
      </c>
      <c r="AI1347" s="4"/>
      <c r="AJ1347" s="4">
        <f>=ROUNDDOWN({0},0)</f>
      </c>
      <c r="AK1347" s="5"/>
      <c r="AL1347" s="2" t="s">
        <v>235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235</v>
      </c>
      <c r="AW1347" s="8" t="s">
        <v>235</v>
      </c>
      <c r="AX1347" s="4" t="s">
        <v>235</v>
      </c>
      <c r="AY1347" s="8" t="s">
        <v>235</v>
      </c>
      <c r="AZ1347" s="7" t="s">
        <v>235</v>
      </c>
      <c r="BA1347" s="7" t="s">
        <v>235</v>
      </c>
      <c r="BB1347" s="7"/>
      <c r="BC1347" s="4" t="s">
        <v>235</v>
      </c>
      <c r="BD1347" s="8" t="s">
        <v>235</v>
      </c>
      <c r="BE1347" s="4" t="s">
        <v>235</v>
      </c>
      <c r="BF1347" s="8" t="s">
        <v>235</v>
      </c>
      <c r="BG1347" s="7" t="s">
        <v>235</v>
      </c>
      <c r="BH1347" s="7" t="s">
        <v>235</v>
      </c>
      <c r="BI1347" s="7"/>
      <c r="BJ1347" s="4">
        <v>35</v>
      </c>
      <c r="BK1347" s="8">
        <v>1091.18</v>
      </c>
      <c r="BL1347" s="2" t="s">
        <v>4293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5205</v>
      </c>
      <c r="BV1347" s="2" t="s">
        <v>243</v>
      </c>
      <c r="BW1347" s="2" t="s">
        <v>235</v>
      </c>
      <c r="BX1347" s="2" t="s">
        <v>383</v>
      </c>
      <c r="BY1347" s="2" t="s">
        <v>245</v>
      </c>
      <c r="BZ1347" s="2" t="s">
        <v>232</v>
      </c>
      <c r="CA1347" s="2" t="s">
        <v>1973</v>
      </c>
      <c r="CB1347" s="2" t="s">
        <v>1426</v>
      </c>
      <c r="CC1347" s="2" t="s">
        <v>248</v>
      </c>
      <c r="CD1347" s="2" t="s">
        <v>248</v>
      </c>
      <c r="CE1347" s="2" t="s">
        <v>235</v>
      </c>
      <c r="CF1347" s="4">
        <v>79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>
        <v>79</v>
      </c>
      <c r="GE1347" s="4">
        <v>64</v>
      </c>
      <c r="GF1347" s="4">
        <v>59</v>
      </c>
      <c r="GG1347" s="4">
        <v>54</v>
      </c>
      <c r="GH1347" s="4">
        <v>49</v>
      </c>
      <c r="GI1347" s="4">
        <v>44</v>
      </c>
      <c r="GJ1347" s="4">
        <v>39</v>
      </c>
      <c r="GK1347" s="4">
        <v>31</v>
      </c>
      <c r="GL1347" s="4">
        <v>24</v>
      </c>
      <c r="GM1347" s="4">
        <v>19</v>
      </c>
      <c r="GN1347" s="4">
        <v>14</v>
      </c>
      <c r="GO1347" s="4">
        <v>9</v>
      </c>
      <c r="GP1347" s="4">
        <v>5</v>
      </c>
      <c r="GQ1347" s="4">
        <v>1</v>
      </c>
      <c r="GR1347" s="4"/>
      <c r="GS1347" s="4"/>
      <c r="GT1347" s="4"/>
      <c r="GU1347" s="4"/>
      <c r="GV1347" s="4"/>
      <c r="GW1347" s="4"/>
      <c r="GX1347" s="4">
        <v>175</v>
      </c>
      <c r="GY1347" s="4">
        <v>149</v>
      </c>
      <c r="GZ1347" s="4">
        <v>145</v>
      </c>
      <c r="HA1347" s="4">
        <v>141</v>
      </c>
      <c r="HB1347" s="4">
        <v>137</v>
      </c>
      <c r="HC1347" s="4">
        <v>133</v>
      </c>
      <c r="HD1347" s="19">
        <v>9.9</v>
      </c>
      <c r="HE1347" s="19">
        <v>12.8</v>
      </c>
      <c r="HF1347" s="19">
        <v>11.8</v>
      </c>
      <c r="HG1347" s="19">
        <v>9</v>
      </c>
      <c r="HH1347" s="19">
        <v>8.2</v>
      </c>
      <c r="HI1347" s="19">
        <v>7.3</v>
      </c>
      <c r="HJ1347" s="19">
        <v>6.5</v>
      </c>
      <c r="HK1347" s="19">
        <v>5.2</v>
      </c>
      <c r="HL1347" s="19">
        <v>4.8</v>
      </c>
      <c r="HM1347" s="19">
        <v>4.8</v>
      </c>
      <c r="HN1347" s="19">
        <v>3.5</v>
      </c>
      <c r="HO1347" s="19">
        <v>3</v>
      </c>
      <c r="HP1347" s="19">
        <v>2.5</v>
      </c>
      <c r="HQ1347" s="19">
        <v>0.5</v>
      </c>
      <c r="HR1347" s="20">
        <v>0</v>
      </c>
      <c r="HS1347" s="20">
        <v>0</v>
      </c>
      <c r="HT1347" s="20">
        <v>0</v>
      </c>
      <c r="HU1347" s="20">
        <v>0</v>
      </c>
      <c r="HV1347" s="20">
        <v>0</v>
      </c>
      <c r="HW1347" s="20">
        <v>0</v>
      </c>
      <c r="HX1347" s="19">
        <v>17.5</v>
      </c>
      <c r="HY1347" s="19">
        <v>37.3</v>
      </c>
      <c r="HZ1347" s="19">
        <v>36.3</v>
      </c>
      <c r="IA1347" s="19">
        <v>35.3</v>
      </c>
      <c r="IB1347" s="19">
        <v>34.3</v>
      </c>
      <c r="IC1347" s="19">
        <v>33.3</v>
      </c>
    </row>
    <row r="1348">
      <c r="A1348" s="2" t="s">
        <v>5212</v>
      </c>
      <c r="B1348" s="2" t="s">
        <v>871</v>
      </c>
      <c r="C1348" s="2" t="s">
        <v>853</v>
      </c>
      <c r="D1348" s="2" t="s">
        <v>906</v>
      </c>
      <c r="E1348" s="2" t="s">
        <v>907</v>
      </c>
      <c r="F1348" s="2" t="s">
        <v>5201</v>
      </c>
      <c r="G1348" s="2" t="s">
        <v>5202</v>
      </c>
      <c r="H1348" s="2" t="s">
        <v>3850</v>
      </c>
      <c r="I1348" s="2" t="s">
        <v>5203</v>
      </c>
      <c r="J1348" s="2" t="s">
        <v>365</v>
      </c>
      <c r="K1348" s="2" t="s">
        <v>231</v>
      </c>
      <c r="L1348" s="3">
        <v>34.12</v>
      </c>
      <c r="M1348" s="3">
        <v>35.83</v>
      </c>
      <c r="N1348" s="3">
        <v>74.99</v>
      </c>
      <c r="O1348" s="2" t="s">
        <v>232</v>
      </c>
      <c r="P1348" s="2" t="s">
        <v>233</v>
      </c>
      <c r="Q1348" s="2" t="s">
        <v>234</v>
      </c>
      <c r="R1348" s="2" t="s">
        <v>235</v>
      </c>
      <c r="S1348" s="2" t="s">
        <v>5211</v>
      </c>
      <c r="T1348" s="2" t="s">
        <v>879</v>
      </c>
      <c r="U1348" s="2" t="s">
        <v>552</v>
      </c>
      <c r="V1348" s="2" t="s">
        <v>238</v>
      </c>
      <c r="W1348" s="2" t="s">
        <v>682</v>
      </c>
      <c r="X1348" s="2" t="s">
        <v>239</v>
      </c>
      <c r="Y1348" s="2" t="s">
        <v>1755</v>
      </c>
      <c r="Z1348" s="4">
        <v>90</v>
      </c>
      <c r="AA1348" s="4">
        <f>=ROUNDDOWN(37.5,0)</f>
      </c>
      <c r="AB1348" s="5">
        <v>2.4</v>
      </c>
      <c r="AC1348" s="2" t="s">
        <v>235</v>
      </c>
      <c r="AD1348" s="4"/>
      <c r="AE1348" s="4"/>
      <c r="AF1348" s="6">
        <v>66</v>
      </c>
      <c r="AG1348" s="6"/>
      <c r="AH1348" s="7">
        <v>1</v>
      </c>
      <c r="AI1348" s="4"/>
      <c r="AJ1348" s="4">
        <f>=ROUNDDOWN({0},0)</f>
      </c>
      <c r="AK1348" s="5"/>
      <c r="AL1348" s="2" t="s">
        <v>235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235</v>
      </c>
      <c r="AW1348" s="8" t="s">
        <v>235</v>
      </c>
      <c r="AX1348" s="4" t="s">
        <v>235</v>
      </c>
      <c r="AY1348" s="8" t="s">
        <v>235</v>
      </c>
      <c r="AZ1348" s="7" t="s">
        <v>235</v>
      </c>
      <c r="BA1348" s="7" t="s">
        <v>235</v>
      </c>
      <c r="BB1348" s="7"/>
      <c r="BC1348" s="4" t="s">
        <v>235</v>
      </c>
      <c r="BD1348" s="8" t="s">
        <v>235</v>
      </c>
      <c r="BE1348" s="4" t="s">
        <v>235</v>
      </c>
      <c r="BF1348" s="8" t="s">
        <v>235</v>
      </c>
      <c r="BG1348" s="7" t="s">
        <v>235</v>
      </c>
      <c r="BH1348" s="7" t="s">
        <v>235</v>
      </c>
      <c r="BI1348" s="7"/>
      <c r="BJ1348" s="4">
        <v>8</v>
      </c>
      <c r="BK1348" s="8">
        <v>335.56</v>
      </c>
      <c r="BL1348" s="2" t="s">
        <v>3370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5205</v>
      </c>
      <c r="BV1348" s="2" t="s">
        <v>243</v>
      </c>
      <c r="BW1348" s="2" t="s">
        <v>235</v>
      </c>
      <c r="BX1348" s="2" t="s">
        <v>383</v>
      </c>
      <c r="BY1348" s="2" t="s">
        <v>245</v>
      </c>
      <c r="BZ1348" s="2" t="s">
        <v>232</v>
      </c>
      <c r="CA1348" s="2" t="s">
        <v>1973</v>
      </c>
      <c r="CB1348" s="2" t="s">
        <v>4826</v>
      </c>
      <c r="CC1348" s="2" t="s">
        <v>248</v>
      </c>
      <c r="CD1348" s="2" t="s">
        <v>248</v>
      </c>
      <c r="CE1348" s="2" t="s">
        <v>235</v>
      </c>
      <c r="CF1348" s="4">
        <v>90</v>
      </c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>
        <v>90</v>
      </c>
      <c r="GE1348" s="4">
        <v>83</v>
      </c>
      <c r="GF1348" s="4">
        <v>80</v>
      </c>
      <c r="GG1348" s="4">
        <v>77</v>
      </c>
      <c r="GH1348" s="4">
        <v>74</v>
      </c>
      <c r="GI1348" s="4">
        <v>71</v>
      </c>
      <c r="GJ1348" s="4">
        <v>68</v>
      </c>
      <c r="GK1348" s="4">
        <v>64</v>
      </c>
      <c r="GL1348" s="4">
        <v>60</v>
      </c>
      <c r="GM1348" s="4">
        <v>57</v>
      </c>
      <c r="GN1348" s="4">
        <v>54</v>
      </c>
      <c r="GO1348" s="4">
        <v>50</v>
      </c>
      <c r="GP1348" s="4">
        <v>46</v>
      </c>
      <c r="GQ1348" s="4">
        <v>42</v>
      </c>
      <c r="GR1348" s="4">
        <v>36</v>
      </c>
      <c r="GS1348" s="4">
        <v>31</v>
      </c>
      <c r="GT1348" s="4">
        <v>27</v>
      </c>
      <c r="GU1348" s="4">
        <v>24</v>
      </c>
      <c r="GV1348" s="4">
        <v>21</v>
      </c>
      <c r="GW1348" s="4">
        <v>18</v>
      </c>
      <c r="GX1348" s="4">
        <v>109</v>
      </c>
      <c r="GY1348" s="4">
        <v>106</v>
      </c>
      <c r="GZ1348" s="4">
        <v>103</v>
      </c>
      <c r="HA1348" s="4">
        <v>100</v>
      </c>
      <c r="HB1348" s="4">
        <v>97</v>
      </c>
      <c r="HC1348" s="4">
        <v>94</v>
      </c>
      <c r="HD1348" s="19">
        <v>22.5</v>
      </c>
      <c r="HE1348" s="19">
        <v>27.7</v>
      </c>
      <c r="HF1348" s="19">
        <v>26.7</v>
      </c>
      <c r="HG1348" s="19">
        <v>25.7</v>
      </c>
      <c r="HH1348" s="19">
        <v>18.5</v>
      </c>
      <c r="HI1348" s="19">
        <v>17.8</v>
      </c>
      <c r="HJ1348" s="19">
        <v>17</v>
      </c>
      <c r="HK1348" s="19">
        <v>16</v>
      </c>
      <c r="HL1348" s="19">
        <v>15</v>
      </c>
      <c r="HM1348" s="19">
        <v>14.3</v>
      </c>
      <c r="HN1348" s="19">
        <v>13.5</v>
      </c>
      <c r="HO1348" s="19">
        <v>10</v>
      </c>
      <c r="HP1348" s="19">
        <v>9.2</v>
      </c>
      <c r="HQ1348" s="19">
        <v>10.5</v>
      </c>
      <c r="HR1348" s="19">
        <v>9</v>
      </c>
      <c r="HS1348" s="19">
        <v>10.3</v>
      </c>
      <c r="HT1348" s="19">
        <v>9</v>
      </c>
      <c r="HU1348" s="19">
        <v>8</v>
      </c>
      <c r="HV1348" s="19">
        <v>7</v>
      </c>
      <c r="HW1348" s="19">
        <v>6</v>
      </c>
      <c r="HX1348" s="19">
        <v>36.3</v>
      </c>
      <c r="HY1348" s="19">
        <v>35.3</v>
      </c>
      <c r="HZ1348" s="19">
        <v>34.3</v>
      </c>
      <c r="IA1348" s="19">
        <v>33.3</v>
      </c>
      <c r="IB1348" s="19">
        <v>32.3</v>
      </c>
      <c r="IC1348" s="19">
        <v>31.3</v>
      </c>
    </row>
    <row r="1349">
      <c r="A1349" s="2" t="s">
        <v>5213</v>
      </c>
      <c r="B1349" s="2" t="s">
        <v>871</v>
      </c>
      <c r="C1349" s="2" t="s">
        <v>853</v>
      </c>
      <c r="D1349" s="2" t="s">
        <v>906</v>
      </c>
      <c r="E1349" s="2" t="s">
        <v>907</v>
      </c>
      <c r="F1349" s="2" t="s">
        <v>5201</v>
      </c>
      <c r="G1349" s="2" t="s">
        <v>5202</v>
      </c>
      <c r="H1349" s="2" t="s">
        <v>3850</v>
      </c>
      <c r="I1349" s="2" t="s">
        <v>5203</v>
      </c>
      <c r="J1349" s="2" t="s">
        <v>877</v>
      </c>
      <c r="K1349" s="2" t="s">
        <v>292</v>
      </c>
      <c r="L1349" s="3">
        <v>26.19</v>
      </c>
      <c r="M1349" s="3">
        <v>27.5</v>
      </c>
      <c r="N1349" s="3">
        <v>54.99</v>
      </c>
      <c r="O1349" s="2" t="s">
        <v>485</v>
      </c>
      <c r="P1349" s="2" t="s">
        <v>408</v>
      </c>
      <c r="Q1349" s="2" t="s">
        <v>234</v>
      </c>
      <c r="R1349" s="2" t="s">
        <v>235</v>
      </c>
      <c r="S1349" s="2" t="s">
        <v>5214</v>
      </c>
      <c r="T1349" s="2" t="s">
        <v>879</v>
      </c>
      <c r="U1349" s="2" t="s">
        <v>278</v>
      </c>
      <c r="V1349" s="2" t="s">
        <v>238</v>
      </c>
      <c r="W1349" s="2" t="s">
        <v>682</v>
      </c>
      <c r="X1349" s="2" t="s">
        <v>239</v>
      </c>
      <c r="Y1349" s="2" t="s">
        <v>5215</v>
      </c>
      <c r="Z1349" s="4">
        <v>111</v>
      </c>
      <c r="AA1349" s="4">
        <f>=ROUNDDOWN(111,0)</f>
      </c>
      <c r="AB1349" s="5">
        <v>1</v>
      </c>
      <c r="AC1349" s="2" t="s">
        <v>235</v>
      </c>
      <c r="AD1349" s="4"/>
      <c r="AE1349" s="4"/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235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235</v>
      </c>
      <c r="AW1349" s="8" t="s">
        <v>235</v>
      </c>
      <c r="AX1349" s="4" t="s">
        <v>235</v>
      </c>
      <c r="AY1349" s="8" t="s">
        <v>235</v>
      </c>
      <c r="AZ1349" s="7" t="s">
        <v>235</v>
      </c>
      <c r="BA1349" s="7" t="s">
        <v>235</v>
      </c>
      <c r="BB1349" s="7"/>
      <c r="BC1349" s="4" t="s">
        <v>235</v>
      </c>
      <c r="BD1349" s="8" t="s">
        <v>235</v>
      </c>
      <c r="BE1349" s="4" t="s">
        <v>235</v>
      </c>
      <c r="BF1349" s="8" t="s">
        <v>235</v>
      </c>
      <c r="BG1349" s="7" t="s">
        <v>235</v>
      </c>
      <c r="BH1349" s="7" t="s">
        <v>235</v>
      </c>
      <c r="BI1349" s="7"/>
      <c r="BJ1349" s="4">
        <v>3</v>
      </c>
      <c r="BK1349" s="8">
        <v>89.52</v>
      </c>
      <c r="BL1349" s="2" t="s">
        <v>5216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5205</v>
      </c>
      <c r="BV1349" s="2" t="s">
        <v>243</v>
      </c>
      <c r="BW1349" s="2" t="s">
        <v>235</v>
      </c>
      <c r="BX1349" s="2" t="s">
        <v>414</v>
      </c>
      <c r="BY1349" s="2" t="s">
        <v>245</v>
      </c>
      <c r="BZ1349" s="2" t="s">
        <v>232</v>
      </c>
      <c r="CA1349" s="2" t="s">
        <v>5217</v>
      </c>
      <c r="CB1349" s="2" t="s">
        <v>5218</v>
      </c>
      <c r="CC1349" s="2" t="s">
        <v>248</v>
      </c>
      <c r="CD1349" s="2" t="s">
        <v>248</v>
      </c>
      <c r="CE1349" s="2" t="s">
        <v>235</v>
      </c>
      <c r="CF1349" s="4">
        <v>111</v>
      </c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>
        <v>260</v>
      </c>
      <c r="GE1349" s="4">
        <v>109</v>
      </c>
      <c r="GF1349" s="4">
        <v>108</v>
      </c>
      <c r="GG1349" s="4">
        <v>107</v>
      </c>
      <c r="GH1349" s="4">
        <v>106</v>
      </c>
      <c r="GI1349" s="4">
        <v>105</v>
      </c>
      <c r="GJ1349" s="4">
        <v>104</v>
      </c>
      <c r="GK1349" s="4">
        <v>103</v>
      </c>
      <c r="GL1349" s="4">
        <v>102</v>
      </c>
      <c r="GM1349" s="4">
        <v>101</v>
      </c>
      <c r="GN1349" s="4">
        <v>98</v>
      </c>
      <c r="GO1349" s="4">
        <v>95</v>
      </c>
      <c r="GP1349" s="4">
        <v>92</v>
      </c>
      <c r="GQ1349" s="4">
        <v>89</v>
      </c>
      <c r="GR1349" s="4">
        <v>86</v>
      </c>
      <c r="GS1349" s="4">
        <v>83</v>
      </c>
      <c r="GT1349" s="4">
        <v>80</v>
      </c>
      <c r="GU1349" s="4">
        <v>77</v>
      </c>
      <c r="GV1349" s="4">
        <v>76</v>
      </c>
      <c r="GW1349" s="4">
        <v>75</v>
      </c>
      <c r="GX1349" s="4">
        <v>74</v>
      </c>
      <c r="GY1349" s="4">
        <v>73</v>
      </c>
      <c r="GZ1349" s="4">
        <v>72</v>
      </c>
      <c r="HA1349" s="4">
        <v>71</v>
      </c>
      <c r="HB1349" s="4">
        <v>70</v>
      </c>
      <c r="HC1349" s="4">
        <v>69</v>
      </c>
      <c r="HD1349" s="19">
        <v>6.8</v>
      </c>
      <c r="HE1349" s="19">
        <v>109</v>
      </c>
      <c r="HF1349" s="19">
        <v>108</v>
      </c>
      <c r="HG1349" s="19">
        <v>107</v>
      </c>
      <c r="HH1349" s="19">
        <v>106</v>
      </c>
      <c r="HI1349" s="19">
        <v>105</v>
      </c>
      <c r="HJ1349" s="19">
        <v>52</v>
      </c>
      <c r="HK1349" s="19">
        <v>51.5</v>
      </c>
      <c r="HL1349" s="19">
        <v>51</v>
      </c>
      <c r="HM1349" s="19">
        <v>33.7</v>
      </c>
      <c r="HN1349" s="19">
        <v>32.7</v>
      </c>
      <c r="HO1349" s="19">
        <v>31.7</v>
      </c>
      <c r="HP1349" s="19">
        <v>30.7</v>
      </c>
      <c r="HQ1349" s="19">
        <v>29.7</v>
      </c>
      <c r="HR1349" s="19">
        <v>43</v>
      </c>
      <c r="HS1349" s="19">
        <v>41.5</v>
      </c>
      <c r="HT1349" s="19">
        <v>40</v>
      </c>
      <c r="HU1349" s="19">
        <v>77</v>
      </c>
      <c r="HV1349" s="19">
        <v>76</v>
      </c>
      <c r="HW1349" s="19">
        <v>75</v>
      </c>
      <c r="HX1349" s="19">
        <v>74</v>
      </c>
      <c r="HY1349" s="19">
        <v>73</v>
      </c>
      <c r="HZ1349" s="19">
        <v>72</v>
      </c>
      <c r="IA1349" s="19">
        <v>71</v>
      </c>
      <c r="IB1349" s="19">
        <v>70</v>
      </c>
      <c r="IC1349" s="19">
        <v>69</v>
      </c>
    </row>
    <row r="1350">
      <c r="A1350" s="2" t="s">
        <v>5219</v>
      </c>
      <c r="B1350" s="2" t="s">
        <v>871</v>
      </c>
      <c r="C1350" s="2" t="s">
        <v>853</v>
      </c>
      <c r="D1350" s="2" t="s">
        <v>906</v>
      </c>
      <c r="E1350" s="2" t="s">
        <v>907</v>
      </c>
      <c r="F1350" s="2" t="s">
        <v>5201</v>
      </c>
      <c r="G1350" s="2" t="s">
        <v>5202</v>
      </c>
      <c r="H1350" s="2" t="s">
        <v>3850</v>
      </c>
      <c r="I1350" s="2" t="s">
        <v>5203</v>
      </c>
      <c r="J1350" s="2" t="s">
        <v>365</v>
      </c>
      <c r="K1350" s="2" t="s">
        <v>292</v>
      </c>
      <c r="L1350" s="3">
        <v>30.95</v>
      </c>
      <c r="M1350" s="3">
        <v>32.5</v>
      </c>
      <c r="N1350" s="3">
        <v>64.99</v>
      </c>
      <c r="O1350" s="2" t="s">
        <v>485</v>
      </c>
      <c r="P1350" s="2" t="s">
        <v>408</v>
      </c>
      <c r="Q1350" s="2" t="s">
        <v>234</v>
      </c>
      <c r="R1350" s="2" t="s">
        <v>235</v>
      </c>
      <c r="S1350" s="2" t="s">
        <v>5214</v>
      </c>
      <c r="T1350" s="2" t="s">
        <v>879</v>
      </c>
      <c r="U1350" s="2" t="s">
        <v>552</v>
      </c>
      <c r="V1350" s="2" t="s">
        <v>238</v>
      </c>
      <c r="W1350" s="2" t="s">
        <v>682</v>
      </c>
      <c r="X1350" s="2" t="s">
        <v>239</v>
      </c>
      <c r="Y1350" s="2" t="s">
        <v>3964</v>
      </c>
      <c r="Z1350" s="4">
        <v>264</v>
      </c>
      <c r="AA1350" s="4">
        <f>=ROUNDDOWN(132,0)</f>
      </c>
      <c r="AB1350" s="5">
        <v>2</v>
      </c>
      <c r="AC1350" s="2" t="s">
        <v>235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235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235</v>
      </c>
      <c r="AW1350" s="8" t="s">
        <v>235</v>
      </c>
      <c r="AX1350" s="4" t="s">
        <v>235</v>
      </c>
      <c r="AY1350" s="8" t="s">
        <v>235</v>
      </c>
      <c r="AZ1350" s="7" t="s">
        <v>235</v>
      </c>
      <c r="BA1350" s="7" t="s">
        <v>235</v>
      </c>
      <c r="BB1350" s="7"/>
      <c r="BC1350" s="4" t="s">
        <v>235</v>
      </c>
      <c r="BD1350" s="8" t="s">
        <v>235</v>
      </c>
      <c r="BE1350" s="4" t="s">
        <v>235</v>
      </c>
      <c r="BF1350" s="8" t="s">
        <v>235</v>
      </c>
      <c r="BG1350" s="7" t="s">
        <v>235</v>
      </c>
      <c r="BH1350" s="7" t="s">
        <v>235</v>
      </c>
      <c r="BI1350" s="7"/>
      <c r="BJ1350" s="4">
        <v>5</v>
      </c>
      <c r="BK1350" s="8">
        <v>195.4</v>
      </c>
      <c r="BL1350" s="2" t="s">
        <v>473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5205</v>
      </c>
      <c r="BV1350" s="2" t="s">
        <v>243</v>
      </c>
      <c r="BW1350" s="2" t="s">
        <v>235</v>
      </c>
      <c r="BX1350" s="2" t="s">
        <v>414</v>
      </c>
      <c r="BY1350" s="2" t="s">
        <v>245</v>
      </c>
      <c r="BZ1350" s="2" t="s">
        <v>232</v>
      </c>
      <c r="CA1350" s="2" t="s">
        <v>5217</v>
      </c>
      <c r="CB1350" s="2" t="s">
        <v>4019</v>
      </c>
      <c r="CC1350" s="2" t="s">
        <v>248</v>
      </c>
      <c r="CD1350" s="2" t="s">
        <v>248</v>
      </c>
      <c r="CE1350" s="2" t="s">
        <v>235</v>
      </c>
      <c r="CF1350" s="4">
        <v>264</v>
      </c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>
        <v>264</v>
      </c>
      <c r="GE1350" s="4">
        <v>262</v>
      </c>
      <c r="GF1350" s="4">
        <v>260</v>
      </c>
      <c r="GG1350" s="4">
        <v>258</v>
      </c>
      <c r="GH1350" s="4">
        <v>256</v>
      </c>
      <c r="GI1350" s="4">
        <v>254</v>
      </c>
      <c r="GJ1350" s="4">
        <v>252</v>
      </c>
      <c r="GK1350" s="4">
        <v>250</v>
      </c>
      <c r="GL1350" s="4">
        <v>248</v>
      </c>
      <c r="GM1350" s="4">
        <v>246</v>
      </c>
      <c r="GN1350" s="4">
        <v>242</v>
      </c>
      <c r="GO1350" s="4">
        <v>238</v>
      </c>
      <c r="GP1350" s="4">
        <v>234</v>
      </c>
      <c r="GQ1350" s="4">
        <v>230</v>
      </c>
      <c r="GR1350" s="4">
        <v>226</v>
      </c>
      <c r="GS1350" s="4">
        <v>222</v>
      </c>
      <c r="GT1350" s="4">
        <v>218</v>
      </c>
      <c r="GU1350" s="4">
        <v>214</v>
      </c>
      <c r="GV1350" s="4">
        <v>212</v>
      </c>
      <c r="GW1350" s="4">
        <v>210</v>
      </c>
      <c r="GX1350" s="4">
        <v>208</v>
      </c>
      <c r="GY1350" s="4">
        <v>206</v>
      </c>
      <c r="GZ1350" s="4">
        <v>204</v>
      </c>
      <c r="HA1350" s="4">
        <v>202</v>
      </c>
      <c r="HB1350" s="4">
        <v>200</v>
      </c>
      <c r="HC1350" s="4">
        <v>198</v>
      </c>
      <c r="HD1350" s="19">
        <v>132</v>
      </c>
      <c r="HE1350" s="19">
        <v>131</v>
      </c>
      <c r="HF1350" s="19">
        <v>130</v>
      </c>
      <c r="HG1350" s="19">
        <v>129</v>
      </c>
      <c r="HH1350" s="19">
        <v>128</v>
      </c>
      <c r="HI1350" s="19">
        <v>127</v>
      </c>
      <c r="HJ1350" s="19">
        <v>126</v>
      </c>
      <c r="HK1350" s="19">
        <v>83.3</v>
      </c>
      <c r="HL1350" s="19">
        <v>62</v>
      </c>
      <c r="HM1350" s="19">
        <v>61.5</v>
      </c>
      <c r="HN1350" s="19">
        <v>60.5</v>
      </c>
      <c r="HO1350" s="19">
        <v>59.5</v>
      </c>
      <c r="HP1350" s="19">
        <v>58.5</v>
      </c>
      <c r="HQ1350" s="19">
        <v>57.5</v>
      </c>
      <c r="HR1350" s="19">
        <v>56.5</v>
      </c>
      <c r="HS1350" s="19">
        <v>74</v>
      </c>
      <c r="HT1350" s="19">
        <v>109</v>
      </c>
      <c r="HU1350" s="19">
        <v>107</v>
      </c>
      <c r="HV1350" s="19">
        <v>106</v>
      </c>
      <c r="HW1350" s="19">
        <v>105</v>
      </c>
      <c r="HX1350" s="19">
        <v>104</v>
      </c>
      <c r="HY1350" s="19">
        <v>103</v>
      </c>
      <c r="HZ1350" s="19">
        <v>102</v>
      </c>
      <c r="IA1350" s="19">
        <v>101</v>
      </c>
      <c r="IB1350" s="19">
        <v>100</v>
      </c>
      <c r="IC1350" s="19">
        <v>99</v>
      </c>
    </row>
    <row r="1351">
      <c r="A1351" s="2" t="s">
        <v>5220</v>
      </c>
      <c r="B1351" s="2" t="s">
        <v>871</v>
      </c>
      <c r="C1351" s="2" t="s">
        <v>853</v>
      </c>
      <c r="D1351" s="2" t="s">
        <v>906</v>
      </c>
      <c r="E1351" s="2" t="s">
        <v>907</v>
      </c>
      <c r="F1351" s="2" t="s">
        <v>5201</v>
      </c>
      <c r="G1351" s="2" t="s">
        <v>5202</v>
      </c>
      <c r="H1351" s="2" t="s">
        <v>3850</v>
      </c>
      <c r="I1351" s="2" t="s">
        <v>5203</v>
      </c>
      <c r="J1351" s="2" t="s">
        <v>877</v>
      </c>
      <c r="K1351" s="2" t="s">
        <v>2100</v>
      </c>
      <c r="L1351" s="3">
        <v>28.5</v>
      </c>
      <c r="M1351" s="3">
        <v>29.92</v>
      </c>
      <c r="N1351" s="3">
        <v>59.99</v>
      </c>
      <c r="O1351" s="2" t="s">
        <v>232</v>
      </c>
      <c r="P1351" s="2" t="s">
        <v>233</v>
      </c>
      <c r="Q1351" s="2" t="s">
        <v>234</v>
      </c>
      <c r="R1351" s="2" t="s">
        <v>235</v>
      </c>
      <c r="S1351" s="2" t="s">
        <v>5221</v>
      </c>
      <c r="T1351" s="2" t="s">
        <v>879</v>
      </c>
      <c r="U1351" s="2" t="s">
        <v>278</v>
      </c>
      <c r="V1351" s="2" t="s">
        <v>238</v>
      </c>
      <c r="W1351" s="2" t="s">
        <v>682</v>
      </c>
      <c r="X1351" s="2" t="s">
        <v>239</v>
      </c>
      <c r="Y1351" s="2" t="s">
        <v>3964</v>
      </c>
      <c r="Z1351" s="4">
        <v>221</v>
      </c>
      <c r="AA1351" s="4">
        <f>=ROUNDDOWN(736.666666666667,0)</f>
      </c>
      <c r="AB1351" s="5">
        <v>0.3</v>
      </c>
      <c r="AC1351" s="2" t="s">
        <v>235</v>
      </c>
      <c r="AD1351" s="4"/>
      <c r="AE1351" s="4"/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235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 t="s">
        <v>235</v>
      </c>
      <c r="BD1351" s="8" t="s">
        <v>235</v>
      </c>
      <c r="BE1351" s="4" t="s">
        <v>235</v>
      </c>
      <c r="BF1351" s="8" t="s">
        <v>235</v>
      </c>
      <c r="BG1351" s="7" t="s">
        <v>235</v>
      </c>
      <c r="BH1351" s="7" t="s">
        <v>235</v>
      </c>
      <c r="BI1351" s="7"/>
      <c r="BJ1351" s="4">
        <v>2</v>
      </c>
      <c r="BK1351" s="8">
        <v>62.47</v>
      </c>
      <c r="BL1351" s="2" t="s">
        <v>602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5205</v>
      </c>
      <c r="BV1351" s="2" t="s">
        <v>243</v>
      </c>
      <c r="BW1351" s="2" t="s">
        <v>235</v>
      </c>
      <c r="BX1351" s="2" t="s">
        <v>383</v>
      </c>
      <c r="BY1351" s="2" t="s">
        <v>245</v>
      </c>
      <c r="BZ1351" s="2" t="s">
        <v>232</v>
      </c>
      <c r="CA1351" s="2" t="s">
        <v>5217</v>
      </c>
      <c r="CB1351" s="2" t="s">
        <v>615</v>
      </c>
      <c r="CC1351" s="2" t="s">
        <v>248</v>
      </c>
      <c r="CD1351" s="2" t="s">
        <v>248</v>
      </c>
      <c r="CE1351" s="2" t="s">
        <v>235</v>
      </c>
      <c r="CF1351" s="4">
        <v>221</v>
      </c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>
        <v>221</v>
      </c>
      <c r="GE1351" s="4">
        <v>221</v>
      </c>
      <c r="GF1351" s="4">
        <v>221</v>
      </c>
      <c r="GG1351" s="4">
        <v>221</v>
      </c>
      <c r="GH1351" s="4">
        <v>221</v>
      </c>
      <c r="GI1351" s="4">
        <v>221</v>
      </c>
      <c r="GJ1351" s="4">
        <v>221</v>
      </c>
      <c r="GK1351" s="4">
        <v>221</v>
      </c>
      <c r="GL1351" s="4">
        <v>221</v>
      </c>
      <c r="GM1351" s="4">
        <v>221</v>
      </c>
      <c r="GN1351" s="4">
        <v>221</v>
      </c>
      <c r="GO1351" s="4">
        <v>221</v>
      </c>
      <c r="GP1351" s="4">
        <v>221</v>
      </c>
      <c r="GQ1351" s="4">
        <v>221</v>
      </c>
      <c r="GR1351" s="4">
        <v>221</v>
      </c>
      <c r="GS1351" s="4">
        <v>221</v>
      </c>
      <c r="GT1351" s="4">
        <v>221</v>
      </c>
      <c r="GU1351" s="4">
        <v>221</v>
      </c>
      <c r="GV1351" s="4">
        <v>221</v>
      </c>
      <c r="GW1351" s="4">
        <v>221</v>
      </c>
      <c r="GX1351" s="4">
        <v>221</v>
      </c>
      <c r="GY1351" s="4">
        <v>221</v>
      </c>
      <c r="GZ1351" s="4">
        <v>221</v>
      </c>
      <c r="HA1351" s="4">
        <v>221</v>
      </c>
      <c r="HB1351" s="4">
        <v>221</v>
      </c>
      <c r="HC1351" s="4">
        <v>221</v>
      </c>
      <c r="HD1351" s="9"/>
      <c r="HE1351" s="9"/>
      <c r="HF1351" s="9"/>
      <c r="HG1351" s="9"/>
      <c r="HH1351" s="9"/>
      <c r="HI1351" s="9"/>
      <c r="HJ1351" s="9"/>
      <c r="HK1351" s="9"/>
      <c r="HL1351" s="9"/>
      <c r="HM1351" s="9"/>
      <c r="HN1351" s="9"/>
      <c r="HO1351" s="9"/>
      <c r="HP1351" s="9"/>
      <c r="HQ1351" s="9"/>
      <c r="HR1351" s="9"/>
      <c r="HS1351" s="9"/>
      <c r="HT1351" s="9"/>
      <c r="HU1351" s="9"/>
      <c r="HV1351" s="9"/>
      <c r="HW1351" s="9"/>
      <c r="HX1351" s="9"/>
      <c r="HY1351" s="9"/>
      <c r="HZ1351" s="9"/>
      <c r="IA1351" s="9"/>
      <c r="IB1351" s="9"/>
      <c r="IC1351" s="9"/>
    </row>
    <row r="1352">
      <c r="A1352" s="2" t="s">
        <v>5222</v>
      </c>
      <c r="B1352" s="2" t="s">
        <v>800</v>
      </c>
      <c r="C1352" s="2" t="s">
        <v>893</v>
      </c>
      <c r="D1352" s="2" t="s">
        <v>960</v>
      </c>
      <c r="E1352" s="2" t="s">
        <v>961</v>
      </c>
      <c r="F1352" s="2" t="s">
        <v>5223</v>
      </c>
      <c r="G1352" s="2" t="s">
        <v>5223</v>
      </c>
      <c r="H1352" s="2" t="s">
        <v>5223</v>
      </c>
      <c r="I1352" s="2" t="s">
        <v>5224</v>
      </c>
      <c r="J1352" s="2" t="s">
        <v>897</v>
      </c>
      <c r="K1352" s="2" t="s">
        <v>735</v>
      </c>
      <c r="L1352" s="3">
        <v>33</v>
      </c>
      <c r="M1352" s="3">
        <v>34.65</v>
      </c>
      <c r="N1352" s="3">
        <v>69.99</v>
      </c>
      <c r="O1352" s="2" t="s">
        <v>232</v>
      </c>
      <c r="P1352" s="2" t="s">
        <v>233</v>
      </c>
      <c r="Q1352" s="2" t="s">
        <v>234</v>
      </c>
      <c r="R1352" s="2" t="s">
        <v>235</v>
      </c>
      <c r="S1352" s="2" t="s">
        <v>235</v>
      </c>
      <c r="T1352" s="2" t="s">
        <v>235</v>
      </c>
      <c r="U1352" s="2" t="s">
        <v>807</v>
      </c>
      <c r="V1352" s="2" t="s">
        <v>808</v>
      </c>
      <c r="W1352" s="2" t="s">
        <v>682</v>
      </c>
      <c r="X1352" s="2" t="s">
        <v>329</v>
      </c>
      <c r="Y1352" s="2" t="s">
        <v>2754</v>
      </c>
      <c r="Z1352" s="4">
        <v>75</v>
      </c>
      <c r="AA1352" s="4">
        <f>=ROUNDDOWN(18.75,0)</f>
      </c>
      <c r="AB1352" s="5">
        <v>4</v>
      </c>
      <c r="AC1352" s="2" t="s">
        <v>235</v>
      </c>
      <c r="AD1352" s="4"/>
      <c r="AE1352" s="4"/>
      <c r="AF1352" s="6">
        <v>64</v>
      </c>
      <c r="AG1352" s="6"/>
      <c r="AH1352" s="7">
        <v>0.6452</v>
      </c>
      <c r="AI1352" s="4"/>
      <c r="AJ1352" s="4">
        <f>=ROUNDDOWN({0},0)</f>
      </c>
      <c r="AK1352" s="5"/>
      <c r="AL1352" s="2" t="s">
        <v>235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/>
      <c r="BD1352" s="8"/>
      <c r="BE1352" s="4"/>
      <c r="BF1352" s="8"/>
      <c r="BG1352" s="7"/>
      <c r="BH1352" s="7"/>
      <c r="BI1352" s="7"/>
      <c r="BJ1352" s="4">
        <v>12</v>
      </c>
      <c r="BK1352" s="8">
        <v>459.78</v>
      </c>
      <c r="BL1352" s="2" t="s">
        <v>5225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5226</v>
      </c>
      <c r="BV1352" s="2" t="s">
        <v>813</v>
      </c>
      <c r="BW1352" s="2" t="s">
        <v>235</v>
      </c>
      <c r="BX1352" s="2" t="s">
        <v>244</v>
      </c>
      <c r="BY1352" s="2" t="s">
        <v>245</v>
      </c>
      <c r="BZ1352" s="2" t="s">
        <v>232</v>
      </c>
      <c r="CA1352" s="2" t="s">
        <v>2140</v>
      </c>
      <c r="CB1352" s="2" t="s">
        <v>2743</v>
      </c>
      <c r="CC1352" s="2" t="s">
        <v>248</v>
      </c>
      <c r="CD1352" s="2" t="s">
        <v>248</v>
      </c>
      <c r="CE1352" s="2" t="s">
        <v>235</v>
      </c>
      <c r="CF1352" s="4"/>
      <c r="CG1352" s="4">
        <v>75</v>
      </c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>
        <v>85</v>
      </c>
      <c r="GE1352" s="4">
        <v>65</v>
      </c>
      <c r="GF1352" s="4">
        <v>61</v>
      </c>
      <c r="GG1352" s="4">
        <v>57</v>
      </c>
      <c r="GH1352" s="4">
        <v>53</v>
      </c>
      <c r="GI1352" s="4">
        <v>49</v>
      </c>
      <c r="GJ1352" s="4">
        <v>45</v>
      </c>
      <c r="GK1352" s="4">
        <v>41</v>
      </c>
      <c r="GL1352" s="4">
        <v>37</v>
      </c>
      <c r="GM1352" s="4">
        <v>33</v>
      </c>
      <c r="GN1352" s="4">
        <v>29</v>
      </c>
      <c r="GO1352" s="4">
        <v>24</v>
      </c>
      <c r="GP1352" s="4">
        <v>19</v>
      </c>
      <c r="GQ1352" s="4">
        <v>15</v>
      </c>
      <c r="GR1352" s="4">
        <v>11</v>
      </c>
      <c r="GS1352" s="4">
        <v>6</v>
      </c>
      <c r="GT1352" s="4">
        <v>2</v>
      </c>
      <c r="GU1352" s="4"/>
      <c r="GV1352" s="4">
        <v>141</v>
      </c>
      <c r="GW1352" s="4">
        <v>135</v>
      </c>
      <c r="GX1352" s="4">
        <v>131</v>
      </c>
      <c r="GY1352" s="4">
        <v>127</v>
      </c>
      <c r="GZ1352" s="4">
        <v>123</v>
      </c>
      <c r="HA1352" s="4">
        <v>119</v>
      </c>
      <c r="HB1352" s="4">
        <v>115</v>
      </c>
      <c r="HC1352" s="4">
        <v>110</v>
      </c>
      <c r="HD1352" s="19">
        <v>10.6</v>
      </c>
      <c r="HE1352" s="19">
        <v>16.3</v>
      </c>
      <c r="HF1352" s="19">
        <v>15.3</v>
      </c>
      <c r="HG1352" s="19">
        <v>14.3</v>
      </c>
      <c r="HH1352" s="19">
        <v>13.3</v>
      </c>
      <c r="HI1352" s="19">
        <v>12.3</v>
      </c>
      <c r="HJ1352" s="19">
        <v>11.3</v>
      </c>
      <c r="HK1352" s="19">
        <v>10.3</v>
      </c>
      <c r="HL1352" s="19">
        <v>9.3</v>
      </c>
      <c r="HM1352" s="19">
        <v>8.3</v>
      </c>
      <c r="HN1352" s="19">
        <v>7.3</v>
      </c>
      <c r="HO1352" s="19">
        <v>6</v>
      </c>
      <c r="HP1352" s="19">
        <v>4.8</v>
      </c>
      <c r="HQ1352" s="19">
        <v>3.8</v>
      </c>
      <c r="HR1352" s="19">
        <v>2.8</v>
      </c>
      <c r="HS1352" s="19">
        <v>1.5</v>
      </c>
      <c r="HT1352" s="19">
        <v>0.5</v>
      </c>
      <c r="HU1352" s="20">
        <v>0</v>
      </c>
      <c r="HV1352" s="19">
        <v>35.3</v>
      </c>
      <c r="HW1352" s="19">
        <v>33.8</v>
      </c>
      <c r="HX1352" s="19">
        <v>32.8</v>
      </c>
      <c r="HY1352" s="19">
        <v>31.8</v>
      </c>
      <c r="HZ1352" s="19">
        <v>30.8</v>
      </c>
      <c r="IA1352" s="19">
        <v>29.8</v>
      </c>
      <c r="IB1352" s="19">
        <v>28.8</v>
      </c>
      <c r="IC1352" s="19">
        <v>27.5</v>
      </c>
    </row>
    <row r="1353">
      <c r="A1353" s="2" t="s">
        <v>5227</v>
      </c>
      <c r="B1353" s="2" t="s">
        <v>1529</v>
      </c>
      <c r="C1353" s="2" t="s">
        <v>1381</v>
      </c>
      <c r="D1353" s="2" t="s">
        <v>1417</v>
      </c>
      <c r="E1353" s="2" t="s">
        <v>1530</v>
      </c>
      <c r="F1353" s="2" t="s">
        <v>5228</v>
      </c>
      <c r="G1353" s="2" t="s">
        <v>5228</v>
      </c>
      <c r="H1353" s="2" t="s">
        <v>5228</v>
      </c>
      <c r="I1353" s="2" t="s">
        <v>5229</v>
      </c>
      <c r="J1353" s="2" t="s">
        <v>897</v>
      </c>
      <c r="K1353" s="2" t="s">
        <v>612</v>
      </c>
      <c r="L1353" s="3">
        <v>339.29</v>
      </c>
      <c r="M1353" s="3">
        <v>356.25</v>
      </c>
      <c r="N1353" s="3">
        <v>999</v>
      </c>
      <c r="O1353" s="2" t="s">
        <v>232</v>
      </c>
      <c r="P1353" s="2" t="s">
        <v>1533</v>
      </c>
      <c r="Q1353" s="2" t="s">
        <v>234</v>
      </c>
      <c r="R1353" s="2" t="s">
        <v>235</v>
      </c>
      <c r="S1353" s="2" t="s">
        <v>235</v>
      </c>
      <c r="T1353" s="2" t="s">
        <v>235</v>
      </c>
      <c r="U1353" s="2" t="s">
        <v>807</v>
      </c>
      <c r="V1353" s="2" t="s">
        <v>238</v>
      </c>
      <c r="W1353" s="2" t="s">
        <v>235</v>
      </c>
      <c r="X1353" s="2" t="s">
        <v>235</v>
      </c>
      <c r="Y1353" s="2" t="s">
        <v>1534</v>
      </c>
      <c r="Z1353" s="4"/>
      <c r="AA1353" s="4">
        <f>=ROUNDDOWN({0},0)</f>
      </c>
      <c r="AB1353" s="5">
        <v>0.3</v>
      </c>
      <c r="AC1353" s="2" t="s">
        <v>235</v>
      </c>
      <c r="AD1353" s="4"/>
      <c r="AE1353" s="4"/>
      <c r="AF1353" s="6"/>
      <c r="AG1353" s="6"/>
      <c r="AH1353" s="7">
        <v>0</v>
      </c>
      <c r="AI1353" s="4"/>
      <c r="AJ1353" s="4">
        <f>=ROUNDDOWN({0},0)</f>
      </c>
      <c r="AK1353" s="5"/>
      <c r="AL1353" s="2" t="s">
        <v>235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235</v>
      </c>
      <c r="BD1353" s="8" t="s">
        <v>235</v>
      </c>
      <c r="BE1353" s="4" t="s">
        <v>235</v>
      </c>
      <c r="BF1353" s="8" t="s">
        <v>235</v>
      </c>
      <c r="BG1353" s="7" t="s">
        <v>235</v>
      </c>
      <c r="BH1353" s="7" t="s">
        <v>235</v>
      </c>
      <c r="BI1353" s="7"/>
      <c r="BJ1353" s="4"/>
      <c r="BK1353" s="8"/>
      <c r="BL1353" s="2" t="s">
        <v>900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5230</v>
      </c>
      <c r="BV1353" s="2" t="s">
        <v>1448</v>
      </c>
      <c r="BW1353" s="2" t="s">
        <v>235</v>
      </c>
      <c r="BX1353" s="2" t="s">
        <v>244</v>
      </c>
      <c r="BY1353" s="2" t="s">
        <v>245</v>
      </c>
      <c r="BZ1353" s="2" t="s">
        <v>232</v>
      </c>
      <c r="CA1353" s="2" t="s">
        <v>4835</v>
      </c>
      <c r="CB1353" s="2" t="s">
        <v>5231</v>
      </c>
      <c r="CC1353" s="2" t="s">
        <v>248</v>
      </c>
      <c r="CD1353" s="2" t="s">
        <v>248</v>
      </c>
      <c r="CE1353" s="2" t="s">
        <v>235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9"/>
      <c r="HE1353" s="9"/>
      <c r="HF1353" s="9"/>
      <c r="HG1353" s="9"/>
      <c r="HH1353" s="9"/>
      <c r="HI1353" s="9"/>
      <c r="HJ1353" s="9"/>
      <c r="HK1353" s="9"/>
      <c r="HL1353" s="9"/>
      <c r="HM1353" s="9"/>
      <c r="HN1353" s="9"/>
      <c r="HO1353" s="9"/>
      <c r="HP1353" s="9"/>
      <c r="HQ1353" s="9"/>
      <c r="HR1353" s="9"/>
      <c r="HS1353" s="9"/>
      <c r="HT1353" s="9"/>
      <c r="HU1353" s="9"/>
      <c r="HV1353" s="9"/>
      <c r="HW1353" s="9"/>
      <c r="HX1353" s="9"/>
      <c r="HY1353" s="9"/>
      <c r="HZ1353" s="9"/>
      <c r="IA1353" s="9"/>
      <c r="IB1353" s="9"/>
      <c r="IC1353" s="9"/>
    </row>
    <row r="1354">
      <c r="A1354" s="2" t="s">
        <v>5232</v>
      </c>
      <c r="B1354" s="2" t="s">
        <v>871</v>
      </c>
      <c r="C1354" s="2" t="s">
        <v>403</v>
      </c>
      <c r="D1354" s="2" t="s">
        <v>361</v>
      </c>
      <c r="E1354" s="2" t="s">
        <v>1024</v>
      </c>
      <c r="F1354" s="2" t="s">
        <v>5228</v>
      </c>
      <c r="G1354" s="2" t="s">
        <v>5233</v>
      </c>
      <c r="H1354" s="2" t="s">
        <v>5234</v>
      </c>
      <c r="I1354" s="2" t="s">
        <v>5235</v>
      </c>
      <c r="J1354" s="2" t="s">
        <v>394</v>
      </c>
      <c r="K1354" s="2" t="s">
        <v>231</v>
      </c>
      <c r="L1354" s="3">
        <v>29.06</v>
      </c>
      <c r="M1354" s="3">
        <v>30.51</v>
      </c>
      <c r="N1354" s="3">
        <v>59.99</v>
      </c>
      <c r="O1354" s="2" t="s">
        <v>232</v>
      </c>
      <c r="P1354" s="2" t="s">
        <v>233</v>
      </c>
      <c r="Q1354" s="2" t="s">
        <v>234</v>
      </c>
      <c r="R1354" s="2" t="s">
        <v>235</v>
      </c>
      <c r="S1354" s="2" t="s">
        <v>5236</v>
      </c>
      <c r="T1354" s="2" t="s">
        <v>501</v>
      </c>
      <c r="U1354" s="2" t="s">
        <v>282</v>
      </c>
      <c r="V1354" s="2" t="s">
        <v>880</v>
      </c>
      <c r="W1354" s="2" t="s">
        <v>1029</v>
      </c>
      <c r="X1354" s="2" t="s">
        <v>235</v>
      </c>
      <c r="Y1354" s="2" t="s">
        <v>5237</v>
      </c>
      <c r="Z1354" s="4">
        <v>206</v>
      </c>
      <c r="AA1354" s="4">
        <f>=ROUNDDOWN(23.6781609195402,0)</f>
      </c>
      <c r="AB1354" s="5">
        <v>8.7</v>
      </c>
      <c r="AC1354" s="2" t="s">
        <v>235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235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235</v>
      </c>
      <c r="AW1354" s="8" t="s">
        <v>235</v>
      </c>
      <c r="AX1354" s="4" t="s">
        <v>235</v>
      </c>
      <c r="AY1354" s="8" t="s">
        <v>235</v>
      </c>
      <c r="AZ1354" s="7" t="s">
        <v>235</v>
      </c>
      <c r="BA1354" s="7" t="s">
        <v>235</v>
      </c>
      <c r="BB1354" s="7"/>
      <c r="BC1354" s="4" t="s">
        <v>235</v>
      </c>
      <c r="BD1354" s="8" t="s">
        <v>235</v>
      </c>
      <c r="BE1354" s="4" t="s">
        <v>235</v>
      </c>
      <c r="BF1354" s="8" t="s">
        <v>235</v>
      </c>
      <c r="BG1354" s="7" t="s">
        <v>235</v>
      </c>
      <c r="BH1354" s="7" t="s">
        <v>235</v>
      </c>
      <c r="BI1354" s="7"/>
      <c r="BJ1354" s="4">
        <v>16</v>
      </c>
      <c r="BK1354" s="8">
        <v>636.12</v>
      </c>
      <c r="BL1354" s="2" t="s">
        <v>5238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5239</v>
      </c>
      <c r="BV1354" s="2" t="s">
        <v>243</v>
      </c>
      <c r="BW1354" s="2" t="s">
        <v>235</v>
      </c>
      <c r="BX1354" s="2" t="s">
        <v>244</v>
      </c>
      <c r="BY1354" s="2" t="s">
        <v>245</v>
      </c>
      <c r="BZ1354" s="2" t="s">
        <v>232</v>
      </c>
      <c r="CA1354" s="2" t="s">
        <v>5240</v>
      </c>
      <c r="CB1354" s="2" t="s">
        <v>2125</v>
      </c>
      <c r="CC1354" s="2" t="s">
        <v>248</v>
      </c>
      <c r="CD1354" s="2" t="s">
        <v>248</v>
      </c>
      <c r="CE1354" s="2" t="s">
        <v>235</v>
      </c>
      <c r="CF1354" s="4">
        <v>205</v>
      </c>
      <c r="CG1354" s="4">
        <v>1</v>
      </c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>
        <v>208</v>
      </c>
      <c r="GE1354" s="4">
        <v>191</v>
      </c>
      <c r="GF1354" s="4">
        <v>186</v>
      </c>
      <c r="GG1354" s="4">
        <v>180</v>
      </c>
      <c r="GH1354" s="4">
        <v>173</v>
      </c>
      <c r="GI1354" s="4">
        <v>168</v>
      </c>
      <c r="GJ1354" s="4">
        <v>155</v>
      </c>
      <c r="GK1354" s="4">
        <v>141</v>
      </c>
      <c r="GL1354" s="4">
        <v>128</v>
      </c>
      <c r="GM1354" s="4">
        <v>118</v>
      </c>
      <c r="GN1354" s="4">
        <v>110</v>
      </c>
      <c r="GO1354" s="4">
        <v>97</v>
      </c>
      <c r="GP1354" s="4">
        <v>82</v>
      </c>
      <c r="GQ1354" s="4">
        <v>64</v>
      </c>
      <c r="GR1354" s="4">
        <v>34</v>
      </c>
      <c r="GS1354" s="4">
        <v>15</v>
      </c>
      <c r="GT1354" s="4"/>
      <c r="GU1354" s="4"/>
      <c r="GV1354" s="4"/>
      <c r="GW1354" s="4">
        <v>311</v>
      </c>
      <c r="GX1354" s="4">
        <v>299</v>
      </c>
      <c r="GY1354" s="4">
        <v>295</v>
      </c>
      <c r="GZ1354" s="4">
        <v>289</v>
      </c>
      <c r="HA1354" s="4">
        <v>285</v>
      </c>
      <c r="HB1354" s="4">
        <v>277</v>
      </c>
      <c r="HC1354" s="4">
        <v>263</v>
      </c>
      <c r="HD1354" s="19">
        <v>23.1</v>
      </c>
      <c r="HE1354" s="19">
        <v>31.8</v>
      </c>
      <c r="HF1354" s="19">
        <v>23.3</v>
      </c>
      <c r="HG1354" s="19">
        <v>18</v>
      </c>
      <c r="HH1354" s="19">
        <v>15.7</v>
      </c>
      <c r="HI1354" s="19">
        <v>14</v>
      </c>
      <c r="HJ1354" s="19">
        <v>14.1</v>
      </c>
      <c r="HK1354" s="19">
        <v>12.8</v>
      </c>
      <c r="HL1354" s="19">
        <v>10.7</v>
      </c>
      <c r="HM1354" s="19">
        <v>8.4</v>
      </c>
      <c r="HN1354" s="19">
        <v>5.8</v>
      </c>
      <c r="HO1354" s="19">
        <v>4.9</v>
      </c>
      <c r="HP1354" s="19">
        <v>3.7</v>
      </c>
      <c r="HQ1354" s="19">
        <v>3.6</v>
      </c>
      <c r="HR1354" s="19">
        <v>2.8</v>
      </c>
      <c r="HS1354" s="19">
        <v>1.7</v>
      </c>
      <c r="HT1354" s="20">
        <v>0</v>
      </c>
      <c r="HU1354" s="20">
        <v>0</v>
      </c>
      <c r="HV1354" s="20">
        <v>0</v>
      </c>
      <c r="HW1354" s="19">
        <v>51.8</v>
      </c>
      <c r="HX1354" s="19">
        <v>49.8</v>
      </c>
      <c r="HY1354" s="19">
        <v>36.9</v>
      </c>
      <c r="HZ1354" s="19">
        <v>36.1</v>
      </c>
      <c r="IA1354" s="19">
        <v>35.6</v>
      </c>
      <c r="IB1354" s="19">
        <v>34.6</v>
      </c>
      <c r="IC1354" s="19">
        <v>43.8</v>
      </c>
    </row>
    <row r="1355">
      <c r="A1355" s="2" t="s">
        <v>5241</v>
      </c>
      <c r="B1355" s="2" t="s">
        <v>871</v>
      </c>
      <c r="C1355" s="2" t="s">
        <v>403</v>
      </c>
      <c r="D1355" s="2" t="s">
        <v>361</v>
      </c>
      <c r="E1355" s="2" t="s">
        <v>1024</v>
      </c>
      <c r="F1355" s="2" t="s">
        <v>5228</v>
      </c>
      <c r="G1355" s="2" t="s">
        <v>5233</v>
      </c>
      <c r="H1355" s="2" t="s">
        <v>5234</v>
      </c>
      <c r="I1355" s="2" t="s">
        <v>5235</v>
      </c>
      <c r="J1355" s="2" t="s">
        <v>272</v>
      </c>
      <c r="K1355" s="2" t="s">
        <v>231</v>
      </c>
      <c r="L1355" s="3">
        <v>39.98</v>
      </c>
      <c r="M1355" s="3">
        <v>41.98</v>
      </c>
      <c r="N1355" s="3">
        <v>84.99</v>
      </c>
      <c r="O1355" s="2" t="s">
        <v>232</v>
      </c>
      <c r="P1355" s="2" t="s">
        <v>233</v>
      </c>
      <c r="Q1355" s="2" t="s">
        <v>234</v>
      </c>
      <c r="R1355" s="2" t="s">
        <v>235</v>
      </c>
      <c r="S1355" s="2" t="s">
        <v>5236</v>
      </c>
      <c r="T1355" s="2" t="s">
        <v>501</v>
      </c>
      <c r="U1355" s="2" t="s">
        <v>742</v>
      </c>
      <c r="V1355" s="2" t="s">
        <v>880</v>
      </c>
      <c r="W1355" s="2" t="s">
        <v>1029</v>
      </c>
      <c r="X1355" s="2" t="s">
        <v>235</v>
      </c>
      <c r="Y1355" s="2" t="s">
        <v>5237</v>
      </c>
      <c r="Z1355" s="4">
        <v>183</v>
      </c>
      <c r="AA1355" s="4">
        <f>=ROUNDDOWN(43.5714285714286,0)</f>
      </c>
      <c r="AB1355" s="5">
        <v>4.2</v>
      </c>
      <c r="AC1355" s="2" t="s">
        <v>235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235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235</v>
      </c>
      <c r="AW1355" s="8" t="s">
        <v>235</v>
      </c>
      <c r="AX1355" s="4" t="s">
        <v>235</v>
      </c>
      <c r="AY1355" s="8" t="s">
        <v>235</v>
      </c>
      <c r="AZ1355" s="7" t="s">
        <v>235</v>
      </c>
      <c r="BA1355" s="7" t="s">
        <v>235</v>
      </c>
      <c r="BB1355" s="7"/>
      <c r="BC1355" s="4" t="s">
        <v>235</v>
      </c>
      <c r="BD1355" s="8" t="s">
        <v>235</v>
      </c>
      <c r="BE1355" s="4" t="s">
        <v>235</v>
      </c>
      <c r="BF1355" s="8" t="s">
        <v>235</v>
      </c>
      <c r="BG1355" s="7" t="s">
        <v>235</v>
      </c>
      <c r="BH1355" s="7" t="s">
        <v>235</v>
      </c>
      <c r="BI1355" s="7"/>
      <c r="BJ1355" s="4">
        <v>13</v>
      </c>
      <c r="BK1355" s="8">
        <v>586.54</v>
      </c>
      <c r="BL1355" s="2" t="s">
        <v>5242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5239</v>
      </c>
      <c r="BV1355" s="2" t="s">
        <v>243</v>
      </c>
      <c r="BW1355" s="2" t="s">
        <v>235</v>
      </c>
      <c r="BX1355" s="2" t="s">
        <v>244</v>
      </c>
      <c r="BY1355" s="2" t="s">
        <v>245</v>
      </c>
      <c r="BZ1355" s="2" t="s">
        <v>232</v>
      </c>
      <c r="CA1355" s="2" t="s">
        <v>5240</v>
      </c>
      <c r="CB1355" s="2" t="s">
        <v>5243</v>
      </c>
      <c r="CC1355" s="2" t="s">
        <v>248</v>
      </c>
      <c r="CD1355" s="2" t="s">
        <v>248</v>
      </c>
      <c r="CE1355" s="2" t="s">
        <v>235</v>
      </c>
      <c r="CF1355" s="4">
        <v>183</v>
      </c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>
        <v>197</v>
      </c>
      <c r="GE1355" s="4">
        <v>179</v>
      </c>
      <c r="GF1355" s="4">
        <v>177</v>
      </c>
      <c r="GG1355" s="4">
        <v>172</v>
      </c>
      <c r="GH1355" s="4">
        <v>166</v>
      </c>
      <c r="GI1355" s="4">
        <v>163</v>
      </c>
      <c r="GJ1355" s="4">
        <v>154</v>
      </c>
      <c r="GK1355" s="4">
        <v>143</v>
      </c>
      <c r="GL1355" s="4">
        <v>134</v>
      </c>
      <c r="GM1355" s="4">
        <v>128</v>
      </c>
      <c r="GN1355" s="4">
        <v>124</v>
      </c>
      <c r="GO1355" s="4">
        <v>116</v>
      </c>
      <c r="GP1355" s="4">
        <v>110</v>
      </c>
      <c r="GQ1355" s="4">
        <v>103</v>
      </c>
      <c r="GR1355" s="4">
        <v>89</v>
      </c>
      <c r="GS1355" s="4">
        <v>80</v>
      </c>
      <c r="GT1355" s="4">
        <v>74</v>
      </c>
      <c r="GU1355" s="4">
        <v>70</v>
      </c>
      <c r="GV1355" s="4">
        <v>60</v>
      </c>
      <c r="GW1355" s="4">
        <v>178</v>
      </c>
      <c r="GX1355" s="4">
        <v>174</v>
      </c>
      <c r="GY1355" s="4">
        <v>170</v>
      </c>
      <c r="GZ1355" s="4">
        <v>166</v>
      </c>
      <c r="HA1355" s="4">
        <v>164</v>
      </c>
      <c r="HB1355" s="4">
        <v>160</v>
      </c>
      <c r="HC1355" s="4">
        <v>150</v>
      </c>
      <c r="HD1355" s="19">
        <v>24.6</v>
      </c>
      <c r="HE1355" s="19">
        <v>44.8</v>
      </c>
      <c r="HF1355" s="19">
        <v>29.5</v>
      </c>
      <c r="HG1355" s="19">
        <v>24.6</v>
      </c>
      <c r="HH1355" s="19">
        <v>20.8</v>
      </c>
      <c r="HI1355" s="19">
        <v>18.1</v>
      </c>
      <c r="HJ1355" s="19">
        <v>19.3</v>
      </c>
      <c r="HK1355" s="19">
        <v>20.4</v>
      </c>
      <c r="HL1355" s="19">
        <v>22.3</v>
      </c>
      <c r="HM1355" s="19">
        <v>21.3</v>
      </c>
      <c r="HN1355" s="19">
        <v>13.8</v>
      </c>
      <c r="HO1355" s="19">
        <v>12.9</v>
      </c>
      <c r="HP1355" s="19">
        <v>12.2</v>
      </c>
      <c r="HQ1355" s="19">
        <v>12.9</v>
      </c>
      <c r="HR1355" s="19">
        <v>12.7</v>
      </c>
      <c r="HS1355" s="19">
        <v>13.3</v>
      </c>
      <c r="HT1355" s="19">
        <v>12.3</v>
      </c>
      <c r="HU1355" s="19">
        <v>11.7</v>
      </c>
      <c r="HV1355" s="19">
        <v>15</v>
      </c>
      <c r="HW1355" s="19">
        <v>44.5</v>
      </c>
      <c r="HX1355" s="19">
        <v>43.5</v>
      </c>
      <c r="HY1355" s="19">
        <v>34</v>
      </c>
      <c r="HZ1355" s="19">
        <v>33.2</v>
      </c>
      <c r="IA1355" s="19">
        <v>27.3</v>
      </c>
      <c r="IB1355" s="19">
        <v>26.7</v>
      </c>
      <c r="IC1355" s="19">
        <v>30</v>
      </c>
    </row>
    <row r="1356">
      <c r="A1356" s="2" t="s">
        <v>5244</v>
      </c>
      <c r="B1356" s="2" t="s">
        <v>1529</v>
      </c>
      <c r="C1356" s="2" t="s">
        <v>1381</v>
      </c>
      <c r="D1356" s="2" t="s">
        <v>1417</v>
      </c>
      <c r="E1356" s="2" t="s">
        <v>1530</v>
      </c>
      <c r="F1356" s="2" t="s">
        <v>5228</v>
      </c>
      <c r="G1356" s="2" t="s">
        <v>5228</v>
      </c>
      <c r="H1356" s="2" t="s">
        <v>5228</v>
      </c>
      <c r="I1356" s="2" t="s">
        <v>5229</v>
      </c>
      <c r="J1356" s="2" t="s">
        <v>897</v>
      </c>
      <c r="K1356" s="2" t="s">
        <v>292</v>
      </c>
      <c r="L1356" s="3">
        <v>339.29</v>
      </c>
      <c r="M1356" s="3">
        <v>356.25</v>
      </c>
      <c r="N1356" s="3">
        <v>999</v>
      </c>
      <c r="O1356" s="2" t="s">
        <v>232</v>
      </c>
      <c r="P1356" s="2" t="s">
        <v>1533</v>
      </c>
      <c r="Q1356" s="2" t="s">
        <v>234</v>
      </c>
      <c r="R1356" s="2" t="s">
        <v>235</v>
      </c>
      <c r="S1356" s="2" t="s">
        <v>235</v>
      </c>
      <c r="T1356" s="2" t="s">
        <v>235</v>
      </c>
      <c r="U1356" s="2" t="s">
        <v>807</v>
      </c>
      <c r="V1356" s="2" t="s">
        <v>238</v>
      </c>
      <c r="W1356" s="2" t="s">
        <v>235</v>
      </c>
      <c r="X1356" s="2" t="s">
        <v>235</v>
      </c>
      <c r="Y1356" s="2" t="s">
        <v>1534</v>
      </c>
      <c r="Z1356" s="4">
        <v>10</v>
      </c>
      <c r="AA1356" s="4">
        <f>=ROUNDDOWN({0},0)</f>
      </c>
      <c r="AB1356" s="5"/>
      <c r="AC1356" s="2" t="s">
        <v>235</v>
      </c>
      <c r="AD1356" s="4"/>
      <c r="AE1356" s="4"/>
      <c r="AF1356" s="6"/>
      <c r="AG1356" s="6"/>
      <c r="AH1356" s="7">
        <v>1</v>
      </c>
      <c r="AI1356" s="4"/>
      <c r="AJ1356" s="4">
        <f>=ROUNDDOWN({0},0)</f>
      </c>
      <c r="AK1356" s="5"/>
      <c r="AL1356" s="2" t="s">
        <v>235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 t="s">
        <v>235</v>
      </c>
      <c r="BD1356" s="8" t="s">
        <v>235</v>
      </c>
      <c r="BE1356" s="4" t="s">
        <v>235</v>
      </c>
      <c r="BF1356" s="8" t="s">
        <v>235</v>
      </c>
      <c r="BG1356" s="7" t="s">
        <v>235</v>
      </c>
      <c r="BH1356" s="7" t="s">
        <v>235</v>
      </c>
      <c r="BI1356" s="7"/>
      <c r="BJ1356" s="4"/>
      <c r="BK1356" s="8"/>
      <c r="BL1356" s="2" t="s">
        <v>235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5230</v>
      </c>
      <c r="BV1356" s="2" t="s">
        <v>1448</v>
      </c>
      <c r="BW1356" s="2" t="s">
        <v>235</v>
      </c>
      <c r="BX1356" s="2" t="s">
        <v>244</v>
      </c>
      <c r="BY1356" s="2" t="s">
        <v>245</v>
      </c>
      <c r="BZ1356" s="2" t="s">
        <v>232</v>
      </c>
      <c r="CA1356" s="2" t="s">
        <v>4835</v>
      </c>
      <c r="CB1356" s="2" t="s">
        <v>235</v>
      </c>
      <c r="CC1356" s="2" t="s">
        <v>248</v>
      </c>
      <c r="CD1356" s="2" t="s">
        <v>248</v>
      </c>
      <c r="CE1356" s="2" t="s">
        <v>235</v>
      </c>
      <c r="CF1356" s="4"/>
      <c r="CG1356" s="4">
        <v>3</v>
      </c>
      <c r="CH1356" s="4"/>
      <c r="CI1356" s="4">
        <v>7</v>
      </c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9"/>
      <c r="HE1356" s="9"/>
      <c r="HF1356" s="9"/>
      <c r="HG1356" s="9"/>
      <c r="HH1356" s="9"/>
      <c r="HI1356" s="9"/>
      <c r="HJ1356" s="9"/>
      <c r="HK1356" s="9"/>
      <c r="HL1356" s="9"/>
      <c r="HM1356" s="9"/>
      <c r="HN1356" s="9"/>
      <c r="HO1356" s="9"/>
      <c r="HP1356" s="9"/>
      <c r="HQ1356" s="9"/>
      <c r="HR1356" s="9"/>
      <c r="HS1356" s="9"/>
      <c r="HT1356" s="9"/>
      <c r="HU1356" s="9"/>
      <c r="HV1356" s="9"/>
      <c r="HW1356" s="9"/>
      <c r="HX1356" s="9"/>
      <c r="HY1356" s="9"/>
      <c r="HZ1356" s="9"/>
      <c r="IA1356" s="9"/>
      <c r="IB1356" s="9"/>
      <c r="IC1356" s="9"/>
    </row>
    <row r="1357">
      <c r="A1357" s="2" t="s">
        <v>5245</v>
      </c>
      <c r="B1357" s="2" t="s">
        <v>871</v>
      </c>
      <c r="C1357" s="2" t="s">
        <v>403</v>
      </c>
      <c r="D1357" s="2" t="s">
        <v>361</v>
      </c>
      <c r="E1357" s="2" t="s">
        <v>1024</v>
      </c>
      <c r="F1357" s="2" t="s">
        <v>5228</v>
      </c>
      <c r="G1357" s="2" t="s">
        <v>5233</v>
      </c>
      <c r="H1357" s="2" t="s">
        <v>5234</v>
      </c>
      <c r="I1357" s="2" t="s">
        <v>5235</v>
      </c>
      <c r="J1357" s="2" t="s">
        <v>394</v>
      </c>
      <c r="K1357" s="2" t="s">
        <v>2029</v>
      </c>
      <c r="L1357" s="3">
        <v>29.06</v>
      </c>
      <c r="M1357" s="3">
        <v>30.51</v>
      </c>
      <c r="N1357" s="3">
        <v>59.99</v>
      </c>
      <c r="O1357" s="2" t="s">
        <v>232</v>
      </c>
      <c r="P1357" s="2" t="s">
        <v>233</v>
      </c>
      <c r="Q1357" s="2" t="s">
        <v>234</v>
      </c>
      <c r="R1357" s="2" t="s">
        <v>235</v>
      </c>
      <c r="S1357" s="2" t="s">
        <v>5246</v>
      </c>
      <c r="T1357" s="2" t="s">
        <v>501</v>
      </c>
      <c r="U1357" s="2" t="s">
        <v>282</v>
      </c>
      <c r="V1357" s="2" t="s">
        <v>880</v>
      </c>
      <c r="W1357" s="2" t="s">
        <v>1029</v>
      </c>
      <c r="X1357" s="2" t="s">
        <v>235</v>
      </c>
      <c r="Y1357" s="2" t="s">
        <v>1485</v>
      </c>
      <c r="Z1357" s="4">
        <v>242</v>
      </c>
      <c r="AA1357" s="4">
        <f>=ROUNDDOWN(60.5,0)</f>
      </c>
      <c r="AB1357" s="5">
        <v>4</v>
      </c>
      <c r="AC1357" s="2" t="s">
        <v>235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235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235</v>
      </c>
      <c r="AW1357" s="8" t="s">
        <v>235</v>
      </c>
      <c r="AX1357" s="4" t="s">
        <v>235</v>
      </c>
      <c r="AY1357" s="8" t="s">
        <v>235</v>
      </c>
      <c r="AZ1357" s="7" t="s">
        <v>235</v>
      </c>
      <c r="BA1357" s="7" t="s">
        <v>235</v>
      </c>
      <c r="BB1357" s="7"/>
      <c r="BC1357" s="4" t="s">
        <v>235</v>
      </c>
      <c r="BD1357" s="8" t="s">
        <v>235</v>
      </c>
      <c r="BE1357" s="4" t="s">
        <v>235</v>
      </c>
      <c r="BF1357" s="8" t="s">
        <v>235</v>
      </c>
      <c r="BG1357" s="7" t="s">
        <v>235</v>
      </c>
      <c r="BH1357" s="7" t="s">
        <v>235</v>
      </c>
      <c r="BI1357" s="7"/>
      <c r="BJ1357" s="4">
        <v>8</v>
      </c>
      <c r="BK1357" s="8">
        <v>276.07</v>
      </c>
      <c r="BL1357" s="2" t="s">
        <v>5247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5239</v>
      </c>
      <c r="BV1357" s="2" t="s">
        <v>243</v>
      </c>
      <c r="BW1357" s="2" t="s">
        <v>235</v>
      </c>
      <c r="BX1357" s="2" t="s">
        <v>244</v>
      </c>
      <c r="BY1357" s="2" t="s">
        <v>245</v>
      </c>
      <c r="BZ1357" s="2" t="s">
        <v>232</v>
      </c>
      <c r="CA1357" s="2" t="s">
        <v>5240</v>
      </c>
      <c r="CB1357" s="2" t="s">
        <v>737</v>
      </c>
      <c r="CC1357" s="2" t="s">
        <v>248</v>
      </c>
      <c r="CD1357" s="2" t="s">
        <v>248</v>
      </c>
      <c r="CE1357" s="2" t="s">
        <v>235</v>
      </c>
      <c r="CF1357" s="4">
        <v>241</v>
      </c>
      <c r="CG1357" s="4">
        <v>1</v>
      </c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>
        <v>242</v>
      </c>
      <c r="GE1357" s="4">
        <v>239</v>
      </c>
      <c r="GF1357" s="4">
        <v>237</v>
      </c>
      <c r="GG1357" s="4">
        <v>235</v>
      </c>
      <c r="GH1357" s="4">
        <v>233</v>
      </c>
      <c r="GI1357" s="4">
        <v>232</v>
      </c>
      <c r="GJ1357" s="4">
        <v>227</v>
      </c>
      <c r="GK1357" s="4">
        <v>224</v>
      </c>
      <c r="GL1357" s="4">
        <v>219</v>
      </c>
      <c r="GM1357" s="4">
        <v>217</v>
      </c>
      <c r="GN1357" s="4">
        <v>213</v>
      </c>
      <c r="GO1357" s="4">
        <v>207</v>
      </c>
      <c r="GP1357" s="4">
        <v>199</v>
      </c>
      <c r="GQ1357" s="4">
        <v>189</v>
      </c>
      <c r="GR1357" s="4">
        <v>172</v>
      </c>
      <c r="GS1357" s="4">
        <v>162</v>
      </c>
      <c r="GT1357" s="4">
        <v>150</v>
      </c>
      <c r="GU1357" s="4">
        <v>148</v>
      </c>
      <c r="GV1357" s="4">
        <v>144</v>
      </c>
      <c r="GW1357" s="4">
        <v>142</v>
      </c>
      <c r="GX1357" s="4">
        <v>140</v>
      </c>
      <c r="GY1357" s="4">
        <v>138</v>
      </c>
      <c r="GZ1357" s="4">
        <v>136</v>
      </c>
      <c r="HA1357" s="4">
        <v>134</v>
      </c>
      <c r="HB1357" s="4">
        <v>130</v>
      </c>
      <c r="HC1357" s="4">
        <v>123</v>
      </c>
      <c r="HD1357" s="19">
        <v>121</v>
      </c>
      <c r="HE1357" s="19">
        <v>119.5</v>
      </c>
      <c r="HF1357" s="19">
        <v>118.5</v>
      </c>
      <c r="HG1357" s="19">
        <v>78.3</v>
      </c>
      <c r="HH1357" s="19">
        <v>58.3</v>
      </c>
      <c r="HI1357" s="19">
        <v>58</v>
      </c>
      <c r="HJ1357" s="19">
        <v>56.8</v>
      </c>
      <c r="HK1357" s="19">
        <v>56</v>
      </c>
      <c r="HL1357" s="19">
        <v>43.8</v>
      </c>
      <c r="HM1357" s="19">
        <v>31</v>
      </c>
      <c r="HN1357" s="19">
        <v>21.3</v>
      </c>
      <c r="HO1357" s="19">
        <v>18.8</v>
      </c>
      <c r="HP1357" s="19">
        <v>16.6</v>
      </c>
      <c r="HQ1357" s="19">
        <v>18.9</v>
      </c>
      <c r="HR1357" s="19">
        <v>24.6</v>
      </c>
      <c r="HS1357" s="19">
        <v>32.4</v>
      </c>
      <c r="HT1357" s="19">
        <v>75</v>
      </c>
      <c r="HU1357" s="19">
        <v>74</v>
      </c>
      <c r="HV1357" s="19">
        <v>72</v>
      </c>
      <c r="HW1357" s="19">
        <v>71</v>
      </c>
      <c r="HX1357" s="19">
        <v>70</v>
      </c>
      <c r="HY1357" s="19">
        <v>34.5</v>
      </c>
      <c r="HZ1357" s="19">
        <v>34</v>
      </c>
      <c r="IA1357" s="19">
        <v>33.5</v>
      </c>
      <c r="IB1357" s="19">
        <v>43.3</v>
      </c>
      <c r="IC1357" s="19">
        <v>61.5</v>
      </c>
    </row>
    <row r="1358">
      <c r="A1358" s="2" t="s">
        <v>5248</v>
      </c>
      <c r="B1358" s="2" t="s">
        <v>871</v>
      </c>
      <c r="C1358" s="2" t="s">
        <v>403</v>
      </c>
      <c r="D1358" s="2" t="s">
        <v>361</v>
      </c>
      <c r="E1358" s="2" t="s">
        <v>1024</v>
      </c>
      <c r="F1358" s="2" t="s">
        <v>5228</v>
      </c>
      <c r="G1358" s="2" t="s">
        <v>5233</v>
      </c>
      <c r="H1358" s="2" t="s">
        <v>5234</v>
      </c>
      <c r="I1358" s="2" t="s">
        <v>5235</v>
      </c>
      <c r="J1358" s="2" t="s">
        <v>250</v>
      </c>
      <c r="K1358" s="2" t="s">
        <v>2029</v>
      </c>
      <c r="L1358" s="3">
        <v>32</v>
      </c>
      <c r="M1358" s="3">
        <v>33.6</v>
      </c>
      <c r="N1358" s="3">
        <v>69.99</v>
      </c>
      <c r="O1358" s="2" t="s">
        <v>232</v>
      </c>
      <c r="P1358" s="2" t="s">
        <v>233</v>
      </c>
      <c r="Q1358" s="2" t="s">
        <v>234</v>
      </c>
      <c r="R1358" s="2" t="s">
        <v>235</v>
      </c>
      <c r="S1358" s="2" t="s">
        <v>5246</v>
      </c>
      <c r="T1358" s="2" t="s">
        <v>501</v>
      </c>
      <c r="U1358" s="2" t="s">
        <v>742</v>
      </c>
      <c r="V1358" s="2" t="s">
        <v>880</v>
      </c>
      <c r="W1358" s="2" t="s">
        <v>1029</v>
      </c>
      <c r="X1358" s="2" t="s">
        <v>235</v>
      </c>
      <c r="Y1358" s="2" t="s">
        <v>2709</v>
      </c>
      <c r="Z1358" s="4">
        <v>284</v>
      </c>
      <c r="AA1358" s="4">
        <f>=ROUNDDOWN(56.8,0)</f>
      </c>
      <c r="AB1358" s="5">
        <v>5</v>
      </c>
      <c r="AC1358" s="2" t="s">
        <v>235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235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235</v>
      </c>
      <c r="AW1358" s="8" t="s">
        <v>235</v>
      </c>
      <c r="AX1358" s="4" t="s">
        <v>235</v>
      </c>
      <c r="AY1358" s="8" t="s">
        <v>235</v>
      </c>
      <c r="AZ1358" s="7" t="s">
        <v>235</v>
      </c>
      <c r="BA1358" s="7" t="s">
        <v>235</v>
      </c>
      <c r="BB1358" s="7"/>
      <c r="BC1358" s="4" t="s">
        <v>235</v>
      </c>
      <c r="BD1358" s="8" t="s">
        <v>235</v>
      </c>
      <c r="BE1358" s="4" t="s">
        <v>235</v>
      </c>
      <c r="BF1358" s="8" t="s">
        <v>235</v>
      </c>
      <c r="BG1358" s="7" t="s">
        <v>235</v>
      </c>
      <c r="BH1358" s="7" t="s">
        <v>235</v>
      </c>
      <c r="BI1358" s="7"/>
      <c r="BJ1358" s="4">
        <v>8</v>
      </c>
      <c r="BK1358" s="8">
        <v>292.06</v>
      </c>
      <c r="BL1358" s="2" t="s">
        <v>5249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5239</v>
      </c>
      <c r="BV1358" s="2" t="s">
        <v>243</v>
      </c>
      <c r="BW1358" s="2" t="s">
        <v>235</v>
      </c>
      <c r="BX1358" s="2" t="s">
        <v>244</v>
      </c>
      <c r="BY1358" s="2" t="s">
        <v>245</v>
      </c>
      <c r="BZ1358" s="2" t="s">
        <v>232</v>
      </c>
      <c r="CA1358" s="2" t="s">
        <v>5240</v>
      </c>
      <c r="CB1358" s="2" t="s">
        <v>5250</v>
      </c>
      <c r="CC1358" s="2" t="s">
        <v>248</v>
      </c>
      <c r="CD1358" s="2" t="s">
        <v>248</v>
      </c>
      <c r="CE1358" s="2" t="s">
        <v>235</v>
      </c>
      <c r="CF1358" s="4">
        <v>283</v>
      </c>
      <c r="CG1358" s="4"/>
      <c r="CH1358" s="4"/>
      <c r="CI1358" s="4"/>
      <c r="CJ1358" s="4"/>
      <c r="CK1358" s="4"/>
      <c r="CL1358" s="4"/>
      <c r="CM1358" s="4">
        <v>1</v>
      </c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>
        <v>285</v>
      </c>
      <c r="GE1358" s="4">
        <v>275</v>
      </c>
      <c r="GF1358" s="4">
        <v>272</v>
      </c>
      <c r="GG1358" s="4">
        <v>267</v>
      </c>
      <c r="GH1358" s="4">
        <v>261</v>
      </c>
      <c r="GI1358" s="4">
        <v>257</v>
      </c>
      <c r="GJ1358" s="4">
        <v>248</v>
      </c>
      <c r="GK1358" s="4">
        <v>239</v>
      </c>
      <c r="GL1358" s="4">
        <v>230</v>
      </c>
      <c r="GM1358" s="4">
        <v>226</v>
      </c>
      <c r="GN1358" s="4">
        <v>222</v>
      </c>
      <c r="GO1358" s="4">
        <v>216</v>
      </c>
      <c r="GP1358" s="4">
        <v>208</v>
      </c>
      <c r="GQ1358" s="4">
        <v>201</v>
      </c>
      <c r="GR1358" s="4">
        <v>181</v>
      </c>
      <c r="GS1358" s="4">
        <v>170</v>
      </c>
      <c r="GT1358" s="4">
        <v>160</v>
      </c>
      <c r="GU1358" s="4">
        <v>157</v>
      </c>
      <c r="GV1358" s="4">
        <v>153</v>
      </c>
      <c r="GW1358" s="4">
        <v>150</v>
      </c>
      <c r="GX1358" s="4">
        <v>146</v>
      </c>
      <c r="GY1358" s="4">
        <v>143</v>
      </c>
      <c r="GZ1358" s="4">
        <v>141</v>
      </c>
      <c r="HA1358" s="4">
        <v>139</v>
      </c>
      <c r="HB1358" s="4">
        <v>135</v>
      </c>
      <c r="HC1358" s="4">
        <v>127</v>
      </c>
      <c r="HD1358" s="19">
        <v>47.5</v>
      </c>
      <c r="HE1358" s="19">
        <v>68.8</v>
      </c>
      <c r="HF1358" s="19">
        <v>45.3</v>
      </c>
      <c r="HG1358" s="19">
        <v>38.1</v>
      </c>
      <c r="HH1358" s="19">
        <v>32.6</v>
      </c>
      <c r="HI1358" s="19">
        <v>32.1</v>
      </c>
      <c r="HJ1358" s="19">
        <v>41.3</v>
      </c>
      <c r="HK1358" s="19">
        <v>39.8</v>
      </c>
      <c r="HL1358" s="19">
        <v>38.3</v>
      </c>
      <c r="HM1358" s="19">
        <v>37.7</v>
      </c>
      <c r="HN1358" s="19">
        <v>22.2</v>
      </c>
      <c r="HO1358" s="19">
        <v>18</v>
      </c>
      <c r="HP1358" s="19">
        <v>17.3</v>
      </c>
      <c r="HQ1358" s="19">
        <v>18.3</v>
      </c>
      <c r="HR1358" s="19">
        <v>25.9</v>
      </c>
      <c r="HS1358" s="19">
        <v>34</v>
      </c>
      <c r="HT1358" s="19">
        <v>40</v>
      </c>
      <c r="HU1358" s="19">
        <v>39.3</v>
      </c>
      <c r="HV1358" s="19">
        <v>51</v>
      </c>
      <c r="HW1358" s="19">
        <v>50</v>
      </c>
      <c r="HX1358" s="19">
        <v>48.7</v>
      </c>
      <c r="HY1358" s="19">
        <v>35.8</v>
      </c>
      <c r="HZ1358" s="19">
        <v>35.3</v>
      </c>
      <c r="IA1358" s="19">
        <v>34.8</v>
      </c>
      <c r="IB1358" s="19">
        <v>33.8</v>
      </c>
      <c r="IC1358" s="19">
        <v>42.3</v>
      </c>
    </row>
    <row r="1359">
      <c r="A1359" s="2" t="s">
        <v>5251</v>
      </c>
      <c r="B1359" s="2" t="s">
        <v>871</v>
      </c>
      <c r="C1359" s="2" t="s">
        <v>403</v>
      </c>
      <c r="D1359" s="2" t="s">
        <v>361</v>
      </c>
      <c r="E1359" s="2" t="s">
        <v>1024</v>
      </c>
      <c r="F1359" s="2" t="s">
        <v>5228</v>
      </c>
      <c r="G1359" s="2" t="s">
        <v>5233</v>
      </c>
      <c r="H1359" s="2" t="s">
        <v>5234</v>
      </c>
      <c r="I1359" s="2" t="s">
        <v>5235</v>
      </c>
      <c r="J1359" s="2" t="s">
        <v>261</v>
      </c>
      <c r="K1359" s="2" t="s">
        <v>2029</v>
      </c>
      <c r="L1359" s="3">
        <v>34.66</v>
      </c>
      <c r="M1359" s="3">
        <v>36.39</v>
      </c>
      <c r="N1359" s="3">
        <v>74.99</v>
      </c>
      <c r="O1359" s="2" t="s">
        <v>232</v>
      </c>
      <c r="P1359" s="2" t="s">
        <v>233</v>
      </c>
      <c r="Q1359" s="2" t="s">
        <v>234</v>
      </c>
      <c r="R1359" s="2" t="s">
        <v>235</v>
      </c>
      <c r="S1359" s="2" t="s">
        <v>5246</v>
      </c>
      <c r="T1359" s="2" t="s">
        <v>501</v>
      </c>
      <c r="U1359" s="2" t="s">
        <v>742</v>
      </c>
      <c r="V1359" s="2" t="s">
        <v>880</v>
      </c>
      <c r="W1359" s="2" t="s">
        <v>1029</v>
      </c>
      <c r="X1359" s="2" t="s">
        <v>235</v>
      </c>
      <c r="Y1359" s="2" t="s">
        <v>2709</v>
      </c>
      <c r="Z1359" s="4">
        <v>847</v>
      </c>
      <c r="AA1359" s="4">
        <f>=ROUNDDOWN(49.8235294117647,0)</f>
      </c>
      <c r="AB1359" s="5">
        <v>17</v>
      </c>
      <c r="AC1359" s="2" t="s">
        <v>235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235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235</v>
      </c>
      <c r="AW1359" s="8" t="s">
        <v>235</v>
      </c>
      <c r="AX1359" s="4" t="s">
        <v>235</v>
      </c>
      <c r="AY1359" s="8" t="s">
        <v>235</v>
      </c>
      <c r="AZ1359" s="7" t="s">
        <v>235</v>
      </c>
      <c r="BA1359" s="7" t="s">
        <v>235</v>
      </c>
      <c r="BB1359" s="7"/>
      <c r="BC1359" s="4" t="s">
        <v>235</v>
      </c>
      <c r="BD1359" s="8" t="s">
        <v>235</v>
      </c>
      <c r="BE1359" s="4" t="s">
        <v>235</v>
      </c>
      <c r="BF1359" s="8" t="s">
        <v>235</v>
      </c>
      <c r="BG1359" s="7" t="s">
        <v>235</v>
      </c>
      <c r="BH1359" s="7" t="s">
        <v>235</v>
      </c>
      <c r="BI1359" s="7"/>
      <c r="BJ1359" s="4">
        <v>28</v>
      </c>
      <c r="BK1359" s="8">
        <v>1150.78</v>
      </c>
      <c r="BL1359" s="2" t="s">
        <v>5252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5239</v>
      </c>
      <c r="BV1359" s="2" t="s">
        <v>243</v>
      </c>
      <c r="BW1359" s="2" t="s">
        <v>235</v>
      </c>
      <c r="BX1359" s="2" t="s">
        <v>244</v>
      </c>
      <c r="BY1359" s="2" t="s">
        <v>245</v>
      </c>
      <c r="BZ1359" s="2" t="s">
        <v>232</v>
      </c>
      <c r="CA1359" s="2" t="s">
        <v>5240</v>
      </c>
      <c r="CB1359" s="2" t="s">
        <v>642</v>
      </c>
      <c r="CC1359" s="2" t="s">
        <v>248</v>
      </c>
      <c r="CD1359" s="2" t="s">
        <v>248</v>
      </c>
      <c r="CE1359" s="2" t="s">
        <v>235</v>
      </c>
      <c r="CF1359" s="4">
        <v>845</v>
      </c>
      <c r="CG1359" s="4"/>
      <c r="CH1359" s="4"/>
      <c r="CI1359" s="4"/>
      <c r="CJ1359" s="4"/>
      <c r="CK1359" s="4"/>
      <c r="CL1359" s="4"/>
      <c r="CM1359" s="4">
        <v>2</v>
      </c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>
        <v>849</v>
      </c>
      <c r="GE1359" s="4">
        <v>824</v>
      </c>
      <c r="GF1359" s="4">
        <v>813</v>
      </c>
      <c r="GG1359" s="4">
        <v>798</v>
      </c>
      <c r="GH1359" s="4">
        <v>777</v>
      </c>
      <c r="GI1359" s="4">
        <v>771</v>
      </c>
      <c r="GJ1359" s="4">
        <v>736</v>
      </c>
      <c r="GK1359" s="4">
        <v>711</v>
      </c>
      <c r="GL1359" s="4">
        <v>681</v>
      </c>
      <c r="GM1359" s="4">
        <v>671</v>
      </c>
      <c r="GN1359" s="4">
        <v>660</v>
      </c>
      <c r="GO1359" s="4">
        <v>635</v>
      </c>
      <c r="GP1359" s="4">
        <v>593</v>
      </c>
      <c r="GQ1359" s="4">
        <v>551</v>
      </c>
      <c r="GR1359" s="4">
        <v>482</v>
      </c>
      <c r="GS1359" s="4">
        <v>434</v>
      </c>
      <c r="GT1359" s="4">
        <v>400</v>
      </c>
      <c r="GU1359" s="4">
        <v>394</v>
      </c>
      <c r="GV1359" s="4">
        <v>382</v>
      </c>
      <c r="GW1359" s="4">
        <v>376</v>
      </c>
      <c r="GX1359" s="4">
        <v>369</v>
      </c>
      <c r="GY1359" s="4">
        <v>363</v>
      </c>
      <c r="GZ1359" s="4">
        <v>356</v>
      </c>
      <c r="HA1359" s="4">
        <v>350</v>
      </c>
      <c r="HB1359" s="4">
        <v>333</v>
      </c>
      <c r="HC1359" s="4">
        <v>294</v>
      </c>
      <c r="HD1359" s="19">
        <v>47.2</v>
      </c>
      <c r="HE1359" s="19">
        <v>63.4</v>
      </c>
      <c r="HF1359" s="19">
        <v>42.8</v>
      </c>
      <c r="HG1359" s="19">
        <v>36.3</v>
      </c>
      <c r="HH1359" s="19">
        <v>32.4</v>
      </c>
      <c r="HI1359" s="19">
        <v>30.8</v>
      </c>
      <c r="HJ1359" s="19">
        <v>38.7</v>
      </c>
      <c r="HK1359" s="19">
        <v>37.4</v>
      </c>
      <c r="HL1359" s="19">
        <v>31</v>
      </c>
      <c r="HM1359" s="19">
        <v>22.4</v>
      </c>
      <c r="HN1359" s="19">
        <v>15</v>
      </c>
      <c r="HO1359" s="19">
        <v>12.7</v>
      </c>
      <c r="HP1359" s="19">
        <v>12.4</v>
      </c>
      <c r="HQ1359" s="19">
        <v>14.1</v>
      </c>
      <c r="HR1359" s="19">
        <v>19.3</v>
      </c>
      <c r="HS1359" s="19">
        <v>31</v>
      </c>
      <c r="HT1359" s="19">
        <v>50</v>
      </c>
      <c r="HU1359" s="19">
        <v>49.3</v>
      </c>
      <c r="HV1359" s="19">
        <v>63.7</v>
      </c>
      <c r="HW1359" s="19">
        <v>62.7</v>
      </c>
      <c r="HX1359" s="19">
        <v>41</v>
      </c>
      <c r="HY1359" s="19">
        <v>21.4</v>
      </c>
      <c r="HZ1359" s="19">
        <v>19.8</v>
      </c>
      <c r="IA1359" s="19">
        <v>18.4</v>
      </c>
      <c r="IB1359" s="19">
        <v>20.8</v>
      </c>
      <c r="IC1359" s="19">
        <v>32.7</v>
      </c>
    </row>
    <row r="1360">
      <c r="A1360" s="2" t="s">
        <v>5253</v>
      </c>
      <c r="B1360" s="2" t="s">
        <v>871</v>
      </c>
      <c r="C1360" s="2" t="s">
        <v>403</v>
      </c>
      <c r="D1360" s="2" t="s">
        <v>361</v>
      </c>
      <c r="E1360" s="2" t="s">
        <v>1024</v>
      </c>
      <c r="F1360" s="2" t="s">
        <v>5228</v>
      </c>
      <c r="G1360" s="2" t="s">
        <v>5233</v>
      </c>
      <c r="H1360" s="2" t="s">
        <v>5234</v>
      </c>
      <c r="I1360" s="2" t="s">
        <v>5235</v>
      </c>
      <c r="J1360" s="2" t="s">
        <v>272</v>
      </c>
      <c r="K1360" s="2" t="s">
        <v>2029</v>
      </c>
      <c r="L1360" s="3">
        <v>39.98</v>
      </c>
      <c r="M1360" s="3">
        <v>41.98</v>
      </c>
      <c r="N1360" s="3">
        <v>84.99</v>
      </c>
      <c r="O1360" s="2" t="s">
        <v>232</v>
      </c>
      <c r="P1360" s="2" t="s">
        <v>233</v>
      </c>
      <c r="Q1360" s="2" t="s">
        <v>234</v>
      </c>
      <c r="R1360" s="2" t="s">
        <v>235</v>
      </c>
      <c r="S1360" s="2" t="s">
        <v>5246</v>
      </c>
      <c r="T1360" s="2" t="s">
        <v>501</v>
      </c>
      <c r="U1360" s="2" t="s">
        <v>742</v>
      </c>
      <c r="V1360" s="2" t="s">
        <v>880</v>
      </c>
      <c r="W1360" s="2" t="s">
        <v>1029</v>
      </c>
      <c r="X1360" s="2" t="s">
        <v>235</v>
      </c>
      <c r="Y1360" s="2" t="s">
        <v>5237</v>
      </c>
      <c r="Z1360" s="4">
        <v>207</v>
      </c>
      <c r="AA1360" s="4">
        <f>=ROUNDDOWN(37.6363636363636,0)</f>
      </c>
      <c r="AB1360" s="5">
        <v>5.5</v>
      </c>
      <c r="AC1360" s="2" t="s">
        <v>235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235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235</v>
      </c>
      <c r="AW1360" s="8" t="s">
        <v>235</v>
      </c>
      <c r="AX1360" s="4" t="s">
        <v>235</v>
      </c>
      <c r="AY1360" s="8" t="s">
        <v>235</v>
      </c>
      <c r="AZ1360" s="7" t="s">
        <v>235</v>
      </c>
      <c r="BA1360" s="7" t="s">
        <v>235</v>
      </c>
      <c r="BB1360" s="7"/>
      <c r="BC1360" s="4" t="s">
        <v>235</v>
      </c>
      <c r="BD1360" s="8" t="s">
        <v>235</v>
      </c>
      <c r="BE1360" s="4" t="s">
        <v>235</v>
      </c>
      <c r="BF1360" s="8" t="s">
        <v>235</v>
      </c>
      <c r="BG1360" s="7" t="s">
        <v>235</v>
      </c>
      <c r="BH1360" s="7" t="s">
        <v>235</v>
      </c>
      <c r="BI1360" s="7"/>
      <c r="BJ1360" s="4">
        <v>6</v>
      </c>
      <c r="BK1360" s="8">
        <v>277.87</v>
      </c>
      <c r="BL1360" s="2" t="s">
        <v>5254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5239</v>
      </c>
      <c r="BV1360" s="2" t="s">
        <v>243</v>
      </c>
      <c r="BW1360" s="2" t="s">
        <v>235</v>
      </c>
      <c r="BX1360" s="2" t="s">
        <v>244</v>
      </c>
      <c r="BY1360" s="2" t="s">
        <v>245</v>
      </c>
      <c r="BZ1360" s="2" t="s">
        <v>232</v>
      </c>
      <c r="CA1360" s="2" t="s">
        <v>5240</v>
      </c>
      <c r="CB1360" s="2" t="s">
        <v>5255</v>
      </c>
      <c r="CC1360" s="2" t="s">
        <v>248</v>
      </c>
      <c r="CD1360" s="2" t="s">
        <v>248</v>
      </c>
      <c r="CE1360" s="2" t="s">
        <v>235</v>
      </c>
      <c r="CF1360" s="4">
        <v>191</v>
      </c>
      <c r="CG1360" s="4">
        <v>16</v>
      </c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>
        <v>207</v>
      </c>
      <c r="GE1360" s="4">
        <v>196</v>
      </c>
      <c r="GF1360" s="4">
        <v>193</v>
      </c>
      <c r="GG1360" s="4">
        <v>187</v>
      </c>
      <c r="GH1360" s="4">
        <v>180</v>
      </c>
      <c r="GI1360" s="4">
        <v>177</v>
      </c>
      <c r="GJ1360" s="4">
        <v>165</v>
      </c>
      <c r="GK1360" s="4">
        <v>157</v>
      </c>
      <c r="GL1360" s="4">
        <v>148</v>
      </c>
      <c r="GM1360" s="4">
        <v>143</v>
      </c>
      <c r="GN1360" s="4">
        <v>137</v>
      </c>
      <c r="GO1360" s="4">
        <v>126</v>
      </c>
      <c r="GP1360" s="4">
        <v>117</v>
      </c>
      <c r="GQ1360" s="4">
        <v>108</v>
      </c>
      <c r="GR1360" s="4">
        <v>85</v>
      </c>
      <c r="GS1360" s="4">
        <v>72</v>
      </c>
      <c r="GT1360" s="4">
        <v>61</v>
      </c>
      <c r="GU1360" s="4">
        <v>56</v>
      </c>
      <c r="GV1360" s="4">
        <v>45</v>
      </c>
      <c r="GW1360" s="4">
        <v>41</v>
      </c>
      <c r="GX1360" s="4">
        <v>36</v>
      </c>
      <c r="GY1360" s="4">
        <v>31</v>
      </c>
      <c r="GZ1360" s="4">
        <v>26</v>
      </c>
      <c r="HA1360" s="4">
        <v>24</v>
      </c>
      <c r="HB1360" s="4">
        <v>19</v>
      </c>
      <c r="HC1360" s="4">
        <v>5</v>
      </c>
      <c r="HD1360" s="19">
        <v>29.6</v>
      </c>
      <c r="HE1360" s="19">
        <v>39.2</v>
      </c>
      <c r="HF1360" s="19">
        <v>27.6</v>
      </c>
      <c r="HG1360" s="19">
        <v>23.4</v>
      </c>
      <c r="HH1360" s="19">
        <v>22.5</v>
      </c>
      <c r="HI1360" s="19">
        <v>22.1</v>
      </c>
      <c r="HJ1360" s="19">
        <v>23.6</v>
      </c>
      <c r="HK1360" s="19">
        <v>19.6</v>
      </c>
      <c r="HL1360" s="19">
        <v>18.5</v>
      </c>
      <c r="HM1360" s="19">
        <v>15.9</v>
      </c>
      <c r="HN1360" s="19">
        <v>10.5</v>
      </c>
      <c r="HO1360" s="19">
        <v>9</v>
      </c>
      <c r="HP1360" s="19">
        <v>8.4</v>
      </c>
      <c r="HQ1360" s="19">
        <v>8.3</v>
      </c>
      <c r="HR1360" s="19">
        <v>8.5</v>
      </c>
      <c r="HS1360" s="19">
        <v>9</v>
      </c>
      <c r="HT1360" s="19">
        <v>10.2</v>
      </c>
      <c r="HU1360" s="19">
        <v>9.3</v>
      </c>
      <c r="HV1360" s="19">
        <v>9</v>
      </c>
      <c r="HW1360" s="19">
        <v>10.3</v>
      </c>
      <c r="HX1360" s="19">
        <v>9</v>
      </c>
      <c r="HY1360" s="19">
        <v>5.2</v>
      </c>
      <c r="HZ1360" s="19">
        <v>3.7</v>
      </c>
      <c r="IA1360" s="19">
        <v>3</v>
      </c>
      <c r="IB1360" s="19">
        <v>2.4</v>
      </c>
      <c r="IC1360" s="19">
        <v>0.8</v>
      </c>
    </row>
    <row r="1361">
      <c r="A1361" s="2" t="s">
        <v>5256</v>
      </c>
      <c r="B1361" s="2" t="s">
        <v>323</v>
      </c>
      <c r="C1361" s="2" t="s">
        <v>832</v>
      </c>
      <c r="D1361" s="2" t="s">
        <v>257</v>
      </c>
      <c r="E1361" s="2" t="s">
        <v>258</v>
      </c>
      <c r="F1361" s="2" t="s">
        <v>5257</v>
      </c>
      <c r="G1361" s="2" t="s">
        <v>5257</v>
      </c>
      <c r="H1361" s="2" t="s">
        <v>5257</v>
      </c>
      <c r="I1361" s="2" t="s">
        <v>5258</v>
      </c>
      <c r="J1361" s="2" t="s">
        <v>261</v>
      </c>
      <c r="K1361" s="2" t="s">
        <v>292</v>
      </c>
      <c r="L1361" s="3">
        <v>63.11</v>
      </c>
      <c r="M1361" s="3">
        <v>66.27</v>
      </c>
      <c r="N1361" s="3">
        <v>169.99</v>
      </c>
      <c r="O1361" s="2" t="s">
        <v>232</v>
      </c>
      <c r="P1361" s="2" t="s">
        <v>233</v>
      </c>
      <c r="Q1361" s="2" t="s">
        <v>234</v>
      </c>
      <c r="R1361" s="2" t="s">
        <v>235</v>
      </c>
      <c r="S1361" s="2" t="s">
        <v>235</v>
      </c>
      <c r="T1361" s="2" t="s">
        <v>263</v>
      </c>
      <c r="U1361" s="2" t="s">
        <v>235</v>
      </c>
      <c r="V1361" s="2" t="s">
        <v>238</v>
      </c>
      <c r="W1361" s="2" t="s">
        <v>329</v>
      </c>
      <c r="X1361" s="2" t="s">
        <v>235</v>
      </c>
      <c r="Y1361" s="2" t="s">
        <v>5259</v>
      </c>
      <c r="Z1361" s="4">
        <v>255</v>
      </c>
      <c r="AA1361" s="4">
        <f>=ROUNDDOWN(72.8571428571428,0)</f>
      </c>
      <c r="AB1361" s="5">
        <v>3.5</v>
      </c>
      <c r="AC1361" s="2" t="s">
        <v>235</v>
      </c>
      <c r="AD1361" s="4"/>
      <c r="AE1361" s="4"/>
      <c r="AF1361" s="6">
        <v>73</v>
      </c>
      <c r="AG1361" s="6"/>
      <c r="AH1361" s="7">
        <v>1</v>
      </c>
      <c r="AI1361" s="4"/>
      <c r="AJ1361" s="4">
        <f>=ROUNDDOWN({0},0)</f>
      </c>
      <c r="AK1361" s="5"/>
      <c r="AL1361" s="2" t="s">
        <v>235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235</v>
      </c>
      <c r="AW1361" s="8" t="s">
        <v>235</v>
      </c>
      <c r="AX1361" s="4" t="s">
        <v>235</v>
      </c>
      <c r="AY1361" s="8" t="s">
        <v>235</v>
      </c>
      <c r="AZ1361" s="7" t="s">
        <v>235</v>
      </c>
      <c r="BA1361" s="7" t="s">
        <v>235</v>
      </c>
      <c r="BB1361" s="7"/>
      <c r="BC1361" s="4" t="s">
        <v>235</v>
      </c>
      <c r="BD1361" s="8" t="s">
        <v>235</v>
      </c>
      <c r="BE1361" s="4" t="s">
        <v>235</v>
      </c>
      <c r="BF1361" s="8" t="s">
        <v>235</v>
      </c>
      <c r="BG1361" s="7" t="s">
        <v>235</v>
      </c>
      <c r="BH1361" s="7" t="s">
        <v>235</v>
      </c>
      <c r="BI1361" s="7"/>
      <c r="BJ1361" s="4">
        <v>16</v>
      </c>
      <c r="BK1361" s="8">
        <v>1055.64</v>
      </c>
      <c r="BL1361" s="2" t="s">
        <v>5260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5261</v>
      </c>
      <c r="BV1361" s="2" t="s">
        <v>243</v>
      </c>
      <c r="BW1361" s="2" t="s">
        <v>235</v>
      </c>
      <c r="BX1361" s="2" t="s">
        <v>383</v>
      </c>
      <c r="BY1361" s="2" t="s">
        <v>245</v>
      </c>
      <c r="BZ1361" s="2" t="s">
        <v>232</v>
      </c>
      <c r="CA1361" s="2" t="s">
        <v>5262</v>
      </c>
      <c r="CB1361" s="2" t="s">
        <v>5263</v>
      </c>
      <c r="CC1361" s="2" t="s">
        <v>248</v>
      </c>
      <c r="CD1361" s="2" t="s">
        <v>248</v>
      </c>
      <c r="CE1361" s="2" t="s">
        <v>235</v>
      </c>
      <c r="CF1361" s="4">
        <v>255</v>
      </c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>
        <v>258</v>
      </c>
      <c r="GE1361" s="4">
        <v>253</v>
      </c>
      <c r="GF1361" s="4">
        <v>250</v>
      </c>
      <c r="GG1361" s="4">
        <v>247</v>
      </c>
      <c r="GH1361" s="4">
        <v>244</v>
      </c>
      <c r="GI1361" s="4">
        <v>241</v>
      </c>
      <c r="GJ1361" s="4">
        <v>238</v>
      </c>
      <c r="GK1361" s="4">
        <v>235</v>
      </c>
      <c r="GL1361" s="4">
        <v>232</v>
      </c>
      <c r="GM1361" s="4">
        <v>229</v>
      </c>
      <c r="GN1361" s="4">
        <v>225</v>
      </c>
      <c r="GO1361" s="4">
        <v>220</v>
      </c>
      <c r="GP1361" s="4">
        <v>215</v>
      </c>
      <c r="GQ1361" s="4">
        <v>205</v>
      </c>
      <c r="GR1361" s="4">
        <v>200</v>
      </c>
      <c r="GS1361" s="4">
        <v>195</v>
      </c>
      <c r="GT1361" s="4">
        <v>192</v>
      </c>
      <c r="GU1361" s="4">
        <v>190</v>
      </c>
      <c r="GV1361" s="4">
        <v>187</v>
      </c>
      <c r="GW1361" s="4">
        <v>184</v>
      </c>
      <c r="GX1361" s="4">
        <v>181</v>
      </c>
      <c r="GY1361" s="4">
        <v>178</v>
      </c>
      <c r="GZ1361" s="4">
        <v>175</v>
      </c>
      <c r="HA1361" s="4">
        <v>172</v>
      </c>
      <c r="HB1361" s="4">
        <v>169</v>
      </c>
      <c r="HC1361" s="4">
        <v>166</v>
      </c>
      <c r="HD1361" s="19">
        <v>64.5</v>
      </c>
      <c r="HE1361" s="19">
        <v>84.3</v>
      </c>
      <c r="HF1361" s="19">
        <v>83.3</v>
      </c>
      <c r="HG1361" s="19">
        <v>82.3</v>
      </c>
      <c r="HH1361" s="19">
        <v>81.3</v>
      </c>
      <c r="HI1361" s="19">
        <v>80.3</v>
      </c>
      <c r="HJ1361" s="19">
        <v>79.3</v>
      </c>
      <c r="HK1361" s="19">
        <v>58.8</v>
      </c>
      <c r="HL1361" s="19">
        <v>58</v>
      </c>
      <c r="HM1361" s="19">
        <v>38.2</v>
      </c>
      <c r="HN1361" s="19">
        <v>37.5</v>
      </c>
      <c r="HO1361" s="19">
        <v>36.7</v>
      </c>
      <c r="HP1361" s="19">
        <v>35.8</v>
      </c>
      <c r="HQ1361" s="19">
        <v>51.3</v>
      </c>
      <c r="HR1361" s="19">
        <v>66.7</v>
      </c>
      <c r="HS1361" s="19">
        <v>65</v>
      </c>
      <c r="HT1361" s="19">
        <v>64</v>
      </c>
      <c r="HU1361" s="19">
        <v>63.3</v>
      </c>
      <c r="HV1361" s="19">
        <v>62.3</v>
      </c>
      <c r="HW1361" s="19">
        <v>61.3</v>
      </c>
      <c r="HX1361" s="19">
        <v>60.3</v>
      </c>
      <c r="HY1361" s="19">
        <v>59.3</v>
      </c>
      <c r="HZ1361" s="19">
        <v>58.3</v>
      </c>
      <c r="IA1361" s="19">
        <v>57.3</v>
      </c>
      <c r="IB1361" s="19">
        <v>56.3</v>
      </c>
      <c r="IC1361" s="19">
        <v>55.3</v>
      </c>
    </row>
    <row r="1362">
      <c r="A1362" s="2" t="s">
        <v>5264</v>
      </c>
      <c r="B1362" s="2" t="s">
        <v>323</v>
      </c>
      <c r="C1362" s="2" t="s">
        <v>832</v>
      </c>
      <c r="D1362" s="2" t="s">
        <v>257</v>
      </c>
      <c r="E1362" s="2" t="s">
        <v>258</v>
      </c>
      <c r="F1362" s="2" t="s">
        <v>5257</v>
      </c>
      <c r="G1362" s="2" t="s">
        <v>5257</v>
      </c>
      <c r="H1362" s="2" t="s">
        <v>5257</v>
      </c>
      <c r="I1362" s="2" t="s">
        <v>5265</v>
      </c>
      <c r="J1362" s="2" t="s">
        <v>270</v>
      </c>
      <c r="K1362" s="2" t="s">
        <v>292</v>
      </c>
      <c r="L1362" s="3">
        <v>22.28</v>
      </c>
      <c r="M1362" s="3">
        <v>23.39</v>
      </c>
      <c r="N1362" s="3">
        <v>59.99</v>
      </c>
      <c r="O1362" s="2" t="s">
        <v>232</v>
      </c>
      <c r="P1362" s="2" t="s">
        <v>233</v>
      </c>
      <c r="Q1362" s="2" t="s">
        <v>234</v>
      </c>
      <c r="R1362" s="2" t="s">
        <v>235</v>
      </c>
      <c r="S1362" s="2" t="s">
        <v>235</v>
      </c>
      <c r="T1362" s="2" t="s">
        <v>263</v>
      </c>
      <c r="U1362" s="2" t="s">
        <v>235</v>
      </c>
      <c r="V1362" s="2" t="s">
        <v>238</v>
      </c>
      <c r="W1362" s="2" t="s">
        <v>329</v>
      </c>
      <c r="X1362" s="2" t="s">
        <v>235</v>
      </c>
      <c r="Y1362" s="2" t="s">
        <v>5259</v>
      </c>
      <c r="Z1362" s="4">
        <v>29</v>
      </c>
      <c r="AA1362" s="4">
        <f>=ROUNDDOWN(32.2222222222222,0)</f>
      </c>
      <c r="AB1362" s="5">
        <v>0.9</v>
      </c>
      <c r="AC1362" s="2" t="s">
        <v>235</v>
      </c>
      <c r="AD1362" s="4"/>
      <c r="AE1362" s="4"/>
      <c r="AF1362" s="6">
        <v>73</v>
      </c>
      <c r="AG1362" s="6"/>
      <c r="AH1362" s="7">
        <v>1</v>
      </c>
      <c r="AI1362" s="4"/>
      <c r="AJ1362" s="4">
        <f>=ROUNDDOWN({0},0)</f>
      </c>
      <c r="AK1362" s="5"/>
      <c r="AL1362" s="2" t="s">
        <v>235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235</v>
      </c>
      <c r="AW1362" s="8" t="s">
        <v>235</v>
      </c>
      <c r="AX1362" s="4" t="s">
        <v>235</v>
      </c>
      <c r="AY1362" s="8" t="s">
        <v>235</v>
      </c>
      <c r="AZ1362" s="7" t="s">
        <v>235</v>
      </c>
      <c r="BA1362" s="7" t="s">
        <v>235</v>
      </c>
      <c r="BB1362" s="7"/>
      <c r="BC1362" s="4" t="s">
        <v>235</v>
      </c>
      <c r="BD1362" s="8" t="s">
        <v>235</v>
      </c>
      <c r="BE1362" s="4" t="s">
        <v>235</v>
      </c>
      <c r="BF1362" s="8" t="s">
        <v>235</v>
      </c>
      <c r="BG1362" s="7" t="s">
        <v>235</v>
      </c>
      <c r="BH1362" s="7" t="s">
        <v>235</v>
      </c>
      <c r="BI1362" s="7"/>
      <c r="BJ1362" s="4">
        <v>3</v>
      </c>
      <c r="BK1362" s="8">
        <v>72.51</v>
      </c>
      <c r="BL1362" s="2" t="s">
        <v>5266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5267</v>
      </c>
      <c r="BV1362" s="2" t="s">
        <v>243</v>
      </c>
      <c r="BW1362" s="2" t="s">
        <v>235</v>
      </c>
      <c r="BX1362" s="2" t="s">
        <v>383</v>
      </c>
      <c r="BY1362" s="2" t="s">
        <v>245</v>
      </c>
      <c r="BZ1362" s="2" t="s">
        <v>232</v>
      </c>
      <c r="CA1362" s="2" t="s">
        <v>838</v>
      </c>
      <c r="CB1362" s="2" t="s">
        <v>5268</v>
      </c>
      <c r="CC1362" s="2" t="s">
        <v>248</v>
      </c>
      <c r="CD1362" s="2" t="s">
        <v>248</v>
      </c>
      <c r="CE1362" s="2" t="s">
        <v>235</v>
      </c>
      <c r="CF1362" s="4">
        <v>29</v>
      </c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>
        <v>31</v>
      </c>
      <c r="GE1362" s="4">
        <v>28</v>
      </c>
      <c r="GF1362" s="4">
        <v>27</v>
      </c>
      <c r="GG1362" s="4">
        <v>26</v>
      </c>
      <c r="GH1362" s="4">
        <v>25</v>
      </c>
      <c r="GI1362" s="4">
        <v>24</v>
      </c>
      <c r="GJ1362" s="4">
        <v>23</v>
      </c>
      <c r="GK1362" s="4">
        <v>22</v>
      </c>
      <c r="GL1362" s="4">
        <v>21</v>
      </c>
      <c r="GM1362" s="4">
        <v>20</v>
      </c>
      <c r="GN1362" s="4">
        <v>19</v>
      </c>
      <c r="GO1362" s="4">
        <v>17</v>
      </c>
      <c r="GP1362" s="4">
        <v>15</v>
      </c>
      <c r="GQ1362" s="4">
        <v>12</v>
      </c>
      <c r="GR1362" s="4">
        <v>10</v>
      </c>
      <c r="GS1362" s="4">
        <v>8</v>
      </c>
      <c r="GT1362" s="4">
        <v>7</v>
      </c>
      <c r="GU1362" s="4">
        <v>6</v>
      </c>
      <c r="GV1362" s="4">
        <v>5</v>
      </c>
      <c r="GW1362" s="4">
        <v>4</v>
      </c>
      <c r="GX1362" s="4">
        <v>3</v>
      </c>
      <c r="GY1362" s="4">
        <v>2</v>
      </c>
      <c r="GZ1362" s="4">
        <v>1</v>
      </c>
      <c r="HA1362" s="4"/>
      <c r="HB1362" s="4"/>
      <c r="HC1362" s="4"/>
      <c r="HD1362" s="19">
        <v>15.5</v>
      </c>
      <c r="HE1362" s="19">
        <v>28</v>
      </c>
      <c r="HF1362" s="19">
        <v>27</v>
      </c>
      <c r="HG1362" s="19">
        <v>26</v>
      </c>
      <c r="HH1362" s="19">
        <v>25</v>
      </c>
      <c r="HI1362" s="19">
        <v>24</v>
      </c>
      <c r="HJ1362" s="19">
        <v>23</v>
      </c>
      <c r="HK1362" s="19">
        <v>22</v>
      </c>
      <c r="HL1362" s="19">
        <v>10.5</v>
      </c>
      <c r="HM1362" s="19">
        <v>10</v>
      </c>
      <c r="HN1362" s="19">
        <v>9.5</v>
      </c>
      <c r="HO1362" s="19">
        <v>8.5</v>
      </c>
      <c r="HP1362" s="19">
        <v>7.5</v>
      </c>
      <c r="HQ1362" s="19">
        <v>6</v>
      </c>
      <c r="HR1362" s="19">
        <v>10</v>
      </c>
      <c r="HS1362" s="19">
        <v>8</v>
      </c>
      <c r="HT1362" s="19">
        <v>7</v>
      </c>
      <c r="HU1362" s="19">
        <v>6</v>
      </c>
      <c r="HV1362" s="19">
        <v>5</v>
      </c>
      <c r="HW1362" s="19">
        <v>4</v>
      </c>
      <c r="HX1362" s="19">
        <v>3</v>
      </c>
      <c r="HY1362" s="19">
        <v>2</v>
      </c>
      <c r="HZ1362" s="19">
        <v>1</v>
      </c>
      <c r="IA1362" s="20">
        <v>0</v>
      </c>
      <c r="IB1362" s="20">
        <v>0</v>
      </c>
      <c r="IC1362" s="20">
        <v>0</v>
      </c>
    </row>
    <row r="1363">
      <c r="A1363" s="2" t="s">
        <v>5269</v>
      </c>
      <c r="B1363" s="2" t="s">
        <v>323</v>
      </c>
      <c r="C1363" s="2" t="s">
        <v>832</v>
      </c>
      <c r="D1363" s="2" t="s">
        <v>257</v>
      </c>
      <c r="E1363" s="2" t="s">
        <v>258</v>
      </c>
      <c r="F1363" s="2" t="s">
        <v>5257</v>
      </c>
      <c r="G1363" s="2" t="s">
        <v>5257</v>
      </c>
      <c r="H1363" s="2" t="s">
        <v>5257</v>
      </c>
      <c r="I1363" s="2" t="s">
        <v>5258</v>
      </c>
      <c r="J1363" s="2" t="s">
        <v>272</v>
      </c>
      <c r="K1363" s="2" t="s">
        <v>292</v>
      </c>
      <c r="L1363" s="3">
        <v>74.28</v>
      </c>
      <c r="M1363" s="3">
        <v>77.99</v>
      </c>
      <c r="N1363" s="3">
        <v>199.99</v>
      </c>
      <c r="O1363" s="2" t="s">
        <v>232</v>
      </c>
      <c r="P1363" s="2" t="s">
        <v>233</v>
      </c>
      <c r="Q1363" s="2" t="s">
        <v>234</v>
      </c>
      <c r="R1363" s="2" t="s">
        <v>235</v>
      </c>
      <c r="S1363" s="2" t="s">
        <v>235</v>
      </c>
      <c r="T1363" s="2" t="s">
        <v>263</v>
      </c>
      <c r="U1363" s="2" t="s">
        <v>235</v>
      </c>
      <c r="V1363" s="2" t="s">
        <v>238</v>
      </c>
      <c r="W1363" s="2" t="s">
        <v>329</v>
      </c>
      <c r="X1363" s="2" t="s">
        <v>235</v>
      </c>
      <c r="Y1363" s="2" t="s">
        <v>5259</v>
      </c>
      <c r="Z1363" s="4">
        <v>45</v>
      </c>
      <c r="AA1363" s="4">
        <f>=ROUNDDOWN(50,0)</f>
      </c>
      <c r="AB1363" s="5">
        <v>0.9</v>
      </c>
      <c r="AC1363" s="2" t="s">
        <v>235</v>
      </c>
      <c r="AD1363" s="4"/>
      <c r="AE1363" s="4"/>
      <c r="AF1363" s="6">
        <v>73</v>
      </c>
      <c r="AG1363" s="6"/>
      <c r="AH1363" s="7">
        <v>1</v>
      </c>
      <c r="AI1363" s="4"/>
      <c r="AJ1363" s="4">
        <f>=ROUNDDOWN({0},0)</f>
      </c>
      <c r="AK1363" s="5"/>
      <c r="AL1363" s="2" t="s">
        <v>235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235</v>
      </c>
      <c r="AW1363" s="8" t="s">
        <v>235</v>
      </c>
      <c r="AX1363" s="4" t="s">
        <v>235</v>
      </c>
      <c r="AY1363" s="8" t="s">
        <v>235</v>
      </c>
      <c r="AZ1363" s="7" t="s">
        <v>235</v>
      </c>
      <c r="BA1363" s="7" t="s">
        <v>235</v>
      </c>
      <c r="BB1363" s="7"/>
      <c r="BC1363" s="4" t="s">
        <v>235</v>
      </c>
      <c r="BD1363" s="8" t="s">
        <v>235</v>
      </c>
      <c r="BE1363" s="4" t="s">
        <v>235</v>
      </c>
      <c r="BF1363" s="8" t="s">
        <v>235</v>
      </c>
      <c r="BG1363" s="7" t="s">
        <v>235</v>
      </c>
      <c r="BH1363" s="7" t="s">
        <v>235</v>
      </c>
      <c r="BI1363" s="7"/>
      <c r="BJ1363" s="4">
        <v>6</v>
      </c>
      <c r="BK1363" s="8">
        <v>491.34</v>
      </c>
      <c r="BL1363" s="2" t="s">
        <v>1907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5261</v>
      </c>
      <c r="BV1363" s="2" t="s">
        <v>243</v>
      </c>
      <c r="BW1363" s="2" t="s">
        <v>235</v>
      </c>
      <c r="BX1363" s="2" t="s">
        <v>383</v>
      </c>
      <c r="BY1363" s="2" t="s">
        <v>245</v>
      </c>
      <c r="BZ1363" s="2" t="s">
        <v>232</v>
      </c>
      <c r="CA1363" s="2" t="s">
        <v>5262</v>
      </c>
      <c r="CB1363" s="2" t="s">
        <v>5270</v>
      </c>
      <c r="CC1363" s="2" t="s">
        <v>248</v>
      </c>
      <c r="CD1363" s="2" t="s">
        <v>248</v>
      </c>
      <c r="CE1363" s="2" t="s">
        <v>235</v>
      </c>
      <c r="CF1363" s="4">
        <v>45</v>
      </c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>
        <v>45</v>
      </c>
      <c r="GE1363" s="4">
        <v>44</v>
      </c>
      <c r="GF1363" s="4">
        <v>43</v>
      </c>
      <c r="GG1363" s="4">
        <v>42</v>
      </c>
      <c r="GH1363" s="4">
        <v>41</v>
      </c>
      <c r="GI1363" s="4">
        <v>40</v>
      </c>
      <c r="GJ1363" s="4">
        <v>39</v>
      </c>
      <c r="GK1363" s="4">
        <v>38</v>
      </c>
      <c r="GL1363" s="4">
        <v>37</v>
      </c>
      <c r="GM1363" s="4">
        <v>36</v>
      </c>
      <c r="GN1363" s="4">
        <v>35</v>
      </c>
      <c r="GO1363" s="4">
        <v>33</v>
      </c>
      <c r="GP1363" s="4">
        <v>31</v>
      </c>
      <c r="GQ1363" s="4">
        <v>28</v>
      </c>
      <c r="GR1363" s="4">
        <v>26</v>
      </c>
      <c r="GS1363" s="4">
        <v>24</v>
      </c>
      <c r="GT1363" s="4">
        <v>23</v>
      </c>
      <c r="GU1363" s="4">
        <v>22</v>
      </c>
      <c r="GV1363" s="4">
        <v>21</v>
      </c>
      <c r="GW1363" s="4">
        <v>20</v>
      </c>
      <c r="GX1363" s="4">
        <v>19</v>
      </c>
      <c r="GY1363" s="4">
        <v>18</v>
      </c>
      <c r="GZ1363" s="4">
        <v>17</v>
      </c>
      <c r="HA1363" s="4">
        <v>16</v>
      </c>
      <c r="HB1363" s="4">
        <v>15</v>
      </c>
      <c r="HC1363" s="4">
        <v>14</v>
      </c>
      <c r="HD1363" s="19">
        <v>45</v>
      </c>
      <c r="HE1363" s="19">
        <v>44</v>
      </c>
      <c r="HF1363" s="19">
        <v>43</v>
      </c>
      <c r="HG1363" s="19">
        <v>42</v>
      </c>
      <c r="HH1363" s="19">
        <v>41</v>
      </c>
      <c r="HI1363" s="19">
        <v>40</v>
      </c>
      <c r="HJ1363" s="19">
        <v>39</v>
      </c>
      <c r="HK1363" s="19">
        <v>38</v>
      </c>
      <c r="HL1363" s="19">
        <v>18.5</v>
      </c>
      <c r="HM1363" s="19">
        <v>18</v>
      </c>
      <c r="HN1363" s="19">
        <v>17.5</v>
      </c>
      <c r="HO1363" s="19">
        <v>16.5</v>
      </c>
      <c r="HP1363" s="19">
        <v>15.5</v>
      </c>
      <c r="HQ1363" s="19">
        <v>14</v>
      </c>
      <c r="HR1363" s="19">
        <v>26</v>
      </c>
      <c r="HS1363" s="19">
        <v>24</v>
      </c>
      <c r="HT1363" s="19">
        <v>23</v>
      </c>
      <c r="HU1363" s="19">
        <v>22</v>
      </c>
      <c r="HV1363" s="19">
        <v>21</v>
      </c>
      <c r="HW1363" s="19">
        <v>20</v>
      </c>
      <c r="HX1363" s="19">
        <v>19</v>
      </c>
      <c r="HY1363" s="19">
        <v>18</v>
      </c>
      <c r="HZ1363" s="19">
        <v>17</v>
      </c>
      <c r="IA1363" s="19">
        <v>16</v>
      </c>
      <c r="IB1363" s="19">
        <v>15</v>
      </c>
      <c r="IC1363" s="19">
        <v>14</v>
      </c>
    </row>
    <row r="1364">
      <c r="A1364" s="2" t="s">
        <v>5271</v>
      </c>
      <c r="B1364" s="2" t="s">
        <v>323</v>
      </c>
      <c r="C1364" s="2" t="s">
        <v>832</v>
      </c>
      <c r="D1364" s="2" t="s">
        <v>257</v>
      </c>
      <c r="E1364" s="2" t="s">
        <v>258</v>
      </c>
      <c r="F1364" s="2" t="s">
        <v>5257</v>
      </c>
      <c r="G1364" s="2" t="s">
        <v>5257</v>
      </c>
      <c r="H1364" s="2" t="s">
        <v>5257</v>
      </c>
      <c r="I1364" s="2" t="s">
        <v>5265</v>
      </c>
      <c r="J1364" s="2" t="s">
        <v>5272</v>
      </c>
      <c r="K1364" s="2" t="s">
        <v>292</v>
      </c>
      <c r="L1364" s="3">
        <v>18.57</v>
      </c>
      <c r="M1364" s="3">
        <v>19.5</v>
      </c>
      <c r="N1364" s="3">
        <v>49.99</v>
      </c>
      <c r="O1364" s="2" t="s">
        <v>232</v>
      </c>
      <c r="P1364" s="2" t="s">
        <v>233</v>
      </c>
      <c r="Q1364" s="2" t="s">
        <v>234</v>
      </c>
      <c r="R1364" s="2" t="s">
        <v>235</v>
      </c>
      <c r="S1364" s="2" t="s">
        <v>235</v>
      </c>
      <c r="T1364" s="2" t="s">
        <v>263</v>
      </c>
      <c r="U1364" s="2" t="s">
        <v>235</v>
      </c>
      <c r="V1364" s="2" t="s">
        <v>238</v>
      </c>
      <c r="W1364" s="2" t="s">
        <v>329</v>
      </c>
      <c r="X1364" s="2" t="s">
        <v>235</v>
      </c>
      <c r="Y1364" s="2" t="s">
        <v>5259</v>
      </c>
      <c r="Z1364" s="4">
        <v>51</v>
      </c>
      <c r="AA1364" s="4">
        <f>=ROUNDDOWN(51,0)</f>
      </c>
      <c r="AB1364" s="5">
        <v>1</v>
      </c>
      <c r="AC1364" s="2" t="s">
        <v>235</v>
      </c>
      <c r="AD1364" s="4"/>
      <c r="AE1364" s="4"/>
      <c r="AF1364" s="6">
        <v>73</v>
      </c>
      <c r="AG1364" s="6"/>
      <c r="AH1364" s="7">
        <v>1</v>
      </c>
      <c r="AI1364" s="4"/>
      <c r="AJ1364" s="4">
        <f>=ROUNDDOWN({0},0)</f>
      </c>
      <c r="AK1364" s="5"/>
      <c r="AL1364" s="2" t="s">
        <v>235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235</v>
      </c>
      <c r="AW1364" s="8" t="s">
        <v>235</v>
      </c>
      <c r="AX1364" s="4" t="s">
        <v>235</v>
      </c>
      <c r="AY1364" s="8" t="s">
        <v>235</v>
      </c>
      <c r="AZ1364" s="7" t="s">
        <v>235</v>
      </c>
      <c r="BA1364" s="7" t="s">
        <v>235</v>
      </c>
      <c r="BB1364" s="7"/>
      <c r="BC1364" s="4" t="s">
        <v>235</v>
      </c>
      <c r="BD1364" s="8" t="s">
        <v>235</v>
      </c>
      <c r="BE1364" s="4" t="s">
        <v>235</v>
      </c>
      <c r="BF1364" s="8" t="s">
        <v>235</v>
      </c>
      <c r="BG1364" s="7" t="s">
        <v>235</v>
      </c>
      <c r="BH1364" s="7" t="s">
        <v>235</v>
      </c>
      <c r="BI1364" s="7"/>
      <c r="BJ1364" s="4">
        <v>5</v>
      </c>
      <c r="BK1364" s="8">
        <v>131.87</v>
      </c>
      <c r="BL1364" s="2" t="s">
        <v>5273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5267</v>
      </c>
      <c r="BV1364" s="2" t="s">
        <v>243</v>
      </c>
      <c r="BW1364" s="2" t="s">
        <v>235</v>
      </c>
      <c r="BX1364" s="2" t="s">
        <v>383</v>
      </c>
      <c r="BY1364" s="2" t="s">
        <v>245</v>
      </c>
      <c r="BZ1364" s="2" t="s">
        <v>232</v>
      </c>
      <c r="CA1364" s="2" t="s">
        <v>838</v>
      </c>
      <c r="CB1364" s="2" t="s">
        <v>2660</v>
      </c>
      <c r="CC1364" s="2" t="s">
        <v>248</v>
      </c>
      <c r="CD1364" s="2" t="s">
        <v>248</v>
      </c>
      <c r="CE1364" s="2" t="s">
        <v>235</v>
      </c>
      <c r="CF1364" s="4">
        <v>51</v>
      </c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>
        <v>51</v>
      </c>
      <c r="GE1364" s="4">
        <v>50</v>
      </c>
      <c r="GF1364" s="4">
        <v>49</v>
      </c>
      <c r="GG1364" s="4">
        <v>48</v>
      </c>
      <c r="GH1364" s="4">
        <v>47</v>
      </c>
      <c r="GI1364" s="4">
        <v>46</v>
      </c>
      <c r="GJ1364" s="4">
        <v>45</v>
      </c>
      <c r="GK1364" s="4">
        <v>44</v>
      </c>
      <c r="GL1364" s="4">
        <v>43</v>
      </c>
      <c r="GM1364" s="4">
        <v>42</v>
      </c>
      <c r="GN1364" s="4">
        <v>41</v>
      </c>
      <c r="GO1364" s="4">
        <v>39</v>
      </c>
      <c r="GP1364" s="4">
        <v>37</v>
      </c>
      <c r="GQ1364" s="4">
        <v>34</v>
      </c>
      <c r="GR1364" s="4">
        <v>32</v>
      </c>
      <c r="GS1364" s="4">
        <v>30</v>
      </c>
      <c r="GT1364" s="4">
        <v>29</v>
      </c>
      <c r="GU1364" s="4">
        <v>28</v>
      </c>
      <c r="GV1364" s="4">
        <v>27</v>
      </c>
      <c r="GW1364" s="4">
        <v>26</v>
      </c>
      <c r="GX1364" s="4">
        <v>25</v>
      </c>
      <c r="GY1364" s="4">
        <v>24</v>
      </c>
      <c r="GZ1364" s="4">
        <v>23</v>
      </c>
      <c r="HA1364" s="4">
        <v>22</v>
      </c>
      <c r="HB1364" s="4">
        <v>21</v>
      </c>
      <c r="HC1364" s="4">
        <v>20</v>
      </c>
      <c r="HD1364" s="19">
        <v>51</v>
      </c>
      <c r="HE1364" s="19">
        <v>50</v>
      </c>
      <c r="HF1364" s="19">
        <v>49</v>
      </c>
      <c r="HG1364" s="19">
        <v>48</v>
      </c>
      <c r="HH1364" s="19">
        <v>47</v>
      </c>
      <c r="HI1364" s="19">
        <v>46</v>
      </c>
      <c r="HJ1364" s="19">
        <v>45</v>
      </c>
      <c r="HK1364" s="19">
        <v>44</v>
      </c>
      <c r="HL1364" s="19">
        <v>21.5</v>
      </c>
      <c r="HM1364" s="19">
        <v>21</v>
      </c>
      <c r="HN1364" s="19">
        <v>20.5</v>
      </c>
      <c r="HO1364" s="19">
        <v>19.5</v>
      </c>
      <c r="HP1364" s="19">
        <v>18.5</v>
      </c>
      <c r="HQ1364" s="19">
        <v>17</v>
      </c>
      <c r="HR1364" s="19">
        <v>32</v>
      </c>
      <c r="HS1364" s="19">
        <v>30</v>
      </c>
      <c r="HT1364" s="19">
        <v>29</v>
      </c>
      <c r="HU1364" s="19">
        <v>28</v>
      </c>
      <c r="HV1364" s="19">
        <v>27</v>
      </c>
      <c r="HW1364" s="19">
        <v>26</v>
      </c>
      <c r="HX1364" s="19">
        <v>25</v>
      </c>
      <c r="HY1364" s="19">
        <v>24</v>
      </c>
      <c r="HZ1364" s="19">
        <v>23</v>
      </c>
      <c r="IA1364" s="19">
        <v>22</v>
      </c>
      <c r="IB1364" s="19">
        <v>21</v>
      </c>
      <c r="IC1364" s="19">
        <v>20</v>
      </c>
    </row>
    <row r="1365">
      <c r="A1365" s="2" t="s">
        <v>5274</v>
      </c>
      <c r="B1365" s="2" t="s">
        <v>323</v>
      </c>
      <c r="C1365" s="2" t="s">
        <v>832</v>
      </c>
      <c r="D1365" s="2" t="s">
        <v>257</v>
      </c>
      <c r="E1365" s="2" t="s">
        <v>258</v>
      </c>
      <c r="F1365" s="2" t="s">
        <v>5257</v>
      </c>
      <c r="G1365" s="2" t="s">
        <v>5257</v>
      </c>
      <c r="H1365" s="2" t="s">
        <v>5257</v>
      </c>
      <c r="I1365" s="2" t="s">
        <v>5258</v>
      </c>
      <c r="J1365" s="2" t="s">
        <v>272</v>
      </c>
      <c r="K1365" s="2" t="s">
        <v>295</v>
      </c>
      <c r="L1365" s="3">
        <v>74.28</v>
      </c>
      <c r="M1365" s="3">
        <v>77.99</v>
      </c>
      <c r="N1365" s="3">
        <v>199.99</v>
      </c>
      <c r="O1365" s="2" t="s">
        <v>232</v>
      </c>
      <c r="P1365" s="2" t="s">
        <v>233</v>
      </c>
      <c r="Q1365" s="2" t="s">
        <v>234</v>
      </c>
      <c r="R1365" s="2" t="s">
        <v>235</v>
      </c>
      <c r="S1365" s="2" t="s">
        <v>235</v>
      </c>
      <c r="T1365" s="2" t="s">
        <v>263</v>
      </c>
      <c r="U1365" s="2" t="s">
        <v>235</v>
      </c>
      <c r="V1365" s="2" t="s">
        <v>238</v>
      </c>
      <c r="W1365" s="2" t="s">
        <v>329</v>
      </c>
      <c r="X1365" s="2" t="s">
        <v>235</v>
      </c>
      <c r="Y1365" s="2" t="s">
        <v>5259</v>
      </c>
      <c r="Z1365" s="4">
        <v>79</v>
      </c>
      <c r="AA1365" s="4">
        <f>=ROUNDDOWN(79,0)</f>
      </c>
      <c r="AB1365" s="5">
        <v>1</v>
      </c>
      <c r="AC1365" s="2" t="s">
        <v>235</v>
      </c>
      <c r="AD1365" s="4"/>
      <c r="AE1365" s="4"/>
      <c r="AF1365" s="6">
        <v>73</v>
      </c>
      <c r="AG1365" s="6"/>
      <c r="AH1365" s="7">
        <v>1</v>
      </c>
      <c r="AI1365" s="4"/>
      <c r="AJ1365" s="4">
        <f>=ROUNDDOWN({0},0)</f>
      </c>
      <c r="AK1365" s="5"/>
      <c r="AL1365" s="2" t="s">
        <v>235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 t="s">
        <v>235</v>
      </c>
      <c r="BD1365" s="8" t="s">
        <v>235</v>
      </c>
      <c r="BE1365" s="4" t="s">
        <v>235</v>
      </c>
      <c r="BF1365" s="8" t="s">
        <v>235</v>
      </c>
      <c r="BG1365" s="7" t="s">
        <v>235</v>
      </c>
      <c r="BH1365" s="7" t="s">
        <v>235</v>
      </c>
      <c r="BI1365" s="7"/>
      <c r="BJ1365" s="4">
        <v>5</v>
      </c>
      <c r="BK1365" s="8">
        <v>415.69</v>
      </c>
      <c r="BL1365" s="2" t="s">
        <v>5275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5261</v>
      </c>
      <c r="BV1365" s="2" t="s">
        <v>243</v>
      </c>
      <c r="BW1365" s="2" t="s">
        <v>235</v>
      </c>
      <c r="BX1365" s="2" t="s">
        <v>383</v>
      </c>
      <c r="BY1365" s="2" t="s">
        <v>245</v>
      </c>
      <c r="BZ1365" s="2" t="s">
        <v>232</v>
      </c>
      <c r="CA1365" s="2" t="s">
        <v>5262</v>
      </c>
      <c r="CB1365" s="2" t="s">
        <v>5276</v>
      </c>
      <c r="CC1365" s="2" t="s">
        <v>248</v>
      </c>
      <c r="CD1365" s="2" t="s">
        <v>248</v>
      </c>
      <c r="CE1365" s="2" t="s">
        <v>235</v>
      </c>
      <c r="CF1365" s="4">
        <v>79</v>
      </c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>
        <v>80</v>
      </c>
      <c r="GE1365" s="4">
        <v>79</v>
      </c>
      <c r="GF1365" s="4">
        <v>78</v>
      </c>
      <c r="GG1365" s="4">
        <v>77</v>
      </c>
      <c r="GH1365" s="4">
        <v>76</v>
      </c>
      <c r="GI1365" s="4">
        <v>75</v>
      </c>
      <c r="GJ1365" s="4">
        <v>74</v>
      </c>
      <c r="GK1365" s="4">
        <v>73</v>
      </c>
      <c r="GL1365" s="4">
        <v>72</v>
      </c>
      <c r="GM1365" s="4">
        <v>71</v>
      </c>
      <c r="GN1365" s="4">
        <v>70</v>
      </c>
      <c r="GO1365" s="4">
        <v>68</v>
      </c>
      <c r="GP1365" s="4">
        <v>66</v>
      </c>
      <c r="GQ1365" s="4">
        <v>63</v>
      </c>
      <c r="GR1365" s="4">
        <v>61</v>
      </c>
      <c r="GS1365" s="4">
        <v>59</v>
      </c>
      <c r="GT1365" s="4">
        <v>58</v>
      </c>
      <c r="GU1365" s="4">
        <v>57</v>
      </c>
      <c r="GV1365" s="4">
        <v>56</v>
      </c>
      <c r="GW1365" s="4">
        <v>55</v>
      </c>
      <c r="GX1365" s="4">
        <v>58</v>
      </c>
      <c r="GY1365" s="4">
        <v>57</v>
      </c>
      <c r="GZ1365" s="4">
        <v>56</v>
      </c>
      <c r="HA1365" s="4">
        <v>55</v>
      </c>
      <c r="HB1365" s="4">
        <v>54</v>
      </c>
      <c r="HC1365" s="4">
        <v>53</v>
      </c>
      <c r="HD1365" s="19">
        <v>80</v>
      </c>
      <c r="HE1365" s="19">
        <v>79</v>
      </c>
      <c r="HF1365" s="19">
        <v>78</v>
      </c>
      <c r="HG1365" s="19">
        <v>77</v>
      </c>
      <c r="HH1365" s="19">
        <v>76</v>
      </c>
      <c r="HI1365" s="19">
        <v>75</v>
      </c>
      <c r="HJ1365" s="19">
        <v>74</v>
      </c>
      <c r="HK1365" s="19">
        <v>73</v>
      </c>
      <c r="HL1365" s="19">
        <v>36</v>
      </c>
      <c r="HM1365" s="19">
        <v>35.5</v>
      </c>
      <c r="HN1365" s="19">
        <v>35</v>
      </c>
      <c r="HO1365" s="19">
        <v>34</v>
      </c>
      <c r="HP1365" s="19">
        <v>33</v>
      </c>
      <c r="HQ1365" s="19">
        <v>31.5</v>
      </c>
      <c r="HR1365" s="19">
        <v>61</v>
      </c>
      <c r="HS1365" s="19">
        <v>59</v>
      </c>
      <c r="HT1365" s="19">
        <v>58</v>
      </c>
      <c r="HU1365" s="19">
        <v>57</v>
      </c>
      <c r="HV1365" s="19">
        <v>56</v>
      </c>
      <c r="HW1365" s="19">
        <v>55</v>
      </c>
      <c r="HX1365" s="19">
        <v>58</v>
      </c>
      <c r="HY1365" s="19">
        <v>57</v>
      </c>
      <c r="HZ1365" s="19">
        <v>56</v>
      </c>
      <c r="IA1365" s="19">
        <v>55</v>
      </c>
      <c r="IB1365" s="19">
        <v>54</v>
      </c>
      <c r="IC1365" s="19">
        <v>53</v>
      </c>
    </row>
    <row r="1366">
      <c r="A1366" s="2" t="s">
        <v>5277</v>
      </c>
      <c r="B1366" s="2" t="s">
        <v>323</v>
      </c>
      <c r="C1366" s="2" t="s">
        <v>832</v>
      </c>
      <c r="D1366" s="2" t="s">
        <v>257</v>
      </c>
      <c r="E1366" s="2" t="s">
        <v>258</v>
      </c>
      <c r="F1366" s="2" t="s">
        <v>5257</v>
      </c>
      <c r="G1366" s="2" t="s">
        <v>5257</v>
      </c>
      <c r="H1366" s="2" t="s">
        <v>5257</v>
      </c>
      <c r="I1366" s="2" t="s">
        <v>5265</v>
      </c>
      <c r="J1366" s="2" t="s">
        <v>270</v>
      </c>
      <c r="K1366" s="2" t="s">
        <v>316</v>
      </c>
      <c r="L1366" s="3">
        <v>22.28</v>
      </c>
      <c r="M1366" s="3">
        <v>23.39</v>
      </c>
      <c r="N1366" s="3">
        <v>59.99</v>
      </c>
      <c r="O1366" s="2" t="s">
        <v>232</v>
      </c>
      <c r="P1366" s="2" t="s">
        <v>233</v>
      </c>
      <c r="Q1366" s="2" t="s">
        <v>234</v>
      </c>
      <c r="R1366" s="2" t="s">
        <v>235</v>
      </c>
      <c r="S1366" s="2" t="s">
        <v>235</v>
      </c>
      <c r="T1366" s="2" t="s">
        <v>263</v>
      </c>
      <c r="U1366" s="2" t="s">
        <v>235</v>
      </c>
      <c r="V1366" s="2" t="s">
        <v>238</v>
      </c>
      <c r="W1366" s="2" t="s">
        <v>329</v>
      </c>
      <c r="X1366" s="2" t="s">
        <v>235</v>
      </c>
      <c r="Y1366" s="2" t="s">
        <v>5259</v>
      </c>
      <c r="Z1366" s="4">
        <v>16</v>
      </c>
      <c r="AA1366" s="4">
        <f>=ROUNDDOWN(11.4285714285714,0)</f>
      </c>
      <c r="AB1366" s="5">
        <v>1.4</v>
      </c>
      <c r="AC1366" s="2" t="s">
        <v>2426</v>
      </c>
      <c r="AD1366" s="4">
        <v>160</v>
      </c>
      <c r="AE1366" s="4">
        <v>160</v>
      </c>
      <c r="AF1366" s="6">
        <v>73</v>
      </c>
      <c r="AG1366" s="6"/>
      <c r="AH1366" s="7">
        <v>1</v>
      </c>
      <c r="AI1366" s="4"/>
      <c r="AJ1366" s="4">
        <f>=ROUNDDOWN({0},0)</f>
      </c>
      <c r="AK1366" s="5"/>
      <c r="AL1366" s="2" t="s">
        <v>235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 t="s">
        <v>235</v>
      </c>
      <c r="BD1366" s="8" t="s">
        <v>235</v>
      </c>
      <c r="BE1366" s="4" t="s">
        <v>235</v>
      </c>
      <c r="BF1366" s="8" t="s">
        <v>235</v>
      </c>
      <c r="BG1366" s="7" t="s">
        <v>235</v>
      </c>
      <c r="BH1366" s="7" t="s">
        <v>235</v>
      </c>
      <c r="BI1366" s="7"/>
      <c r="BJ1366" s="4">
        <v>9</v>
      </c>
      <c r="BK1366" s="8">
        <v>221.04</v>
      </c>
      <c r="BL1366" s="2" t="s">
        <v>2757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5267</v>
      </c>
      <c r="BV1366" s="2" t="s">
        <v>243</v>
      </c>
      <c r="BW1366" s="2" t="s">
        <v>235</v>
      </c>
      <c r="BX1366" s="2" t="s">
        <v>383</v>
      </c>
      <c r="BY1366" s="2" t="s">
        <v>245</v>
      </c>
      <c r="BZ1366" s="2" t="s">
        <v>232</v>
      </c>
      <c r="CA1366" s="2" t="s">
        <v>838</v>
      </c>
      <c r="CB1366" s="2" t="s">
        <v>5278</v>
      </c>
      <c r="CC1366" s="2" t="s">
        <v>248</v>
      </c>
      <c r="CD1366" s="2" t="s">
        <v>248</v>
      </c>
      <c r="CE1366" s="2" t="s">
        <v>235</v>
      </c>
      <c r="CF1366" s="4">
        <v>16</v>
      </c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>
        <v>160</v>
      </c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>
        <v>19</v>
      </c>
      <c r="GE1366" s="4">
        <v>15</v>
      </c>
      <c r="GF1366" s="4">
        <v>14</v>
      </c>
      <c r="GG1366" s="4">
        <v>13</v>
      </c>
      <c r="GH1366" s="4">
        <v>12</v>
      </c>
      <c r="GI1366" s="4">
        <v>171</v>
      </c>
      <c r="GJ1366" s="4">
        <v>170</v>
      </c>
      <c r="GK1366" s="4">
        <v>169</v>
      </c>
      <c r="GL1366" s="4">
        <v>168</v>
      </c>
      <c r="GM1366" s="4">
        <v>167</v>
      </c>
      <c r="GN1366" s="4">
        <v>166</v>
      </c>
      <c r="GO1366" s="4">
        <v>164</v>
      </c>
      <c r="GP1366" s="4">
        <v>162</v>
      </c>
      <c r="GQ1366" s="4">
        <v>159</v>
      </c>
      <c r="GR1366" s="4">
        <v>157</v>
      </c>
      <c r="GS1366" s="4">
        <v>155</v>
      </c>
      <c r="GT1366" s="4">
        <v>154</v>
      </c>
      <c r="GU1366" s="4">
        <v>153</v>
      </c>
      <c r="GV1366" s="4">
        <v>152</v>
      </c>
      <c r="GW1366" s="4">
        <v>151</v>
      </c>
      <c r="GX1366" s="4">
        <v>150</v>
      </c>
      <c r="GY1366" s="4">
        <v>149</v>
      </c>
      <c r="GZ1366" s="4">
        <v>148</v>
      </c>
      <c r="HA1366" s="4">
        <v>147</v>
      </c>
      <c r="HB1366" s="4">
        <v>146</v>
      </c>
      <c r="HC1366" s="4">
        <v>145</v>
      </c>
      <c r="HD1366" s="19">
        <v>9.5</v>
      </c>
      <c r="HE1366" s="19">
        <v>15</v>
      </c>
      <c r="HF1366" s="19">
        <v>14</v>
      </c>
      <c r="HG1366" s="19">
        <v>13</v>
      </c>
      <c r="HH1366" s="19">
        <v>12</v>
      </c>
      <c r="HI1366" s="19">
        <v>171</v>
      </c>
      <c r="HJ1366" s="19">
        <v>170</v>
      </c>
      <c r="HK1366" s="19">
        <v>169</v>
      </c>
      <c r="HL1366" s="19">
        <v>84</v>
      </c>
      <c r="HM1366" s="19">
        <v>83.5</v>
      </c>
      <c r="HN1366" s="19">
        <v>83</v>
      </c>
      <c r="HO1366" s="19">
        <v>82</v>
      </c>
      <c r="HP1366" s="19">
        <v>81</v>
      </c>
      <c r="HQ1366" s="19">
        <v>79.5</v>
      </c>
      <c r="HR1366" s="19">
        <v>157</v>
      </c>
      <c r="HS1366" s="19">
        <v>155</v>
      </c>
      <c r="HT1366" s="19">
        <v>154</v>
      </c>
      <c r="HU1366" s="19">
        <v>153</v>
      </c>
      <c r="HV1366" s="19">
        <v>152</v>
      </c>
      <c r="HW1366" s="19">
        <v>151</v>
      </c>
      <c r="HX1366" s="19">
        <v>150</v>
      </c>
      <c r="HY1366" s="19">
        <v>149</v>
      </c>
      <c r="HZ1366" s="19">
        <v>148</v>
      </c>
      <c r="IA1366" s="19">
        <v>147</v>
      </c>
      <c r="IB1366" s="19">
        <v>146</v>
      </c>
      <c r="IC1366" s="19">
        <v>145</v>
      </c>
    </row>
    <row r="1367">
      <c r="A1367" s="2" t="s">
        <v>5279</v>
      </c>
      <c r="B1367" s="2" t="s">
        <v>1071</v>
      </c>
      <c r="C1367" s="2" t="s">
        <v>324</v>
      </c>
      <c r="D1367" s="2" t="s">
        <v>4193</v>
      </c>
      <c r="E1367" s="2" t="s">
        <v>330</v>
      </c>
      <c r="F1367" s="2" t="s">
        <v>5280</v>
      </c>
      <c r="G1367" s="2" t="s">
        <v>5281</v>
      </c>
      <c r="H1367" s="2" t="s">
        <v>2445</v>
      </c>
      <c r="I1367" s="2" t="s">
        <v>235</v>
      </c>
      <c r="J1367" s="2" t="s">
        <v>4205</v>
      </c>
      <c r="K1367" s="2" t="s">
        <v>378</v>
      </c>
      <c r="L1367" s="3">
        <v>330.62</v>
      </c>
      <c r="M1367" s="3"/>
      <c r="N1367" s="3"/>
      <c r="O1367" s="2" t="s">
        <v>407</v>
      </c>
      <c r="P1367" s="2" t="s">
        <v>235</v>
      </c>
      <c r="Q1367" s="2" t="s">
        <v>235</v>
      </c>
      <c r="R1367" s="2" t="s">
        <v>2425</v>
      </c>
      <c r="S1367" s="2" t="s">
        <v>235</v>
      </c>
      <c r="T1367" s="2" t="s">
        <v>235</v>
      </c>
      <c r="U1367" s="2" t="s">
        <v>235</v>
      </c>
      <c r="V1367" s="2" t="s">
        <v>235</v>
      </c>
      <c r="W1367" s="2" t="s">
        <v>235</v>
      </c>
      <c r="X1367" s="2" t="s">
        <v>235</v>
      </c>
      <c r="Y1367" s="2" t="s">
        <v>235</v>
      </c>
      <c r="Z1367" s="4">
        <v>50</v>
      </c>
      <c r="AA1367" s="4">
        <f>=ROUNDDOWN({0},0)</f>
      </c>
      <c r="AB1367" s="5"/>
      <c r="AC1367" s="2" t="s">
        <v>235</v>
      </c>
      <c r="AD1367" s="4"/>
      <c r="AE1367" s="4"/>
      <c r="AF1367" s="6"/>
      <c r="AG1367" s="6"/>
      <c r="AH1367" s="7"/>
      <c r="AI1367" s="4"/>
      <c r="AJ1367" s="4">
        <f>=ROUNDDOWN({0},0)</f>
      </c>
      <c r="AK1367" s="5"/>
      <c r="AL1367" s="2" t="s">
        <v>235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235</v>
      </c>
      <c r="AW1367" s="8" t="s">
        <v>235</v>
      </c>
      <c r="AX1367" s="4" t="s">
        <v>235</v>
      </c>
      <c r="AY1367" s="8" t="s">
        <v>235</v>
      </c>
      <c r="AZ1367" s="7" t="s">
        <v>235</v>
      </c>
      <c r="BA1367" s="7" t="s">
        <v>235</v>
      </c>
      <c r="BB1367" s="7"/>
      <c r="BC1367" s="4" t="s">
        <v>235</v>
      </c>
      <c r="BD1367" s="8" t="s">
        <v>235</v>
      </c>
      <c r="BE1367" s="4" t="s">
        <v>235</v>
      </c>
      <c r="BF1367" s="8" t="s">
        <v>235</v>
      </c>
      <c r="BG1367" s="7" t="s">
        <v>235</v>
      </c>
      <c r="BH1367" s="7" t="s">
        <v>235</v>
      </c>
      <c r="BI1367" s="7"/>
      <c r="BJ1367" s="4"/>
      <c r="BK1367" s="8"/>
      <c r="BL1367" s="2" t="s">
        <v>235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235</v>
      </c>
      <c r="BV1367" s="2" t="s">
        <v>235</v>
      </c>
      <c r="BW1367" s="2" t="s">
        <v>235</v>
      </c>
      <c r="BX1367" s="2" t="s">
        <v>235</v>
      </c>
      <c r="BY1367" s="2" t="s">
        <v>235</v>
      </c>
      <c r="BZ1367" s="2" t="s">
        <v>235</v>
      </c>
      <c r="CA1367" s="2" t="s">
        <v>235</v>
      </c>
      <c r="CB1367" s="2" t="s">
        <v>235</v>
      </c>
      <c r="CC1367" s="2" t="s">
        <v>235</v>
      </c>
      <c r="CD1367" s="2" t="s">
        <v>235</v>
      </c>
      <c r="CE1367" s="2" t="s">
        <v>235</v>
      </c>
      <c r="CF1367" s="4"/>
      <c r="CG1367" s="4">
        <v>50</v>
      </c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9"/>
      <c r="HE1367" s="9"/>
      <c r="HF1367" s="9"/>
      <c r="HG1367" s="9"/>
      <c r="HH1367" s="9"/>
      <c r="HI1367" s="9"/>
      <c r="HJ1367" s="9"/>
      <c r="HK1367" s="9"/>
      <c r="HL1367" s="9"/>
      <c r="HM1367" s="9"/>
      <c r="HN1367" s="9"/>
      <c r="HO1367" s="9"/>
      <c r="HP1367" s="9"/>
      <c r="HQ1367" s="9"/>
      <c r="HR1367" s="9"/>
      <c r="HS1367" s="9"/>
      <c r="HT1367" s="9"/>
      <c r="HU1367" s="9"/>
      <c r="HV1367" s="9"/>
      <c r="HW1367" s="9"/>
      <c r="HX1367" s="9"/>
      <c r="HY1367" s="9"/>
      <c r="HZ1367" s="9"/>
      <c r="IA1367" s="9"/>
      <c r="IB1367" s="9"/>
      <c r="IC1367" s="9"/>
    </row>
    <row r="1368">
      <c r="A1368" s="2" t="s">
        <v>5282</v>
      </c>
      <c r="B1368" s="2" t="s">
        <v>1071</v>
      </c>
      <c r="C1368" s="2" t="s">
        <v>324</v>
      </c>
      <c r="D1368" s="2" t="s">
        <v>4193</v>
      </c>
      <c r="E1368" s="2" t="s">
        <v>330</v>
      </c>
      <c r="F1368" s="2" t="s">
        <v>5280</v>
      </c>
      <c r="G1368" s="2" t="s">
        <v>5281</v>
      </c>
      <c r="H1368" s="2" t="s">
        <v>2445</v>
      </c>
      <c r="I1368" s="2" t="s">
        <v>235</v>
      </c>
      <c r="J1368" s="2" t="s">
        <v>4207</v>
      </c>
      <c r="K1368" s="2" t="s">
        <v>378</v>
      </c>
      <c r="L1368" s="3">
        <v>334.38</v>
      </c>
      <c r="M1368" s="3"/>
      <c r="N1368" s="3"/>
      <c r="O1368" s="2" t="s">
        <v>407</v>
      </c>
      <c r="P1368" s="2" t="s">
        <v>235</v>
      </c>
      <c r="Q1368" s="2" t="s">
        <v>235</v>
      </c>
      <c r="R1368" s="2" t="s">
        <v>2425</v>
      </c>
      <c r="S1368" s="2" t="s">
        <v>235</v>
      </c>
      <c r="T1368" s="2" t="s">
        <v>235</v>
      </c>
      <c r="U1368" s="2" t="s">
        <v>235</v>
      </c>
      <c r="V1368" s="2" t="s">
        <v>235</v>
      </c>
      <c r="W1368" s="2" t="s">
        <v>235</v>
      </c>
      <c r="X1368" s="2" t="s">
        <v>235</v>
      </c>
      <c r="Y1368" s="2" t="s">
        <v>235</v>
      </c>
      <c r="Z1368" s="4">
        <v>47</v>
      </c>
      <c r="AA1368" s="4">
        <f>=ROUNDDOWN({0},0)</f>
      </c>
      <c r="AB1368" s="5"/>
      <c r="AC1368" s="2" t="s">
        <v>235</v>
      </c>
      <c r="AD1368" s="4"/>
      <c r="AE1368" s="4"/>
      <c r="AF1368" s="6"/>
      <c r="AG1368" s="6"/>
      <c r="AH1368" s="7"/>
      <c r="AI1368" s="4"/>
      <c r="AJ1368" s="4">
        <f>=ROUNDDOWN({0},0)</f>
      </c>
      <c r="AK1368" s="5"/>
      <c r="AL1368" s="2" t="s">
        <v>235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235</v>
      </c>
      <c r="AW1368" s="8" t="s">
        <v>235</v>
      </c>
      <c r="AX1368" s="4" t="s">
        <v>235</v>
      </c>
      <c r="AY1368" s="8" t="s">
        <v>235</v>
      </c>
      <c r="AZ1368" s="7" t="s">
        <v>235</v>
      </c>
      <c r="BA1368" s="7" t="s">
        <v>235</v>
      </c>
      <c r="BB1368" s="7"/>
      <c r="BC1368" s="4" t="s">
        <v>235</v>
      </c>
      <c r="BD1368" s="8" t="s">
        <v>235</v>
      </c>
      <c r="BE1368" s="4" t="s">
        <v>235</v>
      </c>
      <c r="BF1368" s="8" t="s">
        <v>235</v>
      </c>
      <c r="BG1368" s="7" t="s">
        <v>235</v>
      </c>
      <c r="BH1368" s="7" t="s">
        <v>235</v>
      </c>
      <c r="BI1368" s="7"/>
      <c r="BJ1368" s="4"/>
      <c r="BK1368" s="8"/>
      <c r="BL1368" s="2" t="s">
        <v>235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235</v>
      </c>
      <c r="BV1368" s="2" t="s">
        <v>235</v>
      </c>
      <c r="BW1368" s="2" t="s">
        <v>235</v>
      </c>
      <c r="BX1368" s="2" t="s">
        <v>235</v>
      </c>
      <c r="BY1368" s="2" t="s">
        <v>235</v>
      </c>
      <c r="BZ1368" s="2" t="s">
        <v>235</v>
      </c>
      <c r="CA1368" s="2" t="s">
        <v>235</v>
      </c>
      <c r="CB1368" s="2" t="s">
        <v>235</v>
      </c>
      <c r="CC1368" s="2" t="s">
        <v>235</v>
      </c>
      <c r="CD1368" s="2" t="s">
        <v>235</v>
      </c>
      <c r="CE1368" s="2" t="s">
        <v>235</v>
      </c>
      <c r="CF1368" s="4"/>
      <c r="CG1368" s="4">
        <v>47</v>
      </c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9"/>
      <c r="HE1368" s="9"/>
      <c r="HF1368" s="9"/>
      <c r="HG1368" s="9"/>
      <c r="HH1368" s="9"/>
      <c r="HI1368" s="9"/>
      <c r="HJ1368" s="9"/>
      <c r="HK1368" s="9"/>
      <c r="HL1368" s="9"/>
      <c r="HM1368" s="9"/>
      <c r="HN1368" s="9"/>
      <c r="HO1368" s="9"/>
      <c r="HP1368" s="9"/>
      <c r="HQ1368" s="9"/>
      <c r="HR1368" s="9"/>
      <c r="HS1368" s="9"/>
      <c r="HT1368" s="9"/>
      <c r="HU1368" s="9"/>
      <c r="HV1368" s="9"/>
      <c r="HW1368" s="9"/>
      <c r="HX1368" s="9"/>
      <c r="HY1368" s="9"/>
      <c r="HZ1368" s="9"/>
      <c r="IA1368" s="9"/>
      <c r="IB1368" s="9"/>
      <c r="IC1368" s="9"/>
    </row>
    <row r="1369">
      <c r="A1369" s="2" t="s">
        <v>5283</v>
      </c>
      <c r="B1369" s="2" t="s">
        <v>871</v>
      </c>
      <c r="C1369" s="2" t="s">
        <v>980</v>
      </c>
      <c r="D1369" s="2" t="s">
        <v>906</v>
      </c>
      <c r="E1369" s="2" t="s">
        <v>907</v>
      </c>
      <c r="F1369" s="2" t="s">
        <v>5284</v>
      </c>
      <c r="G1369" s="2" t="s">
        <v>5284</v>
      </c>
      <c r="H1369" s="2" t="s">
        <v>5284</v>
      </c>
      <c r="I1369" s="2" t="s">
        <v>5285</v>
      </c>
      <c r="J1369" s="2" t="s">
        <v>365</v>
      </c>
      <c r="K1369" s="2" t="s">
        <v>338</v>
      </c>
      <c r="L1369" s="3">
        <v>59.42</v>
      </c>
      <c r="M1369" s="3">
        <v>62.39</v>
      </c>
      <c r="N1369" s="3">
        <v>129.99</v>
      </c>
      <c r="O1369" s="2" t="s">
        <v>232</v>
      </c>
      <c r="P1369" s="2" t="s">
        <v>878</v>
      </c>
      <c r="Q1369" s="2" t="s">
        <v>234</v>
      </c>
      <c r="R1369" s="2" t="s">
        <v>235</v>
      </c>
      <c r="S1369" s="2" t="s">
        <v>235</v>
      </c>
      <c r="T1369" s="2" t="s">
        <v>263</v>
      </c>
      <c r="U1369" s="2" t="s">
        <v>552</v>
      </c>
      <c r="V1369" s="2" t="s">
        <v>238</v>
      </c>
      <c r="W1369" s="2" t="s">
        <v>882</v>
      </c>
      <c r="X1369" s="2" t="s">
        <v>682</v>
      </c>
      <c r="Y1369" s="2" t="s">
        <v>3569</v>
      </c>
      <c r="Z1369" s="4">
        <v>112</v>
      </c>
      <c r="AA1369" s="4">
        <f>=ROUNDDOWN(22.4,0)</f>
      </c>
      <c r="AB1369" s="5">
        <v>5</v>
      </c>
      <c r="AC1369" s="2" t="s">
        <v>266</v>
      </c>
      <c r="AD1369" s="4">
        <v>14</v>
      </c>
      <c r="AE1369" s="4">
        <v>14</v>
      </c>
      <c r="AF1369" s="6">
        <v>80</v>
      </c>
      <c r="AG1369" s="6"/>
      <c r="AH1369" s="7">
        <v>1</v>
      </c>
      <c r="AI1369" s="4"/>
      <c r="AJ1369" s="4">
        <f>=ROUNDDOWN({0},0)</f>
      </c>
      <c r="AK1369" s="5"/>
      <c r="AL1369" s="2" t="s">
        <v>235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235</v>
      </c>
      <c r="AW1369" s="8" t="s">
        <v>235</v>
      </c>
      <c r="AX1369" s="4" t="s">
        <v>235</v>
      </c>
      <c r="AY1369" s="8" t="s">
        <v>235</v>
      </c>
      <c r="AZ1369" s="7" t="s">
        <v>235</v>
      </c>
      <c r="BA1369" s="7" t="s">
        <v>235</v>
      </c>
      <c r="BB1369" s="7"/>
      <c r="BC1369" s="4" t="s">
        <v>235</v>
      </c>
      <c r="BD1369" s="8" t="s">
        <v>235</v>
      </c>
      <c r="BE1369" s="4" t="s">
        <v>235</v>
      </c>
      <c r="BF1369" s="8" t="s">
        <v>235</v>
      </c>
      <c r="BG1369" s="7" t="s">
        <v>235</v>
      </c>
      <c r="BH1369" s="7" t="s">
        <v>235</v>
      </c>
      <c r="BI1369" s="7"/>
      <c r="BJ1369" s="4">
        <v>6</v>
      </c>
      <c r="BK1369" s="8">
        <v>398.68</v>
      </c>
      <c r="BL1369" s="2" t="s">
        <v>4344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5286</v>
      </c>
      <c r="BV1369" s="2" t="s">
        <v>235</v>
      </c>
      <c r="BW1369" s="2" t="s">
        <v>235</v>
      </c>
      <c r="BX1369" s="2" t="s">
        <v>244</v>
      </c>
      <c r="BY1369" s="2" t="s">
        <v>245</v>
      </c>
      <c r="BZ1369" s="2" t="s">
        <v>232</v>
      </c>
      <c r="CA1369" s="2" t="s">
        <v>235</v>
      </c>
      <c r="CB1369" s="2" t="s">
        <v>235</v>
      </c>
      <c r="CC1369" s="2" t="s">
        <v>248</v>
      </c>
      <c r="CD1369" s="2" t="s">
        <v>248</v>
      </c>
      <c r="CE1369" s="2" t="s">
        <v>235</v>
      </c>
      <c r="CF1369" s="4">
        <v>112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>
        <v>14</v>
      </c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>
        <v>113</v>
      </c>
      <c r="GE1369" s="4">
        <v>121</v>
      </c>
      <c r="GF1369" s="4">
        <v>119</v>
      </c>
      <c r="GG1369" s="4">
        <v>115</v>
      </c>
      <c r="GH1369" s="4">
        <v>111</v>
      </c>
      <c r="GI1369" s="4">
        <v>109</v>
      </c>
      <c r="GJ1369" s="4">
        <v>101</v>
      </c>
      <c r="GK1369" s="4">
        <v>95</v>
      </c>
      <c r="GL1369" s="4">
        <v>91</v>
      </c>
      <c r="GM1369" s="4">
        <v>87</v>
      </c>
      <c r="GN1369" s="4">
        <v>81</v>
      </c>
      <c r="GO1369" s="4">
        <v>78</v>
      </c>
      <c r="GP1369" s="4">
        <v>73</v>
      </c>
      <c r="GQ1369" s="4">
        <v>69</v>
      </c>
      <c r="GR1369" s="4">
        <v>58</v>
      </c>
      <c r="GS1369" s="4">
        <v>53</v>
      </c>
      <c r="GT1369" s="4">
        <v>48</v>
      </c>
      <c r="GU1369" s="4">
        <v>45</v>
      </c>
      <c r="GV1369" s="4">
        <v>39</v>
      </c>
      <c r="GW1369" s="4">
        <v>35</v>
      </c>
      <c r="GX1369" s="4">
        <v>30</v>
      </c>
      <c r="GY1369" s="4">
        <v>27</v>
      </c>
      <c r="GZ1369" s="4">
        <v>22</v>
      </c>
      <c r="HA1369" s="4">
        <v>172</v>
      </c>
      <c r="HB1369" s="4">
        <v>167</v>
      </c>
      <c r="HC1369" s="4">
        <v>159</v>
      </c>
      <c r="HD1369" s="19">
        <v>28.3</v>
      </c>
      <c r="HE1369" s="19">
        <v>40.3</v>
      </c>
      <c r="HF1369" s="19">
        <v>29.8</v>
      </c>
      <c r="HG1369" s="19">
        <v>23</v>
      </c>
      <c r="HH1369" s="19">
        <v>22.2</v>
      </c>
      <c r="HI1369" s="19">
        <v>18.2</v>
      </c>
      <c r="HJ1369" s="19">
        <v>20.2</v>
      </c>
      <c r="HK1369" s="19">
        <v>23.8</v>
      </c>
      <c r="HL1369" s="19">
        <v>22.8</v>
      </c>
      <c r="HM1369" s="19">
        <v>21.8</v>
      </c>
      <c r="HN1369" s="19">
        <v>13.5</v>
      </c>
      <c r="HO1369" s="19">
        <v>13</v>
      </c>
      <c r="HP1369" s="19">
        <v>12.2</v>
      </c>
      <c r="HQ1369" s="19">
        <v>11.5</v>
      </c>
      <c r="HR1369" s="19">
        <v>11.6</v>
      </c>
      <c r="HS1369" s="19">
        <v>13.3</v>
      </c>
      <c r="HT1369" s="19">
        <v>12</v>
      </c>
      <c r="HU1369" s="19">
        <v>11.3</v>
      </c>
      <c r="HV1369" s="19">
        <v>9.8</v>
      </c>
      <c r="HW1369" s="19">
        <v>8.8</v>
      </c>
      <c r="HX1369" s="19">
        <v>7.5</v>
      </c>
      <c r="HY1369" s="19">
        <v>4.5</v>
      </c>
      <c r="HZ1369" s="19">
        <v>3.7</v>
      </c>
      <c r="IA1369" s="19">
        <v>28.7</v>
      </c>
      <c r="IB1369" s="19">
        <v>27.8</v>
      </c>
      <c r="IC1369" s="19">
        <v>31.8</v>
      </c>
    </row>
    <row r="1370">
      <c r="A1370" s="2" t="s">
        <v>5287</v>
      </c>
      <c r="B1370" s="2" t="s">
        <v>871</v>
      </c>
      <c r="C1370" s="2" t="s">
        <v>980</v>
      </c>
      <c r="D1370" s="2" t="s">
        <v>361</v>
      </c>
      <c r="E1370" s="2" t="s">
        <v>924</v>
      </c>
      <c r="F1370" s="2" t="s">
        <v>5284</v>
      </c>
      <c r="G1370" s="2" t="s">
        <v>5284</v>
      </c>
      <c r="H1370" s="2" t="s">
        <v>5284</v>
      </c>
      <c r="I1370" s="2" t="s">
        <v>5288</v>
      </c>
      <c r="J1370" s="2" t="s">
        <v>372</v>
      </c>
      <c r="K1370" s="2" t="s">
        <v>338</v>
      </c>
      <c r="L1370" s="3">
        <v>82.28</v>
      </c>
      <c r="M1370" s="3">
        <v>86.39</v>
      </c>
      <c r="N1370" s="3">
        <v>179.99</v>
      </c>
      <c r="O1370" s="2" t="s">
        <v>232</v>
      </c>
      <c r="P1370" s="2" t="s">
        <v>878</v>
      </c>
      <c r="Q1370" s="2" t="s">
        <v>234</v>
      </c>
      <c r="R1370" s="2" t="s">
        <v>235</v>
      </c>
      <c r="S1370" s="2" t="s">
        <v>235</v>
      </c>
      <c r="T1370" s="2" t="s">
        <v>263</v>
      </c>
      <c r="U1370" s="2" t="s">
        <v>552</v>
      </c>
      <c r="V1370" s="2" t="s">
        <v>238</v>
      </c>
      <c r="W1370" s="2" t="s">
        <v>882</v>
      </c>
      <c r="X1370" s="2" t="s">
        <v>682</v>
      </c>
      <c r="Y1370" s="2" t="s">
        <v>3569</v>
      </c>
      <c r="Z1370" s="4">
        <v>294</v>
      </c>
      <c r="AA1370" s="4">
        <f>=ROUNDDOWN(32.6666666666667,0)</f>
      </c>
      <c r="AB1370" s="5">
        <v>9</v>
      </c>
      <c r="AC1370" s="2" t="s">
        <v>235</v>
      </c>
      <c r="AD1370" s="4"/>
      <c r="AE1370" s="4"/>
      <c r="AF1370" s="6">
        <v>80</v>
      </c>
      <c r="AG1370" s="6"/>
      <c r="AH1370" s="7">
        <v>1</v>
      </c>
      <c r="AI1370" s="4"/>
      <c r="AJ1370" s="4">
        <f>=ROUNDDOWN({0},0)</f>
      </c>
      <c r="AK1370" s="5"/>
      <c r="AL1370" s="2" t="s">
        <v>235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235</v>
      </c>
      <c r="AW1370" s="8" t="s">
        <v>235</v>
      </c>
      <c r="AX1370" s="4" t="s">
        <v>235</v>
      </c>
      <c r="AY1370" s="8" t="s">
        <v>235</v>
      </c>
      <c r="AZ1370" s="7" t="s">
        <v>235</v>
      </c>
      <c r="BA1370" s="7" t="s">
        <v>235</v>
      </c>
      <c r="BB1370" s="7" t="s">
        <v>235</v>
      </c>
      <c r="BC1370" s="4" t="s">
        <v>235</v>
      </c>
      <c r="BD1370" s="8" t="s">
        <v>235</v>
      </c>
      <c r="BE1370" s="4" t="s">
        <v>235</v>
      </c>
      <c r="BF1370" s="8" t="s">
        <v>235</v>
      </c>
      <c r="BG1370" s="7" t="s">
        <v>235</v>
      </c>
      <c r="BH1370" s="7" t="s">
        <v>235</v>
      </c>
      <c r="BI1370" s="7"/>
      <c r="BJ1370" s="4">
        <v>5</v>
      </c>
      <c r="BK1370" s="8">
        <v>475.62</v>
      </c>
      <c r="BL1370" s="2" t="s">
        <v>5289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5290</v>
      </c>
      <c r="BV1370" s="2" t="s">
        <v>235</v>
      </c>
      <c r="BW1370" s="2" t="s">
        <v>235</v>
      </c>
      <c r="BX1370" s="2" t="s">
        <v>244</v>
      </c>
      <c r="BY1370" s="2" t="s">
        <v>245</v>
      </c>
      <c r="BZ1370" s="2" t="s">
        <v>232</v>
      </c>
      <c r="CA1370" s="2" t="s">
        <v>235</v>
      </c>
      <c r="CB1370" s="2" t="s">
        <v>235</v>
      </c>
      <c r="CC1370" s="2" t="s">
        <v>248</v>
      </c>
      <c r="CD1370" s="2" t="s">
        <v>248</v>
      </c>
      <c r="CE1370" s="2" t="s">
        <v>235</v>
      </c>
      <c r="CF1370" s="4">
        <v>294</v>
      </c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>
        <v>295</v>
      </c>
      <c r="GE1370" s="4">
        <v>280</v>
      </c>
      <c r="GF1370" s="4">
        <v>274</v>
      </c>
      <c r="GG1370" s="4">
        <v>266</v>
      </c>
      <c r="GH1370" s="4">
        <v>256</v>
      </c>
      <c r="GI1370" s="4">
        <v>247</v>
      </c>
      <c r="GJ1370" s="4">
        <v>227</v>
      </c>
      <c r="GK1370" s="4">
        <v>217</v>
      </c>
      <c r="GL1370" s="4">
        <v>202</v>
      </c>
      <c r="GM1370" s="4">
        <v>194</v>
      </c>
      <c r="GN1370" s="4">
        <v>187</v>
      </c>
      <c r="GO1370" s="4">
        <v>169</v>
      </c>
      <c r="GP1370" s="4">
        <v>155</v>
      </c>
      <c r="GQ1370" s="4">
        <v>143</v>
      </c>
      <c r="GR1370" s="4">
        <v>123</v>
      </c>
      <c r="GS1370" s="4">
        <v>112</v>
      </c>
      <c r="GT1370" s="4">
        <v>103</v>
      </c>
      <c r="GU1370" s="4">
        <v>96</v>
      </c>
      <c r="GV1370" s="4">
        <v>84</v>
      </c>
      <c r="GW1370" s="4">
        <v>76</v>
      </c>
      <c r="GX1370" s="4">
        <v>70</v>
      </c>
      <c r="GY1370" s="4">
        <v>66</v>
      </c>
      <c r="GZ1370" s="4">
        <v>57</v>
      </c>
      <c r="HA1370" s="4">
        <v>322</v>
      </c>
      <c r="HB1370" s="4">
        <v>313</v>
      </c>
      <c r="HC1370" s="4">
        <v>304</v>
      </c>
      <c r="HD1370" s="19">
        <v>29.5</v>
      </c>
      <c r="HE1370" s="19">
        <v>35</v>
      </c>
      <c r="HF1370" s="19">
        <v>22.8</v>
      </c>
      <c r="HG1370" s="19">
        <v>22.2</v>
      </c>
      <c r="HH1370" s="19">
        <v>18.3</v>
      </c>
      <c r="HI1370" s="19">
        <v>19</v>
      </c>
      <c r="HJ1370" s="19">
        <v>22.7</v>
      </c>
      <c r="HK1370" s="19">
        <v>18.1</v>
      </c>
      <c r="HL1370" s="19">
        <v>16.8</v>
      </c>
      <c r="HM1370" s="19">
        <v>14.9</v>
      </c>
      <c r="HN1370" s="19">
        <v>11.7</v>
      </c>
      <c r="HO1370" s="19">
        <v>12.1</v>
      </c>
      <c r="HP1370" s="19">
        <v>11.9</v>
      </c>
      <c r="HQ1370" s="19">
        <v>11.9</v>
      </c>
      <c r="HR1370" s="19">
        <v>12.3</v>
      </c>
      <c r="HS1370" s="19">
        <v>12.4</v>
      </c>
      <c r="HT1370" s="19">
        <v>12.9</v>
      </c>
      <c r="HU1370" s="19">
        <v>12</v>
      </c>
      <c r="HV1370" s="19">
        <v>12</v>
      </c>
      <c r="HW1370" s="19">
        <v>12.7</v>
      </c>
      <c r="HX1370" s="19">
        <v>11.7</v>
      </c>
      <c r="HY1370" s="19">
        <v>8.3</v>
      </c>
      <c r="HZ1370" s="19">
        <v>7.1</v>
      </c>
      <c r="IA1370" s="19">
        <v>35.8</v>
      </c>
      <c r="IB1370" s="19">
        <v>39.1</v>
      </c>
      <c r="IC1370" s="19">
        <v>38</v>
      </c>
    </row>
    <row r="1371">
      <c r="A1371" s="2" t="s">
        <v>5291</v>
      </c>
      <c r="B1371" s="2" t="s">
        <v>871</v>
      </c>
      <c r="C1371" s="2" t="s">
        <v>980</v>
      </c>
      <c r="D1371" s="2" t="s">
        <v>906</v>
      </c>
      <c r="E1371" s="2" t="s">
        <v>907</v>
      </c>
      <c r="F1371" s="2" t="s">
        <v>5284</v>
      </c>
      <c r="G1371" s="2" t="s">
        <v>5284</v>
      </c>
      <c r="H1371" s="2" t="s">
        <v>5284</v>
      </c>
      <c r="I1371" s="2" t="s">
        <v>5285</v>
      </c>
      <c r="J1371" s="2" t="s">
        <v>372</v>
      </c>
      <c r="K1371" s="2" t="s">
        <v>338</v>
      </c>
      <c r="L1371" s="3">
        <v>68.57</v>
      </c>
      <c r="M1371" s="3">
        <v>72</v>
      </c>
      <c r="N1371" s="3">
        <v>149.99</v>
      </c>
      <c r="O1371" s="2" t="s">
        <v>232</v>
      </c>
      <c r="P1371" s="2" t="s">
        <v>878</v>
      </c>
      <c r="Q1371" s="2" t="s">
        <v>234</v>
      </c>
      <c r="R1371" s="2" t="s">
        <v>235</v>
      </c>
      <c r="S1371" s="2" t="s">
        <v>235</v>
      </c>
      <c r="T1371" s="2" t="s">
        <v>263</v>
      </c>
      <c r="U1371" s="2" t="s">
        <v>552</v>
      </c>
      <c r="V1371" s="2" t="s">
        <v>238</v>
      </c>
      <c r="W1371" s="2" t="s">
        <v>882</v>
      </c>
      <c r="X1371" s="2" t="s">
        <v>682</v>
      </c>
      <c r="Y1371" s="2" t="s">
        <v>3569</v>
      </c>
      <c r="Z1371" s="4">
        <v>108</v>
      </c>
      <c r="AA1371" s="4">
        <f>=ROUNDDOWN(21.6,0)</f>
      </c>
      <c r="AB1371" s="5">
        <v>5</v>
      </c>
      <c r="AC1371" s="2" t="s">
        <v>235</v>
      </c>
      <c r="AD1371" s="4"/>
      <c r="AE1371" s="4"/>
      <c r="AF1371" s="6">
        <v>80</v>
      </c>
      <c r="AG1371" s="6"/>
      <c r="AH1371" s="7">
        <v>1</v>
      </c>
      <c r="AI1371" s="4"/>
      <c r="AJ1371" s="4">
        <f>=ROUNDDOWN({0},0)</f>
      </c>
      <c r="AK1371" s="5"/>
      <c r="AL1371" s="2" t="s">
        <v>235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235</v>
      </c>
      <c r="AW1371" s="8" t="s">
        <v>235</v>
      </c>
      <c r="AX1371" s="4" t="s">
        <v>235</v>
      </c>
      <c r="AY1371" s="8" t="s">
        <v>235</v>
      </c>
      <c r="AZ1371" s="7" t="s">
        <v>235</v>
      </c>
      <c r="BA1371" s="7" t="s">
        <v>235</v>
      </c>
      <c r="BB1371" s="7" t="s">
        <v>235</v>
      </c>
      <c r="BC1371" s="4" t="s">
        <v>235</v>
      </c>
      <c r="BD1371" s="8" t="s">
        <v>235</v>
      </c>
      <c r="BE1371" s="4" t="s">
        <v>235</v>
      </c>
      <c r="BF1371" s="8" t="s">
        <v>235</v>
      </c>
      <c r="BG1371" s="7" t="s">
        <v>235</v>
      </c>
      <c r="BH1371" s="7" t="s">
        <v>235</v>
      </c>
      <c r="BI1371" s="7"/>
      <c r="BJ1371" s="4">
        <v>3</v>
      </c>
      <c r="BK1371" s="8">
        <v>239.76</v>
      </c>
      <c r="BL1371" s="2" t="s">
        <v>4344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5286</v>
      </c>
      <c r="BV1371" s="2" t="s">
        <v>235</v>
      </c>
      <c r="BW1371" s="2" t="s">
        <v>235</v>
      </c>
      <c r="BX1371" s="2" t="s">
        <v>244</v>
      </c>
      <c r="BY1371" s="2" t="s">
        <v>245</v>
      </c>
      <c r="BZ1371" s="2" t="s">
        <v>232</v>
      </c>
      <c r="CA1371" s="2" t="s">
        <v>235</v>
      </c>
      <c r="CB1371" s="2" t="s">
        <v>235</v>
      </c>
      <c r="CC1371" s="2" t="s">
        <v>248</v>
      </c>
      <c r="CD1371" s="2" t="s">
        <v>248</v>
      </c>
      <c r="CE1371" s="2" t="s">
        <v>235</v>
      </c>
      <c r="CF1371" s="4">
        <v>108</v>
      </c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>
        <v>109</v>
      </c>
      <c r="GE1371" s="4">
        <v>100</v>
      </c>
      <c r="GF1371" s="4">
        <v>99</v>
      </c>
      <c r="GG1371" s="4">
        <v>98</v>
      </c>
      <c r="GH1371" s="4">
        <v>95</v>
      </c>
      <c r="GI1371" s="4">
        <v>93</v>
      </c>
      <c r="GJ1371" s="4">
        <v>82</v>
      </c>
      <c r="GK1371" s="4">
        <v>77</v>
      </c>
      <c r="GL1371" s="4">
        <v>69</v>
      </c>
      <c r="GM1371" s="4">
        <v>65</v>
      </c>
      <c r="GN1371" s="4">
        <v>61</v>
      </c>
      <c r="GO1371" s="4">
        <v>55</v>
      </c>
      <c r="GP1371" s="4">
        <v>48</v>
      </c>
      <c r="GQ1371" s="4">
        <v>42</v>
      </c>
      <c r="GR1371" s="4">
        <v>37</v>
      </c>
      <c r="GS1371" s="4">
        <v>27</v>
      </c>
      <c r="GT1371" s="4">
        <v>16</v>
      </c>
      <c r="GU1371" s="4">
        <v>12</v>
      </c>
      <c r="GV1371" s="4">
        <v>10</v>
      </c>
      <c r="GW1371" s="4">
        <v>3</v>
      </c>
      <c r="GX1371" s="4"/>
      <c r="GY1371" s="4"/>
      <c r="GZ1371" s="4"/>
      <c r="HA1371" s="4">
        <v>161</v>
      </c>
      <c r="HB1371" s="4">
        <v>155</v>
      </c>
      <c r="HC1371" s="4">
        <v>149</v>
      </c>
      <c r="HD1371" s="19">
        <v>27.3</v>
      </c>
      <c r="HE1371" s="19">
        <v>50</v>
      </c>
      <c r="HF1371" s="19">
        <v>24.8</v>
      </c>
      <c r="HG1371" s="19">
        <v>19.6</v>
      </c>
      <c r="HH1371" s="19">
        <v>15.8</v>
      </c>
      <c r="HI1371" s="19">
        <v>13.3</v>
      </c>
      <c r="HJ1371" s="19">
        <v>16.4</v>
      </c>
      <c r="HK1371" s="19">
        <v>12.8</v>
      </c>
      <c r="HL1371" s="19">
        <v>13.8</v>
      </c>
      <c r="HM1371" s="19">
        <v>10.8</v>
      </c>
      <c r="HN1371" s="19">
        <v>10.2</v>
      </c>
      <c r="HO1371" s="19">
        <v>7.9</v>
      </c>
      <c r="HP1371" s="19">
        <v>6</v>
      </c>
      <c r="HQ1371" s="19">
        <v>5.3</v>
      </c>
      <c r="HR1371" s="19">
        <v>5.3</v>
      </c>
      <c r="HS1371" s="19">
        <v>4.5</v>
      </c>
      <c r="HT1371" s="19">
        <v>4</v>
      </c>
      <c r="HU1371" s="19">
        <v>3</v>
      </c>
      <c r="HV1371" s="19">
        <v>2</v>
      </c>
      <c r="HW1371" s="19">
        <v>0.6</v>
      </c>
      <c r="HX1371" s="20">
        <v>0</v>
      </c>
      <c r="HY1371" s="20">
        <v>0</v>
      </c>
      <c r="HZ1371" s="20">
        <v>0</v>
      </c>
      <c r="IA1371" s="19">
        <v>32.2</v>
      </c>
      <c r="IB1371" s="19">
        <v>38.8</v>
      </c>
      <c r="IC1371" s="19">
        <v>37.3</v>
      </c>
    </row>
    <row r="1372">
      <c r="A1372" s="2" t="s">
        <v>5292</v>
      </c>
      <c r="B1372" s="2" t="s">
        <v>871</v>
      </c>
      <c r="C1372" s="2" t="s">
        <v>980</v>
      </c>
      <c r="D1372" s="2" t="s">
        <v>361</v>
      </c>
      <c r="E1372" s="2" t="s">
        <v>924</v>
      </c>
      <c r="F1372" s="2" t="s">
        <v>5284</v>
      </c>
      <c r="G1372" s="2" t="s">
        <v>5284</v>
      </c>
      <c r="H1372" s="2" t="s">
        <v>5284</v>
      </c>
      <c r="I1372" s="2" t="s">
        <v>5288</v>
      </c>
      <c r="J1372" s="2" t="s">
        <v>365</v>
      </c>
      <c r="K1372" s="2" t="s">
        <v>1238</v>
      </c>
      <c r="L1372" s="3">
        <v>73.14</v>
      </c>
      <c r="M1372" s="3">
        <v>76.8</v>
      </c>
      <c r="N1372" s="3">
        <v>159.99</v>
      </c>
      <c r="O1372" s="2" t="s">
        <v>232</v>
      </c>
      <c r="P1372" s="2" t="s">
        <v>878</v>
      </c>
      <c r="Q1372" s="2" t="s">
        <v>234</v>
      </c>
      <c r="R1372" s="2" t="s">
        <v>235</v>
      </c>
      <c r="S1372" s="2" t="s">
        <v>235</v>
      </c>
      <c r="T1372" s="2" t="s">
        <v>263</v>
      </c>
      <c r="U1372" s="2" t="s">
        <v>552</v>
      </c>
      <c r="V1372" s="2" t="s">
        <v>238</v>
      </c>
      <c r="W1372" s="2" t="s">
        <v>882</v>
      </c>
      <c r="X1372" s="2" t="s">
        <v>682</v>
      </c>
      <c r="Y1372" s="2" t="s">
        <v>2160</v>
      </c>
      <c r="Z1372" s="4">
        <v>284</v>
      </c>
      <c r="AA1372" s="4">
        <f>=ROUNDDOWN(23.6666666666667,0)</f>
      </c>
      <c r="AB1372" s="5">
        <v>12</v>
      </c>
      <c r="AC1372" s="2" t="s">
        <v>266</v>
      </c>
      <c r="AD1372" s="4">
        <v>61</v>
      </c>
      <c r="AE1372" s="4">
        <v>61</v>
      </c>
      <c r="AF1372" s="6">
        <v>80</v>
      </c>
      <c r="AG1372" s="6"/>
      <c r="AH1372" s="7">
        <v>1</v>
      </c>
      <c r="AI1372" s="4"/>
      <c r="AJ1372" s="4">
        <f>=ROUNDDOWN({0},0)</f>
      </c>
      <c r="AK1372" s="5"/>
      <c r="AL1372" s="2" t="s">
        <v>235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235</v>
      </c>
      <c r="AW1372" s="8" t="s">
        <v>235</v>
      </c>
      <c r="AX1372" s="4" t="s">
        <v>235</v>
      </c>
      <c r="AY1372" s="8" t="s">
        <v>235</v>
      </c>
      <c r="AZ1372" s="7" t="s">
        <v>235</v>
      </c>
      <c r="BA1372" s="7" t="s">
        <v>235</v>
      </c>
      <c r="BB1372" s="7" t="s">
        <v>235</v>
      </c>
      <c r="BC1372" s="4" t="s">
        <v>235</v>
      </c>
      <c r="BD1372" s="8" t="s">
        <v>235</v>
      </c>
      <c r="BE1372" s="4" t="s">
        <v>235</v>
      </c>
      <c r="BF1372" s="8" t="s">
        <v>235</v>
      </c>
      <c r="BG1372" s="7" t="s">
        <v>235</v>
      </c>
      <c r="BH1372" s="7" t="s">
        <v>235</v>
      </c>
      <c r="BI1372" s="7"/>
      <c r="BJ1372" s="4">
        <v>4</v>
      </c>
      <c r="BK1372" s="8">
        <v>341.38</v>
      </c>
      <c r="BL1372" s="2" t="s">
        <v>5293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5290</v>
      </c>
      <c r="BV1372" s="2" t="s">
        <v>235</v>
      </c>
      <c r="BW1372" s="2" t="s">
        <v>235</v>
      </c>
      <c r="BX1372" s="2" t="s">
        <v>244</v>
      </c>
      <c r="BY1372" s="2" t="s">
        <v>245</v>
      </c>
      <c r="BZ1372" s="2" t="s">
        <v>232</v>
      </c>
      <c r="CA1372" s="2" t="s">
        <v>235</v>
      </c>
      <c r="CB1372" s="2" t="s">
        <v>235</v>
      </c>
      <c r="CC1372" s="2" t="s">
        <v>248</v>
      </c>
      <c r="CD1372" s="2" t="s">
        <v>248</v>
      </c>
      <c r="CE1372" s="2" t="s">
        <v>235</v>
      </c>
      <c r="CF1372" s="4">
        <v>284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>
        <v>61</v>
      </c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>
        <v>284</v>
      </c>
      <c r="GE1372" s="4">
        <v>301</v>
      </c>
      <c r="GF1372" s="4">
        <v>297</v>
      </c>
      <c r="GG1372" s="4">
        <v>292</v>
      </c>
      <c r="GH1372" s="4">
        <v>281</v>
      </c>
      <c r="GI1372" s="4">
        <v>271</v>
      </c>
      <c r="GJ1372" s="4">
        <v>248</v>
      </c>
      <c r="GK1372" s="4">
        <v>234</v>
      </c>
      <c r="GL1372" s="4">
        <v>209</v>
      </c>
      <c r="GM1372" s="4">
        <v>190</v>
      </c>
      <c r="GN1372" s="4">
        <v>181</v>
      </c>
      <c r="GO1372" s="4">
        <v>168</v>
      </c>
      <c r="GP1372" s="4">
        <v>151</v>
      </c>
      <c r="GQ1372" s="4">
        <v>137</v>
      </c>
      <c r="GR1372" s="4">
        <v>122</v>
      </c>
      <c r="GS1372" s="4">
        <v>90</v>
      </c>
      <c r="GT1372" s="4">
        <v>55</v>
      </c>
      <c r="GU1372" s="4">
        <v>46</v>
      </c>
      <c r="GV1372" s="4">
        <v>40</v>
      </c>
      <c r="GW1372" s="4">
        <v>26</v>
      </c>
      <c r="GX1372" s="4">
        <v>17</v>
      </c>
      <c r="GY1372" s="4">
        <v>9</v>
      </c>
      <c r="GZ1372" s="4"/>
      <c r="HA1372" s="4">
        <v>270</v>
      </c>
      <c r="HB1372" s="4">
        <v>252</v>
      </c>
      <c r="HC1372" s="4">
        <v>241</v>
      </c>
      <c r="HD1372" s="19">
        <v>17.8</v>
      </c>
      <c r="HE1372" s="19">
        <v>37.6</v>
      </c>
      <c r="HF1372" s="19">
        <v>24.8</v>
      </c>
      <c r="HG1372" s="19">
        <v>20.9</v>
      </c>
      <c r="HH1372" s="19">
        <v>15.6</v>
      </c>
      <c r="HI1372" s="19">
        <v>13.6</v>
      </c>
      <c r="HJ1372" s="19">
        <v>14.6</v>
      </c>
      <c r="HK1372" s="19">
        <v>14.6</v>
      </c>
      <c r="HL1372" s="19">
        <v>14.9</v>
      </c>
      <c r="HM1372" s="19">
        <v>14.6</v>
      </c>
      <c r="HN1372" s="19">
        <v>12.1</v>
      </c>
      <c r="HO1372" s="19">
        <v>8.4</v>
      </c>
      <c r="HP1372" s="19">
        <v>6.3</v>
      </c>
      <c r="HQ1372" s="19">
        <v>6</v>
      </c>
      <c r="HR1372" s="19">
        <v>6.1</v>
      </c>
      <c r="HS1372" s="19">
        <v>5.6</v>
      </c>
      <c r="HT1372" s="19">
        <v>5.5</v>
      </c>
      <c r="HU1372" s="19">
        <v>5.1</v>
      </c>
      <c r="HV1372" s="19">
        <v>3.6</v>
      </c>
      <c r="HW1372" s="19">
        <v>2.6</v>
      </c>
      <c r="HX1372" s="19">
        <v>1.4</v>
      </c>
      <c r="HY1372" s="19">
        <v>0.7</v>
      </c>
      <c r="HZ1372" s="20">
        <v>0</v>
      </c>
      <c r="IA1372" s="19">
        <v>22.5</v>
      </c>
      <c r="IB1372" s="19">
        <v>31.5</v>
      </c>
      <c r="IC1372" s="19">
        <v>24.1</v>
      </c>
    </row>
    <row r="1373">
      <c r="A1373" s="2" t="s">
        <v>5294</v>
      </c>
      <c r="B1373" s="2" t="s">
        <v>871</v>
      </c>
      <c r="C1373" s="2" t="s">
        <v>980</v>
      </c>
      <c r="D1373" s="2" t="s">
        <v>906</v>
      </c>
      <c r="E1373" s="2" t="s">
        <v>907</v>
      </c>
      <c r="F1373" s="2" t="s">
        <v>5284</v>
      </c>
      <c r="G1373" s="2" t="s">
        <v>5284</v>
      </c>
      <c r="H1373" s="2" t="s">
        <v>5284</v>
      </c>
      <c r="I1373" s="2" t="s">
        <v>5285</v>
      </c>
      <c r="J1373" s="2" t="s">
        <v>365</v>
      </c>
      <c r="K1373" s="2" t="s">
        <v>1238</v>
      </c>
      <c r="L1373" s="3">
        <v>59.42</v>
      </c>
      <c r="M1373" s="3">
        <v>62.39</v>
      </c>
      <c r="N1373" s="3">
        <v>129.99</v>
      </c>
      <c r="O1373" s="2" t="s">
        <v>232</v>
      </c>
      <c r="P1373" s="2" t="s">
        <v>878</v>
      </c>
      <c r="Q1373" s="2" t="s">
        <v>234</v>
      </c>
      <c r="R1373" s="2" t="s">
        <v>235</v>
      </c>
      <c r="S1373" s="2" t="s">
        <v>235</v>
      </c>
      <c r="T1373" s="2" t="s">
        <v>263</v>
      </c>
      <c r="U1373" s="2" t="s">
        <v>552</v>
      </c>
      <c r="V1373" s="2" t="s">
        <v>238</v>
      </c>
      <c r="W1373" s="2" t="s">
        <v>882</v>
      </c>
      <c r="X1373" s="2" t="s">
        <v>682</v>
      </c>
      <c r="Y1373" s="2" t="s">
        <v>3569</v>
      </c>
      <c r="Z1373" s="4">
        <v>174</v>
      </c>
      <c r="AA1373" s="4">
        <f>=ROUNDDOWN(24.8571428571429,0)</f>
      </c>
      <c r="AB1373" s="5">
        <v>7</v>
      </c>
      <c r="AC1373" s="2" t="s">
        <v>235</v>
      </c>
      <c r="AD1373" s="4"/>
      <c r="AE1373" s="4"/>
      <c r="AF1373" s="6">
        <v>80</v>
      </c>
      <c r="AG1373" s="6"/>
      <c r="AH1373" s="7">
        <v>1</v>
      </c>
      <c r="AI1373" s="4"/>
      <c r="AJ1373" s="4">
        <f>=ROUNDDOWN({0},0)</f>
      </c>
      <c r="AK1373" s="5"/>
      <c r="AL1373" s="2" t="s">
        <v>235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235</v>
      </c>
      <c r="AW1373" s="8" t="s">
        <v>235</v>
      </c>
      <c r="AX1373" s="4" t="s">
        <v>235</v>
      </c>
      <c r="AY1373" s="8" t="s">
        <v>235</v>
      </c>
      <c r="AZ1373" s="7" t="s">
        <v>235</v>
      </c>
      <c r="BA1373" s="7" t="s">
        <v>235</v>
      </c>
      <c r="BB1373" s="7" t="s">
        <v>235</v>
      </c>
      <c r="BC1373" s="4" t="s">
        <v>235</v>
      </c>
      <c r="BD1373" s="8" t="s">
        <v>235</v>
      </c>
      <c r="BE1373" s="4" t="s">
        <v>235</v>
      </c>
      <c r="BF1373" s="8" t="s">
        <v>235</v>
      </c>
      <c r="BG1373" s="7" t="s">
        <v>235</v>
      </c>
      <c r="BH1373" s="7" t="s">
        <v>235</v>
      </c>
      <c r="BI1373" s="7"/>
      <c r="BJ1373" s="4">
        <v>3</v>
      </c>
      <c r="BK1373" s="8">
        <v>197.15</v>
      </c>
      <c r="BL1373" s="2" t="s">
        <v>811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5286</v>
      </c>
      <c r="BV1373" s="2" t="s">
        <v>235</v>
      </c>
      <c r="BW1373" s="2" t="s">
        <v>235</v>
      </c>
      <c r="BX1373" s="2" t="s">
        <v>244</v>
      </c>
      <c r="BY1373" s="2" t="s">
        <v>245</v>
      </c>
      <c r="BZ1373" s="2" t="s">
        <v>232</v>
      </c>
      <c r="CA1373" s="2" t="s">
        <v>235</v>
      </c>
      <c r="CB1373" s="2" t="s">
        <v>235</v>
      </c>
      <c r="CC1373" s="2" t="s">
        <v>248</v>
      </c>
      <c r="CD1373" s="2" t="s">
        <v>248</v>
      </c>
      <c r="CE1373" s="2" t="s">
        <v>235</v>
      </c>
      <c r="CF1373" s="4">
        <v>174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>
        <v>174</v>
      </c>
      <c r="GE1373" s="4">
        <v>162</v>
      </c>
      <c r="GF1373" s="4">
        <v>158</v>
      </c>
      <c r="GG1373" s="4">
        <v>151</v>
      </c>
      <c r="GH1373" s="4">
        <v>145</v>
      </c>
      <c r="GI1373" s="4">
        <v>141</v>
      </c>
      <c r="GJ1373" s="4">
        <v>127</v>
      </c>
      <c r="GK1373" s="4">
        <v>115</v>
      </c>
      <c r="GL1373" s="4">
        <v>108</v>
      </c>
      <c r="GM1373" s="4">
        <v>100</v>
      </c>
      <c r="GN1373" s="4">
        <v>91</v>
      </c>
      <c r="GO1373" s="4">
        <v>86</v>
      </c>
      <c r="GP1373" s="4">
        <v>77</v>
      </c>
      <c r="GQ1373" s="4">
        <v>69</v>
      </c>
      <c r="GR1373" s="4">
        <v>53</v>
      </c>
      <c r="GS1373" s="4">
        <v>47</v>
      </c>
      <c r="GT1373" s="4">
        <v>40</v>
      </c>
      <c r="GU1373" s="4">
        <v>36</v>
      </c>
      <c r="GV1373" s="4">
        <v>28</v>
      </c>
      <c r="GW1373" s="4">
        <v>22</v>
      </c>
      <c r="GX1373" s="4">
        <v>14</v>
      </c>
      <c r="GY1373" s="4">
        <v>9</v>
      </c>
      <c r="GZ1373" s="4">
        <v>2</v>
      </c>
      <c r="HA1373" s="4">
        <v>169</v>
      </c>
      <c r="HB1373" s="4">
        <v>160</v>
      </c>
      <c r="HC1373" s="4">
        <v>148</v>
      </c>
      <c r="HD1373" s="19">
        <v>24.9</v>
      </c>
      <c r="HE1373" s="19">
        <v>32.4</v>
      </c>
      <c r="HF1373" s="19">
        <v>19.8</v>
      </c>
      <c r="HG1373" s="19">
        <v>16.8</v>
      </c>
      <c r="HH1373" s="19">
        <v>16.1</v>
      </c>
      <c r="HI1373" s="19">
        <v>14.1</v>
      </c>
      <c r="HJ1373" s="19">
        <v>14.1</v>
      </c>
      <c r="HK1373" s="19">
        <v>16.4</v>
      </c>
      <c r="HL1373" s="19">
        <v>13.5</v>
      </c>
      <c r="HM1373" s="19">
        <v>12.5</v>
      </c>
      <c r="HN1373" s="19">
        <v>9.1</v>
      </c>
      <c r="HO1373" s="19">
        <v>8.6</v>
      </c>
      <c r="HP1373" s="19">
        <v>8.6</v>
      </c>
      <c r="HQ1373" s="19">
        <v>8.6</v>
      </c>
      <c r="HR1373" s="19">
        <v>8.8</v>
      </c>
      <c r="HS1373" s="19">
        <v>7.8</v>
      </c>
      <c r="HT1373" s="19">
        <v>6.7</v>
      </c>
      <c r="HU1373" s="19">
        <v>5.1</v>
      </c>
      <c r="HV1373" s="19">
        <v>4.7</v>
      </c>
      <c r="HW1373" s="19">
        <v>3.7</v>
      </c>
      <c r="HX1373" s="19">
        <v>2.3</v>
      </c>
      <c r="HY1373" s="19">
        <v>1.1</v>
      </c>
      <c r="HZ1373" s="19">
        <v>0.3</v>
      </c>
      <c r="IA1373" s="19">
        <v>16.9</v>
      </c>
      <c r="IB1373" s="19">
        <v>17.8</v>
      </c>
      <c r="IC1373" s="19">
        <v>21.1</v>
      </c>
    </row>
    <row r="1374">
      <c r="A1374" s="2" t="s">
        <v>5295</v>
      </c>
      <c r="B1374" s="2" t="s">
        <v>871</v>
      </c>
      <c r="C1374" s="2" t="s">
        <v>980</v>
      </c>
      <c r="D1374" s="2" t="s">
        <v>906</v>
      </c>
      <c r="E1374" s="2" t="s">
        <v>907</v>
      </c>
      <c r="F1374" s="2" t="s">
        <v>5284</v>
      </c>
      <c r="G1374" s="2" t="s">
        <v>5284</v>
      </c>
      <c r="H1374" s="2" t="s">
        <v>5284</v>
      </c>
      <c r="I1374" s="2" t="s">
        <v>5285</v>
      </c>
      <c r="J1374" s="2" t="s">
        <v>372</v>
      </c>
      <c r="K1374" s="2" t="s">
        <v>1238</v>
      </c>
      <c r="L1374" s="3">
        <v>68.57</v>
      </c>
      <c r="M1374" s="3">
        <v>72</v>
      </c>
      <c r="N1374" s="3">
        <v>149.99</v>
      </c>
      <c r="O1374" s="2" t="s">
        <v>232</v>
      </c>
      <c r="P1374" s="2" t="s">
        <v>878</v>
      </c>
      <c r="Q1374" s="2" t="s">
        <v>234</v>
      </c>
      <c r="R1374" s="2" t="s">
        <v>235</v>
      </c>
      <c r="S1374" s="2" t="s">
        <v>235</v>
      </c>
      <c r="T1374" s="2" t="s">
        <v>263</v>
      </c>
      <c r="U1374" s="2" t="s">
        <v>552</v>
      </c>
      <c r="V1374" s="2" t="s">
        <v>238</v>
      </c>
      <c r="W1374" s="2" t="s">
        <v>882</v>
      </c>
      <c r="X1374" s="2" t="s">
        <v>682</v>
      </c>
      <c r="Y1374" s="2" t="s">
        <v>3569</v>
      </c>
      <c r="Z1374" s="4">
        <v>124</v>
      </c>
      <c r="AA1374" s="4">
        <f>=ROUNDDOWN(20.6666666666667,0)</f>
      </c>
      <c r="AB1374" s="5">
        <v>6</v>
      </c>
      <c r="AC1374" s="2" t="s">
        <v>235</v>
      </c>
      <c r="AD1374" s="4"/>
      <c r="AE1374" s="4"/>
      <c r="AF1374" s="6">
        <v>80</v>
      </c>
      <c r="AG1374" s="6"/>
      <c r="AH1374" s="7">
        <v>1</v>
      </c>
      <c r="AI1374" s="4"/>
      <c r="AJ1374" s="4">
        <f>=ROUNDDOWN({0},0)</f>
      </c>
      <c r="AK1374" s="5"/>
      <c r="AL1374" s="2" t="s">
        <v>235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235</v>
      </c>
      <c r="AW1374" s="8" t="s">
        <v>235</v>
      </c>
      <c r="AX1374" s="4" t="s">
        <v>235</v>
      </c>
      <c r="AY1374" s="8" t="s">
        <v>235</v>
      </c>
      <c r="AZ1374" s="7" t="s">
        <v>235</v>
      </c>
      <c r="BA1374" s="7" t="s">
        <v>235</v>
      </c>
      <c r="BB1374" s="7"/>
      <c r="BC1374" s="4" t="s">
        <v>235</v>
      </c>
      <c r="BD1374" s="8" t="s">
        <v>235</v>
      </c>
      <c r="BE1374" s="4" t="s">
        <v>235</v>
      </c>
      <c r="BF1374" s="8" t="s">
        <v>235</v>
      </c>
      <c r="BG1374" s="7" t="s">
        <v>235</v>
      </c>
      <c r="BH1374" s="7" t="s">
        <v>235</v>
      </c>
      <c r="BI1374" s="7"/>
      <c r="BJ1374" s="4">
        <v>5</v>
      </c>
      <c r="BK1374" s="8">
        <v>398.16</v>
      </c>
      <c r="BL1374" s="2" t="s">
        <v>4344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5286</v>
      </c>
      <c r="BV1374" s="2" t="s">
        <v>235</v>
      </c>
      <c r="BW1374" s="2" t="s">
        <v>235</v>
      </c>
      <c r="BX1374" s="2" t="s">
        <v>244</v>
      </c>
      <c r="BY1374" s="2" t="s">
        <v>245</v>
      </c>
      <c r="BZ1374" s="2" t="s">
        <v>232</v>
      </c>
      <c r="CA1374" s="2" t="s">
        <v>235</v>
      </c>
      <c r="CB1374" s="2" t="s">
        <v>235</v>
      </c>
      <c r="CC1374" s="2" t="s">
        <v>248</v>
      </c>
      <c r="CD1374" s="2" t="s">
        <v>248</v>
      </c>
      <c r="CE1374" s="2" t="s">
        <v>235</v>
      </c>
      <c r="CF1374" s="4">
        <v>124</v>
      </c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>
        <v>125</v>
      </c>
      <c r="GE1374" s="4">
        <v>114</v>
      </c>
      <c r="GF1374" s="4">
        <v>112</v>
      </c>
      <c r="GG1374" s="4">
        <v>110</v>
      </c>
      <c r="GH1374" s="4">
        <v>106</v>
      </c>
      <c r="GI1374" s="4">
        <v>103</v>
      </c>
      <c r="GJ1374" s="4">
        <v>91</v>
      </c>
      <c r="GK1374" s="4">
        <v>85</v>
      </c>
      <c r="GL1374" s="4">
        <v>77</v>
      </c>
      <c r="GM1374" s="4">
        <v>73</v>
      </c>
      <c r="GN1374" s="4">
        <v>68</v>
      </c>
      <c r="GO1374" s="4">
        <v>60</v>
      </c>
      <c r="GP1374" s="4">
        <v>51</v>
      </c>
      <c r="GQ1374" s="4">
        <v>43</v>
      </c>
      <c r="GR1374" s="4">
        <v>37</v>
      </c>
      <c r="GS1374" s="4">
        <v>25</v>
      </c>
      <c r="GT1374" s="4">
        <v>12</v>
      </c>
      <c r="GU1374" s="4">
        <v>7</v>
      </c>
      <c r="GV1374" s="4">
        <v>5</v>
      </c>
      <c r="GW1374" s="4"/>
      <c r="GX1374" s="4"/>
      <c r="GY1374" s="4"/>
      <c r="GZ1374" s="4"/>
      <c r="HA1374" s="4">
        <v>135</v>
      </c>
      <c r="HB1374" s="4">
        <v>127</v>
      </c>
      <c r="HC1374" s="4">
        <v>120</v>
      </c>
      <c r="HD1374" s="19">
        <v>25</v>
      </c>
      <c r="HE1374" s="19">
        <v>38</v>
      </c>
      <c r="HF1374" s="19">
        <v>22.4</v>
      </c>
      <c r="HG1374" s="19">
        <v>18.3</v>
      </c>
      <c r="HH1374" s="19">
        <v>15.1</v>
      </c>
      <c r="HI1374" s="19">
        <v>12.9</v>
      </c>
      <c r="HJ1374" s="19">
        <v>15.2</v>
      </c>
      <c r="HK1374" s="19">
        <v>14.2</v>
      </c>
      <c r="HL1374" s="19">
        <v>12.8</v>
      </c>
      <c r="HM1374" s="19">
        <v>9.1</v>
      </c>
      <c r="HN1374" s="19">
        <v>8.5</v>
      </c>
      <c r="HO1374" s="19">
        <v>6.7</v>
      </c>
      <c r="HP1374" s="19">
        <v>5.1</v>
      </c>
      <c r="HQ1374" s="19">
        <v>4.8</v>
      </c>
      <c r="HR1374" s="19">
        <v>4.6</v>
      </c>
      <c r="HS1374" s="19">
        <v>3.6</v>
      </c>
      <c r="HT1374" s="19">
        <v>2.4</v>
      </c>
      <c r="HU1374" s="19">
        <v>1.8</v>
      </c>
      <c r="HV1374" s="19">
        <v>0.8</v>
      </c>
      <c r="HW1374" s="20">
        <v>0</v>
      </c>
      <c r="HX1374" s="20">
        <v>0</v>
      </c>
      <c r="HY1374" s="20">
        <v>0</v>
      </c>
      <c r="HZ1374" s="20">
        <v>0</v>
      </c>
      <c r="IA1374" s="19">
        <v>22.5</v>
      </c>
      <c r="IB1374" s="19">
        <v>25.4</v>
      </c>
      <c r="IC1374" s="19">
        <v>24</v>
      </c>
    </row>
    <row r="1375">
      <c r="A1375" s="2" t="s">
        <v>5296</v>
      </c>
      <c r="B1375" s="2" t="s">
        <v>800</v>
      </c>
      <c r="C1375" s="2" t="s">
        <v>943</v>
      </c>
      <c r="D1375" s="2" t="s">
        <v>960</v>
      </c>
      <c r="E1375" s="2" t="s">
        <v>961</v>
      </c>
      <c r="F1375" s="2" t="s">
        <v>5297</v>
      </c>
      <c r="G1375" s="2" t="s">
        <v>5297</v>
      </c>
      <c r="H1375" s="2" t="s">
        <v>5297</v>
      </c>
      <c r="I1375" s="2" t="s">
        <v>5298</v>
      </c>
      <c r="J1375" s="2" t="s">
        <v>806</v>
      </c>
      <c r="K1375" s="2" t="s">
        <v>1238</v>
      </c>
      <c r="L1375" s="3">
        <v>38</v>
      </c>
      <c r="M1375" s="3">
        <v>39.9</v>
      </c>
      <c r="N1375" s="3">
        <v>79.99</v>
      </c>
      <c r="O1375" s="2" t="s">
        <v>485</v>
      </c>
      <c r="P1375" s="2" t="s">
        <v>408</v>
      </c>
      <c r="Q1375" s="2" t="s">
        <v>234</v>
      </c>
      <c r="R1375" s="2" t="s">
        <v>235</v>
      </c>
      <c r="S1375" s="2" t="s">
        <v>235</v>
      </c>
      <c r="T1375" s="2" t="s">
        <v>235</v>
      </c>
      <c r="U1375" s="2" t="s">
        <v>807</v>
      </c>
      <c r="V1375" s="2" t="s">
        <v>808</v>
      </c>
      <c r="W1375" s="2" t="s">
        <v>1157</v>
      </c>
      <c r="X1375" s="2" t="s">
        <v>235</v>
      </c>
      <c r="Y1375" s="2" t="s">
        <v>3678</v>
      </c>
      <c r="Z1375" s="4"/>
      <c r="AA1375" s="4">
        <f>=ROUNDDOWN({0},0)</f>
      </c>
      <c r="AB1375" s="5">
        <v>1.1</v>
      </c>
      <c r="AC1375" s="2" t="s">
        <v>235</v>
      </c>
      <c r="AD1375" s="4"/>
      <c r="AE1375" s="4"/>
      <c r="AF1375" s="6">
        <v>69</v>
      </c>
      <c r="AG1375" s="6"/>
      <c r="AH1375" s="7">
        <v>1</v>
      </c>
      <c r="AI1375" s="4"/>
      <c r="AJ1375" s="4">
        <f>=ROUNDDOWN({0},0)</f>
      </c>
      <c r="AK1375" s="5"/>
      <c r="AL1375" s="2" t="s">
        <v>235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/>
      <c r="BD1375" s="8"/>
      <c r="BE1375" s="4"/>
      <c r="BF1375" s="8"/>
      <c r="BG1375" s="7"/>
      <c r="BH1375" s="7"/>
      <c r="BI1375" s="7"/>
      <c r="BJ1375" s="4"/>
      <c r="BK1375" s="8"/>
      <c r="BL1375" s="2" t="s">
        <v>235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5299</v>
      </c>
      <c r="BV1375" s="2" t="s">
        <v>813</v>
      </c>
      <c r="BW1375" s="2" t="s">
        <v>235</v>
      </c>
      <c r="BX1375" s="2" t="s">
        <v>414</v>
      </c>
      <c r="BY1375" s="2" t="s">
        <v>245</v>
      </c>
      <c r="BZ1375" s="2" t="s">
        <v>232</v>
      </c>
      <c r="CA1375" s="2" t="s">
        <v>970</v>
      </c>
      <c r="CB1375" s="2" t="s">
        <v>3219</v>
      </c>
      <c r="CC1375" s="2" t="s">
        <v>248</v>
      </c>
      <c r="CD1375" s="2" t="s">
        <v>248</v>
      </c>
      <c r="CE1375" s="2" t="s">
        <v>235</v>
      </c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>
        <v>1</v>
      </c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19">
        <v>1</v>
      </c>
      <c r="HE1375" s="20">
        <v>0</v>
      </c>
      <c r="HF1375" s="20">
        <v>0</v>
      </c>
      <c r="HG1375" s="20">
        <v>0</v>
      </c>
      <c r="HH1375" s="20">
        <v>0</v>
      </c>
      <c r="HI1375" s="20">
        <v>0</v>
      </c>
      <c r="HJ1375" s="20">
        <v>0</v>
      </c>
      <c r="HK1375" s="20">
        <v>0</v>
      </c>
      <c r="HL1375" s="20">
        <v>0</v>
      </c>
      <c r="HM1375" s="20">
        <v>0</v>
      </c>
      <c r="HN1375" s="20">
        <v>0</v>
      </c>
      <c r="HO1375" s="20">
        <v>0</v>
      </c>
      <c r="HP1375" s="20">
        <v>0</v>
      </c>
      <c r="HQ1375" s="20">
        <v>0</v>
      </c>
      <c r="HR1375" s="20">
        <v>0</v>
      </c>
      <c r="HS1375" s="20">
        <v>0</v>
      </c>
      <c r="HT1375" s="20">
        <v>0</v>
      </c>
      <c r="HU1375" s="20">
        <v>0</v>
      </c>
      <c r="HV1375" s="20">
        <v>0</v>
      </c>
      <c r="HW1375" s="20">
        <v>0</v>
      </c>
      <c r="HX1375" s="20">
        <v>0</v>
      </c>
      <c r="HY1375" s="20">
        <v>0</v>
      </c>
      <c r="HZ1375" s="20">
        <v>0</v>
      </c>
      <c r="IA1375" s="20">
        <v>0</v>
      </c>
      <c r="IB1375" s="20">
        <v>0</v>
      </c>
      <c r="IC1375" s="20">
        <v>0</v>
      </c>
    </row>
    <row r="1376">
      <c r="A1376" s="2" t="s">
        <v>5300</v>
      </c>
      <c r="B1376" s="2" t="s">
        <v>871</v>
      </c>
      <c r="C1376" s="2" t="s">
        <v>606</v>
      </c>
      <c r="D1376" s="2" t="s">
        <v>361</v>
      </c>
      <c r="E1376" s="2" t="s">
        <v>872</v>
      </c>
      <c r="F1376" s="2" t="s">
        <v>5301</v>
      </c>
      <c r="G1376" s="2" t="s">
        <v>5301</v>
      </c>
      <c r="H1376" s="2" t="s">
        <v>5301</v>
      </c>
      <c r="I1376" s="2" t="s">
        <v>5302</v>
      </c>
      <c r="J1376" s="2" t="s">
        <v>877</v>
      </c>
      <c r="K1376" s="2" t="s">
        <v>287</v>
      </c>
      <c r="L1376" s="3">
        <v>19.04</v>
      </c>
      <c r="M1376" s="3">
        <v>19.99</v>
      </c>
      <c r="N1376" s="3">
        <v>39.99</v>
      </c>
      <c r="O1376" s="2" t="s">
        <v>407</v>
      </c>
      <c r="P1376" s="2" t="s">
        <v>408</v>
      </c>
      <c r="Q1376" s="2" t="s">
        <v>234</v>
      </c>
      <c r="R1376" s="2" t="s">
        <v>235</v>
      </c>
      <c r="S1376" s="2" t="s">
        <v>5303</v>
      </c>
      <c r="T1376" s="2" t="s">
        <v>501</v>
      </c>
      <c r="U1376" s="2" t="s">
        <v>278</v>
      </c>
      <c r="V1376" s="2" t="s">
        <v>238</v>
      </c>
      <c r="W1376" s="2" t="s">
        <v>682</v>
      </c>
      <c r="X1376" s="2" t="s">
        <v>1681</v>
      </c>
      <c r="Y1376" s="2" t="s">
        <v>1355</v>
      </c>
      <c r="Z1376" s="4">
        <v>49</v>
      </c>
      <c r="AA1376" s="4">
        <f>=ROUNDDOWN(8.16666666666667,0)</f>
      </c>
      <c r="AB1376" s="5">
        <v>6</v>
      </c>
      <c r="AC1376" s="2" t="s">
        <v>235</v>
      </c>
      <c r="AD1376" s="4"/>
      <c r="AE1376" s="4"/>
      <c r="AF1376" s="6">
        <v>63</v>
      </c>
      <c r="AG1376" s="6">
        <v>46</v>
      </c>
      <c r="AH1376" s="7">
        <v>1</v>
      </c>
      <c r="AI1376" s="4"/>
      <c r="AJ1376" s="4">
        <f>=ROUNDDOWN({0},0)</f>
      </c>
      <c r="AK1376" s="5"/>
      <c r="AL1376" s="2" t="s">
        <v>235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235</v>
      </c>
      <c r="AW1376" s="8" t="s">
        <v>235</v>
      </c>
      <c r="AX1376" s="4" t="s">
        <v>235</v>
      </c>
      <c r="AY1376" s="8" t="s">
        <v>235</v>
      </c>
      <c r="AZ1376" s="7" t="s">
        <v>235</v>
      </c>
      <c r="BA1376" s="7" t="s">
        <v>235</v>
      </c>
      <c r="BB1376" s="7" t="s">
        <v>235</v>
      </c>
      <c r="BC1376" s="4" t="s">
        <v>235</v>
      </c>
      <c r="BD1376" s="8" t="s">
        <v>235</v>
      </c>
      <c r="BE1376" s="4" t="s">
        <v>235</v>
      </c>
      <c r="BF1376" s="8" t="s">
        <v>235</v>
      </c>
      <c r="BG1376" s="7" t="s">
        <v>235</v>
      </c>
      <c r="BH1376" s="7" t="s">
        <v>235</v>
      </c>
      <c r="BI1376" s="7"/>
      <c r="BJ1376" s="4">
        <v>50</v>
      </c>
      <c r="BK1376" s="8">
        <v>792.26</v>
      </c>
      <c r="BL1376" s="2" t="s">
        <v>5304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5305</v>
      </c>
      <c r="BV1376" s="2" t="s">
        <v>243</v>
      </c>
      <c r="BW1376" s="2" t="s">
        <v>235</v>
      </c>
      <c r="BX1376" s="2" t="s">
        <v>414</v>
      </c>
      <c r="BY1376" s="2" t="s">
        <v>245</v>
      </c>
      <c r="BZ1376" s="2" t="s">
        <v>232</v>
      </c>
      <c r="CA1376" s="2" t="s">
        <v>3956</v>
      </c>
      <c r="CB1376" s="2" t="s">
        <v>235</v>
      </c>
      <c r="CC1376" s="2" t="s">
        <v>248</v>
      </c>
      <c r="CD1376" s="2" t="s">
        <v>248</v>
      </c>
      <c r="CE1376" s="2" t="s">
        <v>235</v>
      </c>
      <c r="CF1376" s="4"/>
      <c r="CG1376" s="4"/>
      <c r="CH1376" s="4"/>
      <c r="CI1376" s="4">
        <v>49</v>
      </c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>
        <v>49</v>
      </c>
      <c r="GE1376" s="4">
        <v>37</v>
      </c>
      <c r="GF1376" s="4">
        <v>33</v>
      </c>
      <c r="GG1376" s="4">
        <v>29</v>
      </c>
      <c r="GH1376" s="4">
        <v>25</v>
      </c>
      <c r="GI1376" s="4">
        <v>21</v>
      </c>
      <c r="GJ1376" s="4">
        <v>13</v>
      </c>
      <c r="GK1376" s="4">
        <v>5</v>
      </c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19">
        <v>4.1</v>
      </c>
      <c r="HE1376" s="19">
        <v>4.7</v>
      </c>
      <c r="HF1376" s="19">
        <v>3.3</v>
      </c>
      <c r="HG1376" s="19">
        <v>2.4</v>
      </c>
      <c r="HH1376" s="19">
        <v>2.1</v>
      </c>
      <c r="HI1376" s="19">
        <v>1.8</v>
      </c>
      <c r="HJ1376" s="19">
        <v>1.3</v>
      </c>
      <c r="HK1376" s="19">
        <v>0.7</v>
      </c>
      <c r="HL1376" s="20">
        <v>0</v>
      </c>
      <c r="HM1376" s="20">
        <v>0</v>
      </c>
      <c r="HN1376" s="20">
        <v>0</v>
      </c>
      <c r="HO1376" s="20">
        <v>0</v>
      </c>
      <c r="HP1376" s="20">
        <v>0</v>
      </c>
      <c r="HQ1376" s="20">
        <v>0</v>
      </c>
      <c r="HR1376" s="20">
        <v>0</v>
      </c>
      <c r="HS1376" s="20">
        <v>0</v>
      </c>
      <c r="HT1376" s="20">
        <v>0</v>
      </c>
      <c r="HU1376" s="20">
        <v>0</v>
      </c>
      <c r="HV1376" s="20">
        <v>0</v>
      </c>
      <c r="HW1376" s="20">
        <v>0</v>
      </c>
      <c r="HX1376" s="20">
        <v>0</v>
      </c>
      <c r="HY1376" s="20">
        <v>0</v>
      </c>
      <c r="HZ1376" s="20">
        <v>0</v>
      </c>
      <c r="IA1376" s="20">
        <v>0</v>
      </c>
      <c r="IB1376" s="20">
        <v>0</v>
      </c>
      <c r="IC1376" s="20">
        <v>0</v>
      </c>
    </row>
    <row r="1377">
      <c r="A1377" s="2" t="s">
        <v>5306</v>
      </c>
      <c r="B1377" s="2" t="s">
        <v>871</v>
      </c>
      <c r="C1377" s="2" t="s">
        <v>606</v>
      </c>
      <c r="D1377" s="2" t="s">
        <v>906</v>
      </c>
      <c r="E1377" s="2" t="s">
        <v>1301</v>
      </c>
      <c r="F1377" s="2" t="s">
        <v>5301</v>
      </c>
      <c r="G1377" s="2" t="s">
        <v>5301</v>
      </c>
      <c r="H1377" s="2" t="s">
        <v>5301</v>
      </c>
      <c r="I1377" s="2" t="s">
        <v>5307</v>
      </c>
      <c r="J1377" s="2" t="s">
        <v>877</v>
      </c>
      <c r="K1377" s="2" t="s">
        <v>287</v>
      </c>
      <c r="L1377" s="3">
        <v>14.28</v>
      </c>
      <c r="M1377" s="3">
        <v>14.99</v>
      </c>
      <c r="N1377" s="3">
        <v>29.99</v>
      </c>
      <c r="O1377" s="2" t="s">
        <v>485</v>
      </c>
      <c r="P1377" s="2" t="s">
        <v>408</v>
      </c>
      <c r="Q1377" s="2" t="s">
        <v>234</v>
      </c>
      <c r="R1377" s="2" t="s">
        <v>235</v>
      </c>
      <c r="S1377" s="2" t="s">
        <v>5303</v>
      </c>
      <c r="T1377" s="2" t="s">
        <v>501</v>
      </c>
      <c r="U1377" s="2" t="s">
        <v>278</v>
      </c>
      <c r="V1377" s="2" t="s">
        <v>238</v>
      </c>
      <c r="W1377" s="2" t="s">
        <v>682</v>
      </c>
      <c r="X1377" s="2" t="s">
        <v>1681</v>
      </c>
      <c r="Y1377" s="2" t="s">
        <v>5308</v>
      </c>
      <c r="Z1377" s="4">
        <v>17</v>
      </c>
      <c r="AA1377" s="4">
        <f>=ROUNDDOWN(5.66666666666667,0)</f>
      </c>
      <c r="AB1377" s="5">
        <v>3</v>
      </c>
      <c r="AC1377" s="2" t="s">
        <v>235</v>
      </c>
      <c r="AD1377" s="4"/>
      <c r="AE1377" s="4"/>
      <c r="AF1377" s="6">
        <v>63</v>
      </c>
      <c r="AG1377" s="6">
        <v>46</v>
      </c>
      <c r="AH1377" s="7">
        <v>1</v>
      </c>
      <c r="AI1377" s="4"/>
      <c r="AJ1377" s="4">
        <f>=ROUNDDOWN({0},0)</f>
      </c>
      <c r="AK1377" s="5"/>
      <c r="AL1377" s="2" t="s">
        <v>235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235</v>
      </c>
      <c r="AW1377" s="8" t="s">
        <v>235</v>
      </c>
      <c r="AX1377" s="4" t="s">
        <v>235</v>
      </c>
      <c r="AY1377" s="8" t="s">
        <v>235</v>
      </c>
      <c r="AZ1377" s="7" t="s">
        <v>235</v>
      </c>
      <c r="BA1377" s="7" t="s">
        <v>235</v>
      </c>
      <c r="BB1377" s="7" t="s">
        <v>235</v>
      </c>
      <c r="BC1377" s="4" t="s">
        <v>235</v>
      </c>
      <c r="BD1377" s="8" t="s">
        <v>235</v>
      </c>
      <c r="BE1377" s="4" t="s">
        <v>235</v>
      </c>
      <c r="BF1377" s="8" t="s">
        <v>235</v>
      </c>
      <c r="BG1377" s="7" t="s">
        <v>235</v>
      </c>
      <c r="BH1377" s="7" t="s">
        <v>235</v>
      </c>
      <c r="BI1377" s="7"/>
      <c r="BJ1377" s="4">
        <v>1</v>
      </c>
      <c r="BK1377" s="8">
        <v>14.28</v>
      </c>
      <c r="BL1377" s="2" t="s">
        <v>592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5309</v>
      </c>
      <c r="BV1377" s="2" t="s">
        <v>243</v>
      </c>
      <c r="BW1377" s="2" t="s">
        <v>235</v>
      </c>
      <c r="BX1377" s="2" t="s">
        <v>414</v>
      </c>
      <c r="BY1377" s="2" t="s">
        <v>245</v>
      </c>
      <c r="BZ1377" s="2" t="s">
        <v>232</v>
      </c>
      <c r="CA1377" s="2" t="s">
        <v>5310</v>
      </c>
      <c r="CB1377" s="2" t="s">
        <v>2338</v>
      </c>
      <c r="CC1377" s="2" t="s">
        <v>248</v>
      </c>
      <c r="CD1377" s="2" t="s">
        <v>248</v>
      </c>
      <c r="CE1377" s="2" t="s">
        <v>235</v>
      </c>
      <c r="CF1377" s="4">
        <v>17</v>
      </c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>
        <v>93</v>
      </c>
      <c r="GE1377" s="4">
        <v>90</v>
      </c>
      <c r="GF1377" s="4">
        <v>87</v>
      </c>
      <c r="GG1377" s="4">
        <v>84</v>
      </c>
      <c r="GH1377" s="4">
        <v>2</v>
      </c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19">
        <v>4.2</v>
      </c>
      <c r="HE1377" s="19">
        <v>3.8</v>
      </c>
      <c r="HF1377" s="19">
        <v>3.9</v>
      </c>
      <c r="HG1377" s="19">
        <v>3.4</v>
      </c>
      <c r="HH1377" s="19">
        <v>0.5</v>
      </c>
      <c r="HI1377" s="20">
        <v>0</v>
      </c>
      <c r="HJ1377" s="20">
        <v>0</v>
      </c>
      <c r="HK1377" s="20">
        <v>0</v>
      </c>
      <c r="HL1377" s="20">
        <v>0</v>
      </c>
      <c r="HM1377" s="20">
        <v>0</v>
      </c>
      <c r="HN1377" s="20">
        <v>0</v>
      </c>
      <c r="HO1377" s="20">
        <v>0</v>
      </c>
      <c r="HP1377" s="20">
        <v>0</v>
      </c>
      <c r="HQ1377" s="20">
        <v>0</v>
      </c>
      <c r="HR1377" s="20">
        <v>0</v>
      </c>
      <c r="HS1377" s="20">
        <v>0</v>
      </c>
      <c r="HT1377" s="20">
        <v>0</v>
      </c>
      <c r="HU1377" s="20">
        <v>0</v>
      </c>
      <c r="HV1377" s="20">
        <v>0</v>
      </c>
      <c r="HW1377" s="20">
        <v>0</v>
      </c>
      <c r="HX1377" s="20">
        <v>0</v>
      </c>
      <c r="HY1377" s="20">
        <v>0</v>
      </c>
      <c r="HZ1377" s="20">
        <v>0</v>
      </c>
      <c r="IA1377" s="20">
        <v>0</v>
      </c>
      <c r="IB1377" s="20">
        <v>0</v>
      </c>
      <c r="IC1377" s="20">
        <v>0</v>
      </c>
    </row>
    <row r="1378">
      <c r="A1378" s="2" t="s">
        <v>5311</v>
      </c>
      <c r="B1378" s="2" t="s">
        <v>871</v>
      </c>
      <c r="C1378" s="2" t="s">
        <v>606</v>
      </c>
      <c r="D1378" s="2" t="s">
        <v>906</v>
      </c>
      <c r="E1378" s="2" t="s">
        <v>1301</v>
      </c>
      <c r="F1378" s="2" t="s">
        <v>5301</v>
      </c>
      <c r="G1378" s="2" t="s">
        <v>5301</v>
      </c>
      <c r="H1378" s="2" t="s">
        <v>5301</v>
      </c>
      <c r="I1378" s="2" t="s">
        <v>5307</v>
      </c>
      <c r="J1378" s="2" t="s">
        <v>877</v>
      </c>
      <c r="K1378" s="2" t="s">
        <v>1667</v>
      </c>
      <c r="L1378" s="3">
        <v>14.28</v>
      </c>
      <c r="M1378" s="3">
        <v>14.99</v>
      </c>
      <c r="N1378" s="3">
        <v>29.99</v>
      </c>
      <c r="O1378" s="2" t="s">
        <v>485</v>
      </c>
      <c r="P1378" s="2" t="s">
        <v>408</v>
      </c>
      <c r="Q1378" s="2" t="s">
        <v>234</v>
      </c>
      <c r="R1378" s="2" t="s">
        <v>235</v>
      </c>
      <c r="S1378" s="2" t="s">
        <v>5312</v>
      </c>
      <c r="T1378" s="2" t="s">
        <v>501</v>
      </c>
      <c r="U1378" s="2" t="s">
        <v>278</v>
      </c>
      <c r="V1378" s="2" t="s">
        <v>238</v>
      </c>
      <c r="W1378" s="2" t="s">
        <v>682</v>
      </c>
      <c r="X1378" s="2" t="s">
        <v>1681</v>
      </c>
      <c r="Y1378" s="2" t="s">
        <v>5308</v>
      </c>
      <c r="Z1378" s="4"/>
      <c r="AA1378" s="4">
        <f>=ROUNDDOWN({0},0)</f>
      </c>
      <c r="AB1378" s="5">
        <v>5</v>
      </c>
      <c r="AC1378" s="2" t="s">
        <v>235</v>
      </c>
      <c r="AD1378" s="4"/>
      <c r="AE1378" s="4"/>
      <c r="AF1378" s="6">
        <v>63</v>
      </c>
      <c r="AG1378" s="6">
        <v>46</v>
      </c>
      <c r="AH1378" s="7">
        <v>0.7742</v>
      </c>
      <c r="AI1378" s="4"/>
      <c r="AJ1378" s="4">
        <f>=ROUNDDOWN({0},0)</f>
      </c>
      <c r="AK1378" s="5"/>
      <c r="AL1378" s="2" t="s">
        <v>235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235</v>
      </c>
      <c r="AW1378" s="8" t="s">
        <v>235</v>
      </c>
      <c r="AX1378" s="4" t="s">
        <v>235</v>
      </c>
      <c r="AY1378" s="8" t="s">
        <v>235</v>
      </c>
      <c r="AZ1378" s="7" t="s">
        <v>235</v>
      </c>
      <c r="BA1378" s="7" t="s">
        <v>235</v>
      </c>
      <c r="BB1378" s="7"/>
      <c r="BC1378" s="4" t="s">
        <v>235</v>
      </c>
      <c r="BD1378" s="8" t="s">
        <v>235</v>
      </c>
      <c r="BE1378" s="4" t="s">
        <v>235</v>
      </c>
      <c r="BF1378" s="8" t="s">
        <v>235</v>
      </c>
      <c r="BG1378" s="7" t="s">
        <v>235</v>
      </c>
      <c r="BH1378" s="7" t="s">
        <v>235</v>
      </c>
      <c r="BI1378" s="7"/>
      <c r="BJ1378" s="4">
        <v>26</v>
      </c>
      <c r="BK1378" s="8">
        <v>317.6</v>
      </c>
      <c r="BL1378" s="2" t="s">
        <v>5313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5309</v>
      </c>
      <c r="BV1378" s="2" t="s">
        <v>243</v>
      </c>
      <c r="BW1378" s="2" t="s">
        <v>235</v>
      </c>
      <c r="BX1378" s="2" t="s">
        <v>414</v>
      </c>
      <c r="BY1378" s="2" t="s">
        <v>245</v>
      </c>
      <c r="BZ1378" s="2" t="s">
        <v>232</v>
      </c>
      <c r="CA1378" s="2" t="s">
        <v>5310</v>
      </c>
      <c r="CB1378" s="2" t="s">
        <v>620</v>
      </c>
      <c r="CC1378" s="2" t="s">
        <v>248</v>
      </c>
      <c r="CD1378" s="2" t="s">
        <v>248</v>
      </c>
      <c r="CE1378" s="2" t="s">
        <v>235</v>
      </c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>
        <v>1</v>
      </c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19">
        <v>0.1</v>
      </c>
      <c r="HE1378" s="20">
        <v>0</v>
      </c>
      <c r="HF1378" s="20">
        <v>0</v>
      </c>
      <c r="HG1378" s="20">
        <v>0</v>
      </c>
      <c r="HH1378" s="20">
        <v>0</v>
      </c>
      <c r="HI1378" s="20">
        <v>0</v>
      </c>
      <c r="HJ1378" s="20">
        <v>0</v>
      </c>
      <c r="HK1378" s="20">
        <v>0</v>
      </c>
      <c r="HL1378" s="20">
        <v>0</v>
      </c>
      <c r="HM1378" s="20">
        <v>0</v>
      </c>
      <c r="HN1378" s="20">
        <v>0</v>
      </c>
      <c r="HO1378" s="20">
        <v>0</v>
      </c>
      <c r="HP1378" s="20">
        <v>0</v>
      </c>
      <c r="HQ1378" s="20">
        <v>0</v>
      </c>
      <c r="HR1378" s="20">
        <v>0</v>
      </c>
      <c r="HS1378" s="20">
        <v>0</v>
      </c>
      <c r="HT1378" s="20">
        <v>0</v>
      </c>
      <c r="HU1378" s="20">
        <v>0</v>
      </c>
      <c r="HV1378" s="20">
        <v>0</v>
      </c>
      <c r="HW1378" s="20">
        <v>0</v>
      </c>
      <c r="HX1378" s="20">
        <v>0</v>
      </c>
      <c r="HY1378" s="20">
        <v>0</v>
      </c>
      <c r="HZ1378" s="20">
        <v>0</v>
      </c>
      <c r="IA1378" s="20">
        <v>0</v>
      </c>
      <c r="IB1378" s="20">
        <v>0</v>
      </c>
      <c r="IC1378" s="20">
        <v>0</v>
      </c>
    </row>
    <row r="1379">
      <c r="A1379" s="2" t="s">
        <v>5314</v>
      </c>
      <c r="B1379" s="2" t="s">
        <v>871</v>
      </c>
      <c r="C1379" s="2" t="s">
        <v>606</v>
      </c>
      <c r="D1379" s="2" t="s">
        <v>361</v>
      </c>
      <c r="E1379" s="2" t="s">
        <v>872</v>
      </c>
      <c r="F1379" s="2" t="s">
        <v>5301</v>
      </c>
      <c r="G1379" s="2" t="s">
        <v>5301</v>
      </c>
      <c r="H1379" s="2" t="s">
        <v>5301</v>
      </c>
      <c r="I1379" s="2" t="s">
        <v>5302</v>
      </c>
      <c r="J1379" s="2" t="s">
        <v>365</v>
      </c>
      <c r="K1379" s="2" t="s">
        <v>1667</v>
      </c>
      <c r="L1379" s="3">
        <v>23.8</v>
      </c>
      <c r="M1379" s="3">
        <v>24.99</v>
      </c>
      <c r="N1379" s="3">
        <v>49.99</v>
      </c>
      <c r="O1379" s="2" t="s">
        <v>485</v>
      </c>
      <c r="P1379" s="2" t="s">
        <v>408</v>
      </c>
      <c r="Q1379" s="2" t="s">
        <v>234</v>
      </c>
      <c r="R1379" s="2" t="s">
        <v>235</v>
      </c>
      <c r="S1379" s="2" t="s">
        <v>5312</v>
      </c>
      <c r="T1379" s="2" t="s">
        <v>501</v>
      </c>
      <c r="U1379" s="2" t="s">
        <v>552</v>
      </c>
      <c r="V1379" s="2" t="s">
        <v>238</v>
      </c>
      <c r="W1379" s="2" t="s">
        <v>682</v>
      </c>
      <c r="X1379" s="2" t="s">
        <v>1681</v>
      </c>
      <c r="Y1379" s="2" t="s">
        <v>1355</v>
      </c>
      <c r="Z1379" s="4"/>
      <c r="AA1379" s="4">
        <f>=ROUNDDOWN({0},0)</f>
      </c>
      <c r="AB1379" s="5">
        <v>50</v>
      </c>
      <c r="AC1379" s="2" t="s">
        <v>235</v>
      </c>
      <c r="AD1379" s="4"/>
      <c r="AE1379" s="4"/>
      <c r="AF1379" s="6">
        <v>63</v>
      </c>
      <c r="AG1379" s="6">
        <v>46</v>
      </c>
      <c r="AH1379" s="7">
        <v>0</v>
      </c>
      <c r="AI1379" s="4"/>
      <c r="AJ1379" s="4">
        <f>=ROUNDDOWN({0},0)</f>
      </c>
      <c r="AK1379" s="5"/>
      <c r="AL1379" s="2" t="s">
        <v>235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235</v>
      </c>
      <c r="AW1379" s="8" t="s">
        <v>235</v>
      </c>
      <c r="AX1379" s="4" t="s">
        <v>235</v>
      </c>
      <c r="AY1379" s="8" t="s">
        <v>235</v>
      </c>
      <c r="AZ1379" s="7" t="s">
        <v>235</v>
      </c>
      <c r="BA1379" s="7" t="s">
        <v>235</v>
      </c>
      <c r="BB1379" s="7" t="s">
        <v>235</v>
      </c>
      <c r="BC1379" s="4" t="s">
        <v>235</v>
      </c>
      <c r="BD1379" s="8" t="s">
        <v>235</v>
      </c>
      <c r="BE1379" s="4" t="s">
        <v>235</v>
      </c>
      <c r="BF1379" s="8" t="s">
        <v>235</v>
      </c>
      <c r="BG1379" s="7" t="s">
        <v>235</v>
      </c>
      <c r="BH1379" s="7" t="s">
        <v>235</v>
      </c>
      <c r="BI1379" s="7"/>
      <c r="BJ1379" s="4"/>
      <c r="BK1379" s="8"/>
      <c r="BL1379" s="2" t="s">
        <v>673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5305</v>
      </c>
      <c r="BV1379" s="2" t="s">
        <v>243</v>
      </c>
      <c r="BW1379" s="2" t="s">
        <v>235</v>
      </c>
      <c r="BX1379" s="2" t="s">
        <v>414</v>
      </c>
      <c r="BY1379" s="2" t="s">
        <v>245</v>
      </c>
      <c r="BZ1379" s="2" t="s">
        <v>232</v>
      </c>
      <c r="CA1379" s="2" t="s">
        <v>3956</v>
      </c>
      <c r="CB1379" s="2" t="s">
        <v>3189</v>
      </c>
      <c r="CC1379" s="2" t="s">
        <v>248</v>
      </c>
      <c r="CD1379" s="2" t="s">
        <v>248</v>
      </c>
      <c r="CE1379" s="2" t="s">
        <v>235</v>
      </c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20">
        <v>0</v>
      </c>
      <c r="HE1379" s="20">
        <v>0</v>
      </c>
      <c r="HF1379" s="20">
        <v>0</v>
      </c>
      <c r="HG1379" s="20">
        <v>0</v>
      </c>
      <c r="HH1379" s="20">
        <v>0</v>
      </c>
      <c r="HI1379" s="20">
        <v>0</v>
      </c>
      <c r="HJ1379" s="20">
        <v>0</v>
      </c>
      <c r="HK1379" s="20">
        <v>0</v>
      </c>
      <c r="HL1379" s="20">
        <v>0</v>
      </c>
      <c r="HM1379" s="20">
        <v>0</v>
      </c>
      <c r="HN1379" s="20">
        <v>0</v>
      </c>
      <c r="HO1379" s="20">
        <v>0</v>
      </c>
      <c r="HP1379" s="20">
        <v>0</v>
      </c>
      <c r="HQ1379" s="20">
        <v>0</v>
      </c>
      <c r="HR1379" s="20">
        <v>0</v>
      </c>
      <c r="HS1379" s="20">
        <v>0</v>
      </c>
      <c r="HT1379" s="20">
        <v>0</v>
      </c>
      <c r="HU1379" s="20">
        <v>0</v>
      </c>
      <c r="HV1379" s="20">
        <v>0</v>
      </c>
      <c r="HW1379" s="20">
        <v>0</v>
      </c>
      <c r="HX1379" s="20">
        <v>0</v>
      </c>
      <c r="HY1379" s="20">
        <v>0</v>
      </c>
      <c r="HZ1379" s="20">
        <v>0</v>
      </c>
      <c r="IA1379" s="20">
        <v>0</v>
      </c>
      <c r="IB1379" s="20">
        <v>0</v>
      </c>
      <c r="IC1379" s="20">
        <v>0</v>
      </c>
    </row>
    <row r="1380">
      <c r="A1380" s="2" t="s">
        <v>5315</v>
      </c>
      <c r="B1380" s="2" t="s">
        <v>871</v>
      </c>
      <c r="C1380" s="2" t="s">
        <v>606</v>
      </c>
      <c r="D1380" s="2" t="s">
        <v>906</v>
      </c>
      <c r="E1380" s="2" t="s">
        <v>1301</v>
      </c>
      <c r="F1380" s="2" t="s">
        <v>5301</v>
      </c>
      <c r="G1380" s="2" t="s">
        <v>5301</v>
      </c>
      <c r="H1380" s="2" t="s">
        <v>5301</v>
      </c>
      <c r="I1380" s="2" t="s">
        <v>5307</v>
      </c>
      <c r="J1380" s="2" t="s">
        <v>365</v>
      </c>
      <c r="K1380" s="2" t="s">
        <v>1667</v>
      </c>
      <c r="L1380" s="3">
        <v>17.85</v>
      </c>
      <c r="M1380" s="3">
        <v>18.74</v>
      </c>
      <c r="N1380" s="3">
        <v>37.49</v>
      </c>
      <c r="O1380" s="2" t="s">
        <v>485</v>
      </c>
      <c r="P1380" s="2" t="s">
        <v>408</v>
      </c>
      <c r="Q1380" s="2" t="s">
        <v>234</v>
      </c>
      <c r="R1380" s="2" t="s">
        <v>235</v>
      </c>
      <c r="S1380" s="2" t="s">
        <v>5312</v>
      </c>
      <c r="T1380" s="2" t="s">
        <v>501</v>
      </c>
      <c r="U1380" s="2" t="s">
        <v>552</v>
      </c>
      <c r="V1380" s="2" t="s">
        <v>238</v>
      </c>
      <c r="W1380" s="2" t="s">
        <v>682</v>
      </c>
      <c r="X1380" s="2" t="s">
        <v>1681</v>
      </c>
      <c r="Y1380" s="2" t="s">
        <v>5308</v>
      </c>
      <c r="Z1380" s="4">
        <v>275</v>
      </c>
      <c r="AA1380" s="4">
        <f>=ROUNDDOWN(30.5555555555556,0)</f>
      </c>
      <c r="AB1380" s="5">
        <v>9</v>
      </c>
      <c r="AC1380" s="2" t="s">
        <v>235</v>
      </c>
      <c r="AD1380" s="4"/>
      <c r="AE1380" s="4"/>
      <c r="AF1380" s="6">
        <v>63</v>
      </c>
      <c r="AG1380" s="6">
        <v>46</v>
      </c>
      <c r="AH1380" s="7">
        <v>1</v>
      </c>
      <c r="AI1380" s="4"/>
      <c r="AJ1380" s="4">
        <f>=ROUNDDOWN({0},0)</f>
      </c>
      <c r="AK1380" s="5"/>
      <c r="AL1380" s="2" t="s">
        <v>235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235</v>
      </c>
      <c r="AW1380" s="8" t="s">
        <v>235</v>
      </c>
      <c r="AX1380" s="4" t="s">
        <v>235</v>
      </c>
      <c r="AY1380" s="8" t="s">
        <v>235</v>
      </c>
      <c r="AZ1380" s="7" t="s">
        <v>235</v>
      </c>
      <c r="BA1380" s="7" t="s">
        <v>235</v>
      </c>
      <c r="BB1380" s="7" t="s">
        <v>235</v>
      </c>
      <c r="BC1380" s="4" t="s">
        <v>235</v>
      </c>
      <c r="BD1380" s="8" t="s">
        <v>235</v>
      </c>
      <c r="BE1380" s="4" t="s">
        <v>235</v>
      </c>
      <c r="BF1380" s="8" t="s">
        <v>235</v>
      </c>
      <c r="BG1380" s="7" t="s">
        <v>235</v>
      </c>
      <c r="BH1380" s="7" t="s">
        <v>235</v>
      </c>
      <c r="BI1380" s="7"/>
      <c r="BJ1380" s="4">
        <v>12</v>
      </c>
      <c r="BK1380" s="8">
        <v>219.4</v>
      </c>
      <c r="BL1380" s="2" t="s">
        <v>653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5309</v>
      </c>
      <c r="BV1380" s="2" t="s">
        <v>243</v>
      </c>
      <c r="BW1380" s="2" t="s">
        <v>235</v>
      </c>
      <c r="BX1380" s="2" t="s">
        <v>414</v>
      </c>
      <c r="BY1380" s="2" t="s">
        <v>245</v>
      </c>
      <c r="BZ1380" s="2" t="s">
        <v>232</v>
      </c>
      <c r="CA1380" s="2" t="s">
        <v>5310</v>
      </c>
      <c r="CB1380" s="2" t="s">
        <v>620</v>
      </c>
      <c r="CC1380" s="2" t="s">
        <v>248</v>
      </c>
      <c r="CD1380" s="2" t="s">
        <v>248</v>
      </c>
      <c r="CE1380" s="2" t="s">
        <v>235</v>
      </c>
      <c r="CF1380" s="4">
        <v>134</v>
      </c>
      <c r="CG1380" s="4"/>
      <c r="CH1380" s="4"/>
      <c r="CI1380" s="4">
        <v>141</v>
      </c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>
        <v>315</v>
      </c>
      <c r="GE1380" s="4">
        <v>291</v>
      </c>
      <c r="GF1380" s="4">
        <v>281</v>
      </c>
      <c r="GG1380" s="4">
        <v>271</v>
      </c>
      <c r="GH1380" s="4">
        <v>220</v>
      </c>
      <c r="GI1380" s="4">
        <v>205</v>
      </c>
      <c r="GJ1380" s="4">
        <v>190</v>
      </c>
      <c r="GK1380" s="4">
        <v>177</v>
      </c>
      <c r="GL1380" s="4">
        <v>166</v>
      </c>
      <c r="GM1380" s="4">
        <v>155</v>
      </c>
      <c r="GN1380" s="4">
        <v>145</v>
      </c>
      <c r="GO1380" s="4">
        <v>134</v>
      </c>
      <c r="GP1380" s="4">
        <v>118</v>
      </c>
      <c r="GQ1380" s="4">
        <v>102</v>
      </c>
      <c r="GR1380" s="4">
        <v>89</v>
      </c>
      <c r="GS1380" s="4">
        <v>79</v>
      </c>
      <c r="GT1380" s="4">
        <v>70</v>
      </c>
      <c r="GU1380" s="4">
        <v>62</v>
      </c>
      <c r="GV1380" s="4">
        <v>60</v>
      </c>
      <c r="GW1380" s="4">
        <v>58</v>
      </c>
      <c r="GX1380" s="4">
        <v>56</v>
      </c>
      <c r="GY1380" s="4">
        <v>54</v>
      </c>
      <c r="GZ1380" s="4">
        <v>52</v>
      </c>
      <c r="HA1380" s="4">
        <v>50</v>
      </c>
      <c r="HB1380" s="4">
        <v>48</v>
      </c>
      <c r="HC1380" s="4">
        <v>46</v>
      </c>
      <c r="HD1380" s="19">
        <v>13.1</v>
      </c>
      <c r="HE1380" s="19">
        <v>13.8</v>
      </c>
      <c r="HF1380" s="19">
        <v>12.1</v>
      </c>
      <c r="HG1380" s="19">
        <v>11.6</v>
      </c>
      <c r="HH1380" s="19">
        <v>26.1</v>
      </c>
      <c r="HI1380" s="19">
        <v>25</v>
      </c>
      <c r="HJ1380" s="19">
        <v>34.5</v>
      </c>
      <c r="HK1380" s="19">
        <v>33.6</v>
      </c>
      <c r="HL1380" s="19">
        <v>31.7</v>
      </c>
      <c r="HM1380" s="19">
        <v>21.2</v>
      </c>
      <c r="HN1380" s="19">
        <v>11.4</v>
      </c>
      <c r="HO1380" s="19">
        <v>8.9</v>
      </c>
      <c r="HP1380" s="19">
        <v>7.1</v>
      </c>
      <c r="HQ1380" s="19">
        <v>5.1</v>
      </c>
      <c r="HR1380" s="19">
        <v>6.4</v>
      </c>
      <c r="HS1380" s="19">
        <v>7.9</v>
      </c>
      <c r="HT1380" s="19">
        <v>8.8</v>
      </c>
      <c r="HU1380" s="19">
        <v>15.5</v>
      </c>
      <c r="HV1380" s="19">
        <v>15</v>
      </c>
      <c r="HW1380" s="19">
        <v>14.5</v>
      </c>
      <c r="HX1380" s="19">
        <v>14</v>
      </c>
      <c r="HY1380" s="19">
        <v>13.5</v>
      </c>
      <c r="HZ1380" s="19">
        <v>13</v>
      </c>
      <c r="IA1380" s="19">
        <v>12.5</v>
      </c>
      <c r="IB1380" s="19">
        <v>12</v>
      </c>
      <c r="IC1380" s="19">
        <v>11.5</v>
      </c>
    </row>
    <row r="1381">
      <c r="A1381" s="2" t="s">
        <v>5316</v>
      </c>
      <c r="B1381" s="2" t="s">
        <v>871</v>
      </c>
      <c r="C1381" s="2" t="s">
        <v>606</v>
      </c>
      <c r="D1381" s="2" t="s">
        <v>361</v>
      </c>
      <c r="E1381" s="2" t="s">
        <v>872</v>
      </c>
      <c r="F1381" s="2" t="s">
        <v>5301</v>
      </c>
      <c r="G1381" s="2" t="s">
        <v>5301</v>
      </c>
      <c r="H1381" s="2" t="s">
        <v>5301</v>
      </c>
      <c r="I1381" s="2" t="s">
        <v>5302</v>
      </c>
      <c r="J1381" s="2" t="s">
        <v>372</v>
      </c>
      <c r="K1381" s="2" t="s">
        <v>1667</v>
      </c>
      <c r="L1381" s="3">
        <v>26.19</v>
      </c>
      <c r="M1381" s="3">
        <v>27.5</v>
      </c>
      <c r="N1381" s="3">
        <v>54.99</v>
      </c>
      <c r="O1381" s="2" t="s">
        <v>485</v>
      </c>
      <c r="P1381" s="2" t="s">
        <v>408</v>
      </c>
      <c r="Q1381" s="2" t="s">
        <v>234</v>
      </c>
      <c r="R1381" s="2" t="s">
        <v>235</v>
      </c>
      <c r="S1381" s="2" t="s">
        <v>5312</v>
      </c>
      <c r="T1381" s="2" t="s">
        <v>501</v>
      </c>
      <c r="U1381" s="2" t="s">
        <v>552</v>
      </c>
      <c r="V1381" s="2" t="s">
        <v>238</v>
      </c>
      <c r="W1381" s="2" t="s">
        <v>682</v>
      </c>
      <c r="X1381" s="2" t="s">
        <v>1681</v>
      </c>
      <c r="Y1381" s="2" t="s">
        <v>4019</v>
      </c>
      <c r="Z1381" s="4"/>
      <c r="AA1381" s="4">
        <f>=ROUNDDOWN({0},0)</f>
      </c>
      <c r="AB1381" s="5">
        <v>47</v>
      </c>
      <c r="AC1381" s="2" t="s">
        <v>235</v>
      </c>
      <c r="AD1381" s="4"/>
      <c r="AE1381" s="4"/>
      <c r="AF1381" s="6">
        <v>63</v>
      </c>
      <c r="AG1381" s="6">
        <v>46</v>
      </c>
      <c r="AH1381" s="7">
        <v>0</v>
      </c>
      <c r="AI1381" s="4"/>
      <c r="AJ1381" s="4">
        <f>=ROUNDDOWN({0},0)</f>
      </c>
      <c r="AK1381" s="5"/>
      <c r="AL1381" s="2" t="s">
        <v>235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235</v>
      </c>
      <c r="AW1381" s="8" t="s">
        <v>235</v>
      </c>
      <c r="AX1381" s="4" t="s">
        <v>235</v>
      </c>
      <c r="AY1381" s="8" t="s">
        <v>235</v>
      </c>
      <c r="AZ1381" s="7" t="s">
        <v>235</v>
      </c>
      <c r="BA1381" s="7" t="s">
        <v>235</v>
      </c>
      <c r="BB1381" s="7"/>
      <c r="BC1381" s="4" t="s">
        <v>235</v>
      </c>
      <c r="BD1381" s="8" t="s">
        <v>235</v>
      </c>
      <c r="BE1381" s="4" t="s">
        <v>235</v>
      </c>
      <c r="BF1381" s="8" t="s">
        <v>235</v>
      </c>
      <c r="BG1381" s="7" t="s">
        <v>235</v>
      </c>
      <c r="BH1381" s="7" t="s">
        <v>235</v>
      </c>
      <c r="BI1381" s="7"/>
      <c r="BJ1381" s="4"/>
      <c r="BK1381" s="8"/>
      <c r="BL1381" s="2" t="s">
        <v>673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5305</v>
      </c>
      <c r="BV1381" s="2" t="s">
        <v>243</v>
      </c>
      <c r="BW1381" s="2" t="s">
        <v>235</v>
      </c>
      <c r="BX1381" s="2" t="s">
        <v>414</v>
      </c>
      <c r="BY1381" s="2" t="s">
        <v>245</v>
      </c>
      <c r="BZ1381" s="2" t="s">
        <v>232</v>
      </c>
      <c r="CA1381" s="2" t="s">
        <v>3956</v>
      </c>
      <c r="CB1381" s="2" t="s">
        <v>2829</v>
      </c>
      <c r="CC1381" s="2" t="s">
        <v>248</v>
      </c>
      <c r="CD1381" s="2" t="s">
        <v>248</v>
      </c>
      <c r="CE1381" s="2" t="s">
        <v>235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20">
        <v>0</v>
      </c>
      <c r="HE1381" s="20">
        <v>0</v>
      </c>
      <c r="HF1381" s="20">
        <v>0</v>
      </c>
      <c r="HG1381" s="20">
        <v>0</v>
      </c>
      <c r="HH1381" s="20">
        <v>0</v>
      </c>
      <c r="HI1381" s="20">
        <v>0</v>
      </c>
      <c r="HJ1381" s="20">
        <v>0</v>
      </c>
      <c r="HK1381" s="20">
        <v>0</v>
      </c>
      <c r="HL1381" s="20">
        <v>0</v>
      </c>
      <c r="HM1381" s="20">
        <v>0</v>
      </c>
      <c r="HN1381" s="20">
        <v>0</v>
      </c>
      <c r="HO1381" s="20">
        <v>0</v>
      </c>
      <c r="HP1381" s="20">
        <v>0</v>
      </c>
      <c r="HQ1381" s="20">
        <v>0</v>
      </c>
      <c r="HR1381" s="20">
        <v>0</v>
      </c>
      <c r="HS1381" s="20">
        <v>0</v>
      </c>
      <c r="HT1381" s="20">
        <v>0</v>
      </c>
      <c r="HU1381" s="20">
        <v>0</v>
      </c>
      <c r="HV1381" s="20">
        <v>0</v>
      </c>
      <c r="HW1381" s="20">
        <v>0</v>
      </c>
      <c r="HX1381" s="20">
        <v>0</v>
      </c>
      <c r="HY1381" s="20">
        <v>0</v>
      </c>
      <c r="HZ1381" s="20">
        <v>0</v>
      </c>
      <c r="IA1381" s="20">
        <v>0</v>
      </c>
      <c r="IB1381" s="20">
        <v>0</v>
      </c>
      <c r="IC1381" s="20">
        <v>0</v>
      </c>
    </row>
    <row r="1382">
      <c r="A1382" s="2" t="s">
        <v>5317</v>
      </c>
      <c r="B1382" s="2" t="s">
        <v>871</v>
      </c>
      <c r="C1382" s="2" t="s">
        <v>606</v>
      </c>
      <c r="D1382" s="2" t="s">
        <v>906</v>
      </c>
      <c r="E1382" s="2" t="s">
        <v>1301</v>
      </c>
      <c r="F1382" s="2" t="s">
        <v>5301</v>
      </c>
      <c r="G1382" s="2" t="s">
        <v>5301</v>
      </c>
      <c r="H1382" s="2" t="s">
        <v>5301</v>
      </c>
      <c r="I1382" s="2" t="s">
        <v>5307</v>
      </c>
      <c r="J1382" s="2" t="s">
        <v>877</v>
      </c>
      <c r="K1382" s="2" t="s">
        <v>2029</v>
      </c>
      <c r="L1382" s="3">
        <v>14.28</v>
      </c>
      <c r="M1382" s="3">
        <v>14.99</v>
      </c>
      <c r="N1382" s="3">
        <v>29.99</v>
      </c>
      <c r="O1382" s="2" t="s">
        <v>485</v>
      </c>
      <c r="P1382" s="2" t="s">
        <v>408</v>
      </c>
      <c r="Q1382" s="2" t="s">
        <v>234</v>
      </c>
      <c r="R1382" s="2" t="s">
        <v>235</v>
      </c>
      <c r="S1382" s="2" t="s">
        <v>5318</v>
      </c>
      <c r="T1382" s="2" t="s">
        <v>501</v>
      </c>
      <c r="U1382" s="2" t="s">
        <v>278</v>
      </c>
      <c r="V1382" s="2" t="s">
        <v>238</v>
      </c>
      <c r="W1382" s="2" t="s">
        <v>682</v>
      </c>
      <c r="X1382" s="2" t="s">
        <v>1681</v>
      </c>
      <c r="Y1382" s="2" t="s">
        <v>5308</v>
      </c>
      <c r="Z1382" s="4"/>
      <c r="AA1382" s="4">
        <f>=ROUNDDOWN({0},0)</f>
      </c>
      <c r="AB1382" s="5">
        <v>3</v>
      </c>
      <c r="AC1382" s="2" t="s">
        <v>235</v>
      </c>
      <c r="AD1382" s="4"/>
      <c r="AE1382" s="4"/>
      <c r="AF1382" s="6">
        <v>63</v>
      </c>
      <c r="AG1382" s="6">
        <v>46</v>
      </c>
      <c r="AH1382" s="7">
        <v>0.7742</v>
      </c>
      <c r="AI1382" s="4"/>
      <c r="AJ1382" s="4">
        <f>=ROUNDDOWN({0},0)</f>
      </c>
      <c r="AK1382" s="5"/>
      <c r="AL1382" s="2" t="s">
        <v>235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235</v>
      </c>
      <c r="AW1382" s="8" t="s">
        <v>235</v>
      </c>
      <c r="AX1382" s="4" t="s">
        <v>235</v>
      </c>
      <c r="AY1382" s="8" t="s">
        <v>235</v>
      </c>
      <c r="AZ1382" s="7" t="s">
        <v>235</v>
      </c>
      <c r="BA1382" s="7" t="s">
        <v>235</v>
      </c>
      <c r="BB1382" s="7"/>
      <c r="BC1382" s="4" t="s">
        <v>235</v>
      </c>
      <c r="BD1382" s="8" t="s">
        <v>235</v>
      </c>
      <c r="BE1382" s="4" t="s">
        <v>235</v>
      </c>
      <c r="BF1382" s="8" t="s">
        <v>235</v>
      </c>
      <c r="BG1382" s="7" t="s">
        <v>235</v>
      </c>
      <c r="BH1382" s="7" t="s">
        <v>235</v>
      </c>
      <c r="BI1382" s="7"/>
      <c r="BJ1382" s="4">
        <v>2</v>
      </c>
      <c r="BK1382" s="8">
        <v>30.78</v>
      </c>
      <c r="BL1382" s="2" t="s">
        <v>4328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5309</v>
      </c>
      <c r="BV1382" s="2" t="s">
        <v>243</v>
      </c>
      <c r="BW1382" s="2" t="s">
        <v>235</v>
      </c>
      <c r="BX1382" s="2" t="s">
        <v>414</v>
      </c>
      <c r="BY1382" s="2" t="s">
        <v>245</v>
      </c>
      <c r="BZ1382" s="2" t="s">
        <v>232</v>
      </c>
      <c r="CA1382" s="2" t="s">
        <v>5310</v>
      </c>
      <c r="CB1382" s="2" t="s">
        <v>235</v>
      </c>
      <c r="CC1382" s="2" t="s">
        <v>248</v>
      </c>
      <c r="CD1382" s="2" t="s">
        <v>248</v>
      </c>
      <c r="CE1382" s="2" t="s">
        <v>235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>
        <v>44</v>
      </c>
      <c r="GE1382" s="4">
        <v>35</v>
      </c>
      <c r="GF1382" s="4">
        <v>31</v>
      </c>
      <c r="GG1382" s="4">
        <v>27</v>
      </c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19">
        <v>1.3</v>
      </c>
      <c r="HE1382" s="19">
        <v>1.2</v>
      </c>
      <c r="HF1382" s="19">
        <v>1.1</v>
      </c>
      <c r="HG1382" s="19">
        <v>1</v>
      </c>
      <c r="HH1382" s="20">
        <v>0</v>
      </c>
      <c r="HI1382" s="20">
        <v>0</v>
      </c>
      <c r="HJ1382" s="20">
        <v>0</v>
      </c>
      <c r="HK1382" s="20">
        <v>0</v>
      </c>
      <c r="HL1382" s="20">
        <v>0</v>
      </c>
      <c r="HM1382" s="20">
        <v>0</v>
      </c>
      <c r="HN1382" s="20">
        <v>0</v>
      </c>
      <c r="HO1382" s="20">
        <v>0</v>
      </c>
      <c r="HP1382" s="20">
        <v>0</v>
      </c>
      <c r="HQ1382" s="20">
        <v>0</v>
      </c>
      <c r="HR1382" s="20">
        <v>0</v>
      </c>
      <c r="HS1382" s="20">
        <v>0</v>
      </c>
      <c r="HT1382" s="20">
        <v>0</v>
      </c>
      <c r="HU1382" s="20">
        <v>0</v>
      </c>
      <c r="HV1382" s="20">
        <v>0</v>
      </c>
      <c r="HW1382" s="20">
        <v>0</v>
      </c>
      <c r="HX1382" s="20">
        <v>0</v>
      </c>
      <c r="HY1382" s="20">
        <v>0</v>
      </c>
      <c r="HZ1382" s="20">
        <v>0</v>
      </c>
      <c r="IA1382" s="20">
        <v>0</v>
      </c>
      <c r="IB1382" s="20">
        <v>0</v>
      </c>
      <c r="IC1382" s="20">
        <v>0</v>
      </c>
    </row>
    <row r="1383">
      <c r="A1383" s="2" t="s">
        <v>5319</v>
      </c>
      <c r="B1383" s="2" t="s">
        <v>871</v>
      </c>
      <c r="C1383" s="2" t="s">
        <v>606</v>
      </c>
      <c r="D1383" s="2" t="s">
        <v>906</v>
      </c>
      <c r="E1383" s="2" t="s">
        <v>1301</v>
      </c>
      <c r="F1383" s="2" t="s">
        <v>5301</v>
      </c>
      <c r="G1383" s="2" t="s">
        <v>5301</v>
      </c>
      <c r="H1383" s="2" t="s">
        <v>5301</v>
      </c>
      <c r="I1383" s="2" t="s">
        <v>5307</v>
      </c>
      <c r="J1383" s="2" t="s">
        <v>372</v>
      </c>
      <c r="K1383" s="2" t="s">
        <v>2029</v>
      </c>
      <c r="L1383" s="3">
        <v>20.23</v>
      </c>
      <c r="M1383" s="3">
        <v>21.24</v>
      </c>
      <c r="N1383" s="3">
        <v>42.49</v>
      </c>
      <c r="O1383" s="2" t="s">
        <v>485</v>
      </c>
      <c r="P1383" s="2" t="s">
        <v>408</v>
      </c>
      <c r="Q1383" s="2" t="s">
        <v>234</v>
      </c>
      <c r="R1383" s="2" t="s">
        <v>235</v>
      </c>
      <c r="S1383" s="2" t="s">
        <v>5318</v>
      </c>
      <c r="T1383" s="2" t="s">
        <v>501</v>
      </c>
      <c r="U1383" s="2" t="s">
        <v>552</v>
      </c>
      <c r="V1383" s="2" t="s">
        <v>238</v>
      </c>
      <c r="W1383" s="2" t="s">
        <v>682</v>
      </c>
      <c r="X1383" s="2" t="s">
        <v>1681</v>
      </c>
      <c r="Y1383" s="2" t="s">
        <v>5308</v>
      </c>
      <c r="Z1383" s="4">
        <v>30</v>
      </c>
      <c r="AA1383" s="4">
        <f>=ROUNDDOWN(2.30769230769231,0)</f>
      </c>
      <c r="AB1383" s="5">
        <v>13</v>
      </c>
      <c r="AC1383" s="2" t="s">
        <v>235</v>
      </c>
      <c r="AD1383" s="4"/>
      <c r="AE1383" s="4"/>
      <c r="AF1383" s="6">
        <v>63</v>
      </c>
      <c r="AG1383" s="6">
        <v>46</v>
      </c>
      <c r="AH1383" s="7">
        <v>1</v>
      </c>
      <c r="AI1383" s="4"/>
      <c r="AJ1383" s="4">
        <f>=ROUNDDOWN({0},0)</f>
      </c>
      <c r="AK1383" s="5"/>
      <c r="AL1383" s="2" t="s">
        <v>235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235</v>
      </c>
      <c r="AW1383" s="8" t="s">
        <v>235</v>
      </c>
      <c r="AX1383" s="4" t="s">
        <v>235</v>
      </c>
      <c r="AY1383" s="8" t="s">
        <v>235</v>
      </c>
      <c r="AZ1383" s="7" t="s">
        <v>235</v>
      </c>
      <c r="BA1383" s="7" t="s">
        <v>235</v>
      </c>
      <c r="BB1383" s="7"/>
      <c r="BC1383" s="4" t="s">
        <v>235</v>
      </c>
      <c r="BD1383" s="8" t="s">
        <v>235</v>
      </c>
      <c r="BE1383" s="4" t="s">
        <v>235</v>
      </c>
      <c r="BF1383" s="8" t="s">
        <v>235</v>
      </c>
      <c r="BG1383" s="7" t="s">
        <v>235</v>
      </c>
      <c r="BH1383" s="7" t="s">
        <v>235</v>
      </c>
      <c r="BI1383" s="7"/>
      <c r="BJ1383" s="4">
        <v>10</v>
      </c>
      <c r="BK1383" s="8">
        <v>218.93</v>
      </c>
      <c r="BL1383" s="2" t="s">
        <v>5320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5309</v>
      </c>
      <c r="BV1383" s="2" t="s">
        <v>243</v>
      </c>
      <c r="BW1383" s="2" t="s">
        <v>235</v>
      </c>
      <c r="BX1383" s="2" t="s">
        <v>414</v>
      </c>
      <c r="BY1383" s="2" t="s">
        <v>245</v>
      </c>
      <c r="BZ1383" s="2" t="s">
        <v>232</v>
      </c>
      <c r="CA1383" s="2" t="s">
        <v>5310</v>
      </c>
      <c r="CB1383" s="2" t="s">
        <v>3189</v>
      </c>
      <c r="CC1383" s="2" t="s">
        <v>248</v>
      </c>
      <c r="CD1383" s="2" t="s">
        <v>248</v>
      </c>
      <c r="CE1383" s="2" t="s">
        <v>235</v>
      </c>
      <c r="CF1383" s="4"/>
      <c r="CG1383" s="4"/>
      <c r="CH1383" s="4"/>
      <c r="CI1383" s="4">
        <v>30</v>
      </c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>
        <v>377</v>
      </c>
      <c r="GE1383" s="4">
        <v>353</v>
      </c>
      <c r="GF1383" s="4">
        <v>14</v>
      </c>
      <c r="GG1383" s="4">
        <v>4</v>
      </c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19">
        <v>3.5</v>
      </c>
      <c r="HE1383" s="19">
        <v>3.4</v>
      </c>
      <c r="HF1383" s="19">
        <v>0.9</v>
      </c>
      <c r="HG1383" s="19">
        <v>0.4</v>
      </c>
      <c r="HH1383" s="20">
        <v>0</v>
      </c>
      <c r="HI1383" s="20">
        <v>0</v>
      </c>
      <c r="HJ1383" s="20">
        <v>0</v>
      </c>
      <c r="HK1383" s="20">
        <v>0</v>
      </c>
      <c r="HL1383" s="20">
        <v>0</v>
      </c>
      <c r="HM1383" s="20">
        <v>0</v>
      </c>
      <c r="HN1383" s="20">
        <v>0</v>
      </c>
      <c r="HO1383" s="20">
        <v>0</v>
      </c>
      <c r="HP1383" s="20">
        <v>0</v>
      </c>
      <c r="HQ1383" s="20">
        <v>0</v>
      </c>
      <c r="HR1383" s="20">
        <v>0</v>
      </c>
      <c r="HS1383" s="20">
        <v>0</v>
      </c>
      <c r="HT1383" s="20">
        <v>0</v>
      </c>
      <c r="HU1383" s="20">
        <v>0</v>
      </c>
      <c r="HV1383" s="20">
        <v>0</v>
      </c>
      <c r="HW1383" s="20">
        <v>0</v>
      </c>
      <c r="HX1383" s="20">
        <v>0</v>
      </c>
      <c r="HY1383" s="20">
        <v>0</v>
      </c>
      <c r="HZ1383" s="20">
        <v>0</v>
      </c>
      <c r="IA1383" s="20">
        <v>0</v>
      </c>
      <c r="IB1383" s="20">
        <v>0</v>
      </c>
      <c r="IC1383" s="20">
        <v>0</v>
      </c>
    </row>
    <row r="1384">
      <c r="A1384" s="2" t="s">
        <v>5321</v>
      </c>
      <c r="B1384" s="2" t="s">
        <v>1529</v>
      </c>
      <c r="C1384" s="2" t="s">
        <v>1381</v>
      </c>
      <c r="D1384" s="2" t="s">
        <v>1417</v>
      </c>
      <c r="E1384" s="2" t="s">
        <v>1530</v>
      </c>
      <c r="F1384" s="2" t="s">
        <v>5322</v>
      </c>
      <c r="G1384" s="2" t="s">
        <v>5322</v>
      </c>
      <c r="H1384" s="2" t="s">
        <v>5322</v>
      </c>
      <c r="I1384" s="2" t="s">
        <v>5323</v>
      </c>
      <c r="J1384" s="2" t="s">
        <v>897</v>
      </c>
      <c r="K1384" s="2" t="s">
        <v>4164</v>
      </c>
      <c r="L1384" s="3">
        <v>463.57</v>
      </c>
      <c r="M1384" s="3">
        <v>486.75</v>
      </c>
      <c r="N1384" s="3">
        <v>1299</v>
      </c>
      <c r="O1384" s="2" t="s">
        <v>232</v>
      </c>
      <c r="P1384" s="2" t="s">
        <v>1533</v>
      </c>
      <c r="Q1384" s="2" t="s">
        <v>492</v>
      </c>
      <c r="R1384" s="2" t="s">
        <v>235</v>
      </c>
      <c r="S1384" s="2" t="s">
        <v>235</v>
      </c>
      <c r="T1384" s="2" t="s">
        <v>235</v>
      </c>
      <c r="U1384" s="2" t="s">
        <v>807</v>
      </c>
      <c r="V1384" s="2" t="s">
        <v>238</v>
      </c>
      <c r="W1384" s="2" t="s">
        <v>235</v>
      </c>
      <c r="X1384" s="2" t="s">
        <v>235</v>
      </c>
      <c r="Y1384" s="2" t="s">
        <v>1534</v>
      </c>
      <c r="Z1384" s="4">
        <v>17</v>
      </c>
      <c r="AA1384" s="4">
        <f>=ROUNDDOWN({0},0)</f>
      </c>
      <c r="AB1384" s="5"/>
      <c r="AC1384" s="2" t="s">
        <v>235</v>
      </c>
      <c r="AD1384" s="4"/>
      <c r="AE1384" s="4"/>
      <c r="AF1384" s="6"/>
      <c r="AG1384" s="6"/>
      <c r="AH1384" s="7">
        <v>1</v>
      </c>
      <c r="AI1384" s="4"/>
      <c r="AJ1384" s="4">
        <f>=ROUNDDOWN({0},0)</f>
      </c>
      <c r="AK1384" s="5"/>
      <c r="AL1384" s="2" t="s">
        <v>235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 t="s">
        <v>235</v>
      </c>
      <c r="BD1384" s="8" t="s">
        <v>235</v>
      </c>
      <c r="BE1384" s="4" t="s">
        <v>235</v>
      </c>
      <c r="BF1384" s="8" t="s">
        <v>235</v>
      </c>
      <c r="BG1384" s="7" t="s">
        <v>235</v>
      </c>
      <c r="BH1384" s="7" t="s">
        <v>235</v>
      </c>
      <c r="BI1384" s="7"/>
      <c r="BJ1384" s="4"/>
      <c r="BK1384" s="8"/>
      <c r="BL1384" s="2" t="s">
        <v>235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5324</v>
      </c>
      <c r="BV1384" s="2" t="s">
        <v>1448</v>
      </c>
      <c r="BW1384" s="2" t="s">
        <v>235</v>
      </c>
      <c r="BX1384" s="2" t="s">
        <v>244</v>
      </c>
      <c r="BY1384" s="2" t="s">
        <v>245</v>
      </c>
      <c r="BZ1384" s="2" t="s">
        <v>232</v>
      </c>
      <c r="CA1384" s="2" t="s">
        <v>941</v>
      </c>
      <c r="CB1384" s="2" t="s">
        <v>235</v>
      </c>
      <c r="CC1384" s="2" t="s">
        <v>248</v>
      </c>
      <c r="CD1384" s="2" t="s">
        <v>248</v>
      </c>
      <c r="CE1384" s="2" t="s">
        <v>235</v>
      </c>
      <c r="CF1384" s="4"/>
      <c r="CG1384" s="4">
        <v>9</v>
      </c>
      <c r="CH1384" s="4"/>
      <c r="CI1384" s="4">
        <v>8</v>
      </c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9"/>
      <c r="HE1384" s="9"/>
      <c r="HF1384" s="9"/>
      <c r="HG1384" s="9"/>
      <c r="HH1384" s="9"/>
      <c r="HI1384" s="9"/>
      <c r="HJ1384" s="9"/>
      <c r="HK1384" s="9"/>
      <c r="HL1384" s="9"/>
      <c r="HM1384" s="9"/>
      <c r="HN1384" s="9"/>
      <c r="HO1384" s="9"/>
      <c r="HP1384" s="9"/>
      <c r="HQ1384" s="9"/>
      <c r="HR1384" s="9"/>
      <c r="HS1384" s="9"/>
      <c r="HT1384" s="9"/>
      <c r="HU1384" s="9"/>
      <c r="HV1384" s="9"/>
      <c r="HW1384" s="9"/>
      <c r="HX1384" s="9"/>
      <c r="HY1384" s="9"/>
      <c r="HZ1384" s="9"/>
      <c r="IA1384" s="9"/>
      <c r="IB1384" s="9"/>
      <c r="IC1384" s="9"/>
    </row>
    <row r="1385">
      <c r="A1385" s="2" t="s">
        <v>5325</v>
      </c>
      <c r="B1385" s="2" t="s">
        <v>1529</v>
      </c>
      <c r="C1385" s="2" t="s">
        <v>1381</v>
      </c>
      <c r="D1385" s="2" t="s">
        <v>1417</v>
      </c>
      <c r="E1385" s="2" t="s">
        <v>1530</v>
      </c>
      <c r="F1385" s="2" t="s">
        <v>5322</v>
      </c>
      <c r="G1385" s="2" t="s">
        <v>5322</v>
      </c>
      <c r="H1385" s="2" t="s">
        <v>5322</v>
      </c>
      <c r="I1385" s="2" t="s">
        <v>5323</v>
      </c>
      <c r="J1385" s="2" t="s">
        <v>897</v>
      </c>
      <c r="K1385" s="2" t="s">
        <v>1238</v>
      </c>
      <c r="L1385" s="3">
        <v>463.57</v>
      </c>
      <c r="M1385" s="3">
        <v>486.75</v>
      </c>
      <c r="N1385" s="3">
        <v>1299</v>
      </c>
      <c r="O1385" s="2" t="s">
        <v>232</v>
      </c>
      <c r="P1385" s="2" t="s">
        <v>1533</v>
      </c>
      <c r="Q1385" s="2" t="s">
        <v>492</v>
      </c>
      <c r="R1385" s="2" t="s">
        <v>235</v>
      </c>
      <c r="S1385" s="2" t="s">
        <v>235</v>
      </c>
      <c r="T1385" s="2" t="s">
        <v>235</v>
      </c>
      <c r="U1385" s="2" t="s">
        <v>807</v>
      </c>
      <c r="V1385" s="2" t="s">
        <v>238</v>
      </c>
      <c r="W1385" s="2" t="s">
        <v>235</v>
      </c>
      <c r="X1385" s="2" t="s">
        <v>235</v>
      </c>
      <c r="Y1385" s="2" t="s">
        <v>1534</v>
      </c>
      <c r="Z1385" s="4">
        <v>56</v>
      </c>
      <c r="AA1385" s="4">
        <f>=ROUNDDOWN({0},0)</f>
      </c>
      <c r="AB1385" s="5"/>
      <c r="AC1385" s="2" t="s">
        <v>235</v>
      </c>
      <c r="AD1385" s="4"/>
      <c r="AE1385" s="4"/>
      <c r="AF1385" s="6"/>
      <c r="AG1385" s="6"/>
      <c r="AH1385" s="7">
        <v>1</v>
      </c>
      <c r="AI1385" s="4"/>
      <c r="AJ1385" s="4">
        <f>=ROUNDDOWN({0},0)</f>
      </c>
      <c r="AK1385" s="5"/>
      <c r="AL1385" s="2" t="s">
        <v>235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 t="s">
        <v>235</v>
      </c>
      <c r="BD1385" s="8" t="s">
        <v>235</v>
      </c>
      <c r="BE1385" s="4" t="s">
        <v>235</v>
      </c>
      <c r="BF1385" s="8" t="s">
        <v>235</v>
      </c>
      <c r="BG1385" s="7" t="s">
        <v>235</v>
      </c>
      <c r="BH1385" s="7" t="s">
        <v>235</v>
      </c>
      <c r="BI1385" s="7"/>
      <c r="BJ1385" s="4"/>
      <c r="BK1385" s="8"/>
      <c r="BL1385" s="2" t="s">
        <v>235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5324</v>
      </c>
      <c r="BV1385" s="2" t="s">
        <v>1448</v>
      </c>
      <c r="BW1385" s="2" t="s">
        <v>235</v>
      </c>
      <c r="BX1385" s="2" t="s">
        <v>244</v>
      </c>
      <c r="BY1385" s="2" t="s">
        <v>245</v>
      </c>
      <c r="BZ1385" s="2" t="s">
        <v>232</v>
      </c>
      <c r="CA1385" s="2" t="s">
        <v>941</v>
      </c>
      <c r="CB1385" s="2" t="s">
        <v>235</v>
      </c>
      <c r="CC1385" s="2" t="s">
        <v>248</v>
      </c>
      <c r="CD1385" s="2" t="s">
        <v>248</v>
      </c>
      <c r="CE1385" s="2" t="s">
        <v>235</v>
      </c>
      <c r="CF1385" s="4"/>
      <c r="CG1385" s="4">
        <v>52</v>
      </c>
      <c r="CH1385" s="4"/>
      <c r="CI1385" s="4">
        <v>4</v>
      </c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9"/>
      <c r="HE1385" s="9"/>
      <c r="HF1385" s="9"/>
      <c r="HG1385" s="9"/>
      <c r="HH1385" s="9"/>
      <c r="HI1385" s="9"/>
      <c r="HJ1385" s="9"/>
      <c r="HK1385" s="9"/>
      <c r="HL1385" s="9"/>
      <c r="HM1385" s="9"/>
      <c r="HN1385" s="9"/>
      <c r="HO1385" s="9"/>
      <c r="HP1385" s="9"/>
      <c r="HQ1385" s="9"/>
      <c r="HR1385" s="9"/>
      <c r="HS1385" s="9"/>
      <c r="HT1385" s="9"/>
      <c r="HU1385" s="9"/>
      <c r="HV1385" s="9"/>
      <c r="HW1385" s="9"/>
      <c r="HX1385" s="9"/>
      <c r="HY1385" s="9"/>
      <c r="HZ1385" s="9"/>
      <c r="IA1385" s="9"/>
      <c r="IB1385" s="9"/>
      <c r="IC1385" s="9"/>
    </row>
    <row r="1386">
      <c r="A1386" s="2" t="s">
        <v>5326</v>
      </c>
      <c r="B1386" s="2" t="s">
        <v>1529</v>
      </c>
      <c r="C1386" s="2" t="s">
        <v>1381</v>
      </c>
      <c r="D1386" s="2" t="s">
        <v>1417</v>
      </c>
      <c r="E1386" s="2" t="s">
        <v>1530</v>
      </c>
      <c r="F1386" s="2" t="s">
        <v>5322</v>
      </c>
      <c r="G1386" s="2" t="s">
        <v>5322</v>
      </c>
      <c r="H1386" s="2" t="s">
        <v>5322</v>
      </c>
      <c r="I1386" s="2" t="s">
        <v>5323</v>
      </c>
      <c r="J1386" s="2" t="s">
        <v>897</v>
      </c>
      <c r="K1386" s="2" t="s">
        <v>5327</v>
      </c>
      <c r="L1386" s="3">
        <v>463.57</v>
      </c>
      <c r="M1386" s="3">
        <v>486.75</v>
      </c>
      <c r="N1386" s="3">
        <v>1299</v>
      </c>
      <c r="O1386" s="2" t="s">
        <v>232</v>
      </c>
      <c r="P1386" s="2" t="s">
        <v>1533</v>
      </c>
      <c r="Q1386" s="2" t="s">
        <v>492</v>
      </c>
      <c r="R1386" s="2" t="s">
        <v>235</v>
      </c>
      <c r="S1386" s="2" t="s">
        <v>235</v>
      </c>
      <c r="T1386" s="2" t="s">
        <v>235</v>
      </c>
      <c r="U1386" s="2" t="s">
        <v>807</v>
      </c>
      <c r="V1386" s="2" t="s">
        <v>238</v>
      </c>
      <c r="W1386" s="2" t="s">
        <v>235</v>
      </c>
      <c r="X1386" s="2" t="s">
        <v>235</v>
      </c>
      <c r="Y1386" s="2" t="s">
        <v>1534</v>
      </c>
      <c r="Z1386" s="4">
        <v>33</v>
      </c>
      <c r="AA1386" s="4">
        <f>=ROUNDDOWN({0},0)</f>
      </c>
      <c r="AB1386" s="5"/>
      <c r="AC1386" s="2" t="s">
        <v>235</v>
      </c>
      <c r="AD1386" s="4"/>
      <c r="AE1386" s="4"/>
      <c r="AF1386" s="6"/>
      <c r="AG1386" s="6"/>
      <c r="AH1386" s="7">
        <v>1</v>
      </c>
      <c r="AI1386" s="4"/>
      <c r="AJ1386" s="4">
        <f>=ROUNDDOWN({0},0)</f>
      </c>
      <c r="AK1386" s="5"/>
      <c r="AL1386" s="2" t="s">
        <v>235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 t="s">
        <v>235</v>
      </c>
      <c r="BD1386" s="8" t="s">
        <v>235</v>
      </c>
      <c r="BE1386" s="4" t="s">
        <v>235</v>
      </c>
      <c r="BF1386" s="8" t="s">
        <v>235</v>
      </c>
      <c r="BG1386" s="7" t="s">
        <v>235</v>
      </c>
      <c r="BH1386" s="7" t="s">
        <v>235</v>
      </c>
      <c r="BI1386" s="7"/>
      <c r="BJ1386" s="4"/>
      <c r="BK1386" s="8"/>
      <c r="BL1386" s="2" t="s">
        <v>235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5324</v>
      </c>
      <c r="BV1386" s="2" t="s">
        <v>1448</v>
      </c>
      <c r="BW1386" s="2" t="s">
        <v>235</v>
      </c>
      <c r="BX1386" s="2" t="s">
        <v>244</v>
      </c>
      <c r="BY1386" s="2" t="s">
        <v>245</v>
      </c>
      <c r="BZ1386" s="2" t="s">
        <v>232</v>
      </c>
      <c r="CA1386" s="2" t="s">
        <v>941</v>
      </c>
      <c r="CB1386" s="2" t="s">
        <v>235</v>
      </c>
      <c r="CC1386" s="2" t="s">
        <v>248</v>
      </c>
      <c r="CD1386" s="2" t="s">
        <v>248</v>
      </c>
      <c r="CE1386" s="2" t="s">
        <v>235</v>
      </c>
      <c r="CF1386" s="4"/>
      <c r="CG1386" s="4">
        <v>27</v>
      </c>
      <c r="CH1386" s="4"/>
      <c r="CI1386" s="4">
        <v>6</v>
      </c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9"/>
      <c r="HE1386" s="9"/>
      <c r="HF1386" s="9"/>
      <c r="HG1386" s="9"/>
      <c r="HH1386" s="9"/>
      <c r="HI1386" s="9"/>
      <c r="HJ1386" s="9"/>
      <c r="HK1386" s="9"/>
      <c r="HL1386" s="9"/>
      <c r="HM1386" s="9"/>
      <c r="HN1386" s="9"/>
      <c r="HO1386" s="9"/>
      <c r="HP1386" s="9"/>
      <c r="HQ1386" s="9"/>
      <c r="HR1386" s="9"/>
      <c r="HS1386" s="9"/>
      <c r="HT1386" s="9"/>
      <c r="HU1386" s="9"/>
      <c r="HV1386" s="9"/>
      <c r="HW1386" s="9"/>
      <c r="HX1386" s="9"/>
      <c r="HY1386" s="9"/>
      <c r="HZ1386" s="9"/>
      <c r="IA1386" s="9"/>
      <c r="IB1386" s="9"/>
      <c r="IC1386" s="9"/>
    </row>
    <row r="1387">
      <c r="A1387" s="2" t="s">
        <v>5328</v>
      </c>
      <c r="B1387" s="2" t="s">
        <v>905</v>
      </c>
      <c r="C1387" s="2" t="s">
        <v>853</v>
      </c>
      <c r="D1387" s="2" t="s">
        <v>361</v>
      </c>
      <c r="E1387" s="2" t="s">
        <v>924</v>
      </c>
      <c r="F1387" s="2" t="s">
        <v>5329</v>
      </c>
      <c r="G1387" s="2" t="s">
        <v>5330</v>
      </c>
      <c r="H1387" s="2" t="s">
        <v>5330</v>
      </c>
      <c r="I1387" s="2" t="s">
        <v>5331</v>
      </c>
      <c r="J1387" s="2" t="s">
        <v>372</v>
      </c>
      <c r="K1387" s="2" t="s">
        <v>861</v>
      </c>
      <c r="L1387" s="3">
        <v>46.37</v>
      </c>
      <c r="M1387" s="3">
        <v>48.69</v>
      </c>
      <c r="N1387" s="3">
        <v>104.99</v>
      </c>
      <c r="O1387" s="2" t="s">
        <v>232</v>
      </c>
      <c r="P1387" s="2" t="s">
        <v>233</v>
      </c>
      <c r="Q1387" s="2" t="s">
        <v>234</v>
      </c>
      <c r="R1387" s="2" t="s">
        <v>235</v>
      </c>
      <c r="S1387" s="2" t="s">
        <v>5332</v>
      </c>
      <c r="T1387" s="2" t="s">
        <v>912</v>
      </c>
      <c r="U1387" s="2" t="s">
        <v>552</v>
      </c>
      <c r="V1387" s="2" t="s">
        <v>238</v>
      </c>
      <c r="W1387" s="2" t="s">
        <v>329</v>
      </c>
      <c r="X1387" s="2" t="s">
        <v>682</v>
      </c>
      <c r="Y1387" s="2" t="s">
        <v>5333</v>
      </c>
      <c r="Z1387" s="4">
        <v>528</v>
      </c>
      <c r="AA1387" s="4">
        <f>=ROUNDDOWN(310.588235294118,0)</f>
      </c>
      <c r="AB1387" s="5">
        <v>1.7</v>
      </c>
      <c r="AC1387" s="2" t="s">
        <v>235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235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 t="s">
        <v>235</v>
      </c>
      <c r="BD1387" s="8" t="s">
        <v>235</v>
      </c>
      <c r="BE1387" s="4" t="s">
        <v>235</v>
      </c>
      <c r="BF1387" s="8" t="s">
        <v>235</v>
      </c>
      <c r="BG1387" s="7" t="s">
        <v>235</v>
      </c>
      <c r="BH1387" s="7" t="s">
        <v>235</v>
      </c>
      <c r="BI1387" s="7"/>
      <c r="BJ1387" s="4">
        <v>6</v>
      </c>
      <c r="BK1387" s="8">
        <v>271.55</v>
      </c>
      <c r="BL1387" s="2" t="s">
        <v>5334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5335</v>
      </c>
      <c r="BV1387" s="2" t="s">
        <v>243</v>
      </c>
      <c r="BW1387" s="2" t="s">
        <v>235</v>
      </c>
      <c r="BX1387" s="2" t="s">
        <v>685</v>
      </c>
      <c r="BY1387" s="2" t="s">
        <v>245</v>
      </c>
      <c r="BZ1387" s="2" t="s">
        <v>232</v>
      </c>
      <c r="CA1387" s="2" t="s">
        <v>3774</v>
      </c>
      <c r="CB1387" s="2" t="s">
        <v>5336</v>
      </c>
      <c r="CC1387" s="2" t="s">
        <v>248</v>
      </c>
      <c r="CD1387" s="2" t="s">
        <v>248</v>
      </c>
      <c r="CE1387" s="2" t="s">
        <v>235</v>
      </c>
      <c r="CF1387" s="4">
        <v>403</v>
      </c>
      <c r="CG1387" s="4"/>
      <c r="CH1387" s="4"/>
      <c r="CI1387" s="4">
        <v>125</v>
      </c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>
        <v>528</v>
      </c>
      <c r="GE1387" s="4">
        <v>515</v>
      </c>
      <c r="GF1387" s="4">
        <v>512</v>
      </c>
      <c r="GG1387" s="4">
        <v>509</v>
      </c>
      <c r="GH1387" s="4">
        <v>505</v>
      </c>
      <c r="GI1387" s="4">
        <v>496</v>
      </c>
      <c r="GJ1387" s="4">
        <v>484</v>
      </c>
      <c r="GK1387" s="4">
        <v>473</v>
      </c>
      <c r="GL1387" s="4">
        <v>461</v>
      </c>
      <c r="GM1387" s="4">
        <v>452</v>
      </c>
      <c r="GN1387" s="4">
        <v>444</v>
      </c>
      <c r="GO1387" s="4">
        <v>432</v>
      </c>
      <c r="GP1387" s="4">
        <v>418</v>
      </c>
      <c r="GQ1387" s="4">
        <v>391</v>
      </c>
      <c r="GR1387" s="4">
        <v>368</v>
      </c>
      <c r="GS1387" s="4">
        <v>345</v>
      </c>
      <c r="GT1387" s="4">
        <v>331</v>
      </c>
      <c r="GU1387" s="4">
        <v>322</v>
      </c>
      <c r="GV1387" s="4">
        <v>314</v>
      </c>
      <c r="GW1387" s="4">
        <v>306</v>
      </c>
      <c r="GX1387" s="4">
        <v>298</v>
      </c>
      <c r="GY1387" s="4">
        <v>292</v>
      </c>
      <c r="GZ1387" s="4">
        <v>290</v>
      </c>
      <c r="HA1387" s="4">
        <v>288</v>
      </c>
      <c r="HB1387" s="4">
        <v>286</v>
      </c>
      <c r="HC1387" s="4">
        <v>284</v>
      </c>
      <c r="HD1387" s="19">
        <v>88</v>
      </c>
      <c r="HE1387" s="19">
        <v>103</v>
      </c>
      <c r="HF1387" s="19">
        <v>73.1</v>
      </c>
      <c r="HG1387" s="19">
        <v>56.6</v>
      </c>
      <c r="HH1387" s="19">
        <v>45.9</v>
      </c>
      <c r="HI1387" s="19">
        <v>45.1</v>
      </c>
      <c r="HJ1387" s="19">
        <v>48.4</v>
      </c>
      <c r="HK1387" s="19">
        <v>47.3</v>
      </c>
      <c r="HL1387" s="19">
        <v>41.9</v>
      </c>
      <c r="HM1387" s="19">
        <v>30.1</v>
      </c>
      <c r="HN1387" s="19">
        <v>23.4</v>
      </c>
      <c r="HO1387" s="19">
        <v>19.6</v>
      </c>
      <c r="HP1387" s="19">
        <v>19</v>
      </c>
      <c r="HQ1387" s="19">
        <v>23</v>
      </c>
      <c r="HR1387" s="19">
        <v>26.3</v>
      </c>
      <c r="HS1387" s="19">
        <v>34.5</v>
      </c>
      <c r="HT1387" s="19">
        <v>41.4</v>
      </c>
      <c r="HU1387" s="19">
        <v>40.3</v>
      </c>
      <c r="HV1387" s="19">
        <v>52.3</v>
      </c>
      <c r="HW1387" s="19">
        <v>76.5</v>
      </c>
      <c r="HX1387" s="19">
        <v>99.3</v>
      </c>
      <c r="HY1387" s="19">
        <v>146</v>
      </c>
      <c r="HZ1387" s="19">
        <v>145</v>
      </c>
      <c r="IA1387" s="19">
        <v>144</v>
      </c>
      <c r="IB1387" s="19">
        <v>143</v>
      </c>
      <c r="IC1387" s="19">
        <v>142</v>
      </c>
    </row>
    <row r="1388">
      <c r="A1388" s="2" t="s">
        <v>5337</v>
      </c>
      <c r="B1388" s="2" t="s">
        <v>905</v>
      </c>
      <c r="C1388" s="2" t="s">
        <v>853</v>
      </c>
      <c r="D1388" s="2" t="s">
        <v>906</v>
      </c>
      <c r="E1388" s="2" t="s">
        <v>907</v>
      </c>
      <c r="F1388" s="2" t="s">
        <v>5329</v>
      </c>
      <c r="G1388" s="2" t="s">
        <v>5330</v>
      </c>
      <c r="H1388" s="2" t="s">
        <v>5330</v>
      </c>
      <c r="I1388" s="2" t="s">
        <v>5338</v>
      </c>
      <c r="J1388" s="2" t="s">
        <v>394</v>
      </c>
      <c r="K1388" s="2" t="s">
        <v>378</v>
      </c>
      <c r="L1388" s="3">
        <v>25.8</v>
      </c>
      <c r="M1388" s="3">
        <v>27.09</v>
      </c>
      <c r="N1388" s="3">
        <v>59.99</v>
      </c>
      <c r="O1388" s="2" t="s">
        <v>407</v>
      </c>
      <c r="P1388" s="2" t="s">
        <v>408</v>
      </c>
      <c r="Q1388" s="2" t="s">
        <v>234</v>
      </c>
      <c r="R1388" s="2" t="s">
        <v>235</v>
      </c>
      <c r="S1388" s="2" t="s">
        <v>5339</v>
      </c>
      <c r="T1388" s="2" t="s">
        <v>912</v>
      </c>
      <c r="U1388" s="2" t="s">
        <v>278</v>
      </c>
      <c r="V1388" s="2" t="s">
        <v>238</v>
      </c>
      <c r="W1388" s="2" t="s">
        <v>329</v>
      </c>
      <c r="X1388" s="2" t="s">
        <v>682</v>
      </c>
      <c r="Y1388" s="2" t="s">
        <v>5340</v>
      </c>
      <c r="Z1388" s="4">
        <v>251</v>
      </c>
      <c r="AA1388" s="4">
        <f>=ROUNDDOWN(358.571428571429,0)</f>
      </c>
      <c r="AB1388" s="5">
        <v>0.7</v>
      </c>
      <c r="AC1388" s="2" t="s">
        <v>235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235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235</v>
      </c>
      <c r="BD1388" s="8" t="s">
        <v>235</v>
      </c>
      <c r="BE1388" s="4" t="s">
        <v>235</v>
      </c>
      <c r="BF1388" s="8" t="s">
        <v>235</v>
      </c>
      <c r="BG1388" s="7" t="s">
        <v>235</v>
      </c>
      <c r="BH1388" s="7" t="s">
        <v>235</v>
      </c>
      <c r="BI1388" s="7"/>
      <c r="BJ1388" s="4">
        <v>2</v>
      </c>
      <c r="BK1388" s="8">
        <v>56.11</v>
      </c>
      <c r="BL1388" s="2" t="s">
        <v>602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5341</v>
      </c>
      <c r="BV1388" s="2" t="s">
        <v>243</v>
      </c>
      <c r="BW1388" s="2" t="s">
        <v>235</v>
      </c>
      <c r="BX1388" s="2" t="s">
        <v>414</v>
      </c>
      <c r="BY1388" s="2" t="s">
        <v>245</v>
      </c>
      <c r="BZ1388" s="2" t="s">
        <v>232</v>
      </c>
      <c r="CA1388" s="2" t="s">
        <v>3493</v>
      </c>
      <c r="CB1388" s="2" t="s">
        <v>5342</v>
      </c>
      <c r="CC1388" s="2" t="s">
        <v>248</v>
      </c>
      <c r="CD1388" s="2" t="s">
        <v>248</v>
      </c>
      <c r="CE1388" s="2" t="s">
        <v>235</v>
      </c>
      <c r="CF1388" s="4">
        <v>71</v>
      </c>
      <c r="CG1388" s="4">
        <v>54</v>
      </c>
      <c r="CH1388" s="4"/>
      <c r="CI1388" s="4">
        <v>126</v>
      </c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>
        <v>252</v>
      </c>
      <c r="GE1388" s="4">
        <v>250</v>
      </c>
      <c r="GF1388" s="4">
        <v>249</v>
      </c>
      <c r="GG1388" s="4">
        <v>247</v>
      </c>
      <c r="GH1388" s="4">
        <v>245</v>
      </c>
      <c r="GI1388" s="4">
        <v>242</v>
      </c>
      <c r="GJ1388" s="4">
        <v>240</v>
      </c>
      <c r="GK1388" s="4">
        <v>236</v>
      </c>
      <c r="GL1388" s="4">
        <v>231</v>
      </c>
      <c r="GM1388" s="4">
        <v>228</v>
      </c>
      <c r="GN1388" s="4">
        <v>224</v>
      </c>
      <c r="GO1388" s="4">
        <v>221</v>
      </c>
      <c r="GP1388" s="4">
        <v>215</v>
      </c>
      <c r="GQ1388" s="4">
        <v>198</v>
      </c>
      <c r="GR1388" s="4">
        <v>183</v>
      </c>
      <c r="GS1388" s="4">
        <v>176</v>
      </c>
      <c r="GT1388" s="4">
        <v>173</v>
      </c>
      <c r="GU1388" s="4">
        <v>171</v>
      </c>
      <c r="GV1388" s="4">
        <v>170</v>
      </c>
      <c r="GW1388" s="4">
        <v>169</v>
      </c>
      <c r="GX1388" s="4">
        <v>168</v>
      </c>
      <c r="GY1388" s="4">
        <v>167</v>
      </c>
      <c r="GZ1388" s="4">
        <v>166</v>
      </c>
      <c r="HA1388" s="4">
        <v>165</v>
      </c>
      <c r="HB1388" s="4">
        <v>164</v>
      </c>
      <c r="HC1388" s="4">
        <v>163</v>
      </c>
      <c r="HD1388" s="19">
        <v>126</v>
      </c>
      <c r="HE1388" s="19">
        <v>125</v>
      </c>
      <c r="HF1388" s="19">
        <v>124.5</v>
      </c>
      <c r="HG1388" s="19">
        <v>82.3</v>
      </c>
      <c r="HH1388" s="19">
        <v>61.3</v>
      </c>
      <c r="HI1388" s="19">
        <v>60.5</v>
      </c>
      <c r="HJ1388" s="19">
        <v>60</v>
      </c>
      <c r="HK1388" s="19">
        <v>59</v>
      </c>
      <c r="HL1388" s="19">
        <v>57.8</v>
      </c>
      <c r="HM1388" s="19">
        <v>28.5</v>
      </c>
      <c r="HN1388" s="19">
        <v>22.4</v>
      </c>
      <c r="HO1388" s="19">
        <v>20.1</v>
      </c>
      <c r="HP1388" s="19">
        <v>21.5</v>
      </c>
      <c r="HQ1388" s="19">
        <v>28.3</v>
      </c>
      <c r="HR1388" s="19">
        <v>61</v>
      </c>
      <c r="HS1388" s="19">
        <v>88</v>
      </c>
      <c r="HT1388" s="19">
        <v>173</v>
      </c>
      <c r="HU1388" s="19">
        <v>171</v>
      </c>
      <c r="HV1388" s="19">
        <v>170</v>
      </c>
      <c r="HW1388" s="19">
        <v>169</v>
      </c>
      <c r="HX1388" s="19">
        <v>168</v>
      </c>
      <c r="HY1388" s="19">
        <v>167</v>
      </c>
      <c r="HZ1388" s="19">
        <v>166</v>
      </c>
      <c r="IA1388" s="19">
        <v>165</v>
      </c>
      <c r="IB1388" s="19">
        <v>164</v>
      </c>
      <c r="IC1388" s="19">
        <v>163</v>
      </c>
    </row>
    <row r="1389">
      <c r="A1389" s="2" t="s">
        <v>5343</v>
      </c>
      <c r="B1389" s="2" t="s">
        <v>905</v>
      </c>
      <c r="C1389" s="2" t="s">
        <v>853</v>
      </c>
      <c r="D1389" s="2" t="s">
        <v>361</v>
      </c>
      <c r="E1389" s="2" t="s">
        <v>924</v>
      </c>
      <c r="F1389" s="2" t="s">
        <v>5329</v>
      </c>
      <c r="G1389" s="2" t="s">
        <v>5330</v>
      </c>
      <c r="H1389" s="2" t="s">
        <v>5330</v>
      </c>
      <c r="I1389" s="2" t="s">
        <v>5344</v>
      </c>
      <c r="J1389" s="2" t="s">
        <v>877</v>
      </c>
      <c r="K1389" s="2" t="s">
        <v>5345</v>
      </c>
      <c r="L1389" s="3">
        <v>31.45</v>
      </c>
      <c r="M1389" s="3">
        <v>33.02</v>
      </c>
      <c r="N1389" s="3">
        <v>64.99</v>
      </c>
      <c r="O1389" s="2" t="s">
        <v>232</v>
      </c>
      <c r="P1389" s="2" t="s">
        <v>233</v>
      </c>
      <c r="Q1389" s="2" t="s">
        <v>234</v>
      </c>
      <c r="R1389" s="2" t="s">
        <v>235</v>
      </c>
      <c r="S1389" s="2" t="s">
        <v>5346</v>
      </c>
      <c r="T1389" s="2" t="s">
        <v>912</v>
      </c>
      <c r="U1389" s="2" t="s">
        <v>278</v>
      </c>
      <c r="V1389" s="2" t="s">
        <v>238</v>
      </c>
      <c r="W1389" s="2" t="s">
        <v>329</v>
      </c>
      <c r="X1389" s="2" t="s">
        <v>682</v>
      </c>
      <c r="Y1389" s="2" t="s">
        <v>1183</v>
      </c>
      <c r="Z1389" s="4">
        <v>108</v>
      </c>
      <c r="AA1389" s="4">
        <f>=ROUNDDOWN(36,0)</f>
      </c>
      <c r="AB1389" s="5">
        <v>3</v>
      </c>
      <c r="AC1389" s="2" t="s">
        <v>574</v>
      </c>
      <c r="AD1389" s="4">
        <v>190</v>
      </c>
      <c r="AE1389" s="4">
        <v>190</v>
      </c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235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235</v>
      </c>
      <c r="AW1389" s="8" t="s">
        <v>235</v>
      </c>
      <c r="AX1389" s="4" t="s">
        <v>235</v>
      </c>
      <c r="AY1389" s="8" t="s">
        <v>235</v>
      </c>
      <c r="AZ1389" s="7" t="s">
        <v>235</v>
      </c>
      <c r="BA1389" s="7" t="s">
        <v>235</v>
      </c>
      <c r="BB1389" s="7"/>
      <c r="BC1389" s="4" t="s">
        <v>235</v>
      </c>
      <c r="BD1389" s="8" t="s">
        <v>235</v>
      </c>
      <c r="BE1389" s="4" t="s">
        <v>235</v>
      </c>
      <c r="BF1389" s="8" t="s">
        <v>235</v>
      </c>
      <c r="BG1389" s="7" t="s">
        <v>235</v>
      </c>
      <c r="BH1389" s="7" t="s">
        <v>235</v>
      </c>
      <c r="BI1389" s="7"/>
      <c r="BJ1389" s="4">
        <v>9</v>
      </c>
      <c r="BK1389" s="8">
        <v>304.34</v>
      </c>
      <c r="BL1389" s="2" t="s">
        <v>3473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5335</v>
      </c>
      <c r="BV1389" s="2" t="s">
        <v>243</v>
      </c>
      <c r="BW1389" s="2" t="s">
        <v>235</v>
      </c>
      <c r="BX1389" s="2" t="s">
        <v>685</v>
      </c>
      <c r="BY1389" s="2" t="s">
        <v>245</v>
      </c>
      <c r="BZ1389" s="2" t="s">
        <v>232</v>
      </c>
      <c r="CA1389" s="2" t="s">
        <v>5347</v>
      </c>
      <c r="CB1389" s="2" t="s">
        <v>1609</v>
      </c>
      <c r="CC1389" s="2" t="s">
        <v>248</v>
      </c>
      <c r="CD1389" s="2" t="s">
        <v>248</v>
      </c>
      <c r="CE1389" s="2" t="s">
        <v>235</v>
      </c>
      <c r="CF1389" s="4">
        <v>40</v>
      </c>
      <c r="CG1389" s="4"/>
      <c r="CH1389" s="4"/>
      <c r="CI1389" s="4">
        <v>68</v>
      </c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>
        <v>190</v>
      </c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>
        <v>109</v>
      </c>
      <c r="GE1389" s="4">
        <v>95</v>
      </c>
      <c r="GF1389" s="4">
        <v>91</v>
      </c>
      <c r="GG1389" s="4">
        <v>86</v>
      </c>
      <c r="GH1389" s="4">
        <v>80</v>
      </c>
      <c r="GI1389" s="4">
        <v>72</v>
      </c>
      <c r="GJ1389" s="4">
        <v>59</v>
      </c>
      <c r="GK1389" s="4">
        <v>50</v>
      </c>
      <c r="GL1389" s="4">
        <v>41</v>
      </c>
      <c r="GM1389" s="4">
        <v>224</v>
      </c>
      <c r="GN1389" s="4">
        <v>217</v>
      </c>
      <c r="GO1389" s="4">
        <v>206</v>
      </c>
      <c r="GP1389" s="4">
        <v>194</v>
      </c>
      <c r="GQ1389" s="4">
        <v>171</v>
      </c>
      <c r="GR1389" s="4">
        <v>158</v>
      </c>
      <c r="GS1389" s="4">
        <v>144</v>
      </c>
      <c r="GT1389" s="4">
        <v>135</v>
      </c>
      <c r="GU1389" s="4">
        <v>129</v>
      </c>
      <c r="GV1389" s="4">
        <v>125</v>
      </c>
      <c r="GW1389" s="4">
        <v>121</v>
      </c>
      <c r="GX1389" s="4">
        <v>117</v>
      </c>
      <c r="GY1389" s="4">
        <v>114</v>
      </c>
      <c r="GZ1389" s="4">
        <v>111</v>
      </c>
      <c r="HA1389" s="4">
        <v>108</v>
      </c>
      <c r="HB1389" s="4">
        <v>105</v>
      </c>
      <c r="HC1389" s="4">
        <v>101</v>
      </c>
      <c r="HD1389" s="19">
        <v>15.6</v>
      </c>
      <c r="HE1389" s="19">
        <v>15.8</v>
      </c>
      <c r="HF1389" s="19">
        <v>11.4</v>
      </c>
      <c r="HG1389" s="19">
        <v>9.6</v>
      </c>
      <c r="HH1389" s="19">
        <v>8</v>
      </c>
      <c r="HI1389" s="19">
        <v>7.2</v>
      </c>
      <c r="HJ1389" s="19">
        <v>7.4</v>
      </c>
      <c r="HK1389" s="19">
        <v>6.3</v>
      </c>
      <c r="HL1389" s="19">
        <v>4.6</v>
      </c>
      <c r="HM1389" s="19">
        <v>17.2</v>
      </c>
      <c r="HN1389" s="19">
        <v>14.5</v>
      </c>
      <c r="HO1389" s="19">
        <v>12.9</v>
      </c>
      <c r="HP1389" s="19">
        <v>12.9</v>
      </c>
      <c r="HQ1389" s="19">
        <v>17.1</v>
      </c>
      <c r="HR1389" s="19">
        <v>19.8</v>
      </c>
      <c r="HS1389" s="19">
        <v>24</v>
      </c>
      <c r="HT1389" s="19">
        <v>33.8</v>
      </c>
      <c r="HU1389" s="19">
        <v>32.3</v>
      </c>
      <c r="HV1389" s="19">
        <v>31.3</v>
      </c>
      <c r="HW1389" s="19">
        <v>40.3</v>
      </c>
      <c r="HX1389" s="19">
        <v>39</v>
      </c>
      <c r="HY1389" s="19">
        <v>38</v>
      </c>
      <c r="HZ1389" s="19">
        <v>37</v>
      </c>
      <c r="IA1389" s="19">
        <v>36</v>
      </c>
      <c r="IB1389" s="19">
        <v>35</v>
      </c>
      <c r="IC1389" s="19">
        <v>33.7</v>
      </c>
    </row>
    <row r="1390">
      <c r="A1390" s="2" t="s">
        <v>5348</v>
      </c>
      <c r="B1390" s="2" t="s">
        <v>905</v>
      </c>
      <c r="C1390" s="2" t="s">
        <v>853</v>
      </c>
      <c r="D1390" s="2" t="s">
        <v>361</v>
      </c>
      <c r="E1390" s="2" t="s">
        <v>924</v>
      </c>
      <c r="F1390" s="2" t="s">
        <v>5329</v>
      </c>
      <c r="G1390" s="2" t="s">
        <v>5330</v>
      </c>
      <c r="H1390" s="2" t="s">
        <v>5330</v>
      </c>
      <c r="I1390" s="2" t="s">
        <v>5344</v>
      </c>
      <c r="J1390" s="2" t="s">
        <v>372</v>
      </c>
      <c r="K1390" s="2" t="s">
        <v>5345</v>
      </c>
      <c r="L1390" s="3">
        <v>46.37</v>
      </c>
      <c r="M1390" s="3">
        <v>48.69</v>
      </c>
      <c r="N1390" s="3">
        <v>104.99</v>
      </c>
      <c r="O1390" s="2" t="s">
        <v>232</v>
      </c>
      <c r="P1390" s="2" t="s">
        <v>233</v>
      </c>
      <c r="Q1390" s="2" t="s">
        <v>234</v>
      </c>
      <c r="R1390" s="2" t="s">
        <v>235</v>
      </c>
      <c r="S1390" s="2" t="s">
        <v>5346</v>
      </c>
      <c r="T1390" s="2" t="s">
        <v>912</v>
      </c>
      <c r="U1390" s="2" t="s">
        <v>552</v>
      </c>
      <c r="V1390" s="2" t="s">
        <v>238</v>
      </c>
      <c r="W1390" s="2" t="s">
        <v>329</v>
      </c>
      <c r="X1390" s="2" t="s">
        <v>682</v>
      </c>
      <c r="Y1390" s="2" t="s">
        <v>5349</v>
      </c>
      <c r="Z1390" s="4">
        <v>161</v>
      </c>
      <c r="AA1390" s="4">
        <f>=ROUNDDOWN(44.7222222222222,0)</f>
      </c>
      <c r="AB1390" s="5">
        <v>3.6</v>
      </c>
      <c r="AC1390" s="2" t="s">
        <v>574</v>
      </c>
      <c r="AD1390" s="4">
        <v>260</v>
      </c>
      <c r="AE1390" s="4">
        <v>260</v>
      </c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235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235</v>
      </c>
      <c r="AW1390" s="8" t="s">
        <v>235</v>
      </c>
      <c r="AX1390" s="4" t="s">
        <v>235</v>
      </c>
      <c r="AY1390" s="8" t="s">
        <v>235</v>
      </c>
      <c r="AZ1390" s="7" t="s">
        <v>235</v>
      </c>
      <c r="BA1390" s="7" t="s">
        <v>235</v>
      </c>
      <c r="BB1390" s="7"/>
      <c r="BC1390" s="4" t="s">
        <v>235</v>
      </c>
      <c r="BD1390" s="8" t="s">
        <v>235</v>
      </c>
      <c r="BE1390" s="4" t="s">
        <v>235</v>
      </c>
      <c r="BF1390" s="8" t="s">
        <v>235</v>
      </c>
      <c r="BG1390" s="7" t="s">
        <v>235</v>
      </c>
      <c r="BH1390" s="7" t="s">
        <v>235</v>
      </c>
      <c r="BI1390" s="7"/>
      <c r="BJ1390" s="4">
        <v>10</v>
      </c>
      <c r="BK1390" s="8">
        <v>470.97</v>
      </c>
      <c r="BL1390" s="2" t="s">
        <v>2305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5335</v>
      </c>
      <c r="BV1390" s="2" t="s">
        <v>243</v>
      </c>
      <c r="BW1390" s="2" t="s">
        <v>235</v>
      </c>
      <c r="BX1390" s="2" t="s">
        <v>685</v>
      </c>
      <c r="BY1390" s="2" t="s">
        <v>245</v>
      </c>
      <c r="BZ1390" s="2" t="s">
        <v>232</v>
      </c>
      <c r="CA1390" s="2" t="s">
        <v>5347</v>
      </c>
      <c r="CB1390" s="2" t="s">
        <v>2821</v>
      </c>
      <c r="CC1390" s="2" t="s">
        <v>248</v>
      </c>
      <c r="CD1390" s="2" t="s">
        <v>248</v>
      </c>
      <c r="CE1390" s="2" t="s">
        <v>235</v>
      </c>
      <c r="CF1390" s="4">
        <v>10</v>
      </c>
      <c r="CG1390" s="4"/>
      <c r="CH1390" s="4"/>
      <c r="CI1390" s="4">
        <v>151</v>
      </c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>
        <v>260</v>
      </c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>
        <v>164</v>
      </c>
      <c r="GE1390" s="4">
        <v>157</v>
      </c>
      <c r="GF1390" s="4">
        <v>154</v>
      </c>
      <c r="GG1390" s="4">
        <v>151</v>
      </c>
      <c r="GH1390" s="4">
        <v>148</v>
      </c>
      <c r="GI1390" s="4">
        <v>140</v>
      </c>
      <c r="GJ1390" s="4">
        <v>132</v>
      </c>
      <c r="GK1390" s="4">
        <v>124</v>
      </c>
      <c r="GL1390" s="4">
        <v>116</v>
      </c>
      <c r="GM1390" s="4">
        <v>368</v>
      </c>
      <c r="GN1390" s="4">
        <v>360</v>
      </c>
      <c r="GO1390" s="4">
        <v>347</v>
      </c>
      <c r="GP1390" s="4">
        <v>332</v>
      </c>
      <c r="GQ1390" s="4">
        <v>301</v>
      </c>
      <c r="GR1390" s="4">
        <v>274</v>
      </c>
      <c r="GS1390" s="4">
        <v>245</v>
      </c>
      <c r="GT1390" s="4">
        <v>227</v>
      </c>
      <c r="GU1390" s="4">
        <v>215</v>
      </c>
      <c r="GV1390" s="4">
        <v>205</v>
      </c>
      <c r="GW1390" s="4">
        <v>195</v>
      </c>
      <c r="GX1390" s="4">
        <v>185</v>
      </c>
      <c r="GY1390" s="4">
        <v>177</v>
      </c>
      <c r="GZ1390" s="4">
        <v>172</v>
      </c>
      <c r="HA1390" s="4">
        <v>167</v>
      </c>
      <c r="HB1390" s="4">
        <v>162</v>
      </c>
      <c r="HC1390" s="4">
        <v>157</v>
      </c>
      <c r="HD1390" s="19">
        <v>41</v>
      </c>
      <c r="HE1390" s="19">
        <v>39.3</v>
      </c>
      <c r="HF1390" s="19">
        <v>25.7</v>
      </c>
      <c r="HG1390" s="19">
        <v>21.6</v>
      </c>
      <c r="HH1390" s="19">
        <v>18.5</v>
      </c>
      <c r="HI1390" s="19">
        <v>17.5</v>
      </c>
      <c r="HJ1390" s="19">
        <v>16.5</v>
      </c>
      <c r="HK1390" s="19">
        <v>13.8</v>
      </c>
      <c r="HL1390" s="19">
        <v>10.5</v>
      </c>
      <c r="HM1390" s="19">
        <v>21.6</v>
      </c>
      <c r="HN1390" s="19">
        <v>16.4</v>
      </c>
      <c r="HO1390" s="19">
        <v>13.3</v>
      </c>
      <c r="HP1390" s="19">
        <v>12.8</v>
      </c>
      <c r="HQ1390" s="19">
        <v>13.7</v>
      </c>
      <c r="HR1390" s="19">
        <v>16.1</v>
      </c>
      <c r="HS1390" s="19">
        <v>20.4</v>
      </c>
      <c r="HT1390" s="19">
        <v>22.7</v>
      </c>
      <c r="HU1390" s="19">
        <v>21.5</v>
      </c>
      <c r="HV1390" s="19">
        <v>25.6</v>
      </c>
      <c r="HW1390" s="19">
        <v>27.9</v>
      </c>
      <c r="HX1390" s="19">
        <v>30.8</v>
      </c>
      <c r="HY1390" s="19">
        <v>35.4</v>
      </c>
      <c r="HZ1390" s="19">
        <v>34.4</v>
      </c>
      <c r="IA1390" s="19">
        <v>33.4</v>
      </c>
      <c r="IB1390" s="19">
        <v>40.5</v>
      </c>
      <c r="IC1390" s="19">
        <v>39.3</v>
      </c>
    </row>
    <row r="1391">
      <c r="A1391" s="2" t="s">
        <v>5350</v>
      </c>
      <c r="B1391" s="2" t="s">
        <v>905</v>
      </c>
      <c r="C1391" s="2" t="s">
        <v>853</v>
      </c>
      <c r="D1391" s="2" t="s">
        <v>361</v>
      </c>
      <c r="E1391" s="2" t="s">
        <v>924</v>
      </c>
      <c r="F1391" s="2" t="s">
        <v>5329</v>
      </c>
      <c r="G1391" s="2" t="s">
        <v>5330</v>
      </c>
      <c r="H1391" s="2" t="s">
        <v>5330</v>
      </c>
      <c r="I1391" s="2" t="s">
        <v>5344</v>
      </c>
      <c r="J1391" s="2" t="s">
        <v>372</v>
      </c>
      <c r="K1391" s="2" t="s">
        <v>5351</v>
      </c>
      <c r="L1391" s="3">
        <v>46.37</v>
      </c>
      <c r="M1391" s="3">
        <v>48.69</v>
      </c>
      <c r="N1391" s="3">
        <v>104.99</v>
      </c>
      <c r="O1391" s="2" t="s">
        <v>232</v>
      </c>
      <c r="P1391" s="2" t="s">
        <v>233</v>
      </c>
      <c r="Q1391" s="2" t="s">
        <v>234</v>
      </c>
      <c r="R1391" s="2" t="s">
        <v>235</v>
      </c>
      <c r="S1391" s="2" t="s">
        <v>5352</v>
      </c>
      <c r="T1391" s="2" t="s">
        <v>912</v>
      </c>
      <c r="U1391" s="2" t="s">
        <v>552</v>
      </c>
      <c r="V1391" s="2" t="s">
        <v>238</v>
      </c>
      <c r="W1391" s="2" t="s">
        <v>329</v>
      </c>
      <c r="X1391" s="2" t="s">
        <v>682</v>
      </c>
      <c r="Y1391" s="2" t="s">
        <v>5349</v>
      </c>
      <c r="Z1391" s="4">
        <v>163</v>
      </c>
      <c r="AA1391" s="4">
        <f>=ROUNDDOWN(85.7894736842105,0)</f>
      </c>
      <c r="AB1391" s="5">
        <v>1.9</v>
      </c>
      <c r="AC1391" s="2" t="s">
        <v>574</v>
      </c>
      <c r="AD1391" s="4">
        <v>130</v>
      </c>
      <c r="AE1391" s="4">
        <v>130</v>
      </c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235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 t="s">
        <v>235</v>
      </c>
      <c r="BD1391" s="8" t="s">
        <v>235</v>
      </c>
      <c r="BE1391" s="4" t="s">
        <v>235</v>
      </c>
      <c r="BF1391" s="8" t="s">
        <v>235</v>
      </c>
      <c r="BG1391" s="7" t="s">
        <v>235</v>
      </c>
      <c r="BH1391" s="7" t="s">
        <v>235</v>
      </c>
      <c r="BI1391" s="7"/>
      <c r="BJ1391" s="4">
        <v>6</v>
      </c>
      <c r="BK1391" s="8">
        <v>321.12</v>
      </c>
      <c r="BL1391" s="2" t="s">
        <v>5353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5335</v>
      </c>
      <c r="BV1391" s="2" t="s">
        <v>243</v>
      </c>
      <c r="BW1391" s="2" t="s">
        <v>235</v>
      </c>
      <c r="BX1391" s="2" t="s">
        <v>685</v>
      </c>
      <c r="BY1391" s="2" t="s">
        <v>245</v>
      </c>
      <c r="BZ1391" s="2" t="s">
        <v>232</v>
      </c>
      <c r="CA1391" s="2" t="s">
        <v>5347</v>
      </c>
      <c r="CB1391" s="2" t="s">
        <v>3481</v>
      </c>
      <c r="CC1391" s="2" t="s">
        <v>248</v>
      </c>
      <c r="CD1391" s="2" t="s">
        <v>248</v>
      </c>
      <c r="CE1391" s="2" t="s">
        <v>235</v>
      </c>
      <c r="CF1391" s="4">
        <v>30</v>
      </c>
      <c r="CG1391" s="4"/>
      <c r="CH1391" s="4"/>
      <c r="CI1391" s="4">
        <v>133</v>
      </c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>
        <v>130</v>
      </c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>
        <v>163</v>
      </c>
      <c r="GE1391" s="4">
        <v>161</v>
      </c>
      <c r="GF1391" s="4">
        <v>159</v>
      </c>
      <c r="GG1391" s="4">
        <v>157</v>
      </c>
      <c r="GH1391" s="4">
        <v>155</v>
      </c>
      <c r="GI1391" s="4">
        <v>150</v>
      </c>
      <c r="GJ1391" s="4">
        <v>145</v>
      </c>
      <c r="GK1391" s="4">
        <v>140</v>
      </c>
      <c r="GL1391" s="4">
        <v>135</v>
      </c>
      <c r="GM1391" s="4">
        <v>260</v>
      </c>
      <c r="GN1391" s="4">
        <v>255</v>
      </c>
      <c r="GO1391" s="4">
        <v>247</v>
      </c>
      <c r="GP1391" s="4">
        <v>238</v>
      </c>
      <c r="GQ1391" s="4">
        <v>219</v>
      </c>
      <c r="GR1391" s="4">
        <v>203</v>
      </c>
      <c r="GS1391" s="4">
        <v>186</v>
      </c>
      <c r="GT1391" s="4">
        <v>176</v>
      </c>
      <c r="GU1391" s="4">
        <v>170</v>
      </c>
      <c r="GV1391" s="4">
        <v>165</v>
      </c>
      <c r="GW1391" s="4">
        <v>160</v>
      </c>
      <c r="GX1391" s="4">
        <v>155</v>
      </c>
      <c r="GY1391" s="4">
        <v>151</v>
      </c>
      <c r="GZ1391" s="4">
        <v>148</v>
      </c>
      <c r="HA1391" s="4">
        <v>146</v>
      </c>
      <c r="HB1391" s="4">
        <v>144</v>
      </c>
      <c r="HC1391" s="4">
        <v>141</v>
      </c>
      <c r="HD1391" s="19">
        <v>81.5</v>
      </c>
      <c r="HE1391" s="19">
        <v>53.7</v>
      </c>
      <c r="HF1391" s="19">
        <v>39.8</v>
      </c>
      <c r="HG1391" s="19">
        <v>39.3</v>
      </c>
      <c r="HH1391" s="19">
        <v>31</v>
      </c>
      <c r="HI1391" s="19">
        <v>30</v>
      </c>
      <c r="HJ1391" s="19">
        <v>29</v>
      </c>
      <c r="HK1391" s="19">
        <v>23.3</v>
      </c>
      <c r="HL1391" s="19">
        <v>19.3</v>
      </c>
      <c r="HM1391" s="19">
        <v>26</v>
      </c>
      <c r="HN1391" s="19">
        <v>19.6</v>
      </c>
      <c r="HO1391" s="19">
        <v>16.5</v>
      </c>
      <c r="HP1391" s="19">
        <v>14.9</v>
      </c>
      <c r="HQ1391" s="19">
        <v>18.3</v>
      </c>
      <c r="HR1391" s="19">
        <v>20.3</v>
      </c>
      <c r="HS1391" s="19">
        <v>31</v>
      </c>
      <c r="HT1391" s="19">
        <v>35.2</v>
      </c>
      <c r="HU1391" s="19">
        <v>34</v>
      </c>
      <c r="HV1391" s="19">
        <v>41.3</v>
      </c>
      <c r="HW1391" s="19">
        <v>40</v>
      </c>
      <c r="HX1391" s="19">
        <v>51.7</v>
      </c>
      <c r="HY1391" s="19">
        <v>75.5</v>
      </c>
      <c r="HZ1391" s="19">
        <v>74</v>
      </c>
      <c r="IA1391" s="19">
        <v>73</v>
      </c>
      <c r="IB1391" s="19">
        <v>72</v>
      </c>
      <c r="IC1391" s="19">
        <v>70.5</v>
      </c>
    </row>
    <row r="1392">
      <c r="A1392" s="2" t="s">
        <v>5354</v>
      </c>
      <c r="B1392" s="2" t="s">
        <v>905</v>
      </c>
      <c r="C1392" s="2" t="s">
        <v>1036</v>
      </c>
      <c r="D1392" s="2" t="s">
        <v>1177</v>
      </c>
      <c r="E1392" s="2" t="s">
        <v>1178</v>
      </c>
      <c r="F1392" s="2" t="s">
        <v>5355</v>
      </c>
      <c r="G1392" s="2" t="s">
        <v>5355</v>
      </c>
      <c r="H1392" s="2" t="s">
        <v>5355</v>
      </c>
      <c r="I1392" s="2" t="s">
        <v>4148</v>
      </c>
      <c r="J1392" s="2" t="s">
        <v>993</v>
      </c>
      <c r="K1392" s="2" t="s">
        <v>1196</v>
      </c>
      <c r="L1392" s="3">
        <v>35.52</v>
      </c>
      <c r="M1392" s="3">
        <v>37.3</v>
      </c>
      <c r="N1392" s="3">
        <v>74.99</v>
      </c>
      <c r="O1392" s="2" t="s">
        <v>232</v>
      </c>
      <c r="P1392" s="2" t="s">
        <v>233</v>
      </c>
      <c r="Q1392" s="2" t="s">
        <v>234</v>
      </c>
      <c r="R1392" s="2" t="s">
        <v>235</v>
      </c>
      <c r="S1392" s="2" t="s">
        <v>5356</v>
      </c>
      <c r="T1392" s="2" t="s">
        <v>1081</v>
      </c>
      <c r="U1392" s="2" t="s">
        <v>807</v>
      </c>
      <c r="V1392" s="2" t="s">
        <v>238</v>
      </c>
      <c r="W1392" s="2" t="s">
        <v>239</v>
      </c>
      <c r="X1392" s="2" t="s">
        <v>235</v>
      </c>
      <c r="Y1392" s="2" t="s">
        <v>5357</v>
      </c>
      <c r="Z1392" s="4">
        <v>825</v>
      </c>
      <c r="AA1392" s="4">
        <f>=ROUNDDOWN(687.5,0)</f>
      </c>
      <c r="AB1392" s="5">
        <v>1.2</v>
      </c>
      <c r="AC1392" s="2" t="s">
        <v>574</v>
      </c>
      <c r="AD1392" s="4">
        <v>280</v>
      </c>
      <c r="AE1392" s="4">
        <v>280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235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 t="s">
        <v>235</v>
      </c>
      <c r="BD1392" s="8" t="s">
        <v>235</v>
      </c>
      <c r="BE1392" s="4" t="s">
        <v>235</v>
      </c>
      <c r="BF1392" s="8" t="s">
        <v>235</v>
      </c>
      <c r="BG1392" s="7" t="s">
        <v>235</v>
      </c>
      <c r="BH1392" s="7" t="s">
        <v>235</v>
      </c>
      <c r="BI1392" s="7"/>
      <c r="BJ1392" s="4">
        <v>2</v>
      </c>
      <c r="BK1392" s="8">
        <v>81.42</v>
      </c>
      <c r="BL1392" s="2" t="s">
        <v>517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5358</v>
      </c>
      <c r="BV1392" s="2" t="s">
        <v>243</v>
      </c>
      <c r="BW1392" s="2" t="s">
        <v>235</v>
      </c>
      <c r="BX1392" s="2" t="s">
        <v>244</v>
      </c>
      <c r="BY1392" s="2" t="s">
        <v>245</v>
      </c>
      <c r="BZ1392" s="2" t="s">
        <v>232</v>
      </c>
      <c r="CA1392" s="2" t="s">
        <v>5359</v>
      </c>
      <c r="CB1392" s="2" t="s">
        <v>687</v>
      </c>
      <c r="CC1392" s="2" t="s">
        <v>248</v>
      </c>
      <c r="CD1392" s="2" t="s">
        <v>248</v>
      </c>
      <c r="CE1392" s="2" t="s">
        <v>235</v>
      </c>
      <c r="CF1392" s="4">
        <v>630</v>
      </c>
      <c r="CG1392" s="4"/>
      <c r="CH1392" s="4"/>
      <c r="CI1392" s="4">
        <v>195</v>
      </c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>
        <v>280</v>
      </c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>
        <v>826</v>
      </c>
      <c r="GE1392" s="4">
        <v>825</v>
      </c>
      <c r="GF1392" s="4">
        <v>825</v>
      </c>
      <c r="GG1392" s="4">
        <v>825</v>
      </c>
      <c r="GH1392" s="4">
        <v>825</v>
      </c>
      <c r="GI1392" s="4">
        <v>800</v>
      </c>
      <c r="GJ1392" s="4">
        <v>775</v>
      </c>
      <c r="GK1392" s="4">
        <v>750</v>
      </c>
      <c r="GL1392" s="4">
        <v>725</v>
      </c>
      <c r="GM1392" s="4">
        <v>992</v>
      </c>
      <c r="GN1392" s="4">
        <v>977</v>
      </c>
      <c r="GO1392" s="4">
        <v>942</v>
      </c>
      <c r="GP1392" s="4">
        <v>887</v>
      </c>
      <c r="GQ1392" s="4">
        <v>822</v>
      </c>
      <c r="GR1392" s="4">
        <v>644</v>
      </c>
      <c r="GS1392" s="4">
        <v>441</v>
      </c>
      <c r="GT1392" s="4">
        <v>321</v>
      </c>
      <c r="GU1392" s="4">
        <v>236</v>
      </c>
      <c r="GV1392" s="4">
        <v>151</v>
      </c>
      <c r="GW1392" s="4">
        <v>123</v>
      </c>
      <c r="GX1392" s="4">
        <v>95</v>
      </c>
      <c r="GY1392" s="4">
        <v>67</v>
      </c>
      <c r="GZ1392" s="4">
        <v>66</v>
      </c>
      <c r="HA1392" s="4">
        <v>65</v>
      </c>
      <c r="HB1392" s="4">
        <v>64</v>
      </c>
      <c r="HC1392" s="4">
        <v>713</v>
      </c>
      <c r="HD1392" s="20">
        <v>0</v>
      </c>
      <c r="HE1392" s="19">
        <v>137.5</v>
      </c>
      <c r="HF1392" s="19">
        <v>68.8</v>
      </c>
      <c r="HG1392" s="19">
        <v>43.4</v>
      </c>
      <c r="HH1392" s="19">
        <v>33</v>
      </c>
      <c r="HI1392" s="19">
        <v>36.4</v>
      </c>
      <c r="HJ1392" s="19">
        <v>38.8</v>
      </c>
      <c r="HK1392" s="19">
        <v>34.1</v>
      </c>
      <c r="HL1392" s="19">
        <v>24.2</v>
      </c>
      <c r="HM1392" s="19">
        <v>23.6</v>
      </c>
      <c r="HN1392" s="19">
        <v>11.8</v>
      </c>
      <c r="HO1392" s="19">
        <v>7.5</v>
      </c>
      <c r="HP1392" s="19">
        <v>6.2</v>
      </c>
      <c r="HQ1392" s="19">
        <v>5.6</v>
      </c>
      <c r="HR1392" s="19">
        <v>5.2</v>
      </c>
      <c r="HS1392" s="19">
        <v>5.5</v>
      </c>
      <c r="HT1392" s="19">
        <v>5.7</v>
      </c>
      <c r="HU1392" s="19">
        <v>5.6</v>
      </c>
      <c r="HV1392" s="19">
        <v>7.2</v>
      </c>
      <c r="HW1392" s="19">
        <v>8.8</v>
      </c>
      <c r="HX1392" s="19">
        <v>11.9</v>
      </c>
      <c r="HY1392" s="19">
        <v>67</v>
      </c>
      <c r="HZ1392" s="19">
        <v>66</v>
      </c>
      <c r="IA1392" s="19">
        <v>65</v>
      </c>
      <c r="IB1392" s="19">
        <v>64</v>
      </c>
      <c r="IC1392" s="19">
        <v>713</v>
      </c>
    </row>
    <row r="1393">
      <c r="A1393" s="2" t="s">
        <v>5360</v>
      </c>
      <c r="B1393" s="2" t="s">
        <v>905</v>
      </c>
      <c r="C1393" s="2" t="s">
        <v>1036</v>
      </c>
      <c r="D1393" s="2" t="s">
        <v>1177</v>
      </c>
      <c r="E1393" s="2" t="s">
        <v>1178</v>
      </c>
      <c r="F1393" s="2" t="s">
        <v>5355</v>
      </c>
      <c r="G1393" s="2" t="s">
        <v>5355</v>
      </c>
      <c r="H1393" s="2" t="s">
        <v>5355</v>
      </c>
      <c r="I1393" s="2" t="s">
        <v>4148</v>
      </c>
      <c r="J1393" s="2" t="s">
        <v>993</v>
      </c>
      <c r="K1393" s="2" t="s">
        <v>292</v>
      </c>
      <c r="L1393" s="3">
        <v>35.52</v>
      </c>
      <c r="M1393" s="3">
        <v>37.3</v>
      </c>
      <c r="N1393" s="3">
        <v>74.99</v>
      </c>
      <c r="O1393" s="2" t="s">
        <v>232</v>
      </c>
      <c r="P1393" s="2" t="s">
        <v>233</v>
      </c>
      <c r="Q1393" s="2" t="s">
        <v>234</v>
      </c>
      <c r="R1393" s="2" t="s">
        <v>235</v>
      </c>
      <c r="S1393" s="2" t="s">
        <v>5361</v>
      </c>
      <c r="T1393" s="2" t="s">
        <v>1081</v>
      </c>
      <c r="U1393" s="2" t="s">
        <v>807</v>
      </c>
      <c r="V1393" s="2" t="s">
        <v>238</v>
      </c>
      <c r="W1393" s="2" t="s">
        <v>239</v>
      </c>
      <c r="X1393" s="2" t="s">
        <v>235</v>
      </c>
      <c r="Y1393" s="2" t="s">
        <v>5357</v>
      </c>
      <c r="Z1393" s="4">
        <v>1112</v>
      </c>
      <c r="AA1393" s="4">
        <f>=ROUNDDOWN(317.714285714286,0)</f>
      </c>
      <c r="AB1393" s="5">
        <v>3.5</v>
      </c>
      <c r="AC1393" s="2" t="s">
        <v>574</v>
      </c>
      <c r="AD1393" s="4">
        <v>450</v>
      </c>
      <c r="AE1393" s="4">
        <v>450</v>
      </c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235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 t="s">
        <v>235</v>
      </c>
      <c r="BD1393" s="8" t="s">
        <v>235</v>
      </c>
      <c r="BE1393" s="4" t="s">
        <v>235</v>
      </c>
      <c r="BF1393" s="8" t="s">
        <v>235</v>
      </c>
      <c r="BG1393" s="7" t="s">
        <v>235</v>
      </c>
      <c r="BH1393" s="7" t="s">
        <v>235</v>
      </c>
      <c r="BI1393" s="7"/>
      <c r="BJ1393" s="4">
        <v>6</v>
      </c>
      <c r="BK1393" s="8">
        <v>238.6</v>
      </c>
      <c r="BL1393" s="2" t="s">
        <v>536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5358</v>
      </c>
      <c r="BV1393" s="2" t="s">
        <v>243</v>
      </c>
      <c r="BW1393" s="2" t="s">
        <v>235</v>
      </c>
      <c r="BX1393" s="2" t="s">
        <v>244</v>
      </c>
      <c r="BY1393" s="2" t="s">
        <v>245</v>
      </c>
      <c r="BZ1393" s="2" t="s">
        <v>232</v>
      </c>
      <c r="CA1393" s="2" t="s">
        <v>5359</v>
      </c>
      <c r="CB1393" s="2" t="s">
        <v>5362</v>
      </c>
      <c r="CC1393" s="2" t="s">
        <v>248</v>
      </c>
      <c r="CD1393" s="2" t="s">
        <v>248</v>
      </c>
      <c r="CE1393" s="2" t="s">
        <v>235</v>
      </c>
      <c r="CF1393" s="4">
        <v>1097</v>
      </c>
      <c r="CG1393" s="4">
        <v>15</v>
      </c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>
        <v>450</v>
      </c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>
        <v>1115</v>
      </c>
      <c r="GE1393" s="4">
        <v>1110</v>
      </c>
      <c r="GF1393" s="4">
        <v>1108</v>
      </c>
      <c r="GG1393" s="4">
        <v>1106</v>
      </c>
      <c r="GH1393" s="4">
        <v>1104</v>
      </c>
      <c r="GI1393" s="4">
        <v>1049</v>
      </c>
      <c r="GJ1393" s="4">
        <v>994</v>
      </c>
      <c r="GK1393" s="4">
        <v>939</v>
      </c>
      <c r="GL1393" s="4">
        <v>884</v>
      </c>
      <c r="GM1393" s="4">
        <v>1306</v>
      </c>
      <c r="GN1393" s="4">
        <v>1273</v>
      </c>
      <c r="GO1393" s="4">
        <v>1196</v>
      </c>
      <c r="GP1393" s="4">
        <v>1075</v>
      </c>
      <c r="GQ1393" s="4">
        <v>932</v>
      </c>
      <c r="GR1393" s="4">
        <v>541</v>
      </c>
      <c r="GS1393" s="4">
        <v>95</v>
      </c>
      <c r="GT1393" s="4"/>
      <c r="GU1393" s="4"/>
      <c r="GV1393" s="4"/>
      <c r="GW1393" s="4">
        <v>383</v>
      </c>
      <c r="GX1393" s="4">
        <v>322</v>
      </c>
      <c r="GY1393" s="4">
        <v>261</v>
      </c>
      <c r="GZ1393" s="4">
        <v>257</v>
      </c>
      <c r="HA1393" s="4">
        <v>253</v>
      </c>
      <c r="HB1393" s="4">
        <v>249</v>
      </c>
      <c r="HC1393" s="4">
        <v>1165</v>
      </c>
      <c r="HD1393" s="19">
        <v>371.7</v>
      </c>
      <c r="HE1393" s="19">
        <v>74</v>
      </c>
      <c r="HF1393" s="19">
        <v>39.6</v>
      </c>
      <c r="HG1393" s="19">
        <v>26.3</v>
      </c>
      <c r="HH1393" s="19">
        <v>20.1</v>
      </c>
      <c r="HI1393" s="19">
        <v>21.9</v>
      </c>
      <c r="HJ1393" s="19">
        <v>23.1</v>
      </c>
      <c r="HK1393" s="19">
        <v>19.6</v>
      </c>
      <c r="HL1393" s="19">
        <v>13.6</v>
      </c>
      <c r="HM1393" s="19">
        <v>13.9</v>
      </c>
      <c r="HN1393" s="19">
        <v>7</v>
      </c>
      <c r="HO1393" s="19">
        <v>4.3</v>
      </c>
      <c r="HP1393" s="19">
        <v>3.5</v>
      </c>
      <c r="HQ1393" s="19">
        <v>2.9</v>
      </c>
      <c r="HR1393" s="19">
        <v>2</v>
      </c>
      <c r="HS1393" s="19">
        <v>0.5</v>
      </c>
      <c r="HT1393" s="20">
        <v>0</v>
      </c>
      <c r="HU1393" s="20">
        <v>0</v>
      </c>
      <c r="HV1393" s="20">
        <v>0</v>
      </c>
      <c r="HW1393" s="19">
        <v>12</v>
      </c>
      <c r="HX1393" s="19">
        <v>17.9</v>
      </c>
      <c r="HY1393" s="19">
        <v>65.3</v>
      </c>
      <c r="HZ1393" s="19">
        <v>64.3</v>
      </c>
      <c r="IA1393" s="19">
        <v>84.3</v>
      </c>
      <c r="IB1393" s="19">
        <v>124.5</v>
      </c>
      <c r="IC1393" s="19">
        <v>582.5</v>
      </c>
    </row>
    <row r="1394">
      <c r="A1394" s="2" t="s">
        <v>5363</v>
      </c>
      <c r="B1394" s="2" t="s">
        <v>1071</v>
      </c>
      <c r="C1394" s="2" t="s">
        <v>324</v>
      </c>
      <c r="D1394" s="2" t="s">
        <v>4819</v>
      </c>
      <c r="E1394" s="2" t="s">
        <v>330</v>
      </c>
      <c r="F1394" s="2" t="s">
        <v>5364</v>
      </c>
      <c r="G1394" s="2" t="s">
        <v>5365</v>
      </c>
      <c r="H1394" s="2" t="s">
        <v>5366</v>
      </c>
      <c r="I1394" s="2" t="s">
        <v>235</v>
      </c>
      <c r="J1394" s="2" t="s">
        <v>5367</v>
      </c>
      <c r="K1394" s="2" t="s">
        <v>378</v>
      </c>
      <c r="L1394" s="3">
        <v>91.02</v>
      </c>
      <c r="M1394" s="3"/>
      <c r="N1394" s="3"/>
      <c r="O1394" s="2" t="s">
        <v>485</v>
      </c>
      <c r="P1394" s="2" t="s">
        <v>235</v>
      </c>
      <c r="Q1394" s="2" t="s">
        <v>235</v>
      </c>
      <c r="R1394" s="2" t="s">
        <v>2425</v>
      </c>
      <c r="S1394" s="2" t="s">
        <v>235</v>
      </c>
      <c r="T1394" s="2" t="s">
        <v>235</v>
      </c>
      <c r="U1394" s="2" t="s">
        <v>235</v>
      </c>
      <c r="V1394" s="2" t="s">
        <v>235</v>
      </c>
      <c r="W1394" s="2" t="s">
        <v>235</v>
      </c>
      <c r="X1394" s="2" t="s">
        <v>235</v>
      </c>
      <c r="Y1394" s="2" t="s">
        <v>235</v>
      </c>
      <c r="Z1394" s="4">
        <v>1</v>
      </c>
      <c r="AA1394" s="4">
        <f>=ROUNDDOWN({0},0)</f>
      </c>
      <c r="AB1394" s="5"/>
      <c r="AC1394" s="2" t="s">
        <v>235</v>
      </c>
      <c r="AD1394" s="4"/>
      <c r="AE1394" s="4"/>
      <c r="AF1394" s="6"/>
      <c r="AG1394" s="6"/>
      <c r="AH1394" s="7"/>
      <c r="AI1394" s="4"/>
      <c r="AJ1394" s="4">
        <f>=ROUNDDOWN({0},0)</f>
      </c>
      <c r="AK1394" s="5"/>
      <c r="AL1394" s="2" t="s">
        <v>235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235</v>
      </c>
      <c r="BD1394" s="8" t="s">
        <v>235</v>
      </c>
      <c r="BE1394" s="4" t="s">
        <v>235</v>
      </c>
      <c r="BF1394" s="8" t="s">
        <v>235</v>
      </c>
      <c r="BG1394" s="7" t="s">
        <v>235</v>
      </c>
      <c r="BH1394" s="7" t="s">
        <v>235</v>
      </c>
      <c r="BI1394" s="7"/>
      <c r="BJ1394" s="4"/>
      <c r="BK1394" s="8"/>
      <c r="BL1394" s="2" t="s">
        <v>235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235</v>
      </c>
      <c r="BV1394" s="2" t="s">
        <v>235</v>
      </c>
      <c r="BW1394" s="2" t="s">
        <v>235</v>
      </c>
      <c r="BX1394" s="2" t="s">
        <v>235</v>
      </c>
      <c r="BY1394" s="2" t="s">
        <v>235</v>
      </c>
      <c r="BZ1394" s="2" t="s">
        <v>235</v>
      </c>
      <c r="CA1394" s="2" t="s">
        <v>235</v>
      </c>
      <c r="CB1394" s="2" t="s">
        <v>235</v>
      </c>
      <c r="CC1394" s="2" t="s">
        <v>235</v>
      </c>
      <c r="CD1394" s="2" t="s">
        <v>235</v>
      </c>
      <c r="CE1394" s="2" t="s">
        <v>235</v>
      </c>
      <c r="CF1394" s="4"/>
      <c r="CG1394" s="4">
        <v>1</v>
      </c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9"/>
      <c r="HE1394" s="9"/>
      <c r="HF1394" s="9"/>
      <c r="HG1394" s="9"/>
      <c r="HH1394" s="9"/>
      <c r="HI1394" s="9"/>
      <c r="HJ1394" s="9"/>
      <c r="HK1394" s="9"/>
      <c r="HL1394" s="9"/>
      <c r="HM1394" s="9"/>
      <c r="HN1394" s="9"/>
      <c r="HO1394" s="9"/>
      <c r="HP1394" s="9"/>
      <c r="HQ1394" s="9"/>
      <c r="HR1394" s="9"/>
      <c r="HS1394" s="9"/>
      <c r="HT1394" s="9"/>
      <c r="HU1394" s="9"/>
      <c r="HV1394" s="9"/>
      <c r="HW1394" s="9"/>
      <c r="HX1394" s="9"/>
      <c r="HY1394" s="9"/>
      <c r="HZ1394" s="9"/>
      <c r="IA1394" s="9"/>
      <c r="IB1394" s="9"/>
      <c r="IC1394" s="9"/>
    </row>
    <row r="1395">
      <c r="A1395" s="2" t="s">
        <v>5368</v>
      </c>
      <c r="B1395" s="2" t="s">
        <v>1071</v>
      </c>
      <c r="C1395" s="2" t="s">
        <v>324</v>
      </c>
      <c r="D1395" s="2" t="s">
        <v>4819</v>
      </c>
      <c r="E1395" s="2" t="s">
        <v>330</v>
      </c>
      <c r="F1395" s="2" t="s">
        <v>5364</v>
      </c>
      <c r="G1395" s="2" t="s">
        <v>5365</v>
      </c>
      <c r="H1395" s="2" t="s">
        <v>5366</v>
      </c>
      <c r="I1395" s="2" t="s">
        <v>235</v>
      </c>
      <c r="J1395" s="2" t="s">
        <v>5369</v>
      </c>
      <c r="K1395" s="2" t="s">
        <v>316</v>
      </c>
      <c r="L1395" s="3">
        <v>79.98</v>
      </c>
      <c r="M1395" s="3"/>
      <c r="N1395" s="3"/>
      <c r="O1395" s="2" t="s">
        <v>485</v>
      </c>
      <c r="P1395" s="2" t="s">
        <v>235</v>
      </c>
      <c r="Q1395" s="2" t="s">
        <v>235</v>
      </c>
      <c r="R1395" s="2" t="s">
        <v>2425</v>
      </c>
      <c r="S1395" s="2" t="s">
        <v>235</v>
      </c>
      <c r="T1395" s="2" t="s">
        <v>235</v>
      </c>
      <c r="U1395" s="2" t="s">
        <v>235</v>
      </c>
      <c r="V1395" s="2" t="s">
        <v>235</v>
      </c>
      <c r="W1395" s="2" t="s">
        <v>235</v>
      </c>
      <c r="X1395" s="2" t="s">
        <v>235</v>
      </c>
      <c r="Y1395" s="2" t="s">
        <v>235</v>
      </c>
      <c r="Z1395" s="4">
        <v>1</v>
      </c>
      <c r="AA1395" s="4">
        <f>=ROUNDDOWN({0},0)</f>
      </c>
      <c r="AB1395" s="5"/>
      <c r="AC1395" s="2" t="s">
        <v>235</v>
      </c>
      <c r="AD1395" s="4"/>
      <c r="AE1395" s="4"/>
      <c r="AF1395" s="6"/>
      <c r="AG1395" s="6"/>
      <c r="AH1395" s="7"/>
      <c r="AI1395" s="4"/>
      <c r="AJ1395" s="4">
        <f>=ROUNDDOWN({0},0)</f>
      </c>
      <c r="AK1395" s="5"/>
      <c r="AL1395" s="2" t="s">
        <v>235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 t="s">
        <v>235</v>
      </c>
      <c r="BD1395" s="8" t="s">
        <v>235</v>
      </c>
      <c r="BE1395" s="4" t="s">
        <v>235</v>
      </c>
      <c r="BF1395" s="8" t="s">
        <v>235</v>
      </c>
      <c r="BG1395" s="7" t="s">
        <v>235</v>
      </c>
      <c r="BH1395" s="7" t="s">
        <v>235</v>
      </c>
      <c r="BI1395" s="7"/>
      <c r="BJ1395" s="4"/>
      <c r="BK1395" s="8"/>
      <c r="BL1395" s="2" t="s">
        <v>235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235</v>
      </c>
      <c r="BV1395" s="2" t="s">
        <v>235</v>
      </c>
      <c r="BW1395" s="2" t="s">
        <v>235</v>
      </c>
      <c r="BX1395" s="2" t="s">
        <v>235</v>
      </c>
      <c r="BY1395" s="2" t="s">
        <v>235</v>
      </c>
      <c r="BZ1395" s="2" t="s">
        <v>235</v>
      </c>
      <c r="CA1395" s="2" t="s">
        <v>235</v>
      </c>
      <c r="CB1395" s="2" t="s">
        <v>235</v>
      </c>
      <c r="CC1395" s="2" t="s">
        <v>235</v>
      </c>
      <c r="CD1395" s="2" t="s">
        <v>235</v>
      </c>
      <c r="CE1395" s="2" t="s">
        <v>235</v>
      </c>
      <c r="CF1395" s="4"/>
      <c r="CG1395" s="4"/>
      <c r="CH1395" s="4"/>
      <c r="CI1395" s="4">
        <v>1</v>
      </c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9"/>
      <c r="HE1395" s="9"/>
      <c r="HF1395" s="9"/>
      <c r="HG1395" s="9"/>
      <c r="HH1395" s="9"/>
      <c r="HI1395" s="9"/>
      <c r="HJ1395" s="9"/>
      <c r="HK1395" s="9"/>
      <c r="HL1395" s="9"/>
      <c r="HM1395" s="9"/>
      <c r="HN1395" s="9"/>
      <c r="HO1395" s="9"/>
      <c r="HP1395" s="9"/>
      <c r="HQ1395" s="9"/>
      <c r="HR1395" s="9"/>
      <c r="HS1395" s="9"/>
      <c r="HT1395" s="9"/>
      <c r="HU1395" s="9"/>
      <c r="HV1395" s="9"/>
      <c r="HW1395" s="9"/>
      <c r="HX1395" s="9"/>
      <c r="HY1395" s="9"/>
      <c r="HZ1395" s="9"/>
      <c r="IA1395" s="9"/>
      <c r="IB1395" s="9"/>
      <c r="IC1395" s="9"/>
    </row>
    <row r="1396">
      <c r="A1396" s="2" t="s">
        <v>5370</v>
      </c>
      <c r="B1396" s="2" t="s">
        <v>1071</v>
      </c>
      <c r="C1396" s="2" t="s">
        <v>324</v>
      </c>
      <c r="D1396" s="2" t="s">
        <v>4819</v>
      </c>
      <c r="E1396" s="2" t="s">
        <v>330</v>
      </c>
      <c r="F1396" s="2" t="s">
        <v>5371</v>
      </c>
      <c r="G1396" s="2" t="s">
        <v>5365</v>
      </c>
      <c r="H1396" s="2" t="s">
        <v>5366</v>
      </c>
      <c r="I1396" s="2" t="s">
        <v>235</v>
      </c>
      <c r="J1396" s="2" t="s">
        <v>5372</v>
      </c>
      <c r="K1396" s="2" t="s">
        <v>898</v>
      </c>
      <c r="L1396" s="3">
        <v>79.21</v>
      </c>
      <c r="M1396" s="3"/>
      <c r="N1396" s="3"/>
      <c r="O1396" s="2" t="s">
        <v>407</v>
      </c>
      <c r="P1396" s="2" t="s">
        <v>235</v>
      </c>
      <c r="Q1396" s="2" t="s">
        <v>235</v>
      </c>
      <c r="R1396" s="2" t="s">
        <v>2425</v>
      </c>
      <c r="S1396" s="2" t="s">
        <v>235</v>
      </c>
      <c r="T1396" s="2" t="s">
        <v>235</v>
      </c>
      <c r="U1396" s="2" t="s">
        <v>235</v>
      </c>
      <c r="V1396" s="2" t="s">
        <v>235</v>
      </c>
      <c r="W1396" s="2" t="s">
        <v>235</v>
      </c>
      <c r="X1396" s="2" t="s">
        <v>235</v>
      </c>
      <c r="Y1396" s="2" t="s">
        <v>235</v>
      </c>
      <c r="Z1396" s="4">
        <v>2</v>
      </c>
      <c r="AA1396" s="4">
        <f>=ROUNDDOWN({0},0)</f>
      </c>
      <c r="AB1396" s="5"/>
      <c r="AC1396" s="2" t="s">
        <v>235</v>
      </c>
      <c r="AD1396" s="4"/>
      <c r="AE1396" s="4"/>
      <c r="AF1396" s="6"/>
      <c r="AG1396" s="6"/>
      <c r="AH1396" s="7"/>
      <c r="AI1396" s="4"/>
      <c r="AJ1396" s="4">
        <f>=ROUNDDOWN({0},0)</f>
      </c>
      <c r="AK1396" s="5"/>
      <c r="AL1396" s="2" t="s">
        <v>235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235</v>
      </c>
      <c r="AW1396" s="8" t="s">
        <v>235</v>
      </c>
      <c r="AX1396" s="4" t="s">
        <v>235</v>
      </c>
      <c r="AY1396" s="8" t="s">
        <v>235</v>
      </c>
      <c r="AZ1396" s="7" t="s">
        <v>235</v>
      </c>
      <c r="BA1396" s="7" t="s">
        <v>235</v>
      </c>
      <c r="BB1396" s="7"/>
      <c r="BC1396" s="4" t="s">
        <v>235</v>
      </c>
      <c r="BD1396" s="8" t="s">
        <v>235</v>
      </c>
      <c r="BE1396" s="4" t="s">
        <v>235</v>
      </c>
      <c r="BF1396" s="8" t="s">
        <v>235</v>
      </c>
      <c r="BG1396" s="7" t="s">
        <v>235</v>
      </c>
      <c r="BH1396" s="7" t="s">
        <v>235</v>
      </c>
      <c r="BI1396" s="7"/>
      <c r="BJ1396" s="4"/>
      <c r="BK1396" s="8"/>
      <c r="BL1396" s="2" t="s">
        <v>235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235</v>
      </c>
      <c r="BV1396" s="2" t="s">
        <v>235</v>
      </c>
      <c r="BW1396" s="2" t="s">
        <v>235</v>
      </c>
      <c r="BX1396" s="2" t="s">
        <v>235</v>
      </c>
      <c r="BY1396" s="2" t="s">
        <v>235</v>
      </c>
      <c r="BZ1396" s="2" t="s">
        <v>235</v>
      </c>
      <c r="CA1396" s="2" t="s">
        <v>235</v>
      </c>
      <c r="CB1396" s="2" t="s">
        <v>235</v>
      </c>
      <c r="CC1396" s="2" t="s">
        <v>235</v>
      </c>
      <c r="CD1396" s="2" t="s">
        <v>235</v>
      </c>
      <c r="CE1396" s="2" t="s">
        <v>235</v>
      </c>
      <c r="CF1396" s="4"/>
      <c r="CG1396" s="4">
        <v>2</v>
      </c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9"/>
      <c r="HE1396" s="9"/>
      <c r="HF1396" s="9"/>
      <c r="HG1396" s="9"/>
      <c r="HH1396" s="9"/>
      <c r="HI1396" s="9"/>
      <c r="HJ1396" s="9"/>
      <c r="HK1396" s="9"/>
      <c r="HL1396" s="9"/>
      <c r="HM1396" s="9"/>
      <c r="HN1396" s="9"/>
      <c r="HO1396" s="9"/>
      <c r="HP1396" s="9"/>
      <c r="HQ1396" s="9"/>
      <c r="HR1396" s="9"/>
      <c r="HS1396" s="9"/>
      <c r="HT1396" s="9"/>
      <c r="HU1396" s="9"/>
      <c r="HV1396" s="9"/>
      <c r="HW1396" s="9"/>
      <c r="HX1396" s="9"/>
      <c r="HY1396" s="9"/>
      <c r="HZ1396" s="9"/>
      <c r="IA1396" s="9"/>
      <c r="IB1396" s="9"/>
      <c r="IC1396" s="9"/>
    </row>
    <row r="1397">
      <c r="A1397" s="2" t="s">
        <v>5373</v>
      </c>
      <c r="B1397" s="2" t="s">
        <v>1071</v>
      </c>
      <c r="C1397" s="2" t="s">
        <v>324</v>
      </c>
      <c r="D1397" s="2" t="s">
        <v>4819</v>
      </c>
      <c r="E1397" s="2" t="s">
        <v>330</v>
      </c>
      <c r="F1397" s="2" t="s">
        <v>5371</v>
      </c>
      <c r="G1397" s="2" t="s">
        <v>5365</v>
      </c>
      <c r="H1397" s="2" t="s">
        <v>5366</v>
      </c>
      <c r="I1397" s="2" t="s">
        <v>235</v>
      </c>
      <c r="J1397" s="2" t="s">
        <v>5374</v>
      </c>
      <c r="K1397" s="2" t="s">
        <v>898</v>
      </c>
      <c r="L1397" s="3">
        <v>42.23</v>
      </c>
      <c r="M1397" s="3"/>
      <c r="N1397" s="3"/>
      <c r="O1397" s="2" t="s">
        <v>407</v>
      </c>
      <c r="P1397" s="2" t="s">
        <v>235</v>
      </c>
      <c r="Q1397" s="2" t="s">
        <v>235</v>
      </c>
      <c r="R1397" s="2" t="s">
        <v>2425</v>
      </c>
      <c r="S1397" s="2" t="s">
        <v>235</v>
      </c>
      <c r="T1397" s="2" t="s">
        <v>235</v>
      </c>
      <c r="U1397" s="2" t="s">
        <v>235</v>
      </c>
      <c r="V1397" s="2" t="s">
        <v>235</v>
      </c>
      <c r="W1397" s="2" t="s">
        <v>235</v>
      </c>
      <c r="X1397" s="2" t="s">
        <v>235</v>
      </c>
      <c r="Y1397" s="2" t="s">
        <v>235</v>
      </c>
      <c r="Z1397" s="4"/>
      <c r="AA1397" s="4">
        <f>=ROUNDDOWN({0},0)</f>
      </c>
      <c r="AB1397" s="5"/>
      <c r="AC1397" s="2" t="s">
        <v>235</v>
      </c>
      <c r="AD1397" s="4"/>
      <c r="AE1397" s="4"/>
      <c r="AF1397" s="6"/>
      <c r="AG1397" s="6"/>
      <c r="AH1397" s="7"/>
      <c r="AI1397" s="4"/>
      <c r="AJ1397" s="4">
        <f>=ROUNDDOWN({0},0)</f>
      </c>
      <c r="AK1397" s="5"/>
      <c r="AL1397" s="2" t="s">
        <v>235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235</v>
      </c>
      <c r="AW1397" s="8" t="s">
        <v>235</v>
      </c>
      <c r="AX1397" s="4" t="s">
        <v>235</v>
      </c>
      <c r="AY1397" s="8" t="s">
        <v>235</v>
      </c>
      <c r="AZ1397" s="7" t="s">
        <v>235</v>
      </c>
      <c r="BA1397" s="7" t="s">
        <v>235</v>
      </c>
      <c r="BB1397" s="7"/>
      <c r="BC1397" s="4" t="s">
        <v>235</v>
      </c>
      <c r="BD1397" s="8" t="s">
        <v>235</v>
      </c>
      <c r="BE1397" s="4" t="s">
        <v>235</v>
      </c>
      <c r="BF1397" s="8" t="s">
        <v>235</v>
      </c>
      <c r="BG1397" s="7" t="s">
        <v>235</v>
      </c>
      <c r="BH1397" s="7" t="s">
        <v>235</v>
      </c>
      <c r="BI1397" s="7"/>
      <c r="BJ1397" s="4"/>
      <c r="BK1397" s="8"/>
      <c r="BL1397" s="2" t="s">
        <v>235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235</v>
      </c>
      <c r="BV1397" s="2" t="s">
        <v>235</v>
      </c>
      <c r="BW1397" s="2" t="s">
        <v>235</v>
      </c>
      <c r="BX1397" s="2" t="s">
        <v>235</v>
      </c>
      <c r="BY1397" s="2" t="s">
        <v>235</v>
      </c>
      <c r="BZ1397" s="2" t="s">
        <v>235</v>
      </c>
      <c r="CA1397" s="2" t="s">
        <v>235</v>
      </c>
      <c r="CB1397" s="2" t="s">
        <v>235</v>
      </c>
      <c r="CC1397" s="2" t="s">
        <v>235</v>
      </c>
      <c r="CD1397" s="2" t="s">
        <v>235</v>
      </c>
      <c r="CE1397" s="2" t="s">
        <v>235</v>
      </c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9"/>
      <c r="HE1397" s="9"/>
      <c r="HF1397" s="9"/>
      <c r="HG1397" s="9"/>
      <c r="HH1397" s="9"/>
      <c r="HI1397" s="9"/>
      <c r="HJ1397" s="9"/>
      <c r="HK1397" s="9"/>
      <c r="HL1397" s="9"/>
      <c r="HM1397" s="9"/>
      <c r="HN1397" s="9"/>
      <c r="HO1397" s="9"/>
      <c r="HP1397" s="9"/>
      <c r="HQ1397" s="9"/>
      <c r="HR1397" s="9"/>
      <c r="HS1397" s="9"/>
      <c r="HT1397" s="9"/>
      <c r="HU1397" s="9"/>
      <c r="HV1397" s="9"/>
      <c r="HW1397" s="9"/>
      <c r="HX1397" s="9"/>
      <c r="HY1397" s="9"/>
      <c r="HZ1397" s="9"/>
      <c r="IA1397" s="9"/>
      <c r="IB1397" s="9"/>
      <c r="IC1397" s="9"/>
    </row>
    <row r="1398">
      <c r="A1398" s="2" t="s">
        <v>5375</v>
      </c>
      <c r="B1398" s="2" t="s">
        <v>871</v>
      </c>
      <c r="C1398" s="2" t="s">
        <v>324</v>
      </c>
      <c r="D1398" s="2" t="s">
        <v>361</v>
      </c>
      <c r="E1398" s="2" t="s">
        <v>872</v>
      </c>
      <c r="F1398" s="2" t="s">
        <v>5376</v>
      </c>
      <c r="G1398" s="2" t="s">
        <v>5377</v>
      </c>
      <c r="H1398" s="2" t="s">
        <v>5378</v>
      </c>
      <c r="I1398" s="2" t="s">
        <v>5379</v>
      </c>
      <c r="J1398" s="2" t="s">
        <v>365</v>
      </c>
      <c r="K1398" s="2" t="s">
        <v>600</v>
      </c>
      <c r="L1398" s="3">
        <v>40.54</v>
      </c>
      <c r="M1398" s="3">
        <v>42.57</v>
      </c>
      <c r="N1398" s="3">
        <v>89.99</v>
      </c>
      <c r="O1398" s="2" t="s">
        <v>407</v>
      </c>
      <c r="P1398" s="2" t="s">
        <v>408</v>
      </c>
      <c r="Q1398" s="2" t="s">
        <v>234</v>
      </c>
      <c r="R1398" s="2" t="s">
        <v>235</v>
      </c>
      <c r="S1398" s="2" t="s">
        <v>5380</v>
      </c>
      <c r="T1398" s="2" t="s">
        <v>501</v>
      </c>
      <c r="U1398" s="2" t="s">
        <v>264</v>
      </c>
      <c r="V1398" s="2" t="s">
        <v>880</v>
      </c>
      <c r="W1398" s="2" t="s">
        <v>4248</v>
      </c>
      <c r="X1398" s="2" t="s">
        <v>239</v>
      </c>
      <c r="Y1398" s="2" t="s">
        <v>5381</v>
      </c>
      <c r="Z1398" s="4">
        <v>191</v>
      </c>
      <c r="AA1398" s="4">
        <f>=ROUNDDOWN(95.5,0)</f>
      </c>
      <c r="AB1398" s="5">
        <v>2</v>
      </c>
      <c r="AC1398" s="2" t="s">
        <v>235</v>
      </c>
      <c r="AD1398" s="4"/>
      <c r="AE1398" s="4"/>
      <c r="AF1398" s="6">
        <v>64</v>
      </c>
      <c r="AG1398" s="6"/>
      <c r="AH1398" s="7">
        <v>1</v>
      </c>
      <c r="AI1398" s="4"/>
      <c r="AJ1398" s="4">
        <f>=ROUNDDOWN({0},0)</f>
      </c>
      <c r="AK1398" s="5"/>
      <c r="AL1398" s="2" t="s">
        <v>235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235</v>
      </c>
      <c r="AW1398" s="8" t="s">
        <v>235</v>
      </c>
      <c r="AX1398" s="4" t="s">
        <v>235</v>
      </c>
      <c r="AY1398" s="8" t="s">
        <v>235</v>
      </c>
      <c r="AZ1398" s="7" t="s">
        <v>235</v>
      </c>
      <c r="BA1398" s="7" t="s">
        <v>235</v>
      </c>
      <c r="BB1398" s="7" t="s">
        <v>235</v>
      </c>
      <c r="BC1398" s="4" t="s">
        <v>235</v>
      </c>
      <c r="BD1398" s="8" t="s">
        <v>235</v>
      </c>
      <c r="BE1398" s="4" t="s">
        <v>235</v>
      </c>
      <c r="BF1398" s="8" t="s">
        <v>235</v>
      </c>
      <c r="BG1398" s="7" t="s">
        <v>235</v>
      </c>
      <c r="BH1398" s="7" t="s">
        <v>235</v>
      </c>
      <c r="BI1398" s="7"/>
      <c r="BJ1398" s="4">
        <v>8</v>
      </c>
      <c r="BK1398" s="8">
        <v>377.86</v>
      </c>
      <c r="BL1398" s="2" t="s">
        <v>5382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5383</v>
      </c>
      <c r="BV1398" s="2" t="s">
        <v>243</v>
      </c>
      <c r="BW1398" s="2" t="s">
        <v>235</v>
      </c>
      <c r="BX1398" s="2" t="s">
        <v>414</v>
      </c>
      <c r="BY1398" s="2" t="s">
        <v>245</v>
      </c>
      <c r="BZ1398" s="2" t="s">
        <v>232</v>
      </c>
      <c r="CA1398" s="2" t="s">
        <v>5310</v>
      </c>
      <c r="CB1398" s="2" t="s">
        <v>2744</v>
      </c>
      <c r="CC1398" s="2" t="s">
        <v>248</v>
      </c>
      <c r="CD1398" s="2" t="s">
        <v>248</v>
      </c>
      <c r="CE1398" s="2" t="s">
        <v>235</v>
      </c>
      <c r="CF1398" s="4">
        <v>191</v>
      </c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>
        <v>191</v>
      </c>
      <c r="GE1398" s="4">
        <v>189</v>
      </c>
      <c r="GF1398" s="4">
        <v>187</v>
      </c>
      <c r="GG1398" s="4">
        <v>185</v>
      </c>
      <c r="GH1398" s="4">
        <v>183</v>
      </c>
      <c r="GI1398" s="4">
        <v>181</v>
      </c>
      <c r="GJ1398" s="4">
        <v>179</v>
      </c>
      <c r="GK1398" s="4">
        <v>177</v>
      </c>
      <c r="GL1398" s="4">
        <v>175</v>
      </c>
      <c r="GM1398" s="4">
        <v>173</v>
      </c>
      <c r="GN1398" s="4">
        <v>171</v>
      </c>
      <c r="GO1398" s="4">
        <v>168</v>
      </c>
      <c r="GP1398" s="4">
        <v>165</v>
      </c>
      <c r="GQ1398" s="4">
        <v>159</v>
      </c>
      <c r="GR1398" s="4">
        <v>156</v>
      </c>
      <c r="GS1398" s="4">
        <v>153</v>
      </c>
      <c r="GT1398" s="4">
        <v>151</v>
      </c>
      <c r="GU1398" s="4">
        <v>150</v>
      </c>
      <c r="GV1398" s="4">
        <v>148</v>
      </c>
      <c r="GW1398" s="4">
        <v>146</v>
      </c>
      <c r="GX1398" s="4">
        <v>144</v>
      </c>
      <c r="GY1398" s="4">
        <v>142</v>
      </c>
      <c r="GZ1398" s="4">
        <v>140</v>
      </c>
      <c r="HA1398" s="4">
        <v>138</v>
      </c>
      <c r="HB1398" s="4">
        <v>136</v>
      </c>
      <c r="HC1398" s="4">
        <v>134</v>
      </c>
      <c r="HD1398" s="19">
        <v>95.5</v>
      </c>
      <c r="HE1398" s="19">
        <v>94.5</v>
      </c>
      <c r="HF1398" s="19">
        <v>93.5</v>
      </c>
      <c r="HG1398" s="19">
        <v>92.5</v>
      </c>
      <c r="HH1398" s="19">
        <v>91.5</v>
      </c>
      <c r="HI1398" s="19">
        <v>90.5</v>
      </c>
      <c r="HJ1398" s="19">
        <v>89.5</v>
      </c>
      <c r="HK1398" s="19">
        <v>88.5</v>
      </c>
      <c r="HL1398" s="19">
        <v>87.5</v>
      </c>
      <c r="HM1398" s="19">
        <v>43.3</v>
      </c>
      <c r="HN1398" s="19">
        <v>42.8</v>
      </c>
      <c r="HO1398" s="19">
        <v>42</v>
      </c>
      <c r="HP1398" s="19">
        <v>41.3</v>
      </c>
      <c r="HQ1398" s="19">
        <v>79.5</v>
      </c>
      <c r="HR1398" s="19">
        <v>78</v>
      </c>
      <c r="HS1398" s="19">
        <v>76.5</v>
      </c>
      <c r="HT1398" s="19">
        <v>75.5</v>
      </c>
      <c r="HU1398" s="19">
        <v>75</v>
      </c>
      <c r="HV1398" s="19">
        <v>74</v>
      </c>
      <c r="HW1398" s="19">
        <v>73</v>
      </c>
      <c r="HX1398" s="19">
        <v>72</v>
      </c>
      <c r="HY1398" s="19">
        <v>71</v>
      </c>
      <c r="HZ1398" s="19">
        <v>70</v>
      </c>
      <c r="IA1398" s="19">
        <v>69</v>
      </c>
      <c r="IB1398" s="19">
        <v>68</v>
      </c>
      <c r="IC1398" s="19">
        <v>67</v>
      </c>
    </row>
    <row r="1399">
      <c r="A1399" s="2" t="s">
        <v>5384</v>
      </c>
      <c r="B1399" s="2" t="s">
        <v>871</v>
      </c>
      <c r="C1399" s="2" t="s">
        <v>324</v>
      </c>
      <c r="D1399" s="2" t="s">
        <v>906</v>
      </c>
      <c r="E1399" s="2" t="s">
        <v>907</v>
      </c>
      <c r="F1399" s="2" t="s">
        <v>5376</v>
      </c>
      <c r="G1399" s="2" t="s">
        <v>5377</v>
      </c>
      <c r="H1399" s="2" t="s">
        <v>5378</v>
      </c>
      <c r="I1399" s="2" t="s">
        <v>5385</v>
      </c>
      <c r="J1399" s="2" t="s">
        <v>365</v>
      </c>
      <c r="K1399" s="2" t="s">
        <v>600</v>
      </c>
      <c r="L1399" s="3">
        <v>25.36</v>
      </c>
      <c r="M1399" s="3">
        <v>26.63</v>
      </c>
      <c r="N1399" s="3">
        <v>54.99</v>
      </c>
      <c r="O1399" s="2" t="s">
        <v>407</v>
      </c>
      <c r="P1399" s="2" t="s">
        <v>408</v>
      </c>
      <c r="Q1399" s="2" t="s">
        <v>234</v>
      </c>
      <c r="R1399" s="2" t="s">
        <v>235</v>
      </c>
      <c r="S1399" s="2" t="s">
        <v>5380</v>
      </c>
      <c r="T1399" s="2" t="s">
        <v>501</v>
      </c>
      <c r="U1399" s="2" t="s">
        <v>552</v>
      </c>
      <c r="V1399" s="2" t="s">
        <v>880</v>
      </c>
      <c r="W1399" s="2" t="s">
        <v>4248</v>
      </c>
      <c r="X1399" s="2" t="s">
        <v>239</v>
      </c>
      <c r="Y1399" s="2" t="s">
        <v>5381</v>
      </c>
      <c r="Z1399" s="4">
        <v>56</v>
      </c>
      <c r="AA1399" s="4">
        <f>=ROUNDDOWN(37.3333333333333,0)</f>
      </c>
      <c r="AB1399" s="5">
        <v>1.5</v>
      </c>
      <c r="AC1399" s="2" t="s">
        <v>235</v>
      </c>
      <c r="AD1399" s="4"/>
      <c r="AE1399" s="4"/>
      <c r="AF1399" s="6">
        <v>64</v>
      </c>
      <c r="AG1399" s="6"/>
      <c r="AH1399" s="7">
        <v>1</v>
      </c>
      <c r="AI1399" s="4"/>
      <c r="AJ1399" s="4">
        <f>=ROUNDDOWN({0},0)</f>
      </c>
      <c r="AK1399" s="5"/>
      <c r="AL1399" s="2" t="s">
        <v>235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235</v>
      </c>
      <c r="AW1399" s="8" t="s">
        <v>235</v>
      </c>
      <c r="AX1399" s="4" t="s">
        <v>235</v>
      </c>
      <c r="AY1399" s="8" t="s">
        <v>235</v>
      </c>
      <c r="AZ1399" s="7" t="s">
        <v>235</v>
      </c>
      <c r="BA1399" s="7" t="s">
        <v>235</v>
      </c>
      <c r="BB1399" s="7" t="s">
        <v>235</v>
      </c>
      <c r="BC1399" s="4" t="s">
        <v>235</v>
      </c>
      <c r="BD1399" s="8" t="s">
        <v>235</v>
      </c>
      <c r="BE1399" s="4" t="s">
        <v>235</v>
      </c>
      <c r="BF1399" s="8" t="s">
        <v>235</v>
      </c>
      <c r="BG1399" s="7" t="s">
        <v>235</v>
      </c>
      <c r="BH1399" s="7" t="s">
        <v>235</v>
      </c>
      <c r="BI1399" s="7"/>
      <c r="BJ1399" s="4">
        <v>6</v>
      </c>
      <c r="BK1399" s="8">
        <v>160.63</v>
      </c>
      <c r="BL1399" s="2" t="s">
        <v>5386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5387</v>
      </c>
      <c r="BV1399" s="2" t="s">
        <v>243</v>
      </c>
      <c r="BW1399" s="2" t="s">
        <v>235</v>
      </c>
      <c r="BX1399" s="2" t="s">
        <v>414</v>
      </c>
      <c r="BY1399" s="2" t="s">
        <v>245</v>
      </c>
      <c r="BZ1399" s="2" t="s">
        <v>232</v>
      </c>
      <c r="CA1399" s="2" t="s">
        <v>5310</v>
      </c>
      <c r="CB1399" s="2" t="s">
        <v>798</v>
      </c>
      <c r="CC1399" s="2" t="s">
        <v>248</v>
      </c>
      <c r="CD1399" s="2" t="s">
        <v>248</v>
      </c>
      <c r="CE1399" s="2" t="s">
        <v>235</v>
      </c>
      <c r="CF1399" s="4">
        <v>56</v>
      </c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>
        <v>56</v>
      </c>
      <c r="GE1399" s="4">
        <v>54</v>
      </c>
      <c r="GF1399" s="4">
        <v>52</v>
      </c>
      <c r="GG1399" s="4">
        <v>50</v>
      </c>
      <c r="GH1399" s="4">
        <v>48</v>
      </c>
      <c r="GI1399" s="4">
        <v>46</v>
      </c>
      <c r="GJ1399" s="4">
        <v>44</v>
      </c>
      <c r="GK1399" s="4">
        <v>42</v>
      </c>
      <c r="GL1399" s="4">
        <v>40</v>
      </c>
      <c r="GM1399" s="4">
        <v>38</v>
      </c>
      <c r="GN1399" s="4">
        <v>36</v>
      </c>
      <c r="GO1399" s="4">
        <v>33</v>
      </c>
      <c r="GP1399" s="4">
        <v>30</v>
      </c>
      <c r="GQ1399" s="4">
        <v>24</v>
      </c>
      <c r="GR1399" s="4">
        <v>21</v>
      </c>
      <c r="GS1399" s="4">
        <v>18</v>
      </c>
      <c r="GT1399" s="4">
        <v>16</v>
      </c>
      <c r="GU1399" s="4">
        <v>15</v>
      </c>
      <c r="GV1399" s="4">
        <v>13</v>
      </c>
      <c r="GW1399" s="4">
        <v>11</v>
      </c>
      <c r="GX1399" s="4">
        <v>9</v>
      </c>
      <c r="GY1399" s="4">
        <v>7</v>
      </c>
      <c r="GZ1399" s="4">
        <v>5</v>
      </c>
      <c r="HA1399" s="4">
        <v>3</v>
      </c>
      <c r="HB1399" s="4">
        <v>1</v>
      </c>
      <c r="HC1399" s="4"/>
      <c r="HD1399" s="19">
        <v>28</v>
      </c>
      <c r="HE1399" s="19">
        <v>27</v>
      </c>
      <c r="HF1399" s="19">
        <v>26</v>
      </c>
      <c r="HG1399" s="19">
        <v>25</v>
      </c>
      <c r="HH1399" s="19">
        <v>24</v>
      </c>
      <c r="HI1399" s="19">
        <v>23</v>
      </c>
      <c r="HJ1399" s="19">
        <v>22</v>
      </c>
      <c r="HK1399" s="19">
        <v>21</v>
      </c>
      <c r="HL1399" s="19">
        <v>20</v>
      </c>
      <c r="HM1399" s="19">
        <v>9.5</v>
      </c>
      <c r="HN1399" s="19">
        <v>9</v>
      </c>
      <c r="HO1399" s="19">
        <v>8.3</v>
      </c>
      <c r="HP1399" s="19">
        <v>7.5</v>
      </c>
      <c r="HQ1399" s="19">
        <v>12</v>
      </c>
      <c r="HR1399" s="19">
        <v>10.5</v>
      </c>
      <c r="HS1399" s="19">
        <v>9</v>
      </c>
      <c r="HT1399" s="19">
        <v>8</v>
      </c>
      <c r="HU1399" s="19">
        <v>7.5</v>
      </c>
      <c r="HV1399" s="19">
        <v>6.5</v>
      </c>
      <c r="HW1399" s="19">
        <v>5.5</v>
      </c>
      <c r="HX1399" s="19">
        <v>4.5</v>
      </c>
      <c r="HY1399" s="19">
        <v>3.5</v>
      </c>
      <c r="HZ1399" s="19">
        <v>2.5</v>
      </c>
      <c r="IA1399" s="19">
        <v>1.5</v>
      </c>
      <c r="IB1399" s="19">
        <v>0.5</v>
      </c>
      <c r="IC1399" s="20">
        <v>0</v>
      </c>
    </row>
    <row r="1400">
      <c r="A1400" s="2" t="s">
        <v>5388</v>
      </c>
      <c r="B1400" s="2" t="s">
        <v>871</v>
      </c>
      <c r="C1400" s="2" t="s">
        <v>324</v>
      </c>
      <c r="D1400" s="2" t="s">
        <v>906</v>
      </c>
      <c r="E1400" s="2" t="s">
        <v>907</v>
      </c>
      <c r="F1400" s="2" t="s">
        <v>5376</v>
      </c>
      <c r="G1400" s="2" t="s">
        <v>5377</v>
      </c>
      <c r="H1400" s="2" t="s">
        <v>5378</v>
      </c>
      <c r="I1400" s="2" t="s">
        <v>5385</v>
      </c>
      <c r="J1400" s="2" t="s">
        <v>372</v>
      </c>
      <c r="K1400" s="2" t="s">
        <v>600</v>
      </c>
      <c r="L1400" s="3">
        <v>30.31</v>
      </c>
      <c r="M1400" s="3">
        <v>31.83</v>
      </c>
      <c r="N1400" s="3">
        <v>64.99</v>
      </c>
      <c r="O1400" s="2" t="s">
        <v>407</v>
      </c>
      <c r="P1400" s="2" t="s">
        <v>408</v>
      </c>
      <c r="Q1400" s="2" t="s">
        <v>234</v>
      </c>
      <c r="R1400" s="2" t="s">
        <v>235</v>
      </c>
      <c r="S1400" s="2" t="s">
        <v>5380</v>
      </c>
      <c r="T1400" s="2" t="s">
        <v>501</v>
      </c>
      <c r="U1400" s="2" t="s">
        <v>552</v>
      </c>
      <c r="V1400" s="2" t="s">
        <v>880</v>
      </c>
      <c r="W1400" s="2" t="s">
        <v>4248</v>
      </c>
      <c r="X1400" s="2" t="s">
        <v>239</v>
      </c>
      <c r="Y1400" s="2" t="s">
        <v>5381</v>
      </c>
      <c r="Z1400" s="4">
        <v>68</v>
      </c>
      <c r="AA1400" s="4">
        <f>=ROUNDDOWN(52.3076923076923,0)</f>
      </c>
      <c r="AB1400" s="5">
        <v>1.3</v>
      </c>
      <c r="AC1400" s="2" t="s">
        <v>235</v>
      </c>
      <c r="AD1400" s="4"/>
      <c r="AE1400" s="4"/>
      <c r="AF1400" s="6">
        <v>64</v>
      </c>
      <c r="AG1400" s="6"/>
      <c r="AH1400" s="7">
        <v>1</v>
      </c>
      <c r="AI1400" s="4"/>
      <c r="AJ1400" s="4">
        <f>=ROUNDDOWN({0},0)</f>
      </c>
      <c r="AK1400" s="5"/>
      <c r="AL1400" s="2" t="s">
        <v>235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235</v>
      </c>
      <c r="AW1400" s="8" t="s">
        <v>235</v>
      </c>
      <c r="AX1400" s="4" t="s">
        <v>235</v>
      </c>
      <c r="AY1400" s="8" t="s">
        <v>235</v>
      </c>
      <c r="AZ1400" s="7" t="s">
        <v>235</v>
      </c>
      <c r="BA1400" s="7" t="s">
        <v>235</v>
      </c>
      <c r="BB1400" s="7"/>
      <c r="BC1400" s="4" t="s">
        <v>235</v>
      </c>
      <c r="BD1400" s="8" t="s">
        <v>235</v>
      </c>
      <c r="BE1400" s="4" t="s">
        <v>235</v>
      </c>
      <c r="BF1400" s="8" t="s">
        <v>235</v>
      </c>
      <c r="BG1400" s="7" t="s">
        <v>235</v>
      </c>
      <c r="BH1400" s="7" t="s">
        <v>235</v>
      </c>
      <c r="BI1400" s="7"/>
      <c r="BJ1400" s="4">
        <v>7</v>
      </c>
      <c r="BK1400" s="8">
        <v>246.63</v>
      </c>
      <c r="BL1400" s="2" t="s">
        <v>1695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5387</v>
      </c>
      <c r="BV1400" s="2" t="s">
        <v>243</v>
      </c>
      <c r="BW1400" s="2" t="s">
        <v>235</v>
      </c>
      <c r="BX1400" s="2" t="s">
        <v>414</v>
      </c>
      <c r="BY1400" s="2" t="s">
        <v>245</v>
      </c>
      <c r="BZ1400" s="2" t="s">
        <v>232</v>
      </c>
      <c r="CA1400" s="2" t="s">
        <v>5310</v>
      </c>
      <c r="CB1400" s="2" t="s">
        <v>1034</v>
      </c>
      <c r="CC1400" s="2" t="s">
        <v>248</v>
      </c>
      <c r="CD1400" s="2" t="s">
        <v>248</v>
      </c>
      <c r="CE1400" s="2" t="s">
        <v>235</v>
      </c>
      <c r="CF1400" s="4">
        <v>68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>
        <v>69</v>
      </c>
      <c r="GE1400" s="4">
        <v>67</v>
      </c>
      <c r="GF1400" s="4">
        <v>66</v>
      </c>
      <c r="GG1400" s="4">
        <v>65</v>
      </c>
      <c r="GH1400" s="4">
        <v>64</v>
      </c>
      <c r="GI1400" s="4">
        <v>63</v>
      </c>
      <c r="GJ1400" s="4">
        <v>62</v>
      </c>
      <c r="GK1400" s="4">
        <v>61</v>
      </c>
      <c r="GL1400" s="4">
        <v>60</v>
      </c>
      <c r="GM1400" s="4">
        <v>59</v>
      </c>
      <c r="GN1400" s="4">
        <v>58</v>
      </c>
      <c r="GO1400" s="4">
        <v>57</v>
      </c>
      <c r="GP1400" s="4">
        <v>55</v>
      </c>
      <c r="GQ1400" s="4">
        <v>52</v>
      </c>
      <c r="GR1400" s="4">
        <v>50</v>
      </c>
      <c r="GS1400" s="4">
        <v>48</v>
      </c>
      <c r="GT1400" s="4">
        <v>47</v>
      </c>
      <c r="GU1400" s="4">
        <v>46</v>
      </c>
      <c r="GV1400" s="4">
        <v>45</v>
      </c>
      <c r="GW1400" s="4">
        <v>44</v>
      </c>
      <c r="GX1400" s="4">
        <v>43</v>
      </c>
      <c r="GY1400" s="4">
        <v>42</v>
      </c>
      <c r="GZ1400" s="4">
        <v>41</v>
      </c>
      <c r="HA1400" s="4">
        <v>40</v>
      </c>
      <c r="HB1400" s="4">
        <v>39</v>
      </c>
      <c r="HC1400" s="4">
        <v>38</v>
      </c>
      <c r="HD1400" s="19">
        <v>69</v>
      </c>
      <c r="HE1400" s="19">
        <v>67</v>
      </c>
      <c r="HF1400" s="19">
        <v>66</v>
      </c>
      <c r="HG1400" s="19">
        <v>65</v>
      </c>
      <c r="HH1400" s="19">
        <v>64</v>
      </c>
      <c r="HI1400" s="19">
        <v>63</v>
      </c>
      <c r="HJ1400" s="19">
        <v>62</v>
      </c>
      <c r="HK1400" s="19">
        <v>61</v>
      </c>
      <c r="HL1400" s="19">
        <v>60</v>
      </c>
      <c r="HM1400" s="19">
        <v>29.5</v>
      </c>
      <c r="HN1400" s="19">
        <v>29</v>
      </c>
      <c r="HO1400" s="19">
        <v>28.5</v>
      </c>
      <c r="HP1400" s="19">
        <v>27.5</v>
      </c>
      <c r="HQ1400" s="19">
        <v>26</v>
      </c>
      <c r="HR1400" s="19">
        <v>50</v>
      </c>
      <c r="HS1400" s="19">
        <v>48</v>
      </c>
      <c r="HT1400" s="19">
        <v>47</v>
      </c>
      <c r="HU1400" s="19">
        <v>46</v>
      </c>
      <c r="HV1400" s="19">
        <v>45</v>
      </c>
      <c r="HW1400" s="19">
        <v>44</v>
      </c>
      <c r="HX1400" s="19">
        <v>43</v>
      </c>
      <c r="HY1400" s="19">
        <v>42</v>
      </c>
      <c r="HZ1400" s="19">
        <v>41</v>
      </c>
      <c r="IA1400" s="19">
        <v>40</v>
      </c>
      <c r="IB1400" s="19">
        <v>39</v>
      </c>
      <c r="IC1400" s="19">
        <v>38</v>
      </c>
    </row>
    <row r="1401">
      <c r="A1401" s="2" t="s">
        <v>5389</v>
      </c>
      <c r="B1401" s="2" t="s">
        <v>871</v>
      </c>
      <c r="C1401" s="2" t="s">
        <v>324</v>
      </c>
      <c r="D1401" s="2" t="s">
        <v>906</v>
      </c>
      <c r="E1401" s="2" t="s">
        <v>907</v>
      </c>
      <c r="F1401" s="2" t="s">
        <v>5390</v>
      </c>
      <c r="G1401" s="2" t="s">
        <v>5391</v>
      </c>
      <c r="H1401" s="2" t="s">
        <v>5392</v>
      </c>
      <c r="I1401" s="2" t="s">
        <v>5393</v>
      </c>
      <c r="J1401" s="2" t="s">
        <v>372</v>
      </c>
      <c r="K1401" s="2" t="s">
        <v>2386</v>
      </c>
      <c r="L1401" s="3">
        <v>36.8</v>
      </c>
      <c r="M1401" s="3">
        <v>38.64</v>
      </c>
      <c r="N1401" s="3">
        <v>79.99</v>
      </c>
      <c r="O1401" s="2" t="s">
        <v>407</v>
      </c>
      <c r="P1401" s="2" t="s">
        <v>408</v>
      </c>
      <c r="Q1401" s="2" t="s">
        <v>234</v>
      </c>
      <c r="R1401" s="2" t="s">
        <v>235</v>
      </c>
      <c r="S1401" s="2" t="s">
        <v>5394</v>
      </c>
      <c r="T1401" s="2" t="s">
        <v>235</v>
      </c>
      <c r="U1401" s="2" t="s">
        <v>552</v>
      </c>
      <c r="V1401" s="2" t="s">
        <v>880</v>
      </c>
      <c r="W1401" s="2" t="s">
        <v>1157</v>
      </c>
      <c r="X1401" s="2" t="s">
        <v>1053</v>
      </c>
      <c r="Y1401" s="2" t="s">
        <v>5395</v>
      </c>
      <c r="Z1401" s="4">
        <v>46</v>
      </c>
      <c r="AA1401" s="4">
        <f>=ROUNDDOWN(6.57142857142857,0)</f>
      </c>
      <c r="AB1401" s="5">
        <v>7</v>
      </c>
      <c r="AC1401" s="2" t="s">
        <v>235</v>
      </c>
      <c r="AD1401" s="4"/>
      <c r="AE1401" s="4"/>
      <c r="AF1401" s="6">
        <v>78</v>
      </c>
      <c r="AG1401" s="6"/>
      <c r="AH1401" s="7">
        <v>1</v>
      </c>
      <c r="AI1401" s="4"/>
      <c r="AJ1401" s="4">
        <f>=ROUNDDOWN({0},0)</f>
      </c>
      <c r="AK1401" s="5"/>
      <c r="AL1401" s="2" t="s">
        <v>235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235</v>
      </c>
      <c r="AW1401" s="8" t="s">
        <v>235</v>
      </c>
      <c r="AX1401" s="4" t="s">
        <v>235</v>
      </c>
      <c r="AY1401" s="8" t="s">
        <v>235</v>
      </c>
      <c r="AZ1401" s="7" t="s">
        <v>235</v>
      </c>
      <c r="BA1401" s="7" t="s">
        <v>235</v>
      </c>
      <c r="BB1401" s="7"/>
      <c r="BC1401" s="4" t="s">
        <v>235</v>
      </c>
      <c r="BD1401" s="8" t="s">
        <v>235</v>
      </c>
      <c r="BE1401" s="4" t="s">
        <v>235</v>
      </c>
      <c r="BF1401" s="8" t="s">
        <v>235</v>
      </c>
      <c r="BG1401" s="7" t="s">
        <v>235</v>
      </c>
      <c r="BH1401" s="7" t="s">
        <v>235</v>
      </c>
      <c r="BI1401" s="7"/>
      <c r="BJ1401" s="4">
        <v>20</v>
      </c>
      <c r="BK1401" s="8">
        <v>759.75</v>
      </c>
      <c r="BL1401" s="2" t="s">
        <v>5396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5397</v>
      </c>
      <c r="BV1401" s="2" t="s">
        <v>243</v>
      </c>
      <c r="BW1401" s="2" t="s">
        <v>235</v>
      </c>
      <c r="BX1401" s="2" t="s">
        <v>414</v>
      </c>
      <c r="BY1401" s="2" t="s">
        <v>245</v>
      </c>
      <c r="BZ1401" s="2" t="s">
        <v>232</v>
      </c>
      <c r="CA1401" s="2" t="s">
        <v>5395</v>
      </c>
      <c r="CB1401" s="2" t="s">
        <v>5398</v>
      </c>
      <c r="CC1401" s="2" t="s">
        <v>248</v>
      </c>
      <c r="CD1401" s="2" t="s">
        <v>248</v>
      </c>
      <c r="CE1401" s="2" t="s">
        <v>235</v>
      </c>
      <c r="CF1401" s="4">
        <v>46</v>
      </c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>
        <v>53</v>
      </c>
      <c r="GE1401" s="4">
        <v>45</v>
      </c>
      <c r="GF1401" s="4">
        <v>33</v>
      </c>
      <c r="GG1401" s="4">
        <v>27</v>
      </c>
      <c r="GH1401" s="4">
        <v>21</v>
      </c>
      <c r="GI1401" s="4">
        <v>15</v>
      </c>
      <c r="GJ1401" s="4">
        <v>8</v>
      </c>
      <c r="GK1401" s="4">
        <v>1</v>
      </c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19">
        <v>6.6</v>
      </c>
      <c r="HE1401" s="19">
        <v>5.6</v>
      </c>
      <c r="HF1401" s="19">
        <v>5.5</v>
      </c>
      <c r="HG1401" s="19">
        <v>4.5</v>
      </c>
      <c r="HH1401" s="19">
        <v>3</v>
      </c>
      <c r="HI1401" s="19">
        <v>2.5</v>
      </c>
      <c r="HJ1401" s="19">
        <v>1.3</v>
      </c>
      <c r="HK1401" s="19">
        <v>0.1</v>
      </c>
      <c r="HL1401" s="20">
        <v>0</v>
      </c>
      <c r="HM1401" s="20">
        <v>0</v>
      </c>
      <c r="HN1401" s="20">
        <v>0</v>
      </c>
      <c r="HO1401" s="20">
        <v>0</v>
      </c>
      <c r="HP1401" s="20">
        <v>0</v>
      </c>
      <c r="HQ1401" s="20">
        <v>0</v>
      </c>
      <c r="HR1401" s="20">
        <v>0</v>
      </c>
      <c r="HS1401" s="20">
        <v>0</v>
      </c>
      <c r="HT1401" s="20">
        <v>0</v>
      </c>
      <c r="HU1401" s="20">
        <v>0</v>
      </c>
      <c r="HV1401" s="20">
        <v>0</v>
      </c>
      <c r="HW1401" s="20">
        <v>0</v>
      </c>
      <c r="HX1401" s="20">
        <v>0</v>
      </c>
      <c r="HY1401" s="20">
        <v>0</v>
      </c>
      <c r="HZ1401" s="20">
        <v>0</v>
      </c>
      <c r="IA1401" s="20">
        <v>0</v>
      </c>
      <c r="IB1401" s="20">
        <v>0</v>
      </c>
      <c r="IC1401" s="20">
        <v>0</v>
      </c>
    </row>
    <row r="1402">
      <c r="A1402" s="2" t="s">
        <v>5399</v>
      </c>
      <c r="B1402" s="2" t="s">
        <v>871</v>
      </c>
      <c r="C1402" s="2" t="s">
        <v>324</v>
      </c>
      <c r="D1402" s="2" t="s">
        <v>361</v>
      </c>
      <c r="E1402" s="2" t="s">
        <v>872</v>
      </c>
      <c r="F1402" s="2" t="s">
        <v>5390</v>
      </c>
      <c r="G1402" s="2" t="s">
        <v>5391</v>
      </c>
      <c r="H1402" s="2" t="s">
        <v>5392</v>
      </c>
      <c r="I1402" s="2" t="s">
        <v>5400</v>
      </c>
      <c r="J1402" s="2" t="s">
        <v>272</v>
      </c>
      <c r="K1402" s="2" t="s">
        <v>2386</v>
      </c>
      <c r="L1402" s="3">
        <v>85</v>
      </c>
      <c r="M1402" s="3">
        <v>89.24</v>
      </c>
      <c r="N1402" s="3">
        <v>169.99</v>
      </c>
      <c r="O1402" s="2" t="s">
        <v>407</v>
      </c>
      <c r="P1402" s="2" t="s">
        <v>408</v>
      </c>
      <c r="Q1402" s="2" t="s">
        <v>234</v>
      </c>
      <c r="R1402" s="2" t="s">
        <v>235</v>
      </c>
      <c r="S1402" s="2" t="s">
        <v>5394</v>
      </c>
      <c r="T1402" s="2" t="s">
        <v>235</v>
      </c>
      <c r="U1402" s="2" t="s">
        <v>742</v>
      </c>
      <c r="V1402" s="2" t="s">
        <v>880</v>
      </c>
      <c r="W1402" s="2" t="s">
        <v>1157</v>
      </c>
      <c r="X1402" s="2" t="s">
        <v>1053</v>
      </c>
      <c r="Y1402" s="2" t="s">
        <v>5395</v>
      </c>
      <c r="Z1402" s="4">
        <v>30</v>
      </c>
      <c r="AA1402" s="4">
        <f>=ROUNDDOWN(10,0)</f>
      </c>
      <c r="AB1402" s="5">
        <v>3</v>
      </c>
      <c r="AC1402" s="2" t="s">
        <v>235</v>
      </c>
      <c r="AD1402" s="4"/>
      <c r="AE1402" s="4"/>
      <c r="AF1402" s="6">
        <v>78</v>
      </c>
      <c r="AG1402" s="6"/>
      <c r="AH1402" s="7">
        <v>1</v>
      </c>
      <c r="AI1402" s="4"/>
      <c r="AJ1402" s="4">
        <f>=ROUNDDOWN({0},0)</f>
      </c>
      <c r="AK1402" s="5"/>
      <c r="AL1402" s="2" t="s">
        <v>235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235</v>
      </c>
      <c r="AW1402" s="8" t="s">
        <v>235</v>
      </c>
      <c r="AX1402" s="4" t="s">
        <v>235</v>
      </c>
      <c r="AY1402" s="8" t="s">
        <v>235</v>
      </c>
      <c r="AZ1402" s="7" t="s">
        <v>235</v>
      </c>
      <c r="BA1402" s="7" t="s">
        <v>235</v>
      </c>
      <c r="BB1402" s="7"/>
      <c r="BC1402" s="4" t="s">
        <v>235</v>
      </c>
      <c r="BD1402" s="8" t="s">
        <v>235</v>
      </c>
      <c r="BE1402" s="4" t="s">
        <v>235</v>
      </c>
      <c r="BF1402" s="8" t="s">
        <v>235</v>
      </c>
      <c r="BG1402" s="7" t="s">
        <v>235</v>
      </c>
      <c r="BH1402" s="7" t="s">
        <v>235</v>
      </c>
      <c r="BI1402" s="7"/>
      <c r="BJ1402" s="4">
        <v>5</v>
      </c>
      <c r="BK1402" s="8">
        <v>472.49</v>
      </c>
      <c r="BL1402" s="2" t="s">
        <v>5401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5402</v>
      </c>
      <c r="BV1402" s="2" t="s">
        <v>243</v>
      </c>
      <c r="BW1402" s="2" t="s">
        <v>235</v>
      </c>
      <c r="BX1402" s="2" t="s">
        <v>414</v>
      </c>
      <c r="BY1402" s="2" t="s">
        <v>245</v>
      </c>
      <c r="BZ1402" s="2" t="s">
        <v>232</v>
      </c>
      <c r="CA1402" s="2" t="s">
        <v>5395</v>
      </c>
      <c r="CB1402" s="2" t="s">
        <v>745</v>
      </c>
      <c r="CC1402" s="2" t="s">
        <v>248</v>
      </c>
      <c r="CD1402" s="2" t="s">
        <v>248</v>
      </c>
      <c r="CE1402" s="2" t="s">
        <v>235</v>
      </c>
      <c r="CF1402" s="4">
        <v>30</v>
      </c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>
        <v>30</v>
      </c>
      <c r="GE1402" s="4">
        <v>27</v>
      </c>
      <c r="GF1402" s="4">
        <v>24</v>
      </c>
      <c r="GG1402" s="4">
        <v>21</v>
      </c>
      <c r="GH1402" s="4">
        <v>18</v>
      </c>
      <c r="GI1402" s="4">
        <v>15</v>
      </c>
      <c r="GJ1402" s="4">
        <v>12</v>
      </c>
      <c r="GK1402" s="4">
        <v>9</v>
      </c>
      <c r="GL1402" s="4">
        <v>6</v>
      </c>
      <c r="GM1402" s="4">
        <v>3</v>
      </c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19">
        <v>10</v>
      </c>
      <c r="HE1402" s="19">
        <v>9</v>
      </c>
      <c r="HF1402" s="19">
        <v>8</v>
      </c>
      <c r="HG1402" s="19">
        <v>7</v>
      </c>
      <c r="HH1402" s="19">
        <v>6</v>
      </c>
      <c r="HI1402" s="19">
        <v>5</v>
      </c>
      <c r="HJ1402" s="19">
        <v>4</v>
      </c>
      <c r="HK1402" s="19">
        <v>2.3</v>
      </c>
      <c r="HL1402" s="19">
        <v>1.5</v>
      </c>
      <c r="HM1402" s="19">
        <v>0.6</v>
      </c>
      <c r="HN1402" s="20">
        <v>0</v>
      </c>
      <c r="HO1402" s="20">
        <v>0</v>
      </c>
      <c r="HP1402" s="20">
        <v>0</v>
      </c>
      <c r="HQ1402" s="20">
        <v>0</v>
      </c>
      <c r="HR1402" s="20">
        <v>0</v>
      </c>
      <c r="HS1402" s="20">
        <v>0</v>
      </c>
      <c r="HT1402" s="20">
        <v>0</v>
      </c>
      <c r="HU1402" s="20">
        <v>0</v>
      </c>
      <c r="HV1402" s="20">
        <v>0</v>
      </c>
      <c r="HW1402" s="20">
        <v>0</v>
      </c>
      <c r="HX1402" s="20">
        <v>0</v>
      </c>
      <c r="HY1402" s="20">
        <v>0</v>
      </c>
      <c r="HZ1402" s="20">
        <v>0</v>
      </c>
      <c r="IA1402" s="20">
        <v>0</v>
      </c>
      <c r="IB1402" s="20">
        <v>0</v>
      </c>
      <c r="IC1402" s="20">
        <v>0</v>
      </c>
    </row>
    <row r="1403">
      <c r="A1403" s="2" t="s">
        <v>5403</v>
      </c>
      <c r="B1403" s="2" t="s">
        <v>871</v>
      </c>
      <c r="C1403" s="2" t="s">
        <v>324</v>
      </c>
      <c r="D1403" s="2" t="s">
        <v>361</v>
      </c>
      <c r="E1403" s="2" t="s">
        <v>872</v>
      </c>
      <c r="F1403" s="2" t="s">
        <v>5404</v>
      </c>
      <c r="G1403" s="2" t="s">
        <v>5405</v>
      </c>
      <c r="H1403" s="2" t="s">
        <v>5406</v>
      </c>
      <c r="I1403" s="2" t="s">
        <v>5407</v>
      </c>
      <c r="J1403" s="2" t="s">
        <v>372</v>
      </c>
      <c r="K1403" s="2" t="s">
        <v>1196</v>
      </c>
      <c r="L1403" s="3">
        <v>45.63</v>
      </c>
      <c r="M1403" s="3">
        <v>47.91</v>
      </c>
      <c r="N1403" s="3">
        <v>99.99</v>
      </c>
      <c r="O1403" s="2" t="s">
        <v>232</v>
      </c>
      <c r="P1403" s="2" t="s">
        <v>233</v>
      </c>
      <c r="Q1403" s="2" t="s">
        <v>234</v>
      </c>
      <c r="R1403" s="2" t="s">
        <v>235</v>
      </c>
      <c r="S1403" s="2" t="s">
        <v>5408</v>
      </c>
      <c r="T1403" s="2" t="s">
        <v>4853</v>
      </c>
      <c r="U1403" s="2" t="s">
        <v>282</v>
      </c>
      <c r="V1403" s="2" t="s">
        <v>863</v>
      </c>
      <c r="W1403" s="2" t="s">
        <v>1082</v>
      </c>
      <c r="X1403" s="2" t="s">
        <v>235</v>
      </c>
      <c r="Y1403" s="2" t="s">
        <v>1523</v>
      </c>
      <c r="Z1403" s="4">
        <v>493</v>
      </c>
      <c r="AA1403" s="4">
        <f>=ROUNDDOWN(44.8181818181818,0)</f>
      </c>
      <c r="AB1403" s="5">
        <v>11</v>
      </c>
      <c r="AC1403" s="2" t="s">
        <v>235</v>
      </c>
      <c r="AD1403" s="4"/>
      <c r="AE1403" s="4"/>
      <c r="AF1403" s="6">
        <v>64</v>
      </c>
      <c r="AG1403" s="6"/>
      <c r="AH1403" s="7">
        <v>0.7097</v>
      </c>
      <c r="AI1403" s="4"/>
      <c r="AJ1403" s="4">
        <f>=ROUNDDOWN({0},0)</f>
      </c>
      <c r="AK1403" s="5"/>
      <c r="AL1403" s="2" t="s">
        <v>235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/>
      <c r="BD1403" s="8"/>
      <c r="BE1403" s="4"/>
      <c r="BF1403" s="8"/>
      <c r="BG1403" s="7"/>
      <c r="BH1403" s="7"/>
      <c r="BI1403" s="7"/>
      <c r="BJ1403" s="4">
        <v>32</v>
      </c>
      <c r="BK1403" s="8">
        <v>1542.67</v>
      </c>
      <c r="BL1403" s="2" t="s">
        <v>5183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5409</v>
      </c>
      <c r="BV1403" s="2" t="s">
        <v>243</v>
      </c>
      <c r="BW1403" s="2" t="s">
        <v>235</v>
      </c>
      <c r="BX1403" s="2" t="s">
        <v>244</v>
      </c>
      <c r="BY1403" s="2" t="s">
        <v>245</v>
      </c>
      <c r="BZ1403" s="2" t="s">
        <v>232</v>
      </c>
      <c r="CA1403" s="2" t="s">
        <v>2992</v>
      </c>
      <c r="CB1403" s="2" t="s">
        <v>941</v>
      </c>
      <c r="CC1403" s="2" t="s">
        <v>248</v>
      </c>
      <c r="CD1403" s="2" t="s">
        <v>248</v>
      </c>
      <c r="CE1403" s="2" t="s">
        <v>235</v>
      </c>
      <c r="CF1403" s="4"/>
      <c r="CG1403" s="4"/>
      <c r="CH1403" s="4"/>
      <c r="CI1403" s="4">
        <v>493</v>
      </c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>
        <v>494</v>
      </c>
      <c r="GE1403" s="4">
        <v>460</v>
      </c>
      <c r="GF1403" s="4">
        <v>449</v>
      </c>
      <c r="GG1403" s="4">
        <v>437</v>
      </c>
      <c r="GH1403" s="4">
        <v>424</v>
      </c>
      <c r="GI1403" s="4">
        <v>411</v>
      </c>
      <c r="GJ1403" s="4">
        <v>392</v>
      </c>
      <c r="GK1403" s="4">
        <v>378</v>
      </c>
      <c r="GL1403" s="4">
        <v>364</v>
      </c>
      <c r="GM1403" s="4">
        <v>352</v>
      </c>
      <c r="GN1403" s="4">
        <v>340</v>
      </c>
      <c r="GO1403" s="4">
        <v>325</v>
      </c>
      <c r="GP1403" s="4">
        <v>308</v>
      </c>
      <c r="GQ1403" s="4">
        <v>279</v>
      </c>
      <c r="GR1403" s="4">
        <v>262</v>
      </c>
      <c r="GS1403" s="4">
        <v>235</v>
      </c>
      <c r="GT1403" s="4">
        <v>225</v>
      </c>
      <c r="GU1403" s="4">
        <v>216</v>
      </c>
      <c r="GV1403" s="4">
        <v>204</v>
      </c>
      <c r="GW1403" s="4">
        <v>193</v>
      </c>
      <c r="GX1403" s="4">
        <v>182</v>
      </c>
      <c r="GY1403" s="4">
        <v>171</v>
      </c>
      <c r="GZ1403" s="4">
        <v>160</v>
      </c>
      <c r="HA1403" s="4">
        <v>149</v>
      </c>
      <c r="HB1403" s="4">
        <v>138</v>
      </c>
      <c r="HC1403" s="4">
        <v>126</v>
      </c>
      <c r="HD1403" s="19">
        <v>27.4</v>
      </c>
      <c r="HE1403" s="19">
        <v>38.3</v>
      </c>
      <c r="HF1403" s="19">
        <v>32.1</v>
      </c>
      <c r="HG1403" s="19">
        <v>29.1</v>
      </c>
      <c r="HH1403" s="19">
        <v>28.3</v>
      </c>
      <c r="HI1403" s="19">
        <v>27.4</v>
      </c>
      <c r="HJ1403" s="19">
        <v>30.2</v>
      </c>
      <c r="HK1403" s="19">
        <v>29.1</v>
      </c>
      <c r="HL1403" s="19">
        <v>26</v>
      </c>
      <c r="HM1403" s="19">
        <v>19.6</v>
      </c>
      <c r="HN1403" s="19">
        <v>17</v>
      </c>
      <c r="HO1403" s="19">
        <v>14.8</v>
      </c>
      <c r="HP1403" s="19">
        <v>14.7</v>
      </c>
      <c r="HQ1403" s="19">
        <v>17.4</v>
      </c>
      <c r="HR1403" s="19">
        <v>18.7</v>
      </c>
      <c r="HS1403" s="19">
        <v>23.5</v>
      </c>
      <c r="HT1403" s="19">
        <v>20.5</v>
      </c>
      <c r="HU1403" s="19">
        <v>19.6</v>
      </c>
      <c r="HV1403" s="19">
        <v>18.5</v>
      </c>
      <c r="HW1403" s="19">
        <v>17.5</v>
      </c>
      <c r="HX1403" s="19">
        <v>16.5</v>
      </c>
      <c r="HY1403" s="19">
        <v>15.5</v>
      </c>
      <c r="HZ1403" s="19">
        <v>14.5</v>
      </c>
      <c r="IA1403" s="19">
        <v>13.5</v>
      </c>
      <c r="IB1403" s="19">
        <v>12.5</v>
      </c>
      <c r="IC1403" s="19">
        <v>11.5</v>
      </c>
    </row>
    <row r="1404">
      <c r="A1404" s="2" t="s">
        <v>5410</v>
      </c>
      <c r="B1404" s="2" t="s">
        <v>871</v>
      </c>
      <c r="C1404" s="2" t="s">
        <v>853</v>
      </c>
      <c r="D1404" s="2" t="s">
        <v>361</v>
      </c>
      <c r="E1404" s="2" t="s">
        <v>1024</v>
      </c>
      <c r="F1404" s="2" t="s">
        <v>5411</v>
      </c>
      <c r="G1404" s="2" t="s">
        <v>5412</v>
      </c>
      <c r="H1404" s="2" t="s">
        <v>5413</v>
      </c>
      <c r="I1404" s="2" t="s">
        <v>5414</v>
      </c>
      <c r="J1404" s="2" t="s">
        <v>230</v>
      </c>
      <c r="K1404" s="2" t="s">
        <v>5109</v>
      </c>
      <c r="L1404" s="3">
        <v>32.4</v>
      </c>
      <c r="M1404" s="3">
        <v>34.02</v>
      </c>
      <c r="N1404" s="3">
        <v>64.99</v>
      </c>
      <c r="O1404" s="2" t="s">
        <v>232</v>
      </c>
      <c r="P1404" s="2" t="s">
        <v>233</v>
      </c>
      <c r="Q1404" s="2" t="s">
        <v>234</v>
      </c>
      <c r="R1404" s="2" t="s">
        <v>235</v>
      </c>
      <c r="S1404" s="2" t="s">
        <v>5415</v>
      </c>
      <c r="T1404" s="2" t="s">
        <v>501</v>
      </c>
      <c r="U1404" s="2" t="s">
        <v>614</v>
      </c>
      <c r="V1404" s="2" t="s">
        <v>420</v>
      </c>
      <c r="W1404" s="2" t="s">
        <v>239</v>
      </c>
      <c r="X1404" s="2" t="s">
        <v>1157</v>
      </c>
      <c r="Y1404" s="2" t="s">
        <v>3916</v>
      </c>
      <c r="Z1404" s="4"/>
      <c r="AA1404" s="4">
        <f>=ROUNDDOWN({0},0)</f>
      </c>
      <c r="AB1404" s="5">
        <v>13</v>
      </c>
      <c r="AC1404" s="2" t="s">
        <v>4737</v>
      </c>
      <c r="AD1404" s="4">
        <v>200</v>
      </c>
      <c r="AE1404" s="4">
        <v>200</v>
      </c>
      <c r="AF1404" s="6">
        <v>78</v>
      </c>
      <c r="AG1404" s="6"/>
      <c r="AH1404" s="7">
        <v>0</v>
      </c>
      <c r="AI1404" s="4"/>
      <c r="AJ1404" s="4">
        <f>=ROUNDDOWN({0},0)</f>
      </c>
      <c r="AK1404" s="5"/>
      <c r="AL1404" s="2" t="s">
        <v>235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/>
      <c r="AW1404" s="8"/>
      <c r="AX1404" s="4"/>
      <c r="AY1404" s="8"/>
      <c r="AZ1404" s="7"/>
      <c r="BA1404" s="7"/>
      <c r="BB1404" s="7"/>
      <c r="BC1404" s="4"/>
      <c r="BD1404" s="8"/>
      <c r="BE1404" s="4"/>
      <c r="BF1404" s="8"/>
      <c r="BG1404" s="7"/>
      <c r="BH1404" s="7"/>
      <c r="BI1404" s="7"/>
      <c r="BJ1404" s="4"/>
      <c r="BK1404" s="8"/>
      <c r="BL1404" s="2" t="s">
        <v>5416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5417</v>
      </c>
      <c r="BV1404" s="2" t="s">
        <v>243</v>
      </c>
      <c r="BW1404" s="2" t="s">
        <v>235</v>
      </c>
      <c r="BX1404" s="2" t="s">
        <v>244</v>
      </c>
      <c r="BY1404" s="2" t="s">
        <v>245</v>
      </c>
      <c r="BZ1404" s="2" t="s">
        <v>232</v>
      </c>
      <c r="CA1404" s="2" t="s">
        <v>5418</v>
      </c>
      <c r="CB1404" s="2" t="s">
        <v>3936</v>
      </c>
      <c r="CC1404" s="2" t="s">
        <v>248</v>
      </c>
      <c r="CD1404" s="2" t="s">
        <v>248</v>
      </c>
      <c r="CE1404" s="2" t="s">
        <v>235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>
        <v>200</v>
      </c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>
        <v>200</v>
      </c>
      <c r="GW1404" s="4">
        <v>190</v>
      </c>
      <c r="GX1404" s="4">
        <v>180</v>
      </c>
      <c r="GY1404" s="4">
        <v>177</v>
      </c>
      <c r="GZ1404" s="4">
        <v>163</v>
      </c>
      <c r="HA1404" s="4">
        <v>149</v>
      </c>
      <c r="HB1404" s="4">
        <v>144</v>
      </c>
      <c r="HC1404" s="4">
        <v>136</v>
      </c>
      <c r="HD1404" s="20">
        <v>0</v>
      </c>
      <c r="HE1404" s="20">
        <v>0</v>
      </c>
      <c r="HF1404" s="20">
        <v>0</v>
      </c>
      <c r="HG1404" s="20">
        <v>0</v>
      </c>
      <c r="HH1404" s="20">
        <v>0</v>
      </c>
      <c r="HI1404" s="20">
        <v>0</v>
      </c>
      <c r="HJ1404" s="20">
        <v>0</v>
      </c>
      <c r="HK1404" s="20">
        <v>0</v>
      </c>
      <c r="HL1404" s="20">
        <v>0</v>
      </c>
      <c r="HM1404" s="20">
        <v>0</v>
      </c>
      <c r="HN1404" s="20">
        <v>0</v>
      </c>
      <c r="HO1404" s="20">
        <v>0</v>
      </c>
      <c r="HP1404" s="20">
        <v>0</v>
      </c>
      <c r="HQ1404" s="20">
        <v>0</v>
      </c>
      <c r="HR1404" s="20">
        <v>0</v>
      </c>
      <c r="HS1404" s="20">
        <v>0</v>
      </c>
      <c r="HT1404" s="20">
        <v>0</v>
      </c>
      <c r="HU1404" s="20">
        <v>0</v>
      </c>
      <c r="HV1404" s="19">
        <v>22.2</v>
      </c>
      <c r="HW1404" s="19">
        <v>19</v>
      </c>
      <c r="HX1404" s="19">
        <v>20</v>
      </c>
      <c r="HY1404" s="19">
        <v>17.7</v>
      </c>
      <c r="HZ1404" s="19">
        <v>20.4</v>
      </c>
      <c r="IA1404" s="19">
        <v>24.8</v>
      </c>
      <c r="IB1404" s="19">
        <v>24</v>
      </c>
      <c r="IC1404" s="19">
        <v>19.4</v>
      </c>
    </row>
    <row r="1405">
      <c r="A1405" s="2" t="s">
        <v>5419</v>
      </c>
      <c r="B1405" s="2" t="s">
        <v>1139</v>
      </c>
      <c r="C1405" s="2" t="s">
        <v>360</v>
      </c>
      <c r="D1405" s="2" t="s">
        <v>1152</v>
      </c>
      <c r="E1405" s="2" t="s">
        <v>1153</v>
      </c>
      <c r="F1405" s="2" t="s">
        <v>4137</v>
      </c>
      <c r="G1405" s="2" t="s">
        <v>4137</v>
      </c>
      <c r="H1405" s="2" t="s">
        <v>4137</v>
      </c>
      <c r="I1405" s="2" t="s">
        <v>1153</v>
      </c>
      <c r="J1405" s="2" t="s">
        <v>5420</v>
      </c>
      <c r="K1405" s="2" t="s">
        <v>351</v>
      </c>
      <c r="L1405" s="3">
        <v>13.8</v>
      </c>
      <c r="M1405" s="3">
        <v>14.49</v>
      </c>
      <c r="N1405" s="3">
        <v>29.99</v>
      </c>
      <c r="O1405" s="2" t="s">
        <v>232</v>
      </c>
      <c r="P1405" s="2" t="s">
        <v>878</v>
      </c>
      <c r="Q1405" s="2" t="s">
        <v>234</v>
      </c>
      <c r="R1405" s="2" t="s">
        <v>235</v>
      </c>
      <c r="S1405" s="2" t="s">
        <v>235</v>
      </c>
      <c r="T1405" s="2" t="s">
        <v>501</v>
      </c>
      <c r="U1405" s="2" t="s">
        <v>807</v>
      </c>
      <c r="V1405" s="2" t="s">
        <v>238</v>
      </c>
      <c r="W1405" s="2" t="s">
        <v>329</v>
      </c>
      <c r="X1405" s="2" t="s">
        <v>235</v>
      </c>
      <c r="Y1405" s="2" t="s">
        <v>5421</v>
      </c>
      <c r="Z1405" s="4">
        <v>484</v>
      </c>
      <c r="AA1405" s="4">
        <f>=ROUNDDOWN(69.1428571428571,0)</f>
      </c>
      <c r="AB1405" s="5">
        <v>7</v>
      </c>
      <c r="AC1405" s="2" t="s">
        <v>235</v>
      </c>
      <c r="AD1405" s="4"/>
      <c r="AE1405" s="4"/>
      <c r="AF1405" s="6">
        <v>73</v>
      </c>
      <c r="AG1405" s="6"/>
      <c r="AH1405" s="7">
        <v>1</v>
      </c>
      <c r="AI1405" s="4"/>
      <c r="AJ1405" s="4">
        <f>=ROUNDDOWN({0},0)</f>
      </c>
      <c r="AK1405" s="5"/>
      <c r="AL1405" s="2" t="s">
        <v>235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/>
      <c r="BD1405" s="8"/>
      <c r="BE1405" s="4"/>
      <c r="BF1405" s="8"/>
      <c r="BG1405" s="7"/>
      <c r="BH1405" s="7"/>
      <c r="BI1405" s="7"/>
      <c r="BJ1405" s="4">
        <v>30</v>
      </c>
      <c r="BK1405" s="8">
        <v>481.24</v>
      </c>
      <c r="BL1405" s="2" t="s">
        <v>5422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5423</v>
      </c>
      <c r="BV1405" s="2" t="s">
        <v>235</v>
      </c>
      <c r="BW1405" s="2" t="s">
        <v>235</v>
      </c>
      <c r="BX1405" s="2" t="s">
        <v>685</v>
      </c>
      <c r="BY1405" s="2" t="s">
        <v>245</v>
      </c>
      <c r="BZ1405" s="2" t="s">
        <v>232</v>
      </c>
      <c r="CA1405" s="2" t="s">
        <v>235</v>
      </c>
      <c r="CB1405" s="2" t="s">
        <v>235</v>
      </c>
      <c r="CC1405" s="2" t="s">
        <v>248</v>
      </c>
      <c r="CD1405" s="2" t="s">
        <v>248</v>
      </c>
      <c r="CE1405" s="2" t="s">
        <v>235</v>
      </c>
      <c r="CF1405" s="4">
        <v>484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>
        <v>487</v>
      </c>
      <c r="GE1405" s="4">
        <v>479</v>
      </c>
      <c r="GF1405" s="4">
        <v>474</v>
      </c>
      <c r="GG1405" s="4">
        <v>468</v>
      </c>
      <c r="GH1405" s="4">
        <v>461</v>
      </c>
      <c r="GI1405" s="4">
        <v>454</v>
      </c>
      <c r="GJ1405" s="4">
        <v>447</v>
      </c>
      <c r="GK1405" s="4">
        <v>440</v>
      </c>
      <c r="GL1405" s="4">
        <v>433</v>
      </c>
      <c r="GM1405" s="4">
        <v>426</v>
      </c>
      <c r="GN1405" s="4">
        <v>419</v>
      </c>
      <c r="GO1405" s="4">
        <v>411</v>
      </c>
      <c r="GP1405" s="4">
        <v>402</v>
      </c>
      <c r="GQ1405" s="4">
        <v>394</v>
      </c>
      <c r="GR1405" s="4">
        <v>380</v>
      </c>
      <c r="GS1405" s="4">
        <v>371</v>
      </c>
      <c r="GT1405" s="4">
        <v>363</v>
      </c>
      <c r="GU1405" s="4">
        <v>357</v>
      </c>
      <c r="GV1405" s="4">
        <v>351</v>
      </c>
      <c r="GW1405" s="4">
        <v>345</v>
      </c>
      <c r="GX1405" s="4">
        <v>339</v>
      </c>
      <c r="GY1405" s="4">
        <v>333</v>
      </c>
      <c r="GZ1405" s="4">
        <v>326</v>
      </c>
      <c r="HA1405" s="4">
        <v>319</v>
      </c>
      <c r="HB1405" s="4">
        <v>312</v>
      </c>
      <c r="HC1405" s="4">
        <v>305</v>
      </c>
      <c r="HD1405" s="19">
        <v>81.2</v>
      </c>
      <c r="HE1405" s="19">
        <v>79.8</v>
      </c>
      <c r="HF1405" s="19">
        <v>67.7</v>
      </c>
      <c r="HG1405" s="19">
        <v>66.9</v>
      </c>
      <c r="HH1405" s="19">
        <v>65.9</v>
      </c>
      <c r="HI1405" s="19">
        <v>64.9</v>
      </c>
      <c r="HJ1405" s="19">
        <v>63.9</v>
      </c>
      <c r="HK1405" s="19">
        <v>62.9</v>
      </c>
      <c r="HL1405" s="19">
        <v>54.1</v>
      </c>
      <c r="HM1405" s="19">
        <v>53.3</v>
      </c>
      <c r="HN1405" s="19">
        <v>41.9</v>
      </c>
      <c r="HO1405" s="19">
        <v>41.1</v>
      </c>
      <c r="HP1405" s="19">
        <v>40.2</v>
      </c>
      <c r="HQ1405" s="19">
        <v>43.8</v>
      </c>
      <c r="HR1405" s="19">
        <v>54.3</v>
      </c>
      <c r="HS1405" s="19">
        <v>61.8</v>
      </c>
      <c r="HT1405" s="19">
        <v>60.5</v>
      </c>
      <c r="HU1405" s="19">
        <v>59.5</v>
      </c>
      <c r="HV1405" s="19">
        <v>58.5</v>
      </c>
      <c r="HW1405" s="19">
        <v>57.5</v>
      </c>
      <c r="HX1405" s="19">
        <v>48.4</v>
      </c>
      <c r="HY1405" s="19">
        <v>47.6</v>
      </c>
      <c r="HZ1405" s="19">
        <v>46.6</v>
      </c>
      <c r="IA1405" s="19">
        <v>45.6</v>
      </c>
      <c r="IB1405" s="19">
        <v>44.6</v>
      </c>
      <c r="IC1405" s="19">
        <v>43.6</v>
      </c>
    </row>
    <row r="1406">
      <c r="A1406" s="2" t="s">
        <v>5424</v>
      </c>
      <c r="B1406" s="2" t="s">
        <v>1071</v>
      </c>
      <c r="C1406" s="2" t="s">
        <v>324</v>
      </c>
      <c r="D1406" s="2" t="s">
        <v>1482</v>
      </c>
      <c r="E1406" s="2" t="s">
        <v>4428</v>
      </c>
      <c r="F1406" s="2" t="s">
        <v>5425</v>
      </c>
      <c r="G1406" s="2" t="s">
        <v>5426</v>
      </c>
      <c r="H1406" s="2" t="s">
        <v>5427</v>
      </c>
      <c r="I1406" s="2" t="s">
        <v>4428</v>
      </c>
      <c r="J1406" s="2" t="s">
        <v>806</v>
      </c>
      <c r="K1406" s="2" t="s">
        <v>292</v>
      </c>
      <c r="L1406" s="3">
        <v>142.86</v>
      </c>
      <c r="M1406" s="3">
        <v>150</v>
      </c>
      <c r="N1406" s="3">
        <v>299</v>
      </c>
      <c r="O1406" s="2" t="s">
        <v>407</v>
      </c>
      <c r="P1406" s="2" t="s">
        <v>408</v>
      </c>
      <c r="Q1406" s="2" t="s">
        <v>234</v>
      </c>
      <c r="R1406" s="2" t="s">
        <v>235</v>
      </c>
      <c r="S1406" s="2" t="s">
        <v>235</v>
      </c>
      <c r="T1406" s="2" t="s">
        <v>235</v>
      </c>
      <c r="U1406" s="2" t="s">
        <v>807</v>
      </c>
      <c r="V1406" s="2" t="s">
        <v>238</v>
      </c>
      <c r="W1406" s="2" t="s">
        <v>1157</v>
      </c>
      <c r="X1406" s="2" t="s">
        <v>239</v>
      </c>
      <c r="Y1406" s="2" t="s">
        <v>5428</v>
      </c>
      <c r="Z1406" s="4">
        <v>39</v>
      </c>
      <c r="AA1406" s="4">
        <f>=ROUNDDOWN(19.5,0)</f>
      </c>
      <c r="AB1406" s="5">
        <v>2</v>
      </c>
      <c r="AC1406" s="2" t="s">
        <v>235</v>
      </c>
      <c r="AD1406" s="4"/>
      <c r="AE1406" s="4"/>
      <c r="AF1406" s="6">
        <v>69</v>
      </c>
      <c r="AG1406" s="6"/>
      <c r="AH1406" s="7">
        <v>1</v>
      </c>
      <c r="AI1406" s="4"/>
      <c r="AJ1406" s="4">
        <f>=ROUNDDOWN({0},0)</f>
      </c>
      <c r="AK1406" s="5"/>
      <c r="AL1406" s="2" t="s">
        <v>235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/>
      <c r="BD1406" s="8"/>
      <c r="BE1406" s="4"/>
      <c r="BF1406" s="8"/>
      <c r="BG1406" s="7"/>
      <c r="BH1406" s="7"/>
      <c r="BI1406" s="7"/>
      <c r="BJ1406" s="4">
        <v>2</v>
      </c>
      <c r="BK1406" s="8">
        <v>324</v>
      </c>
      <c r="BL1406" s="2" t="s">
        <v>5429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5430</v>
      </c>
      <c r="BV1406" s="2" t="s">
        <v>1488</v>
      </c>
      <c r="BW1406" s="2" t="s">
        <v>235</v>
      </c>
      <c r="BX1406" s="2" t="s">
        <v>414</v>
      </c>
      <c r="BY1406" s="2" t="s">
        <v>245</v>
      </c>
      <c r="BZ1406" s="2" t="s">
        <v>232</v>
      </c>
      <c r="CA1406" s="2" t="s">
        <v>5431</v>
      </c>
      <c r="CB1406" s="2" t="s">
        <v>2632</v>
      </c>
      <c r="CC1406" s="2" t="s">
        <v>248</v>
      </c>
      <c r="CD1406" s="2" t="s">
        <v>248</v>
      </c>
      <c r="CE1406" s="2" t="s">
        <v>235</v>
      </c>
      <c r="CF1406" s="4"/>
      <c r="CG1406" s="4">
        <v>39</v>
      </c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>
        <v>41</v>
      </c>
      <c r="GE1406" s="4">
        <v>37</v>
      </c>
      <c r="GF1406" s="4">
        <v>35</v>
      </c>
      <c r="GG1406" s="4">
        <v>33</v>
      </c>
      <c r="GH1406" s="4">
        <v>31</v>
      </c>
      <c r="GI1406" s="4">
        <v>29</v>
      </c>
      <c r="GJ1406" s="4">
        <v>27</v>
      </c>
      <c r="GK1406" s="4">
        <v>25</v>
      </c>
      <c r="GL1406" s="4">
        <v>23</v>
      </c>
      <c r="GM1406" s="4">
        <v>21</v>
      </c>
      <c r="GN1406" s="4">
        <v>19</v>
      </c>
      <c r="GO1406" s="4">
        <v>16</v>
      </c>
      <c r="GP1406" s="4">
        <v>14</v>
      </c>
      <c r="GQ1406" s="4">
        <v>10</v>
      </c>
      <c r="GR1406" s="4">
        <v>7</v>
      </c>
      <c r="GS1406" s="4">
        <v>5</v>
      </c>
      <c r="GT1406" s="4">
        <v>4</v>
      </c>
      <c r="GU1406" s="4">
        <v>2</v>
      </c>
      <c r="GV1406" s="4"/>
      <c r="GW1406" s="4"/>
      <c r="GX1406" s="4"/>
      <c r="GY1406" s="4"/>
      <c r="GZ1406" s="4"/>
      <c r="HA1406" s="4"/>
      <c r="HB1406" s="4"/>
      <c r="HC1406" s="4"/>
      <c r="HD1406" s="19">
        <v>20.5</v>
      </c>
      <c r="HE1406" s="19">
        <v>18.5</v>
      </c>
      <c r="HF1406" s="19">
        <v>17.5</v>
      </c>
      <c r="HG1406" s="19">
        <v>16.5</v>
      </c>
      <c r="HH1406" s="19">
        <v>15.5</v>
      </c>
      <c r="HI1406" s="19">
        <v>14.5</v>
      </c>
      <c r="HJ1406" s="19">
        <v>13.5</v>
      </c>
      <c r="HK1406" s="19">
        <v>12.5</v>
      </c>
      <c r="HL1406" s="19">
        <v>11.5</v>
      </c>
      <c r="HM1406" s="19">
        <v>7</v>
      </c>
      <c r="HN1406" s="19">
        <v>6.3</v>
      </c>
      <c r="HO1406" s="19">
        <v>5.3</v>
      </c>
      <c r="HP1406" s="19">
        <v>7</v>
      </c>
      <c r="HQ1406" s="19">
        <v>5</v>
      </c>
      <c r="HR1406" s="19">
        <v>3.5</v>
      </c>
      <c r="HS1406" s="19">
        <v>2.5</v>
      </c>
      <c r="HT1406" s="19">
        <v>2</v>
      </c>
      <c r="HU1406" s="19">
        <v>1</v>
      </c>
      <c r="HV1406" s="20">
        <v>0</v>
      </c>
      <c r="HW1406" s="20">
        <v>0</v>
      </c>
      <c r="HX1406" s="20">
        <v>0</v>
      </c>
      <c r="HY1406" s="20">
        <v>0</v>
      </c>
      <c r="HZ1406" s="20">
        <v>0</v>
      </c>
      <c r="IA1406" s="20">
        <v>0</v>
      </c>
      <c r="IB1406" s="20">
        <v>0</v>
      </c>
      <c r="IC1406" s="20">
        <v>0</v>
      </c>
    </row>
    <row r="1407">
      <c r="A1407" s="2" t="s">
        <v>5432</v>
      </c>
      <c r="B1407" s="2" t="s">
        <v>852</v>
      </c>
      <c r="C1407" s="2" t="s">
        <v>1126</v>
      </c>
      <c r="D1407" s="2" t="s">
        <v>854</v>
      </c>
      <c r="E1407" s="2" t="s">
        <v>855</v>
      </c>
      <c r="F1407" s="2" t="s">
        <v>5433</v>
      </c>
      <c r="G1407" s="2" t="s">
        <v>5434</v>
      </c>
      <c r="H1407" s="2" t="s">
        <v>5435</v>
      </c>
      <c r="I1407" s="2" t="s">
        <v>5436</v>
      </c>
      <c r="J1407" s="2" t="s">
        <v>5437</v>
      </c>
      <c r="K1407" s="2" t="s">
        <v>292</v>
      </c>
      <c r="L1407" s="3">
        <v>14.05</v>
      </c>
      <c r="M1407" s="3">
        <v>14.75</v>
      </c>
      <c r="N1407" s="3">
        <v>29.99</v>
      </c>
      <c r="O1407" s="2" t="s">
        <v>232</v>
      </c>
      <c r="P1407" s="2" t="s">
        <v>233</v>
      </c>
      <c r="Q1407" s="2" t="s">
        <v>234</v>
      </c>
      <c r="R1407" s="2" t="s">
        <v>235</v>
      </c>
      <c r="S1407" s="2" t="s">
        <v>5438</v>
      </c>
      <c r="T1407" s="2" t="s">
        <v>235</v>
      </c>
      <c r="U1407" s="2" t="s">
        <v>235</v>
      </c>
      <c r="V1407" s="2" t="s">
        <v>238</v>
      </c>
      <c r="W1407" s="2" t="s">
        <v>239</v>
      </c>
      <c r="X1407" s="2" t="s">
        <v>5439</v>
      </c>
      <c r="Y1407" s="2" t="s">
        <v>5440</v>
      </c>
      <c r="Z1407" s="4">
        <v>80</v>
      </c>
      <c r="AA1407" s="4">
        <f>=ROUNDDOWN(7.92079207920792,0)</f>
      </c>
      <c r="AB1407" s="5">
        <v>10.1</v>
      </c>
      <c r="AC1407" s="2" t="s">
        <v>235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235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/>
      <c r="BD1407" s="8"/>
      <c r="BE1407" s="4"/>
      <c r="BF1407" s="8"/>
      <c r="BG1407" s="7"/>
      <c r="BH1407" s="7"/>
      <c r="BI1407" s="7"/>
      <c r="BJ1407" s="4">
        <v>56</v>
      </c>
      <c r="BK1407" s="8">
        <v>885.77</v>
      </c>
      <c r="BL1407" s="2" t="s">
        <v>5441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5442</v>
      </c>
      <c r="BV1407" s="2" t="s">
        <v>867</v>
      </c>
      <c r="BW1407" s="2" t="s">
        <v>235</v>
      </c>
      <c r="BX1407" s="2" t="s">
        <v>244</v>
      </c>
      <c r="BY1407" s="2" t="s">
        <v>245</v>
      </c>
      <c r="BZ1407" s="2" t="s">
        <v>232</v>
      </c>
      <c r="CA1407" s="2" t="s">
        <v>4973</v>
      </c>
      <c r="CB1407" s="2" t="s">
        <v>4974</v>
      </c>
      <c r="CC1407" s="2" t="s">
        <v>248</v>
      </c>
      <c r="CD1407" s="2" t="s">
        <v>248</v>
      </c>
      <c r="CE1407" s="2" t="s">
        <v>235</v>
      </c>
      <c r="CF1407" s="4">
        <v>80</v>
      </c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>
        <v>80</v>
      </c>
      <c r="GE1407" s="4">
        <v>68</v>
      </c>
      <c r="GF1407" s="4">
        <v>58</v>
      </c>
      <c r="GG1407" s="4">
        <v>47</v>
      </c>
      <c r="GH1407" s="4">
        <v>36</v>
      </c>
      <c r="GI1407" s="4">
        <v>25</v>
      </c>
      <c r="GJ1407" s="4">
        <v>13</v>
      </c>
      <c r="GK1407" s="4">
        <v>2</v>
      </c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>
        <v>314</v>
      </c>
      <c r="GX1407" s="4">
        <v>296</v>
      </c>
      <c r="GY1407" s="4">
        <v>285</v>
      </c>
      <c r="GZ1407" s="4">
        <v>274</v>
      </c>
      <c r="HA1407" s="4">
        <v>263</v>
      </c>
      <c r="HB1407" s="4">
        <v>252</v>
      </c>
      <c r="HC1407" s="4">
        <v>239</v>
      </c>
      <c r="HD1407" s="19">
        <v>7.3</v>
      </c>
      <c r="HE1407" s="19">
        <v>6.2</v>
      </c>
      <c r="HF1407" s="19">
        <v>5.3</v>
      </c>
      <c r="HG1407" s="19">
        <v>4.3</v>
      </c>
      <c r="HH1407" s="19">
        <v>3.3</v>
      </c>
      <c r="HI1407" s="19">
        <v>2.3</v>
      </c>
      <c r="HJ1407" s="19">
        <v>1.2</v>
      </c>
      <c r="HK1407" s="19">
        <v>0.2</v>
      </c>
      <c r="HL1407" s="20">
        <v>0</v>
      </c>
      <c r="HM1407" s="20">
        <v>0</v>
      </c>
      <c r="HN1407" s="20">
        <v>0</v>
      </c>
      <c r="HO1407" s="20">
        <v>0</v>
      </c>
      <c r="HP1407" s="20">
        <v>0</v>
      </c>
      <c r="HQ1407" s="20">
        <v>0</v>
      </c>
      <c r="HR1407" s="20">
        <v>0</v>
      </c>
      <c r="HS1407" s="20">
        <v>0</v>
      </c>
      <c r="HT1407" s="20">
        <v>0</v>
      </c>
      <c r="HU1407" s="20">
        <v>0</v>
      </c>
      <c r="HV1407" s="20">
        <v>0</v>
      </c>
      <c r="HW1407" s="19">
        <v>24.2</v>
      </c>
      <c r="HX1407" s="19">
        <v>26.9</v>
      </c>
      <c r="HY1407" s="19">
        <v>23.8</v>
      </c>
      <c r="HZ1407" s="19">
        <v>22.8</v>
      </c>
      <c r="IA1407" s="19">
        <v>21.9</v>
      </c>
      <c r="IB1407" s="19">
        <v>21</v>
      </c>
      <c r="IC1407" s="19">
        <v>21.7</v>
      </c>
    </row>
    <row r="1408">
      <c r="A1408" s="2" t="s">
        <v>5443</v>
      </c>
      <c r="B1408" s="2" t="s">
        <v>255</v>
      </c>
      <c r="C1408" s="2" t="s">
        <v>2023</v>
      </c>
      <c r="D1408" s="2" t="s">
        <v>361</v>
      </c>
      <c r="E1408" s="2" t="s">
        <v>872</v>
      </c>
      <c r="F1408" s="2" t="s">
        <v>5444</v>
      </c>
      <c r="G1408" s="2" t="s">
        <v>5444</v>
      </c>
      <c r="H1408" s="2" t="s">
        <v>5444</v>
      </c>
      <c r="I1408" s="2" t="s">
        <v>3605</v>
      </c>
      <c r="J1408" s="2" t="s">
        <v>272</v>
      </c>
      <c r="K1408" s="2" t="s">
        <v>316</v>
      </c>
      <c r="L1408" s="3">
        <v>135</v>
      </c>
      <c r="M1408" s="3">
        <v>141.74</v>
      </c>
      <c r="N1408" s="3">
        <v>279.99</v>
      </c>
      <c r="O1408" s="2" t="s">
        <v>232</v>
      </c>
      <c r="P1408" s="2" t="s">
        <v>965</v>
      </c>
      <c r="Q1408" s="2" t="s">
        <v>234</v>
      </c>
      <c r="R1408" s="2" t="s">
        <v>235</v>
      </c>
      <c r="S1408" s="2" t="s">
        <v>5445</v>
      </c>
      <c r="T1408" s="2" t="s">
        <v>1051</v>
      </c>
      <c r="U1408" s="2" t="s">
        <v>264</v>
      </c>
      <c r="V1408" s="2" t="s">
        <v>410</v>
      </c>
      <c r="W1408" s="2" t="s">
        <v>1299</v>
      </c>
      <c r="X1408" s="2" t="s">
        <v>671</v>
      </c>
      <c r="Y1408" s="2" t="s">
        <v>240</v>
      </c>
      <c r="Z1408" s="4">
        <v>57</v>
      </c>
      <c r="AA1408" s="4">
        <f>=ROUNDDOWN(11.4,0)</f>
      </c>
      <c r="AB1408" s="5">
        <v>5</v>
      </c>
      <c r="AC1408" s="2" t="s">
        <v>2122</v>
      </c>
      <c r="AD1408" s="4">
        <v>40</v>
      </c>
      <c r="AE1408" s="4">
        <v>40</v>
      </c>
      <c r="AF1408" s="6">
        <v>79</v>
      </c>
      <c r="AG1408" s="6"/>
      <c r="AH1408" s="7">
        <v>0.7419</v>
      </c>
      <c r="AI1408" s="4"/>
      <c r="AJ1408" s="4">
        <f>=ROUNDDOWN({0},0)</f>
      </c>
      <c r="AK1408" s="5"/>
      <c r="AL1408" s="2" t="s">
        <v>235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/>
      <c r="BD1408" s="8"/>
      <c r="BE1408" s="4"/>
      <c r="BF1408" s="8"/>
      <c r="BG1408" s="7"/>
      <c r="BH1408" s="7"/>
      <c r="BI1408" s="7"/>
      <c r="BJ1408" s="4">
        <v>15</v>
      </c>
      <c r="BK1408" s="8">
        <v>2184.08</v>
      </c>
      <c r="BL1408" s="2" t="s">
        <v>5446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5447</v>
      </c>
      <c r="BV1408" s="2" t="s">
        <v>243</v>
      </c>
      <c r="BW1408" s="2" t="s">
        <v>235</v>
      </c>
      <c r="BX1408" s="2" t="s">
        <v>244</v>
      </c>
      <c r="BY1408" s="2" t="s">
        <v>245</v>
      </c>
      <c r="BZ1408" s="2" t="s">
        <v>232</v>
      </c>
      <c r="CA1408" s="2" t="s">
        <v>252</v>
      </c>
      <c r="CB1408" s="2" t="s">
        <v>5448</v>
      </c>
      <c r="CC1408" s="2" t="s">
        <v>248</v>
      </c>
      <c r="CD1408" s="2" t="s">
        <v>248</v>
      </c>
      <c r="CE1408" s="2" t="s">
        <v>235</v>
      </c>
      <c r="CF1408" s="4">
        <v>57</v>
      </c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>
        <v>40</v>
      </c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>
        <v>58</v>
      </c>
      <c r="GE1408" s="4">
        <v>32</v>
      </c>
      <c r="GF1408" s="4">
        <v>29</v>
      </c>
      <c r="GG1408" s="4">
        <v>67</v>
      </c>
      <c r="GH1408" s="4">
        <v>63</v>
      </c>
      <c r="GI1408" s="4">
        <v>56</v>
      </c>
      <c r="GJ1408" s="4">
        <v>48</v>
      </c>
      <c r="GK1408" s="4">
        <v>39</v>
      </c>
      <c r="GL1408" s="4">
        <v>37</v>
      </c>
      <c r="GM1408" s="4">
        <v>32</v>
      </c>
      <c r="GN1408" s="4">
        <v>31</v>
      </c>
      <c r="GO1408" s="4">
        <v>23</v>
      </c>
      <c r="GP1408" s="4">
        <v>15</v>
      </c>
      <c r="GQ1408" s="4">
        <v>12</v>
      </c>
      <c r="GR1408" s="4">
        <v>7</v>
      </c>
      <c r="GS1408" s="4">
        <v>5</v>
      </c>
      <c r="GT1408" s="4"/>
      <c r="GU1408" s="4"/>
      <c r="GV1408" s="4"/>
      <c r="GW1408" s="4"/>
      <c r="GX1408" s="4"/>
      <c r="GY1408" s="4"/>
      <c r="GZ1408" s="4">
        <v>178</v>
      </c>
      <c r="HA1408" s="4">
        <v>149</v>
      </c>
      <c r="HB1408" s="4">
        <v>142</v>
      </c>
      <c r="HC1408" s="4">
        <v>125</v>
      </c>
      <c r="HD1408" s="19">
        <v>6.4</v>
      </c>
      <c r="HE1408" s="19">
        <v>8</v>
      </c>
      <c r="HF1408" s="19">
        <v>5.8</v>
      </c>
      <c r="HG1408" s="19">
        <v>9.6</v>
      </c>
      <c r="HH1408" s="19">
        <v>10.5</v>
      </c>
      <c r="HI1408" s="19">
        <v>9.3</v>
      </c>
      <c r="HJ1408" s="19">
        <v>12</v>
      </c>
      <c r="HK1408" s="19">
        <v>9.8</v>
      </c>
      <c r="HL1408" s="19">
        <v>6.2</v>
      </c>
      <c r="HM1408" s="19">
        <v>6.4</v>
      </c>
      <c r="HN1408" s="19">
        <v>5.2</v>
      </c>
      <c r="HO1408" s="19">
        <v>5.8</v>
      </c>
      <c r="HP1408" s="19">
        <v>3.8</v>
      </c>
      <c r="HQ1408" s="19">
        <v>4</v>
      </c>
      <c r="HR1408" s="19">
        <v>3.5</v>
      </c>
      <c r="HS1408" s="19">
        <v>2.5</v>
      </c>
      <c r="HT1408" s="9"/>
      <c r="HU1408" s="20">
        <v>0</v>
      </c>
      <c r="HV1408" s="20">
        <v>0</v>
      </c>
      <c r="HW1408" s="9"/>
      <c r="HX1408" s="20">
        <v>0</v>
      </c>
      <c r="HY1408" s="20">
        <v>0</v>
      </c>
      <c r="HZ1408" s="19">
        <v>12.7</v>
      </c>
      <c r="IA1408" s="19">
        <v>16.6</v>
      </c>
      <c r="IB1408" s="19">
        <v>14.2</v>
      </c>
      <c r="IC1408" s="19">
        <v>20.8</v>
      </c>
    </row>
    <row r="1409">
      <c r="A1409" s="2" t="s">
        <v>5449</v>
      </c>
      <c r="B1409" s="2" t="s">
        <v>871</v>
      </c>
      <c r="C1409" s="2" t="s">
        <v>980</v>
      </c>
      <c r="D1409" s="2" t="s">
        <v>361</v>
      </c>
      <c r="E1409" s="2" t="s">
        <v>924</v>
      </c>
      <c r="F1409" s="2" t="s">
        <v>5450</v>
      </c>
      <c r="G1409" s="2" t="s">
        <v>5450</v>
      </c>
      <c r="H1409" s="2" t="s">
        <v>5450</v>
      </c>
      <c r="I1409" s="2" t="s">
        <v>5451</v>
      </c>
      <c r="J1409" s="2" t="s">
        <v>877</v>
      </c>
      <c r="K1409" s="2" t="s">
        <v>231</v>
      </c>
      <c r="L1409" s="3">
        <v>64</v>
      </c>
      <c r="M1409" s="3">
        <v>67.2</v>
      </c>
      <c r="N1409" s="3">
        <v>139.99</v>
      </c>
      <c r="O1409" s="2" t="s">
        <v>232</v>
      </c>
      <c r="P1409" s="2" t="s">
        <v>878</v>
      </c>
      <c r="Q1409" s="2" t="s">
        <v>234</v>
      </c>
      <c r="R1409" s="2" t="s">
        <v>235</v>
      </c>
      <c r="S1409" s="2" t="s">
        <v>235</v>
      </c>
      <c r="T1409" s="2" t="s">
        <v>263</v>
      </c>
      <c r="U1409" s="2" t="s">
        <v>278</v>
      </c>
      <c r="V1409" s="2" t="s">
        <v>238</v>
      </c>
      <c r="W1409" s="2" t="s">
        <v>682</v>
      </c>
      <c r="X1409" s="2" t="s">
        <v>1082</v>
      </c>
      <c r="Y1409" s="2" t="s">
        <v>2160</v>
      </c>
      <c r="Z1409" s="4">
        <v>162</v>
      </c>
      <c r="AA1409" s="4">
        <f>=ROUNDDOWN(20.25,0)</f>
      </c>
      <c r="AB1409" s="5">
        <v>8</v>
      </c>
      <c r="AC1409" s="2" t="s">
        <v>235</v>
      </c>
      <c r="AD1409" s="4"/>
      <c r="AE1409" s="4"/>
      <c r="AF1409" s="6">
        <v>80</v>
      </c>
      <c r="AG1409" s="6"/>
      <c r="AH1409" s="7">
        <v>1</v>
      </c>
      <c r="AI1409" s="4"/>
      <c r="AJ1409" s="4">
        <f>=ROUNDDOWN({0},0)</f>
      </c>
      <c r="AK1409" s="5"/>
      <c r="AL1409" s="2" t="s">
        <v>235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235</v>
      </c>
      <c r="AW1409" s="8" t="s">
        <v>235</v>
      </c>
      <c r="AX1409" s="4" t="s">
        <v>235</v>
      </c>
      <c r="AY1409" s="8" t="s">
        <v>235</v>
      </c>
      <c r="AZ1409" s="7" t="s">
        <v>235</v>
      </c>
      <c r="BA1409" s="7" t="s">
        <v>235</v>
      </c>
      <c r="BB1409" s="7"/>
      <c r="BC1409" s="4" t="s">
        <v>235</v>
      </c>
      <c r="BD1409" s="8" t="s">
        <v>235</v>
      </c>
      <c r="BE1409" s="4" t="s">
        <v>235</v>
      </c>
      <c r="BF1409" s="8" t="s">
        <v>235</v>
      </c>
      <c r="BG1409" s="7" t="s">
        <v>235</v>
      </c>
      <c r="BH1409" s="7" t="s">
        <v>235</v>
      </c>
      <c r="BI1409" s="7"/>
      <c r="BJ1409" s="4">
        <v>5</v>
      </c>
      <c r="BK1409" s="8">
        <v>373.62</v>
      </c>
      <c r="BL1409" s="2" t="s">
        <v>2161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5452</v>
      </c>
      <c r="BV1409" s="2" t="s">
        <v>235</v>
      </c>
      <c r="BW1409" s="2" t="s">
        <v>235</v>
      </c>
      <c r="BX1409" s="2" t="s">
        <v>244</v>
      </c>
      <c r="BY1409" s="2" t="s">
        <v>245</v>
      </c>
      <c r="BZ1409" s="2" t="s">
        <v>232</v>
      </c>
      <c r="CA1409" s="2" t="s">
        <v>235</v>
      </c>
      <c r="CB1409" s="2" t="s">
        <v>235</v>
      </c>
      <c r="CC1409" s="2" t="s">
        <v>248</v>
      </c>
      <c r="CD1409" s="2" t="s">
        <v>248</v>
      </c>
      <c r="CE1409" s="2" t="s">
        <v>235</v>
      </c>
      <c r="CF1409" s="4">
        <v>162</v>
      </c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>
        <v>163</v>
      </c>
      <c r="GE1409" s="4">
        <v>145</v>
      </c>
      <c r="GF1409" s="4">
        <v>136</v>
      </c>
      <c r="GG1409" s="4">
        <v>130</v>
      </c>
      <c r="GH1409" s="4">
        <v>125</v>
      </c>
      <c r="GI1409" s="4">
        <v>114</v>
      </c>
      <c r="GJ1409" s="4">
        <v>94</v>
      </c>
      <c r="GK1409" s="4">
        <v>82</v>
      </c>
      <c r="GL1409" s="4">
        <v>75</v>
      </c>
      <c r="GM1409" s="4">
        <v>67</v>
      </c>
      <c r="GN1409" s="4">
        <v>60</v>
      </c>
      <c r="GO1409" s="4">
        <v>46</v>
      </c>
      <c r="GP1409" s="4">
        <v>28</v>
      </c>
      <c r="GQ1409" s="4">
        <v>18</v>
      </c>
      <c r="GR1409" s="4"/>
      <c r="GS1409" s="4"/>
      <c r="GT1409" s="4"/>
      <c r="GU1409" s="4"/>
      <c r="GV1409" s="4"/>
      <c r="GW1409" s="4"/>
      <c r="GX1409" s="4"/>
      <c r="GY1409" s="4"/>
      <c r="GZ1409" s="4"/>
      <c r="HA1409" s="4">
        <v>189</v>
      </c>
      <c r="HB1409" s="4">
        <v>170</v>
      </c>
      <c r="HC1409" s="4">
        <v>163</v>
      </c>
      <c r="HD1409" s="19">
        <v>16.3</v>
      </c>
      <c r="HE1409" s="19">
        <v>18.1</v>
      </c>
      <c r="HF1409" s="19">
        <v>13.6</v>
      </c>
      <c r="HG1409" s="19">
        <v>10.8</v>
      </c>
      <c r="HH1409" s="19">
        <v>10.4</v>
      </c>
      <c r="HI1409" s="19">
        <v>9.5</v>
      </c>
      <c r="HJ1409" s="19">
        <v>11.8</v>
      </c>
      <c r="HK1409" s="19">
        <v>9.1</v>
      </c>
      <c r="HL1409" s="19">
        <v>6.3</v>
      </c>
      <c r="HM1409" s="19">
        <v>5.6</v>
      </c>
      <c r="HN1409" s="19">
        <v>3.8</v>
      </c>
      <c r="HO1409" s="19">
        <v>3.3</v>
      </c>
      <c r="HP1409" s="19">
        <v>2.3</v>
      </c>
      <c r="HQ1409" s="19">
        <v>1.8</v>
      </c>
      <c r="HR1409" s="20">
        <v>0</v>
      </c>
      <c r="HS1409" s="20">
        <v>0</v>
      </c>
      <c r="HT1409" s="20">
        <v>0</v>
      </c>
      <c r="HU1409" s="20">
        <v>0</v>
      </c>
      <c r="HV1409" s="20">
        <v>0</v>
      </c>
      <c r="HW1409" s="20">
        <v>0</v>
      </c>
      <c r="HX1409" s="20">
        <v>0</v>
      </c>
      <c r="HY1409" s="20">
        <v>0</v>
      </c>
      <c r="HZ1409" s="20">
        <v>0</v>
      </c>
      <c r="IA1409" s="19">
        <v>21</v>
      </c>
      <c r="IB1409" s="19">
        <v>34</v>
      </c>
      <c r="IC1409" s="19">
        <v>32.6</v>
      </c>
    </row>
    <row r="1410">
      <c r="A1410" s="2" t="s">
        <v>5453</v>
      </c>
      <c r="B1410" s="2" t="s">
        <v>871</v>
      </c>
      <c r="C1410" s="2" t="s">
        <v>980</v>
      </c>
      <c r="D1410" s="2" t="s">
        <v>361</v>
      </c>
      <c r="E1410" s="2" t="s">
        <v>924</v>
      </c>
      <c r="F1410" s="2" t="s">
        <v>5450</v>
      </c>
      <c r="G1410" s="2" t="s">
        <v>5450</v>
      </c>
      <c r="H1410" s="2" t="s">
        <v>5450</v>
      </c>
      <c r="I1410" s="2" t="s">
        <v>5451</v>
      </c>
      <c r="J1410" s="2" t="s">
        <v>365</v>
      </c>
      <c r="K1410" s="2" t="s">
        <v>231</v>
      </c>
      <c r="L1410" s="3">
        <v>73.14</v>
      </c>
      <c r="M1410" s="3">
        <v>76.8</v>
      </c>
      <c r="N1410" s="3">
        <v>159.99</v>
      </c>
      <c r="O1410" s="2" t="s">
        <v>232</v>
      </c>
      <c r="P1410" s="2" t="s">
        <v>878</v>
      </c>
      <c r="Q1410" s="2" t="s">
        <v>234</v>
      </c>
      <c r="R1410" s="2" t="s">
        <v>235</v>
      </c>
      <c r="S1410" s="2" t="s">
        <v>235</v>
      </c>
      <c r="T1410" s="2" t="s">
        <v>263</v>
      </c>
      <c r="U1410" s="2" t="s">
        <v>552</v>
      </c>
      <c r="V1410" s="2" t="s">
        <v>238</v>
      </c>
      <c r="W1410" s="2" t="s">
        <v>682</v>
      </c>
      <c r="X1410" s="2" t="s">
        <v>1082</v>
      </c>
      <c r="Y1410" s="2" t="s">
        <v>2160</v>
      </c>
      <c r="Z1410" s="4">
        <v>380</v>
      </c>
      <c r="AA1410" s="4">
        <f>=ROUNDDOWN(34.5454545454545,0)</f>
      </c>
      <c r="AB1410" s="5">
        <v>11</v>
      </c>
      <c r="AC1410" s="2" t="s">
        <v>235</v>
      </c>
      <c r="AD1410" s="4"/>
      <c r="AE1410" s="4"/>
      <c r="AF1410" s="6">
        <v>80</v>
      </c>
      <c r="AG1410" s="6"/>
      <c r="AH1410" s="7">
        <v>1</v>
      </c>
      <c r="AI1410" s="4"/>
      <c r="AJ1410" s="4">
        <f>=ROUNDDOWN({0},0)</f>
      </c>
      <c r="AK1410" s="5"/>
      <c r="AL1410" s="2" t="s">
        <v>235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235</v>
      </c>
      <c r="AW1410" s="8" t="s">
        <v>235</v>
      </c>
      <c r="AX1410" s="4" t="s">
        <v>235</v>
      </c>
      <c r="AY1410" s="8" t="s">
        <v>235</v>
      </c>
      <c r="AZ1410" s="7" t="s">
        <v>235</v>
      </c>
      <c r="BA1410" s="7" t="s">
        <v>235</v>
      </c>
      <c r="BB1410" s="7" t="s">
        <v>235</v>
      </c>
      <c r="BC1410" s="4" t="s">
        <v>235</v>
      </c>
      <c r="BD1410" s="8" t="s">
        <v>235</v>
      </c>
      <c r="BE1410" s="4" t="s">
        <v>235</v>
      </c>
      <c r="BF1410" s="8" t="s">
        <v>235</v>
      </c>
      <c r="BG1410" s="7" t="s">
        <v>235</v>
      </c>
      <c r="BH1410" s="7" t="s">
        <v>235</v>
      </c>
      <c r="BI1410" s="7"/>
      <c r="BJ1410" s="4">
        <v>16</v>
      </c>
      <c r="BK1410" s="8">
        <v>1344.88</v>
      </c>
      <c r="BL1410" s="2" t="s">
        <v>5289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5452</v>
      </c>
      <c r="BV1410" s="2" t="s">
        <v>235</v>
      </c>
      <c r="BW1410" s="2" t="s">
        <v>235</v>
      </c>
      <c r="BX1410" s="2" t="s">
        <v>244</v>
      </c>
      <c r="BY1410" s="2" t="s">
        <v>245</v>
      </c>
      <c r="BZ1410" s="2" t="s">
        <v>232</v>
      </c>
      <c r="CA1410" s="2" t="s">
        <v>235</v>
      </c>
      <c r="CB1410" s="2" t="s">
        <v>235</v>
      </c>
      <c r="CC1410" s="2" t="s">
        <v>248</v>
      </c>
      <c r="CD1410" s="2" t="s">
        <v>248</v>
      </c>
      <c r="CE1410" s="2" t="s">
        <v>235</v>
      </c>
      <c r="CF1410" s="4">
        <v>380</v>
      </c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>
        <v>381</v>
      </c>
      <c r="GE1410" s="4">
        <v>356</v>
      </c>
      <c r="GF1410" s="4">
        <v>352</v>
      </c>
      <c r="GG1410" s="4">
        <v>348</v>
      </c>
      <c r="GH1410" s="4">
        <v>338</v>
      </c>
      <c r="GI1410" s="4">
        <v>329</v>
      </c>
      <c r="GJ1410" s="4">
        <v>307</v>
      </c>
      <c r="GK1410" s="4">
        <v>294</v>
      </c>
      <c r="GL1410" s="4">
        <v>272</v>
      </c>
      <c r="GM1410" s="4">
        <v>257</v>
      </c>
      <c r="GN1410" s="4">
        <v>249</v>
      </c>
      <c r="GO1410" s="4">
        <v>236</v>
      </c>
      <c r="GP1410" s="4">
        <v>220</v>
      </c>
      <c r="GQ1410" s="4">
        <v>207</v>
      </c>
      <c r="GR1410" s="4">
        <v>193</v>
      </c>
      <c r="GS1410" s="4">
        <v>162</v>
      </c>
      <c r="GT1410" s="4">
        <v>128</v>
      </c>
      <c r="GU1410" s="4">
        <v>120</v>
      </c>
      <c r="GV1410" s="4">
        <v>115</v>
      </c>
      <c r="GW1410" s="4">
        <v>102</v>
      </c>
      <c r="GX1410" s="4">
        <v>94</v>
      </c>
      <c r="GY1410" s="4">
        <v>87</v>
      </c>
      <c r="GZ1410" s="4">
        <v>71</v>
      </c>
      <c r="HA1410" s="4">
        <v>252</v>
      </c>
      <c r="HB1410" s="4">
        <v>244</v>
      </c>
      <c r="HC1410" s="4">
        <v>234</v>
      </c>
      <c r="HD1410" s="19">
        <v>34.6</v>
      </c>
      <c r="HE1410" s="19">
        <v>50.9</v>
      </c>
      <c r="HF1410" s="19">
        <v>32</v>
      </c>
      <c r="HG1410" s="19">
        <v>24.9</v>
      </c>
      <c r="HH1410" s="19">
        <v>21.1</v>
      </c>
      <c r="HI1410" s="19">
        <v>18.3</v>
      </c>
      <c r="HJ1410" s="19">
        <v>21.9</v>
      </c>
      <c r="HK1410" s="19">
        <v>21</v>
      </c>
      <c r="HL1410" s="19">
        <v>20.9</v>
      </c>
      <c r="HM1410" s="19">
        <v>21.4</v>
      </c>
      <c r="HN1410" s="19">
        <v>17.8</v>
      </c>
      <c r="HO1410" s="19">
        <v>13.1</v>
      </c>
      <c r="HP1410" s="19">
        <v>9.6</v>
      </c>
      <c r="HQ1410" s="19">
        <v>9.4</v>
      </c>
      <c r="HR1410" s="19">
        <v>9.7</v>
      </c>
      <c r="HS1410" s="19">
        <v>10.8</v>
      </c>
      <c r="HT1410" s="19">
        <v>16</v>
      </c>
      <c r="HU1410" s="19">
        <v>15</v>
      </c>
      <c r="HV1410" s="19">
        <v>10.5</v>
      </c>
      <c r="HW1410" s="19">
        <v>9.3</v>
      </c>
      <c r="HX1410" s="19">
        <v>8.5</v>
      </c>
      <c r="HY1410" s="19">
        <v>7.3</v>
      </c>
      <c r="HZ1410" s="19">
        <v>7.1</v>
      </c>
      <c r="IA1410" s="19">
        <v>31.5</v>
      </c>
      <c r="IB1410" s="19">
        <v>30.5</v>
      </c>
      <c r="IC1410" s="19">
        <v>29.3</v>
      </c>
    </row>
    <row r="1411">
      <c r="A1411" s="2" t="s">
        <v>5454</v>
      </c>
      <c r="B1411" s="2" t="s">
        <v>871</v>
      </c>
      <c r="C1411" s="2" t="s">
        <v>980</v>
      </c>
      <c r="D1411" s="2" t="s">
        <v>906</v>
      </c>
      <c r="E1411" s="2" t="s">
        <v>907</v>
      </c>
      <c r="F1411" s="2" t="s">
        <v>5450</v>
      </c>
      <c r="G1411" s="2" t="s">
        <v>5450</v>
      </c>
      <c r="H1411" s="2" t="s">
        <v>5450</v>
      </c>
      <c r="I1411" s="2" t="s">
        <v>5455</v>
      </c>
      <c r="J1411" s="2" t="s">
        <v>365</v>
      </c>
      <c r="K1411" s="2" t="s">
        <v>231</v>
      </c>
      <c r="L1411" s="3">
        <v>59.42</v>
      </c>
      <c r="M1411" s="3">
        <v>62.39</v>
      </c>
      <c r="N1411" s="3">
        <v>129.99</v>
      </c>
      <c r="O1411" s="2" t="s">
        <v>232</v>
      </c>
      <c r="P1411" s="2" t="s">
        <v>878</v>
      </c>
      <c r="Q1411" s="2" t="s">
        <v>234</v>
      </c>
      <c r="R1411" s="2" t="s">
        <v>235</v>
      </c>
      <c r="S1411" s="2" t="s">
        <v>235</v>
      </c>
      <c r="T1411" s="2" t="s">
        <v>263</v>
      </c>
      <c r="U1411" s="2" t="s">
        <v>552</v>
      </c>
      <c r="V1411" s="2" t="s">
        <v>238</v>
      </c>
      <c r="W1411" s="2" t="s">
        <v>682</v>
      </c>
      <c r="X1411" s="2" t="s">
        <v>1082</v>
      </c>
      <c r="Y1411" s="2" t="s">
        <v>2160</v>
      </c>
      <c r="Z1411" s="4">
        <v>94</v>
      </c>
      <c r="AA1411" s="4">
        <f>=ROUNDDOWN(23.5,0)</f>
      </c>
      <c r="AB1411" s="5">
        <v>4</v>
      </c>
      <c r="AC1411" s="2" t="s">
        <v>235</v>
      </c>
      <c r="AD1411" s="4"/>
      <c r="AE1411" s="4"/>
      <c r="AF1411" s="6">
        <v>80</v>
      </c>
      <c r="AG1411" s="6"/>
      <c r="AH1411" s="7">
        <v>1</v>
      </c>
      <c r="AI1411" s="4"/>
      <c r="AJ1411" s="4">
        <f>=ROUNDDOWN({0},0)</f>
      </c>
      <c r="AK1411" s="5"/>
      <c r="AL1411" s="2" t="s">
        <v>235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235</v>
      </c>
      <c r="AW1411" s="8" t="s">
        <v>235</v>
      </c>
      <c r="AX1411" s="4" t="s">
        <v>235</v>
      </c>
      <c r="AY1411" s="8" t="s">
        <v>235</v>
      </c>
      <c r="AZ1411" s="7" t="s">
        <v>235</v>
      </c>
      <c r="BA1411" s="7" t="s">
        <v>235</v>
      </c>
      <c r="BB1411" s="7" t="s">
        <v>235</v>
      </c>
      <c r="BC1411" s="4" t="s">
        <v>235</v>
      </c>
      <c r="BD1411" s="8" t="s">
        <v>235</v>
      </c>
      <c r="BE1411" s="4" t="s">
        <v>235</v>
      </c>
      <c r="BF1411" s="8" t="s">
        <v>235</v>
      </c>
      <c r="BG1411" s="7" t="s">
        <v>235</v>
      </c>
      <c r="BH1411" s="7" t="s">
        <v>235</v>
      </c>
      <c r="BI1411" s="7"/>
      <c r="BJ1411" s="4">
        <v>3</v>
      </c>
      <c r="BK1411" s="8">
        <v>209.64</v>
      </c>
      <c r="BL1411" s="2" t="s">
        <v>597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5456</v>
      </c>
      <c r="BV1411" s="2" t="s">
        <v>235</v>
      </c>
      <c r="BW1411" s="2" t="s">
        <v>235</v>
      </c>
      <c r="BX1411" s="2" t="s">
        <v>244</v>
      </c>
      <c r="BY1411" s="2" t="s">
        <v>245</v>
      </c>
      <c r="BZ1411" s="2" t="s">
        <v>232</v>
      </c>
      <c r="CA1411" s="2" t="s">
        <v>235</v>
      </c>
      <c r="CB1411" s="2" t="s">
        <v>235</v>
      </c>
      <c r="CC1411" s="2" t="s">
        <v>248</v>
      </c>
      <c r="CD1411" s="2" t="s">
        <v>248</v>
      </c>
      <c r="CE1411" s="2" t="s">
        <v>235</v>
      </c>
      <c r="CF1411" s="4">
        <v>94</v>
      </c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>
        <v>94</v>
      </c>
      <c r="GE1411" s="4">
        <v>91</v>
      </c>
      <c r="GF1411" s="4">
        <v>88</v>
      </c>
      <c r="GG1411" s="4">
        <v>83</v>
      </c>
      <c r="GH1411" s="4">
        <v>80</v>
      </c>
      <c r="GI1411" s="4">
        <v>76</v>
      </c>
      <c r="GJ1411" s="4">
        <v>70</v>
      </c>
      <c r="GK1411" s="4">
        <v>62</v>
      </c>
      <c r="GL1411" s="4">
        <v>58</v>
      </c>
      <c r="GM1411" s="4">
        <v>54</v>
      </c>
      <c r="GN1411" s="4">
        <v>50</v>
      </c>
      <c r="GO1411" s="4">
        <v>47</v>
      </c>
      <c r="GP1411" s="4">
        <v>42</v>
      </c>
      <c r="GQ1411" s="4">
        <v>38</v>
      </c>
      <c r="GR1411" s="4">
        <v>32</v>
      </c>
      <c r="GS1411" s="4">
        <v>28</v>
      </c>
      <c r="GT1411" s="4">
        <v>25</v>
      </c>
      <c r="GU1411" s="4">
        <v>22</v>
      </c>
      <c r="GV1411" s="4">
        <v>16</v>
      </c>
      <c r="GW1411" s="4">
        <v>12</v>
      </c>
      <c r="GX1411" s="4">
        <v>7</v>
      </c>
      <c r="GY1411" s="4">
        <v>4</v>
      </c>
      <c r="GZ1411" s="4">
        <v>1</v>
      </c>
      <c r="HA1411" s="4">
        <v>99</v>
      </c>
      <c r="HB1411" s="4">
        <v>93</v>
      </c>
      <c r="HC1411" s="4">
        <v>88</v>
      </c>
      <c r="HD1411" s="19">
        <v>23.5</v>
      </c>
      <c r="HE1411" s="19">
        <v>22.8</v>
      </c>
      <c r="HF1411" s="19">
        <v>22</v>
      </c>
      <c r="HG1411" s="19">
        <v>16.6</v>
      </c>
      <c r="HH1411" s="19">
        <v>13.3</v>
      </c>
      <c r="HI1411" s="19">
        <v>12.7</v>
      </c>
      <c r="HJ1411" s="19">
        <v>14</v>
      </c>
      <c r="HK1411" s="19">
        <v>15.5</v>
      </c>
      <c r="HL1411" s="19">
        <v>14.5</v>
      </c>
      <c r="HM1411" s="19">
        <v>13.5</v>
      </c>
      <c r="HN1411" s="19">
        <v>12.5</v>
      </c>
      <c r="HO1411" s="19">
        <v>9.4</v>
      </c>
      <c r="HP1411" s="19">
        <v>10.5</v>
      </c>
      <c r="HQ1411" s="19">
        <v>9.5</v>
      </c>
      <c r="HR1411" s="19">
        <v>8</v>
      </c>
      <c r="HS1411" s="19">
        <v>7</v>
      </c>
      <c r="HT1411" s="19">
        <v>6.3</v>
      </c>
      <c r="HU1411" s="19">
        <v>5.5</v>
      </c>
      <c r="HV1411" s="19">
        <v>4</v>
      </c>
      <c r="HW1411" s="19">
        <v>4</v>
      </c>
      <c r="HX1411" s="19">
        <v>2.3</v>
      </c>
      <c r="HY1411" s="19">
        <v>1</v>
      </c>
      <c r="HZ1411" s="19">
        <v>0.3</v>
      </c>
      <c r="IA1411" s="19">
        <v>19.8</v>
      </c>
      <c r="IB1411" s="19">
        <v>23.3</v>
      </c>
      <c r="IC1411" s="19">
        <v>22</v>
      </c>
    </row>
    <row r="1412">
      <c r="A1412" s="2" t="s">
        <v>5457</v>
      </c>
      <c r="B1412" s="2" t="s">
        <v>871</v>
      </c>
      <c r="C1412" s="2" t="s">
        <v>980</v>
      </c>
      <c r="D1412" s="2" t="s">
        <v>361</v>
      </c>
      <c r="E1412" s="2" t="s">
        <v>924</v>
      </c>
      <c r="F1412" s="2" t="s">
        <v>5450</v>
      </c>
      <c r="G1412" s="2" t="s">
        <v>5450</v>
      </c>
      <c r="H1412" s="2" t="s">
        <v>5450</v>
      </c>
      <c r="I1412" s="2" t="s">
        <v>5451</v>
      </c>
      <c r="J1412" s="2" t="s">
        <v>372</v>
      </c>
      <c r="K1412" s="2" t="s">
        <v>231</v>
      </c>
      <c r="L1412" s="3">
        <v>82.28</v>
      </c>
      <c r="M1412" s="3">
        <v>86.39</v>
      </c>
      <c r="N1412" s="3">
        <v>179.99</v>
      </c>
      <c r="O1412" s="2" t="s">
        <v>232</v>
      </c>
      <c r="P1412" s="2" t="s">
        <v>878</v>
      </c>
      <c r="Q1412" s="2" t="s">
        <v>234</v>
      </c>
      <c r="R1412" s="2" t="s">
        <v>235</v>
      </c>
      <c r="S1412" s="2" t="s">
        <v>235</v>
      </c>
      <c r="T1412" s="2" t="s">
        <v>263</v>
      </c>
      <c r="U1412" s="2" t="s">
        <v>552</v>
      </c>
      <c r="V1412" s="2" t="s">
        <v>238</v>
      </c>
      <c r="W1412" s="2" t="s">
        <v>682</v>
      </c>
      <c r="X1412" s="2" t="s">
        <v>1082</v>
      </c>
      <c r="Y1412" s="2" t="s">
        <v>2164</v>
      </c>
      <c r="Z1412" s="4">
        <v>330</v>
      </c>
      <c r="AA1412" s="4">
        <f>=ROUNDDOWN(30,0)</f>
      </c>
      <c r="AB1412" s="5">
        <v>11</v>
      </c>
      <c r="AC1412" s="2" t="s">
        <v>235</v>
      </c>
      <c r="AD1412" s="4"/>
      <c r="AE1412" s="4"/>
      <c r="AF1412" s="6">
        <v>80</v>
      </c>
      <c r="AG1412" s="6"/>
      <c r="AH1412" s="7">
        <v>1</v>
      </c>
      <c r="AI1412" s="4"/>
      <c r="AJ1412" s="4">
        <f>=ROUNDDOWN({0},0)</f>
      </c>
      <c r="AK1412" s="5"/>
      <c r="AL1412" s="2" t="s">
        <v>235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235</v>
      </c>
      <c r="AW1412" s="8" t="s">
        <v>235</v>
      </c>
      <c r="AX1412" s="4" t="s">
        <v>235</v>
      </c>
      <c r="AY1412" s="8" t="s">
        <v>235</v>
      </c>
      <c r="AZ1412" s="7" t="s">
        <v>235</v>
      </c>
      <c r="BA1412" s="7" t="s">
        <v>235</v>
      </c>
      <c r="BB1412" s="7" t="s">
        <v>235</v>
      </c>
      <c r="BC1412" s="4" t="s">
        <v>235</v>
      </c>
      <c r="BD1412" s="8" t="s">
        <v>235</v>
      </c>
      <c r="BE1412" s="4" t="s">
        <v>235</v>
      </c>
      <c r="BF1412" s="8" t="s">
        <v>235</v>
      </c>
      <c r="BG1412" s="7" t="s">
        <v>235</v>
      </c>
      <c r="BH1412" s="7" t="s">
        <v>235</v>
      </c>
      <c r="BI1412" s="7"/>
      <c r="BJ1412" s="4">
        <v>3</v>
      </c>
      <c r="BK1412" s="8">
        <v>277.77</v>
      </c>
      <c r="BL1412" s="2" t="s">
        <v>5458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5452</v>
      </c>
      <c r="BV1412" s="2" t="s">
        <v>235</v>
      </c>
      <c r="BW1412" s="2" t="s">
        <v>235</v>
      </c>
      <c r="BX1412" s="2" t="s">
        <v>244</v>
      </c>
      <c r="BY1412" s="2" t="s">
        <v>245</v>
      </c>
      <c r="BZ1412" s="2" t="s">
        <v>232</v>
      </c>
      <c r="CA1412" s="2" t="s">
        <v>235</v>
      </c>
      <c r="CB1412" s="2" t="s">
        <v>235</v>
      </c>
      <c r="CC1412" s="2" t="s">
        <v>248</v>
      </c>
      <c r="CD1412" s="2" t="s">
        <v>248</v>
      </c>
      <c r="CE1412" s="2" t="s">
        <v>235</v>
      </c>
      <c r="CF1412" s="4">
        <v>330</v>
      </c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>
        <v>332</v>
      </c>
      <c r="GE1412" s="4">
        <v>306</v>
      </c>
      <c r="GF1412" s="4">
        <v>299</v>
      </c>
      <c r="GG1412" s="4">
        <v>290</v>
      </c>
      <c r="GH1412" s="4">
        <v>277</v>
      </c>
      <c r="GI1412" s="4">
        <v>265</v>
      </c>
      <c r="GJ1412" s="4">
        <v>241</v>
      </c>
      <c r="GK1412" s="4">
        <v>227</v>
      </c>
      <c r="GL1412" s="4">
        <v>209</v>
      </c>
      <c r="GM1412" s="4">
        <v>200</v>
      </c>
      <c r="GN1412" s="4">
        <v>191</v>
      </c>
      <c r="GO1412" s="4">
        <v>169</v>
      </c>
      <c r="GP1412" s="4">
        <v>152</v>
      </c>
      <c r="GQ1412" s="4">
        <v>137</v>
      </c>
      <c r="GR1412" s="4">
        <v>114</v>
      </c>
      <c r="GS1412" s="4">
        <v>101</v>
      </c>
      <c r="GT1412" s="4">
        <v>91</v>
      </c>
      <c r="GU1412" s="4">
        <v>82</v>
      </c>
      <c r="GV1412" s="4">
        <v>68</v>
      </c>
      <c r="GW1412" s="4">
        <v>58</v>
      </c>
      <c r="GX1412" s="4">
        <v>49</v>
      </c>
      <c r="GY1412" s="4">
        <v>44</v>
      </c>
      <c r="GZ1412" s="4">
        <v>33</v>
      </c>
      <c r="HA1412" s="4">
        <v>272</v>
      </c>
      <c r="HB1412" s="4">
        <v>261</v>
      </c>
      <c r="HC1412" s="4">
        <v>250</v>
      </c>
      <c r="HD1412" s="19">
        <v>23.7</v>
      </c>
      <c r="HE1412" s="19">
        <v>30.6</v>
      </c>
      <c r="HF1412" s="19">
        <v>21.4</v>
      </c>
      <c r="HG1412" s="19">
        <v>18.1</v>
      </c>
      <c r="HH1412" s="19">
        <v>16.3</v>
      </c>
      <c r="HI1412" s="19">
        <v>16.6</v>
      </c>
      <c r="HJ1412" s="19">
        <v>20.1</v>
      </c>
      <c r="HK1412" s="19">
        <v>16.2</v>
      </c>
      <c r="HL1412" s="19">
        <v>14.9</v>
      </c>
      <c r="HM1412" s="19">
        <v>12.5</v>
      </c>
      <c r="HN1412" s="19">
        <v>10.1</v>
      </c>
      <c r="HO1412" s="19">
        <v>9.9</v>
      </c>
      <c r="HP1412" s="19">
        <v>10.1</v>
      </c>
      <c r="HQ1412" s="19">
        <v>9.8</v>
      </c>
      <c r="HR1412" s="19">
        <v>9.5</v>
      </c>
      <c r="HS1412" s="19">
        <v>9.2</v>
      </c>
      <c r="HT1412" s="19">
        <v>9.1</v>
      </c>
      <c r="HU1412" s="19">
        <v>8.2</v>
      </c>
      <c r="HV1412" s="19">
        <v>7.6</v>
      </c>
      <c r="HW1412" s="19">
        <v>8.3</v>
      </c>
      <c r="HX1412" s="19">
        <v>6.1</v>
      </c>
      <c r="HY1412" s="19">
        <v>4.9</v>
      </c>
      <c r="HZ1412" s="19">
        <v>3.7</v>
      </c>
      <c r="IA1412" s="19">
        <v>24.7</v>
      </c>
      <c r="IB1412" s="19">
        <v>23.7</v>
      </c>
      <c r="IC1412" s="19">
        <v>25</v>
      </c>
    </row>
    <row r="1413">
      <c r="A1413" s="2" t="s">
        <v>5459</v>
      </c>
      <c r="B1413" s="2" t="s">
        <v>871</v>
      </c>
      <c r="C1413" s="2" t="s">
        <v>980</v>
      </c>
      <c r="D1413" s="2" t="s">
        <v>906</v>
      </c>
      <c r="E1413" s="2" t="s">
        <v>907</v>
      </c>
      <c r="F1413" s="2" t="s">
        <v>5450</v>
      </c>
      <c r="G1413" s="2" t="s">
        <v>5450</v>
      </c>
      <c r="H1413" s="2" t="s">
        <v>5450</v>
      </c>
      <c r="I1413" s="2" t="s">
        <v>5455</v>
      </c>
      <c r="J1413" s="2" t="s">
        <v>372</v>
      </c>
      <c r="K1413" s="2" t="s">
        <v>231</v>
      </c>
      <c r="L1413" s="3">
        <v>68.57</v>
      </c>
      <c r="M1413" s="3">
        <v>72</v>
      </c>
      <c r="N1413" s="3">
        <v>149.99</v>
      </c>
      <c r="O1413" s="2" t="s">
        <v>232</v>
      </c>
      <c r="P1413" s="2" t="s">
        <v>878</v>
      </c>
      <c r="Q1413" s="2" t="s">
        <v>234</v>
      </c>
      <c r="R1413" s="2" t="s">
        <v>235</v>
      </c>
      <c r="S1413" s="2" t="s">
        <v>235</v>
      </c>
      <c r="T1413" s="2" t="s">
        <v>263</v>
      </c>
      <c r="U1413" s="2" t="s">
        <v>552</v>
      </c>
      <c r="V1413" s="2" t="s">
        <v>238</v>
      </c>
      <c r="W1413" s="2" t="s">
        <v>682</v>
      </c>
      <c r="X1413" s="2" t="s">
        <v>1082</v>
      </c>
      <c r="Y1413" s="2" t="s">
        <v>2160</v>
      </c>
      <c r="Z1413" s="4">
        <v>99</v>
      </c>
      <c r="AA1413" s="4">
        <f>=ROUNDDOWN(24.75,0)</f>
      </c>
      <c r="AB1413" s="5">
        <v>4</v>
      </c>
      <c r="AC1413" s="2" t="s">
        <v>235</v>
      </c>
      <c r="AD1413" s="4"/>
      <c r="AE1413" s="4"/>
      <c r="AF1413" s="6">
        <v>80</v>
      </c>
      <c r="AG1413" s="6"/>
      <c r="AH1413" s="7">
        <v>1</v>
      </c>
      <c r="AI1413" s="4"/>
      <c r="AJ1413" s="4">
        <f>=ROUNDDOWN({0},0)</f>
      </c>
      <c r="AK1413" s="5"/>
      <c r="AL1413" s="2" t="s">
        <v>235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235</v>
      </c>
      <c r="AW1413" s="8" t="s">
        <v>235</v>
      </c>
      <c r="AX1413" s="4" t="s">
        <v>235</v>
      </c>
      <c r="AY1413" s="8" t="s">
        <v>235</v>
      </c>
      <c r="AZ1413" s="7" t="s">
        <v>235</v>
      </c>
      <c r="BA1413" s="7" t="s">
        <v>235</v>
      </c>
      <c r="BB1413" s="7" t="s">
        <v>235</v>
      </c>
      <c r="BC1413" s="4" t="s">
        <v>235</v>
      </c>
      <c r="BD1413" s="8" t="s">
        <v>235</v>
      </c>
      <c r="BE1413" s="4" t="s">
        <v>235</v>
      </c>
      <c r="BF1413" s="8" t="s">
        <v>235</v>
      </c>
      <c r="BG1413" s="7" t="s">
        <v>235</v>
      </c>
      <c r="BH1413" s="7" t="s">
        <v>235</v>
      </c>
      <c r="BI1413" s="7"/>
      <c r="BJ1413" s="4">
        <v>2</v>
      </c>
      <c r="BK1413" s="8">
        <v>161.28</v>
      </c>
      <c r="BL1413" s="2" t="s">
        <v>597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5456</v>
      </c>
      <c r="BV1413" s="2" t="s">
        <v>235</v>
      </c>
      <c r="BW1413" s="2" t="s">
        <v>235</v>
      </c>
      <c r="BX1413" s="2" t="s">
        <v>244</v>
      </c>
      <c r="BY1413" s="2" t="s">
        <v>245</v>
      </c>
      <c r="BZ1413" s="2" t="s">
        <v>232</v>
      </c>
      <c r="CA1413" s="2" t="s">
        <v>235</v>
      </c>
      <c r="CB1413" s="2" t="s">
        <v>235</v>
      </c>
      <c r="CC1413" s="2" t="s">
        <v>248</v>
      </c>
      <c r="CD1413" s="2" t="s">
        <v>248</v>
      </c>
      <c r="CE1413" s="2" t="s">
        <v>235</v>
      </c>
      <c r="CF1413" s="4">
        <v>99</v>
      </c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>
        <v>99</v>
      </c>
      <c r="GE1413" s="4">
        <v>88</v>
      </c>
      <c r="GF1413" s="4">
        <v>86</v>
      </c>
      <c r="GG1413" s="4">
        <v>83</v>
      </c>
      <c r="GH1413" s="4">
        <v>79</v>
      </c>
      <c r="GI1413" s="4">
        <v>75</v>
      </c>
      <c r="GJ1413" s="4">
        <v>67</v>
      </c>
      <c r="GK1413" s="4">
        <v>63</v>
      </c>
      <c r="GL1413" s="4">
        <v>56</v>
      </c>
      <c r="GM1413" s="4">
        <v>51</v>
      </c>
      <c r="GN1413" s="4">
        <v>47</v>
      </c>
      <c r="GO1413" s="4">
        <v>44</v>
      </c>
      <c r="GP1413" s="4">
        <v>38</v>
      </c>
      <c r="GQ1413" s="4">
        <v>33</v>
      </c>
      <c r="GR1413" s="4">
        <v>29</v>
      </c>
      <c r="GS1413" s="4">
        <v>22</v>
      </c>
      <c r="GT1413" s="4">
        <v>14</v>
      </c>
      <c r="GU1413" s="4">
        <v>10</v>
      </c>
      <c r="GV1413" s="4">
        <v>8</v>
      </c>
      <c r="GW1413" s="4">
        <v>3</v>
      </c>
      <c r="GX1413" s="4"/>
      <c r="GY1413" s="4"/>
      <c r="GZ1413" s="4"/>
      <c r="HA1413" s="4">
        <v>93</v>
      </c>
      <c r="HB1413" s="4">
        <v>84</v>
      </c>
      <c r="HC1413" s="4">
        <v>80</v>
      </c>
      <c r="HD1413" s="19">
        <v>19.8</v>
      </c>
      <c r="HE1413" s="19">
        <v>29.3</v>
      </c>
      <c r="HF1413" s="19">
        <v>17.2</v>
      </c>
      <c r="HG1413" s="19">
        <v>16.6</v>
      </c>
      <c r="HH1413" s="19">
        <v>13.2</v>
      </c>
      <c r="HI1413" s="19">
        <v>12.5</v>
      </c>
      <c r="HJ1413" s="19">
        <v>13.4</v>
      </c>
      <c r="HK1413" s="19">
        <v>12.6</v>
      </c>
      <c r="HL1413" s="19">
        <v>14</v>
      </c>
      <c r="HM1413" s="19">
        <v>12.8</v>
      </c>
      <c r="HN1413" s="19">
        <v>11.8</v>
      </c>
      <c r="HO1413" s="19">
        <v>7.3</v>
      </c>
      <c r="HP1413" s="19">
        <v>6.3</v>
      </c>
      <c r="HQ1413" s="19">
        <v>5.5</v>
      </c>
      <c r="HR1413" s="19">
        <v>5.8</v>
      </c>
      <c r="HS1413" s="19">
        <v>4.4</v>
      </c>
      <c r="HT1413" s="19">
        <v>3.5</v>
      </c>
      <c r="HU1413" s="19">
        <v>3.3</v>
      </c>
      <c r="HV1413" s="19">
        <v>2.7</v>
      </c>
      <c r="HW1413" s="19">
        <v>1</v>
      </c>
      <c r="HX1413" s="20">
        <v>0</v>
      </c>
      <c r="HY1413" s="20">
        <v>0</v>
      </c>
      <c r="HZ1413" s="20">
        <v>0</v>
      </c>
      <c r="IA1413" s="19">
        <v>18.6</v>
      </c>
      <c r="IB1413" s="19">
        <v>28</v>
      </c>
      <c r="IC1413" s="19">
        <v>20</v>
      </c>
    </row>
    <row r="1414">
      <c r="A1414" s="2" t="s">
        <v>5460</v>
      </c>
      <c r="B1414" s="2" t="s">
        <v>871</v>
      </c>
      <c r="C1414" s="2" t="s">
        <v>980</v>
      </c>
      <c r="D1414" s="2" t="s">
        <v>361</v>
      </c>
      <c r="E1414" s="2" t="s">
        <v>924</v>
      </c>
      <c r="F1414" s="2" t="s">
        <v>5450</v>
      </c>
      <c r="G1414" s="2" t="s">
        <v>5450</v>
      </c>
      <c r="H1414" s="2" t="s">
        <v>5450</v>
      </c>
      <c r="I1414" s="2" t="s">
        <v>5451</v>
      </c>
      <c r="J1414" s="2" t="s">
        <v>365</v>
      </c>
      <c r="K1414" s="2" t="s">
        <v>292</v>
      </c>
      <c r="L1414" s="3">
        <v>73.14</v>
      </c>
      <c r="M1414" s="3">
        <v>76.8</v>
      </c>
      <c r="N1414" s="3">
        <v>159.99</v>
      </c>
      <c r="O1414" s="2" t="s">
        <v>232</v>
      </c>
      <c r="P1414" s="2" t="s">
        <v>878</v>
      </c>
      <c r="Q1414" s="2" t="s">
        <v>234</v>
      </c>
      <c r="R1414" s="2" t="s">
        <v>235</v>
      </c>
      <c r="S1414" s="2" t="s">
        <v>235</v>
      </c>
      <c r="T1414" s="2" t="s">
        <v>263</v>
      </c>
      <c r="U1414" s="2" t="s">
        <v>552</v>
      </c>
      <c r="V1414" s="2" t="s">
        <v>238</v>
      </c>
      <c r="W1414" s="2" t="s">
        <v>682</v>
      </c>
      <c r="X1414" s="2" t="s">
        <v>1082</v>
      </c>
      <c r="Y1414" s="2" t="s">
        <v>2160</v>
      </c>
      <c r="Z1414" s="4">
        <v>332</v>
      </c>
      <c r="AA1414" s="4">
        <f>=ROUNDDOWN(27.6666666666667,0)</f>
      </c>
      <c r="AB1414" s="5">
        <v>12</v>
      </c>
      <c r="AC1414" s="2" t="s">
        <v>235</v>
      </c>
      <c r="AD1414" s="4"/>
      <c r="AE1414" s="4"/>
      <c r="AF1414" s="6">
        <v>80</v>
      </c>
      <c r="AG1414" s="6"/>
      <c r="AH1414" s="7">
        <v>1</v>
      </c>
      <c r="AI1414" s="4"/>
      <c r="AJ1414" s="4">
        <f>=ROUNDDOWN({0},0)</f>
      </c>
      <c r="AK1414" s="5"/>
      <c r="AL1414" s="2" t="s">
        <v>235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235</v>
      </c>
      <c r="AW1414" s="8" t="s">
        <v>235</v>
      </c>
      <c r="AX1414" s="4" t="s">
        <v>235</v>
      </c>
      <c r="AY1414" s="8" t="s">
        <v>235</v>
      </c>
      <c r="AZ1414" s="7" t="s">
        <v>235</v>
      </c>
      <c r="BA1414" s="7" t="s">
        <v>235</v>
      </c>
      <c r="BB1414" s="7" t="s">
        <v>235</v>
      </c>
      <c r="BC1414" s="4" t="s">
        <v>235</v>
      </c>
      <c r="BD1414" s="8" t="s">
        <v>235</v>
      </c>
      <c r="BE1414" s="4" t="s">
        <v>235</v>
      </c>
      <c r="BF1414" s="8" t="s">
        <v>235</v>
      </c>
      <c r="BG1414" s="7" t="s">
        <v>235</v>
      </c>
      <c r="BH1414" s="7" t="s">
        <v>235</v>
      </c>
      <c r="BI1414" s="7"/>
      <c r="BJ1414" s="4">
        <v>3</v>
      </c>
      <c r="BK1414" s="8">
        <v>251.89</v>
      </c>
      <c r="BL1414" s="2" t="s">
        <v>2388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5452</v>
      </c>
      <c r="BV1414" s="2" t="s">
        <v>235</v>
      </c>
      <c r="BW1414" s="2" t="s">
        <v>235</v>
      </c>
      <c r="BX1414" s="2" t="s">
        <v>244</v>
      </c>
      <c r="BY1414" s="2" t="s">
        <v>245</v>
      </c>
      <c r="BZ1414" s="2" t="s">
        <v>232</v>
      </c>
      <c r="CA1414" s="2" t="s">
        <v>235</v>
      </c>
      <c r="CB1414" s="2" t="s">
        <v>235</v>
      </c>
      <c r="CC1414" s="2" t="s">
        <v>248</v>
      </c>
      <c r="CD1414" s="2" t="s">
        <v>248</v>
      </c>
      <c r="CE1414" s="2" t="s">
        <v>235</v>
      </c>
      <c r="CF1414" s="4">
        <v>332</v>
      </c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>
        <v>334</v>
      </c>
      <c r="GE1414" s="4">
        <v>313</v>
      </c>
      <c r="GF1414" s="4">
        <v>309</v>
      </c>
      <c r="GG1414" s="4">
        <v>304</v>
      </c>
      <c r="GH1414" s="4">
        <v>295</v>
      </c>
      <c r="GI1414" s="4">
        <v>287</v>
      </c>
      <c r="GJ1414" s="4">
        <v>261</v>
      </c>
      <c r="GK1414" s="4">
        <v>248</v>
      </c>
      <c r="GL1414" s="4">
        <v>227</v>
      </c>
      <c r="GM1414" s="4">
        <v>214</v>
      </c>
      <c r="GN1414" s="4">
        <v>204</v>
      </c>
      <c r="GO1414" s="4">
        <v>189</v>
      </c>
      <c r="GP1414" s="4">
        <v>171</v>
      </c>
      <c r="GQ1414" s="4">
        <v>156</v>
      </c>
      <c r="GR1414" s="4">
        <v>139</v>
      </c>
      <c r="GS1414" s="4">
        <v>104</v>
      </c>
      <c r="GT1414" s="4">
        <v>63</v>
      </c>
      <c r="GU1414" s="4">
        <v>53</v>
      </c>
      <c r="GV1414" s="4">
        <v>49</v>
      </c>
      <c r="GW1414" s="4">
        <v>34</v>
      </c>
      <c r="GX1414" s="4">
        <v>24</v>
      </c>
      <c r="GY1414" s="4">
        <v>15</v>
      </c>
      <c r="GZ1414" s="4"/>
      <c r="HA1414" s="4">
        <v>215</v>
      </c>
      <c r="HB1414" s="4">
        <v>201</v>
      </c>
      <c r="HC1414" s="4">
        <v>190</v>
      </c>
      <c r="HD1414" s="19">
        <v>33.4</v>
      </c>
      <c r="HE1414" s="19">
        <v>52.2</v>
      </c>
      <c r="HF1414" s="19">
        <v>25.8</v>
      </c>
      <c r="HG1414" s="19">
        <v>21.7</v>
      </c>
      <c r="HH1414" s="19">
        <v>17.4</v>
      </c>
      <c r="HI1414" s="19">
        <v>15.9</v>
      </c>
      <c r="HJ1414" s="19">
        <v>18.6</v>
      </c>
      <c r="HK1414" s="19">
        <v>16.5</v>
      </c>
      <c r="HL1414" s="19">
        <v>16.2</v>
      </c>
      <c r="HM1414" s="19">
        <v>15.3</v>
      </c>
      <c r="HN1414" s="19">
        <v>12.8</v>
      </c>
      <c r="HO1414" s="19">
        <v>9</v>
      </c>
      <c r="HP1414" s="19">
        <v>6.3</v>
      </c>
      <c r="HQ1414" s="19">
        <v>6</v>
      </c>
      <c r="HR1414" s="19">
        <v>6.3</v>
      </c>
      <c r="HS1414" s="19">
        <v>5.8</v>
      </c>
      <c r="HT1414" s="19">
        <v>6.3</v>
      </c>
      <c r="HU1414" s="19">
        <v>5.3</v>
      </c>
      <c r="HV1414" s="19">
        <v>4.1</v>
      </c>
      <c r="HW1414" s="19">
        <v>2.8</v>
      </c>
      <c r="HX1414" s="19">
        <v>1.8</v>
      </c>
      <c r="HY1414" s="19">
        <v>1.2</v>
      </c>
      <c r="HZ1414" s="20">
        <v>0</v>
      </c>
      <c r="IA1414" s="19">
        <v>21.5</v>
      </c>
      <c r="IB1414" s="19">
        <v>25.1</v>
      </c>
      <c r="IC1414" s="19">
        <v>21.1</v>
      </c>
    </row>
    <row r="1415">
      <c r="A1415" s="2" t="s">
        <v>5461</v>
      </c>
      <c r="B1415" s="2" t="s">
        <v>871</v>
      </c>
      <c r="C1415" s="2" t="s">
        <v>980</v>
      </c>
      <c r="D1415" s="2" t="s">
        <v>906</v>
      </c>
      <c r="E1415" s="2" t="s">
        <v>907</v>
      </c>
      <c r="F1415" s="2" t="s">
        <v>5450</v>
      </c>
      <c r="G1415" s="2" t="s">
        <v>5450</v>
      </c>
      <c r="H1415" s="2" t="s">
        <v>5450</v>
      </c>
      <c r="I1415" s="2" t="s">
        <v>5455</v>
      </c>
      <c r="J1415" s="2" t="s">
        <v>365</v>
      </c>
      <c r="K1415" s="2" t="s">
        <v>292</v>
      </c>
      <c r="L1415" s="3">
        <v>59.42</v>
      </c>
      <c r="M1415" s="3">
        <v>62.39</v>
      </c>
      <c r="N1415" s="3">
        <v>129.99</v>
      </c>
      <c r="O1415" s="2" t="s">
        <v>232</v>
      </c>
      <c r="P1415" s="2" t="s">
        <v>878</v>
      </c>
      <c r="Q1415" s="2" t="s">
        <v>234</v>
      </c>
      <c r="R1415" s="2" t="s">
        <v>235</v>
      </c>
      <c r="S1415" s="2" t="s">
        <v>235</v>
      </c>
      <c r="T1415" s="2" t="s">
        <v>263</v>
      </c>
      <c r="U1415" s="2" t="s">
        <v>552</v>
      </c>
      <c r="V1415" s="2" t="s">
        <v>238</v>
      </c>
      <c r="W1415" s="2" t="s">
        <v>682</v>
      </c>
      <c r="X1415" s="2" t="s">
        <v>1082</v>
      </c>
      <c r="Y1415" s="2" t="s">
        <v>2160</v>
      </c>
      <c r="Z1415" s="4">
        <v>78</v>
      </c>
      <c r="AA1415" s="4">
        <f>=ROUNDDOWN(11.1428571428571,0)</f>
      </c>
      <c r="AB1415" s="5">
        <v>7</v>
      </c>
      <c r="AC1415" s="2" t="s">
        <v>235</v>
      </c>
      <c r="AD1415" s="4"/>
      <c r="AE1415" s="4"/>
      <c r="AF1415" s="6">
        <v>80</v>
      </c>
      <c r="AG1415" s="6"/>
      <c r="AH1415" s="7">
        <v>1</v>
      </c>
      <c r="AI1415" s="4"/>
      <c r="AJ1415" s="4">
        <f>=ROUNDDOWN({0},0)</f>
      </c>
      <c r="AK1415" s="5"/>
      <c r="AL1415" s="2" t="s">
        <v>235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235</v>
      </c>
      <c r="AW1415" s="8" t="s">
        <v>235</v>
      </c>
      <c r="AX1415" s="4" t="s">
        <v>235</v>
      </c>
      <c r="AY1415" s="8" t="s">
        <v>235</v>
      </c>
      <c r="AZ1415" s="7" t="s">
        <v>235</v>
      </c>
      <c r="BA1415" s="7" t="s">
        <v>235</v>
      </c>
      <c r="BB1415" s="7" t="s">
        <v>235</v>
      </c>
      <c r="BC1415" s="4" t="s">
        <v>235</v>
      </c>
      <c r="BD1415" s="8" t="s">
        <v>235</v>
      </c>
      <c r="BE1415" s="4" t="s">
        <v>235</v>
      </c>
      <c r="BF1415" s="8" t="s">
        <v>235</v>
      </c>
      <c r="BG1415" s="7" t="s">
        <v>235</v>
      </c>
      <c r="BH1415" s="7" t="s">
        <v>235</v>
      </c>
      <c r="BI1415" s="7"/>
      <c r="BJ1415" s="4">
        <v>1</v>
      </c>
      <c r="BK1415" s="8">
        <v>69.88</v>
      </c>
      <c r="BL1415" s="2" t="s">
        <v>597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5456</v>
      </c>
      <c r="BV1415" s="2" t="s">
        <v>235</v>
      </c>
      <c r="BW1415" s="2" t="s">
        <v>235</v>
      </c>
      <c r="BX1415" s="2" t="s">
        <v>244</v>
      </c>
      <c r="BY1415" s="2" t="s">
        <v>245</v>
      </c>
      <c r="BZ1415" s="2" t="s">
        <v>232</v>
      </c>
      <c r="CA1415" s="2" t="s">
        <v>235</v>
      </c>
      <c r="CB1415" s="2" t="s">
        <v>235</v>
      </c>
      <c r="CC1415" s="2" t="s">
        <v>248</v>
      </c>
      <c r="CD1415" s="2" t="s">
        <v>248</v>
      </c>
      <c r="CE1415" s="2" t="s">
        <v>235</v>
      </c>
      <c r="CF1415" s="4">
        <v>78</v>
      </c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>
        <v>78</v>
      </c>
      <c r="GE1415" s="4">
        <v>71</v>
      </c>
      <c r="GF1415" s="4">
        <v>66</v>
      </c>
      <c r="GG1415" s="4">
        <v>58</v>
      </c>
      <c r="GH1415" s="4">
        <v>52</v>
      </c>
      <c r="GI1415" s="4">
        <v>46</v>
      </c>
      <c r="GJ1415" s="4">
        <v>33</v>
      </c>
      <c r="GK1415" s="4">
        <v>20</v>
      </c>
      <c r="GL1415" s="4">
        <v>13</v>
      </c>
      <c r="GM1415" s="4">
        <v>5</v>
      </c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>
        <v>147</v>
      </c>
      <c r="HB1415" s="4">
        <v>123</v>
      </c>
      <c r="HC1415" s="4">
        <v>113</v>
      </c>
      <c r="HD1415" s="19">
        <v>13</v>
      </c>
      <c r="HE1415" s="19">
        <v>11.8</v>
      </c>
      <c r="HF1415" s="19">
        <v>8.3</v>
      </c>
      <c r="HG1415" s="19">
        <v>5.8</v>
      </c>
      <c r="HH1415" s="19">
        <v>5.2</v>
      </c>
      <c r="HI1415" s="19">
        <v>4.6</v>
      </c>
      <c r="HJ1415" s="19">
        <v>3.7</v>
      </c>
      <c r="HK1415" s="19">
        <v>3.3</v>
      </c>
      <c r="HL1415" s="19">
        <v>2.2</v>
      </c>
      <c r="HM1415" s="19">
        <v>0.8</v>
      </c>
      <c r="HN1415" s="20">
        <v>0</v>
      </c>
      <c r="HO1415" s="20">
        <v>0</v>
      </c>
      <c r="HP1415" s="20">
        <v>0</v>
      </c>
      <c r="HQ1415" s="20">
        <v>0</v>
      </c>
      <c r="HR1415" s="20">
        <v>0</v>
      </c>
      <c r="HS1415" s="20">
        <v>0</v>
      </c>
      <c r="HT1415" s="20">
        <v>0</v>
      </c>
      <c r="HU1415" s="20">
        <v>0</v>
      </c>
      <c r="HV1415" s="20">
        <v>0</v>
      </c>
      <c r="HW1415" s="20">
        <v>0</v>
      </c>
      <c r="HX1415" s="20">
        <v>0</v>
      </c>
      <c r="HY1415" s="20">
        <v>0</v>
      </c>
      <c r="HZ1415" s="20">
        <v>0</v>
      </c>
      <c r="IA1415" s="19">
        <v>11.3</v>
      </c>
      <c r="IB1415" s="19">
        <v>15.4</v>
      </c>
      <c r="IC1415" s="19">
        <v>16.1</v>
      </c>
    </row>
    <row r="1416">
      <c r="A1416" s="2" t="s">
        <v>5462</v>
      </c>
      <c r="B1416" s="2" t="s">
        <v>871</v>
      </c>
      <c r="C1416" s="2" t="s">
        <v>980</v>
      </c>
      <c r="D1416" s="2" t="s">
        <v>361</v>
      </c>
      <c r="E1416" s="2" t="s">
        <v>924</v>
      </c>
      <c r="F1416" s="2" t="s">
        <v>5450</v>
      </c>
      <c r="G1416" s="2" t="s">
        <v>5450</v>
      </c>
      <c r="H1416" s="2" t="s">
        <v>5450</v>
      </c>
      <c r="I1416" s="2" t="s">
        <v>5451</v>
      </c>
      <c r="J1416" s="2" t="s">
        <v>372</v>
      </c>
      <c r="K1416" s="2" t="s">
        <v>292</v>
      </c>
      <c r="L1416" s="3">
        <v>82.28</v>
      </c>
      <c r="M1416" s="3">
        <v>86.39</v>
      </c>
      <c r="N1416" s="3">
        <v>179.99</v>
      </c>
      <c r="O1416" s="2" t="s">
        <v>232</v>
      </c>
      <c r="P1416" s="2" t="s">
        <v>878</v>
      </c>
      <c r="Q1416" s="2" t="s">
        <v>234</v>
      </c>
      <c r="R1416" s="2" t="s">
        <v>235</v>
      </c>
      <c r="S1416" s="2" t="s">
        <v>235</v>
      </c>
      <c r="T1416" s="2" t="s">
        <v>263</v>
      </c>
      <c r="U1416" s="2" t="s">
        <v>552</v>
      </c>
      <c r="V1416" s="2" t="s">
        <v>238</v>
      </c>
      <c r="W1416" s="2" t="s">
        <v>682</v>
      </c>
      <c r="X1416" s="2" t="s">
        <v>1082</v>
      </c>
      <c r="Y1416" s="2" t="s">
        <v>2160</v>
      </c>
      <c r="Z1416" s="4">
        <v>304</v>
      </c>
      <c r="AA1416" s="4">
        <f>=ROUNDDOWN(25.3333333333333,0)</f>
      </c>
      <c r="AB1416" s="5">
        <v>12</v>
      </c>
      <c r="AC1416" s="2" t="s">
        <v>235</v>
      </c>
      <c r="AD1416" s="4"/>
      <c r="AE1416" s="4"/>
      <c r="AF1416" s="6">
        <v>80</v>
      </c>
      <c r="AG1416" s="6"/>
      <c r="AH1416" s="7">
        <v>1</v>
      </c>
      <c r="AI1416" s="4"/>
      <c r="AJ1416" s="4">
        <f>=ROUNDDOWN({0},0)</f>
      </c>
      <c r="AK1416" s="5"/>
      <c r="AL1416" s="2" t="s">
        <v>235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235</v>
      </c>
      <c r="AW1416" s="8" t="s">
        <v>235</v>
      </c>
      <c r="AX1416" s="4" t="s">
        <v>235</v>
      </c>
      <c r="AY1416" s="8" t="s">
        <v>235</v>
      </c>
      <c r="AZ1416" s="7" t="s">
        <v>235</v>
      </c>
      <c r="BA1416" s="7" t="s">
        <v>235</v>
      </c>
      <c r="BB1416" s="7" t="s">
        <v>235</v>
      </c>
      <c r="BC1416" s="4" t="s">
        <v>235</v>
      </c>
      <c r="BD1416" s="8" t="s">
        <v>235</v>
      </c>
      <c r="BE1416" s="4" t="s">
        <v>235</v>
      </c>
      <c r="BF1416" s="8" t="s">
        <v>235</v>
      </c>
      <c r="BG1416" s="7" t="s">
        <v>235</v>
      </c>
      <c r="BH1416" s="7" t="s">
        <v>235</v>
      </c>
      <c r="BI1416" s="7"/>
      <c r="BJ1416" s="4">
        <v>2</v>
      </c>
      <c r="BK1416" s="8">
        <v>190.93</v>
      </c>
      <c r="BL1416" s="2" t="s">
        <v>2026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5452</v>
      </c>
      <c r="BV1416" s="2" t="s">
        <v>235</v>
      </c>
      <c r="BW1416" s="2" t="s">
        <v>235</v>
      </c>
      <c r="BX1416" s="2" t="s">
        <v>244</v>
      </c>
      <c r="BY1416" s="2" t="s">
        <v>245</v>
      </c>
      <c r="BZ1416" s="2" t="s">
        <v>232</v>
      </c>
      <c r="CA1416" s="2" t="s">
        <v>235</v>
      </c>
      <c r="CB1416" s="2" t="s">
        <v>235</v>
      </c>
      <c r="CC1416" s="2" t="s">
        <v>248</v>
      </c>
      <c r="CD1416" s="2" t="s">
        <v>248</v>
      </c>
      <c r="CE1416" s="2" t="s">
        <v>235</v>
      </c>
      <c r="CF1416" s="4">
        <v>304</v>
      </c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>
        <v>304</v>
      </c>
      <c r="GE1416" s="4">
        <v>282</v>
      </c>
      <c r="GF1416" s="4">
        <v>274</v>
      </c>
      <c r="GG1416" s="4">
        <v>264</v>
      </c>
      <c r="GH1416" s="4">
        <v>252</v>
      </c>
      <c r="GI1416" s="4">
        <v>240</v>
      </c>
      <c r="GJ1416" s="4">
        <v>213</v>
      </c>
      <c r="GK1416" s="4">
        <v>201</v>
      </c>
      <c r="GL1416" s="4">
        <v>181</v>
      </c>
      <c r="GM1416" s="4">
        <v>171</v>
      </c>
      <c r="GN1416" s="4">
        <v>161</v>
      </c>
      <c r="GO1416" s="4">
        <v>136</v>
      </c>
      <c r="GP1416" s="4">
        <v>117</v>
      </c>
      <c r="GQ1416" s="4">
        <v>100</v>
      </c>
      <c r="GR1416" s="4">
        <v>72</v>
      </c>
      <c r="GS1416" s="4">
        <v>57</v>
      </c>
      <c r="GT1416" s="4">
        <v>45</v>
      </c>
      <c r="GU1416" s="4">
        <v>36</v>
      </c>
      <c r="GV1416" s="4">
        <v>20</v>
      </c>
      <c r="GW1416" s="4">
        <v>9</v>
      </c>
      <c r="GX1416" s="4">
        <v>1</v>
      </c>
      <c r="GY1416" s="4"/>
      <c r="GZ1416" s="4"/>
      <c r="HA1416" s="4">
        <v>226</v>
      </c>
      <c r="HB1416" s="4">
        <v>209</v>
      </c>
      <c r="HC1416" s="4">
        <v>197</v>
      </c>
      <c r="HD1416" s="19">
        <v>23.4</v>
      </c>
      <c r="HE1416" s="19">
        <v>28.2</v>
      </c>
      <c r="HF1416" s="19">
        <v>18.3</v>
      </c>
      <c r="HG1416" s="19">
        <v>16.5</v>
      </c>
      <c r="HH1416" s="19">
        <v>14</v>
      </c>
      <c r="HI1416" s="19">
        <v>14.1</v>
      </c>
      <c r="HJ1416" s="19">
        <v>16.4</v>
      </c>
      <c r="HK1416" s="19">
        <v>12.6</v>
      </c>
      <c r="HL1416" s="19">
        <v>11.3</v>
      </c>
      <c r="HM1416" s="19">
        <v>9.5</v>
      </c>
      <c r="HN1416" s="19">
        <v>7.3</v>
      </c>
      <c r="HO1416" s="19">
        <v>6.8</v>
      </c>
      <c r="HP1416" s="19">
        <v>6.5</v>
      </c>
      <c r="HQ1416" s="19">
        <v>6.3</v>
      </c>
      <c r="HR1416" s="19">
        <v>5.5</v>
      </c>
      <c r="HS1416" s="19">
        <v>4.8</v>
      </c>
      <c r="HT1416" s="19">
        <v>4.1</v>
      </c>
      <c r="HU1416" s="19">
        <v>3.6</v>
      </c>
      <c r="HV1416" s="19">
        <v>2.5</v>
      </c>
      <c r="HW1416" s="19">
        <v>1.5</v>
      </c>
      <c r="HX1416" s="19">
        <v>0.1</v>
      </c>
      <c r="HY1416" s="20">
        <v>0</v>
      </c>
      <c r="HZ1416" s="20">
        <v>0</v>
      </c>
      <c r="IA1416" s="19">
        <v>16.1</v>
      </c>
      <c r="IB1416" s="19">
        <v>17.4</v>
      </c>
      <c r="IC1416" s="19">
        <v>17.9</v>
      </c>
    </row>
    <row r="1417">
      <c r="A1417" s="2" t="s">
        <v>5463</v>
      </c>
      <c r="B1417" s="2" t="s">
        <v>871</v>
      </c>
      <c r="C1417" s="2" t="s">
        <v>980</v>
      </c>
      <c r="D1417" s="2" t="s">
        <v>906</v>
      </c>
      <c r="E1417" s="2" t="s">
        <v>907</v>
      </c>
      <c r="F1417" s="2" t="s">
        <v>5450</v>
      </c>
      <c r="G1417" s="2" t="s">
        <v>5450</v>
      </c>
      <c r="H1417" s="2" t="s">
        <v>5450</v>
      </c>
      <c r="I1417" s="2" t="s">
        <v>5455</v>
      </c>
      <c r="J1417" s="2" t="s">
        <v>372</v>
      </c>
      <c r="K1417" s="2" t="s">
        <v>292</v>
      </c>
      <c r="L1417" s="3">
        <v>68.57</v>
      </c>
      <c r="M1417" s="3">
        <v>72</v>
      </c>
      <c r="N1417" s="3">
        <v>149.99</v>
      </c>
      <c r="O1417" s="2" t="s">
        <v>232</v>
      </c>
      <c r="P1417" s="2" t="s">
        <v>878</v>
      </c>
      <c r="Q1417" s="2" t="s">
        <v>234</v>
      </c>
      <c r="R1417" s="2" t="s">
        <v>235</v>
      </c>
      <c r="S1417" s="2" t="s">
        <v>235</v>
      </c>
      <c r="T1417" s="2" t="s">
        <v>263</v>
      </c>
      <c r="U1417" s="2" t="s">
        <v>552</v>
      </c>
      <c r="V1417" s="2" t="s">
        <v>238</v>
      </c>
      <c r="W1417" s="2" t="s">
        <v>682</v>
      </c>
      <c r="X1417" s="2" t="s">
        <v>1082</v>
      </c>
      <c r="Y1417" s="2" t="s">
        <v>2160</v>
      </c>
      <c r="Z1417" s="4">
        <v>96</v>
      </c>
      <c r="AA1417" s="4">
        <f>=ROUNDDOWN(16,0)</f>
      </c>
      <c r="AB1417" s="5">
        <v>6</v>
      </c>
      <c r="AC1417" s="2" t="s">
        <v>235</v>
      </c>
      <c r="AD1417" s="4"/>
      <c r="AE1417" s="4"/>
      <c r="AF1417" s="6">
        <v>80</v>
      </c>
      <c r="AG1417" s="6"/>
      <c r="AH1417" s="7">
        <v>1</v>
      </c>
      <c r="AI1417" s="4"/>
      <c r="AJ1417" s="4">
        <f>=ROUNDDOWN({0},0)</f>
      </c>
      <c r="AK1417" s="5"/>
      <c r="AL1417" s="2" t="s">
        <v>235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235</v>
      </c>
      <c r="AW1417" s="8" t="s">
        <v>235</v>
      </c>
      <c r="AX1417" s="4" t="s">
        <v>235</v>
      </c>
      <c r="AY1417" s="8" t="s">
        <v>235</v>
      </c>
      <c r="AZ1417" s="7" t="s">
        <v>235</v>
      </c>
      <c r="BA1417" s="7" t="s">
        <v>235</v>
      </c>
      <c r="BB1417" s="7" t="s">
        <v>235</v>
      </c>
      <c r="BC1417" s="4" t="s">
        <v>235</v>
      </c>
      <c r="BD1417" s="8" t="s">
        <v>235</v>
      </c>
      <c r="BE1417" s="4" t="s">
        <v>235</v>
      </c>
      <c r="BF1417" s="8" t="s">
        <v>235</v>
      </c>
      <c r="BG1417" s="7" t="s">
        <v>235</v>
      </c>
      <c r="BH1417" s="7" t="s">
        <v>235</v>
      </c>
      <c r="BI1417" s="7"/>
      <c r="BJ1417" s="4">
        <v>1</v>
      </c>
      <c r="BK1417" s="8">
        <v>80.64</v>
      </c>
      <c r="BL1417" s="2" t="s">
        <v>597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5456</v>
      </c>
      <c r="BV1417" s="2" t="s">
        <v>235</v>
      </c>
      <c r="BW1417" s="2" t="s">
        <v>235</v>
      </c>
      <c r="BX1417" s="2" t="s">
        <v>244</v>
      </c>
      <c r="BY1417" s="2" t="s">
        <v>245</v>
      </c>
      <c r="BZ1417" s="2" t="s">
        <v>232</v>
      </c>
      <c r="CA1417" s="2" t="s">
        <v>235</v>
      </c>
      <c r="CB1417" s="2" t="s">
        <v>235</v>
      </c>
      <c r="CC1417" s="2" t="s">
        <v>248</v>
      </c>
      <c r="CD1417" s="2" t="s">
        <v>248</v>
      </c>
      <c r="CE1417" s="2" t="s">
        <v>235</v>
      </c>
      <c r="CF1417" s="4">
        <v>96</v>
      </c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>
        <v>96</v>
      </c>
      <c r="GE1417" s="4">
        <v>82</v>
      </c>
      <c r="GF1417" s="4">
        <v>80</v>
      </c>
      <c r="GG1417" s="4">
        <v>77</v>
      </c>
      <c r="GH1417" s="4">
        <v>71</v>
      </c>
      <c r="GI1417" s="4">
        <v>66</v>
      </c>
      <c r="GJ1417" s="4">
        <v>53</v>
      </c>
      <c r="GK1417" s="4">
        <v>47</v>
      </c>
      <c r="GL1417" s="4">
        <v>37</v>
      </c>
      <c r="GM1417" s="4">
        <v>31</v>
      </c>
      <c r="GN1417" s="4">
        <v>26</v>
      </c>
      <c r="GO1417" s="4">
        <v>20</v>
      </c>
      <c r="GP1417" s="4">
        <v>11</v>
      </c>
      <c r="GQ1417" s="4">
        <v>4</v>
      </c>
      <c r="GR1417" s="4"/>
      <c r="GS1417" s="4"/>
      <c r="GT1417" s="4"/>
      <c r="GU1417" s="4"/>
      <c r="GV1417" s="4"/>
      <c r="GW1417" s="4"/>
      <c r="GX1417" s="4"/>
      <c r="GY1417" s="4"/>
      <c r="GZ1417" s="4"/>
      <c r="HA1417" s="4">
        <v>112</v>
      </c>
      <c r="HB1417" s="4">
        <v>95</v>
      </c>
      <c r="HC1417" s="4">
        <v>88</v>
      </c>
      <c r="HD1417" s="19">
        <v>16</v>
      </c>
      <c r="HE1417" s="19">
        <v>20.5</v>
      </c>
      <c r="HF1417" s="19">
        <v>11.4</v>
      </c>
      <c r="HG1417" s="19">
        <v>9.6</v>
      </c>
      <c r="HH1417" s="19">
        <v>8.9</v>
      </c>
      <c r="HI1417" s="19">
        <v>7.3</v>
      </c>
      <c r="HJ1417" s="19">
        <v>7.6</v>
      </c>
      <c r="HK1417" s="19">
        <v>6.7</v>
      </c>
      <c r="HL1417" s="19">
        <v>6.2</v>
      </c>
      <c r="HM1417" s="19">
        <v>4.4</v>
      </c>
      <c r="HN1417" s="19">
        <v>4.3</v>
      </c>
      <c r="HO1417" s="19">
        <v>2.9</v>
      </c>
      <c r="HP1417" s="19">
        <v>1.6</v>
      </c>
      <c r="HQ1417" s="19">
        <v>0.7</v>
      </c>
      <c r="HR1417" s="20">
        <v>0</v>
      </c>
      <c r="HS1417" s="20">
        <v>0</v>
      </c>
      <c r="HT1417" s="20">
        <v>0</v>
      </c>
      <c r="HU1417" s="20">
        <v>0</v>
      </c>
      <c r="HV1417" s="20">
        <v>0</v>
      </c>
      <c r="HW1417" s="20">
        <v>0</v>
      </c>
      <c r="HX1417" s="20">
        <v>0</v>
      </c>
      <c r="HY1417" s="20">
        <v>0</v>
      </c>
      <c r="HZ1417" s="20">
        <v>0</v>
      </c>
      <c r="IA1417" s="19">
        <v>12.4</v>
      </c>
      <c r="IB1417" s="19">
        <v>19</v>
      </c>
      <c r="IC1417" s="19">
        <v>17.6</v>
      </c>
    </row>
    <row r="1418">
      <c r="A1418" s="2" t="s">
        <v>5464</v>
      </c>
      <c r="B1418" s="2" t="s">
        <v>1071</v>
      </c>
      <c r="C1418" s="2" t="s">
        <v>1085</v>
      </c>
      <c r="D1418" s="2" t="s">
        <v>1417</v>
      </c>
      <c r="E1418" s="2" t="s">
        <v>330</v>
      </c>
      <c r="F1418" s="2" t="s">
        <v>5465</v>
      </c>
      <c r="G1418" s="2" t="s">
        <v>5465</v>
      </c>
      <c r="H1418" s="2" t="s">
        <v>5465</v>
      </c>
      <c r="I1418" s="2" t="s">
        <v>5466</v>
      </c>
      <c r="J1418" s="2" t="s">
        <v>897</v>
      </c>
      <c r="K1418" s="2" t="s">
        <v>975</v>
      </c>
      <c r="L1418" s="3">
        <v>260</v>
      </c>
      <c r="M1418" s="3">
        <v>273</v>
      </c>
      <c r="N1418" s="3">
        <v>549</v>
      </c>
      <c r="O1418" s="2" t="s">
        <v>232</v>
      </c>
      <c r="P1418" s="2" t="s">
        <v>5026</v>
      </c>
      <c r="Q1418" s="2" t="s">
        <v>234</v>
      </c>
      <c r="R1418" s="2" t="s">
        <v>235</v>
      </c>
      <c r="S1418" s="2" t="s">
        <v>235</v>
      </c>
      <c r="T1418" s="2" t="s">
        <v>235</v>
      </c>
      <c r="U1418" s="2" t="s">
        <v>235</v>
      </c>
      <c r="V1418" s="2" t="s">
        <v>330</v>
      </c>
      <c r="W1418" s="2" t="s">
        <v>671</v>
      </c>
      <c r="X1418" s="2" t="s">
        <v>966</v>
      </c>
      <c r="Y1418" s="2" t="s">
        <v>235</v>
      </c>
      <c r="Z1418" s="4"/>
      <c r="AA1418" s="4">
        <f>=ROUNDDOWN({0},0)</f>
      </c>
      <c r="AB1418" s="5"/>
      <c r="AC1418" s="2" t="s">
        <v>202</v>
      </c>
      <c r="AD1418" s="4">
        <v>162</v>
      </c>
      <c r="AE1418" s="4">
        <v>162</v>
      </c>
      <c r="AF1418" s="6">
        <v>74</v>
      </c>
      <c r="AG1418" s="6"/>
      <c r="AH1418" s="7"/>
      <c r="AI1418" s="4"/>
      <c r="AJ1418" s="4">
        <f>=ROUNDDOWN({0},0)</f>
      </c>
      <c r="AK1418" s="5"/>
      <c r="AL1418" s="2" t="s">
        <v>235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/>
      <c r="BD1418" s="8"/>
      <c r="BE1418" s="4"/>
      <c r="BF1418" s="8"/>
      <c r="BG1418" s="7"/>
      <c r="BH1418" s="7"/>
      <c r="BI1418" s="7"/>
      <c r="BJ1418" s="4"/>
      <c r="BK1418" s="8"/>
      <c r="BL1418" s="2" t="s">
        <v>235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330</v>
      </c>
      <c r="BV1418" s="2" t="s">
        <v>235</v>
      </c>
      <c r="BW1418" s="2" t="s">
        <v>235</v>
      </c>
      <c r="BX1418" s="2" t="s">
        <v>330</v>
      </c>
      <c r="BY1418" s="2" t="s">
        <v>331</v>
      </c>
      <c r="BZ1418" s="2" t="s">
        <v>232</v>
      </c>
      <c r="CA1418" s="2" t="s">
        <v>235</v>
      </c>
      <c r="CB1418" s="2" t="s">
        <v>235</v>
      </c>
      <c r="CC1418" s="2" t="s">
        <v>248</v>
      </c>
      <c r="CD1418" s="2" t="s">
        <v>248</v>
      </c>
      <c r="CE1418" s="2" t="s">
        <v>235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>
        <v>162</v>
      </c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>
        <v>162</v>
      </c>
      <c r="GS1418" s="4">
        <v>160</v>
      </c>
      <c r="GT1418" s="4">
        <v>157</v>
      </c>
      <c r="GU1418" s="4">
        <v>154</v>
      </c>
      <c r="GV1418" s="4">
        <v>149</v>
      </c>
      <c r="GW1418" s="4">
        <v>146</v>
      </c>
      <c r="GX1418" s="4">
        <v>141</v>
      </c>
      <c r="GY1418" s="4">
        <v>137</v>
      </c>
      <c r="GZ1418" s="4">
        <v>131</v>
      </c>
      <c r="HA1418" s="4">
        <v>125</v>
      </c>
      <c r="HB1418" s="4">
        <v>119</v>
      </c>
      <c r="HC1418" s="4">
        <v>113</v>
      </c>
      <c r="HD1418" s="9"/>
      <c r="HE1418" s="9"/>
      <c r="HF1418" s="9"/>
      <c r="HG1418" s="9"/>
      <c r="HH1418" s="9"/>
      <c r="HI1418" s="9"/>
      <c r="HJ1418" s="9"/>
      <c r="HK1418" s="9"/>
      <c r="HL1418" s="9"/>
      <c r="HM1418" s="9"/>
      <c r="HN1418" s="9"/>
      <c r="HO1418" s="9"/>
      <c r="HP1418" s="9"/>
      <c r="HQ1418" s="9"/>
      <c r="HR1418" s="19">
        <v>54</v>
      </c>
      <c r="HS1418" s="19">
        <v>40</v>
      </c>
      <c r="HT1418" s="19">
        <v>39.3</v>
      </c>
      <c r="HU1418" s="19">
        <v>38.5</v>
      </c>
      <c r="HV1418" s="19">
        <v>37.3</v>
      </c>
      <c r="HW1418" s="19">
        <v>29.2</v>
      </c>
      <c r="HX1418" s="19">
        <v>23.5</v>
      </c>
      <c r="HY1418" s="19">
        <v>22.8</v>
      </c>
      <c r="HZ1418" s="19">
        <v>21.8</v>
      </c>
      <c r="IA1418" s="19">
        <v>20.8</v>
      </c>
      <c r="IB1418" s="19">
        <v>19.8</v>
      </c>
      <c r="IC1418" s="19">
        <v>16.1</v>
      </c>
    </row>
    <row r="1419">
      <c r="A1419" s="2" t="s">
        <v>5467</v>
      </c>
      <c r="B1419" s="2" t="s">
        <v>800</v>
      </c>
      <c r="C1419" s="2" t="s">
        <v>801</v>
      </c>
      <c r="D1419" s="2" t="s">
        <v>802</v>
      </c>
      <c r="E1419" s="2" t="s">
        <v>803</v>
      </c>
      <c r="F1419" s="2" t="s">
        <v>5468</v>
      </c>
      <c r="G1419" s="2" t="s">
        <v>5468</v>
      </c>
      <c r="H1419" s="2" t="s">
        <v>5468</v>
      </c>
      <c r="I1419" s="2" t="s">
        <v>5469</v>
      </c>
      <c r="J1419" s="2" t="s">
        <v>806</v>
      </c>
      <c r="K1419" s="2" t="s">
        <v>4028</v>
      </c>
      <c r="L1419" s="3">
        <v>26.5</v>
      </c>
      <c r="M1419" s="3">
        <v>27.82</v>
      </c>
      <c r="N1419" s="3">
        <v>59.99</v>
      </c>
      <c r="O1419" s="2" t="s">
        <v>485</v>
      </c>
      <c r="P1419" s="2" t="s">
        <v>408</v>
      </c>
      <c r="Q1419" s="2" t="s">
        <v>234</v>
      </c>
      <c r="R1419" s="2" t="s">
        <v>235</v>
      </c>
      <c r="S1419" s="2" t="s">
        <v>235</v>
      </c>
      <c r="T1419" s="2" t="s">
        <v>235</v>
      </c>
      <c r="U1419" s="2" t="s">
        <v>807</v>
      </c>
      <c r="V1419" s="2" t="s">
        <v>808</v>
      </c>
      <c r="W1419" s="2" t="s">
        <v>682</v>
      </c>
      <c r="X1419" s="2" t="s">
        <v>235</v>
      </c>
      <c r="Y1419" s="2" t="s">
        <v>5470</v>
      </c>
      <c r="Z1419" s="4">
        <v>66</v>
      </c>
      <c r="AA1419" s="4">
        <f>=ROUNDDOWN(110,0)</f>
      </c>
      <c r="AB1419" s="5">
        <v>0.6</v>
      </c>
      <c r="AC1419" s="2" t="s">
        <v>235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235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 t="s">
        <v>235</v>
      </c>
      <c r="BD1419" s="8" t="s">
        <v>235</v>
      </c>
      <c r="BE1419" s="4" t="s">
        <v>235</v>
      </c>
      <c r="BF1419" s="8" t="s">
        <v>235</v>
      </c>
      <c r="BG1419" s="7" t="s">
        <v>235</v>
      </c>
      <c r="BH1419" s="7" t="s">
        <v>235</v>
      </c>
      <c r="BI1419" s="7"/>
      <c r="BJ1419" s="4">
        <v>2</v>
      </c>
      <c r="BK1419" s="8">
        <v>40.54</v>
      </c>
      <c r="BL1419" s="2" t="s">
        <v>1122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5471</v>
      </c>
      <c r="BV1419" s="2" t="s">
        <v>813</v>
      </c>
      <c r="BW1419" s="2" t="s">
        <v>235</v>
      </c>
      <c r="BX1419" s="2" t="s">
        <v>414</v>
      </c>
      <c r="BY1419" s="2" t="s">
        <v>245</v>
      </c>
      <c r="BZ1419" s="2" t="s">
        <v>232</v>
      </c>
      <c r="CA1419" s="2" t="s">
        <v>5472</v>
      </c>
      <c r="CB1419" s="2" t="s">
        <v>1565</v>
      </c>
      <c r="CC1419" s="2" t="s">
        <v>248</v>
      </c>
      <c r="CD1419" s="2" t="s">
        <v>248</v>
      </c>
      <c r="CE1419" s="2" t="s">
        <v>235</v>
      </c>
      <c r="CF1419" s="4"/>
      <c r="CG1419" s="4">
        <v>66</v>
      </c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>
        <v>66</v>
      </c>
      <c r="GE1419" s="4">
        <v>66</v>
      </c>
      <c r="GF1419" s="4">
        <v>66</v>
      </c>
      <c r="GG1419" s="4">
        <v>66</v>
      </c>
      <c r="GH1419" s="4">
        <v>66</v>
      </c>
      <c r="GI1419" s="4">
        <v>66</v>
      </c>
      <c r="GJ1419" s="4">
        <v>66</v>
      </c>
      <c r="GK1419" s="4">
        <v>66</v>
      </c>
      <c r="GL1419" s="4">
        <v>66</v>
      </c>
      <c r="GM1419" s="4">
        <v>66</v>
      </c>
      <c r="GN1419" s="4">
        <v>66</v>
      </c>
      <c r="GO1419" s="4">
        <v>66</v>
      </c>
      <c r="GP1419" s="4">
        <v>66</v>
      </c>
      <c r="GQ1419" s="4">
        <v>66</v>
      </c>
      <c r="GR1419" s="4">
        <v>66</v>
      </c>
      <c r="GS1419" s="4">
        <v>66</v>
      </c>
      <c r="GT1419" s="4">
        <v>66</v>
      </c>
      <c r="GU1419" s="4">
        <v>66</v>
      </c>
      <c r="GV1419" s="4">
        <v>66</v>
      </c>
      <c r="GW1419" s="4">
        <v>66</v>
      </c>
      <c r="GX1419" s="4">
        <v>66</v>
      </c>
      <c r="GY1419" s="4">
        <v>66</v>
      </c>
      <c r="GZ1419" s="4">
        <v>66</v>
      </c>
      <c r="HA1419" s="4">
        <v>66</v>
      </c>
      <c r="HB1419" s="4">
        <v>66</v>
      </c>
      <c r="HC1419" s="4">
        <v>66</v>
      </c>
      <c r="HD1419" s="9"/>
      <c r="HE1419" s="9"/>
      <c r="HF1419" s="9"/>
      <c r="HG1419" s="9"/>
      <c r="HH1419" s="9"/>
      <c r="HI1419" s="9"/>
      <c r="HJ1419" s="9"/>
      <c r="HK1419" s="9"/>
      <c r="HL1419" s="9"/>
      <c r="HM1419" s="9"/>
      <c r="HN1419" s="9"/>
      <c r="HO1419" s="9"/>
      <c r="HP1419" s="9"/>
      <c r="HQ1419" s="9"/>
      <c r="HR1419" s="9"/>
      <c r="HS1419" s="9"/>
      <c r="HT1419" s="9"/>
      <c r="HU1419" s="9"/>
      <c r="HV1419" s="9"/>
      <c r="HW1419" s="9"/>
      <c r="HX1419" s="9"/>
      <c r="HY1419" s="9"/>
      <c r="HZ1419" s="9"/>
      <c r="IA1419" s="9"/>
      <c r="IB1419" s="9"/>
      <c r="IC1419" s="9"/>
    </row>
    <row r="1420">
      <c r="A1420" s="2" t="s">
        <v>5473</v>
      </c>
      <c r="B1420" s="2" t="s">
        <v>1071</v>
      </c>
      <c r="C1420" s="2" t="s">
        <v>324</v>
      </c>
      <c r="D1420" s="2" t="s">
        <v>4819</v>
      </c>
      <c r="E1420" s="2" t="s">
        <v>330</v>
      </c>
      <c r="F1420" s="2" t="s">
        <v>5468</v>
      </c>
      <c r="G1420" s="2" t="s">
        <v>1531</v>
      </c>
      <c r="H1420" s="2" t="s">
        <v>5474</v>
      </c>
      <c r="I1420" s="2" t="s">
        <v>235</v>
      </c>
      <c r="J1420" s="2" t="s">
        <v>5475</v>
      </c>
      <c r="K1420" s="2" t="s">
        <v>1575</v>
      </c>
      <c r="L1420" s="3">
        <v>114.29</v>
      </c>
      <c r="M1420" s="3"/>
      <c r="N1420" s="3"/>
      <c r="O1420" s="2" t="s">
        <v>327</v>
      </c>
      <c r="P1420" s="2" t="s">
        <v>235</v>
      </c>
      <c r="Q1420" s="2" t="s">
        <v>235</v>
      </c>
      <c r="R1420" s="2" t="s">
        <v>2425</v>
      </c>
      <c r="S1420" s="2" t="s">
        <v>235</v>
      </c>
      <c r="T1420" s="2" t="s">
        <v>235</v>
      </c>
      <c r="U1420" s="2" t="s">
        <v>235</v>
      </c>
      <c r="V1420" s="2" t="s">
        <v>235</v>
      </c>
      <c r="W1420" s="2" t="s">
        <v>235</v>
      </c>
      <c r="X1420" s="2" t="s">
        <v>235</v>
      </c>
      <c r="Y1420" s="2" t="s">
        <v>235</v>
      </c>
      <c r="Z1420" s="4"/>
      <c r="AA1420" s="4">
        <f>=ROUNDDOWN({0},0)</f>
      </c>
      <c r="AB1420" s="5"/>
      <c r="AC1420" s="2" t="s">
        <v>235</v>
      </c>
      <c r="AD1420" s="4"/>
      <c r="AE1420" s="4"/>
      <c r="AF1420" s="6"/>
      <c r="AG1420" s="6"/>
      <c r="AH1420" s="7"/>
      <c r="AI1420" s="4"/>
      <c r="AJ1420" s="4">
        <f>=ROUNDDOWN({0},0)</f>
      </c>
      <c r="AK1420" s="5"/>
      <c r="AL1420" s="2" t="s">
        <v>235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235</v>
      </c>
      <c r="AW1420" s="8" t="s">
        <v>235</v>
      </c>
      <c r="AX1420" s="4" t="s">
        <v>235</v>
      </c>
      <c r="AY1420" s="8" t="s">
        <v>235</v>
      </c>
      <c r="AZ1420" s="7" t="s">
        <v>235</v>
      </c>
      <c r="BA1420" s="7" t="s">
        <v>235</v>
      </c>
      <c r="BB1420" s="7"/>
      <c r="BC1420" s="4" t="s">
        <v>235</v>
      </c>
      <c r="BD1420" s="8" t="s">
        <v>235</v>
      </c>
      <c r="BE1420" s="4" t="s">
        <v>235</v>
      </c>
      <c r="BF1420" s="8" t="s">
        <v>235</v>
      </c>
      <c r="BG1420" s="7" t="s">
        <v>235</v>
      </c>
      <c r="BH1420" s="7" t="s">
        <v>235</v>
      </c>
      <c r="BI1420" s="7"/>
      <c r="BJ1420" s="4"/>
      <c r="BK1420" s="8"/>
      <c r="BL1420" s="2" t="s">
        <v>235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235</v>
      </c>
      <c r="BV1420" s="2" t="s">
        <v>235</v>
      </c>
      <c r="BW1420" s="2" t="s">
        <v>235</v>
      </c>
      <c r="BX1420" s="2" t="s">
        <v>235</v>
      </c>
      <c r="BY1420" s="2" t="s">
        <v>235</v>
      </c>
      <c r="BZ1420" s="2" t="s">
        <v>235</v>
      </c>
      <c r="CA1420" s="2" t="s">
        <v>235</v>
      </c>
      <c r="CB1420" s="2" t="s">
        <v>235</v>
      </c>
      <c r="CC1420" s="2" t="s">
        <v>235</v>
      </c>
      <c r="CD1420" s="2" t="s">
        <v>235</v>
      </c>
      <c r="CE1420" s="2" t="s">
        <v>235</v>
      </c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9"/>
      <c r="HE1420" s="9"/>
      <c r="HF1420" s="9"/>
      <c r="HG1420" s="9"/>
      <c r="HH1420" s="9"/>
      <c r="HI1420" s="9"/>
      <c r="HJ1420" s="9"/>
      <c r="HK1420" s="9"/>
      <c r="HL1420" s="9"/>
      <c r="HM1420" s="9"/>
      <c r="HN1420" s="9"/>
      <c r="HO1420" s="9"/>
      <c r="HP1420" s="9"/>
      <c r="HQ1420" s="9"/>
      <c r="HR1420" s="9"/>
      <c r="HS1420" s="9"/>
      <c r="HT1420" s="9"/>
      <c r="HU1420" s="9"/>
      <c r="HV1420" s="9"/>
      <c r="HW1420" s="9"/>
      <c r="HX1420" s="9"/>
      <c r="HY1420" s="9"/>
      <c r="HZ1420" s="9"/>
      <c r="IA1420" s="9"/>
      <c r="IB1420" s="9"/>
      <c r="IC1420" s="9"/>
    </row>
    <row r="1421">
      <c r="A1421" s="2" t="s">
        <v>5476</v>
      </c>
      <c r="B1421" s="2" t="s">
        <v>1071</v>
      </c>
      <c r="C1421" s="2" t="s">
        <v>324</v>
      </c>
      <c r="D1421" s="2" t="s">
        <v>4819</v>
      </c>
      <c r="E1421" s="2" t="s">
        <v>330</v>
      </c>
      <c r="F1421" s="2" t="s">
        <v>5468</v>
      </c>
      <c r="G1421" s="2" t="s">
        <v>1531</v>
      </c>
      <c r="H1421" s="2" t="s">
        <v>5474</v>
      </c>
      <c r="I1421" s="2" t="s">
        <v>235</v>
      </c>
      <c r="J1421" s="2" t="s">
        <v>5477</v>
      </c>
      <c r="K1421" s="2" t="s">
        <v>1575</v>
      </c>
      <c r="L1421" s="3">
        <v>28.57</v>
      </c>
      <c r="M1421" s="3"/>
      <c r="N1421" s="3"/>
      <c r="O1421" s="2" t="s">
        <v>327</v>
      </c>
      <c r="P1421" s="2" t="s">
        <v>235</v>
      </c>
      <c r="Q1421" s="2" t="s">
        <v>235</v>
      </c>
      <c r="R1421" s="2" t="s">
        <v>2425</v>
      </c>
      <c r="S1421" s="2" t="s">
        <v>235</v>
      </c>
      <c r="T1421" s="2" t="s">
        <v>235</v>
      </c>
      <c r="U1421" s="2" t="s">
        <v>235</v>
      </c>
      <c r="V1421" s="2" t="s">
        <v>235</v>
      </c>
      <c r="W1421" s="2" t="s">
        <v>235</v>
      </c>
      <c r="X1421" s="2" t="s">
        <v>235</v>
      </c>
      <c r="Y1421" s="2" t="s">
        <v>235</v>
      </c>
      <c r="Z1421" s="4"/>
      <c r="AA1421" s="4">
        <f>=ROUNDDOWN({0},0)</f>
      </c>
      <c r="AB1421" s="5"/>
      <c r="AC1421" s="2" t="s">
        <v>235</v>
      </c>
      <c r="AD1421" s="4"/>
      <c r="AE1421" s="4"/>
      <c r="AF1421" s="6"/>
      <c r="AG1421" s="6"/>
      <c r="AH1421" s="7"/>
      <c r="AI1421" s="4"/>
      <c r="AJ1421" s="4">
        <f>=ROUNDDOWN({0},0)</f>
      </c>
      <c r="AK1421" s="5"/>
      <c r="AL1421" s="2" t="s">
        <v>235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235</v>
      </c>
      <c r="AW1421" s="8" t="s">
        <v>235</v>
      </c>
      <c r="AX1421" s="4" t="s">
        <v>235</v>
      </c>
      <c r="AY1421" s="8" t="s">
        <v>235</v>
      </c>
      <c r="AZ1421" s="7" t="s">
        <v>235</v>
      </c>
      <c r="BA1421" s="7" t="s">
        <v>235</v>
      </c>
      <c r="BB1421" s="7"/>
      <c r="BC1421" s="4" t="s">
        <v>235</v>
      </c>
      <c r="BD1421" s="8" t="s">
        <v>235</v>
      </c>
      <c r="BE1421" s="4" t="s">
        <v>235</v>
      </c>
      <c r="BF1421" s="8" t="s">
        <v>235</v>
      </c>
      <c r="BG1421" s="7" t="s">
        <v>235</v>
      </c>
      <c r="BH1421" s="7" t="s">
        <v>235</v>
      </c>
      <c r="BI1421" s="7"/>
      <c r="BJ1421" s="4"/>
      <c r="BK1421" s="8"/>
      <c r="BL1421" s="2" t="s">
        <v>235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235</v>
      </c>
      <c r="BV1421" s="2" t="s">
        <v>235</v>
      </c>
      <c r="BW1421" s="2" t="s">
        <v>235</v>
      </c>
      <c r="BX1421" s="2" t="s">
        <v>235</v>
      </c>
      <c r="BY1421" s="2" t="s">
        <v>235</v>
      </c>
      <c r="BZ1421" s="2" t="s">
        <v>235</v>
      </c>
      <c r="CA1421" s="2" t="s">
        <v>235</v>
      </c>
      <c r="CB1421" s="2" t="s">
        <v>235</v>
      </c>
      <c r="CC1421" s="2" t="s">
        <v>235</v>
      </c>
      <c r="CD1421" s="2" t="s">
        <v>235</v>
      </c>
      <c r="CE1421" s="2" t="s">
        <v>235</v>
      </c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9"/>
      <c r="HE1421" s="9"/>
      <c r="HF1421" s="9"/>
      <c r="HG1421" s="9"/>
      <c r="HH1421" s="9"/>
      <c r="HI1421" s="9"/>
      <c r="HJ1421" s="9"/>
      <c r="HK1421" s="9"/>
      <c r="HL1421" s="9"/>
      <c r="HM1421" s="9"/>
      <c r="HN1421" s="9"/>
      <c r="HO1421" s="9"/>
      <c r="HP1421" s="9"/>
      <c r="HQ1421" s="9"/>
      <c r="HR1421" s="9"/>
      <c r="HS1421" s="9"/>
      <c r="HT1421" s="9"/>
      <c r="HU1421" s="9"/>
      <c r="HV1421" s="9"/>
      <c r="HW1421" s="9"/>
      <c r="HX1421" s="9"/>
      <c r="HY1421" s="9"/>
      <c r="HZ1421" s="9"/>
      <c r="IA1421" s="9"/>
      <c r="IB1421" s="9"/>
      <c r="IC1421" s="9"/>
    </row>
    <row r="1422">
      <c r="A1422" s="2" t="s">
        <v>5478</v>
      </c>
      <c r="B1422" s="2" t="s">
        <v>1071</v>
      </c>
      <c r="C1422" s="2" t="s">
        <v>893</v>
      </c>
      <c r="D1422" s="2" t="s">
        <v>4374</v>
      </c>
      <c r="E1422" s="2" t="s">
        <v>330</v>
      </c>
      <c r="F1422" s="2" t="s">
        <v>5479</v>
      </c>
      <c r="G1422" s="2" t="s">
        <v>235</v>
      </c>
      <c r="H1422" s="2" t="s">
        <v>235</v>
      </c>
      <c r="I1422" s="2" t="s">
        <v>235</v>
      </c>
      <c r="J1422" s="2" t="s">
        <v>5480</v>
      </c>
      <c r="K1422" s="2" t="s">
        <v>3924</v>
      </c>
      <c r="L1422" s="3">
        <v>240.66</v>
      </c>
      <c r="M1422" s="3"/>
      <c r="N1422" s="3"/>
      <c r="O1422" s="2" t="s">
        <v>485</v>
      </c>
      <c r="P1422" s="2" t="s">
        <v>235</v>
      </c>
      <c r="Q1422" s="2" t="s">
        <v>235</v>
      </c>
      <c r="R1422" s="2" t="s">
        <v>2425</v>
      </c>
      <c r="S1422" s="2" t="s">
        <v>235</v>
      </c>
      <c r="T1422" s="2" t="s">
        <v>235</v>
      </c>
      <c r="U1422" s="2" t="s">
        <v>235</v>
      </c>
      <c r="V1422" s="2" t="s">
        <v>235</v>
      </c>
      <c r="W1422" s="2" t="s">
        <v>235</v>
      </c>
      <c r="X1422" s="2" t="s">
        <v>235</v>
      </c>
      <c r="Y1422" s="2" t="s">
        <v>235</v>
      </c>
      <c r="Z1422" s="4">
        <v>138</v>
      </c>
      <c r="AA1422" s="4">
        <f>=ROUNDDOWN({0},0)</f>
      </c>
      <c r="AB1422" s="5"/>
      <c r="AC1422" s="2" t="s">
        <v>235</v>
      </c>
      <c r="AD1422" s="4"/>
      <c r="AE1422" s="4"/>
      <c r="AF1422" s="6"/>
      <c r="AG1422" s="6"/>
      <c r="AH1422" s="7"/>
      <c r="AI1422" s="4"/>
      <c r="AJ1422" s="4">
        <f>=ROUNDDOWN({0},0)</f>
      </c>
      <c r="AK1422" s="5"/>
      <c r="AL1422" s="2" t="s">
        <v>235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235</v>
      </c>
      <c r="AW1422" s="8" t="s">
        <v>235</v>
      </c>
      <c r="AX1422" s="4" t="s">
        <v>235</v>
      </c>
      <c r="AY1422" s="8" t="s">
        <v>235</v>
      </c>
      <c r="AZ1422" s="7" t="s">
        <v>235</v>
      </c>
      <c r="BA1422" s="7" t="s">
        <v>235</v>
      </c>
      <c r="BB1422" s="7"/>
      <c r="BC1422" s="4" t="s">
        <v>235</v>
      </c>
      <c r="BD1422" s="8" t="s">
        <v>235</v>
      </c>
      <c r="BE1422" s="4" t="s">
        <v>235</v>
      </c>
      <c r="BF1422" s="8" t="s">
        <v>235</v>
      </c>
      <c r="BG1422" s="7" t="s">
        <v>235</v>
      </c>
      <c r="BH1422" s="7" t="s">
        <v>235</v>
      </c>
      <c r="BI1422" s="7"/>
      <c r="BJ1422" s="4"/>
      <c r="BK1422" s="8"/>
      <c r="BL1422" s="2" t="s">
        <v>235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235</v>
      </c>
      <c r="BV1422" s="2" t="s">
        <v>235</v>
      </c>
      <c r="BW1422" s="2" t="s">
        <v>235</v>
      </c>
      <c r="BX1422" s="2" t="s">
        <v>235</v>
      </c>
      <c r="BY1422" s="2" t="s">
        <v>235</v>
      </c>
      <c r="BZ1422" s="2" t="s">
        <v>235</v>
      </c>
      <c r="CA1422" s="2" t="s">
        <v>235</v>
      </c>
      <c r="CB1422" s="2" t="s">
        <v>235</v>
      </c>
      <c r="CC1422" s="2" t="s">
        <v>235</v>
      </c>
      <c r="CD1422" s="2" t="s">
        <v>235</v>
      </c>
      <c r="CE1422" s="2" t="s">
        <v>235</v>
      </c>
      <c r="CF1422" s="4"/>
      <c r="CG1422" s="4">
        <v>137</v>
      </c>
      <c r="CH1422" s="4"/>
      <c r="CI1422" s="4">
        <v>1</v>
      </c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9"/>
      <c r="HE1422" s="9"/>
      <c r="HF1422" s="9"/>
      <c r="HG1422" s="9"/>
      <c r="HH1422" s="9"/>
      <c r="HI1422" s="9"/>
      <c r="HJ1422" s="9"/>
      <c r="HK1422" s="9"/>
      <c r="HL1422" s="9"/>
      <c r="HM1422" s="9"/>
      <c r="HN1422" s="9"/>
      <c r="HO1422" s="9"/>
      <c r="HP1422" s="9"/>
      <c r="HQ1422" s="9"/>
      <c r="HR1422" s="9"/>
      <c r="HS1422" s="9"/>
      <c r="HT1422" s="9"/>
      <c r="HU1422" s="9"/>
      <c r="HV1422" s="9"/>
      <c r="HW1422" s="9"/>
      <c r="HX1422" s="9"/>
      <c r="HY1422" s="9"/>
      <c r="HZ1422" s="9"/>
      <c r="IA1422" s="9"/>
      <c r="IB1422" s="9"/>
      <c r="IC1422" s="9"/>
    </row>
    <row r="1423">
      <c r="A1423" s="2" t="s">
        <v>5481</v>
      </c>
      <c r="B1423" s="2" t="s">
        <v>1071</v>
      </c>
      <c r="C1423" s="2" t="s">
        <v>893</v>
      </c>
      <c r="D1423" s="2" t="s">
        <v>4374</v>
      </c>
      <c r="E1423" s="2" t="s">
        <v>330</v>
      </c>
      <c r="F1423" s="2" t="s">
        <v>5479</v>
      </c>
      <c r="G1423" s="2" t="s">
        <v>235</v>
      </c>
      <c r="H1423" s="2" t="s">
        <v>235</v>
      </c>
      <c r="I1423" s="2" t="s">
        <v>235</v>
      </c>
      <c r="J1423" s="2" t="s">
        <v>5482</v>
      </c>
      <c r="K1423" s="2" t="s">
        <v>3924</v>
      </c>
      <c r="L1423" s="3">
        <v>164.34</v>
      </c>
      <c r="M1423" s="3"/>
      <c r="N1423" s="3"/>
      <c r="O1423" s="2" t="s">
        <v>232</v>
      </c>
      <c r="P1423" s="2" t="s">
        <v>235</v>
      </c>
      <c r="Q1423" s="2" t="s">
        <v>235</v>
      </c>
      <c r="R1423" s="2" t="s">
        <v>2425</v>
      </c>
      <c r="S1423" s="2" t="s">
        <v>235</v>
      </c>
      <c r="T1423" s="2" t="s">
        <v>235</v>
      </c>
      <c r="U1423" s="2" t="s">
        <v>235</v>
      </c>
      <c r="V1423" s="2" t="s">
        <v>235</v>
      </c>
      <c r="W1423" s="2" t="s">
        <v>235</v>
      </c>
      <c r="X1423" s="2" t="s">
        <v>235</v>
      </c>
      <c r="Y1423" s="2" t="s">
        <v>235</v>
      </c>
      <c r="Z1423" s="4">
        <v>132</v>
      </c>
      <c r="AA1423" s="4">
        <f>=ROUNDDOWN({0},0)</f>
      </c>
      <c r="AB1423" s="5"/>
      <c r="AC1423" s="2" t="s">
        <v>235</v>
      </c>
      <c r="AD1423" s="4"/>
      <c r="AE1423" s="4"/>
      <c r="AF1423" s="6"/>
      <c r="AG1423" s="6"/>
      <c r="AH1423" s="7"/>
      <c r="AI1423" s="4"/>
      <c r="AJ1423" s="4">
        <f>=ROUNDDOWN({0},0)</f>
      </c>
      <c r="AK1423" s="5"/>
      <c r="AL1423" s="2" t="s">
        <v>235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235</v>
      </c>
      <c r="AW1423" s="8" t="s">
        <v>235</v>
      </c>
      <c r="AX1423" s="4" t="s">
        <v>235</v>
      </c>
      <c r="AY1423" s="8" t="s">
        <v>235</v>
      </c>
      <c r="AZ1423" s="7" t="s">
        <v>235</v>
      </c>
      <c r="BA1423" s="7" t="s">
        <v>235</v>
      </c>
      <c r="BB1423" s="7"/>
      <c r="BC1423" s="4" t="s">
        <v>235</v>
      </c>
      <c r="BD1423" s="8" t="s">
        <v>235</v>
      </c>
      <c r="BE1423" s="4" t="s">
        <v>235</v>
      </c>
      <c r="BF1423" s="8" t="s">
        <v>235</v>
      </c>
      <c r="BG1423" s="7" t="s">
        <v>235</v>
      </c>
      <c r="BH1423" s="7" t="s">
        <v>235</v>
      </c>
      <c r="BI1423" s="7"/>
      <c r="BJ1423" s="4"/>
      <c r="BK1423" s="8"/>
      <c r="BL1423" s="2" t="s">
        <v>235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235</v>
      </c>
      <c r="BV1423" s="2" t="s">
        <v>235</v>
      </c>
      <c r="BW1423" s="2" t="s">
        <v>235</v>
      </c>
      <c r="BX1423" s="2" t="s">
        <v>235</v>
      </c>
      <c r="BY1423" s="2" t="s">
        <v>235</v>
      </c>
      <c r="BZ1423" s="2" t="s">
        <v>235</v>
      </c>
      <c r="CA1423" s="2" t="s">
        <v>235</v>
      </c>
      <c r="CB1423" s="2" t="s">
        <v>235</v>
      </c>
      <c r="CC1423" s="2" t="s">
        <v>235</v>
      </c>
      <c r="CD1423" s="2" t="s">
        <v>235</v>
      </c>
      <c r="CE1423" s="2" t="s">
        <v>235</v>
      </c>
      <c r="CF1423" s="4"/>
      <c r="CG1423" s="4">
        <v>132</v>
      </c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9"/>
      <c r="HE1423" s="9"/>
      <c r="HF1423" s="9"/>
      <c r="HG1423" s="9"/>
      <c r="HH1423" s="9"/>
      <c r="HI1423" s="9"/>
      <c r="HJ1423" s="9"/>
      <c r="HK1423" s="9"/>
      <c r="HL1423" s="9"/>
      <c r="HM1423" s="9"/>
      <c r="HN1423" s="9"/>
      <c r="HO1423" s="9"/>
      <c r="HP1423" s="9"/>
      <c r="HQ1423" s="9"/>
      <c r="HR1423" s="9"/>
      <c r="HS1423" s="9"/>
      <c r="HT1423" s="9"/>
      <c r="HU1423" s="9"/>
      <c r="HV1423" s="9"/>
      <c r="HW1423" s="9"/>
      <c r="HX1423" s="9"/>
      <c r="HY1423" s="9"/>
      <c r="HZ1423" s="9"/>
      <c r="IA1423" s="9"/>
      <c r="IB1423" s="9"/>
      <c r="IC1423" s="9"/>
    </row>
    <row r="1424">
      <c r="A1424" s="2" t="s">
        <v>5483</v>
      </c>
      <c r="B1424" s="2" t="s">
        <v>1071</v>
      </c>
      <c r="C1424" s="2" t="s">
        <v>893</v>
      </c>
      <c r="D1424" s="2" t="s">
        <v>1072</v>
      </c>
      <c r="E1424" s="2" t="s">
        <v>1727</v>
      </c>
      <c r="F1424" s="2" t="s">
        <v>5479</v>
      </c>
      <c r="G1424" s="2" t="s">
        <v>5479</v>
      </c>
      <c r="H1424" s="2" t="s">
        <v>5479</v>
      </c>
      <c r="I1424" s="2" t="s">
        <v>5484</v>
      </c>
      <c r="J1424" s="2" t="s">
        <v>261</v>
      </c>
      <c r="K1424" s="2" t="s">
        <v>5485</v>
      </c>
      <c r="L1424" s="3">
        <v>370</v>
      </c>
      <c r="M1424" s="3">
        <v>388.5</v>
      </c>
      <c r="N1424" s="3">
        <v>769</v>
      </c>
      <c r="O1424" s="2" t="s">
        <v>407</v>
      </c>
      <c r="P1424" s="2" t="s">
        <v>408</v>
      </c>
      <c r="Q1424" s="2" t="s">
        <v>234</v>
      </c>
      <c r="R1424" s="2" t="s">
        <v>235</v>
      </c>
      <c r="S1424" s="2" t="s">
        <v>235</v>
      </c>
      <c r="T1424" s="2" t="s">
        <v>235</v>
      </c>
      <c r="U1424" s="2" t="s">
        <v>807</v>
      </c>
      <c r="V1424" s="2" t="s">
        <v>808</v>
      </c>
      <c r="W1424" s="2" t="s">
        <v>809</v>
      </c>
      <c r="X1424" s="2" t="s">
        <v>809</v>
      </c>
      <c r="Y1424" s="2" t="s">
        <v>5486</v>
      </c>
      <c r="Z1424" s="4">
        <v>3</v>
      </c>
      <c r="AA1424" s="4">
        <f>=ROUNDDOWN({0},0)</f>
      </c>
      <c r="AB1424" s="5"/>
      <c r="AC1424" s="2" t="s">
        <v>235</v>
      </c>
      <c r="AD1424" s="4"/>
      <c r="AE1424" s="4"/>
      <c r="AF1424" s="6">
        <v>74</v>
      </c>
      <c r="AG1424" s="6"/>
      <c r="AH1424" s="7">
        <v>1</v>
      </c>
      <c r="AI1424" s="4"/>
      <c r="AJ1424" s="4">
        <f>=ROUNDDOWN({0},0)</f>
      </c>
      <c r="AK1424" s="5"/>
      <c r="AL1424" s="2" t="s">
        <v>235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235</v>
      </c>
      <c r="BD1424" s="8" t="s">
        <v>235</v>
      </c>
      <c r="BE1424" s="4" t="s">
        <v>235</v>
      </c>
      <c r="BF1424" s="8" t="s">
        <v>235</v>
      </c>
      <c r="BG1424" s="7" t="s">
        <v>235</v>
      </c>
      <c r="BH1424" s="7" t="s">
        <v>235</v>
      </c>
      <c r="BI1424" s="7"/>
      <c r="BJ1424" s="4"/>
      <c r="BK1424" s="8"/>
      <c r="BL1424" s="2" t="s">
        <v>235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5487</v>
      </c>
      <c r="BV1424" s="2" t="s">
        <v>4832</v>
      </c>
      <c r="BW1424" s="2" t="s">
        <v>235</v>
      </c>
      <c r="BX1424" s="2" t="s">
        <v>414</v>
      </c>
      <c r="BY1424" s="2" t="s">
        <v>245</v>
      </c>
      <c r="BZ1424" s="2" t="s">
        <v>232</v>
      </c>
      <c r="CA1424" s="2" t="s">
        <v>5488</v>
      </c>
      <c r="CB1424" s="2" t="s">
        <v>4993</v>
      </c>
      <c r="CC1424" s="2" t="s">
        <v>248</v>
      </c>
      <c r="CD1424" s="2" t="s">
        <v>248</v>
      </c>
      <c r="CE1424" s="2" t="s">
        <v>235</v>
      </c>
      <c r="CF1424" s="4"/>
      <c r="CG1424" s="4">
        <v>3</v>
      </c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>
        <v>3</v>
      </c>
      <c r="GE1424" s="4">
        <v>3</v>
      </c>
      <c r="GF1424" s="4">
        <v>3</v>
      </c>
      <c r="GG1424" s="4">
        <v>3</v>
      </c>
      <c r="GH1424" s="4">
        <v>3</v>
      </c>
      <c r="GI1424" s="4">
        <v>3</v>
      </c>
      <c r="GJ1424" s="4">
        <v>3</v>
      </c>
      <c r="GK1424" s="4">
        <v>3</v>
      </c>
      <c r="GL1424" s="4">
        <v>3</v>
      </c>
      <c r="GM1424" s="4">
        <v>3</v>
      </c>
      <c r="GN1424" s="4">
        <v>3</v>
      </c>
      <c r="GO1424" s="4">
        <v>3</v>
      </c>
      <c r="GP1424" s="4">
        <v>3</v>
      </c>
      <c r="GQ1424" s="4">
        <v>3</v>
      </c>
      <c r="GR1424" s="4">
        <v>3</v>
      </c>
      <c r="GS1424" s="4">
        <v>3</v>
      </c>
      <c r="GT1424" s="4">
        <v>3</v>
      </c>
      <c r="GU1424" s="4">
        <v>3</v>
      </c>
      <c r="GV1424" s="4">
        <v>3</v>
      </c>
      <c r="GW1424" s="4">
        <v>3</v>
      </c>
      <c r="GX1424" s="4">
        <v>3</v>
      </c>
      <c r="GY1424" s="4">
        <v>3</v>
      </c>
      <c r="GZ1424" s="4">
        <v>3</v>
      </c>
      <c r="HA1424" s="4">
        <v>3</v>
      </c>
      <c r="HB1424" s="4">
        <v>3</v>
      </c>
      <c r="HC1424" s="4">
        <v>3</v>
      </c>
      <c r="HD1424" s="9"/>
      <c r="HE1424" s="9"/>
      <c r="HF1424" s="9"/>
      <c r="HG1424" s="9"/>
      <c r="HH1424" s="9"/>
      <c r="HI1424" s="9"/>
      <c r="HJ1424" s="9"/>
      <c r="HK1424" s="9"/>
      <c r="HL1424" s="9"/>
      <c r="HM1424" s="9"/>
      <c r="HN1424" s="9"/>
      <c r="HO1424" s="9"/>
      <c r="HP1424" s="9"/>
      <c r="HQ1424" s="9"/>
      <c r="HR1424" s="9"/>
      <c r="HS1424" s="9"/>
      <c r="HT1424" s="9"/>
      <c r="HU1424" s="9"/>
      <c r="HV1424" s="9"/>
      <c r="HW1424" s="9"/>
      <c r="HX1424" s="9"/>
      <c r="HY1424" s="9"/>
      <c r="HZ1424" s="9"/>
      <c r="IA1424" s="9"/>
      <c r="IB1424" s="9"/>
      <c r="IC1424" s="9"/>
    </row>
    <row r="1425">
      <c r="A1425" s="2" t="s">
        <v>5489</v>
      </c>
      <c r="B1425" s="2" t="s">
        <v>871</v>
      </c>
      <c r="C1425" s="2" t="s">
        <v>606</v>
      </c>
      <c r="D1425" s="2" t="s">
        <v>361</v>
      </c>
      <c r="E1425" s="2" t="s">
        <v>872</v>
      </c>
      <c r="F1425" s="2" t="s">
        <v>5490</v>
      </c>
      <c r="G1425" s="2" t="s">
        <v>5491</v>
      </c>
      <c r="H1425" s="2" t="s">
        <v>5492</v>
      </c>
      <c r="I1425" s="2" t="s">
        <v>5493</v>
      </c>
      <c r="J1425" s="2" t="s">
        <v>877</v>
      </c>
      <c r="K1425" s="2" t="s">
        <v>231</v>
      </c>
      <c r="L1425" s="3">
        <v>28.57</v>
      </c>
      <c r="M1425" s="3">
        <v>30</v>
      </c>
      <c r="N1425" s="3">
        <v>59.99</v>
      </c>
      <c r="O1425" s="2" t="s">
        <v>232</v>
      </c>
      <c r="P1425" s="2" t="s">
        <v>878</v>
      </c>
      <c r="Q1425" s="2" t="s">
        <v>234</v>
      </c>
      <c r="R1425" s="2" t="s">
        <v>235</v>
      </c>
      <c r="S1425" s="2" t="s">
        <v>235</v>
      </c>
      <c r="T1425" s="2" t="s">
        <v>879</v>
      </c>
      <c r="U1425" s="2" t="s">
        <v>278</v>
      </c>
      <c r="V1425" s="2" t="s">
        <v>420</v>
      </c>
      <c r="W1425" s="2" t="s">
        <v>682</v>
      </c>
      <c r="X1425" s="2" t="s">
        <v>682</v>
      </c>
      <c r="Y1425" s="2" t="s">
        <v>235</v>
      </c>
      <c r="Z1425" s="4"/>
      <c r="AA1425" s="4">
        <f>=ROUNDDOWN({0},0)</f>
      </c>
      <c r="AB1425" s="5"/>
      <c r="AC1425" s="2" t="s">
        <v>1658</v>
      </c>
      <c r="AD1425" s="4">
        <v>399</v>
      </c>
      <c r="AE1425" s="4">
        <v>399</v>
      </c>
      <c r="AF1425" s="6">
        <v>82</v>
      </c>
      <c r="AG1425" s="6"/>
      <c r="AH1425" s="7"/>
      <c r="AI1425" s="4"/>
      <c r="AJ1425" s="4">
        <f>=ROUNDDOWN({0},0)</f>
      </c>
      <c r="AK1425" s="5"/>
      <c r="AL1425" s="2" t="s">
        <v>235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235</v>
      </c>
      <c r="AW1425" s="8" t="s">
        <v>235</v>
      </c>
      <c r="AX1425" s="4" t="s">
        <v>235</v>
      </c>
      <c r="AY1425" s="8" t="s">
        <v>235</v>
      </c>
      <c r="AZ1425" s="7" t="s">
        <v>235</v>
      </c>
      <c r="BA1425" s="7" t="s">
        <v>235</v>
      </c>
      <c r="BB1425" s="7"/>
      <c r="BC1425" s="4" t="s">
        <v>235</v>
      </c>
      <c r="BD1425" s="8" t="s">
        <v>235</v>
      </c>
      <c r="BE1425" s="4" t="s">
        <v>235</v>
      </c>
      <c r="BF1425" s="8" t="s">
        <v>235</v>
      </c>
      <c r="BG1425" s="7" t="s">
        <v>235</v>
      </c>
      <c r="BH1425" s="7" t="s">
        <v>235</v>
      </c>
      <c r="BI1425" s="7"/>
      <c r="BJ1425" s="4"/>
      <c r="BK1425" s="8"/>
      <c r="BL1425" s="2" t="s">
        <v>235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330</v>
      </c>
      <c r="BV1425" s="2" t="s">
        <v>235</v>
      </c>
      <c r="BW1425" s="2" t="s">
        <v>235</v>
      </c>
      <c r="BX1425" s="2" t="s">
        <v>330</v>
      </c>
      <c r="BY1425" s="2" t="s">
        <v>331</v>
      </c>
      <c r="BZ1425" s="2" t="s">
        <v>232</v>
      </c>
      <c r="CA1425" s="2" t="s">
        <v>235</v>
      </c>
      <c r="CB1425" s="2" t="s">
        <v>235</v>
      </c>
      <c r="CC1425" s="2" t="s">
        <v>248</v>
      </c>
      <c r="CD1425" s="2" t="s">
        <v>248</v>
      </c>
      <c r="CE1425" s="2" t="s">
        <v>235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>
        <v>399</v>
      </c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>
        <v>399</v>
      </c>
      <c r="GO1425" s="4">
        <v>349</v>
      </c>
      <c r="GP1425" s="4">
        <v>320</v>
      </c>
      <c r="GQ1425" s="4">
        <v>285</v>
      </c>
      <c r="GR1425" s="4">
        <v>258</v>
      </c>
      <c r="GS1425" s="4">
        <v>238</v>
      </c>
      <c r="GT1425" s="4">
        <v>221</v>
      </c>
      <c r="GU1425" s="4">
        <v>204</v>
      </c>
      <c r="GV1425" s="4">
        <v>186</v>
      </c>
      <c r="GW1425" s="4">
        <v>171</v>
      </c>
      <c r="GX1425" s="4">
        <v>156</v>
      </c>
      <c r="GY1425" s="4">
        <v>141</v>
      </c>
      <c r="GZ1425" s="4">
        <v>126</v>
      </c>
      <c r="HA1425" s="4">
        <v>111</v>
      </c>
      <c r="HB1425" s="4">
        <v>96</v>
      </c>
      <c r="HC1425" s="4">
        <v>247</v>
      </c>
      <c r="HD1425" s="9"/>
      <c r="HE1425" s="9"/>
      <c r="HF1425" s="9"/>
      <c r="HG1425" s="9"/>
      <c r="HH1425" s="9"/>
      <c r="HI1425" s="9"/>
      <c r="HJ1425" s="9"/>
      <c r="HK1425" s="9"/>
      <c r="HL1425" s="9"/>
      <c r="HM1425" s="9"/>
      <c r="HN1425" s="19">
        <v>11.4</v>
      </c>
      <c r="HO1425" s="19">
        <v>12.5</v>
      </c>
      <c r="HP1425" s="19">
        <v>12.8</v>
      </c>
      <c r="HQ1425" s="19">
        <v>14.3</v>
      </c>
      <c r="HR1425" s="19">
        <v>14.3</v>
      </c>
      <c r="HS1425" s="19">
        <v>14</v>
      </c>
      <c r="HT1425" s="19">
        <v>13.8</v>
      </c>
      <c r="HU1425" s="19">
        <v>12.8</v>
      </c>
      <c r="HV1425" s="19">
        <v>12.4</v>
      </c>
      <c r="HW1425" s="19">
        <v>11.4</v>
      </c>
      <c r="HX1425" s="19">
        <v>10.4</v>
      </c>
      <c r="HY1425" s="19">
        <v>8.8</v>
      </c>
      <c r="HZ1425" s="19">
        <v>7.9</v>
      </c>
      <c r="IA1425" s="19">
        <v>6.9</v>
      </c>
      <c r="IB1425" s="19">
        <v>6</v>
      </c>
      <c r="IC1425" s="19">
        <v>16.5</v>
      </c>
    </row>
    <row r="1426">
      <c r="A1426" s="2" t="s">
        <v>5494</v>
      </c>
      <c r="B1426" s="2" t="s">
        <v>871</v>
      </c>
      <c r="C1426" s="2" t="s">
        <v>606</v>
      </c>
      <c r="D1426" s="2" t="s">
        <v>361</v>
      </c>
      <c r="E1426" s="2" t="s">
        <v>872</v>
      </c>
      <c r="F1426" s="2" t="s">
        <v>5490</v>
      </c>
      <c r="G1426" s="2" t="s">
        <v>5491</v>
      </c>
      <c r="H1426" s="2" t="s">
        <v>5492</v>
      </c>
      <c r="I1426" s="2" t="s">
        <v>5493</v>
      </c>
      <c r="J1426" s="2" t="s">
        <v>365</v>
      </c>
      <c r="K1426" s="2" t="s">
        <v>231</v>
      </c>
      <c r="L1426" s="3">
        <v>33.33</v>
      </c>
      <c r="M1426" s="3">
        <v>35</v>
      </c>
      <c r="N1426" s="3">
        <v>69.99</v>
      </c>
      <c r="O1426" s="2" t="s">
        <v>232</v>
      </c>
      <c r="P1426" s="2" t="s">
        <v>878</v>
      </c>
      <c r="Q1426" s="2" t="s">
        <v>234</v>
      </c>
      <c r="R1426" s="2" t="s">
        <v>235</v>
      </c>
      <c r="S1426" s="2" t="s">
        <v>235</v>
      </c>
      <c r="T1426" s="2" t="s">
        <v>879</v>
      </c>
      <c r="U1426" s="2" t="s">
        <v>552</v>
      </c>
      <c r="V1426" s="2" t="s">
        <v>420</v>
      </c>
      <c r="W1426" s="2" t="s">
        <v>682</v>
      </c>
      <c r="X1426" s="2" t="s">
        <v>682</v>
      </c>
      <c r="Y1426" s="2" t="s">
        <v>235</v>
      </c>
      <c r="Z1426" s="4"/>
      <c r="AA1426" s="4">
        <f>=ROUNDDOWN({0},0)</f>
      </c>
      <c r="AB1426" s="5"/>
      <c r="AC1426" s="2" t="s">
        <v>1658</v>
      </c>
      <c r="AD1426" s="4">
        <v>759</v>
      </c>
      <c r="AE1426" s="4">
        <v>759</v>
      </c>
      <c r="AF1426" s="6">
        <v>82</v>
      </c>
      <c r="AG1426" s="6"/>
      <c r="AH1426" s="7"/>
      <c r="AI1426" s="4"/>
      <c r="AJ1426" s="4">
        <f>=ROUNDDOWN({0},0)</f>
      </c>
      <c r="AK1426" s="5"/>
      <c r="AL1426" s="2" t="s">
        <v>235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235</v>
      </c>
      <c r="AW1426" s="8" t="s">
        <v>235</v>
      </c>
      <c r="AX1426" s="4" t="s">
        <v>235</v>
      </c>
      <c r="AY1426" s="8" t="s">
        <v>235</v>
      </c>
      <c r="AZ1426" s="7" t="s">
        <v>235</v>
      </c>
      <c r="BA1426" s="7" t="s">
        <v>235</v>
      </c>
      <c r="BB1426" s="7"/>
      <c r="BC1426" s="4" t="s">
        <v>235</v>
      </c>
      <c r="BD1426" s="8" t="s">
        <v>235</v>
      </c>
      <c r="BE1426" s="4" t="s">
        <v>235</v>
      </c>
      <c r="BF1426" s="8" t="s">
        <v>235</v>
      </c>
      <c r="BG1426" s="7" t="s">
        <v>235</v>
      </c>
      <c r="BH1426" s="7" t="s">
        <v>235</v>
      </c>
      <c r="BI1426" s="7"/>
      <c r="BJ1426" s="4"/>
      <c r="BK1426" s="8"/>
      <c r="BL1426" s="2" t="s">
        <v>235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330</v>
      </c>
      <c r="BV1426" s="2" t="s">
        <v>235</v>
      </c>
      <c r="BW1426" s="2" t="s">
        <v>235</v>
      </c>
      <c r="BX1426" s="2" t="s">
        <v>330</v>
      </c>
      <c r="BY1426" s="2" t="s">
        <v>331</v>
      </c>
      <c r="BZ1426" s="2" t="s">
        <v>232</v>
      </c>
      <c r="CA1426" s="2" t="s">
        <v>235</v>
      </c>
      <c r="CB1426" s="2" t="s">
        <v>235</v>
      </c>
      <c r="CC1426" s="2" t="s">
        <v>248</v>
      </c>
      <c r="CD1426" s="2" t="s">
        <v>248</v>
      </c>
      <c r="CE1426" s="2" t="s">
        <v>235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>
        <v>759</v>
      </c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>
        <v>759</v>
      </c>
      <c r="GO1426" s="4">
        <v>651</v>
      </c>
      <c r="GP1426" s="4">
        <v>594</v>
      </c>
      <c r="GQ1426" s="4">
        <v>526</v>
      </c>
      <c r="GR1426" s="4">
        <v>474</v>
      </c>
      <c r="GS1426" s="4">
        <v>436</v>
      </c>
      <c r="GT1426" s="4">
        <v>402</v>
      </c>
      <c r="GU1426" s="4">
        <v>368</v>
      </c>
      <c r="GV1426" s="4">
        <v>333</v>
      </c>
      <c r="GW1426" s="4">
        <v>304</v>
      </c>
      <c r="GX1426" s="4">
        <v>275</v>
      </c>
      <c r="GY1426" s="4">
        <v>246</v>
      </c>
      <c r="GZ1426" s="4">
        <v>217</v>
      </c>
      <c r="HA1426" s="4">
        <v>188</v>
      </c>
      <c r="HB1426" s="4">
        <v>159</v>
      </c>
      <c r="HC1426" s="4">
        <v>472</v>
      </c>
      <c r="HD1426" s="9"/>
      <c r="HE1426" s="9"/>
      <c r="HF1426" s="9"/>
      <c r="HG1426" s="9"/>
      <c r="HH1426" s="9"/>
      <c r="HI1426" s="9"/>
      <c r="HJ1426" s="9"/>
      <c r="HK1426" s="9"/>
      <c r="HL1426" s="9"/>
      <c r="HM1426" s="20">
        <v>0</v>
      </c>
      <c r="HN1426" s="19">
        <v>10.7</v>
      </c>
      <c r="HO1426" s="19">
        <v>12.1</v>
      </c>
      <c r="HP1426" s="19">
        <v>12.4</v>
      </c>
      <c r="HQ1426" s="19">
        <v>13.2</v>
      </c>
      <c r="HR1426" s="19">
        <v>13.5</v>
      </c>
      <c r="HS1426" s="19">
        <v>13.2</v>
      </c>
      <c r="HT1426" s="19">
        <v>12.6</v>
      </c>
      <c r="HU1426" s="19">
        <v>12.3</v>
      </c>
      <c r="HV1426" s="19">
        <v>11.5</v>
      </c>
      <c r="HW1426" s="19">
        <v>10.5</v>
      </c>
      <c r="HX1426" s="19">
        <v>9.5</v>
      </c>
      <c r="HY1426" s="19">
        <v>8.2</v>
      </c>
      <c r="HZ1426" s="19">
        <v>7.2</v>
      </c>
      <c r="IA1426" s="19">
        <v>6.3</v>
      </c>
      <c r="IB1426" s="19">
        <v>5.3</v>
      </c>
      <c r="IC1426" s="19">
        <v>16.3</v>
      </c>
    </row>
    <row r="1427">
      <c r="A1427" s="2" t="s">
        <v>5495</v>
      </c>
      <c r="B1427" s="2" t="s">
        <v>871</v>
      </c>
      <c r="C1427" s="2" t="s">
        <v>606</v>
      </c>
      <c r="D1427" s="2" t="s">
        <v>361</v>
      </c>
      <c r="E1427" s="2" t="s">
        <v>872</v>
      </c>
      <c r="F1427" s="2" t="s">
        <v>5490</v>
      </c>
      <c r="G1427" s="2" t="s">
        <v>5491</v>
      </c>
      <c r="H1427" s="2" t="s">
        <v>5492</v>
      </c>
      <c r="I1427" s="2" t="s">
        <v>5493</v>
      </c>
      <c r="J1427" s="2" t="s">
        <v>372</v>
      </c>
      <c r="K1427" s="2" t="s">
        <v>231</v>
      </c>
      <c r="L1427" s="3">
        <v>38.09</v>
      </c>
      <c r="M1427" s="3">
        <v>39.99</v>
      </c>
      <c r="N1427" s="3">
        <v>79.99</v>
      </c>
      <c r="O1427" s="2" t="s">
        <v>232</v>
      </c>
      <c r="P1427" s="2" t="s">
        <v>878</v>
      </c>
      <c r="Q1427" s="2" t="s">
        <v>234</v>
      </c>
      <c r="R1427" s="2" t="s">
        <v>235</v>
      </c>
      <c r="S1427" s="2" t="s">
        <v>235</v>
      </c>
      <c r="T1427" s="2" t="s">
        <v>879</v>
      </c>
      <c r="U1427" s="2" t="s">
        <v>552</v>
      </c>
      <c r="V1427" s="2" t="s">
        <v>420</v>
      </c>
      <c r="W1427" s="2" t="s">
        <v>682</v>
      </c>
      <c r="X1427" s="2" t="s">
        <v>682</v>
      </c>
      <c r="Y1427" s="2" t="s">
        <v>235</v>
      </c>
      <c r="Z1427" s="4"/>
      <c r="AA1427" s="4">
        <f>=ROUNDDOWN({0},0)</f>
      </c>
      <c r="AB1427" s="5"/>
      <c r="AC1427" s="2" t="s">
        <v>1658</v>
      </c>
      <c r="AD1427" s="4">
        <v>588</v>
      </c>
      <c r="AE1427" s="4">
        <v>588</v>
      </c>
      <c r="AF1427" s="6">
        <v>82</v>
      </c>
      <c r="AG1427" s="6"/>
      <c r="AH1427" s="7"/>
      <c r="AI1427" s="4"/>
      <c r="AJ1427" s="4">
        <f>=ROUNDDOWN({0},0)</f>
      </c>
      <c r="AK1427" s="5"/>
      <c r="AL1427" s="2" t="s">
        <v>235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235</v>
      </c>
      <c r="AW1427" s="8" t="s">
        <v>235</v>
      </c>
      <c r="AX1427" s="4" t="s">
        <v>235</v>
      </c>
      <c r="AY1427" s="8" t="s">
        <v>235</v>
      </c>
      <c r="AZ1427" s="7" t="s">
        <v>235</v>
      </c>
      <c r="BA1427" s="7" t="s">
        <v>235</v>
      </c>
      <c r="BB1427" s="7"/>
      <c r="BC1427" s="4" t="s">
        <v>235</v>
      </c>
      <c r="BD1427" s="8" t="s">
        <v>235</v>
      </c>
      <c r="BE1427" s="4" t="s">
        <v>235</v>
      </c>
      <c r="BF1427" s="8" t="s">
        <v>235</v>
      </c>
      <c r="BG1427" s="7" t="s">
        <v>235</v>
      </c>
      <c r="BH1427" s="7" t="s">
        <v>235</v>
      </c>
      <c r="BI1427" s="7"/>
      <c r="BJ1427" s="4"/>
      <c r="BK1427" s="8"/>
      <c r="BL1427" s="2" t="s">
        <v>235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330</v>
      </c>
      <c r="BV1427" s="2" t="s">
        <v>235</v>
      </c>
      <c r="BW1427" s="2" t="s">
        <v>235</v>
      </c>
      <c r="BX1427" s="2" t="s">
        <v>330</v>
      </c>
      <c r="BY1427" s="2" t="s">
        <v>331</v>
      </c>
      <c r="BZ1427" s="2" t="s">
        <v>232</v>
      </c>
      <c r="CA1427" s="2" t="s">
        <v>235</v>
      </c>
      <c r="CB1427" s="2" t="s">
        <v>235</v>
      </c>
      <c r="CC1427" s="2" t="s">
        <v>248</v>
      </c>
      <c r="CD1427" s="2" t="s">
        <v>248</v>
      </c>
      <c r="CE1427" s="2" t="s">
        <v>235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>
        <v>588</v>
      </c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>
        <v>588</v>
      </c>
      <c r="GO1427" s="4">
        <v>516</v>
      </c>
      <c r="GP1427" s="4">
        <v>475</v>
      </c>
      <c r="GQ1427" s="4">
        <v>429</v>
      </c>
      <c r="GR1427" s="4">
        <v>388</v>
      </c>
      <c r="GS1427" s="4">
        <v>361</v>
      </c>
      <c r="GT1427" s="4">
        <v>334</v>
      </c>
      <c r="GU1427" s="4">
        <v>307</v>
      </c>
      <c r="GV1427" s="4">
        <v>281</v>
      </c>
      <c r="GW1427" s="4">
        <v>258</v>
      </c>
      <c r="GX1427" s="4">
        <v>235</v>
      </c>
      <c r="GY1427" s="4">
        <v>212</v>
      </c>
      <c r="GZ1427" s="4">
        <v>189</v>
      </c>
      <c r="HA1427" s="4">
        <v>166</v>
      </c>
      <c r="HB1427" s="4">
        <v>143</v>
      </c>
      <c r="HC1427" s="4">
        <v>375</v>
      </c>
      <c r="HD1427" s="9"/>
      <c r="HE1427" s="9"/>
      <c r="HF1427" s="9"/>
      <c r="HG1427" s="9"/>
      <c r="HH1427" s="9"/>
      <c r="HI1427" s="9"/>
      <c r="HJ1427" s="9"/>
      <c r="HK1427" s="9"/>
      <c r="HL1427" s="9"/>
      <c r="HM1427" s="9"/>
      <c r="HN1427" s="19">
        <v>11.8</v>
      </c>
      <c r="HO1427" s="19">
        <v>13.2</v>
      </c>
      <c r="HP1427" s="19">
        <v>13.6</v>
      </c>
      <c r="HQ1427" s="19">
        <v>14.3</v>
      </c>
      <c r="HR1427" s="19">
        <v>14.4</v>
      </c>
      <c r="HS1427" s="19">
        <v>13.9</v>
      </c>
      <c r="HT1427" s="19">
        <v>13.4</v>
      </c>
      <c r="HU1427" s="19">
        <v>12.8</v>
      </c>
      <c r="HV1427" s="19">
        <v>12.2</v>
      </c>
      <c r="HW1427" s="19">
        <v>11.2</v>
      </c>
      <c r="HX1427" s="19">
        <v>10.2</v>
      </c>
      <c r="HY1427" s="19">
        <v>8.8</v>
      </c>
      <c r="HZ1427" s="19">
        <v>7.9</v>
      </c>
      <c r="IA1427" s="19">
        <v>6.9</v>
      </c>
      <c r="IB1427" s="19">
        <v>6</v>
      </c>
      <c r="IC1427" s="19">
        <v>16.3</v>
      </c>
    </row>
    <row r="1428">
      <c r="A1428" s="2" t="s">
        <v>5496</v>
      </c>
      <c r="B1428" s="2" t="s">
        <v>871</v>
      </c>
      <c r="C1428" s="2" t="s">
        <v>606</v>
      </c>
      <c r="D1428" s="2" t="s">
        <v>361</v>
      </c>
      <c r="E1428" s="2" t="s">
        <v>872</v>
      </c>
      <c r="F1428" s="2" t="s">
        <v>5490</v>
      </c>
      <c r="G1428" s="2" t="s">
        <v>5491</v>
      </c>
      <c r="H1428" s="2" t="s">
        <v>5492</v>
      </c>
      <c r="I1428" s="2" t="s">
        <v>5493</v>
      </c>
      <c r="J1428" s="2" t="s">
        <v>877</v>
      </c>
      <c r="K1428" s="2" t="s">
        <v>1172</v>
      </c>
      <c r="L1428" s="3">
        <v>28.57</v>
      </c>
      <c r="M1428" s="3">
        <v>30</v>
      </c>
      <c r="N1428" s="3">
        <v>59.99</v>
      </c>
      <c r="O1428" s="2" t="s">
        <v>232</v>
      </c>
      <c r="P1428" s="2" t="s">
        <v>878</v>
      </c>
      <c r="Q1428" s="2" t="s">
        <v>234</v>
      </c>
      <c r="R1428" s="2" t="s">
        <v>235</v>
      </c>
      <c r="S1428" s="2" t="s">
        <v>235</v>
      </c>
      <c r="T1428" s="2" t="s">
        <v>879</v>
      </c>
      <c r="U1428" s="2" t="s">
        <v>278</v>
      </c>
      <c r="V1428" s="2" t="s">
        <v>420</v>
      </c>
      <c r="W1428" s="2" t="s">
        <v>682</v>
      </c>
      <c r="X1428" s="2" t="s">
        <v>682</v>
      </c>
      <c r="Y1428" s="2" t="s">
        <v>235</v>
      </c>
      <c r="Z1428" s="4"/>
      <c r="AA1428" s="4">
        <f>=ROUNDDOWN({0},0)</f>
      </c>
      <c r="AB1428" s="5"/>
      <c r="AC1428" s="2" t="s">
        <v>1658</v>
      </c>
      <c r="AD1428" s="4">
        <v>339</v>
      </c>
      <c r="AE1428" s="4">
        <v>339</v>
      </c>
      <c r="AF1428" s="6">
        <v>82</v>
      </c>
      <c r="AG1428" s="6"/>
      <c r="AH1428" s="7"/>
      <c r="AI1428" s="4"/>
      <c r="AJ1428" s="4">
        <f>=ROUNDDOWN({0},0)</f>
      </c>
      <c r="AK1428" s="5"/>
      <c r="AL1428" s="2" t="s">
        <v>235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235</v>
      </c>
      <c r="AW1428" s="8" t="s">
        <v>235</v>
      </c>
      <c r="AX1428" s="4" t="s">
        <v>235</v>
      </c>
      <c r="AY1428" s="8" t="s">
        <v>235</v>
      </c>
      <c r="AZ1428" s="7" t="s">
        <v>235</v>
      </c>
      <c r="BA1428" s="7" t="s">
        <v>235</v>
      </c>
      <c r="BB1428" s="7"/>
      <c r="BC1428" s="4" t="s">
        <v>235</v>
      </c>
      <c r="BD1428" s="8" t="s">
        <v>235</v>
      </c>
      <c r="BE1428" s="4" t="s">
        <v>235</v>
      </c>
      <c r="BF1428" s="8" t="s">
        <v>235</v>
      </c>
      <c r="BG1428" s="7" t="s">
        <v>235</v>
      </c>
      <c r="BH1428" s="7" t="s">
        <v>235</v>
      </c>
      <c r="BI1428" s="7"/>
      <c r="BJ1428" s="4"/>
      <c r="BK1428" s="8"/>
      <c r="BL1428" s="2" t="s">
        <v>235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330</v>
      </c>
      <c r="BV1428" s="2" t="s">
        <v>235</v>
      </c>
      <c r="BW1428" s="2" t="s">
        <v>235</v>
      </c>
      <c r="BX1428" s="2" t="s">
        <v>330</v>
      </c>
      <c r="BY1428" s="2" t="s">
        <v>331</v>
      </c>
      <c r="BZ1428" s="2" t="s">
        <v>232</v>
      </c>
      <c r="CA1428" s="2" t="s">
        <v>235</v>
      </c>
      <c r="CB1428" s="2" t="s">
        <v>235</v>
      </c>
      <c r="CC1428" s="2" t="s">
        <v>248</v>
      </c>
      <c r="CD1428" s="2" t="s">
        <v>248</v>
      </c>
      <c r="CE1428" s="2" t="s">
        <v>235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>
        <v>339</v>
      </c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>
        <v>339</v>
      </c>
      <c r="GO1428" s="4">
        <v>290</v>
      </c>
      <c r="GP1428" s="4">
        <v>263</v>
      </c>
      <c r="GQ1428" s="4">
        <v>230</v>
      </c>
      <c r="GR1428" s="4">
        <v>205</v>
      </c>
      <c r="GS1428" s="4">
        <v>187</v>
      </c>
      <c r="GT1428" s="4">
        <v>171</v>
      </c>
      <c r="GU1428" s="4">
        <v>155</v>
      </c>
      <c r="GV1428" s="4">
        <v>138</v>
      </c>
      <c r="GW1428" s="4">
        <v>124</v>
      </c>
      <c r="GX1428" s="4">
        <v>110</v>
      </c>
      <c r="GY1428" s="4">
        <v>96</v>
      </c>
      <c r="GZ1428" s="4">
        <v>82</v>
      </c>
      <c r="HA1428" s="4">
        <v>68</v>
      </c>
      <c r="HB1428" s="4">
        <v>54</v>
      </c>
      <c r="HC1428" s="4">
        <v>231</v>
      </c>
      <c r="HD1428" s="9"/>
      <c r="HE1428" s="9"/>
      <c r="HF1428" s="9"/>
      <c r="HG1428" s="9"/>
      <c r="HH1428" s="9"/>
      <c r="HI1428" s="9"/>
      <c r="HJ1428" s="9"/>
      <c r="HK1428" s="9"/>
      <c r="HL1428" s="9"/>
      <c r="HM1428" s="9"/>
      <c r="HN1428" s="19">
        <v>10</v>
      </c>
      <c r="HO1428" s="19">
        <v>11.2</v>
      </c>
      <c r="HP1428" s="19">
        <v>11.4</v>
      </c>
      <c r="HQ1428" s="19">
        <v>12.1</v>
      </c>
      <c r="HR1428" s="19">
        <v>12.1</v>
      </c>
      <c r="HS1428" s="19">
        <v>11.7</v>
      </c>
      <c r="HT1428" s="19">
        <v>11.4</v>
      </c>
      <c r="HU1428" s="19">
        <v>10.3</v>
      </c>
      <c r="HV1428" s="19">
        <v>9.9</v>
      </c>
      <c r="HW1428" s="19">
        <v>8.9</v>
      </c>
      <c r="HX1428" s="19">
        <v>7.9</v>
      </c>
      <c r="HY1428" s="19">
        <v>6.9</v>
      </c>
      <c r="HZ1428" s="19">
        <v>5.9</v>
      </c>
      <c r="IA1428" s="19">
        <v>4.9</v>
      </c>
      <c r="IB1428" s="19">
        <v>3.9</v>
      </c>
      <c r="IC1428" s="19">
        <v>16.5</v>
      </c>
    </row>
    <row r="1429">
      <c r="A1429" s="2" t="s">
        <v>5497</v>
      </c>
      <c r="B1429" s="2" t="s">
        <v>871</v>
      </c>
      <c r="C1429" s="2" t="s">
        <v>606</v>
      </c>
      <c r="D1429" s="2" t="s">
        <v>361</v>
      </c>
      <c r="E1429" s="2" t="s">
        <v>872</v>
      </c>
      <c r="F1429" s="2" t="s">
        <v>5490</v>
      </c>
      <c r="G1429" s="2" t="s">
        <v>5491</v>
      </c>
      <c r="H1429" s="2" t="s">
        <v>5492</v>
      </c>
      <c r="I1429" s="2" t="s">
        <v>5493</v>
      </c>
      <c r="J1429" s="2" t="s">
        <v>365</v>
      </c>
      <c r="K1429" s="2" t="s">
        <v>1172</v>
      </c>
      <c r="L1429" s="3">
        <v>33.33</v>
      </c>
      <c r="M1429" s="3">
        <v>35</v>
      </c>
      <c r="N1429" s="3">
        <v>69.99</v>
      </c>
      <c r="O1429" s="2" t="s">
        <v>232</v>
      </c>
      <c r="P1429" s="2" t="s">
        <v>878</v>
      </c>
      <c r="Q1429" s="2" t="s">
        <v>234</v>
      </c>
      <c r="R1429" s="2" t="s">
        <v>235</v>
      </c>
      <c r="S1429" s="2" t="s">
        <v>235</v>
      </c>
      <c r="T1429" s="2" t="s">
        <v>879</v>
      </c>
      <c r="U1429" s="2" t="s">
        <v>552</v>
      </c>
      <c r="V1429" s="2" t="s">
        <v>420</v>
      </c>
      <c r="W1429" s="2" t="s">
        <v>682</v>
      </c>
      <c r="X1429" s="2" t="s">
        <v>682</v>
      </c>
      <c r="Y1429" s="2" t="s">
        <v>235</v>
      </c>
      <c r="Z1429" s="4"/>
      <c r="AA1429" s="4">
        <f>=ROUNDDOWN({0},0)</f>
      </c>
      <c r="AB1429" s="5"/>
      <c r="AC1429" s="2" t="s">
        <v>1658</v>
      </c>
      <c r="AD1429" s="4">
        <v>645</v>
      </c>
      <c r="AE1429" s="4">
        <v>645</v>
      </c>
      <c r="AF1429" s="6">
        <v>82</v>
      </c>
      <c r="AG1429" s="6"/>
      <c r="AH1429" s="7"/>
      <c r="AI1429" s="4"/>
      <c r="AJ1429" s="4">
        <f>=ROUNDDOWN({0},0)</f>
      </c>
      <c r="AK1429" s="5"/>
      <c r="AL1429" s="2" t="s">
        <v>235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235</v>
      </c>
      <c r="AW1429" s="8" t="s">
        <v>235</v>
      </c>
      <c r="AX1429" s="4" t="s">
        <v>235</v>
      </c>
      <c r="AY1429" s="8" t="s">
        <v>235</v>
      </c>
      <c r="AZ1429" s="7" t="s">
        <v>235</v>
      </c>
      <c r="BA1429" s="7" t="s">
        <v>235</v>
      </c>
      <c r="BB1429" s="7"/>
      <c r="BC1429" s="4" t="s">
        <v>235</v>
      </c>
      <c r="BD1429" s="8" t="s">
        <v>235</v>
      </c>
      <c r="BE1429" s="4" t="s">
        <v>235</v>
      </c>
      <c r="BF1429" s="8" t="s">
        <v>235</v>
      </c>
      <c r="BG1429" s="7" t="s">
        <v>235</v>
      </c>
      <c r="BH1429" s="7" t="s">
        <v>235</v>
      </c>
      <c r="BI1429" s="7"/>
      <c r="BJ1429" s="4"/>
      <c r="BK1429" s="8"/>
      <c r="BL1429" s="2" t="s">
        <v>235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330</v>
      </c>
      <c r="BV1429" s="2" t="s">
        <v>235</v>
      </c>
      <c r="BW1429" s="2" t="s">
        <v>235</v>
      </c>
      <c r="BX1429" s="2" t="s">
        <v>330</v>
      </c>
      <c r="BY1429" s="2" t="s">
        <v>331</v>
      </c>
      <c r="BZ1429" s="2" t="s">
        <v>232</v>
      </c>
      <c r="CA1429" s="2" t="s">
        <v>235</v>
      </c>
      <c r="CB1429" s="2" t="s">
        <v>235</v>
      </c>
      <c r="CC1429" s="2" t="s">
        <v>248</v>
      </c>
      <c r="CD1429" s="2" t="s">
        <v>248</v>
      </c>
      <c r="CE1429" s="2" t="s">
        <v>235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>
        <v>645</v>
      </c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>
        <v>645</v>
      </c>
      <c r="GO1429" s="4">
        <v>554</v>
      </c>
      <c r="GP1429" s="4">
        <v>505</v>
      </c>
      <c r="GQ1429" s="4">
        <v>446</v>
      </c>
      <c r="GR1429" s="4">
        <v>401</v>
      </c>
      <c r="GS1429" s="4">
        <v>368</v>
      </c>
      <c r="GT1429" s="4">
        <v>339</v>
      </c>
      <c r="GU1429" s="4">
        <v>310</v>
      </c>
      <c r="GV1429" s="4">
        <v>280</v>
      </c>
      <c r="GW1429" s="4">
        <v>255</v>
      </c>
      <c r="GX1429" s="4">
        <v>230</v>
      </c>
      <c r="GY1429" s="4">
        <v>205</v>
      </c>
      <c r="GZ1429" s="4">
        <v>180</v>
      </c>
      <c r="HA1429" s="4">
        <v>155</v>
      </c>
      <c r="HB1429" s="4">
        <v>130</v>
      </c>
      <c r="HC1429" s="4">
        <v>407</v>
      </c>
      <c r="HD1429" s="9"/>
      <c r="HE1429" s="9"/>
      <c r="HF1429" s="9"/>
      <c r="HG1429" s="9"/>
      <c r="HH1429" s="9"/>
      <c r="HI1429" s="9"/>
      <c r="HJ1429" s="9"/>
      <c r="HK1429" s="9"/>
      <c r="HL1429" s="9"/>
      <c r="HM1429" s="20">
        <v>0</v>
      </c>
      <c r="HN1429" s="19">
        <v>10.6</v>
      </c>
      <c r="HO1429" s="19">
        <v>12</v>
      </c>
      <c r="HP1429" s="19">
        <v>12</v>
      </c>
      <c r="HQ1429" s="19">
        <v>13.1</v>
      </c>
      <c r="HR1429" s="19">
        <v>13.4</v>
      </c>
      <c r="HS1429" s="19">
        <v>13.1</v>
      </c>
      <c r="HT1429" s="19">
        <v>12.6</v>
      </c>
      <c r="HU1429" s="19">
        <v>11.9</v>
      </c>
      <c r="HV1429" s="19">
        <v>11.2</v>
      </c>
      <c r="HW1429" s="19">
        <v>10.2</v>
      </c>
      <c r="HX1429" s="19">
        <v>9.2</v>
      </c>
      <c r="HY1429" s="19">
        <v>7.9</v>
      </c>
      <c r="HZ1429" s="19">
        <v>6.9</v>
      </c>
      <c r="IA1429" s="19">
        <v>6</v>
      </c>
      <c r="IB1429" s="19">
        <v>5</v>
      </c>
      <c r="IC1429" s="19">
        <v>16.3</v>
      </c>
    </row>
    <row r="1430">
      <c r="A1430" s="2" t="s">
        <v>5498</v>
      </c>
      <c r="B1430" s="2" t="s">
        <v>871</v>
      </c>
      <c r="C1430" s="2" t="s">
        <v>606</v>
      </c>
      <c r="D1430" s="2" t="s">
        <v>361</v>
      </c>
      <c r="E1430" s="2" t="s">
        <v>872</v>
      </c>
      <c r="F1430" s="2" t="s">
        <v>5490</v>
      </c>
      <c r="G1430" s="2" t="s">
        <v>5491</v>
      </c>
      <c r="H1430" s="2" t="s">
        <v>5492</v>
      </c>
      <c r="I1430" s="2" t="s">
        <v>5493</v>
      </c>
      <c r="J1430" s="2" t="s">
        <v>372</v>
      </c>
      <c r="K1430" s="2" t="s">
        <v>1172</v>
      </c>
      <c r="L1430" s="3">
        <v>38.09</v>
      </c>
      <c r="M1430" s="3">
        <v>39.99</v>
      </c>
      <c r="N1430" s="3">
        <v>79.99</v>
      </c>
      <c r="O1430" s="2" t="s">
        <v>232</v>
      </c>
      <c r="P1430" s="2" t="s">
        <v>878</v>
      </c>
      <c r="Q1430" s="2" t="s">
        <v>234</v>
      </c>
      <c r="R1430" s="2" t="s">
        <v>235</v>
      </c>
      <c r="S1430" s="2" t="s">
        <v>235</v>
      </c>
      <c r="T1430" s="2" t="s">
        <v>879</v>
      </c>
      <c r="U1430" s="2" t="s">
        <v>552</v>
      </c>
      <c r="V1430" s="2" t="s">
        <v>420</v>
      </c>
      <c r="W1430" s="2" t="s">
        <v>682</v>
      </c>
      <c r="X1430" s="2" t="s">
        <v>682</v>
      </c>
      <c r="Y1430" s="2" t="s">
        <v>235</v>
      </c>
      <c r="Z1430" s="4"/>
      <c r="AA1430" s="4">
        <f>=ROUNDDOWN({0},0)</f>
      </c>
      <c r="AB1430" s="5"/>
      <c r="AC1430" s="2" t="s">
        <v>1658</v>
      </c>
      <c r="AD1430" s="4">
        <v>546</v>
      </c>
      <c r="AE1430" s="4">
        <v>546</v>
      </c>
      <c r="AF1430" s="6">
        <v>82</v>
      </c>
      <c r="AG1430" s="6"/>
      <c r="AH1430" s="7"/>
      <c r="AI1430" s="4"/>
      <c r="AJ1430" s="4">
        <f>=ROUNDDOWN({0},0)</f>
      </c>
      <c r="AK1430" s="5"/>
      <c r="AL1430" s="2" t="s">
        <v>235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235</v>
      </c>
      <c r="AW1430" s="8" t="s">
        <v>235</v>
      </c>
      <c r="AX1430" s="4" t="s">
        <v>235</v>
      </c>
      <c r="AY1430" s="8" t="s">
        <v>235</v>
      </c>
      <c r="AZ1430" s="7" t="s">
        <v>235</v>
      </c>
      <c r="BA1430" s="7" t="s">
        <v>235</v>
      </c>
      <c r="BB1430" s="7"/>
      <c r="BC1430" s="4" t="s">
        <v>235</v>
      </c>
      <c r="BD1430" s="8" t="s">
        <v>235</v>
      </c>
      <c r="BE1430" s="4" t="s">
        <v>235</v>
      </c>
      <c r="BF1430" s="8" t="s">
        <v>235</v>
      </c>
      <c r="BG1430" s="7" t="s">
        <v>235</v>
      </c>
      <c r="BH1430" s="7" t="s">
        <v>235</v>
      </c>
      <c r="BI1430" s="7"/>
      <c r="BJ1430" s="4"/>
      <c r="BK1430" s="8"/>
      <c r="BL1430" s="2" t="s">
        <v>235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330</v>
      </c>
      <c r="BV1430" s="2" t="s">
        <v>235</v>
      </c>
      <c r="BW1430" s="2" t="s">
        <v>235</v>
      </c>
      <c r="BX1430" s="2" t="s">
        <v>330</v>
      </c>
      <c r="BY1430" s="2" t="s">
        <v>331</v>
      </c>
      <c r="BZ1430" s="2" t="s">
        <v>232</v>
      </c>
      <c r="CA1430" s="2" t="s">
        <v>235</v>
      </c>
      <c r="CB1430" s="2" t="s">
        <v>235</v>
      </c>
      <c r="CC1430" s="2" t="s">
        <v>248</v>
      </c>
      <c r="CD1430" s="2" t="s">
        <v>248</v>
      </c>
      <c r="CE1430" s="2" t="s">
        <v>235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>
        <v>546</v>
      </c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>
        <v>546</v>
      </c>
      <c r="GO1430" s="4">
        <v>485</v>
      </c>
      <c r="GP1430" s="4">
        <v>447</v>
      </c>
      <c r="GQ1430" s="4">
        <v>404</v>
      </c>
      <c r="GR1430" s="4">
        <v>366</v>
      </c>
      <c r="GS1430" s="4">
        <v>342</v>
      </c>
      <c r="GT1430" s="4">
        <v>318</v>
      </c>
      <c r="GU1430" s="4">
        <v>294</v>
      </c>
      <c r="GV1430" s="4">
        <v>270</v>
      </c>
      <c r="GW1430" s="4">
        <v>249</v>
      </c>
      <c r="GX1430" s="4">
        <v>228</v>
      </c>
      <c r="GY1430" s="4">
        <v>207</v>
      </c>
      <c r="GZ1430" s="4">
        <v>186</v>
      </c>
      <c r="HA1430" s="4">
        <v>165</v>
      </c>
      <c r="HB1430" s="4">
        <v>144</v>
      </c>
      <c r="HC1430" s="4">
        <v>342</v>
      </c>
      <c r="HD1430" s="9"/>
      <c r="HE1430" s="9"/>
      <c r="HF1430" s="9"/>
      <c r="HG1430" s="9"/>
      <c r="HH1430" s="9"/>
      <c r="HI1430" s="9"/>
      <c r="HJ1430" s="9"/>
      <c r="HK1430" s="9"/>
      <c r="HL1430" s="9"/>
      <c r="HM1430" s="9"/>
      <c r="HN1430" s="19">
        <v>12.1</v>
      </c>
      <c r="HO1430" s="19">
        <v>13.5</v>
      </c>
      <c r="HP1430" s="19">
        <v>14</v>
      </c>
      <c r="HQ1430" s="19">
        <v>14.4</v>
      </c>
      <c r="HR1430" s="19">
        <v>15.3</v>
      </c>
      <c r="HS1430" s="19">
        <v>14.9</v>
      </c>
      <c r="HT1430" s="19">
        <v>14.5</v>
      </c>
      <c r="HU1430" s="19">
        <v>13.4</v>
      </c>
      <c r="HV1430" s="19">
        <v>12.9</v>
      </c>
      <c r="HW1430" s="19">
        <v>11.9</v>
      </c>
      <c r="HX1430" s="19">
        <v>10.9</v>
      </c>
      <c r="HY1430" s="19">
        <v>9.4</v>
      </c>
      <c r="HZ1430" s="19">
        <v>8.5</v>
      </c>
      <c r="IA1430" s="19">
        <v>7.5</v>
      </c>
      <c r="IB1430" s="19">
        <v>6.5</v>
      </c>
      <c r="IC1430" s="19">
        <v>16.3</v>
      </c>
    </row>
    <row r="1431">
      <c r="A1431" s="2" t="s">
        <v>5499</v>
      </c>
      <c r="B1431" s="2" t="s">
        <v>871</v>
      </c>
      <c r="C1431" s="2" t="s">
        <v>606</v>
      </c>
      <c r="D1431" s="2" t="s">
        <v>361</v>
      </c>
      <c r="E1431" s="2" t="s">
        <v>872</v>
      </c>
      <c r="F1431" s="2" t="s">
        <v>5490</v>
      </c>
      <c r="G1431" s="2" t="s">
        <v>5491</v>
      </c>
      <c r="H1431" s="2" t="s">
        <v>5492</v>
      </c>
      <c r="I1431" s="2" t="s">
        <v>5493</v>
      </c>
      <c r="J1431" s="2" t="s">
        <v>877</v>
      </c>
      <c r="K1431" s="2" t="s">
        <v>2029</v>
      </c>
      <c r="L1431" s="3">
        <v>28.57</v>
      </c>
      <c r="M1431" s="3">
        <v>30</v>
      </c>
      <c r="N1431" s="3">
        <v>59.99</v>
      </c>
      <c r="O1431" s="2" t="s">
        <v>232</v>
      </c>
      <c r="P1431" s="2" t="s">
        <v>878</v>
      </c>
      <c r="Q1431" s="2" t="s">
        <v>234</v>
      </c>
      <c r="R1431" s="2" t="s">
        <v>235</v>
      </c>
      <c r="S1431" s="2" t="s">
        <v>235</v>
      </c>
      <c r="T1431" s="2" t="s">
        <v>879</v>
      </c>
      <c r="U1431" s="2" t="s">
        <v>278</v>
      </c>
      <c r="V1431" s="2" t="s">
        <v>420</v>
      </c>
      <c r="W1431" s="2" t="s">
        <v>682</v>
      </c>
      <c r="X1431" s="2" t="s">
        <v>682</v>
      </c>
      <c r="Y1431" s="2" t="s">
        <v>235</v>
      </c>
      <c r="Z1431" s="4"/>
      <c r="AA1431" s="4">
        <f>=ROUNDDOWN({0},0)</f>
      </c>
      <c r="AB1431" s="5"/>
      <c r="AC1431" s="2" t="s">
        <v>1658</v>
      </c>
      <c r="AD1431" s="4">
        <v>345</v>
      </c>
      <c r="AE1431" s="4">
        <v>345</v>
      </c>
      <c r="AF1431" s="6">
        <v>82</v>
      </c>
      <c r="AG1431" s="6"/>
      <c r="AH1431" s="7"/>
      <c r="AI1431" s="4"/>
      <c r="AJ1431" s="4">
        <f>=ROUNDDOWN({0},0)</f>
      </c>
      <c r="AK1431" s="5"/>
      <c r="AL1431" s="2" t="s">
        <v>235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235</v>
      </c>
      <c r="AW1431" s="8" t="s">
        <v>235</v>
      </c>
      <c r="AX1431" s="4" t="s">
        <v>235</v>
      </c>
      <c r="AY1431" s="8" t="s">
        <v>235</v>
      </c>
      <c r="AZ1431" s="7" t="s">
        <v>235</v>
      </c>
      <c r="BA1431" s="7" t="s">
        <v>235</v>
      </c>
      <c r="BB1431" s="7"/>
      <c r="BC1431" s="4" t="s">
        <v>235</v>
      </c>
      <c r="BD1431" s="8" t="s">
        <v>235</v>
      </c>
      <c r="BE1431" s="4" t="s">
        <v>235</v>
      </c>
      <c r="BF1431" s="8" t="s">
        <v>235</v>
      </c>
      <c r="BG1431" s="7" t="s">
        <v>235</v>
      </c>
      <c r="BH1431" s="7" t="s">
        <v>235</v>
      </c>
      <c r="BI1431" s="7"/>
      <c r="BJ1431" s="4"/>
      <c r="BK1431" s="8"/>
      <c r="BL1431" s="2" t="s">
        <v>235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330</v>
      </c>
      <c r="BV1431" s="2" t="s">
        <v>235</v>
      </c>
      <c r="BW1431" s="2" t="s">
        <v>235</v>
      </c>
      <c r="BX1431" s="2" t="s">
        <v>330</v>
      </c>
      <c r="BY1431" s="2" t="s">
        <v>331</v>
      </c>
      <c r="BZ1431" s="2" t="s">
        <v>232</v>
      </c>
      <c r="CA1431" s="2" t="s">
        <v>235</v>
      </c>
      <c r="CB1431" s="2" t="s">
        <v>235</v>
      </c>
      <c r="CC1431" s="2" t="s">
        <v>248</v>
      </c>
      <c r="CD1431" s="2" t="s">
        <v>248</v>
      </c>
      <c r="CE1431" s="2" t="s">
        <v>235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>
        <v>345</v>
      </c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>
        <v>345</v>
      </c>
      <c r="GO1431" s="4">
        <v>296</v>
      </c>
      <c r="GP1431" s="4">
        <v>269</v>
      </c>
      <c r="GQ1431" s="4">
        <v>236</v>
      </c>
      <c r="GR1431" s="4">
        <v>211</v>
      </c>
      <c r="GS1431" s="4">
        <v>193</v>
      </c>
      <c r="GT1431" s="4">
        <v>177</v>
      </c>
      <c r="GU1431" s="4">
        <v>161</v>
      </c>
      <c r="GV1431" s="4">
        <v>144</v>
      </c>
      <c r="GW1431" s="4">
        <v>130</v>
      </c>
      <c r="GX1431" s="4">
        <v>116</v>
      </c>
      <c r="GY1431" s="4">
        <v>102</v>
      </c>
      <c r="GZ1431" s="4">
        <v>88</v>
      </c>
      <c r="HA1431" s="4">
        <v>74</v>
      </c>
      <c r="HB1431" s="4">
        <v>60</v>
      </c>
      <c r="HC1431" s="4">
        <v>231</v>
      </c>
      <c r="HD1431" s="9"/>
      <c r="HE1431" s="9"/>
      <c r="HF1431" s="9"/>
      <c r="HG1431" s="9"/>
      <c r="HH1431" s="9"/>
      <c r="HI1431" s="9"/>
      <c r="HJ1431" s="9"/>
      <c r="HK1431" s="9"/>
      <c r="HL1431" s="9"/>
      <c r="HM1431" s="9"/>
      <c r="HN1431" s="19">
        <v>10.1</v>
      </c>
      <c r="HO1431" s="19">
        <v>11.4</v>
      </c>
      <c r="HP1431" s="19">
        <v>11.7</v>
      </c>
      <c r="HQ1431" s="19">
        <v>12.4</v>
      </c>
      <c r="HR1431" s="19">
        <v>12.4</v>
      </c>
      <c r="HS1431" s="19">
        <v>12.1</v>
      </c>
      <c r="HT1431" s="19">
        <v>11.8</v>
      </c>
      <c r="HU1431" s="19">
        <v>10.7</v>
      </c>
      <c r="HV1431" s="19">
        <v>10.3</v>
      </c>
      <c r="HW1431" s="19">
        <v>9.3</v>
      </c>
      <c r="HX1431" s="19">
        <v>8.3</v>
      </c>
      <c r="HY1431" s="19">
        <v>7.3</v>
      </c>
      <c r="HZ1431" s="19">
        <v>6.3</v>
      </c>
      <c r="IA1431" s="19">
        <v>5.3</v>
      </c>
      <c r="IB1431" s="19">
        <v>4.3</v>
      </c>
      <c r="IC1431" s="19">
        <v>16.5</v>
      </c>
    </row>
    <row r="1432">
      <c r="A1432" s="2" t="s">
        <v>5500</v>
      </c>
      <c r="B1432" s="2" t="s">
        <v>871</v>
      </c>
      <c r="C1432" s="2" t="s">
        <v>606</v>
      </c>
      <c r="D1432" s="2" t="s">
        <v>361</v>
      </c>
      <c r="E1432" s="2" t="s">
        <v>872</v>
      </c>
      <c r="F1432" s="2" t="s">
        <v>5490</v>
      </c>
      <c r="G1432" s="2" t="s">
        <v>5491</v>
      </c>
      <c r="H1432" s="2" t="s">
        <v>5492</v>
      </c>
      <c r="I1432" s="2" t="s">
        <v>5493</v>
      </c>
      <c r="J1432" s="2" t="s">
        <v>365</v>
      </c>
      <c r="K1432" s="2" t="s">
        <v>2029</v>
      </c>
      <c r="L1432" s="3">
        <v>33.33</v>
      </c>
      <c r="M1432" s="3">
        <v>35</v>
      </c>
      <c r="N1432" s="3">
        <v>69.99</v>
      </c>
      <c r="O1432" s="2" t="s">
        <v>232</v>
      </c>
      <c r="P1432" s="2" t="s">
        <v>878</v>
      </c>
      <c r="Q1432" s="2" t="s">
        <v>234</v>
      </c>
      <c r="R1432" s="2" t="s">
        <v>235</v>
      </c>
      <c r="S1432" s="2" t="s">
        <v>235</v>
      </c>
      <c r="T1432" s="2" t="s">
        <v>879</v>
      </c>
      <c r="U1432" s="2" t="s">
        <v>552</v>
      </c>
      <c r="V1432" s="2" t="s">
        <v>420</v>
      </c>
      <c r="W1432" s="2" t="s">
        <v>682</v>
      </c>
      <c r="X1432" s="2" t="s">
        <v>682</v>
      </c>
      <c r="Y1432" s="2" t="s">
        <v>235</v>
      </c>
      <c r="Z1432" s="4"/>
      <c r="AA1432" s="4">
        <f>=ROUNDDOWN({0},0)</f>
      </c>
      <c r="AB1432" s="5"/>
      <c r="AC1432" s="2" t="s">
        <v>1658</v>
      </c>
      <c r="AD1432" s="4">
        <v>612</v>
      </c>
      <c r="AE1432" s="4">
        <v>612</v>
      </c>
      <c r="AF1432" s="6">
        <v>82</v>
      </c>
      <c r="AG1432" s="6"/>
      <c r="AH1432" s="7"/>
      <c r="AI1432" s="4"/>
      <c r="AJ1432" s="4">
        <f>=ROUNDDOWN({0},0)</f>
      </c>
      <c r="AK1432" s="5"/>
      <c r="AL1432" s="2" t="s">
        <v>235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235</v>
      </c>
      <c r="AW1432" s="8" t="s">
        <v>235</v>
      </c>
      <c r="AX1432" s="4" t="s">
        <v>235</v>
      </c>
      <c r="AY1432" s="8" t="s">
        <v>235</v>
      </c>
      <c r="AZ1432" s="7" t="s">
        <v>235</v>
      </c>
      <c r="BA1432" s="7" t="s">
        <v>235</v>
      </c>
      <c r="BB1432" s="7"/>
      <c r="BC1432" s="4" t="s">
        <v>235</v>
      </c>
      <c r="BD1432" s="8" t="s">
        <v>235</v>
      </c>
      <c r="BE1432" s="4" t="s">
        <v>235</v>
      </c>
      <c r="BF1432" s="8" t="s">
        <v>235</v>
      </c>
      <c r="BG1432" s="7" t="s">
        <v>235</v>
      </c>
      <c r="BH1432" s="7" t="s">
        <v>235</v>
      </c>
      <c r="BI1432" s="7"/>
      <c r="BJ1432" s="4"/>
      <c r="BK1432" s="8"/>
      <c r="BL1432" s="2" t="s">
        <v>235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330</v>
      </c>
      <c r="BV1432" s="2" t="s">
        <v>235</v>
      </c>
      <c r="BW1432" s="2" t="s">
        <v>235</v>
      </c>
      <c r="BX1432" s="2" t="s">
        <v>330</v>
      </c>
      <c r="BY1432" s="2" t="s">
        <v>331</v>
      </c>
      <c r="BZ1432" s="2" t="s">
        <v>232</v>
      </c>
      <c r="CA1432" s="2" t="s">
        <v>235</v>
      </c>
      <c r="CB1432" s="2" t="s">
        <v>235</v>
      </c>
      <c r="CC1432" s="2" t="s">
        <v>248</v>
      </c>
      <c r="CD1432" s="2" t="s">
        <v>248</v>
      </c>
      <c r="CE1432" s="2" t="s">
        <v>235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>
        <v>612</v>
      </c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>
        <v>612</v>
      </c>
      <c r="GO1432" s="4">
        <v>530</v>
      </c>
      <c r="GP1432" s="4">
        <v>483</v>
      </c>
      <c r="GQ1432" s="4">
        <v>427</v>
      </c>
      <c r="GR1432" s="4">
        <v>384</v>
      </c>
      <c r="GS1432" s="4">
        <v>352</v>
      </c>
      <c r="GT1432" s="4">
        <v>324</v>
      </c>
      <c r="GU1432" s="4">
        <v>296</v>
      </c>
      <c r="GV1432" s="4">
        <v>267</v>
      </c>
      <c r="GW1432" s="4">
        <v>243</v>
      </c>
      <c r="GX1432" s="4">
        <v>219</v>
      </c>
      <c r="GY1432" s="4">
        <v>195</v>
      </c>
      <c r="GZ1432" s="4">
        <v>171</v>
      </c>
      <c r="HA1432" s="4">
        <v>147</v>
      </c>
      <c r="HB1432" s="4">
        <v>123</v>
      </c>
      <c r="HC1432" s="4">
        <v>391</v>
      </c>
      <c r="HD1432" s="9"/>
      <c r="HE1432" s="9"/>
      <c r="HF1432" s="9"/>
      <c r="HG1432" s="9"/>
      <c r="HH1432" s="9"/>
      <c r="HI1432" s="9"/>
      <c r="HJ1432" s="9"/>
      <c r="HK1432" s="9"/>
      <c r="HL1432" s="9"/>
      <c r="HM1432" s="9"/>
      <c r="HN1432" s="19">
        <v>10.7</v>
      </c>
      <c r="HO1432" s="19">
        <v>12</v>
      </c>
      <c r="HP1432" s="19">
        <v>12.1</v>
      </c>
      <c r="HQ1432" s="19">
        <v>12.9</v>
      </c>
      <c r="HR1432" s="19">
        <v>13.2</v>
      </c>
      <c r="HS1432" s="19">
        <v>13</v>
      </c>
      <c r="HT1432" s="19">
        <v>12.5</v>
      </c>
      <c r="HU1432" s="19">
        <v>11.8</v>
      </c>
      <c r="HV1432" s="19">
        <v>11.1</v>
      </c>
      <c r="HW1432" s="19">
        <v>10.1</v>
      </c>
      <c r="HX1432" s="19">
        <v>9.1</v>
      </c>
      <c r="HY1432" s="19">
        <v>7.8</v>
      </c>
      <c r="HZ1432" s="19">
        <v>6.8</v>
      </c>
      <c r="IA1432" s="19">
        <v>5.9</v>
      </c>
      <c r="IB1432" s="19">
        <v>4.9</v>
      </c>
      <c r="IC1432" s="19">
        <v>16.3</v>
      </c>
    </row>
    <row r="1433">
      <c r="A1433" s="2" t="s">
        <v>5501</v>
      </c>
      <c r="B1433" s="2" t="s">
        <v>871</v>
      </c>
      <c r="C1433" s="2" t="s">
        <v>606</v>
      </c>
      <c r="D1433" s="2" t="s">
        <v>361</v>
      </c>
      <c r="E1433" s="2" t="s">
        <v>872</v>
      </c>
      <c r="F1433" s="2" t="s">
        <v>5490</v>
      </c>
      <c r="G1433" s="2" t="s">
        <v>5491</v>
      </c>
      <c r="H1433" s="2" t="s">
        <v>5492</v>
      </c>
      <c r="I1433" s="2" t="s">
        <v>5493</v>
      </c>
      <c r="J1433" s="2" t="s">
        <v>372</v>
      </c>
      <c r="K1433" s="2" t="s">
        <v>2029</v>
      </c>
      <c r="L1433" s="3">
        <v>38.09</v>
      </c>
      <c r="M1433" s="3">
        <v>39.99</v>
      </c>
      <c r="N1433" s="3">
        <v>79.99</v>
      </c>
      <c r="O1433" s="2" t="s">
        <v>232</v>
      </c>
      <c r="P1433" s="2" t="s">
        <v>878</v>
      </c>
      <c r="Q1433" s="2" t="s">
        <v>234</v>
      </c>
      <c r="R1433" s="2" t="s">
        <v>235</v>
      </c>
      <c r="S1433" s="2" t="s">
        <v>235</v>
      </c>
      <c r="T1433" s="2" t="s">
        <v>879</v>
      </c>
      <c r="U1433" s="2" t="s">
        <v>552</v>
      </c>
      <c r="V1433" s="2" t="s">
        <v>420</v>
      </c>
      <c r="W1433" s="2" t="s">
        <v>682</v>
      </c>
      <c r="X1433" s="2" t="s">
        <v>682</v>
      </c>
      <c r="Y1433" s="2" t="s">
        <v>235</v>
      </c>
      <c r="Z1433" s="4"/>
      <c r="AA1433" s="4">
        <f>=ROUNDDOWN({0},0)</f>
      </c>
      <c r="AB1433" s="5"/>
      <c r="AC1433" s="2" t="s">
        <v>1658</v>
      </c>
      <c r="AD1433" s="4">
        <v>561</v>
      </c>
      <c r="AE1433" s="4">
        <v>561</v>
      </c>
      <c r="AF1433" s="6">
        <v>82</v>
      </c>
      <c r="AG1433" s="6"/>
      <c r="AH1433" s="7"/>
      <c r="AI1433" s="4"/>
      <c r="AJ1433" s="4">
        <f>=ROUNDDOWN({0},0)</f>
      </c>
      <c r="AK1433" s="5"/>
      <c r="AL1433" s="2" t="s">
        <v>235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235</v>
      </c>
      <c r="AW1433" s="8" t="s">
        <v>235</v>
      </c>
      <c r="AX1433" s="4" t="s">
        <v>235</v>
      </c>
      <c r="AY1433" s="8" t="s">
        <v>235</v>
      </c>
      <c r="AZ1433" s="7" t="s">
        <v>235</v>
      </c>
      <c r="BA1433" s="7" t="s">
        <v>235</v>
      </c>
      <c r="BB1433" s="7"/>
      <c r="BC1433" s="4" t="s">
        <v>235</v>
      </c>
      <c r="BD1433" s="8" t="s">
        <v>235</v>
      </c>
      <c r="BE1433" s="4" t="s">
        <v>235</v>
      </c>
      <c r="BF1433" s="8" t="s">
        <v>235</v>
      </c>
      <c r="BG1433" s="7" t="s">
        <v>235</v>
      </c>
      <c r="BH1433" s="7" t="s">
        <v>235</v>
      </c>
      <c r="BI1433" s="7"/>
      <c r="BJ1433" s="4"/>
      <c r="BK1433" s="8"/>
      <c r="BL1433" s="2" t="s">
        <v>235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330</v>
      </c>
      <c r="BV1433" s="2" t="s">
        <v>235</v>
      </c>
      <c r="BW1433" s="2" t="s">
        <v>235</v>
      </c>
      <c r="BX1433" s="2" t="s">
        <v>330</v>
      </c>
      <c r="BY1433" s="2" t="s">
        <v>331</v>
      </c>
      <c r="BZ1433" s="2" t="s">
        <v>232</v>
      </c>
      <c r="CA1433" s="2" t="s">
        <v>235</v>
      </c>
      <c r="CB1433" s="2" t="s">
        <v>235</v>
      </c>
      <c r="CC1433" s="2" t="s">
        <v>248</v>
      </c>
      <c r="CD1433" s="2" t="s">
        <v>248</v>
      </c>
      <c r="CE1433" s="2" t="s">
        <v>235</v>
      </c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>
        <v>561</v>
      </c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>
        <v>561</v>
      </c>
      <c r="GO1433" s="4">
        <v>500</v>
      </c>
      <c r="GP1433" s="4">
        <v>462</v>
      </c>
      <c r="GQ1433" s="4">
        <v>419</v>
      </c>
      <c r="GR1433" s="4">
        <v>381</v>
      </c>
      <c r="GS1433" s="4">
        <v>357</v>
      </c>
      <c r="GT1433" s="4">
        <v>333</v>
      </c>
      <c r="GU1433" s="4">
        <v>309</v>
      </c>
      <c r="GV1433" s="4">
        <v>285</v>
      </c>
      <c r="GW1433" s="4">
        <v>264</v>
      </c>
      <c r="GX1433" s="4">
        <v>243</v>
      </c>
      <c r="GY1433" s="4">
        <v>222</v>
      </c>
      <c r="GZ1433" s="4">
        <v>201</v>
      </c>
      <c r="HA1433" s="4">
        <v>180</v>
      </c>
      <c r="HB1433" s="4">
        <v>159</v>
      </c>
      <c r="HC1433" s="4">
        <v>342</v>
      </c>
      <c r="HD1433" s="9"/>
      <c r="HE1433" s="9"/>
      <c r="HF1433" s="9"/>
      <c r="HG1433" s="9"/>
      <c r="HH1433" s="9"/>
      <c r="HI1433" s="9"/>
      <c r="HJ1433" s="9"/>
      <c r="HK1433" s="9"/>
      <c r="HL1433" s="9"/>
      <c r="HM1433" s="9"/>
      <c r="HN1433" s="19">
        <v>12.5</v>
      </c>
      <c r="HO1433" s="19">
        <v>13.9</v>
      </c>
      <c r="HP1433" s="19">
        <v>14.4</v>
      </c>
      <c r="HQ1433" s="19">
        <v>15</v>
      </c>
      <c r="HR1433" s="19">
        <v>15.9</v>
      </c>
      <c r="HS1433" s="19">
        <v>15.5</v>
      </c>
      <c r="HT1433" s="19">
        <v>15.1</v>
      </c>
      <c r="HU1433" s="19">
        <v>14</v>
      </c>
      <c r="HV1433" s="19">
        <v>13.6</v>
      </c>
      <c r="HW1433" s="19">
        <v>12.6</v>
      </c>
      <c r="HX1433" s="19">
        <v>11.6</v>
      </c>
      <c r="HY1433" s="19">
        <v>10.1</v>
      </c>
      <c r="HZ1433" s="19">
        <v>9.1</v>
      </c>
      <c r="IA1433" s="19">
        <v>8.2</v>
      </c>
      <c r="IB1433" s="19">
        <v>7.2</v>
      </c>
      <c r="IC1433" s="19">
        <v>16.3</v>
      </c>
    </row>
    <row r="1434">
      <c r="A1434" s="2" t="s">
        <v>5502</v>
      </c>
      <c r="B1434" s="2" t="s">
        <v>871</v>
      </c>
      <c r="C1434" s="2" t="s">
        <v>943</v>
      </c>
      <c r="D1434" s="2" t="s">
        <v>361</v>
      </c>
      <c r="E1434" s="2" t="s">
        <v>872</v>
      </c>
      <c r="F1434" s="2" t="s">
        <v>5474</v>
      </c>
      <c r="G1434" s="2" t="s">
        <v>5503</v>
      </c>
      <c r="H1434" s="2" t="s">
        <v>5504</v>
      </c>
      <c r="I1434" s="2" t="s">
        <v>3605</v>
      </c>
      <c r="J1434" s="2" t="s">
        <v>877</v>
      </c>
      <c r="K1434" s="2" t="s">
        <v>1196</v>
      </c>
      <c r="L1434" s="3">
        <v>22.85</v>
      </c>
      <c r="M1434" s="3">
        <v>23.99</v>
      </c>
      <c r="N1434" s="3">
        <v>49.99</v>
      </c>
      <c r="O1434" s="2" t="s">
        <v>232</v>
      </c>
      <c r="P1434" s="2" t="s">
        <v>878</v>
      </c>
      <c r="Q1434" s="2" t="s">
        <v>234</v>
      </c>
      <c r="R1434" s="2" t="s">
        <v>235</v>
      </c>
      <c r="S1434" s="2" t="s">
        <v>235</v>
      </c>
      <c r="T1434" s="2" t="s">
        <v>879</v>
      </c>
      <c r="U1434" s="2" t="s">
        <v>278</v>
      </c>
      <c r="V1434" s="2" t="s">
        <v>420</v>
      </c>
      <c r="W1434" s="2" t="s">
        <v>986</v>
      </c>
      <c r="X1434" s="2" t="s">
        <v>882</v>
      </c>
      <c r="Y1434" s="2" t="s">
        <v>2160</v>
      </c>
      <c r="Z1434" s="4">
        <v>249</v>
      </c>
      <c r="AA1434" s="4">
        <f>=ROUNDDOWN(27.6666666666667,0)</f>
      </c>
      <c r="AB1434" s="5">
        <v>9</v>
      </c>
      <c r="AC1434" s="2" t="s">
        <v>235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235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235</v>
      </c>
      <c r="AW1434" s="8" t="s">
        <v>235</v>
      </c>
      <c r="AX1434" s="4" t="s">
        <v>235</v>
      </c>
      <c r="AY1434" s="8" t="s">
        <v>235</v>
      </c>
      <c r="AZ1434" s="7" t="s">
        <v>235</v>
      </c>
      <c r="BA1434" s="7" t="s">
        <v>235</v>
      </c>
      <c r="BB1434" s="7"/>
      <c r="BC1434" s="4" t="s">
        <v>235</v>
      </c>
      <c r="BD1434" s="8" t="s">
        <v>235</v>
      </c>
      <c r="BE1434" s="4" t="s">
        <v>235</v>
      </c>
      <c r="BF1434" s="8" t="s">
        <v>235</v>
      </c>
      <c r="BG1434" s="7" t="s">
        <v>235</v>
      </c>
      <c r="BH1434" s="7" t="s">
        <v>235</v>
      </c>
      <c r="BI1434" s="7"/>
      <c r="BJ1434" s="4">
        <v>1</v>
      </c>
      <c r="BK1434" s="8">
        <v>26.87</v>
      </c>
      <c r="BL1434" s="2" t="s">
        <v>597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5505</v>
      </c>
      <c r="BV1434" s="2" t="s">
        <v>235</v>
      </c>
      <c r="BW1434" s="2" t="s">
        <v>235</v>
      </c>
      <c r="BX1434" s="2" t="s">
        <v>244</v>
      </c>
      <c r="BY1434" s="2" t="s">
        <v>245</v>
      </c>
      <c r="BZ1434" s="2" t="s">
        <v>232</v>
      </c>
      <c r="CA1434" s="2" t="s">
        <v>235</v>
      </c>
      <c r="CB1434" s="2" t="s">
        <v>235</v>
      </c>
      <c r="CC1434" s="2" t="s">
        <v>248</v>
      </c>
      <c r="CD1434" s="2" t="s">
        <v>248</v>
      </c>
      <c r="CE1434" s="2" t="s">
        <v>235</v>
      </c>
      <c r="CF1434" s="4">
        <v>249</v>
      </c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>
        <v>249</v>
      </c>
      <c r="GE1434" s="4">
        <v>221</v>
      </c>
      <c r="GF1434" s="4">
        <v>213</v>
      </c>
      <c r="GG1434" s="4">
        <v>204</v>
      </c>
      <c r="GH1434" s="4">
        <v>196</v>
      </c>
      <c r="GI1434" s="4">
        <v>188</v>
      </c>
      <c r="GJ1434" s="4">
        <v>174</v>
      </c>
      <c r="GK1434" s="4">
        <v>165</v>
      </c>
      <c r="GL1434" s="4">
        <v>156</v>
      </c>
      <c r="GM1434" s="4">
        <v>148</v>
      </c>
      <c r="GN1434" s="4">
        <v>143</v>
      </c>
      <c r="GO1434" s="4">
        <v>135</v>
      </c>
      <c r="GP1434" s="4">
        <v>126</v>
      </c>
      <c r="GQ1434" s="4">
        <v>113</v>
      </c>
      <c r="GR1434" s="4">
        <v>101</v>
      </c>
      <c r="GS1434" s="4">
        <v>91</v>
      </c>
      <c r="GT1434" s="4">
        <v>84</v>
      </c>
      <c r="GU1434" s="4">
        <v>78</v>
      </c>
      <c r="GV1434" s="4">
        <v>69</v>
      </c>
      <c r="GW1434" s="4">
        <v>393</v>
      </c>
      <c r="GX1434" s="4">
        <v>384</v>
      </c>
      <c r="GY1434" s="4">
        <v>376</v>
      </c>
      <c r="GZ1434" s="4">
        <v>366</v>
      </c>
      <c r="HA1434" s="4">
        <v>359</v>
      </c>
      <c r="HB1434" s="4">
        <v>349</v>
      </c>
      <c r="HC1434" s="4">
        <v>337</v>
      </c>
      <c r="HD1434" s="19">
        <v>19.2</v>
      </c>
      <c r="HE1434" s="19">
        <v>27.6</v>
      </c>
      <c r="HF1434" s="19">
        <v>21.3</v>
      </c>
      <c r="HG1434" s="19">
        <v>20.4</v>
      </c>
      <c r="HH1434" s="19">
        <v>19.6</v>
      </c>
      <c r="HI1434" s="19">
        <v>18.8</v>
      </c>
      <c r="HJ1434" s="19">
        <v>21.8</v>
      </c>
      <c r="HK1434" s="19">
        <v>20.6</v>
      </c>
      <c r="HL1434" s="19">
        <v>19.5</v>
      </c>
      <c r="HM1434" s="19">
        <v>16.4</v>
      </c>
      <c r="HN1434" s="19">
        <v>14.3</v>
      </c>
      <c r="HO1434" s="19">
        <v>12.3</v>
      </c>
      <c r="HP1434" s="19">
        <v>12.6</v>
      </c>
      <c r="HQ1434" s="19">
        <v>12.6</v>
      </c>
      <c r="HR1434" s="19">
        <v>12.6</v>
      </c>
      <c r="HS1434" s="19">
        <v>11.4</v>
      </c>
      <c r="HT1434" s="19">
        <v>10.5</v>
      </c>
      <c r="HU1434" s="19">
        <v>8.7</v>
      </c>
      <c r="HV1434" s="19">
        <v>7.7</v>
      </c>
      <c r="HW1434" s="19">
        <v>49.1</v>
      </c>
      <c r="HX1434" s="19">
        <v>42.7</v>
      </c>
      <c r="HY1434" s="19">
        <v>37.6</v>
      </c>
      <c r="HZ1434" s="19">
        <v>40.7</v>
      </c>
      <c r="IA1434" s="19">
        <v>35.9</v>
      </c>
      <c r="IB1434" s="19">
        <v>38.8</v>
      </c>
      <c r="IC1434" s="19">
        <v>37.4</v>
      </c>
    </row>
    <row r="1435">
      <c r="A1435" s="2" t="s">
        <v>5506</v>
      </c>
      <c r="B1435" s="2" t="s">
        <v>871</v>
      </c>
      <c r="C1435" s="2" t="s">
        <v>943</v>
      </c>
      <c r="D1435" s="2" t="s">
        <v>361</v>
      </c>
      <c r="E1435" s="2" t="s">
        <v>872</v>
      </c>
      <c r="F1435" s="2" t="s">
        <v>5474</v>
      </c>
      <c r="G1435" s="2" t="s">
        <v>5503</v>
      </c>
      <c r="H1435" s="2" t="s">
        <v>5504</v>
      </c>
      <c r="I1435" s="2" t="s">
        <v>3605</v>
      </c>
      <c r="J1435" s="2" t="s">
        <v>270</v>
      </c>
      <c r="K1435" s="2" t="s">
        <v>1196</v>
      </c>
      <c r="L1435" s="3">
        <v>32</v>
      </c>
      <c r="M1435" s="3">
        <v>33.6</v>
      </c>
      <c r="N1435" s="3">
        <v>69.99</v>
      </c>
      <c r="O1435" s="2" t="s">
        <v>232</v>
      </c>
      <c r="P1435" s="2" t="s">
        <v>878</v>
      </c>
      <c r="Q1435" s="2" t="s">
        <v>234</v>
      </c>
      <c r="R1435" s="2" t="s">
        <v>235</v>
      </c>
      <c r="S1435" s="2" t="s">
        <v>235</v>
      </c>
      <c r="T1435" s="2" t="s">
        <v>879</v>
      </c>
      <c r="U1435" s="2" t="s">
        <v>552</v>
      </c>
      <c r="V1435" s="2" t="s">
        <v>420</v>
      </c>
      <c r="W1435" s="2" t="s">
        <v>986</v>
      </c>
      <c r="X1435" s="2" t="s">
        <v>882</v>
      </c>
      <c r="Y1435" s="2" t="s">
        <v>2160</v>
      </c>
      <c r="Z1435" s="4">
        <v>114</v>
      </c>
      <c r="AA1435" s="4">
        <f>=ROUNDDOWN(22.8,0)</f>
      </c>
      <c r="AB1435" s="5">
        <v>5</v>
      </c>
      <c r="AC1435" s="2" t="s">
        <v>235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235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235</v>
      </c>
      <c r="AW1435" s="8" t="s">
        <v>235</v>
      </c>
      <c r="AX1435" s="4" t="s">
        <v>235</v>
      </c>
      <c r="AY1435" s="8" t="s">
        <v>235</v>
      </c>
      <c r="AZ1435" s="7" t="s">
        <v>235</v>
      </c>
      <c r="BA1435" s="7" t="s">
        <v>235</v>
      </c>
      <c r="BB1435" s="7"/>
      <c r="BC1435" s="4" t="s">
        <v>235</v>
      </c>
      <c r="BD1435" s="8" t="s">
        <v>235</v>
      </c>
      <c r="BE1435" s="4" t="s">
        <v>235</v>
      </c>
      <c r="BF1435" s="8" t="s">
        <v>235</v>
      </c>
      <c r="BG1435" s="7" t="s">
        <v>235</v>
      </c>
      <c r="BH1435" s="7" t="s">
        <v>235</v>
      </c>
      <c r="BI1435" s="7"/>
      <c r="BJ1435" s="4"/>
      <c r="BK1435" s="8"/>
      <c r="BL1435" s="2" t="s">
        <v>235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5505</v>
      </c>
      <c r="BV1435" s="2" t="s">
        <v>235</v>
      </c>
      <c r="BW1435" s="2" t="s">
        <v>235</v>
      </c>
      <c r="BX1435" s="2" t="s">
        <v>244</v>
      </c>
      <c r="BY1435" s="2" t="s">
        <v>245</v>
      </c>
      <c r="BZ1435" s="2" t="s">
        <v>232</v>
      </c>
      <c r="CA1435" s="2" t="s">
        <v>235</v>
      </c>
      <c r="CB1435" s="2" t="s">
        <v>235</v>
      </c>
      <c r="CC1435" s="2" t="s">
        <v>248</v>
      </c>
      <c r="CD1435" s="2" t="s">
        <v>248</v>
      </c>
      <c r="CE1435" s="2" t="s">
        <v>235</v>
      </c>
      <c r="CF1435" s="4">
        <v>114</v>
      </c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>
        <v>115</v>
      </c>
      <c r="GE1435" s="4">
        <v>99</v>
      </c>
      <c r="GF1435" s="4">
        <v>94</v>
      </c>
      <c r="GG1435" s="4">
        <v>89</v>
      </c>
      <c r="GH1435" s="4">
        <v>85</v>
      </c>
      <c r="GI1435" s="4">
        <v>81</v>
      </c>
      <c r="GJ1435" s="4">
        <v>73</v>
      </c>
      <c r="GK1435" s="4">
        <v>68</v>
      </c>
      <c r="GL1435" s="4">
        <v>63</v>
      </c>
      <c r="GM1435" s="4">
        <v>59</v>
      </c>
      <c r="GN1435" s="4">
        <v>56</v>
      </c>
      <c r="GO1435" s="4">
        <v>52</v>
      </c>
      <c r="GP1435" s="4">
        <v>47</v>
      </c>
      <c r="GQ1435" s="4">
        <v>39</v>
      </c>
      <c r="GR1435" s="4">
        <v>32</v>
      </c>
      <c r="GS1435" s="4">
        <v>26</v>
      </c>
      <c r="GT1435" s="4">
        <v>22</v>
      </c>
      <c r="GU1435" s="4">
        <v>19</v>
      </c>
      <c r="GV1435" s="4">
        <v>14</v>
      </c>
      <c r="GW1435" s="4">
        <v>213</v>
      </c>
      <c r="GX1435" s="4">
        <v>208</v>
      </c>
      <c r="GY1435" s="4">
        <v>204</v>
      </c>
      <c r="GZ1435" s="4">
        <v>198</v>
      </c>
      <c r="HA1435" s="4">
        <v>193</v>
      </c>
      <c r="HB1435" s="4">
        <v>188</v>
      </c>
      <c r="HC1435" s="4">
        <v>182</v>
      </c>
      <c r="HD1435" s="19">
        <v>14.4</v>
      </c>
      <c r="HE1435" s="19">
        <v>24.8</v>
      </c>
      <c r="HF1435" s="19">
        <v>18.8</v>
      </c>
      <c r="HG1435" s="19">
        <v>17.8</v>
      </c>
      <c r="HH1435" s="19">
        <v>14.2</v>
      </c>
      <c r="HI1435" s="19">
        <v>13.5</v>
      </c>
      <c r="HJ1435" s="19">
        <v>18.3</v>
      </c>
      <c r="HK1435" s="19">
        <v>17</v>
      </c>
      <c r="HL1435" s="19">
        <v>15.8</v>
      </c>
      <c r="HM1435" s="19">
        <v>11.8</v>
      </c>
      <c r="HN1435" s="19">
        <v>9.3</v>
      </c>
      <c r="HO1435" s="19">
        <v>8.7</v>
      </c>
      <c r="HP1435" s="19">
        <v>7.8</v>
      </c>
      <c r="HQ1435" s="19">
        <v>7.8</v>
      </c>
      <c r="HR1435" s="19">
        <v>8</v>
      </c>
      <c r="HS1435" s="19">
        <v>6.5</v>
      </c>
      <c r="HT1435" s="19">
        <v>4.4</v>
      </c>
      <c r="HU1435" s="19">
        <v>3.8</v>
      </c>
      <c r="HV1435" s="19">
        <v>2.8</v>
      </c>
      <c r="HW1435" s="19">
        <v>42.6</v>
      </c>
      <c r="HX1435" s="19">
        <v>41.6</v>
      </c>
      <c r="HY1435" s="19">
        <v>34</v>
      </c>
      <c r="HZ1435" s="19">
        <v>39.6</v>
      </c>
      <c r="IA1435" s="19">
        <v>38.6</v>
      </c>
      <c r="IB1435" s="19">
        <v>37.6</v>
      </c>
      <c r="IC1435" s="19">
        <v>36.4</v>
      </c>
    </row>
    <row r="1436">
      <c r="A1436" s="2" t="s">
        <v>5507</v>
      </c>
      <c r="B1436" s="2" t="s">
        <v>323</v>
      </c>
      <c r="C1436" s="2" t="s">
        <v>1036</v>
      </c>
      <c r="D1436" s="2" t="s">
        <v>257</v>
      </c>
      <c r="E1436" s="2" t="s">
        <v>258</v>
      </c>
      <c r="F1436" s="2" t="s">
        <v>5508</v>
      </c>
      <c r="G1436" s="2" t="s">
        <v>5508</v>
      </c>
      <c r="H1436" s="2" t="s">
        <v>5508</v>
      </c>
      <c r="I1436" s="2" t="s">
        <v>405</v>
      </c>
      <c r="J1436" s="2" t="s">
        <v>394</v>
      </c>
      <c r="K1436" s="2" t="s">
        <v>861</v>
      </c>
      <c r="L1436" s="3">
        <v>23.82</v>
      </c>
      <c r="M1436" s="3">
        <v>25.01</v>
      </c>
      <c r="N1436" s="3">
        <v>49.99</v>
      </c>
      <c r="O1436" s="2" t="s">
        <v>232</v>
      </c>
      <c r="P1436" s="2" t="s">
        <v>233</v>
      </c>
      <c r="Q1436" s="2" t="s">
        <v>234</v>
      </c>
      <c r="R1436" s="2" t="s">
        <v>235</v>
      </c>
      <c r="S1436" s="2" t="s">
        <v>5509</v>
      </c>
      <c r="T1436" s="2" t="s">
        <v>587</v>
      </c>
      <c r="U1436" s="2" t="s">
        <v>552</v>
      </c>
      <c r="V1436" s="2" t="s">
        <v>238</v>
      </c>
      <c r="W1436" s="2" t="s">
        <v>239</v>
      </c>
      <c r="X1436" s="2" t="s">
        <v>682</v>
      </c>
      <c r="Y1436" s="2" t="s">
        <v>1489</v>
      </c>
      <c r="Z1436" s="4">
        <v>214</v>
      </c>
      <c r="AA1436" s="4">
        <f>=ROUNDDOWN(35.6666666666667,0)</f>
      </c>
      <c r="AB1436" s="5">
        <v>6</v>
      </c>
      <c r="AC1436" s="2" t="s">
        <v>266</v>
      </c>
      <c r="AD1436" s="4">
        <v>100</v>
      </c>
      <c r="AE1436" s="4">
        <v>100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235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235</v>
      </c>
      <c r="AW1436" s="8" t="s">
        <v>235</v>
      </c>
      <c r="AX1436" s="4" t="s">
        <v>235</v>
      </c>
      <c r="AY1436" s="8" t="s">
        <v>235</v>
      </c>
      <c r="AZ1436" s="7" t="s">
        <v>235</v>
      </c>
      <c r="BA1436" s="7" t="s">
        <v>235</v>
      </c>
      <c r="BB1436" s="7"/>
      <c r="BC1436" s="4" t="s">
        <v>235</v>
      </c>
      <c r="BD1436" s="8" t="s">
        <v>235</v>
      </c>
      <c r="BE1436" s="4" t="s">
        <v>235</v>
      </c>
      <c r="BF1436" s="8" t="s">
        <v>235</v>
      </c>
      <c r="BG1436" s="7" t="s">
        <v>235</v>
      </c>
      <c r="BH1436" s="7" t="s">
        <v>235</v>
      </c>
      <c r="BI1436" s="7"/>
      <c r="BJ1436" s="4"/>
      <c r="BK1436" s="8"/>
      <c r="BL1436" s="2" t="s">
        <v>235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5510</v>
      </c>
      <c r="BV1436" s="2" t="s">
        <v>243</v>
      </c>
      <c r="BW1436" s="2" t="s">
        <v>235</v>
      </c>
      <c r="BX1436" s="2" t="s">
        <v>383</v>
      </c>
      <c r="BY1436" s="2" t="s">
        <v>245</v>
      </c>
      <c r="BZ1436" s="2" t="s">
        <v>232</v>
      </c>
      <c r="CA1436" s="2" t="s">
        <v>1198</v>
      </c>
      <c r="CB1436" s="2" t="s">
        <v>2851</v>
      </c>
      <c r="CC1436" s="2" t="s">
        <v>248</v>
      </c>
      <c r="CD1436" s="2" t="s">
        <v>248</v>
      </c>
      <c r="CE1436" s="2" t="s">
        <v>235</v>
      </c>
      <c r="CF1436" s="4"/>
      <c r="CG1436" s="4">
        <v>54</v>
      </c>
      <c r="CH1436" s="4"/>
      <c r="CI1436" s="4">
        <v>160</v>
      </c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>
        <v>100</v>
      </c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>
        <v>214</v>
      </c>
      <c r="GE1436" s="4">
        <v>284</v>
      </c>
      <c r="GF1436" s="4">
        <v>274</v>
      </c>
      <c r="GG1436" s="4">
        <v>260</v>
      </c>
      <c r="GH1436" s="4">
        <v>250</v>
      </c>
      <c r="GI1436" s="4">
        <v>234</v>
      </c>
      <c r="GJ1436" s="4">
        <v>213</v>
      </c>
      <c r="GK1436" s="4">
        <v>192</v>
      </c>
      <c r="GL1436" s="4">
        <v>171</v>
      </c>
      <c r="GM1436" s="4">
        <v>151</v>
      </c>
      <c r="GN1436" s="4">
        <v>136</v>
      </c>
      <c r="GO1436" s="4">
        <v>125</v>
      </c>
      <c r="GP1436" s="4">
        <v>112</v>
      </c>
      <c r="GQ1436" s="4">
        <v>91</v>
      </c>
      <c r="GR1436" s="4">
        <v>82</v>
      </c>
      <c r="GS1436" s="4">
        <v>73</v>
      </c>
      <c r="GT1436" s="4">
        <v>68</v>
      </c>
      <c r="GU1436" s="4">
        <v>65</v>
      </c>
      <c r="GV1436" s="4">
        <v>60</v>
      </c>
      <c r="GW1436" s="4">
        <v>140</v>
      </c>
      <c r="GX1436" s="4">
        <v>136</v>
      </c>
      <c r="GY1436" s="4">
        <v>132</v>
      </c>
      <c r="GZ1436" s="4">
        <v>129</v>
      </c>
      <c r="HA1436" s="4">
        <v>126</v>
      </c>
      <c r="HB1436" s="4">
        <v>124</v>
      </c>
      <c r="HC1436" s="4">
        <v>122</v>
      </c>
      <c r="HD1436" s="19">
        <v>13.4</v>
      </c>
      <c r="HE1436" s="19">
        <v>23.7</v>
      </c>
      <c r="HF1436" s="19">
        <v>18.3</v>
      </c>
      <c r="HG1436" s="19">
        <v>15.3</v>
      </c>
      <c r="HH1436" s="19">
        <v>12.5</v>
      </c>
      <c r="HI1436" s="19">
        <v>11.1</v>
      </c>
      <c r="HJ1436" s="19">
        <v>11.2</v>
      </c>
      <c r="HK1436" s="19">
        <v>11.3</v>
      </c>
      <c r="HL1436" s="19">
        <v>11.4</v>
      </c>
      <c r="HM1436" s="19">
        <v>10.1</v>
      </c>
      <c r="HN1436" s="19">
        <v>9.7</v>
      </c>
      <c r="HO1436" s="19">
        <v>9.6</v>
      </c>
      <c r="HP1436" s="19">
        <v>10.2</v>
      </c>
      <c r="HQ1436" s="19">
        <v>15.2</v>
      </c>
      <c r="HR1436" s="19">
        <v>13.7</v>
      </c>
      <c r="HS1436" s="19">
        <v>18.3</v>
      </c>
      <c r="HT1436" s="19">
        <v>17</v>
      </c>
      <c r="HU1436" s="19">
        <v>16.3</v>
      </c>
      <c r="HV1436" s="19">
        <v>15</v>
      </c>
      <c r="HW1436" s="19">
        <v>35</v>
      </c>
      <c r="HX1436" s="19">
        <v>45.3</v>
      </c>
      <c r="HY1436" s="19">
        <v>66</v>
      </c>
      <c r="HZ1436" s="19">
        <v>64.5</v>
      </c>
      <c r="IA1436" s="19">
        <v>63</v>
      </c>
      <c r="IB1436" s="19">
        <v>62</v>
      </c>
      <c r="IC1436" s="19">
        <v>122</v>
      </c>
    </row>
    <row r="1437">
      <c r="A1437" s="2" t="s">
        <v>5511</v>
      </c>
      <c r="B1437" s="2" t="s">
        <v>323</v>
      </c>
      <c r="C1437" s="2" t="s">
        <v>1036</v>
      </c>
      <c r="D1437" s="2" t="s">
        <v>257</v>
      </c>
      <c r="E1437" s="2" t="s">
        <v>258</v>
      </c>
      <c r="F1437" s="2" t="s">
        <v>5508</v>
      </c>
      <c r="G1437" s="2" t="s">
        <v>5508</v>
      </c>
      <c r="H1437" s="2" t="s">
        <v>5508</v>
      </c>
      <c r="I1437" s="2" t="s">
        <v>405</v>
      </c>
      <c r="J1437" s="2" t="s">
        <v>230</v>
      </c>
      <c r="K1437" s="2" t="s">
        <v>861</v>
      </c>
      <c r="L1437" s="3">
        <v>25.3</v>
      </c>
      <c r="M1437" s="3">
        <v>26.56</v>
      </c>
      <c r="N1437" s="3">
        <v>53.99</v>
      </c>
      <c r="O1437" s="2" t="s">
        <v>232</v>
      </c>
      <c r="P1437" s="2" t="s">
        <v>233</v>
      </c>
      <c r="Q1437" s="2" t="s">
        <v>234</v>
      </c>
      <c r="R1437" s="2" t="s">
        <v>235</v>
      </c>
      <c r="S1437" s="2" t="s">
        <v>5509</v>
      </c>
      <c r="T1437" s="2" t="s">
        <v>587</v>
      </c>
      <c r="U1437" s="2" t="s">
        <v>552</v>
      </c>
      <c r="V1437" s="2" t="s">
        <v>238</v>
      </c>
      <c r="W1437" s="2" t="s">
        <v>239</v>
      </c>
      <c r="X1437" s="2" t="s">
        <v>682</v>
      </c>
      <c r="Y1437" s="2" t="s">
        <v>1489</v>
      </c>
      <c r="Z1437" s="4">
        <v>378</v>
      </c>
      <c r="AA1437" s="4">
        <f>=ROUNDDOWN(111.176470588235,0)</f>
      </c>
      <c r="AB1437" s="5">
        <v>3.4</v>
      </c>
      <c r="AC1437" s="2" t="s">
        <v>235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235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235</v>
      </c>
      <c r="AW1437" s="8" t="s">
        <v>235</v>
      </c>
      <c r="AX1437" s="4" t="s">
        <v>235</v>
      </c>
      <c r="AY1437" s="8" t="s">
        <v>235</v>
      </c>
      <c r="AZ1437" s="7" t="s">
        <v>235</v>
      </c>
      <c r="BA1437" s="7" t="s">
        <v>235</v>
      </c>
      <c r="BB1437" s="7"/>
      <c r="BC1437" s="4" t="s">
        <v>235</v>
      </c>
      <c r="BD1437" s="8" t="s">
        <v>235</v>
      </c>
      <c r="BE1437" s="4" t="s">
        <v>235</v>
      </c>
      <c r="BF1437" s="8" t="s">
        <v>235</v>
      </c>
      <c r="BG1437" s="7" t="s">
        <v>235</v>
      </c>
      <c r="BH1437" s="7" t="s">
        <v>235</v>
      </c>
      <c r="BI1437" s="7"/>
      <c r="BJ1437" s="4">
        <v>1</v>
      </c>
      <c r="BK1437" s="8">
        <v>27.93</v>
      </c>
      <c r="BL1437" s="2" t="s">
        <v>1907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5510</v>
      </c>
      <c r="BV1437" s="2" t="s">
        <v>243</v>
      </c>
      <c r="BW1437" s="2" t="s">
        <v>235</v>
      </c>
      <c r="BX1437" s="2" t="s">
        <v>383</v>
      </c>
      <c r="BY1437" s="2" t="s">
        <v>245</v>
      </c>
      <c r="BZ1437" s="2" t="s">
        <v>232</v>
      </c>
      <c r="CA1437" s="2" t="s">
        <v>1198</v>
      </c>
      <c r="CB1437" s="2" t="s">
        <v>2132</v>
      </c>
      <c r="CC1437" s="2" t="s">
        <v>248</v>
      </c>
      <c r="CD1437" s="2" t="s">
        <v>248</v>
      </c>
      <c r="CE1437" s="2" t="s">
        <v>235</v>
      </c>
      <c r="CF1437" s="4">
        <v>219</v>
      </c>
      <c r="CG1437" s="4">
        <v>159</v>
      </c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>
        <v>378</v>
      </c>
      <c r="GE1437" s="4">
        <v>372</v>
      </c>
      <c r="GF1437" s="4">
        <v>368</v>
      </c>
      <c r="GG1437" s="4">
        <v>363</v>
      </c>
      <c r="GH1437" s="4">
        <v>359</v>
      </c>
      <c r="GI1437" s="4">
        <v>353</v>
      </c>
      <c r="GJ1437" s="4">
        <v>343</v>
      </c>
      <c r="GK1437" s="4">
        <v>332</v>
      </c>
      <c r="GL1437" s="4">
        <v>323</v>
      </c>
      <c r="GM1437" s="4">
        <v>315</v>
      </c>
      <c r="GN1437" s="4">
        <v>307</v>
      </c>
      <c r="GO1437" s="4">
        <v>296</v>
      </c>
      <c r="GP1437" s="4">
        <v>283</v>
      </c>
      <c r="GQ1437" s="4">
        <v>261</v>
      </c>
      <c r="GR1437" s="4">
        <v>252</v>
      </c>
      <c r="GS1437" s="4">
        <v>242</v>
      </c>
      <c r="GT1437" s="4">
        <v>236</v>
      </c>
      <c r="GU1437" s="4">
        <v>232</v>
      </c>
      <c r="GV1437" s="4">
        <v>229</v>
      </c>
      <c r="GW1437" s="4">
        <v>227</v>
      </c>
      <c r="GX1437" s="4">
        <v>225</v>
      </c>
      <c r="GY1437" s="4">
        <v>222</v>
      </c>
      <c r="GZ1437" s="4">
        <v>221</v>
      </c>
      <c r="HA1437" s="4">
        <v>220</v>
      </c>
      <c r="HB1437" s="4">
        <v>220</v>
      </c>
      <c r="HC1437" s="4">
        <v>220</v>
      </c>
      <c r="HD1437" s="19">
        <v>75.6</v>
      </c>
      <c r="HE1437" s="19">
        <v>74.4</v>
      </c>
      <c r="HF1437" s="19">
        <v>61.3</v>
      </c>
      <c r="HG1437" s="19">
        <v>45.4</v>
      </c>
      <c r="HH1437" s="19">
        <v>39.9</v>
      </c>
      <c r="HI1437" s="19">
        <v>35.3</v>
      </c>
      <c r="HJ1437" s="19">
        <v>38.1</v>
      </c>
      <c r="HK1437" s="19">
        <v>36.9</v>
      </c>
      <c r="HL1437" s="19">
        <v>32.3</v>
      </c>
      <c r="HM1437" s="19">
        <v>22.5</v>
      </c>
      <c r="HN1437" s="19">
        <v>21.9</v>
      </c>
      <c r="HO1437" s="19">
        <v>21.1</v>
      </c>
      <c r="HP1437" s="19">
        <v>23.6</v>
      </c>
      <c r="HQ1437" s="19">
        <v>37.3</v>
      </c>
      <c r="HR1437" s="19">
        <v>42</v>
      </c>
      <c r="HS1437" s="19">
        <v>60.5</v>
      </c>
      <c r="HT1437" s="19">
        <v>78.7</v>
      </c>
      <c r="HU1437" s="19">
        <v>116</v>
      </c>
      <c r="HV1437" s="19">
        <v>114.5</v>
      </c>
      <c r="HW1437" s="19">
        <v>113.5</v>
      </c>
      <c r="HX1437" s="19">
        <v>225</v>
      </c>
      <c r="HY1437" s="20">
        <v>0</v>
      </c>
      <c r="HZ1437" s="20">
        <v>0</v>
      </c>
      <c r="IA1437" s="9"/>
      <c r="IB1437" s="9"/>
      <c r="IC1437" s="9"/>
    </row>
    <row r="1438">
      <c r="A1438" s="2" t="s">
        <v>5512</v>
      </c>
      <c r="B1438" s="2" t="s">
        <v>323</v>
      </c>
      <c r="C1438" s="2" t="s">
        <v>1036</v>
      </c>
      <c r="D1438" s="2" t="s">
        <v>257</v>
      </c>
      <c r="E1438" s="2" t="s">
        <v>258</v>
      </c>
      <c r="F1438" s="2" t="s">
        <v>5508</v>
      </c>
      <c r="G1438" s="2" t="s">
        <v>5508</v>
      </c>
      <c r="H1438" s="2" t="s">
        <v>5508</v>
      </c>
      <c r="I1438" s="2" t="s">
        <v>405</v>
      </c>
      <c r="J1438" s="2" t="s">
        <v>250</v>
      </c>
      <c r="K1438" s="2" t="s">
        <v>861</v>
      </c>
      <c r="L1438" s="3">
        <v>28.05</v>
      </c>
      <c r="M1438" s="3">
        <v>29.45</v>
      </c>
      <c r="N1438" s="3">
        <v>59.99</v>
      </c>
      <c r="O1438" s="2" t="s">
        <v>232</v>
      </c>
      <c r="P1438" s="2" t="s">
        <v>233</v>
      </c>
      <c r="Q1438" s="2" t="s">
        <v>234</v>
      </c>
      <c r="R1438" s="2" t="s">
        <v>235</v>
      </c>
      <c r="S1438" s="2" t="s">
        <v>5509</v>
      </c>
      <c r="T1438" s="2" t="s">
        <v>587</v>
      </c>
      <c r="U1438" s="2" t="s">
        <v>264</v>
      </c>
      <c r="V1438" s="2" t="s">
        <v>238</v>
      </c>
      <c r="W1438" s="2" t="s">
        <v>239</v>
      </c>
      <c r="X1438" s="2" t="s">
        <v>682</v>
      </c>
      <c r="Y1438" s="2" t="s">
        <v>1489</v>
      </c>
      <c r="Z1438" s="4">
        <v>408</v>
      </c>
      <c r="AA1438" s="4">
        <f>=ROUNDDOWN(45.3333333333333,0)</f>
      </c>
      <c r="AB1438" s="5">
        <v>9</v>
      </c>
      <c r="AC1438" s="2" t="s">
        <v>235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235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235</v>
      </c>
      <c r="AW1438" s="8" t="s">
        <v>235</v>
      </c>
      <c r="AX1438" s="4" t="s">
        <v>235</v>
      </c>
      <c r="AY1438" s="8" t="s">
        <v>235</v>
      </c>
      <c r="AZ1438" s="7" t="s">
        <v>235</v>
      </c>
      <c r="BA1438" s="7" t="s">
        <v>235</v>
      </c>
      <c r="BB1438" s="7"/>
      <c r="BC1438" s="4" t="s">
        <v>235</v>
      </c>
      <c r="BD1438" s="8" t="s">
        <v>235</v>
      </c>
      <c r="BE1438" s="4" t="s">
        <v>235</v>
      </c>
      <c r="BF1438" s="8" t="s">
        <v>235</v>
      </c>
      <c r="BG1438" s="7" t="s">
        <v>235</v>
      </c>
      <c r="BH1438" s="7" t="s">
        <v>235</v>
      </c>
      <c r="BI1438" s="7"/>
      <c r="BJ1438" s="4">
        <v>3</v>
      </c>
      <c r="BK1438" s="8">
        <v>94.07</v>
      </c>
      <c r="BL1438" s="2" t="s">
        <v>3746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5510</v>
      </c>
      <c r="BV1438" s="2" t="s">
        <v>243</v>
      </c>
      <c r="BW1438" s="2" t="s">
        <v>235</v>
      </c>
      <c r="BX1438" s="2" t="s">
        <v>383</v>
      </c>
      <c r="BY1438" s="2" t="s">
        <v>245</v>
      </c>
      <c r="BZ1438" s="2" t="s">
        <v>232</v>
      </c>
      <c r="CA1438" s="2" t="s">
        <v>1198</v>
      </c>
      <c r="CB1438" s="2" t="s">
        <v>1758</v>
      </c>
      <c r="CC1438" s="2" t="s">
        <v>248</v>
      </c>
      <c r="CD1438" s="2" t="s">
        <v>248</v>
      </c>
      <c r="CE1438" s="2" t="s">
        <v>235</v>
      </c>
      <c r="CF1438" s="4">
        <v>213</v>
      </c>
      <c r="CG1438" s="4">
        <v>195</v>
      </c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>
        <v>408</v>
      </c>
      <c r="GE1438" s="4">
        <v>378</v>
      </c>
      <c r="GF1438" s="4">
        <v>370</v>
      </c>
      <c r="GG1438" s="4">
        <v>360</v>
      </c>
      <c r="GH1438" s="4">
        <v>352</v>
      </c>
      <c r="GI1438" s="4">
        <v>341</v>
      </c>
      <c r="GJ1438" s="4">
        <v>326</v>
      </c>
      <c r="GK1438" s="4">
        <v>311</v>
      </c>
      <c r="GL1438" s="4">
        <v>298</v>
      </c>
      <c r="GM1438" s="4">
        <v>285</v>
      </c>
      <c r="GN1438" s="4">
        <v>272</v>
      </c>
      <c r="GO1438" s="4">
        <v>258</v>
      </c>
      <c r="GP1438" s="4">
        <v>242</v>
      </c>
      <c r="GQ1438" s="4">
        <v>215</v>
      </c>
      <c r="GR1438" s="4">
        <v>203</v>
      </c>
      <c r="GS1438" s="4">
        <v>189</v>
      </c>
      <c r="GT1438" s="4">
        <v>181</v>
      </c>
      <c r="GU1438" s="4">
        <v>175</v>
      </c>
      <c r="GV1438" s="4">
        <v>168</v>
      </c>
      <c r="GW1438" s="4">
        <v>163</v>
      </c>
      <c r="GX1438" s="4">
        <v>158</v>
      </c>
      <c r="GY1438" s="4">
        <v>153</v>
      </c>
      <c r="GZ1438" s="4">
        <v>149</v>
      </c>
      <c r="HA1438" s="4">
        <v>145</v>
      </c>
      <c r="HB1438" s="4">
        <v>142</v>
      </c>
      <c r="HC1438" s="4">
        <v>139</v>
      </c>
      <c r="HD1438" s="19">
        <v>29.1</v>
      </c>
      <c r="HE1438" s="19">
        <v>42</v>
      </c>
      <c r="HF1438" s="19">
        <v>33.6</v>
      </c>
      <c r="HG1438" s="19">
        <v>30</v>
      </c>
      <c r="HH1438" s="19">
        <v>25.1</v>
      </c>
      <c r="HI1438" s="19">
        <v>24.4</v>
      </c>
      <c r="HJ1438" s="19">
        <v>23.3</v>
      </c>
      <c r="HK1438" s="19">
        <v>23.9</v>
      </c>
      <c r="HL1438" s="19">
        <v>21.3</v>
      </c>
      <c r="HM1438" s="19">
        <v>15.8</v>
      </c>
      <c r="HN1438" s="19">
        <v>16</v>
      </c>
      <c r="HO1438" s="19">
        <v>15.2</v>
      </c>
      <c r="HP1438" s="19">
        <v>16.1</v>
      </c>
      <c r="HQ1438" s="19">
        <v>21.5</v>
      </c>
      <c r="HR1438" s="19">
        <v>22.6</v>
      </c>
      <c r="HS1438" s="19">
        <v>31.5</v>
      </c>
      <c r="HT1438" s="19">
        <v>30.2</v>
      </c>
      <c r="HU1438" s="19">
        <v>29.2</v>
      </c>
      <c r="HV1438" s="19">
        <v>33.6</v>
      </c>
      <c r="HW1438" s="19">
        <v>40.8</v>
      </c>
      <c r="HX1438" s="19">
        <v>39.5</v>
      </c>
      <c r="HY1438" s="19">
        <v>38.3</v>
      </c>
      <c r="HZ1438" s="19">
        <v>49.7</v>
      </c>
      <c r="IA1438" s="19">
        <v>48.3</v>
      </c>
      <c r="IB1438" s="19">
        <v>47.3</v>
      </c>
      <c r="IC1438" s="19">
        <v>46.3</v>
      </c>
    </row>
    <row r="1439">
      <c r="A1439" s="2" t="s">
        <v>5513</v>
      </c>
      <c r="B1439" s="2" t="s">
        <v>323</v>
      </c>
      <c r="C1439" s="2" t="s">
        <v>1036</v>
      </c>
      <c r="D1439" s="2" t="s">
        <v>257</v>
      </c>
      <c r="E1439" s="2" t="s">
        <v>258</v>
      </c>
      <c r="F1439" s="2" t="s">
        <v>5508</v>
      </c>
      <c r="G1439" s="2" t="s">
        <v>5508</v>
      </c>
      <c r="H1439" s="2" t="s">
        <v>5508</v>
      </c>
      <c r="I1439" s="2" t="s">
        <v>405</v>
      </c>
      <c r="J1439" s="2" t="s">
        <v>261</v>
      </c>
      <c r="K1439" s="2" t="s">
        <v>861</v>
      </c>
      <c r="L1439" s="3">
        <v>31.3</v>
      </c>
      <c r="M1439" s="3">
        <v>32.86</v>
      </c>
      <c r="N1439" s="3">
        <v>64.99</v>
      </c>
      <c r="O1439" s="2" t="s">
        <v>232</v>
      </c>
      <c r="P1439" s="2" t="s">
        <v>233</v>
      </c>
      <c r="Q1439" s="2" t="s">
        <v>234</v>
      </c>
      <c r="R1439" s="2" t="s">
        <v>235</v>
      </c>
      <c r="S1439" s="2" t="s">
        <v>5509</v>
      </c>
      <c r="T1439" s="2" t="s">
        <v>587</v>
      </c>
      <c r="U1439" s="2" t="s">
        <v>264</v>
      </c>
      <c r="V1439" s="2" t="s">
        <v>238</v>
      </c>
      <c r="W1439" s="2" t="s">
        <v>239</v>
      </c>
      <c r="X1439" s="2" t="s">
        <v>682</v>
      </c>
      <c r="Y1439" s="2" t="s">
        <v>1489</v>
      </c>
      <c r="Z1439" s="4">
        <v>562</v>
      </c>
      <c r="AA1439" s="4">
        <f>=ROUNDDOWN(31.2222222222222,0)</f>
      </c>
      <c r="AB1439" s="5">
        <v>18</v>
      </c>
      <c r="AC1439" s="2" t="s">
        <v>235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235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235</v>
      </c>
      <c r="AW1439" s="8" t="s">
        <v>235</v>
      </c>
      <c r="AX1439" s="4" t="s">
        <v>235</v>
      </c>
      <c r="AY1439" s="8" t="s">
        <v>235</v>
      </c>
      <c r="AZ1439" s="7" t="s">
        <v>235</v>
      </c>
      <c r="BA1439" s="7" t="s">
        <v>235</v>
      </c>
      <c r="BB1439" s="7"/>
      <c r="BC1439" s="4" t="s">
        <v>235</v>
      </c>
      <c r="BD1439" s="8" t="s">
        <v>235</v>
      </c>
      <c r="BE1439" s="4" t="s">
        <v>235</v>
      </c>
      <c r="BF1439" s="8" t="s">
        <v>235</v>
      </c>
      <c r="BG1439" s="7" t="s">
        <v>235</v>
      </c>
      <c r="BH1439" s="7" t="s">
        <v>235</v>
      </c>
      <c r="BI1439" s="7"/>
      <c r="BJ1439" s="4">
        <v>6</v>
      </c>
      <c r="BK1439" s="8">
        <v>211.28</v>
      </c>
      <c r="BL1439" s="2" t="s">
        <v>517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5510</v>
      </c>
      <c r="BV1439" s="2" t="s">
        <v>243</v>
      </c>
      <c r="BW1439" s="2" t="s">
        <v>235</v>
      </c>
      <c r="BX1439" s="2" t="s">
        <v>383</v>
      </c>
      <c r="BY1439" s="2" t="s">
        <v>245</v>
      </c>
      <c r="BZ1439" s="2" t="s">
        <v>232</v>
      </c>
      <c r="CA1439" s="2" t="s">
        <v>1600</v>
      </c>
      <c r="CB1439" s="2" t="s">
        <v>1873</v>
      </c>
      <c r="CC1439" s="2" t="s">
        <v>248</v>
      </c>
      <c r="CD1439" s="2" t="s">
        <v>248</v>
      </c>
      <c r="CE1439" s="2" t="s">
        <v>235</v>
      </c>
      <c r="CF1439" s="4">
        <v>213</v>
      </c>
      <c r="CG1439" s="4">
        <v>349</v>
      </c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>
        <v>563</v>
      </c>
      <c r="GE1439" s="4">
        <v>518</v>
      </c>
      <c r="GF1439" s="4">
        <v>505</v>
      </c>
      <c r="GG1439" s="4">
        <v>488</v>
      </c>
      <c r="GH1439" s="4">
        <v>475</v>
      </c>
      <c r="GI1439" s="4">
        <v>455</v>
      </c>
      <c r="GJ1439" s="4">
        <v>427</v>
      </c>
      <c r="GK1439" s="4">
        <v>397</v>
      </c>
      <c r="GL1439" s="4">
        <v>372</v>
      </c>
      <c r="GM1439" s="4">
        <v>349</v>
      </c>
      <c r="GN1439" s="4">
        <v>324</v>
      </c>
      <c r="GO1439" s="4">
        <v>290</v>
      </c>
      <c r="GP1439" s="4">
        <v>249</v>
      </c>
      <c r="GQ1439" s="4">
        <v>182</v>
      </c>
      <c r="GR1439" s="4">
        <v>145</v>
      </c>
      <c r="GS1439" s="4">
        <v>100</v>
      </c>
      <c r="GT1439" s="4">
        <v>73</v>
      </c>
      <c r="GU1439" s="4">
        <v>56</v>
      </c>
      <c r="GV1439" s="4">
        <v>37</v>
      </c>
      <c r="GW1439" s="4">
        <v>305</v>
      </c>
      <c r="GX1439" s="4">
        <v>292</v>
      </c>
      <c r="GY1439" s="4">
        <v>279</v>
      </c>
      <c r="GZ1439" s="4">
        <v>270</v>
      </c>
      <c r="HA1439" s="4">
        <v>260</v>
      </c>
      <c r="HB1439" s="4">
        <v>252</v>
      </c>
      <c r="HC1439" s="4">
        <v>244</v>
      </c>
      <c r="HD1439" s="19">
        <v>25.6</v>
      </c>
      <c r="HE1439" s="19">
        <v>32.4</v>
      </c>
      <c r="HF1439" s="19">
        <v>25.3</v>
      </c>
      <c r="HG1439" s="19">
        <v>21.2</v>
      </c>
      <c r="HH1439" s="19">
        <v>18.3</v>
      </c>
      <c r="HI1439" s="19">
        <v>17.5</v>
      </c>
      <c r="HJ1439" s="19">
        <v>16.4</v>
      </c>
      <c r="HK1439" s="19">
        <v>14.7</v>
      </c>
      <c r="HL1439" s="19">
        <v>12</v>
      </c>
      <c r="HM1439" s="19">
        <v>8.3</v>
      </c>
      <c r="HN1439" s="19">
        <v>7.2</v>
      </c>
      <c r="HO1439" s="19">
        <v>6</v>
      </c>
      <c r="HP1439" s="19">
        <v>5.7</v>
      </c>
      <c r="HQ1439" s="19">
        <v>5.7</v>
      </c>
      <c r="HR1439" s="19">
        <v>5.4</v>
      </c>
      <c r="HS1439" s="19">
        <v>5.3</v>
      </c>
      <c r="HT1439" s="19">
        <v>4.6</v>
      </c>
      <c r="HU1439" s="19">
        <v>4</v>
      </c>
      <c r="HV1439" s="19">
        <v>3.1</v>
      </c>
      <c r="HW1439" s="19">
        <v>27.7</v>
      </c>
      <c r="HX1439" s="19">
        <v>29.2</v>
      </c>
      <c r="HY1439" s="19">
        <v>31</v>
      </c>
      <c r="HZ1439" s="19">
        <v>33.8</v>
      </c>
      <c r="IA1439" s="19">
        <v>32.5</v>
      </c>
      <c r="IB1439" s="19">
        <v>36</v>
      </c>
      <c r="IC1439" s="19">
        <v>40.7</v>
      </c>
    </row>
    <row r="1440">
      <c r="A1440" s="2" t="s">
        <v>5514</v>
      </c>
      <c r="B1440" s="2" t="s">
        <v>323</v>
      </c>
      <c r="C1440" s="2" t="s">
        <v>1036</v>
      </c>
      <c r="D1440" s="2" t="s">
        <v>257</v>
      </c>
      <c r="E1440" s="2" t="s">
        <v>258</v>
      </c>
      <c r="F1440" s="2" t="s">
        <v>5508</v>
      </c>
      <c r="G1440" s="2" t="s">
        <v>5508</v>
      </c>
      <c r="H1440" s="2" t="s">
        <v>5508</v>
      </c>
      <c r="I1440" s="2" t="s">
        <v>405</v>
      </c>
      <c r="J1440" s="2" t="s">
        <v>270</v>
      </c>
      <c r="K1440" s="2" t="s">
        <v>861</v>
      </c>
      <c r="L1440" s="3">
        <v>34.85</v>
      </c>
      <c r="M1440" s="3">
        <v>36.59</v>
      </c>
      <c r="N1440" s="3">
        <v>74.99</v>
      </c>
      <c r="O1440" s="2" t="s">
        <v>232</v>
      </c>
      <c r="P1440" s="2" t="s">
        <v>233</v>
      </c>
      <c r="Q1440" s="2" t="s">
        <v>234</v>
      </c>
      <c r="R1440" s="2" t="s">
        <v>235</v>
      </c>
      <c r="S1440" s="2" t="s">
        <v>5509</v>
      </c>
      <c r="T1440" s="2" t="s">
        <v>587</v>
      </c>
      <c r="U1440" s="2" t="s">
        <v>264</v>
      </c>
      <c r="V1440" s="2" t="s">
        <v>238</v>
      </c>
      <c r="W1440" s="2" t="s">
        <v>239</v>
      </c>
      <c r="X1440" s="2" t="s">
        <v>682</v>
      </c>
      <c r="Y1440" s="2" t="s">
        <v>1489</v>
      </c>
      <c r="Z1440" s="4">
        <v>240</v>
      </c>
      <c r="AA1440" s="4">
        <f>=ROUNDDOWN(26.6666666666667,0)</f>
      </c>
      <c r="AB1440" s="5">
        <v>9</v>
      </c>
      <c r="AC1440" s="2" t="s">
        <v>235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235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235</v>
      </c>
      <c r="AW1440" s="8" t="s">
        <v>235</v>
      </c>
      <c r="AX1440" s="4" t="s">
        <v>235</v>
      </c>
      <c r="AY1440" s="8" t="s">
        <v>235</v>
      </c>
      <c r="AZ1440" s="7" t="s">
        <v>235</v>
      </c>
      <c r="BA1440" s="7" t="s">
        <v>235</v>
      </c>
      <c r="BB1440" s="7"/>
      <c r="BC1440" s="4" t="s">
        <v>235</v>
      </c>
      <c r="BD1440" s="8" t="s">
        <v>235</v>
      </c>
      <c r="BE1440" s="4" t="s">
        <v>235</v>
      </c>
      <c r="BF1440" s="8" t="s">
        <v>235</v>
      </c>
      <c r="BG1440" s="7" t="s">
        <v>235</v>
      </c>
      <c r="BH1440" s="7" t="s">
        <v>235</v>
      </c>
      <c r="BI1440" s="7"/>
      <c r="BJ1440" s="4">
        <v>3</v>
      </c>
      <c r="BK1440" s="8">
        <v>117.3</v>
      </c>
      <c r="BL1440" s="2" t="s">
        <v>517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5510</v>
      </c>
      <c r="BV1440" s="2" t="s">
        <v>243</v>
      </c>
      <c r="BW1440" s="2" t="s">
        <v>235</v>
      </c>
      <c r="BX1440" s="2" t="s">
        <v>383</v>
      </c>
      <c r="BY1440" s="2" t="s">
        <v>245</v>
      </c>
      <c r="BZ1440" s="2" t="s">
        <v>232</v>
      </c>
      <c r="CA1440" s="2" t="s">
        <v>1198</v>
      </c>
      <c r="CB1440" s="2" t="s">
        <v>2986</v>
      </c>
      <c r="CC1440" s="2" t="s">
        <v>248</v>
      </c>
      <c r="CD1440" s="2" t="s">
        <v>248</v>
      </c>
      <c r="CE1440" s="2" t="s">
        <v>235</v>
      </c>
      <c r="CF1440" s="4">
        <v>106</v>
      </c>
      <c r="CG1440" s="4">
        <v>134</v>
      </c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>
        <v>240</v>
      </c>
      <c r="GE1440" s="4">
        <v>224</v>
      </c>
      <c r="GF1440" s="4">
        <v>218</v>
      </c>
      <c r="GG1440" s="4">
        <v>210</v>
      </c>
      <c r="GH1440" s="4">
        <v>204</v>
      </c>
      <c r="GI1440" s="4">
        <v>194</v>
      </c>
      <c r="GJ1440" s="4">
        <v>180</v>
      </c>
      <c r="GK1440" s="4">
        <v>165</v>
      </c>
      <c r="GL1440" s="4">
        <v>153</v>
      </c>
      <c r="GM1440" s="4">
        <v>142</v>
      </c>
      <c r="GN1440" s="4">
        <v>128</v>
      </c>
      <c r="GO1440" s="4">
        <v>111</v>
      </c>
      <c r="GP1440" s="4">
        <v>89</v>
      </c>
      <c r="GQ1440" s="4">
        <v>51</v>
      </c>
      <c r="GR1440" s="4">
        <v>36</v>
      </c>
      <c r="GS1440" s="4">
        <v>18</v>
      </c>
      <c r="GT1440" s="4">
        <v>7</v>
      </c>
      <c r="GU1440" s="4">
        <v>1</v>
      </c>
      <c r="GV1440" s="4"/>
      <c r="GW1440" s="4">
        <v>169</v>
      </c>
      <c r="GX1440" s="4">
        <v>160</v>
      </c>
      <c r="GY1440" s="4">
        <v>152</v>
      </c>
      <c r="GZ1440" s="4">
        <v>147</v>
      </c>
      <c r="HA1440" s="4">
        <v>143</v>
      </c>
      <c r="HB1440" s="4">
        <v>139</v>
      </c>
      <c r="HC1440" s="4">
        <v>135</v>
      </c>
      <c r="HD1440" s="19">
        <v>26.7</v>
      </c>
      <c r="HE1440" s="19">
        <v>28</v>
      </c>
      <c r="HF1440" s="19">
        <v>21.8</v>
      </c>
      <c r="HG1440" s="19">
        <v>19.1</v>
      </c>
      <c r="HH1440" s="19">
        <v>15.7</v>
      </c>
      <c r="HI1440" s="19">
        <v>14.9</v>
      </c>
      <c r="HJ1440" s="19">
        <v>13.8</v>
      </c>
      <c r="HK1440" s="19">
        <v>11.8</v>
      </c>
      <c r="HL1440" s="19">
        <v>9.6</v>
      </c>
      <c r="HM1440" s="19">
        <v>6.2</v>
      </c>
      <c r="HN1440" s="19">
        <v>5.6</v>
      </c>
      <c r="HO1440" s="19">
        <v>4.8</v>
      </c>
      <c r="HP1440" s="19">
        <v>4.5</v>
      </c>
      <c r="HQ1440" s="19">
        <v>4.3</v>
      </c>
      <c r="HR1440" s="19">
        <v>3.3</v>
      </c>
      <c r="HS1440" s="19">
        <v>2.3</v>
      </c>
      <c r="HT1440" s="19">
        <v>0.9</v>
      </c>
      <c r="HU1440" s="19">
        <v>0.1</v>
      </c>
      <c r="HV1440" s="20">
        <v>0</v>
      </c>
      <c r="HW1440" s="19">
        <v>28.2</v>
      </c>
      <c r="HX1440" s="19">
        <v>32</v>
      </c>
      <c r="HY1440" s="19">
        <v>38</v>
      </c>
      <c r="HZ1440" s="19">
        <v>36.8</v>
      </c>
      <c r="IA1440" s="19">
        <v>35.8</v>
      </c>
      <c r="IB1440" s="19">
        <v>34.8</v>
      </c>
      <c r="IC1440" s="19">
        <v>33.8</v>
      </c>
    </row>
    <row r="1441">
      <c r="A1441" s="2" t="s">
        <v>5515</v>
      </c>
      <c r="B1441" s="2" t="s">
        <v>323</v>
      </c>
      <c r="C1441" s="2" t="s">
        <v>1036</v>
      </c>
      <c r="D1441" s="2" t="s">
        <v>257</v>
      </c>
      <c r="E1441" s="2" t="s">
        <v>258</v>
      </c>
      <c r="F1441" s="2" t="s">
        <v>5508</v>
      </c>
      <c r="G1441" s="2" t="s">
        <v>5508</v>
      </c>
      <c r="H1441" s="2" t="s">
        <v>5508</v>
      </c>
      <c r="I1441" s="2" t="s">
        <v>405</v>
      </c>
      <c r="J1441" s="2" t="s">
        <v>272</v>
      </c>
      <c r="K1441" s="2" t="s">
        <v>861</v>
      </c>
      <c r="L1441" s="3">
        <v>35.4</v>
      </c>
      <c r="M1441" s="3">
        <v>37.17</v>
      </c>
      <c r="N1441" s="3">
        <v>74.99</v>
      </c>
      <c r="O1441" s="2" t="s">
        <v>232</v>
      </c>
      <c r="P1441" s="2" t="s">
        <v>233</v>
      </c>
      <c r="Q1441" s="2" t="s">
        <v>234</v>
      </c>
      <c r="R1441" s="2" t="s">
        <v>235</v>
      </c>
      <c r="S1441" s="2" t="s">
        <v>5509</v>
      </c>
      <c r="T1441" s="2" t="s">
        <v>587</v>
      </c>
      <c r="U1441" s="2" t="s">
        <v>264</v>
      </c>
      <c r="V1441" s="2" t="s">
        <v>238</v>
      </c>
      <c r="W1441" s="2" t="s">
        <v>239</v>
      </c>
      <c r="X1441" s="2" t="s">
        <v>682</v>
      </c>
      <c r="Y1441" s="2" t="s">
        <v>1489</v>
      </c>
      <c r="Z1441" s="4">
        <v>147</v>
      </c>
      <c r="AA1441" s="4">
        <f>=ROUNDDOWN(21,0)</f>
      </c>
      <c r="AB1441" s="5">
        <v>7</v>
      </c>
      <c r="AC1441" s="2" t="s">
        <v>235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235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235</v>
      </c>
      <c r="AW1441" s="8" t="s">
        <v>235</v>
      </c>
      <c r="AX1441" s="4" t="s">
        <v>235</v>
      </c>
      <c r="AY1441" s="8" t="s">
        <v>235</v>
      </c>
      <c r="AZ1441" s="7" t="s">
        <v>235</v>
      </c>
      <c r="BA1441" s="7" t="s">
        <v>235</v>
      </c>
      <c r="BB1441" s="7"/>
      <c r="BC1441" s="4" t="s">
        <v>235</v>
      </c>
      <c r="BD1441" s="8" t="s">
        <v>235</v>
      </c>
      <c r="BE1441" s="4" t="s">
        <v>235</v>
      </c>
      <c r="BF1441" s="8" t="s">
        <v>235</v>
      </c>
      <c r="BG1441" s="7" t="s">
        <v>235</v>
      </c>
      <c r="BH1441" s="7" t="s">
        <v>235</v>
      </c>
      <c r="BI1441" s="7"/>
      <c r="BJ1441" s="4">
        <v>2</v>
      </c>
      <c r="BK1441" s="8">
        <v>82.06</v>
      </c>
      <c r="BL1441" s="2" t="s">
        <v>1226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5510</v>
      </c>
      <c r="BV1441" s="2" t="s">
        <v>243</v>
      </c>
      <c r="BW1441" s="2" t="s">
        <v>235</v>
      </c>
      <c r="BX1441" s="2" t="s">
        <v>383</v>
      </c>
      <c r="BY1441" s="2" t="s">
        <v>245</v>
      </c>
      <c r="BZ1441" s="2" t="s">
        <v>232</v>
      </c>
      <c r="CA1441" s="2" t="s">
        <v>1198</v>
      </c>
      <c r="CB1441" s="2" t="s">
        <v>2845</v>
      </c>
      <c r="CC1441" s="2" t="s">
        <v>248</v>
      </c>
      <c r="CD1441" s="2" t="s">
        <v>248</v>
      </c>
      <c r="CE1441" s="2" t="s">
        <v>235</v>
      </c>
      <c r="CF1441" s="4">
        <v>1</v>
      </c>
      <c r="CG1441" s="4">
        <v>49</v>
      </c>
      <c r="CH1441" s="4"/>
      <c r="CI1441" s="4">
        <v>97</v>
      </c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>
        <v>147</v>
      </c>
      <c r="GE1441" s="4">
        <v>142</v>
      </c>
      <c r="GF1441" s="4">
        <v>139</v>
      </c>
      <c r="GG1441" s="4">
        <v>135</v>
      </c>
      <c r="GH1441" s="4">
        <v>132</v>
      </c>
      <c r="GI1441" s="4">
        <v>127</v>
      </c>
      <c r="GJ1441" s="4">
        <v>120</v>
      </c>
      <c r="GK1441" s="4">
        <v>112</v>
      </c>
      <c r="GL1441" s="4">
        <v>106</v>
      </c>
      <c r="GM1441" s="4">
        <v>101</v>
      </c>
      <c r="GN1441" s="4">
        <v>94</v>
      </c>
      <c r="GO1441" s="4">
        <v>85</v>
      </c>
      <c r="GP1441" s="4">
        <v>75</v>
      </c>
      <c r="GQ1441" s="4">
        <v>56</v>
      </c>
      <c r="GR1441" s="4">
        <v>49</v>
      </c>
      <c r="GS1441" s="4">
        <v>39</v>
      </c>
      <c r="GT1441" s="4">
        <v>33</v>
      </c>
      <c r="GU1441" s="4">
        <v>29</v>
      </c>
      <c r="GV1441" s="4">
        <v>24</v>
      </c>
      <c r="GW1441" s="4">
        <v>99</v>
      </c>
      <c r="GX1441" s="4">
        <v>95</v>
      </c>
      <c r="GY1441" s="4">
        <v>91</v>
      </c>
      <c r="GZ1441" s="4">
        <v>88</v>
      </c>
      <c r="HA1441" s="4">
        <v>85</v>
      </c>
      <c r="HB1441" s="4">
        <v>82</v>
      </c>
      <c r="HC1441" s="4">
        <v>79</v>
      </c>
      <c r="HD1441" s="19">
        <v>36.8</v>
      </c>
      <c r="HE1441" s="19">
        <v>35.5</v>
      </c>
      <c r="HF1441" s="19">
        <v>27.8</v>
      </c>
      <c r="HG1441" s="19">
        <v>22.5</v>
      </c>
      <c r="HH1441" s="19">
        <v>22</v>
      </c>
      <c r="HI1441" s="19">
        <v>21.2</v>
      </c>
      <c r="HJ1441" s="19">
        <v>20</v>
      </c>
      <c r="HK1441" s="19">
        <v>16</v>
      </c>
      <c r="HL1441" s="19">
        <v>13.3</v>
      </c>
      <c r="HM1441" s="19">
        <v>9.2</v>
      </c>
      <c r="HN1441" s="19">
        <v>8.5</v>
      </c>
      <c r="HO1441" s="19">
        <v>7.1</v>
      </c>
      <c r="HP1441" s="19">
        <v>7.5</v>
      </c>
      <c r="HQ1441" s="19">
        <v>8</v>
      </c>
      <c r="HR1441" s="19">
        <v>8.2</v>
      </c>
      <c r="HS1441" s="19">
        <v>9.8</v>
      </c>
      <c r="HT1441" s="19">
        <v>8.3</v>
      </c>
      <c r="HU1441" s="19">
        <v>7.3</v>
      </c>
      <c r="HV1441" s="19">
        <v>6</v>
      </c>
      <c r="HW1441" s="19">
        <v>24.8</v>
      </c>
      <c r="HX1441" s="19">
        <v>31.7</v>
      </c>
      <c r="HY1441" s="19">
        <v>30.3</v>
      </c>
      <c r="HZ1441" s="19">
        <v>29.3</v>
      </c>
      <c r="IA1441" s="19">
        <v>28.3</v>
      </c>
      <c r="IB1441" s="19">
        <v>41</v>
      </c>
      <c r="IC1441" s="19">
        <v>39.5</v>
      </c>
    </row>
    <row r="1442">
      <c r="A1442" s="2" t="s">
        <v>5516</v>
      </c>
      <c r="B1442" s="2" t="s">
        <v>323</v>
      </c>
      <c r="C1442" s="2" t="s">
        <v>1036</v>
      </c>
      <c r="D1442" s="2" t="s">
        <v>257</v>
      </c>
      <c r="E1442" s="2" t="s">
        <v>258</v>
      </c>
      <c r="F1442" s="2" t="s">
        <v>5508</v>
      </c>
      <c r="G1442" s="2" t="s">
        <v>5508</v>
      </c>
      <c r="H1442" s="2" t="s">
        <v>5508</v>
      </c>
      <c r="I1442" s="2" t="s">
        <v>405</v>
      </c>
      <c r="J1442" s="2" t="s">
        <v>230</v>
      </c>
      <c r="K1442" s="2" t="s">
        <v>378</v>
      </c>
      <c r="L1442" s="3">
        <v>25.3</v>
      </c>
      <c r="M1442" s="3">
        <v>26.56</v>
      </c>
      <c r="N1442" s="3">
        <v>53.99</v>
      </c>
      <c r="O1442" s="2" t="s">
        <v>232</v>
      </c>
      <c r="P1442" s="2" t="s">
        <v>233</v>
      </c>
      <c r="Q1442" s="2" t="s">
        <v>234</v>
      </c>
      <c r="R1442" s="2" t="s">
        <v>235</v>
      </c>
      <c r="S1442" s="2" t="s">
        <v>5517</v>
      </c>
      <c r="T1442" s="2" t="s">
        <v>587</v>
      </c>
      <c r="U1442" s="2" t="s">
        <v>552</v>
      </c>
      <c r="V1442" s="2" t="s">
        <v>238</v>
      </c>
      <c r="W1442" s="2" t="s">
        <v>239</v>
      </c>
      <c r="X1442" s="2" t="s">
        <v>682</v>
      </c>
      <c r="Y1442" s="2" t="s">
        <v>5518</v>
      </c>
      <c r="Z1442" s="4">
        <v>33</v>
      </c>
      <c r="AA1442" s="4">
        <f>=ROUNDDOWN(11.7857142857143,0)</f>
      </c>
      <c r="AB1442" s="5">
        <v>2.8</v>
      </c>
      <c r="AC1442" s="2" t="s">
        <v>883</v>
      </c>
      <c r="AD1442" s="4">
        <v>90</v>
      </c>
      <c r="AE1442" s="4">
        <v>90</v>
      </c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235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235</v>
      </c>
      <c r="AW1442" s="8" t="s">
        <v>235</v>
      </c>
      <c r="AX1442" s="4" t="s">
        <v>235</v>
      </c>
      <c r="AY1442" s="8" t="s">
        <v>235</v>
      </c>
      <c r="AZ1442" s="7" t="s">
        <v>235</v>
      </c>
      <c r="BA1442" s="7" t="s">
        <v>235</v>
      </c>
      <c r="BB1442" s="7"/>
      <c r="BC1442" s="4" t="s">
        <v>235</v>
      </c>
      <c r="BD1442" s="8" t="s">
        <v>235</v>
      </c>
      <c r="BE1442" s="4" t="s">
        <v>235</v>
      </c>
      <c r="BF1442" s="8" t="s">
        <v>235</v>
      </c>
      <c r="BG1442" s="7" t="s">
        <v>235</v>
      </c>
      <c r="BH1442" s="7" t="s">
        <v>235</v>
      </c>
      <c r="BI1442" s="7"/>
      <c r="BJ1442" s="4"/>
      <c r="BK1442" s="8"/>
      <c r="BL1442" s="2" t="s">
        <v>422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5510</v>
      </c>
      <c r="BV1442" s="2" t="s">
        <v>243</v>
      </c>
      <c r="BW1442" s="2" t="s">
        <v>235</v>
      </c>
      <c r="BX1442" s="2" t="s">
        <v>383</v>
      </c>
      <c r="BY1442" s="2" t="s">
        <v>245</v>
      </c>
      <c r="BZ1442" s="2" t="s">
        <v>232</v>
      </c>
      <c r="CA1442" s="2" t="s">
        <v>5519</v>
      </c>
      <c r="CB1442" s="2" t="s">
        <v>3238</v>
      </c>
      <c r="CC1442" s="2" t="s">
        <v>248</v>
      </c>
      <c r="CD1442" s="2" t="s">
        <v>248</v>
      </c>
      <c r="CE1442" s="2" t="s">
        <v>235</v>
      </c>
      <c r="CF1442" s="4"/>
      <c r="CG1442" s="4">
        <v>33</v>
      </c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>
        <v>90</v>
      </c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>
        <v>33</v>
      </c>
      <c r="GE1442" s="4">
        <v>117</v>
      </c>
      <c r="GF1442" s="4">
        <v>114</v>
      </c>
      <c r="GG1442" s="4">
        <v>110</v>
      </c>
      <c r="GH1442" s="4">
        <v>107</v>
      </c>
      <c r="GI1442" s="4">
        <v>103</v>
      </c>
      <c r="GJ1442" s="4">
        <v>98</v>
      </c>
      <c r="GK1442" s="4">
        <v>92</v>
      </c>
      <c r="GL1442" s="4">
        <v>87</v>
      </c>
      <c r="GM1442" s="4">
        <v>83</v>
      </c>
      <c r="GN1442" s="4">
        <v>78</v>
      </c>
      <c r="GO1442" s="4">
        <v>72</v>
      </c>
      <c r="GP1442" s="4">
        <v>64</v>
      </c>
      <c r="GQ1442" s="4">
        <v>53</v>
      </c>
      <c r="GR1442" s="4">
        <v>48</v>
      </c>
      <c r="GS1442" s="4">
        <v>42</v>
      </c>
      <c r="GT1442" s="4">
        <v>38</v>
      </c>
      <c r="GU1442" s="4">
        <v>36</v>
      </c>
      <c r="GV1442" s="4">
        <v>34</v>
      </c>
      <c r="GW1442" s="4">
        <v>32</v>
      </c>
      <c r="GX1442" s="4">
        <v>30</v>
      </c>
      <c r="GY1442" s="4">
        <v>28</v>
      </c>
      <c r="GZ1442" s="4">
        <v>27</v>
      </c>
      <c r="HA1442" s="4">
        <v>26</v>
      </c>
      <c r="HB1442" s="4">
        <v>26</v>
      </c>
      <c r="HC1442" s="4">
        <v>26</v>
      </c>
      <c r="HD1442" s="19">
        <v>8.3</v>
      </c>
      <c r="HE1442" s="19">
        <v>29.3</v>
      </c>
      <c r="HF1442" s="19">
        <v>28.5</v>
      </c>
      <c r="HG1442" s="19">
        <v>27.5</v>
      </c>
      <c r="HH1442" s="19">
        <v>21.4</v>
      </c>
      <c r="HI1442" s="19">
        <v>20.6</v>
      </c>
      <c r="HJ1442" s="19">
        <v>19.6</v>
      </c>
      <c r="HK1442" s="19">
        <v>18.4</v>
      </c>
      <c r="HL1442" s="19">
        <v>14.5</v>
      </c>
      <c r="HM1442" s="19">
        <v>10.4</v>
      </c>
      <c r="HN1442" s="19">
        <v>9.8</v>
      </c>
      <c r="HO1442" s="19">
        <v>9</v>
      </c>
      <c r="HP1442" s="19">
        <v>10.7</v>
      </c>
      <c r="HQ1442" s="19">
        <v>13.3</v>
      </c>
      <c r="HR1442" s="19">
        <v>12</v>
      </c>
      <c r="HS1442" s="19">
        <v>21</v>
      </c>
      <c r="HT1442" s="19">
        <v>19</v>
      </c>
      <c r="HU1442" s="19">
        <v>18</v>
      </c>
      <c r="HV1442" s="19">
        <v>17</v>
      </c>
      <c r="HW1442" s="19">
        <v>16</v>
      </c>
      <c r="HX1442" s="19">
        <v>30</v>
      </c>
      <c r="HY1442" s="20">
        <v>0</v>
      </c>
      <c r="HZ1442" s="20">
        <v>0</v>
      </c>
      <c r="IA1442" s="9"/>
      <c r="IB1442" s="9"/>
      <c r="IC1442" s="9"/>
    </row>
    <row r="1443">
      <c r="A1443" s="2" t="s">
        <v>5520</v>
      </c>
      <c r="B1443" s="2" t="s">
        <v>323</v>
      </c>
      <c r="C1443" s="2" t="s">
        <v>1036</v>
      </c>
      <c r="D1443" s="2" t="s">
        <v>257</v>
      </c>
      <c r="E1443" s="2" t="s">
        <v>258</v>
      </c>
      <c r="F1443" s="2" t="s">
        <v>5508</v>
      </c>
      <c r="G1443" s="2" t="s">
        <v>5508</v>
      </c>
      <c r="H1443" s="2" t="s">
        <v>5508</v>
      </c>
      <c r="I1443" s="2" t="s">
        <v>405</v>
      </c>
      <c r="J1443" s="2" t="s">
        <v>250</v>
      </c>
      <c r="K1443" s="2" t="s">
        <v>378</v>
      </c>
      <c r="L1443" s="3">
        <v>28.05</v>
      </c>
      <c r="M1443" s="3">
        <v>29.45</v>
      </c>
      <c r="N1443" s="3">
        <v>59.99</v>
      </c>
      <c r="O1443" s="2" t="s">
        <v>232</v>
      </c>
      <c r="P1443" s="2" t="s">
        <v>233</v>
      </c>
      <c r="Q1443" s="2" t="s">
        <v>234</v>
      </c>
      <c r="R1443" s="2" t="s">
        <v>235</v>
      </c>
      <c r="S1443" s="2" t="s">
        <v>5517</v>
      </c>
      <c r="T1443" s="2" t="s">
        <v>587</v>
      </c>
      <c r="U1443" s="2" t="s">
        <v>264</v>
      </c>
      <c r="V1443" s="2" t="s">
        <v>238</v>
      </c>
      <c r="W1443" s="2" t="s">
        <v>239</v>
      </c>
      <c r="X1443" s="2" t="s">
        <v>682</v>
      </c>
      <c r="Y1443" s="2" t="s">
        <v>5518</v>
      </c>
      <c r="Z1443" s="4">
        <v>90</v>
      </c>
      <c r="AA1443" s="4">
        <f>=ROUNDDOWN(18,0)</f>
      </c>
      <c r="AB1443" s="5">
        <v>5</v>
      </c>
      <c r="AC1443" s="2" t="s">
        <v>883</v>
      </c>
      <c r="AD1443" s="4">
        <v>60</v>
      </c>
      <c r="AE1443" s="4">
        <v>60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235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235</v>
      </c>
      <c r="AW1443" s="8" t="s">
        <v>235</v>
      </c>
      <c r="AX1443" s="4" t="s">
        <v>235</v>
      </c>
      <c r="AY1443" s="8" t="s">
        <v>235</v>
      </c>
      <c r="AZ1443" s="7" t="s">
        <v>235</v>
      </c>
      <c r="BA1443" s="7" t="s">
        <v>235</v>
      </c>
      <c r="BB1443" s="7"/>
      <c r="BC1443" s="4" t="s">
        <v>235</v>
      </c>
      <c r="BD1443" s="8" t="s">
        <v>235</v>
      </c>
      <c r="BE1443" s="4" t="s">
        <v>235</v>
      </c>
      <c r="BF1443" s="8" t="s">
        <v>235</v>
      </c>
      <c r="BG1443" s="7" t="s">
        <v>235</v>
      </c>
      <c r="BH1443" s="7" t="s">
        <v>235</v>
      </c>
      <c r="BI1443" s="7"/>
      <c r="BJ1443" s="4">
        <v>6</v>
      </c>
      <c r="BK1443" s="8">
        <v>193.18</v>
      </c>
      <c r="BL1443" s="2" t="s">
        <v>1254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5510</v>
      </c>
      <c r="BV1443" s="2" t="s">
        <v>243</v>
      </c>
      <c r="BW1443" s="2" t="s">
        <v>235</v>
      </c>
      <c r="BX1443" s="2" t="s">
        <v>383</v>
      </c>
      <c r="BY1443" s="2" t="s">
        <v>245</v>
      </c>
      <c r="BZ1443" s="2" t="s">
        <v>232</v>
      </c>
      <c r="CA1443" s="2" t="s">
        <v>5519</v>
      </c>
      <c r="CB1443" s="2" t="s">
        <v>5521</v>
      </c>
      <c r="CC1443" s="2" t="s">
        <v>248</v>
      </c>
      <c r="CD1443" s="2" t="s">
        <v>248</v>
      </c>
      <c r="CE1443" s="2" t="s">
        <v>235</v>
      </c>
      <c r="CF1443" s="4">
        <v>13</v>
      </c>
      <c r="CG1443" s="4">
        <v>77</v>
      </c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>
        <v>60</v>
      </c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>
        <v>90</v>
      </c>
      <c r="GE1443" s="4">
        <v>146</v>
      </c>
      <c r="GF1443" s="4">
        <v>142</v>
      </c>
      <c r="GG1443" s="4">
        <v>137</v>
      </c>
      <c r="GH1443" s="4">
        <v>133</v>
      </c>
      <c r="GI1443" s="4">
        <v>128</v>
      </c>
      <c r="GJ1443" s="4">
        <v>120</v>
      </c>
      <c r="GK1443" s="4">
        <v>112</v>
      </c>
      <c r="GL1443" s="4">
        <v>106</v>
      </c>
      <c r="GM1443" s="4">
        <v>100</v>
      </c>
      <c r="GN1443" s="4">
        <v>93</v>
      </c>
      <c r="GO1443" s="4">
        <v>84</v>
      </c>
      <c r="GP1443" s="4">
        <v>73</v>
      </c>
      <c r="GQ1443" s="4">
        <v>55</v>
      </c>
      <c r="GR1443" s="4">
        <v>47</v>
      </c>
      <c r="GS1443" s="4">
        <v>37</v>
      </c>
      <c r="GT1443" s="4">
        <v>31</v>
      </c>
      <c r="GU1443" s="4">
        <v>27</v>
      </c>
      <c r="GV1443" s="4">
        <v>22</v>
      </c>
      <c r="GW1443" s="4">
        <v>19</v>
      </c>
      <c r="GX1443" s="4">
        <v>16</v>
      </c>
      <c r="GY1443" s="4">
        <v>13</v>
      </c>
      <c r="GZ1443" s="4">
        <v>11</v>
      </c>
      <c r="HA1443" s="4">
        <v>8</v>
      </c>
      <c r="HB1443" s="4">
        <v>6</v>
      </c>
      <c r="HC1443" s="4">
        <v>4</v>
      </c>
      <c r="HD1443" s="19">
        <v>22.5</v>
      </c>
      <c r="HE1443" s="19">
        <v>36.5</v>
      </c>
      <c r="HF1443" s="19">
        <v>23.7</v>
      </c>
      <c r="HG1443" s="19">
        <v>22.8</v>
      </c>
      <c r="HH1443" s="19">
        <v>19</v>
      </c>
      <c r="HI1443" s="19">
        <v>18.3</v>
      </c>
      <c r="HJ1443" s="19">
        <v>17.1</v>
      </c>
      <c r="HK1443" s="19">
        <v>16</v>
      </c>
      <c r="HL1443" s="19">
        <v>13.3</v>
      </c>
      <c r="HM1443" s="19">
        <v>9.1</v>
      </c>
      <c r="HN1443" s="19">
        <v>7.8</v>
      </c>
      <c r="HO1443" s="19">
        <v>7</v>
      </c>
      <c r="HP1443" s="19">
        <v>7.3</v>
      </c>
      <c r="HQ1443" s="19">
        <v>7.9</v>
      </c>
      <c r="HR1443" s="19">
        <v>7.8</v>
      </c>
      <c r="HS1443" s="19">
        <v>9.3</v>
      </c>
      <c r="HT1443" s="19">
        <v>7.8</v>
      </c>
      <c r="HU1443" s="19">
        <v>6.8</v>
      </c>
      <c r="HV1443" s="19">
        <v>7.3</v>
      </c>
      <c r="HW1443" s="19">
        <v>6.3</v>
      </c>
      <c r="HX1443" s="19">
        <v>8</v>
      </c>
      <c r="HY1443" s="19">
        <v>6.5</v>
      </c>
      <c r="HZ1443" s="19">
        <v>5.5</v>
      </c>
      <c r="IA1443" s="19">
        <v>4</v>
      </c>
      <c r="IB1443" s="19">
        <v>3</v>
      </c>
      <c r="IC1443" s="19">
        <v>4</v>
      </c>
    </row>
    <row r="1444">
      <c r="A1444" s="2" t="s">
        <v>5522</v>
      </c>
      <c r="B1444" s="2" t="s">
        <v>323</v>
      </c>
      <c r="C1444" s="2" t="s">
        <v>1036</v>
      </c>
      <c r="D1444" s="2" t="s">
        <v>257</v>
      </c>
      <c r="E1444" s="2" t="s">
        <v>258</v>
      </c>
      <c r="F1444" s="2" t="s">
        <v>5508</v>
      </c>
      <c r="G1444" s="2" t="s">
        <v>5508</v>
      </c>
      <c r="H1444" s="2" t="s">
        <v>5508</v>
      </c>
      <c r="I1444" s="2" t="s">
        <v>405</v>
      </c>
      <c r="J1444" s="2" t="s">
        <v>272</v>
      </c>
      <c r="K1444" s="2" t="s">
        <v>378</v>
      </c>
      <c r="L1444" s="3">
        <v>35.4</v>
      </c>
      <c r="M1444" s="3">
        <v>37.17</v>
      </c>
      <c r="N1444" s="3">
        <v>74.99</v>
      </c>
      <c r="O1444" s="2" t="s">
        <v>232</v>
      </c>
      <c r="P1444" s="2" t="s">
        <v>233</v>
      </c>
      <c r="Q1444" s="2" t="s">
        <v>234</v>
      </c>
      <c r="R1444" s="2" t="s">
        <v>235</v>
      </c>
      <c r="S1444" s="2" t="s">
        <v>5517</v>
      </c>
      <c r="T1444" s="2" t="s">
        <v>587</v>
      </c>
      <c r="U1444" s="2" t="s">
        <v>264</v>
      </c>
      <c r="V1444" s="2" t="s">
        <v>238</v>
      </c>
      <c r="W1444" s="2" t="s">
        <v>239</v>
      </c>
      <c r="X1444" s="2" t="s">
        <v>682</v>
      </c>
      <c r="Y1444" s="2" t="s">
        <v>5518</v>
      </c>
      <c r="Z1444" s="4">
        <v>46</v>
      </c>
      <c r="AA1444" s="4">
        <f>=ROUNDDOWN(15.3333333333333,0)</f>
      </c>
      <c r="AB1444" s="5">
        <v>3</v>
      </c>
      <c r="AC1444" s="2" t="s">
        <v>883</v>
      </c>
      <c r="AD1444" s="4">
        <v>40</v>
      </c>
      <c r="AE1444" s="4">
        <v>40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235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235</v>
      </c>
      <c r="AW1444" s="8" t="s">
        <v>235</v>
      </c>
      <c r="AX1444" s="4" t="s">
        <v>235</v>
      </c>
      <c r="AY1444" s="8" t="s">
        <v>235</v>
      </c>
      <c r="AZ1444" s="7" t="s">
        <v>235</v>
      </c>
      <c r="BA1444" s="7" t="s">
        <v>235</v>
      </c>
      <c r="BB1444" s="7"/>
      <c r="BC1444" s="4" t="s">
        <v>235</v>
      </c>
      <c r="BD1444" s="8" t="s">
        <v>235</v>
      </c>
      <c r="BE1444" s="4" t="s">
        <v>235</v>
      </c>
      <c r="BF1444" s="8" t="s">
        <v>235</v>
      </c>
      <c r="BG1444" s="7" t="s">
        <v>235</v>
      </c>
      <c r="BH1444" s="7" t="s">
        <v>235</v>
      </c>
      <c r="BI1444" s="7"/>
      <c r="BJ1444" s="4"/>
      <c r="BK1444" s="8"/>
      <c r="BL1444" s="2" t="s">
        <v>1616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5510</v>
      </c>
      <c r="BV1444" s="2" t="s">
        <v>243</v>
      </c>
      <c r="BW1444" s="2" t="s">
        <v>235</v>
      </c>
      <c r="BX1444" s="2" t="s">
        <v>383</v>
      </c>
      <c r="BY1444" s="2" t="s">
        <v>245</v>
      </c>
      <c r="BZ1444" s="2" t="s">
        <v>232</v>
      </c>
      <c r="CA1444" s="2" t="s">
        <v>5519</v>
      </c>
      <c r="CB1444" s="2" t="s">
        <v>5523</v>
      </c>
      <c r="CC1444" s="2" t="s">
        <v>248</v>
      </c>
      <c r="CD1444" s="2" t="s">
        <v>248</v>
      </c>
      <c r="CE1444" s="2" t="s">
        <v>235</v>
      </c>
      <c r="CF1444" s="4"/>
      <c r="CG1444" s="4">
        <v>46</v>
      </c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>
        <v>40</v>
      </c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>
        <v>47</v>
      </c>
      <c r="GE1444" s="4">
        <v>82</v>
      </c>
      <c r="GF1444" s="4">
        <v>80</v>
      </c>
      <c r="GG1444" s="4">
        <v>78</v>
      </c>
      <c r="GH1444" s="4">
        <v>76</v>
      </c>
      <c r="GI1444" s="4">
        <v>73</v>
      </c>
      <c r="GJ1444" s="4">
        <v>69</v>
      </c>
      <c r="GK1444" s="4">
        <v>65</v>
      </c>
      <c r="GL1444" s="4">
        <v>61</v>
      </c>
      <c r="GM1444" s="4">
        <v>58</v>
      </c>
      <c r="GN1444" s="4">
        <v>54</v>
      </c>
      <c r="GO1444" s="4">
        <v>48</v>
      </c>
      <c r="GP1444" s="4">
        <v>41</v>
      </c>
      <c r="GQ1444" s="4">
        <v>29</v>
      </c>
      <c r="GR1444" s="4">
        <v>24</v>
      </c>
      <c r="GS1444" s="4">
        <v>18</v>
      </c>
      <c r="GT1444" s="4">
        <v>15</v>
      </c>
      <c r="GU1444" s="4">
        <v>13</v>
      </c>
      <c r="GV1444" s="4">
        <v>10</v>
      </c>
      <c r="GW1444" s="4">
        <v>8</v>
      </c>
      <c r="GX1444" s="4">
        <v>6</v>
      </c>
      <c r="GY1444" s="4">
        <v>4</v>
      </c>
      <c r="GZ1444" s="4">
        <v>3</v>
      </c>
      <c r="HA1444" s="4">
        <v>2</v>
      </c>
      <c r="HB1444" s="4">
        <v>1</v>
      </c>
      <c r="HC1444" s="4"/>
      <c r="HD1444" s="19">
        <v>15.7</v>
      </c>
      <c r="HE1444" s="19">
        <v>41</v>
      </c>
      <c r="HF1444" s="19">
        <v>26.7</v>
      </c>
      <c r="HG1444" s="19">
        <v>26</v>
      </c>
      <c r="HH1444" s="19">
        <v>19</v>
      </c>
      <c r="HI1444" s="19">
        <v>18.3</v>
      </c>
      <c r="HJ1444" s="19">
        <v>17.3</v>
      </c>
      <c r="HK1444" s="19">
        <v>16.3</v>
      </c>
      <c r="HL1444" s="19">
        <v>12.2</v>
      </c>
      <c r="HM1444" s="19">
        <v>8.3</v>
      </c>
      <c r="HN1444" s="19">
        <v>6.8</v>
      </c>
      <c r="HO1444" s="19">
        <v>6</v>
      </c>
      <c r="HP1444" s="19">
        <v>6.8</v>
      </c>
      <c r="HQ1444" s="19">
        <v>7.3</v>
      </c>
      <c r="HR1444" s="19">
        <v>6</v>
      </c>
      <c r="HS1444" s="19">
        <v>9</v>
      </c>
      <c r="HT1444" s="19">
        <v>7.5</v>
      </c>
      <c r="HU1444" s="19">
        <v>6.5</v>
      </c>
      <c r="HV1444" s="19">
        <v>5</v>
      </c>
      <c r="HW1444" s="19">
        <v>4</v>
      </c>
      <c r="HX1444" s="19">
        <v>6</v>
      </c>
      <c r="HY1444" s="19">
        <v>4</v>
      </c>
      <c r="HZ1444" s="19">
        <v>3</v>
      </c>
      <c r="IA1444" s="19">
        <v>2</v>
      </c>
      <c r="IB1444" s="19">
        <v>1</v>
      </c>
      <c r="IC1444" s="20">
        <v>0</v>
      </c>
    </row>
    <row r="1445">
      <c r="A1445" s="2" t="s">
        <v>5524</v>
      </c>
      <c r="B1445" s="2" t="s">
        <v>323</v>
      </c>
      <c r="C1445" s="2" t="s">
        <v>1036</v>
      </c>
      <c r="D1445" s="2" t="s">
        <v>257</v>
      </c>
      <c r="E1445" s="2" t="s">
        <v>258</v>
      </c>
      <c r="F1445" s="2" t="s">
        <v>5508</v>
      </c>
      <c r="G1445" s="2" t="s">
        <v>5508</v>
      </c>
      <c r="H1445" s="2" t="s">
        <v>5508</v>
      </c>
      <c r="I1445" s="2" t="s">
        <v>405</v>
      </c>
      <c r="J1445" s="2" t="s">
        <v>394</v>
      </c>
      <c r="K1445" s="2" t="s">
        <v>231</v>
      </c>
      <c r="L1445" s="3">
        <v>23.82</v>
      </c>
      <c r="M1445" s="3">
        <v>25.01</v>
      </c>
      <c r="N1445" s="3">
        <v>49.99</v>
      </c>
      <c r="O1445" s="2" t="s">
        <v>232</v>
      </c>
      <c r="P1445" s="2" t="s">
        <v>233</v>
      </c>
      <c r="Q1445" s="2" t="s">
        <v>234</v>
      </c>
      <c r="R1445" s="2" t="s">
        <v>235</v>
      </c>
      <c r="S1445" s="2" t="s">
        <v>5525</v>
      </c>
      <c r="T1445" s="2" t="s">
        <v>587</v>
      </c>
      <c r="U1445" s="2" t="s">
        <v>552</v>
      </c>
      <c r="V1445" s="2" t="s">
        <v>238</v>
      </c>
      <c r="W1445" s="2" t="s">
        <v>239</v>
      </c>
      <c r="X1445" s="2" t="s">
        <v>682</v>
      </c>
      <c r="Y1445" s="2" t="s">
        <v>240</v>
      </c>
      <c r="Z1445" s="4">
        <v>291</v>
      </c>
      <c r="AA1445" s="4">
        <f>=ROUNDDOWN(19.4,0)</f>
      </c>
      <c r="AB1445" s="5">
        <v>15</v>
      </c>
      <c r="AC1445" s="2" t="s">
        <v>266</v>
      </c>
      <c r="AD1445" s="4">
        <v>100</v>
      </c>
      <c r="AE1445" s="4">
        <v>100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235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235</v>
      </c>
      <c r="AW1445" s="8" t="s">
        <v>235</v>
      </c>
      <c r="AX1445" s="4" t="s">
        <v>235</v>
      </c>
      <c r="AY1445" s="8" t="s">
        <v>235</v>
      </c>
      <c r="AZ1445" s="7" t="s">
        <v>235</v>
      </c>
      <c r="BA1445" s="7" t="s">
        <v>235</v>
      </c>
      <c r="BB1445" s="7"/>
      <c r="BC1445" s="4" t="s">
        <v>235</v>
      </c>
      <c r="BD1445" s="8" t="s">
        <v>235</v>
      </c>
      <c r="BE1445" s="4" t="s">
        <v>235</v>
      </c>
      <c r="BF1445" s="8" t="s">
        <v>235</v>
      </c>
      <c r="BG1445" s="7" t="s">
        <v>235</v>
      </c>
      <c r="BH1445" s="7" t="s">
        <v>235</v>
      </c>
      <c r="BI1445" s="7"/>
      <c r="BJ1445" s="4">
        <v>6</v>
      </c>
      <c r="BK1445" s="8">
        <v>157.55</v>
      </c>
      <c r="BL1445" s="2" t="s">
        <v>5526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5510</v>
      </c>
      <c r="BV1445" s="2" t="s">
        <v>243</v>
      </c>
      <c r="BW1445" s="2" t="s">
        <v>235</v>
      </c>
      <c r="BX1445" s="2" t="s">
        <v>383</v>
      </c>
      <c r="BY1445" s="2" t="s">
        <v>245</v>
      </c>
      <c r="BZ1445" s="2" t="s">
        <v>232</v>
      </c>
      <c r="CA1445" s="2" t="s">
        <v>252</v>
      </c>
      <c r="CB1445" s="2" t="s">
        <v>1866</v>
      </c>
      <c r="CC1445" s="2" t="s">
        <v>248</v>
      </c>
      <c r="CD1445" s="2" t="s">
        <v>248</v>
      </c>
      <c r="CE1445" s="2" t="s">
        <v>235</v>
      </c>
      <c r="CF1445" s="4">
        <v>89</v>
      </c>
      <c r="CG1445" s="4"/>
      <c r="CH1445" s="4"/>
      <c r="CI1445" s="4">
        <v>202</v>
      </c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>
        <v>100</v>
      </c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>
        <v>291</v>
      </c>
      <c r="GE1445" s="4">
        <v>342</v>
      </c>
      <c r="GF1445" s="4">
        <v>329</v>
      </c>
      <c r="GG1445" s="4">
        <v>311</v>
      </c>
      <c r="GH1445" s="4">
        <v>298</v>
      </c>
      <c r="GI1445" s="4">
        <v>278</v>
      </c>
      <c r="GJ1445" s="4">
        <v>251</v>
      </c>
      <c r="GK1445" s="4">
        <v>225</v>
      </c>
      <c r="GL1445" s="4">
        <v>199</v>
      </c>
      <c r="GM1445" s="4">
        <v>174</v>
      </c>
      <c r="GN1445" s="4">
        <v>156</v>
      </c>
      <c r="GO1445" s="4">
        <v>142</v>
      </c>
      <c r="GP1445" s="4">
        <v>126</v>
      </c>
      <c r="GQ1445" s="4">
        <v>100</v>
      </c>
      <c r="GR1445" s="4">
        <v>88</v>
      </c>
      <c r="GS1445" s="4">
        <v>75</v>
      </c>
      <c r="GT1445" s="4">
        <v>65</v>
      </c>
      <c r="GU1445" s="4">
        <v>58</v>
      </c>
      <c r="GV1445" s="4">
        <v>48</v>
      </c>
      <c r="GW1445" s="4">
        <v>41</v>
      </c>
      <c r="GX1445" s="4">
        <v>34</v>
      </c>
      <c r="GY1445" s="4">
        <v>27</v>
      </c>
      <c r="GZ1445" s="4">
        <v>22</v>
      </c>
      <c r="HA1445" s="4">
        <v>39</v>
      </c>
      <c r="HB1445" s="4">
        <v>34</v>
      </c>
      <c r="HC1445" s="4">
        <v>29</v>
      </c>
      <c r="HD1445" s="19">
        <v>12.7</v>
      </c>
      <c r="HE1445" s="19">
        <v>21.4</v>
      </c>
      <c r="HF1445" s="19">
        <v>16.5</v>
      </c>
      <c r="HG1445" s="19">
        <v>14.1</v>
      </c>
      <c r="HH1445" s="19">
        <v>11.9</v>
      </c>
      <c r="HI1445" s="19">
        <v>10.7</v>
      </c>
      <c r="HJ1445" s="19">
        <v>10.5</v>
      </c>
      <c r="HK1445" s="19">
        <v>10.7</v>
      </c>
      <c r="HL1445" s="19">
        <v>11.1</v>
      </c>
      <c r="HM1445" s="19">
        <v>9.7</v>
      </c>
      <c r="HN1445" s="19">
        <v>9.2</v>
      </c>
      <c r="HO1445" s="19">
        <v>8.4</v>
      </c>
      <c r="HP1445" s="19">
        <v>8.4</v>
      </c>
      <c r="HQ1445" s="19">
        <v>10</v>
      </c>
      <c r="HR1445" s="19">
        <v>8.8</v>
      </c>
      <c r="HS1445" s="19">
        <v>9.4</v>
      </c>
      <c r="HT1445" s="19">
        <v>8.1</v>
      </c>
      <c r="HU1445" s="19">
        <v>7.3</v>
      </c>
      <c r="HV1445" s="19">
        <v>8</v>
      </c>
      <c r="HW1445" s="19">
        <v>6.8</v>
      </c>
      <c r="HX1445" s="19">
        <v>5.7</v>
      </c>
      <c r="HY1445" s="19">
        <v>5.4</v>
      </c>
      <c r="HZ1445" s="19">
        <v>4.4</v>
      </c>
      <c r="IA1445" s="19">
        <v>7.8</v>
      </c>
      <c r="IB1445" s="19">
        <v>8.5</v>
      </c>
      <c r="IC1445" s="19">
        <v>7.3</v>
      </c>
    </row>
    <row r="1446">
      <c r="A1446" s="2" t="s">
        <v>5527</v>
      </c>
      <c r="B1446" s="2" t="s">
        <v>323</v>
      </c>
      <c r="C1446" s="2" t="s">
        <v>1036</v>
      </c>
      <c r="D1446" s="2" t="s">
        <v>257</v>
      </c>
      <c r="E1446" s="2" t="s">
        <v>258</v>
      </c>
      <c r="F1446" s="2" t="s">
        <v>5508</v>
      </c>
      <c r="G1446" s="2" t="s">
        <v>5508</v>
      </c>
      <c r="H1446" s="2" t="s">
        <v>5508</v>
      </c>
      <c r="I1446" s="2" t="s">
        <v>405</v>
      </c>
      <c r="J1446" s="2" t="s">
        <v>250</v>
      </c>
      <c r="K1446" s="2" t="s">
        <v>231</v>
      </c>
      <c r="L1446" s="3">
        <v>28.05</v>
      </c>
      <c r="M1446" s="3">
        <v>29.45</v>
      </c>
      <c r="N1446" s="3">
        <v>59.99</v>
      </c>
      <c r="O1446" s="2" t="s">
        <v>232</v>
      </c>
      <c r="P1446" s="2" t="s">
        <v>233</v>
      </c>
      <c r="Q1446" s="2" t="s">
        <v>234</v>
      </c>
      <c r="R1446" s="2" t="s">
        <v>235</v>
      </c>
      <c r="S1446" s="2" t="s">
        <v>5525</v>
      </c>
      <c r="T1446" s="2" t="s">
        <v>587</v>
      </c>
      <c r="U1446" s="2" t="s">
        <v>264</v>
      </c>
      <c r="V1446" s="2" t="s">
        <v>238</v>
      </c>
      <c r="W1446" s="2" t="s">
        <v>239</v>
      </c>
      <c r="X1446" s="2" t="s">
        <v>682</v>
      </c>
      <c r="Y1446" s="2" t="s">
        <v>240</v>
      </c>
      <c r="Z1446" s="4">
        <v>295</v>
      </c>
      <c r="AA1446" s="4">
        <f>=ROUNDDOWN(19.6666666666667,0)</f>
      </c>
      <c r="AB1446" s="5">
        <v>15</v>
      </c>
      <c r="AC1446" s="2" t="s">
        <v>266</v>
      </c>
      <c r="AD1446" s="4">
        <v>170</v>
      </c>
      <c r="AE1446" s="4">
        <v>170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235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235</v>
      </c>
      <c r="AW1446" s="8" t="s">
        <v>235</v>
      </c>
      <c r="AX1446" s="4" t="s">
        <v>235</v>
      </c>
      <c r="AY1446" s="8" t="s">
        <v>235</v>
      </c>
      <c r="AZ1446" s="7" t="s">
        <v>235</v>
      </c>
      <c r="BA1446" s="7" t="s">
        <v>235</v>
      </c>
      <c r="BB1446" s="7"/>
      <c r="BC1446" s="4" t="s">
        <v>235</v>
      </c>
      <c r="BD1446" s="8" t="s">
        <v>235</v>
      </c>
      <c r="BE1446" s="4" t="s">
        <v>235</v>
      </c>
      <c r="BF1446" s="8" t="s">
        <v>235</v>
      </c>
      <c r="BG1446" s="7" t="s">
        <v>235</v>
      </c>
      <c r="BH1446" s="7" t="s">
        <v>235</v>
      </c>
      <c r="BI1446" s="7"/>
      <c r="BJ1446" s="4">
        <v>5</v>
      </c>
      <c r="BK1446" s="8">
        <v>151.77</v>
      </c>
      <c r="BL1446" s="2" t="s">
        <v>5528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5510</v>
      </c>
      <c r="BV1446" s="2" t="s">
        <v>243</v>
      </c>
      <c r="BW1446" s="2" t="s">
        <v>235</v>
      </c>
      <c r="BX1446" s="2" t="s">
        <v>383</v>
      </c>
      <c r="BY1446" s="2" t="s">
        <v>245</v>
      </c>
      <c r="BZ1446" s="2" t="s">
        <v>232</v>
      </c>
      <c r="CA1446" s="2" t="s">
        <v>252</v>
      </c>
      <c r="CB1446" s="2" t="s">
        <v>5529</v>
      </c>
      <c r="CC1446" s="2" t="s">
        <v>248</v>
      </c>
      <c r="CD1446" s="2" t="s">
        <v>248</v>
      </c>
      <c r="CE1446" s="2" t="s">
        <v>235</v>
      </c>
      <c r="CF1446" s="4"/>
      <c r="CG1446" s="4">
        <v>85</v>
      </c>
      <c r="CH1446" s="4"/>
      <c r="CI1446" s="4">
        <v>210</v>
      </c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>
        <v>170</v>
      </c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>
        <v>333</v>
      </c>
      <c r="GE1446" s="4">
        <v>468</v>
      </c>
      <c r="GF1446" s="4">
        <v>457</v>
      </c>
      <c r="GG1446" s="4">
        <v>444</v>
      </c>
      <c r="GH1446" s="4">
        <v>433</v>
      </c>
      <c r="GI1446" s="4">
        <v>418</v>
      </c>
      <c r="GJ1446" s="4">
        <v>396</v>
      </c>
      <c r="GK1446" s="4">
        <v>371</v>
      </c>
      <c r="GL1446" s="4">
        <v>353</v>
      </c>
      <c r="GM1446" s="4">
        <v>336</v>
      </c>
      <c r="GN1446" s="4">
        <v>313</v>
      </c>
      <c r="GO1446" s="4">
        <v>284</v>
      </c>
      <c r="GP1446" s="4">
        <v>250</v>
      </c>
      <c r="GQ1446" s="4">
        <v>189</v>
      </c>
      <c r="GR1446" s="4">
        <v>164</v>
      </c>
      <c r="GS1446" s="4">
        <v>133</v>
      </c>
      <c r="GT1446" s="4">
        <v>115</v>
      </c>
      <c r="GU1446" s="4">
        <v>104</v>
      </c>
      <c r="GV1446" s="4">
        <v>90</v>
      </c>
      <c r="GW1446" s="4">
        <v>81</v>
      </c>
      <c r="GX1446" s="4">
        <v>71</v>
      </c>
      <c r="GY1446" s="4">
        <v>61</v>
      </c>
      <c r="GZ1446" s="4">
        <v>55</v>
      </c>
      <c r="HA1446" s="4">
        <v>48</v>
      </c>
      <c r="HB1446" s="4">
        <v>42</v>
      </c>
      <c r="HC1446" s="4">
        <v>36</v>
      </c>
      <c r="HD1446" s="19">
        <v>18.5</v>
      </c>
      <c r="HE1446" s="19">
        <v>39</v>
      </c>
      <c r="HF1446" s="19">
        <v>30.5</v>
      </c>
      <c r="HG1446" s="19">
        <v>24.7</v>
      </c>
      <c r="HH1446" s="19">
        <v>21.7</v>
      </c>
      <c r="HI1446" s="19">
        <v>20.9</v>
      </c>
      <c r="HJ1446" s="19">
        <v>18.9</v>
      </c>
      <c r="HK1446" s="19">
        <v>16.9</v>
      </c>
      <c r="HL1446" s="19">
        <v>13.6</v>
      </c>
      <c r="HM1446" s="19">
        <v>9.1</v>
      </c>
      <c r="HN1446" s="19">
        <v>8.5</v>
      </c>
      <c r="HO1446" s="19">
        <v>7.5</v>
      </c>
      <c r="HP1446" s="19">
        <v>7.4</v>
      </c>
      <c r="HQ1446" s="19">
        <v>9</v>
      </c>
      <c r="HR1446" s="19">
        <v>9.1</v>
      </c>
      <c r="HS1446" s="19">
        <v>10.2</v>
      </c>
      <c r="HT1446" s="19">
        <v>10.5</v>
      </c>
      <c r="HU1446" s="19">
        <v>9.5</v>
      </c>
      <c r="HV1446" s="19">
        <v>10</v>
      </c>
      <c r="HW1446" s="19">
        <v>10.1</v>
      </c>
      <c r="HX1446" s="19">
        <v>10.1</v>
      </c>
      <c r="HY1446" s="19">
        <v>10.2</v>
      </c>
      <c r="HZ1446" s="19">
        <v>9.2</v>
      </c>
      <c r="IA1446" s="19">
        <v>8</v>
      </c>
      <c r="IB1446" s="19">
        <v>7</v>
      </c>
      <c r="IC1446" s="19">
        <v>7.2</v>
      </c>
    </row>
    <row r="1447">
      <c r="A1447" s="2" t="s">
        <v>5530</v>
      </c>
      <c r="B1447" s="2" t="s">
        <v>323</v>
      </c>
      <c r="C1447" s="2" t="s">
        <v>1036</v>
      </c>
      <c r="D1447" s="2" t="s">
        <v>257</v>
      </c>
      <c r="E1447" s="2" t="s">
        <v>258</v>
      </c>
      <c r="F1447" s="2" t="s">
        <v>5508</v>
      </c>
      <c r="G1447" s="2" t="s">
        <v>5508</v>
      </c>
      <c r="H1447" s="2" t="s">
        <v>5508</v>
      </c>
      <c r="I1447" s="2" t="s">
        <v>405</v>
      </c>
      <c r="J1447" s="2" t="s">
        <v>272</v>
      </c>
      <c r="K1447" s="2" t="s">
        <v>231</v>
      </c>
      <c r="L1447" s="3">
        <v>35.4</v>
      </c>
      <c r="M1447" s="3">
        <v>37.17</v>
      </c>
      <c r="N1447" s="3">
        <v>74.99</v>
      </c>
      <c r="O1447" s="2" t="s">
        <v>232</v>
      </c>
      <c r="P1447" s="2" t="s">
        <v>233</v>
      </c>
      <c r="Q1447" s="2" t="s">
        <v>234</v>
      </c>
      <c r="R1447" s="2" t="s">
        <v>235</v>
      </c>
      <c r="S1447" s="2" t="s">
        <v>5525</v>
      </c>
      <c r="T1447" s="2" t="s">
        <v>587</v>
      </c>
      <c r="U1447" s="2" t="s">
        <v>264</v>
      </c>
      <c r="V1447" s="2" t="s">
        <v>238</v>
      </c>
      <c r="W1447" s="2" t="s">
        <v>239</v>
      </c>
      <c r="X1447" s="2" t="s">
        <v>682</v>
      </c>
      <c r="Y1447" s="2" t="s">
        <v>240</v>
      </c>
      <c r="Z1447" s="4">
        <v>130</v>
      </c>
      <c r="AA1447" s="4">
        <f>=ROUNDDOWN(21.6666666666667,0)</f>
      </c>
      <c r="AB1447" s="5">
        <v>6</v>
      </c>
      <c r="AC1447" s="2" t="s">
        <v>266</v>
      </c>
      <c r="AD1447" s="4">
        <v>50</v>
      </c>
      <c r="AE1447" s="4">
        <v>50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235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235</v>
      </c>
      <c r="AW1447" s="8" t="s">
        <v>235</v>
      </c>
      <c r="AX1447" s="4" t="s">
        <v>235</v>
      </c>
      <c r="AY1447" s="8" t="s">
        <v>235</v>
      </c>
      <c r="AZ1447" s="7" t="s">
        <v>235</v>
      </c>
      <c r="BA1447" s="7" t="s">
        <v>235</v>
      </c>
      <c r="BB1447" s="7"/>
      <c r="BC1447" s="4" t="s">
        <v>235</v>
      </c>
      <c r="BD1447" s="8" t="s">
        <v>235</v>
      </c>
      <c r="BE1447" s="4" t="s">
        <v>235</v>
      </c>
      <c r="BF1447" s="8" t="s">
        <v>235</v>
      </c>
      <c r="BG1447" s="7" t="s">
        <v>235</v>
      </c>
      <c r="BH1447" s="7" t="s">
        <v>235</v>
      </c>
      <c r="BI1447" s="7"/>
      <c r="BJ1447" s="4">
        <v>2</v>
      </c>
      <c r="BK1447" s="8">
        <v>78.28</v>
      </c>
      <c r="BL1447" s="2" t="s">
        <v>1254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5510</v>
      </c>
      <c r="BV1447" s="2" t="s">
        <v>243</v>
      </c>
      <c r="BW1447" s="2" t="s">
        <v>235</v>
      </c>
      <c r="BX1447" s="2" t="s">
        <v>383</v>
      </c>
      <c r="BY1447" s="2" t="s">
        <v>245</v>
      </c>
      <c r="BZ1447" s="2" t="s">
        <v>232</v>
      </c>
      <c r="CA1447" s="2" t="s">
        <v>252</v>
      </c>
      <c r="CB1447" s="2" t="s">
        <v>1741</v>
      </c>
      <c r="CC1447" s="2" t="s">
        <v>248</v>
      </c>
      <c r="CD1447" s="2" t="s">
        <v>248</v>
      </c>
      <c r="CE1447" s="2" t="s">
        <v>235</v>
      </c>
      <c r="CF1447" s="4"/>
      <c r="CG1447" s="4">
        <v>50</v>
      </c>
      <c r="CH1447" s="4"/>
      <c r="CI1447" s="4">
        <v>80</v>
      </c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>
        <v>50</v>
      </c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>
        <v>130</v>
      </c>
      <c r="GE1447" s="4">
        <v>159</v>
      </c>
      <c r="GF1447" s="4">
        <v>155</v>
      </c>
      <c r="GG1447" s="4">
        <v>150</v>
      </c>
      <c r="GH1447" s="4">
        <v>146</v>
      </c>
      <c r="GI1447" s="4">
        <v>139</v>
      </c>
      <c r="GJ1447" s="4">
        <v>130</v>
      </c>
      <c r="GK1447" s="4">
        <v>121</v>
      </c>
      <c r="GL1447" s="4">
        <v>113</v>
      </c>
      <c r="GM1447" s="4">
        <v>106</v>
      </c>
      <c r="GN1447" s="4">
        <v>98</v>
      </c>
      <c r="GO1447" s="4">
        <v>89</v>
      </c>
      <c r="GP1447" s="4">
        <v>78</v>
      </c>
      <c r="GQ1447" s="4">
        <v>58</v>
      </c>
      <c r="GR1447" s="4">
        <v>50</v>
      </c>
      <c r="GS1447" s="4">
        <v>41</v>
      </c>
      <c r="GT1447" s="4">
        <v>35</v>
      </c>
      <c r="GU1447" s="4">
        <v>31</v>
      </c>
      <c r="GV1447" s="4">
        <v>26</v>
      </c>
      <c r="GW1447" s="4">
        <v>23</v>
      </c>
      <c r="GX1447" s="4">
        <v>19</v>
      </c>
      <c r="GY1447" s="4">
        <v>15</v>
      </c>
      <c r="GZ1447" s="4">
        <v>12</v>
      </c>
      <c r="HA1447" s="4">
        <v>21</v>
      </c>
      <c r="HB1447" s="4">
        <v>18</v>
      </c>
      <c r="HC1447" s="4">
        <v>15</v>
      </c>
      <c r="HD1447" s="19">
        <v>16.3</v>
      </c>
      <c r="HE1447" s="19">
        <v>31.8</v>
      </c>
      <c r="HF1447" s="19">
        <v>25.8</v>
      </c>
      <c r="HG1447" s="19">
        <v>21.4</v>
      </c>
      <c r="HH1447" s="19">
        <v>18.3</v>
      </c>
      <c r="HI1447" s="19">
        <v>17.4</v>
      </c>
      <c r="HJ1447" s="19">
        <v>16.3</v>
      </c>
      <c r="HK1447" s="19">
        <v>15.1</v>
      </c>
      <c r="HL1447" s="19">
        <v>12.6</v>
      </c>
      <c r="HM1447" s="19">
        <v>8.8</v>
      </c>
      <c r="HN1447" s="19">
        <v>8.2</v>
      </c>
      <c r="HO1447" s="19">
        <v>7.4</v>
      </c>
      <c r="HP1447" s="19">
        <v>7.1</v>
      </c>
      <c r="HQ1447" s="19">
        <v>8.3</v>
      </c>
      <c r="HR1447" s="19">
        <v>8.3</v>
      </c>
      <c r="HS1447" s="19">
        <v>10.3</v>
      </c>
      <c r="HT1447" s="19">
        <v>8.8</v>
      </c>
      <c r="HU1447" s="19">
        <v>7.8</v>
      </c>
      <c r="HV1447" s="19">
        <v>6.5</v>
      </c>
      <c r="HW1447" s="19">
        <v>5.8</v>
      </c>
      <c r="HX1447" s="19">
        <v>6.3</v>
      </c>
      <c r="HY1447" s="19">
        <v>5</v>
      </c>
      <c r="HZ1447" s="19">
        <v>4</v>
      </c>
      <c r="IA1447" s="19">
        <v>7</v>
      </c>
      <c r="IB1447" s="19">
        <v>9</v>
      </c>
      <c r="IC1447" s="19">
        <v>7.5</v>
      </c>
    </row>
    <row r="1448">
      <c r="A1448" s="2" t="s">
        <v>5531</v>
      </c>
      <c r="B1448" s="2" t="s">
        <v>323</v>
      </c>
      <c r="C1448" s="2" t="s">
        <v>1036</v>
      </c>
      <c r="D1448" s="2" t="s">
        <v>257</v>
      </c>
      <c r="E1448" s="2" t="s">
        <v>258</v>
      </c>
      <c r="F1448" s="2" t="s">
        <v>5508</v>
      </c>
      <c r="G1448" s="2" t="s">
        <v>5508</v>
      </c>
      <c r="H1448" s="2" t="s">
        <v>5508</v>
      </c>
      <c r="I1448" s="2" t="s">
        <v>405</v>
      </c>
      <c r="J1448" s="2" t="s">
        <v>394</v>
      </c>
      <c r="K1448" s="2" t="s">
        <v>506</v>
      </c>
      <c r="L1448" s="3">
        <v>23.82</v>
      </c>
      <c r="M1448" s="3">
        <v>25.01</v>
      </c>
      <c r="N1448" s="3">
        <v>49.99</v>
      </c>
      <c r="O1448" s="2" t="s">
        <v>232</v>
      </c>
      <c r="P1448" s="2" t="s">
        <v>233</v>
      </c>
      <c r="Q1448" s="2" t="s">
        <v>234</v>
      </c>
      <c r="R1448" s="2" t="s">
        <v>235</v>
      </c>
      <c r="S1448" s="2" t="s">
        <v>5532</v>
      </c>
      <c r="T1448" s="2" t="s">
        <v>587</v>
      </c>
      <c r="U1448" s="2" t="s">
        <v>552</v>
      </c>
      <c r="V1448" s="2" t="s">
        <v>238</v>
      </c>
      <c r="W1448" s="2" t="s">
        <v>239</v>
      </c>
      <c r="X1448" s="2" t="s">
        <v>682</v>
      </c>
      <c r="Y1448" s="2" t="s">
        <v>1358</v>
      </c>
      <c r="Z1448" s="4">
        <v>272</v>
      </c>
      <c r="AA1448" s="4">
        <f>=ROUNDDOWN(22.6666666666667,0)</f>
      </c>
      <c r="AB1448" s="5">
        <v>12</v>
      </c>
      <c r="AC1448" s="2" t="s">
        <v>883</v>
      </c>
      <c r="AD1448" s="4">
        <v>60</v>
      </c>
      <c r="AE1448" s="4">
        <v>60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235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235</v>
      </c>
      <c r="AW1448" s="8" t="s">
        <v>235</v>
      </c>
      <c r="AX1448" s="4" t="s">
        <v>235</v>
      </c>
      <c r="AY1448" s="8" t="s">
        <v>235</v>
      </c>
      <c r="AZ1448" s="7" t="s">
        <v>235</v>
      </c>
      <c r="BA1448" s="7" t="s">
        <v>235</v>
      </c>
      <c r="BB1448" s="7"/>
      <c r="BC1448" s="4" t="s">
        <v>235</v>
      </c>
      <c r="BD1448" s="8" t="s">
        <v>235</v>
      </c>
      <c r="BE1448" s="4" t="s">
        <v>235</v>
      </c>
      <c r="BF1448" s="8" t="s">
        <v>235</v>
      </c>
      <c r="BG1448" s="7" t="s">
        <v>235</v>
      </c>
      <c r="BH1448" s="7" t="s">
        <v>235</v>
      </c>
      <c r="BI1448" s="7"/>
      <c r="BJ1448" s="4">
        <v>8</v>
      </c>
      <c r="BK1448" s="8">
        <v>210.09</v>
      </c>
      <c r="BL1448" s="2" t="s">
        <v>5098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5510</v>
      </c>
      <c r="BV1448" s="2" t="s">
        <v>243</v>
      </c>
      <c r="BW1448" s="2" t="s">
        <v>235</v>
      </c>
      <c r="BX1448" s="2" t="s">
        <v>383</v>
      </c>
      <c r="BY1448" s="2" t="s">
        <v>245</v>
      </c>
      <c r="BZ1448" s="2" t="s">
        <v>232</v>
      </c>
      <c r="CA1448" s="2" t="s">
        <v>5533</v>
      </c>
      <c r="CB1448" s="2" t="s">
        <v>5534</v>
      </c>
      <c r="CC1448" s="2" t="s">
        <v>248</v>
      </c>
      <c r="CD1448" s="2" t="s">
        <v>248</v>
      </c>
      <c r="CE1448" s="2" t="s">
        <v>235</v>
      </c>
      <c r="CF1448" s="4">
        <v>88</v>
      </c>
      <c r="CG1448" s="4"/>
      <c r="CH1448" s="4"/>
      <c r="CI1448" s="4">
        <v>184</v>
      </c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>
        <v>60</v>
      </c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>
        <v>274</v>
      </c>
      <c r="GE1448" s="4">
        <v>297</v>
      </c>
      <c r="GF1448" s="4">
        <v>287</v>
      </c>
      <c r="GG1448" s="4">
        <v>274</v>
      </c>
      <c r="GH1448" s="4">
        <v>264</v>
      </c>
      <c r="GI1448" s="4">
        <v>249</v>
      </c>
      <c r="GJ1448" s="4">
        <v>228</v>
      </c>
      <c r="GK1448" s="4">
        <v>207</v>
      </c>
      <c r="GL1448" s="4">
        <v>187</v>
      </c>
      <c r="GM1448" s="4">
        <v>168</v>
      </c>
      <c r="GN1448" s="4">
        <v>154</v>
      </c>
      <c r="GO1448" s="4">
        <v>141</v>
      </c>
      <c r="GP1448" s="4">
        <v>127</v>
      </c>
      <c r="GQ1448" s="4">
        <v>103</v>
      </c>
      <c r="GR1448" s="4">
        <v>92</v>
      </c>
      <c r="GS1448" s="4">
        <v>80</v>
      </c>
      <c r="GT1448" s="4">
        <v>71</v>
      </c>
      <c r="GU1448" s="4">
        <v>65</v>
      </c>
      <c r="GV1448" s="4">
        <v>56</v>
      </c>
      <c r="GW1448" s="4">
        <v>102</v>
      </c>
      <c r="GX1448" s="4">
        <v>96</v>
      </c>
      <c r="GY1448" s="4">
        <v>90</v>
      </c>
      <c r="GZ1448" s="4">
        <v>86</v>
      </c>
      <c r="HA1448" s="4">
        <v>81</v>
      </c>
      <c r="HB1448" s="4">
        <v>77</v>
      </c>
      <c r="HC1448" s="4">
        <v>73</v>
      </c>
      <c r="HD1448" s="19">
        <v>15.2</v>
      </c>
      <c r="HE1448" s="19">
        <v>24.8</v>
      </c>
      <c r="HF1448" s="19">
        <v>19.1</v>
      </c>
      <c r="HG1448" s="19">
        <v>16.1</v>
      </c>
      <c r="HH1448" s="19">
        <v>13.9</v>
      </c>
      <c r="HI1448" s="19">
        <v>12.5</v>
      </c>
      <c r="HJ1448" s="19">
        <v>12.7</v>
      </c>
      <c r="HK1448" s="19">
        <v>12.9</v>
      </c>
      <c r="HL1448" s="19">
        <v>12.5</v>
      </c>
      <c r="HM1448" s="19">
        <v>10.5</v>
      </c>
      <c r="HN1448" s="19">
        <v>9.6</v>
      </c>
      <c r="HO1448" s="19">
        <v>9.4</v>
      </c>
      <c r="HP1448" s="19">
        <v>9.1</v>
      </c>
      <c r="HQ1448" s="19">
        <v>10.3</v>
      </c>
      <c r="HR1448" s="19">
        <v>10.2</v>
      </c>
      <c r="HS1448" s="19">
        <v>10</v>
      </c>
      <c r="HT1448" s="19">
        <v>10.1</v>
      </c>
      <c r="HU1448" s="19">
        <v>9.3</v>
      </c>
      <c r="HV1448" s="19">
        <v>9.3</v>
      </c>
      <c r="HW1448" s="19">
        <v>20.4</v>
      </c>
      <c r="HX1448" s="19">
        <v>19.2</v>
      </c>
      <c r="HY1448" s="19">
        <v>22.5</v>
      </c>
      <c r="HZ1448" s="19">
        <v>21.5</v>
      </c>
      <c r="IA1448" s="19">
        <v>20.3</v>
      </c>
      <c r="IB1448" s="19">
        <v>19.3</v>
      </c>
      <c r="IC1448" s="19">
        <v>24.3</v>
      </c>
    </row>
    <row r="1449">
      <c r="A1449" s="2" t="s">
        <v>5535</v>
      </c>
      <c r="B1449" s="2" t="s">
        <v>323</v>
      </c>
      <c r="C1449" s="2" t="s">
        <v>1036</v>
      </c>
      <c r="D1449" s="2" t="s">
        <v>257</v>
      </c>
      <c r="E1449" s="2" t="s">
        <v>258</v>
      </c>
      <c r="F1449" s="2" t="s">
        <v>5508</v>
      </c>
      <c r="G1449" s="2" t="s">
        <v>5508</v>
      </c>
      <c r="H1449" s="2" t="s">
        <v>5508</v>
      </c>
      <c r="I1449" s="2" t="s">
        <v>405</v>
      </c>
      <c r="J1449" s="2" t="s">
        <v>230</v>
      </c>
      <c r="K1449" s="2" t="s">
        <v>506</v>
      </c>
      <c r="L1449" s="3">
        <v>25.3</v>
      </c>
      <c r="M1449" s="3">
        <v>26.56</v>
      </c>
      <c r="N1449" s="3">
        <v>53.99</v>
      </c>
      <c r="O1449" s="2" t="s">
        <v>232</v>
      </c>
      <c r="P1449" s="2" t="s">
        <v>233</v>
      </c>
      <c r="Q1449" s="2" t="s">
        <v>234</v>
      </c>
      <c r="R1449" s="2" t="s">
        <v>235</v>
      </c>
      <c r="S1449" s="2" t="s">
        <v>5532</v>
      </c>
      <c r="T1449" s="2" t="s">
        <v>587</v>
      </c>
      <c r="U1449" s="2" t="s">
        <v>552</v>
      </c>
      <c r="V1449" s="2" t="s">
        <v>238</v>
      </c>
      <c r="W1449" s="2" t="s">
        <v>239</v>
      </c>
      <c r="X1449" s="2" t="s">
        <v>682</v>
      </c>
      <c r="Y1449" s="2" t="s">
        <v>1358</v>
      </c>
      <c r="Z1449" s="4">
        <v>196</v>
      </c>
      <c r="AA1449" s="4">
        <f>=ROUNDDOWN(17.8181818181818,0)</f>
      </c>
      <c r="AB1449" s="5">
        <v>11</v>
      </c>
      <c r="AC1449" s="2" t="s">
        <v>266</v>
      </c>
      <c r="AD1449" s="4">
        <v>70</v>
      </c>
      <c r="AE1449" s="4">
        <v>70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235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235</v>
      </c>
      <c r="AW1449" s="8" t="s">
        <v>235</v>
      </c>
      <c r="AX1449" s="4" t="s">
        <v>235</v>
      </c>
      <c r="AY1449" s="8" t="s">
        <v>235</v>
      </c>
      <c r="AZ1449" s="7" t="s">
        <v>235</v>
      </c>
      <c r="BA1449" s="7" t="s">
        <v>235</v>
      </c>
      <c r="BB1449" s="7"/>
      <c r="BC1449" s="4" t="s">
        <v>235</v>
      </c>
      <c r="BD1449" s="8" t="s">
        <v>235</v>
      </c>
      <c r="BE1449" s="4" t="s">
        <v>235</v>
      </c>
      <c r="BF1449" s="8" t="s">
        <v>235</v>
      </c>
      <c r="BG1449" s="7" t="s">
        <v>235</v>
      </c>
      <c r="BH1449" s="7" t="s">
        <v>235</v>
      </c>
      <c r="BI1449" s="7"/>
      <c r="BJ1449" s="4">
        <v>19</v>
      </c>
      <c r="BK1449" s="8">
        <v>530.36</v>
      </c>
      <c r="BL1449" s="2" t="s">
        <v>5536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5510</v>
      </c>
      <c r="BV1449" s="2" t="s">
        <v>243</v>
      </c>
      <c r="BW1449" s="2" t="s">
        <v>235</v>
      </c>
      <c r="BX1449" s="2" t="s">
        <v>383</v>
      </c>
      <c r="BY1449" s="2" t="s">
        <v>245</v>
      </c>
      <c r="BZ1449" s="2" t="s">
        <v>232</v>
      </c>
      <c r="CA1449" s="2" t="s">
        <v>5533</v>
      </c>
      <c r="CB1449" s="2" t="s">
        <v>2765</v>
      </c>
      <c r="CC1449" s="2" t="s">
        <v>248</v>
      </c>
      <c r="CD1449" s="2" t="s">
        <v>248</v>
      </c>
      <c r="CE1449" s="2" t="s">
        <v>235</v>
      </c>
      <c r="CF1449" s="4">
        <v>47</v>
      </c>
      <c r="CG1449" s="4"/>
      <c r="CH1449" s="4"/>
      <c r="CI1449" s="4">
        <v>149</v>
      </c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>
        <v>70</v>
      </c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>
        <v>196</v>
      </c>
      <c r="GE1449" s="4">
        <v>227</v>
      </c>
      <c r="GF1449" s="4">
        <v>217</v>
      </c>
      <c r="GG1449" s="4">
        <v>206</v>
      </c>
      <c r="GH1449" s="4">
        <v>198</v>
      </c>
      <c r="GI1449" s="4">
        <v>186</v>
      </c>
      <c r="GJ1449" s="4">
        <v>170</v>
      </c>
      <c r="GK1449" s="4">
        <v>154</v>
      </c>
      <c r="GL1449" s="4">
        <v>138</v>
      </c>
      <c r="GM1449" s="4">
        <v>123</v>
      </c>
      <c r="GN1449" s="4">
        <v>112</v>
      </c>
      <c r="GO1449" s="4">
        <v>96</v>
      </c>
      <c r="GP1449" s="4">
        <v>78</v>
      </c>
      <c r="GQ1449" s="4">
        <v>52</v>
      </c>
      <c r="GR1449" s="4">
        <v>39</v>
      </c>
      <c r="GS1449" s="4">
        <v>26</v>
      </c>
      <c r="GT1449" s="4">
        <v>18</v>
      </c>
      <c r="GU1449" s="4">
        <v>12</v>
      </c>
      <c r="GV1449" s="4">
        <v>7</v>
      </c>
      <c r="GW1449" s="4">
        <v>107</v>
      </c>
      <c r="GX1449" s="4">
        <v>104</v>
      </c>
      <c r="GY1449" s="4">
        <v>100</v>
      </c>
      <c r="GZ1449" s="4">
        <v>97</v>
      </c>
      <c r="HA1449" s="4">
        <v>93</v>
      </c>
      <c r="HB1449" s="4">
        <v>90</v>
      </c>
      <c r="HC1449" s="4">
        <v>87</v>
      </c>
      <c r="HD1449" s="19">
        <v>11.5</v>
      </c>
      <c r="HE1449" s="19">
        <v>22.7</v>
      </c>
      <c r="HF1449" s="19">
        <v>18.1</v>
      </c>
      <c r="HG1449" s="19">
        <v>15.8</v>
      </c>
      <c r="HH1449" s="19">
        <v>13.2</v>
      </c>
      <c r="HI1449" s="19">
        <v>11.6</v>
      </c>
      <c r="HJ1449" s="19">
        <v>12.1</v>
      </c>
      <c r="HK1449" s="19">
        <v>11</v>
      </c>
      <c r="HL1449" s="19">
        <v>9.2</v>
      </c>
      <c r="HM1449" s="19">
        <v>6.8</v>
      </c>
      <c r="HN1449" s="19">
        <v>6.2</v>
      </c>
      <c r="HO1449" s="19">
        <v>5.3</v>
      </c>
      <c r="HP1449" s="19">
        <v>5.2</v>
      </c>
      <c r="HQ1449" s="19">
        <v>5.2</v>
      </c>
      <c r="HR1449" s="19">
        <v>4.9</v>
      </c>
      <c r="HS1449" s="19">
        <v>4.3</v>
      </c>
      <c r="HT1449" s="19">
        <v>4.5</v>
      </c>
      <c r="HU1449" s="19">
        <v>3</v>
      </c>
      <c r="HV1449" s="19">
        <v>1.8</v>
      </c>
      <c r="HW1449" s="19">
        <v>26.8</v>
      </c>
      <c r="HX1449" s="19">
        <v>26</v>
      </c>
      <c r="HY1449" s="19">
        <v>33.3</v>
      </c>
      <c r="HZ1449" s="19">
        <v>32.3</v>
      </c>
      <c r="IA1449" s="19">
        <v>31</v>
      </c>
      <c r="IB1449" s="19">
        <v>30</v>
      </c>
      <c r="IC1449" s="19">
        <v>29</v>
      </c>
    </row>
    <row r="1450">
      <c r="A1450" s="2" t="s">
        <v>5537</v>
      </c>
      <c r="B1450" s="2" t="s">
        <v>323</v>
      </c>
      <c r="C1450" s="2" t="s">
        <v>1036</v>
      </c>
      <c r="D1450" s="2" t="s">
        <v>257</v>
      </c>
      <c r="E1450" s="2" t="s">
        <v>258</v>
      </c>
      <c r="F1450" s="2" t="s">
        <v>5508</v>
      </c>
      <c r="G1450" s="2" t="s">
        <v>5508</v>
      </c>
      <c r="H1450" s="2" t="s">
        <v>5508</v>
      </c>
      <c r="I1450" s="2" t="s">
        <v>405</v>
      </c>
      <c r="J1450" s="2" t="s">
        <v>250</v>
      </c>
      <c r="K1450" s="2" t="s">
        <v>506</v>
      </c>
      <c r="L1450" s="3">
        <v>28.05</v>
      </c>
      <c r="M1450" s="3">
        <v>29.45</v>
      </c>
      <c r="N1450" s="3">
        <v>59.99</v>
      </c>
      <c r="O1450" s="2" t="s">
        <v>232</v>
      </c>
      <c r="P1450" s="2" t="s">
        <v>233</v>
      </c>
      <c r="Q1450" s="2" t="s">
        <v>234</v>
      </c>
      <c r="R1450" s="2" t="s">
        <v>235</v>
      </c>
      <c r="S1450" s="2" t="s">
        <v>5532</v>
      </c>
      <c r="T1450" s="2" t="s">
        <v>587</v>
      </c>
      <c r="U1450" s="2" t="s">
        <v>264</v>
      </c>
      <c r="V1450" s="2" t="s">
        <v>238</v>
      </c>
      <c r="W1450" s="2" t="s">
        <v>239</v>
      </c>
      <c r="X1450" s="2" t="s">
        <v>682</v>
      </c>
      <c r="Y1450" s="2" t="s">
        <v>1358</v>
      </c>
      <c r="Z1450" s="4">
        <v>319</v>
      </c>
      <c r="AA1450" s="4">
        <f>=ROUNDDOWN(22.7857142857143,0)</f>
      </c>
      <c r="AB1450" s="5">
        <v>14</v>
      </c>
      <c r="AC1450" s="2" t="s">
        <v>883</v>
      </c>
      <c r="AD1450" s="4">
        <v>115</v>
      </c>
      <c r="AE1450" s="4">
        <v>115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235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235</v>
      </c>
      <c r="AW1450" s="8" t="s">
        <v>235</v>
      </c>
      <c r="AX1450" s="4" t="s">
        <v>235</v>
      </c>
      <c r="AY1450" s="8" t="s">
        <v>235</v>
      </c>
      <c r="AZ1450" s="7" t="s">
        <v>235</v>
      </c>
      <c r="BA1450" s="7" t="s">
        <v>235</v>
      </c>
      <c r="BB1450" s="7"/>
      <c r="BC1450" s="4" t="s">
        <v>235</v>
      </c>
      <c r="BD1450" s="8" t="s">
        <v>235</v>
      </c>
      <c r="BE1450" s="4" t="s">
        <v>235</v>
      </c>
      <c r="BF1450" s="8" t="s">
        <v>235</v>
      </c>
      <c r="BG1450" s="7" t="s">
        <v>235</v>
      </c>
      <c r="BH1450" s="7" t="s">
        <v>235</v>
      </c>
      <c r="BI1450" s="7"/>
      <c r="BJ1450" s="4">
        <v>12</v>
      </c>
      <c r="BK1450" s="8">
        <v>353.57</v>
      </c>
      <c r="BL1450" s="2" t="s">
        <v>5538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5510</v>
      </c>
      <c r="BV1450" s="2" t="s">
        <v>243</v>
      </c>
      <c r="BW1450" s="2" t="s">
        <v>235</v>
      </c>
      <c r="BX1450" s="2" t="s">
        <v>383</v>
      </c>
      <c r="BY1450" s="2" t="s">
        <v>245</v>
      </c>
      <c r="BZ1450" s="2" t="s">
        <v>232</v>
      </c>
      <c r="CA1450" s="2" t="s">
        <v>5533</v>
      </c>
      <c r="CB1450" s="2" t="s">
        <v>5534</v>
      </c>
      <c r="CC1450" s="2" t="s">
        <v>248</v>
      </c>
      <c r="CD1450" s="2" t="s">
        <v>248</v>
      </c>
      <c r="CE1450" s="2" t="s">
        <v>235</v>
      </c>
      <c r="CF1450" s="4">
        <v>92</v>
      </c>
      <c r="CG1450" s="4"/>
      <c r="CH1450" s="4"/>
      <c r="CI1450" s="4">
        <v>227</v>
      </c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>
        <v>115</v>
      </c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>
        <v>319</v>
      </c>
      <c r="GE1450" s="4">
        <v>391</v>
      </c>
      <c r="GF1450" s="4">
        <v>379</v>
      </c>
      <c r="GG1450" s="4">
        <v>363</v>
      </c>
      <c r="GH1450" s="4">
        <v>351</v>
      </c>
      <c r="GI1450" s="4">
        <v>333</v>
      </c>
      <c r="GJ1450" s="4">
        <v>310</v>
      </c>
      <c r="GK1450" s="4">
        <v>287</v>
      </c>
      <c r="GL1450" s="4">
        <v>266</v>
      </c>
      <c r="GM1450" s="4">
        <v>246</v>
      </c>
      <c r="GN1450" s="4">
        <v>227</v>
      </c>
      <c r="GO1450" s="4">
        <v>206</v>
      </c>
      <c r="GP1450" s="4">
        <v>182</v>
      </c>
      <c r="GQ1450" s="4">
        <v>142</v>
      </c>
      <c r="GR1450" s="4">
        <v>125</v>
      </c>
      <c r="GS1450" s="4">
        <v>105</v>
      </c>
      <c r="GT1450" s="4">
        <v>92</v>
      </c>
      <c r="GU1450" s="4">
        <v>84</v>
      </c>
      <c r="GV1450" s="4">
        <v>74</v>
      </c>
      <c r="GW1450" s="4">
        <v>148</v>
      </c>
      <c r="GX1450" s="4">
        <v>141</v>
      </c>
      <c r="GY1450" s="4">
        <v>134</v>
      </c>
      <c r="GZ1450" s="4">
        <v>130</v>
      </c>
      <c r="HA1450" s="4">
        <v>125</v>
      </c>
      <c r="HB1450" s="4">
        <v>120</v>
      </c>
      <c r="HC1450" s="4">
        <v>115</v>
      </c>
      <c r="HD1450" s="19">
        <v>15.2</v>
      </c>
      <c r="HE1450" s="19">
        <v>27.9</v>
      </c>
      <c r="HF1450" s="19">
        <v>22.3</v>
      </c>
      <c r="HG1450" s="19">
        <v>19.1</v>
      </c>
      <c r="HH1450" s="19">
        <v>16.7</v>
      </c>
      <c r="HI1450" s="19">
        <v>15.1</v>
      </c>
      <c r="HJ1450" s="19">
        <v>14.8</v>
      </c>
      <c r="HK1450" s="19">
        <v>14.4</v>
      </c>
      <c r="HL1450" s="19">
        <v>12.7</v>
      </c>
      <c r="HM1450" s="19">
        <v>9.5</v>
      </c>
      <c r="HN1450" s="19">
        <v>8.7</v>
      </c>
      <c r="HO1450" s="19">
        <v>8.2</v>
      </c>
      <c r="HP1450" s="19">
        <v>8.3</v>
      </c>
      <c r="HQ1450" s="19">
        <v>10.1</v>
      </c>
      <c r="HR1450" s="19">
        <v>9.6</v>
      </c>
      <c r="HS1450" s="19">
        <v>10.5</v>
      </c>
      <c r="HT1450" s="19">
        <v>11.5</v>
      </c>
      <c r="HU1450" s="19">
        <v>10.5</v>
      </c>
      <c r="HV1450" s="19">
        <v>12.3</v>
      </c>
      <c r="HW1450" s="19">
        <v>24.7</v>
      </c>
      <c r="HX1450" s="19">
        <v>28.2</v>
      </c>
      <c r="HY1450" s="19">
        <v>26.8</v>
      </c>
      <c r="HZ1450" s="19">
        <v>26</v>
      </c>
      <c r="IA1450" s="19">
        <v>25</v>
      </c>
      <c r="IB1450" s="19">
        <v>30</v>
      </c>
      <c r="IC1450" s="19">
        <v>28.8</v>
      </c>
    </row>
    <row r="1451">
      <c r="A1451" s="2" t="s">
        <v>5539</v>
      </c>
      <c r="B1451" s="2" t="s">
        <v>323</v>
      </c>
      <c r="C1451" s="2" t="s">
        <v>1036</v>
      </c>
      <c r="D1451" s="2" t="s">
        <v>257</v>
      </c>
      <c r="E1451" s="2" t="s">
        <v>258</v>
      </c>
      <c r="F1451" s="2" t="s">
        <v>5508</v>
      </c>
      <c r="G1451" s="2" t="s">
        <v>5508</v>
      </c>
      <c r="H1451" s="2" t="s">
        <v>5508</v>
      </c>
      <c r="I1451" s="2" t="s">
        <v>405</v>
      </c>
      <c r="J1451" s="2" t="s">
        <v>272</v>
      </c>
      <c r="K1451" s="2" t="s">
        <v>506</v>
      </c>
      <c r="L1451" s="3">
        <v>35.4</v>
      </c>
      <c r="M1451" s="3">
        <v>37.17</v>
      </c>
      <c r="N1451" s="3">
        <v>74.99</v>
      </c>
      <c r="O1451" s="2" t="s">
        <v>232</v>
      </c>
      <c r="P1451" s="2" t="s">
        <v>233</v>
      </c>
      <c r="Q1451" s="2" t="s">
        <v>234</v>
      </c>
      <c r="R1451" s="2" t="s">
        <v>235</v>
      </c>
      <c r="S1451" s="2" t="s">
        <v>5532</v>
      </c>
      <c r="T1451" s="2" t="s">
        <v>587</v>
      </c>
      <c r="U1451" s="2" t="s">
        <v>264</v>
      </c>
      <c r="V1451" s="2" t="s">
        <v>238</v>
      </c>
      <c r="W1451" s="2" t="s">
        <v>239</v>
      </c>
      <c r="X1451" s="2" t="s">
        <v>682</v>
      </c>
      <c r="Y1451" s="2" t="s">
        <v>1358</v>
      </c>
      <c r="Z1451" s="4">
        <v>108</v>
      </c>
      <c r="AA1451" s="4">
        <f>=ROUNDDOWN(27,0)</f>
      </c>
      <c r="AB1451" s="5">
        <v>4</v>
      </c>
      <c r="AC1451" s="2" t="s">
        <v>235</v>
      </c>
      <c r="AD1451" s="4"/>
      <c r="AE1451" s="4"/>
      <c r="AF1451" s="6">
        <v>65</v>
      </c>
      <c r="AG1451" s="6"/>
      <c r="AH1451" s="7">
        <v>0.5161</v>
      </c>
      <c r="AI1451" s="4"/>
      <c r="AJ1451" s="4">
        <f>=ROUNDDOWN({0},0)</f>
      </c>
      <c r="AK1451" s="5"/>
      <c r="AL1451" s="2" t="s">
        <v>235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235</v>
      </c>
      <c r="AW1451" s="8" t="s">
        <v>235</v>
      </c>
      <c r="AX1451" s="4" t="s">
        <v>235</v>
      </c>
      <c r="AY1451" s="8" t="s">
        <v>235</v>
      </c>
      <c r="AZ1451" s="7" t="s">
        <v>235</v>
      </c>
      <c r="BA1451" s="7" t="s">
        <v>235</v>
      </c>
      <c r="BB1451" s="7"/>
      <c r="BC1451" s="4" t="s">
        <v>235</v>
      </c>
      <c r="BD1451" s="8" t="s">
        <v>235</v>
      </c>
      <c r="BE1451" s="4" t="s">
        <v>235</v>
      </c>
      <c r="BF1451" s="8" t="s">
        <v>235</v>
      </c>
      <c r="BG1451" s="7" t="s">
        <v>235</v>
      </c>
      <c r="BH1451" s="7" t="s">
        <v>235</v>
      </c>
      <c r="BI1451" s="7"/>
      <c r="BJ1451" s="4">
        <v>1</v>
      </c>
      <c r="BK1451" s="8">
        <v>38.43</v>
      </c>
      <c r="BL1451" s="2" t="s">
        <v>592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5510</v>
      </c>
      <c r="BV1451" s="2" t="s">
        <v>243</v>
      </c>
      <c r="BW1451" s="2" t="s">
        <v>235</v>
      </c>
      <c r="BX1451" s="2" t="s">
        <v>383</v>
      </c>
      <c r="BY1451" s="2" t="s">
        <v>245</v>
      </c>
      <c r="BZ1451" s="2" t="s">
        <v>232</v>
      </c>
      <c r="CA1451" s="2" t="s">
        <v>5533</v>
      </c>
      <c r="CB1451" s="2" t="s">
        <v>4711</v>
      </c>
      <c r="CC1451" s="2" t="s">
        <v>248</v>
      </c>
      <c r="CD1451" s="2" t="s">
        <v>248</v>
      </c>
      <c r="CE1451" s="2" t="s">
        <v>235</v>
      </c>
      <c r="CF1451" s="4"/>
      <c r="CG1451" s="4"/>
      <c r="CH1451" s="4"/>
      <c r="CI1451" s="4">
        <v>108</v>
      </c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>
        <v>111</v>
      </c>
      <c r="GE1451" s="4">
        <v>102</v>
      </c>
      <c r="GF1451" s="4">
        <v>100</v>
      </c>
      <c r="GG1451" s="4">
        <v>98</v>
      </c>
      <c r="GH1451" s="4">
        <v>96</v>
      </c>
      <c r="GI1451" s="4">
        <v>92</v>
      </c>
      <c r="GJ1451" s="4">
        <v>86</v>
      </c>
      <c r="GK1451" s="4">
        <v>80</v>
      </c>
      <c r="GL1451" s="4">
        <v>75</v>
      </c>
      <c r="GM1451" s="4">
        <v>71</v>
      </c>
      <c r="GN1451" s="4">
        <v>65</v>
      </c>
      <c r="GO1451" s="4">
        <v>57</v>
      </c>
      <c r="GP1451" s="4">
        <v>48</v>
      </c>
      <c r="GQ1451" s="4">
        <v>30</v>
      </c>
      <c r="GR1451" s="4">
        <v>23</v>
      </c>
      <c r="GS1451" s="4">
        <v>15</v>
      </c>
      <c r="GT1451" s="4">
        <v>10</v>
      </c>
      <c r="GU1451" s="4">
        <v>7</v>
      </c>
      <c r="GV1451" s="4">
        <v>3</v>
      </c>
      <c r="GW1451" s="4">
        <v>49</v>
      </c>
      <c r="GX1451" s="4">
        <v>46</v>
      </c>
      <c r="GY1451" s="4">
        <v>43</v>
      </c>
      <c r="GZ1451" s="4">
        <v>41</v>
      </c>
      <c r="HA1451" s="4">
        <v>39</v>
      </c>
      <c r="HB1451" s="4">
        <v>37</v>
      </c>
      <c r="HC1451" s="4">
        <v>35</v>
      </c>
      <c r="HD1451" s="19">
        <v>27.8</v>
      </c>
      <c r="HE1451" s="19">
        <v>51</v>
      </c>
      <c r="HF1451" s="19">
        <v>25</v>
      </c>
      <c r="HG1451" s="19">
        <v>24.5</v>
      </c>
      <c r="HH1451" s="19">
        <v>19.2</v>
      </c>
      <c r="HI1451" s="19">
        <v>18.4</v>
      </c>
      <c r="HJ1451" s="19">
        <v>17.2</v>
      </c>
      <c r="HK1451" s="19">
        <v>13.3</v>
      </c>
      <c r="HL1451" s="19">
        <v>10.7</v>
      </c>
      <c r="HM1451" s="19">
        <v>7.1</v>
      </c>
      <c r="HN1451" s="19">
        <v>6.5</v>
      </c>
      <c r="HO1451" s="19">
        <v>5.7</v>
      </c>
      <c r="HP1451" s="19">
        <v>4.8</v>
      </c>
      <c r="HQ1451" s="19">
        <v>5</v>
      </c>
      <c r="HR1451" s="19">
        <v>4.6</v>
      </c>
      <c r="HS1451" s="19">
        <v>3.8</v>
      </c>
      <c r="HT1451" s="19">
        <v>3.3</v>
      </c>
      <c r="HU1451" s="19">
        <v>2.3</v>
      </c>
      <c r="HV1451" s="19">
        <v>1.5</v>
      </c>
      <c r="HW1451" s="19">
        <v>24.5</v>
      </c>
      <c r="HX1451" s="19">
        <v>23</v>
      </c>
      <c r="HY1451" s="19">
        <v>21.5</v>
      </c>
      <c r="HZ1451" s="19">
        <v>20.5</v>
      </c>
      <c r="IA1451" s="19">
        <v>19.5</v>
      </c>
      <c r="IB1451" s="19">
        <v>18.5</v>
      </c>
      <c r="IC1451" s="19">
        <v>35</v>
      </c>
    </row>
    <row r="1452">
      <c r="A1452" s="2" t="s">
        <v>5540</v>
      </c>
      <c r="B1452" s="2" t="s">
        <v>323</v>
      </c>
      <c r="C1452" s="2" t="s">
        <v>1036</v>
      </c>
      <c r="D1452" s="2" t="s">
        <v>257</v>
      </c>
      <c r="E1452" s="2" t="s">
        <v>258</v>
      </c>
      <c r="F1452" s="2" t="s">
        <v>5508</v>
      </c>
      <c r="G1452" s="2" t="s">
        <v>5508</v>
      </c>
      <c r="H1452" s="2" t="s">
        <v>5508</v>
      </c>
      <c r="I1452" s="2" t="s">
        <v>405</v>
      </c>
      <c r="J1452" s="2" t="s">
        <v>394</v>
      </c>
      <c r="K1452" s="2" t="s">
        <v>1196</v>
      </c>
      <c r="L1452" s="3">
        <v>23.82</v>
      </c>
      <c r="M1452" s="3">
        <v>25.01</v>
      </c>
      <c r="N1452" s="3">
        <v>49.99</v>
      </c>
      <c r="O1452" s="2" t="s">
        <v>232</v>
      </c>
      <c r="P1452" s="2" t="s">
        <v>233</v>
      </c>
      <c r="Q1452" s="2" t="s">
        <v>234</v>
      </c>
      <c r="R1452" s="2" t="s">
        <v>235</v>
      </c>
      <c r="S1452" s="2" t="s">
        <v>5541</v>
      </c>
      <c r="T1452" s="2" t="s">
        <v>587</v>
      </c>
      <c r="U1452" s="2" t="s">
        <v>552</v>
      </c>
      <c r="V1452" s="2" t="s">
        <v>238</v>
      </c>
      <c r="W1452" s="2" t="s">
        <v>239</v>
      </c>
      <c r="X1452" s="2" t="s">
        <v>682</v>
      </c>
      <c r="Y1452" s="2" t="s">
        <v>240</v>
      </c>
      <c r="Z1452" s="4">
        <v>251</v>
      </c>
      <c r="AA1452" s="4">
        <f>=ROUNDDOWN(22.8181818181818,0)</f>
      </c>
      <c r="AB1452" s="5">
        <v>11</v>
      </c>
      <c r="AC1452" s="2" t="s">
        <v>266</v>
      </c>
      <c r="AD1452" s="4">
        <v>68</v>
      </c>
      <c r="AE1452" s="4">
        <v>68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235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235</v>
      </c>
      <c r="AW1452" s="8" t="s">
        <v>235</v>
      </c>
      <c r="AX1452" s="4" t="s">
        <v>235</v>
      </c>
      <c r="AY1452" s="8" t="s">
        <v>235</v>
      </c>
      <c r="AZ1452" s="7" t="s">
        <v>235</v>
      </c>
      <c r="BA1452" s="7" t="s">
        <v>235</v>
      </c>
      <c r="BB1452" s="7"/>
      <c r="BC1452" s="4" t="s">
        <v>235</v>
      </c>
      <c r="BD1452" s="8" t="s">
        <v>235</v>
      </c>
      <c r="BE1452" s="4" t="s">
        <v>235</v>
      </c>
      <c r="BF1452" s="8" t="s">
        <v>235</v>
      </c>
      <c r="BG1452" s="7" t="s">
        <v>235</v>
      </c>
      <c r="BH1452" s="7" t="s">
        <v>235</v>
      </c>
      <c r="BI1452" s="7"/>
      <c r="BJ1452" s="4">
        <v>1</v>
      </c>
      <c r="BK1452" s="8">
        <v>23.22</v>
      </c>
      <c r="BL1452" s="2" t="s">
        <v>2844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5510</v>
      </c>
      <c r="BV1452" s="2" t="s">
        <v>243</v>
      </c>
      <c r="BW1452" s="2" t="s">
        <v>235</v>
      </c>
      <c r="BX1452" s="2" t="s">
        <v>383</v>
      </c>
      <c r="BY1452" s="2" t="s">
        <v>245</v>
      </c>
      <c r="BZ1452" s="2" t="s">
        <v>232</v>
      </c>
      <c r="CA1452" s="2" t="s">
        <v>252</v>
      </c>
      <c r="CB1452" s="2" t="s">
        <v>5542</v>
      </c>
      <c r="CC1452" s="2" t="s">
        <v>248</v>
      </c>
      <c r="CD1452" s="2" t="s">
        <v>248</v>
      </c>
      <c r="CE1452" s="2" t="s">
        <v>235</v>
      </c>
      <c r="CF1452" s="4">
        <v>87</v>
      </c>
      <c r="CG1452" s="4"/>
      <c r="CH1452" s="4"/>
      <c r="CI1452" s="4">
        <v>164</v>
      </c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>
        <v>68</v>
      </c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>
        <v>251</v>
      </c>
      <c r="GE1452" s="4">
        <v>272</v>
      </c>
      <c r="GF1452" s="4">
        <v>261</v>
      </c>
      <c r="GG1452" s="4">
        <v>246</v>
      </c>
      <c r="GH1452" s="4">
        <v>235</v>
      </c>
      <c r="GI1452" s="4">
        <v>219</v>
      </c>
      <c r="GJ1452" s="4">
        <v>198</v>
      </c>
      <c r="GK1452" s="4">
        <v>179</v>
      </c>
      <c r="GL1452" s="4">
        <v>158</v>
      </c>
      <c r="GM1452" s="4">
        <v>138</v>
      </c>
      <c r="GN1452" s="4">
        <v>125</v>
      </c>
      <c r="GO1452" s="4">
        <v>117</v>
      </c>
      <c r="GP1452" s="4">
        <v>108</v>
      </c>
      <c r="GQ1452" s="4">
        <v>95</v>
      </c>
      <c r="GR1452" s="4">
        <v>88</v>
      </c>
      <c r="GS1452" s="4">
        <v>81</v>
      </c>
      <c r="GT1452" s="4">
        <v>75</v>
      </c>
      <c r="GU1452" s="4">
        <v>70</v>
      </c>
      <c r="GV1452" s="4">
        <v>64</v>
      </c>
      <c r="GW1452" s="4">
        <v>134</v>
      </c>
      <c r="GX1452" s="4">
        <v>130</v>
      </c>
      <c r="GY1452" s="4">
        <v>125</v>
      </c>
      <c r="GZ1452" s="4">
        <v>121</v>
      </c>
      <c r="HA1452" s="4">
        <v>117</v>
      </c>
      <c r="HB1452" s="4">
        <v>114</v>
      </c>
      <c r="HC1452" s="4">
        <v>111</v>
      </c>
      <c r="HD1452" s="19">
        <v>12</v>
      </c>
      <c r="HE1452" s="19">
        <v>20.9</v>
      </c>
      <c r="HF1452" s="19">
        <v>16.3</v>
      </c>
      <c r="HG1452" s="19">
        <v>14.5</v>
      </c>
      <c r="HH1452" s="19">
        <v>12.4</v>
      </c>
      <c r="HI1452" s="19">
        <v>11</v>
      </c>
      <c r="HJ1452" s="19">
        <v>11</v>
      </c>
      <c r="HK1452" s="19">
        <v>11.2</v>
      </c>
      <c r="HL1452" s="19">
        <v>13.2</v>
      </c>
      <c r="HM1452" s="19">
        <v>12.5</v>
      </c>
      <c r="HN1452" s="19">
        <v>13.9</v>
      </c>
      <c r="HO1452" s="19">
        <v>13</v>
      </c>
      <c r="HP1452" s="19">
        <v>13.5</v>
      </c>
      <c r="HQ1452" s="19">
        <v>15.8</v>
      </c>
      <c r="HR1452" s="19">
        <v>14.7</v>
      </c>
      <c r="HS1452" s="19">
        <v>13.5</v>
      </c>
      <c r="HT1452" s="19">
        <v>15</v>
      </c>
      <c r="HU1452" s="19">
        <v>14</v>
      </c>
      <c r="HV1452" s="19">
        <v>16</v>
      </c>
      <c r="HW1452" s="19">
        <v>33.5</v>
      </c>
      <c r="HX1452" s="19">
        <v>32.5</v>
      </c>
      <c r="HY1452" s="19">
        <v>31.3</v>
      </c>
      <c r="HZ1452" s="19">
        <v>40.3</v>
      </c>
      <c r="IA1452" s="19">
        <v>39</v>
      </c>
      <c r="IB1452" s="19">
        <v>38</v>
      </c>
      <c r="IC1452" s="19">
        <v>37</v>
      </c>
    </row>
    <row r="1453">
      <c r="A1453" s="2" t="s">
        <v>5543</v>
      </c>
      <c r="B1453" s="2" t="s">
        <v>323</v>
      </c>
      <c r="C1453" s="2" t="s">
        <v>1036</v>
      </c>
      <c r="D1453" s="2" t="s">
        <v>257</v>
      </c>
      <c r="E1453" s="2" t="s">
        <v>258</v>
      </c>
      <c r="F1453" s="2" t="s">
        <v>5508</v>
      </c>
      <c r="G1453" s="2" t="s">
        <v>5508</v>
      </c>
      <c r="H1453" s="2" t="s">
        <v>5508</v>
      </c>
      <c r="I1453" s="2" t="s">
        <v>405</v>
      </c>
      <c r="J1453" s="2" t="s">
        <v>230</v>
      </c>
      <c r="K1453" s="2" t="s">
        <v>1196</v>
      </c>
      <c r="L1453" s="3">
        <v>25.3</v>
      </c>
      <c r="M1453" s="3">
        <v>26.56</v>
      </c>
      <c r="N1453" s="3">
        <v>53.99</v>
      </c>
      <c r="O1453" s="2" t="s">
        <v>232</v>
      </c>
      <c r="P1453" s="2" t="s">
        <v>233</v>
      </c>
      <c r="Q1453" s="2" t="s">
        <v>234</v>
      </c>
      <c r="R1453" s="2" t="s">
        <v>235</v>
      </c>
      <c r="S1453" s="2" t="s">
        <v>5541</v>
      </c>
      <c r="T1453" s="2" t="s">
        <v>587</v>
      </c>
      <c r="U1453" s="2" t="s">
        <v>552</v>
      </c>
      <c r="V1453" s="2" t="s">
        <v>238</v>
      </c>
      <c r="W1453" s="2" t="s">
        <v>239</v>
      </c>
      <c r="X1453" s="2" t="s">
        <v>682</v>
      </c>
      <c r="Y1453" s="2" t="s">
        <v>240</v>
      </c>
      <c r="Z1453" s="4">
        <v>119</v>
      </c>
      <c r="AA1453" s="4">
        <f>=ROUNDDOWN(19.8333333333333,0)</f>
      </c>
      <c r="AB1453" s="5">
        <v>6</v>
      </c>
      <c r="AC1453" s="2" t="s">
        <v>266</v>
      </c>
      <c r="AD1453" s="4">
        <v>50</v>
      </c>
      <c r="AE1453" s="4">
        <v>50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235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235</v>
      </c>
      <c r="AW1453" s="8" t="s">
        <v>235</v>
      </c>
      <c r="AX1453" s="4" t="s">
        <v>235</v>
      </c>
      <c r="AY1453" s="8" t="s">
        <v>235</v>
      </c>
      <c r="AZ1453" s="7" t="s">
        <v>235</v>
      </c>
      <c r="BA1453" s="7" t="s">
        <v>235</v>
      </c>
      <c r="BB1453" s="7"/>
      <c r="BC1453" s="4" t="s">
        <v>235</v>
      </c>
      <c r="BD1453" s="8" t="s">
        <v>235</v>
      </c>
      <c r="BE1453" s="4" t="s">
        <v>235</v>
      </c>
      <c r="BF1453" s="8" t="s">
        <v>235</v>
      </c>
      <c r="BG1453" s="7" t="s">
        <v>235</v>
      </c>
      <c r="BH1453" s="7" t="s">
        <v>235</v>
      </c>
      <c r="BI1453" s="7"/>
      <c r="BJ1453" s="4">
        <v>4</v>
      </c>
      <c r="BK1453" s="8">
        <v>111.04</v>
      </c>
      <c r="BL1453" s="2" t="s">
        <v>1226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5510</v>
      </c>
      <c r="BV1453" s="2" t="s">
        <v>243</v>
      </c>
      <c r="BW1453" s="2" t="s">
        <v>235</v>
      </c>
      <c r="BX1453" s="2" t="s">
        <v>383</v>
      </c>
      <c r="BY1453" s="2" t="s">
        <v>245</v>
      </c>
      <c r="BZ1453" s="2" t="s">
        <v>232</v>
      </c>
      <c r="CA1453" s="2" t="s">
        <v>1337</v>
      </c>
      <c r="CB1453" s="2" t="s">
        <v>5544</v>
      </c>
      <c r="CC1453" s="2" t="s">
        <v>248</v>
      </c>
      <c r="CD1453" s="2" t="s">
        <v>248</v>
      </c>
      <c r="CE1453" s="2" t="s">
        <v>235</v>
      </c>
      <c r="CF1453" s="4">
        <v>119</v>
      </c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>
        <v>50</v>
      </c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>
        <v>119</v>
      </c>
      <c r="GE1453" s="4">
        <v>165</v>
      </c>
      <c r="GF1453" s="4">
        <v>160</v>
      </c>
      <c r="GG1453" s="4">
        <v>154</v>
      </c>
      <c r="GH1453" s="4">
        <v>149</v>
      </c>
      <c r="GI1453" s="4">
        <v>143</v>
      </c>
      <c r="GJ1453" s="4">
        <v>134</v>
      </c>
      <c r="GK1453" s="4">
        <v>125</v>
      </c>
      <c r="GL1453" s="4">
        <v>117</v>
      </c>
      <c r="GM1453" s="4">
        <v>110</v>
      </c>
      <c r="GN1453" s="4">
        <v>103</v>
      </c>
      <c r="GO1453" s="4">
        <v>94</v>
      </c>
      <c r="GP1453" s="4">
        <v>83</v>
      </c>
      <c r="GQ1453" s="4">
        <v>66</v>
      </c>
      <c r="GR1453" s="4">
        <v>59</v>
      </c>
      <c r="GS1453" s="4">
        <v>50</v>
      </c>
      <c r="GT1453" s="4">
        <v>45</v>
      </c>
      <c r="GU1453" s="4">
        <v>42</v>
      </c>
      <c r="GV1453" s="4">
        <v>39</v>
      </c>
      <c r="GW1453" s="4">
        <v>84</v>
      </c>
      <c r="GX1453" s="4">
        <v>82</v>
      </c>
      <c r="GY1453" s="4">
        <v>80</v>
      </c>
      <c r="GZ1453" s="4">
        <v>78</v>
      </c>
      <c r="HA1453" s="4">
        <v>76</v>
      </c>
      <c r="HB1453" s="4">
        <v>74</v>
      </c>
      <c r="HC1453" s="4">
        <v>72</v>
      </c>
      <c r="HD1453" s="19">
        <v>23.8</v>
      </c>
      <c r="HE1453" s="19">
        <v>27.5</v>
      </c>
      <c r="HF1453" s="19">
        <v>26.7</v>
      </c>
      <c r="HG1453" s="19">
        <v>22</v>
      </c>
      <c r="HH1453" s="19">
        <v>18.6</v>
      </c>
      <c r="HI1453" s="19">
        <v>17.9</v>
      </c>
      <c r="HJ1453" s="19">
        <v>16.8</v>
      </c>
      <c r="HK1453" s="19">
        <v>15.6</v>
      </c>
      <c r="HL1453" s="19">
        <v>14.6</v>
      </c>
      <c r="HM1453" s="19">
        <v>10</v>
      </c>
      <c r="HN1453" s="19">
        <v>9.4</v>
      </c>
      <c r="HO1453" s="19">
        <v>8.5</v>
      </c>
      <c r="HP1453" s="19">
        <v>8.3</v>
      </c>
      <c r="HQ1453" s="19">
        <v>11</v>
      </c>
      <c r="HR1453" s="19">
        <v>11.8</v>
      </c>
      <c r="HS1453" s="19">
        <v>16.7</v>
      </c>
      <c r="HT1453" s="19">
        <v>22.5</v>
      </c>
      <c r="HU1453" s="19">
        <v>21</v>
      </c>
      <c r="HV1453" s="19">
        <v>19.5</v>
      </c>
      <c r="HW1453" s="19">
        <v>42</v>
      </c>
      <c r="HX1453" s="19">
        <v>41</v>
      </c>
      <c r="HY1453" s="19">
        <v>40</v>
      </c>
      <c r="HZ1453" s="19">
        <v>39</v>
      </c>
      <c r="IA1453" s="19">
        <v>38</v>
      </c>
      <c r="IB1453" s="19">
        <v>37</v>
      </c>
      <c r="IC1453" s="19">
        <v>36</v>
      </c>
    </row>
    <row r="1454">
      <c r="A1454" s="2" t="s">
        <v>5545</v>
      </c>
      <c r="B1454" s="2" t="s">
        <v>323</v>
      </c>
      <c r="C1454" s="2" t="s">
        <v>1036</v>
      </c>
      <c r="D1454" s="2" t="s">
        <v>257</v>
      </c>
      <c r="E1454" s="2" t="s">
        <v>258</v>
      </c>
      <c r="F1454" s="2" t="s">
        <v>5508</v>
      </c>
      <c r="G1454" s="2" t="s">
        <v>5508</v>
      </c>
      <c r="H1454" s="2" t="s">
        <v>5508</v>
      </c>
      <c r="I1454" s="2" t="s">
        <v>405</v>
      </c>
      <c r="J1454" s="2" t="s">
        <v>250</v>
      </c>
      <c r="K1454" s="2" t="s">
        <v>1196</v>
      </c>
      <c r="L1454" s="3">
        <v>28.05</v>
      </c>
      <c r="M1454" s="3">
        <v>29.45</v>
      </c>
      <c r="N1454" s="3">
        <v>59.99</v>
      </c>
      <c r="O1454" s="2" t="s">
        <v>232</v>
      </c>
      <c r="P1454" s="2" t="s">
        <v>233</v>
      </c>
      <c r="Q1454" s="2" t="s">
        <v>234</v>
      </c>
      <c r="R1454" s="2" t="s">
        <v>235</v>
      </c>
      <c r="S1454" s="2" t="s">
        <v>5541</v>
      </c>
      <c r="T1454" s="2" t="s">
        <v>587</v>
      </c>
      <c r="U1454" s="2" t="s">
        <v>264</v>
      </c>
      <c r="V1454" s="2" t="s">
        <v>238</v>
      </c>
      <c r="W1454" s="2" t="s">
        <v>239</v>
      </c>
      <c r="X1454" s="2" t="s">
        <v>682</v>
      </c>
      <c r="Y1454" s="2" t="s">
        <v>240</v>
      </c>
      <c r="Z1454" s="4">
        <v>230</v>
      </c>
      <c r="AA1454" s="4">
        <f>=ROUNDDOWN(25.5555555555556,0)</f>
      </c>
      <c r="AB1454" s="5">
        <v>9</v>
      </c>
      <c r="AC1454" s="2" t="s">
        <v>266</v>
      </c>
      <c r="AD1454" s="4">
        <v>60</v>
      </c>
      <c r="AE1454" s="4">
        <v>60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235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235</v>
      </c>
      <c r="AW1454" s="8" t="s">
        <v>235</v>
      </c>
      <c r="AX1454" s="4" t="s">
        <v>235</v>
      </c>
      <c r="AY1454" s="8" t="s">
        <v>235</v>
      </c>
      <c r="AZ1454" s="7" t="s">
        <v>235</v>
      </c>
      <c r="BA1454" s="7" t="s">
        <v>235</v>
      </c>
      <c r="BB1454" s="7"/>
      <c r="BC1454" s="4" t="s">
        <v>235</v>
      </c>
      <c r="BD1454" s="8" t="s">
        <v>235</v>
      </c>
      <c r="BE1454" s="4" t="s">
        <v>235</v>
      </c>
      <c r="BF1454" s="8" t="s">
        <v>235</v>
      </c>
      <c r="BG1454" s="7" t="s">
        <v>235</v>
      </c>
      <c r="BH1454" s="7" t="s">
        <v>235</v>
      </c>
      <c r="BI1454" s="7"/>
      <c r="BJ1454" s="4">
        <v>2</v>
      </c>
      <c r="BK1454" s="8">
        <v>62.15</v>
      </c>
      <c r="BL1454" s="2" t="s">
        <v>5546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5510</v>
      </c>
      <c r="BV1454" s="2" t="s">
        <v>243</v>
      </c>
      <c r="BW1454" s="2" t="s">
        <v>235</v>
      </c>
      <c r="BX1454" s="2" t="s">
        <v>383</v>
      </c>
      <c r="BY1454" s="2" t="s">
        <v>245</v>
      </c>
      <c r="BZ1454" s="2" t="s">
        <v>232</v>
      </c>
      <c r="CA1454" s="2" t="s">
        <v>252</v>
      </c>
      <c r="CB1454" s="2" t="s">
        <v>504</v>
      </c>
      <c r="CC1454" s="2" t="s">
        <v>248</v>
      </c>
      <c r="CD1454" s="2" t="s">
        <v>248</v>
      </c>
      <c r="CE1454" s="2" t="s">
        <v>235</v>
      </c>
      <c r="CF1454" s="4">
        <v>72</v>
      </c>
      <c r="CG1454" s="4"/>
      <c r="CH1454" s="4"/>
      <c r="CI1454" s="4">
        <v>158</v>
      </c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>
        <v>60</v>
      </c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>
        <v>230</v>
      </c>
      <c r="GE1454" s="4">
        <v>266</v>
      </c>
      <c r="GF1454" s="4">
        <v>257</v>
      </c>
      <c r="GG1454" s="4">
        <v>245</v>
      </c>
      <c r="GH1454" s="4">
        <v>236</v>
      </c>
      <c r="GI1454" s="4">
        <v>224</v>
      </c>
      <c r="GJ1454" s="4">
        <v>208</v>
      </c>
      <c r="GK1454" s="4">
        <v>193</v>
      </c>
      <c r="GL1454" s="4">
        <v>179</v>
      </c>
      <c r="GM1454" s="4">
        <v>165</v>
      </c>
      <c r="GN1454" s="4">
        <v>153</v>
      </c>
      <c r="GO1454" s="4">
        <v>141</v>
      </c>
      <c r="GP1454" s="4">
        <v>127</v>
      </c>
      <c r="GQ1454" s="4">
        <v>106</v>
      </c>
      <c r="GR1454" s="4">
        <v>96</v>
      </c>
      <c r="GS1454" s="4">
        <v>85</v>
      </c>
      <c r="GT1454" s="4">
        <v>78</v>
      </c>
      <c r="GU1454" s="4">
        <v>73</v>
      </c>
      <c r="GV1454" s="4">
        <v>67</v>
      </c>
      <c r="GW1454" s="4">
        <v>120</v>
      </c>
      <c r="GX1454" s="4">
        <v>116</v>
      </c>
      <c r="GY1454" s="4">
        <v>112</v>
      </c>
      <c r="GZ1454" s="4">
        <v>109</v>
      </c>
      <c r="HA1454" s="4">
        <v>105</v>
      </c>
      <c r="HB1454" s="4">
        <v>102</v>
      </c>
      <c r="HC1454" s="4">
        <v>99</v>
      </c>
      <c r="HD1454" s="19">
        <v>16.4</v>
      </c>
      <c r="HE1454" s="19">
        <v>26.6</v>
      </c>
      <c r="HF1454" s="19">
        <v>21.4</v>
      </c>
      <c r="HG1454" s="19">
        <v>18.8</v>
      </c>
      <c r="HH1454" s="19">
        <v>16.9</v>
      </c>
      <c r="HI1454" s="19">
        <v>14.9</v>
      </c>
      <c r="HJ1454" s="19">
        <v>14.9</v>
      </c>
      <c r="HK1454" s="19">
        <v>14.8</v>
      </c>
      <c r="HL1454" s="19">
        <v>13.8</v>
      </c>
      <c r="HM1454" s="19">
        <v>11</v>
      </c>
      <c r="HN1454" s="19">
        <v>10.9</v>
      </c>
      <c r="HO1454" s="19">
        <v>10.1</v>
      </c>
      <c r="HP1454" s="19">
        <v>10.6</v>
      </c>
      <c r="HQ1454" s="19">
        <v>13.3</v>
      </c>
      <c r="HR1454" s="19">
        <v>13.7</v>
      </c>
      <c r="HS1454" s="19">
        <v>14.2</v>
      </c>
      <c r="HT1454" s="19">
        <v>15.6</v>
      </c>
      <c r="HU1454" s="19">
        <v>18.3</v>
      </c>
      <c r="HV1454" s="19">
        <v>16.8</v>
      </c>
      <c r="HW1454" s="19">
        <v>30</v>
      </c>
      <c r="HX1454" s="19">
        <v>29</v>
      </c>
      <c r="HY1454" s="19">
        <v>37.3</v>
      </c>
      <c r="HZ1454" s="19">
        <v>36.3</v>
      </c>
      <c r="IA1454" s="19">
        <v>35</v>
      </c>
      <c r="IB1454" s="19">
        <v>51</v>
      </c>
      <c r="IC1454" s="19">
        <v>49.5</v>
      </c>
    </row>
    <row r="1455">
      <c r="A1455" s="2" t="s">
        <v>5547</v>
      </c>
      <c r="B1455" s="2" t="s">
        <v>323</v>
      </c>
      <c r="C1455" s="2" t="s">
        <v>1036</v>
      </c>
      <c r="D1455" s="2" t="s">
        <v>257</v>
      </c>
      <c r="E1455" s="2" t="s">
        <v>258</v>
      </c>
      <c r="F1455" s="2" t="s">
        <v>5508</v>
      </c>
      <c r="G1455" s="2" t="s">
        <v>5508</v>
      </c>
      <c r="H1455" s="2" t="s">
        <v>5508</v>
      </c>
      <c r="I1455" s="2" t="s">
        <v>405</v>
      </c>
      <c r="J1455" s="2" t="s">
        <v>272</v>
      </c>
      <c r="K1455" s="2" t="s">
        <v>1196</v>
      </c>
      <c r="L1455" s="3">
        <v>35.4</v>
      </c>
      <c r="M1455" s="3">
        <v>37.17</v>
      </c>
      <c r="N1455" s="3">
        <v>74.99</v>
      </c>
      <c r="O1455" s="2" t="s">
        <v>232</v>
      </c>
      <c r="P1455" s="2" t="s">
        <v>233</v>
      </c>
      <c r="Q1455" s="2" t="s">
        <v>234</v>
      </c>
      <c r="R1455" s="2" t="s">
        <v>235</v>
      </c>
      <c r="S1455" s="2" t="s">
        <v>5541</v>
      </c>
      <c r="T1455" s="2" t="s">
        <v>587</v>
      </c>
      <c r="U1455" s="2" t="s">
        <v>264</v>
      </c>
      <c r="V1455" s="2" t="s">
        <v>238</v>
      </c>
      <c r="W1455" s="2" t="s">
        <v>239</v>
      </c>
      <c r="X1455" s="2" t="s">
        <v>682</v>
      </c>
      <c r="Y1455" s="2" t="s">
        <v>240</v>
      </c>
      <c r="Z1455" s="4">
        <v>172</v>
      </c>
      <c r="AA1455" s="4">
        <f>=ROUNDDOWN(21.5,0)</f>
      </c>
      <c r="AB1455" s="5">
        <v>8</v>
      </c>
      <c r="AC1455" s="2" t="s">
        <v>266</v>
      </c>
      <c r="AD1455" s="4">
        <v>30</v>
      </c>
      <c r="AE1455" s="4">
        <v>30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235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235</v>
      </c>
      <c r="AW1455" s="8" t="s">
        <v>235</v>
      </c>
      <c r="AX1455" s="4" t="s">
        <v>235</v>
      </c>
      <c r="AY1455" s="8" t="s">
        <v>235</v>
      </c>
      <c r="AZ1455" s="7" t="s">
        <v>235</v>
      </c>
      <c r="BA1455" s="7" t="s">
        <v>235</v>
      </c>
      <c r="BB1455" s="7"/>
      <c r="BC1455" s="4" t="s">
        <v>235</v>
      </c>
      <c r="BD1455" s="8" t="s">
        <v>235</v>
      </c>
      <c r="BE1455" s="4" t="s">
        <v>235</v>
      </c>
      <c r="BF1455" s="8" t="s">
        <v>235</v>
      </c>
      <c r="BG1455" s="7" t="s">
        <v>235</v>
      </c>
      <c r="BH1455" s="7" t="s">
        <v>235</v>
      </c>
      <c r="BI1455" s="7"/>
      <c r="BJ1455" s="4"/>
      <c r="BK1455" s="8"/>
      <c r="BL1455" s="2" t="s">
        <v>1625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5510</v>
      </c>
      <c r="BV1455" s="2" t="s">
        <v>243</v>
      </c>
      <c r="BW1455" s="2" t="s">
        <v>235</v>
      </c>
      <c r="BX1455" s="2" t="s">
        <v>383</v>
      </c>
      <c r="BY1455" s="2" t="s">
        <v>245</v>
      </c>
      <c r="BZ1455" s="2" t="s">
        <v>232</v>
      </c>
      <c r="CA1455" s="2" t="s">
        <v>1337</v>
      </c>
      <c r="CB1455" s="2" t="s">
        <v>5548</v>
      </c>
      <c r="CC1455" s="2" t="s">
        <v>248</v>
      </c>
      <c r="CD1455" s="2" t="s">
        <v>248</v>
      </c>
      <c r="CE1455" s="2" t="s">
        <v>235</v>
      </c>
      <c r="CF1455" s="4">
        <v>42</v>
      </c>
      <c r="CG1455" s="4">
        <v>130</v>
      </c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>
        <v>30</v>
      </c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>
        <v>172</v>
      </c>
      <c r="GE1455" s="4">
        <v>200</v>
      </c>
      <c r="GF1455" s="4">
        <v>198</v>
      </c>
      <c r="GG1455" s="4">
        <v>196</v>
      </c>
      <c r="GH1455" s="4">
        <v>194</v>
      </c>
      <c r="GI1455" s="4">
        <v>192</v>
      </c>
      <c r="GJ1455" s="4">
        <v>181</v>
      </c>
      <c r="GK1455" s="4">
        <v>169</v>
      </c>
      <c r="GL1455" s="4">
        <v>158</v>
      </c>
      <c r="GM1455" s="4">
        <v>148</v>
      </c>
      <c r="GN1455" s="4">
        <v>138</v>
      </c>
      <c r="GO1455" s="4">
        <v>126</v>
      </c>
      <c r="GP1455" s="4">
        <v>111</v>
      </c>
      <c r="GQ1455" s="4">
        <v>85</v>
      </c>
      <c r="GR1455" s="4">
        <v>75</v>
      </c>
      <c r="GS1455" s="4">
        <v>62</v>
      </c>
      <c r="GT1455" s="4">
        <v>55</v>
      </c>
      <c r="GU1455" s="4">
        <v>50</v>
      </c>
      <c r="GV1455" s="4">
        <v>43</v>
      </c>
      <c r="GW1455" s="4">
        <v>109</v>
      </c>
      <c r="GX1455" s="4">
        <v>104</v>
      </c>
      <c r="GY1455" s="4">
        <v>99</v>
      </c>
      <c r="GZ1455" s="4">
        <v>96</v>
      </c>
      <c r="HA1455" s="4">
        <v>93</v>
      </c>
      <c r="HB1455" s="4">
        <v>90</v>
      </c>
      <c r="HC1455" s="4">
        <v>87</v>
      </c>
      <c r="HD1455" s="19">
        <v>86</v>
      </c>
      <c r="HE1455" s="19">
        <v>100</v>
      </c>
      <c r="HF1455" s="19">
        <v>49.5</v>
      </c>
      <c r="HG1455" s="19">
        <v>28</v>
      </c>
      <c r="HH1455" s="19">
        <v>21.6</v>
      </c>
      <c r="HI1455" s="19">
        <v>17.5</v>
      </c>
      <c r="HJ1455" s="19">
        <v>16.5</v>
      </c>
      <c r="HK1455" s="19">
        <v>15.4</v>
      </c>
      <c r="HL1455" s="19">
        <v>13.2</v>
      </c>
      <c r="HM1455" s="19">
        <v>9.3</v>
      </c>
      <c r="HN1455" s="19">
        <v>8.6</v>
      </c>
      <c r="HO1455" s="19">
        <v>7.9</v>
      </c>
      <c r="HP1455" s="19">
        <v>7.9</v>
      </c>
      <c r="HQ1455" s="19">
        <v>9.4</v>
      </c>
      <c r="HR1455" s="19">
        <v>9.4</v>
      </c>
      <c r="HS1455" s="19">
        <v>10.3</v>
      </c>
      <c r="HT1455" s="19">
        <v>11</v>
      </c>
      <c r="HU1455" s="19">
        <v>10</v>
      </c>
      <c r="HV1455" s="19">
        <v>10.8</v>
      </c>
      <c r="HW1455" s="19">
        <v>27.3</v>
      </c>
      <c r="HX1455" s="19">
        <v>26</v>
      </c>
      <c r="HY1455" s="19">
        <v>33</v>
      </c>
      <c r="HZ1455" s="19">
        <v>32</v>
      </c>
      <c r="IA1455" s="19">
        <v>31</v>
      </c>
      <c r="IB1455" s="19">
        <v>30</v>
      </c>
      <c r="IC1455" s="19">
        <v>29</v>
      </c>
    </row>
    <row r="1456">
      <c r="A1456" s="2" t="s">
        <v>5549</v>
      </c>
      <c r="B1456" s="2" t="s">
        <v>323</v>
      </c>
      <c r="C1456" s="2" t="s">
        <v>1036</v>
      </c>
      <c r="D1456" s="2" t="s">
        <v>257</v>
      </c>
      <c r="E1456" s="2" t="s">
        <v>258</v>
      </c>
      <c r="F1456" s="2" t="s">
        <v>5508</v>
      </c>
      <c r="G1456" s="2" t="s">
        <v>5508</v>
      </c>
      <c r="H1456" s="2" t="s">
        <v>5508</v>
      </c>
      <c r="I1456" s="2" t="s">
        <v>405</v>
      </c>
      <c r="J1456" s="2" t="s">
        <v>230</v>
      </c>
      <c r="K1456" s="2" t="s">
        <v>1238</v>
      </c>
      <c r="L1456" s="3">
        <v>25.3</v>
      </c>
      <c r="M1456" s="3">
        <v>26.56</v>
      </c>
      <c r="N1456" s="3">
        <v>53.99</v>
      </c>
      <c r="O1456" s="2" t="s">
        <v>232</v>
      </c>
      <c r="P1456" s="2" t="s">
        <v>233</v>
      </c>
      <c r="Q1456" s="2" t="s">
        <v>234</v>
      </c>
      <c r="R1456" s="2" t="s">
        <v>235</v>
      </c>
      <c r="S1456" s="2" t="s">
        <v>5550</v>
      </c>
      <c r="T1456" s="2" t="s">
        <v>587</v>
      </c>
      <c r="U1456" s="2" t="s">
        <v>552</v>
      </c>
      <c r="V1456" s="2" t="s">
        <v>238</v>
      </c>
      <c r="W1456" s="2" t="s">
        <v>239</v>
      </c>
      <c r="X1456" s="2" t="s">
        <v>682</v>
      </c>
      <c r="Y1456" s="2" t="s">
        <v>240</v>
      </c>
      <c r="Z1456" s="4">
        <v>179</v>
      </c>
      <c r="AA1456" s="4">
        <f>=ROUNDDOWN(17.9,0)</f>
      </c>
      <c r="AB1456" s="5">
        <v>10</v>
      </c>
      <c r="AC1456" s="2" t="s">
        <v>883</v>
      </c>
      <c r="AD1456" s="4">
        <v>60</v>
      </c>
      <c r="AE1456" s="4">
        <v>60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235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235</v>
      </c>
      <c r="AW1456" s="8" t="s">
        <v>235</v>
      </c>
      <c r="AX1456" s="4" t="s">
        <v>235</v>
      </c>
      <c r="AY1456" s="8" t="s">
        <v>235</v>
      </c>
      <c r="AZ1456" s="7" t="s">
        <v>235</v>
      </c>
      <c r="BA1456" s="7" t="s">
        <v>235</v>
      </c>
      <c r="BB1456" s="7"/>
      <c r="BC1456" s="4" t="s">
        <v>235</v>
      </c>
      <c r="BD1456" s="8" t="s">
        <v>235</v>
      </c>
      <c r="BE1456" s="4" t="s">
        <v>235</v>
      </c>
      <c r="BF1456" s="8" t="s">
        <v>235</v>
      </c>
      <c r="BG1456" s="7" t="s">
        <v>235</v>
      </c>
      <c r="BH1456" s="7" t="s">
        <v>235</v>
      </c>
      <c r="BI1456" s="7"/>
      <c r="BJ1456" s="4">
        <v>5</v>
      </c>
      <c r="BK1456" s="8">
        <v>124.62</v>
      </c>
      <c r="BL1456" s="2" t="s">
        <v>5551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5510</v>
      </c>
      <c r="BV1456" s="2" t="s">
        <v>243</v>
      </c>
      <c r="BW1456" s="2" t="s">
        <v>235</v>
      </c>
      <c r="BX1456" s="2" t="s">
        <v>383</v>
      </c>
      <c r="BY1456" s="2" t="s">
        <v>245</v>
      </c>
      <c r="BZ1456" s="2" t="s">
        <v>232</v>
      </c>
      <c r="CA1456" s="2" t="s">
        <v>252</v>
      </c>
      <c r="CB1456" s="2" t="s">
        <v>5552</v>
      </c>
      <c r="CC1456" s="2" t="s">
        <v>248</v>
      </c>
      <c r="CD1456" s="2" t="s">
        <v>248</v>
      </c>
      <c r="CE1456" s="2" t="s">
        <v>235</v>
      </c>
      <c r="CF1456" s="4"/>
      <c r="CG1456" s="4">
        <v>103</v>
      </c>
      <c r="CH1456" s="4"/>
      <c r="CI1456" s="4">
        <v>76</v>
      </c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>
        <v>60</v>
      </c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>
        <v>179</v>
      </c>
      <c r="GE1456" s="4">
        <v>202</v>
      </c>
      <c r="GF1456" s="4">
        <v>192</v>
      </c>
      <c r="GG1456" s="4">
        <v>181</v>
      </c>
      <c r="GH1456" s="4">
        <v>173</v>
      </c>
      <c r="GI1456" s="4">
        <v>161</v>
      </c>
      <c r="GJ1456" s="4">
        <v>146</v>
      </c>
      <c r="GK1456" s="4">
        <v>132</v>
      </c>
      <c r="GL1456" s="4">
        <v>117</v>
      </c>
      <c r="GM1456" s="4">
        <v>103</v>
      </c>
      <c r="GN1456" s="4">
        <v>93</v>
      </c>
      <c r="GO1456" s="4">
        <v>79</v>
      </c>
      <c r="GP1456" s="4">
        <v>63</v>
      </c>
      <c r="GQ1456" s="4">
        <v>42</v>
      </c>
      <c r="GR1456" s="4">
        <v>31</v>
      </c>
      <c r="GS1456" s="4">
        <v>20</v>
      </c>
      <c r="GT1456" s="4">
        <v>13</v>
      </c>
      <c r="GU1456" s="4">
        <v>8</v>
      </c>
      <c r="GV1456" s="4">
        <v>3</v>
      </c>
      <c r="GW1456" s="4">
        <v>119</v>
      </c>
      <c r="GX1456" s="4">
        <v>115</v>
      </c>
      <c r="GY1456" s="4">
        <v>112</v>
      </c>
      <c r="GZ1456" s="4">
        <v>109</v>
      </c>
      <c r="HA1456" s="4">
        <v>106</v>
      </c>
      <c r="HB1456" s="4">
        <v>104</v>
      </c>
      <c r="HC1456" s="4">
        <v>102</v>
      </c>
      <c r="HD1456" s="19">
        <v>11.2</v>
      </c>
      <c r="HE1456" s="19">
        <v>20.2</v>
      </c>
      <c r="HF1456" s="19">
        <v>16</v>
      </c>
      <c r="HG1456" s="19">
        <v>15.1</v>
      </c>
      <c r="HH1456" s="19">
        <v>12.4</v>
      </c>
      <c r="HI1456" s="19">
        <v>11.5</v>
      </c>
      <c r="HJ1456" s="19">
        <v>11.2</v>
      </c>
      <c r="HK1456" s="19">
        <v>10.2</v>
      </c>
      <c r="HL1456" s="19">
        <v>8.4</v>
      </c>
      <c r="HM1456" s="19">
        <v>6.9</v>
      </c>
      <c r="HN1456" s="19">
        <v>5.8</v>
      </c>
      <c r="HO1456" s="19">
        <v>5.3</v>
      </c>
      <c r="HP1456" s="19">
        <v>5.3</v>
      </c>
      <c r="HQ1456" s="19">
        <v>5.3</v>
      </c>
      <c r="HR1456" s="19">
        <v>4.4</v>
      </c>
      <c r="HS1456" s="19">
        <v>4</v>
      </c>
      <c r="HT1456" s="19">
        <v>3.3</v>
      </c>
      <c r="HU1456" s="19">
        <v>2</v>
      </c>
      <c r="HV1456" s="19">
        <v>1</v>
      </c>
      <c r="HW1456" s="19">
        <v>39.7</v>
      </c>
      <c r="HX1456" s="19">
        <v>38.3</v>
      </c>
      <c r="HY1456" s="19">
        <v>56</v>
      </c>
      <c r="HZ1456" s="19">
        <v>54.5</v>
      </c>
      <c r="IA1456" s="19">
        <v>53</v>
      </c>
      <c r="IB1456" s="19">
        <v>52</v>
      </c>
      <c r="IC1456" s="19">
        <v>51</v>
      </c>
    </row>
    <row r="1457">
      <c r="A1457" s="2" t="s">
        <v>5553</v>
      </c>
      <c r="B1457" s="2" t="s">
        <v>323</v>
      </c>
      <c r="C1457" s="2" t="s">
        <v>1036</v>
      </c>
      <c r="D1457" s="2" t="s">
        <v>257</v>
      </c>
      <c r="E1457" s="2" t="s">
        <v>258</v>
      </c>
      <c r="F1457" s="2" t="s">
        <v>5508</v>
      </c>
      <c r="G1457" s="2" t="s">
        <v>5508</v>
      </c>
      <c r="H1457" s="2" t="s">
        <v>5508</v>
      </c>
      <c r="I1457" s="2" t="s">
        <v>405</v>
      </c>
      <c r="J1457" s="2" t="s">
        <v>261</v>
      </c>
      <c r="K1457" s="2" t="s">
        <v>1238</v>
      </c>
      <c r="L1457" s="3">
        <v>31.3</v>
      </c>
      <c r="M1457" s="3">
        <v>32.86</v>
      </c>
      <c r="N1457" s="3">
        <v>64.99</v>
      </c>
      <c r="O1457" s="2" t="s">
        <v>232</v>
      </c>
      <c r="P1457" s="2" t="s">
        <v>233</v>
      </c>
      <c r="Q1457" s="2" t="s">
        <v>234</v>
      </c>
      <c r="R1457" s="2" t="s">
        <v>235</v>
      </c>
      <c r="S1457" s="2" t="s">
        <v>5550</v>
      </c>
      <c r="T1457" s="2" t="s">
        <v>587</v>
      </c>
      <c r="U1457" s="2" t="s">
        <v>264</v>
      </c>
      <c r="V1457" s="2" t="s">
        <v>238</v>
      </c>
      <c r="W1457" s="2" t="s">
        <v>239</v>
      </c>
      <c r="X1457" s="2" t="s">
        <v>682</v>
      </c>
      <c r="Y1457" s="2" t="s">
        <v>240</v>
      </c>
      <c r="Z1457" s="4">
        <v>407</v>
      </c>
      <c r="AA1457" s="4">
        <f>=ROUNDDOWN(23.9411764705882,0)</f>
      </c>
      <c r="AB1457" s="5">
        <v>17</v>
      </c>
      <c r="AC1457" s="2" t="s">
        <v>883</v>
      </c>
      <c r="AD1457" s="4">
        <v>135</v>
      </c>
      <c r="AE1457" s="4">
        <v>135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235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235</v>
      </c>
      <c r="AW1457" s="8" t="s">
        <v>235</v>
      </c>
      <c r="AX1457" s="4" t="s">
        <v>235</v>
      </c>
      <c r="AY1457" s="8" t="s">
        <v>235</v>
      </c>
      <c r="AZ1457" s="7" t="s">
        <v>235</v>
      </c>
      <c r="BA1457" s="7" t="s">
        <v>235</v>
      </c>
      <c r="BB1457" s="7"/>
      <c r="BC1457" s="4" t="s">
        <v>235</v>
      </c>
      <c r="BD1457" s="8" t="s">
        <v>235</v>
      </c>
      <c r="BE1457" s="4" t="s">
        <v>235</v>
      </c>
      <c r="BF1457" s="8" t="s">
        <v>235</v>
      </c>
      <c r="BG1457" s="7" t="s">
        <v>235</v>
      </c>
      <c r="BH1457" s="7" t="s">
        <v>235</v>
      </c>
      <c r="BI1457" s="7"/>
      <c r="BJ1457" s="4">
        <v>6</v>
      </c>
      <c r="BK1457" s="8">
        <v>213.5</v>
      </c>
      <c r="BL1457" s="2" t="s">
        <v>2237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5510</v>
      </c>
      <c r="BV1457" s="2" t="s">
        <v>243</v>
      </c>
      <c r="BW1457" s="2" t="s">
        <v>235</v>
      </c>
      <c r="BX1457" s="2" t="s">
        <v>383</v>
      </c>
      <c r="BY1457" s="2" t="s">
        <v>245</v>
      </c>
      <c r="BZ1457" s="2" t="s">
        <v>232</v>
      </c>
      <c r="CA1457" s="2" t="s">
        <v>252</v>
      </c>
      <c r="CB1457" s="2" t="s">
        <v>2045</v>
      </c>
      <c r="CC1457" s="2" t="s">
        <v>248</v>
      </c>
      <c r="CD1457" s="2" t="s">
        <v>248</v>
      </c>
      <c r="CE1457" s="2" t="s">
        <v>235</v>
      </c>
      <c r="CF1457" s="4"/>
      <c r="CG1457" s="4">
        <v>249</v>
      </c>
      <c r="CH1457" s="4"/>
      <c r="CI1457" s="4">
        <v>158</v>
      </c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>
        <v>135</v>
      </c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>
        <v>410</v>
      </c>
      <c r="GE1457" s="4">
        <v>528</v>
      </c>
      <c r="GF1457" s="4">
        <v>517</v>
      </c>
      <c r="GG1457" s="4">
        <v>503</v>
      </c>
      <c r="GH1457" s="4">
        <v>492</v>
      </c>
      <c r="GI1457" s="4">
        <v>475</v>
      </c>
      <c r="GJ1457" s="4">
        <v>450</v>
      </c>
      <c r="GK1457" s="4">
        <v>421</v>
      </c>
      <c r="GL1457" s="4">
        <v>399</v>
      </c>
      <c r="GM1457" s="4">
        <v>379</v>
      </c>
      <c r="GN1457" s="4">
        <v>354</v>
      </c>
      <c r="GO1457" s="4">
        <v>320</v>
      </c>
      <c r="GP1457" s="4">
        <v>279</v>
      </c>
      <c r="GQ1457" s="4">
        <v>209</v>
      </c>
      <c r="GR1457" s="4">
        <v>171</v>
      </c>
      <c r="GS1457" s="4">
        <v>124</v>
      </c>
      <c r="GT1457" s="4">
        <v>96</v>
      </c>
      <c r="GU1457" s="4">
        <v>79</v>
      </c>
      <c r="GV1457" s="4">
        <v>60</v>
      </c>
      <c r="GW1457" s="4">
        <v>216</v>
      </c>
      <c r="GX1457" s="4">
        <v>203</v>
      </c>
      <c r="GY1457" s="4">
        <v>190</v>
      </c>
      <c r="GZ1457" s="4">
        <v>181</v>
      </c>
      <c r="HA1457" s="4">
        <v>171</v>
      </c>
      <c r="HB1457" s="4">
        <v>163</v>
      </c>
      <c r="HC1457" s="4">
        <v>155</v>
      </c>
      <c r="HD1457" s="19">
        <v>31.5</v>
      </c>
      <c r="HE1457" s="19">
        <v>40.6</v>
      </c>
      <c r="HF1457" s="19">
        <v>30.4</v>
      </c>
      <c r="HG1457" s="19">
        <v>25.2</v>
      </c>
      <c r="HH1457" s="19">
        <v>21.4</v>
      </c>
      <c r="HI1457" s="19">
        <v>19.8</v>
      </c>
      <c r="HJ1457" s="19">
        <v>18.8</v>
      </c>
      <c r="HK1457" s="19">
        <v>16.8</v>
      </c>
      <c r="HL1457" s="19">
        <v>13.3</v>
      </c>
      <c r="HM1457" s="19">
        <v>9</v>
      </c>
      <c r="HN1457" s="19">
        <v>7.7</v>
      </c>
      <c r="HO1457" s="19">
        <v>6.5</v>
      </c>
      <c r="HP1457" s="19">
        <v>6.1</v>
      </c>
      <c r="HQ1457" s="19">
        <v>6.5</v>
      </c>
      <c r="HR1457" s="19">
        <v>6.1</v>
      </c>
      <c r="HS1457" s="19">
        <v>6.5</v>
      </c>
      <c r="HT1457" s="19">
        <v>6</v>
      </c>
      <c r="HU1457" s="19">
        <v>5.6</v>
      </c>
      <c r="HV1457" s="19">
        <v>5</v>
      </c>
      <c r="HW1457" s="19">
        <v>19.6</v>
      </c>
      <c r="HX1457" s="19">
        <v>20.3</v>
      </c>
      <c r="HY1457" s="19">
        <v>21.1</v>
      </c>
      <c r="HZ1457" s="19">
        <v>22.6</v>
      </c>
      <c r="IA1457" s="19">
        <v>24.4</v>
      </c>
      <c r="IB1457" s="19">
        <v>27.2</v>
      </c>
      <c r="IC1457" s="19">
        <v>25.8</v>
      </c>
    </row>
    <row r="1458">
      <c r="A1458" s="2" t="s">
        <v>5554</v>
      </c>
      <c r="B1458" s="2" t="s">
        <v>323</v>
      </c>
      <c r="C1458" s="2" t="s">
        <v>1036</v>
      </c>
      <c r="D1458" s="2" t="s">
        <v>257</v>
      </c>
      <c r="E1458" s="2" t="s">
        <v>258</v>
      </c>
      <c r="F1458" s="2" t="s">
        <v>5508</v>
      </c>
      <c r="G1458" s="2" t="s">
        <v>5508</v>
      </c>
      <c r="H1458" s="2" t="s">
        <v>5508</v>
      </c>
      <c r="I1458" s="2" t="s">
        <v>405</v>
      </c>
      <c r="J1458" s="2" t="s">
        <v>270</v>
      </c>
      <c r="K1458" s="2" t="s">
        <v>1238</v>
      </c>
      <c r="L1458" s="3">
        <v>34.85</v>
      </c>
      <c r="M1458" s="3">
        <v>36.59</v>
      </c>
      <c r="N1458" s="3">
        <v>74.99</v>
      </c>
      <c r="O1458" s="2" t="s">
        <v>232</v>
      </c>
      <c r="P1458" s="2" t="s">
        <v>233</v>
      </c>
      <c r="Q1458" s="2" t="s">
        <v>234</v>
      </c>
      <c r="R1458" s="2" t="s">
        <v>235</v>
      </c>
      <c r="S1458" s="2" t="s">
        <v>5550</v>
      </c>
      <c r="T1458" s="2" t="s">
        <v>587</v>
      </c>
      <c r="U1458" s="2" t="s">
        <v>264</v>
      </c>
      <c r="V1458" s="2" t="s">
        <v>238</v>
      </c>
      <c r="W1458" s="2" t="s">
        <v>239</v>
      </c>
      <c r="X1458" s="2" t="s">
        <v>682</v>
      </c>
      <c r="Y1458" s="2" t="s">
        <v>240</v>
      </c>
      <c r="Z1458" s="4">
        <v>194</v>
      </c>
      <c r="AA1458" s="4">
        <f>=ROUNDDOWN(19.4,0)</f>
      </c>
      <c r="AB1458" s="5">
        <v>10</v>
      </c>
      <c r="AC1458" s="2" t="s">
        <v>883</v>
      </c>
      <c r="AD1458" s="4">
        <v>90</v>
      </c>
      <c r="AE1458" s="4">
        <v>90</v>
      </c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235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235</v>
      </c>
      <c r="AW1458" s="8" t="s">
        <v>235</v>
      </c>
      <c r="AX1458" s="4" t="s">
        <v>235</v>
      </c>
      <c r="AY1458" s="8" t="s">
        <v>235</v>
      </c>
      <c r="AZ1458" s="7" t="s">
        <v>235</v>
      </c>
      <c r="BA1458" s="7" t="s">
        <v>235</v>
      </c>
      <c r="BB1458" s="7"/>
      <c r="BC1458" s="4" t="s">
        <v>235</v>
      </c>
      <c r="BD1458" s="8" t="s">
        <v>235</v>
      </c>
      <c r="BE1458" s="4" t="s">
        <v>235</v>
      </c>
      <c r="BF1458" s="8" t="s">
        <v>235</v>
      </c>
      <c r="BG1458" s="7" t="s">
        <v>235</v>
      </c>
      <c r="BH1458" s="7" t="s">
        <v>235</v>
      </c>
      <c r="BI1458" s="7"/>
      <c r="BJ1458" s="4">
        <v>7</v>
      </c>
      <c r="BK1458" s="8">
        <v>274.91</v>
      </c>
      <c r="BL1458" s="2" t="s">
        <v>1254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5510</v>
      </c>
      <c r="BV1458" s="2" t="s">
        <v>243</v>
      </c>
      <c r="BW1458" s="2" t="s">
        <v>235</v>
      </c>
      <c r="BX1458" s="2" t="s">
        <v>383</v>
      </c>
      <c r="BY1458" s="2" t="s">
        <v>245</v>
      </c>
      <c r="BZ1458" s="2" t="s">
        <v>232</v>
      </c>
      <c r="CA1458" s="2" t="s">
        <v>252</v>
      </c>
      <c r="CB1458" s="2" t="s">
        <v>2458</v>
      </c>
      <c r="CC1458" s="2" t="s">
        <v>248</v>
      </c>
      <c r="CD1458" s="2" t="s">
        <v>248</v>
      </c>
      <c r="CE1458" s="2" t="s">
        <v>235</v>
      </c>
      <c r="CF1458" s="4"/>
      <c r="CG1458" s="4">
        <v>92</v>
      </c>
      <c r="CH1458" s="4"/>
      <c r="CI1458" s="4">
        <v>102</v>
      </c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>
        <v>90</v>
      </c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>
        <v>194</v>
      </c>
      <c r="GE1458" s="4">
        <v>270</v>
      </c>
      <c r="GF1458" s="4">
        <v>264</v>
      </c>
      <c r="GG1458" s="4">
        <v>256</v>
      </c>
      <c r="GH1458" s="4">
        <v>250</v>
      </c>
      <c r="GI1458" s="4">
        <v>240</v>
      </c>
      <c r="GJ1458" s="4">
        <v>226</v>
      </c>
      <c r="GK1458" s="4">
        <v>211</v>
      </c>
      <c r="GL1458" s="4">
        <v>199</v>
      </c>
      <c r="GM1458" s="4">
        <v>188</v>
      </c>
      <c r="GN1458" s="4">
        <v>174</v>
      </c>
      <c r="GO1458" s="4">
        <v>157</v>
      </c>
      <c r="GP1458" s="4">
        <v>135</v>
      </c>
      <c r="GQ1458" s="4">
        <v>97</v>
      </c>
      <c r="GR1458" s="4">
        <v>82</v>
      </c>
      <c r="GS1458" s="4">
        <v>63</v>
      </c>
      <c r="GT1458" s="4">
        <v>52</v>
      </c>
      <c r="GU1458" s="4">
        <v>46</v>
      </c>
      <c r="GV1458" s="4">
        <v>35</v>
      </c>
      <c r="GW1458" s="4">
        <v>145</v>
      </c>
      <c r="GX1458" s="4">
        <v>138</v>
      </c>
      <c r="GY1458" s="4">
        <v>130</v>
      </c>
      <c r="GZ1458" s="4">
        <v>125</v>
      </c>
      <c r="HA1458" s="4">
        <v>121</v>
      </c>
      <c r="HB1458" s="4">
        <v>117</v>
      </c>
      <c r="HC1458" s="4">
        <v>113</v>
      </c>
      <c r="HD1458" s="19">
        <v>24.3</v>
      </c>
      <c r="HE1458" s="19">
        <v>33.8</v>
      </c>
      <c r="HF1458" s="19">
        <v>26.4</v>
      </c>
      <c r="HG1458" s="19">
        <v>23.3</v>
      </c>
      <c r="HH1458" s="19">
        <v>19.2</v>
      </c>
      <c r="HI1458" s="19">
        <v>18.5</v>
      </c>
      <c r="HJ1458" s="19">
        <v>17.4</v>
      </c>
      <c r="HK1458" s="19">
        <v>15.1</v>
      </c>
      <c r="HL1458" s="19">
        <v>12.4</v>
      </c>
      <c r="HM1458" s="19">
        <v>8.2</v>
      </c>
      <c r="HN1458" s="19">
        <v>7.6</v>
      </c>
      <c r="HO1458" s="19">
        <v>6.5</v>
      </c>
      <c r="HP1458" s="19">
        <v>6.4</v>
      </c>
      <c r="HQ1458" s="19">
        <v>7.5</v>
      </c>
      <c r="HR1458" s="19">
        <v>6.8</v>
      </c>
      <c r="HS1458" s="19">
        <v>7.9</v>
      </c>
      <c r="HT1458" s="19">
        <v>6.5</v>
      </c>
      <c r="HU1458" s="19">
        <v>5.8</v>
      </c>
      <c r="HV1458" s="19">
        <v>5.8</v>
      </c>
      <c r="HW1458" s="19">
        <v>24.2</v>
      </c>
      <c r="HX1458" s="19">
        <v>27.6</v>
      </c>
      <c r="HY1458" s="19">
        <v>32.5</v>
      </c>
      <c r="HZ1458" s="19">
        <v>31.3</v>
      </c>
      <c r="IA1458" s="19">
        <v>30.3</v>
      </c>
      <c r="IB1458" s="19">
        <v>29.3</v>
      </c>
      <c r="IC1458" s="19">
        <v>28.3</v>
      </c>
    </row>
    <row r="1459">
      <c r="A1459" s="2" t="s">
        <v>5555</v>
      </c>
      <c r="B1459" s="2" t="s">
        <v>323</v>
      </c>
      <c r="C1459" s="2" t="s">
        <v>1036</v>
      </c>
      <c r="D1459" s="2" t="s">
        <v>257</v>
      </c>
      <c r="E1459" s="2" t="s">
        <v>258</v>
      </c>
      <c r="F1459" s="2" t="s">
        <v>5508</v>
      </c>
      <c r="G1459" s="2" t="s">
        <v>5508</v>
      </c>
      <c r="H1459" s="2" t="s">
        <v>5508</v>
      </c>
      <c r="I1459" s="2" t="s">
        <v>405</v>
      </c>
      <c r="J1459" s="2" t="s">
        <v>272</v>
      </c>
      <c r="K1459" s="2" t="s">
        <v>1238</v>
      </c>
      <c r="L1459" s="3">
        <v>35.4</v>
      </c>
      <c r="M1459" s="3">
        <v>37.17</v>
      </c>
      <c r="N1459" s="3">
        <v>74.99</v>
      </c>
      <c r="O1459" s="2" t="s">
        <v>232</v>
      </c>
      <c r="P1459" s="2" t="s">
        <v>233</v>
      </c>
      <c r="Q1459" s="2" t="s">
        <v>234</v>
      </c>
      <c r="R1459" s="2" t="s">
        <v>235</v>
      </c>
      <c r="S1459" s="2" t="s">
        <v>5550</v>
      </c>
      <c r="T1459" s="2" t="s">
        <v>587</v>
      </c>
      <c r="U1459" s="2" t="s">
        <v>264</v>
      </c>
      <c r="V1459" s="2" t="s">
        <v>238</v>
      </c>
      <c r="W1459" s="2" t="s">
        <v>239</v>
      </c>
      <c r="X1459" s="2" t="s">
        <v>682</v>
      </c>
      <c r="Y1459" s="2" t="s">
        <v>240</v>
      </c>
      <c r="Z1459" s="4">
        <v>132</v>
      </c>
      <c r="AA1459" s="4">
        <f>=ROUNDDOWN(26.4,0)</f>
      </c>
      <c r="AB1459" s="5">
        <v>5</v>
      </c>
      <c r="AC1459" s="2" t="s">
        <v>235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235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235</v>
      </c>
      <c r="AW1459" s="8" t="s">
        <v>235</v>
      </c>
      <c r="AX1459" s="4" t="s">
        <v>235</v>
      </c>
      <c r="AY1459" s="8" t="s">
        <v>235</v>
      </c>
      <c r="AZ1459" s="7" t="s">
        <v>235</v>
      </c>
      <c r="BA1459" s="7" t="s">
        <v>235</v>
      </c>
      <c r="BB1459" s="7"/>
      <c r="BC1459" s="4" t="s">
        <v>235</v>
      </c>
      <c r="BD1459" s="8" t="s">
        <v>235</v>
      </c>
      <c r="BE1459" s="4" t="s">
        <v>235</v>
      </c>
      <c r="BF1459" s="8" t="s">
        <v>235</v>
      </c>
      <c r="BG1459" s="7" t="s">
        <v>235</v>
      </c>
      <c r="BH1459" s="7" t="s">
        <v>235</v>
      </c>
      <c r="BI1459" s="7"/>
      <c r="BJ1459" s="4"/>
      <c r="BK1459" s="8"/>
      <c r="BL1459" s="2" t="s">
        <v>2841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5510</v>
      </c>
      <c r="BV1459" s="2" t="s">
        <v>243</v>
      </c>
      <c r="BW1459" s="2" t="s">
        <v>235</v>
      </c>
      <c r="BX1459" s="2" t="s">
        <v>383</v>
      </c>
      <c r="BY1459" s="2" t="s">
        <v>245</v>
      </c>
      <c r="BZ1459" s="2" t="s">
        <v>232</v>
      </c>
      <c r="CA1459" s="2" t="s">
        <v>252</v>
      </c>
      <c r="CB1459" s="2" t="s">
        <v>5556</v>
      </c>
      <c r="CC1459" s="2" t="s">
        <v>248</v>
      </c>
      <c r="CD1459" s="2" t="s">
        <v>248</v>
      </c>
      <c r="CE1459" s="2" t="s">
        <v>235</v>
      </c>
      <c r="CF1459" s="4"/>
      <c r="CG1459" s="4">
        <v>63</v>
      </c>
      <c r="CH1459" s="4"/>
      <c r="CI1459" s="4">
        <v>69</v>
      </c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>
        <v>133</v>
      </c>
      <c r="GE1459" s="4">
        <v>127</v>
      </c>
      <c r="GF1459" s="4">
        <v>124</v>
      </c>
      <c r="GG1459" s="4">
        <v>120</v>
      </c>
      <c r="GH1459" s="4">
        <v>117</v>
      </c>
      <c r="GI1459" s="4">
        <v>112</v>
      </c>
      <c r="GJ1459" s="4">
        <v>105</v>
      </c>
      <c r="GK1459" s="4">
        <v>97</v>
      </c>
      <c r="GL1459" s="4">
        <v>91</v>
      </c>
      <c r="GM1459" s="4">
        <v>86</v>
      </c>
      <c r="GN1459" s="4">
        <v>79</v>
      </c>
      <c r="GO1459" s="4">
        <v>70</v>
      </c>
      <c r="GP1459" s="4">
        <v>60</v>
      </c>
      <c r="GQ1459" s="4">
        <v>41</v>
      </c>
      <c r="GR1459" s="4">
        <v>34</v>
      </c>
      <c r="GS1459" s="4">
        <v>25</v>
      </c>
      <c r="GT1459" s="4">
        <v>19</v>
      </c>
      <c r="GU1459" s="4">
        <v>15</v>
      </c>
      <c r="GV1459" s="4">
        <v>10</v>
      </c>
      <c r="GW1459" s="4">
        <v>61</v>
      </c>
      <c r="GX1459" s="4">
        <v>57</v>
      </c>
      <c r="GY1459" s="4">
        <v>53</v>
      </c>
      <c r="GZ1459" s="4">
        <v>50</v>
      </c>
      <c r="HA1459" s="4">
        <v>47</v>
      </c>
      <c r="HB1459" s="4">
        <v>45</v>
      </c>
      <c r="HC1459" s="4">
        <v>43</v>
      </c>
      <c r="HD1459" s="19">
        <v>33.3</v>
      </c>
      <c r="HE1459" s="19">
        <v>31.8</v>
      </c>
      <c r="HF1459" s="19">
        <v>24.8</v>
      </c>
      <c r="HG1459" s="19">
        <v>20</v>
      </c>
      <c r="HH1459" s="19">
        <v>19.5</v>
      </c>
      <c r="HI1459" s="19">
        <v>18.7</v>
      </c>
      <c r="HJ1459" s="19">
        <v>17.5</v>
      </c>
      <c r="HK1459" s="19">
        <v>13.9</v>
      </c>
      <c r="HL1459" s="19">
        <v>11.4</v>
      </c>
      <c r="HM1459" s="19">
        <v>7.8</v>
      </c>
      <c r="HN1459" s="19">
        <v>7.2</v>
      </c>
      <c r="HO1459" s="19">
        <v>6.4</v>
      </c>
      <c r="HP1459" s="19">
        <v>6</v>
      </c>
      <c r="HQ1459" s="19">
        <v>6.8</v>
      </c>
      <c r="HR1459" s="19">
        <v>5.7</v>
      </c>
      <c r="HS1459" s="19">
        <v>6.3</v>
      </c>
      <c r="HT1459" s="19">
        <v>4.8</v>
      </c>
      <c r="HU1459" s="19">
        <v>3.8</v>
      </c>
      <c r="HV1459" s="19">
        <v>2.5</v>
      </c>
      <c r="HW1459" s="19">
        <v>15.3</v>
      </c>
      <c r="HX1459" s="19">
        <v>19</v>
      </c>
      <c r="HY1459" s="19">
        <v>26.5</v>
      </c>
      <c r="HZ1459" s="19">
        <v>25</v>
      </c>
      <c r="IA1459" s="19">
        <v>23.5</v>
      </c>
      <c r="IB1459" s="19">
        <v>22.5</v>
      </c>
      <c r="IC1459" s="19">
        <v>43</v>
      </c>
    </row>
    <row r="1460">
      <c r="A1460" s="2" t="s">
        <v>5557</v>
      </c>
      <c r="B1460" s="2" t="s">
        <v>323</v>
      </c>
      <c r="C1460" s="2" t="s">
        <v>1036</v>
      </c>
      <c r="D1460" s="2" t="s">
        <v>257</v>
      </c>
      <c r="E1460" s="2" t="s">
        <v>258</v>
      </c>
      <c r="F1460" s="2" t="s">
        <v>5508</v>
      </c>
      <c r="G1460" s="2" t="s">
        <v>5508</v>
      </c>
      <c r="H1460" s="2" t="s">
        <v>5508</v>
      </c>
      <c r="I1460" s="2" t="s">
        <v>405</v>
      </c>
      <c r="J1460" s="2" t="s">
        <v>394</v>
      </c>
      <c r="K1460" s="2" t="s">
        <v>292</v>
      </c>
      <c r="L1460" s="3">
        <v>23.82</v>
      </c>
      <c r="M1460" s="3">
        <v>25.01</v>
      </c>
      <c r="N1460" s="3">
        <v>49.99</v>
      </c>
      <c r="O1460" s="2" t="s">
        <v>232</v>
      </c>
      <c r="P1460" s="2" t="s">
        <v>233</v>
      </c>
      <c r="Q1460" s="2" t="s">
        <v>234</v>
      </c>
      <c r="R1460" s="2" t="s">
        <v>235</v>
      </c>
      <c r="S1460" s="2" t="s">
        <v>5558</v>
      </c>
      <c r="T1460" s="2" t="s">
        <v>587</v>
      </c>
      <c r="U1460" s="2" t="s">
        <v>552</v>
      </c>
      <c r="V1460" s="2" t="s">
        <v>238</v>
      </c>
      <c r="W1460" s="2" t="s">
        <v>239</v>
      </c>
      <c r="X1460" s="2" t="s">
        <v>682</v>
      </c>
      <c r="Y1460" s="2" t="s">
        <v>240</v>
      </c>
      <c r="Z1460" s="4">
        <v>300</v>
      </c>
      <c r="AA1460" s="4">
        <f>=ROUNDDOWN(21.4285714285714,0)</f>
      </c>
      <c r="AB1460" s="5">
        <v>14</v>
      </c>
      <c r="AC1460" s="2" t="s">
        <v>266</v>
      </c>
      <c r="AD1460" s="4">
        <v>60</v>
      </c>
      <c r="AE1460" s="4">
        <v>60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235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235</v>
      </c>
      <c r="AW1460" s="8" t="s">
        <v>235</v>
      </c>
      <c r="AX1460" s="4" t="s">
        <v>235</v>
      </c>
      <c r="AY1460" s="8" t="s">
        <v>235</v>
      </c>
      <c r="AZ1460" s="7" t="s">
        <v>235</v>
      </c>
      <c r="BA1460" s="7" t="s">
        <v>235</v>
      </c>
      <c r="BB1460" s="7"/>
      <c r="BC1460" s="4" t="s">
        <v>235</v>
      </c>
      <c r="BD1460" s="8" t="s">
        <v>235</v>
      </c>
      <c r="BE1460" s="4" t="s">
        <v>235</v>
      </c>
      <c r="BF1460" s="8" t="s">
        <v>235</v>
      </c>
      <c r="BG1460" s="7" t="s">
        <v>235</v>
      </c>
      <c r="BH1460" s="7" t="s">
        <v>235</v>
      </c>
      <c r="BI1460" s="7"/>
      <c r="BJ1460" s="4">
        <v>1</v>
      </c>
      <c r="BK1460" s="8">
        <v>26.9</v>
      </c>
      <c r="BL1460" s="2" t="s">
        <v>2089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5510</v>
      </c>
      <c r="BV1460" s="2" t="s">
        <v>243</v>
      </c>
      <c r="BW1460" s="2" t="s">
        <v>235</v>
      </c>
      <c r="BX1460" s="2" t="s">
        <v>383</v>
      </c>
      <c r="BY1460" s="2" t="s">
        <v>245</v>
      </c>
      <c r="BZ1460" s="2" t="s">
        <v>232</v>
      </c>
      <c r="CA1460" s="2" t="s">
        <v>252</v>
      </c>
      <c r="CB1460" s="2" t="s">
        <v>5559</v>
      </c>
      <c r="CC1460" s="2" t="s">
        <v>248</v>
      </c>
      <c r="CD1460" s="2" t="s">
        <v>248</v>
      </c>
      <c r="CE1460" s="2" t="s">
        <v>235</v>
      </c>
      <c r="CF1460" s="4">
        <v>46</v>
      </c>
      <c r="CG1460" s="4">
        <v>254</v>
      </c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>
        <v>60</v>
      </c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>
        <v>300</v>
      </c>
      <c r="GE1460" s="4">
        <v>341</v>
      </c>
      <c r="GF1460" s="4">
        <v>329</v>
      </c>
      <c r="GG1460" s="4">
        <v>313</v>
      </c>
      <c r="GH1460" s="4">
        <v>301</v>
      </c>
      <c r="GI1460" s="4">
        <v>283</v>
      </c>
      <c r="GJ1460" s="4">
        <v>258</v>
      </c>
      <c r="GK1460" s="4">
        <v>234</v>
      </c>
      <c r="GL1460" s="4">
        <v>210</v>
      </c>
      <c r="GM1460" s="4">
        <v>187</v>
      </c>
      <c r="GN1460" s="4">
        <v>170</v>
      </c>
      <c r="GO1460" s="4">
        <v>156</v>
      </c>
      <c r="GP1460" s="4">
        <v>141</v>
      </c>
      <c r="GQ1460" s="4">
        <v>116</v>
      </c>
      <c r="GR1460" s="4">
        <v>104</v>
      </c>
      <c r="GS1460" s="4">
        <v>91</v>
      </c>
      <c r="GT1460" s="4">
        <v>81</v>
      </c>
      <c r="GU1460" s="4">
        <v>74</v>
      </c>
      <c r="GV1460" s="4">
        <v>64</v>
      </c>
      <c r="GW1460" s="4">
        <v>57</v>
      </c>
      <c r="GX1460" s="4">
        <v>50</v>
      </c>
      <c r="GY1460" s="4">
        <v>43</v>
      </c>
      <c r="GZ1460" s="4">
        <v>38</v>
      </c>
      <c r="HA1460" s="4">
        <v>39</v>
      </c>
      <c r="HB1460" s="4">
        <v>34</v>
      </c>
      <c r="HC1460" s="4">
        <v>29</v>
      </c>
      <c r="HD1460" s="19">
        <v>20</v>
      </c>
      <c r="HE1460" s="19">
        <v>24.4</v>
      </c>
      <c r="HF1460" s="19">
        <v>18.3</v>
      </c>
      <c r="HG1460" s="19">
        <v>15.7</v>
      </c>
      <c r="HH1460" s="19">
        <v>13.1</v>
      </c>
      <c r="HI1460" s="19">
        <v>11.8</v>
      </c>
      <c r="HJ1460" s="19">
        <v>11.7</v>
      </c>
      <c r="HK1460" s="19">
        <v>11.7</v>
      </c>
      <c r="HL1460" s="19">
        <v>12.4</v>
      </c>
      <c r="HM1460" s="19">
        <v>10.4</v>
      </c>
      <c r="HN1460" s="19">
        <v>10.6</v>
      </c>
      <c r="HO1460" s="19">
        <v>9.8</v>
      </c>
      <c r="HP1460" s="19">
        <v>9.4</v>
      </c>
      <c r="HQ1460" s="19">
        <v>11.6</v>
      </c>
      <c r="HR1460" s="19">
        <v>10.4</v>
      </c>
      <c r="HS1460" s="19">
        <v>11.4</v>
      </c>
      <c r="HT1460" s="19">
        <v>10.1</v>
      </c>
      <c r="HU1460" s="19">
        <v>9.3</v>
      </c>
      <c r="HV1460" s="19">
        <v>10.7</v>
      </c>
      <c r="HW1460" s="19">
        <v>9.5</v>
      </c>
      <c r="HX1460" s="19">
        <v>8.3</v>
      </c>
      <c r="HY1460" s="19">
        <v>8.6</v>
      </c>
      <c r="HZ1460" s="19">
        <v>7.6</v>
      </c>
      <c r="IA1460" s="19">
        <v>7.8</v>
      </c>
      <c r="IB1460" s="19">
        <v>8.5</v>
      </c>
      <c r="IC1460" s="19">
        <v>7.3</v>
      </c>
    </row>
    <row r="1461">
      <c r="A1461" s="2" t="s">
        <v>5560</v>
      </c>
      <c r="B1461" s="2" t="s">
        <v>323</v>
      </c>
      <c r="C1461" s="2" t="s">
        <v>1036</v>
      </c>
      <c r="D1461" s="2" t="s">
        <v>257</v>
      </c>
      <c r="E1461" s="2" t="s">
        <v>258</v>
      </c>
      <c r="F1461" s="2" t="s">
        <v>5508</v>
      </c>
      <c r="G1461" s="2" t="s">
        <v>5508</v>
      </c>
      <c r="H1461" s="2" t="s">
        <v>5508</v>
      </c>
      <c r="I1461" s="2" t="s">
        <v>405</v>
      </c>
      <c r="J1461" s="2" t="s">
        <v>270</v>
      </c>
      <c r="K1461" s="2" t="s">
        <v>292</v>
      </c>
      <c r="L1461" s="3">
        <v>34.85</v>
      </c>
      <c r="M1461" s="3">
        <v>36.59</v>
      </c>
      <c r="N1461" s="3">
        <v>74.99</v>
      </c>
      <c r="O1461" s="2" t="s">
        <v>232</v>
      </c>
      <c r="P1461" s="2" t="s">
        <v>336</v>
      </c>
      <c r="Q1461" s="2" t="s">
        <v>234</v>
      </c>
      <c r="R1461" s="2" t="s">
        <v>235</v>
      </c>
      <c r="S1461" s="2" t="s">
        <v>5558</v>
      </c>
      <c r="T1461" s="2" t="s">
        <v>587</v>
      </c>
      <c r="U1461" s="2" t="s">
        <v>264</v>
      </c>
      <c r="V1461" s="2" t="s">
        <v>238</v>
      </c>
      <c r="W1461" s="2" t="s">
        <v>239</v>
      </c>
      <c r="X1461" s="2" t="s">
        <v>682</v>
      </c>
      <c r="Y1461" s="2" t="s">
        <v>240</v>
      </c>
      <c r="Z1461" s="4">
        <v>526</v>
      </c>
      <c r="AA1461" s="4">
        <f>=ROUNDDOWN(20.2307692307692,0)</f>
      </c>
      <c r="AB1461" s="5">
        <v>26</v>
      </c>
      <c r="AC1461" s="2" t="s">
        <v>266</v>
      </c>
      <c r="AD1461" s="4">
        <v>240</v>
      </c>
      <c r="AE1461" s="4">
        <v>240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235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235</v>
      </c>
      <c r="AW1461" s="8" t="s">
        <v>235</v>
      </c>
      <c r="AX1461" s="4" t="s">
        <v>235</v>
      </c>
      <c r="AY1461" s="8" t="s">
        <v>235</v>
      </c>
      <c r="AZ1461" s="7" t="s">
        <v>235</v>
      </c>
      <c r="BA1461" s="7" t="s">
        <v>235</v>
      </c>
      <c r="BB1461" s="7"/>
      <c r="BC1461" s="4" t="s">
        <v>235</v>
      </c>
      <c r="BD1461" s="8" t="s">
        <v>235</v>
      </c>
      <c r="BE1461" s="4" t="s">
        <v>235</v>
      </c>
      <c r="BF1461" s="8" t="s">
        <v>235</v>
      </c>
      <c r="BG1461" s="7" t="s">
        <v>235</v>
      </c>
      <c r="BH1461" s="7" t="s">
        <v>235</v>
      </c>
      <c r="BI1461" s="7"/>
      <c r="BJ1461" s="4">
        <v>7</v>
      </c>
      <c r="BK1461" s="8">
        <v>269.59</v>
      </c>
      <c r="BL1461" s="2" t="s">
        <v>659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5510</v>
      </c>
      <c r="BV1461" s="2" t="s">
        <v>243</v>
      </c>
      <c r="BW1461" s="2" t="s">
        <v>235</v>
      </c>
      <c r="BX1461" s="2" t="s">
        <v>383</v>
      </c>
      <c r="BY1461" s="2" t="s">
        <v>245</v>
      </c>
      <c r="BZ1461" s="2" t="s">
        <v>232</v>
      </c>
      <c r="CA1461" s="2" t="s">
        <v>252</v>
      </c>
      <c r="CB1461" s="2" t="s">
        <v>5161</v>
      </c>
      <c r="CC1461" s="2" t="s">
        <v>248</v>
      </c>
      <c r="CD1461" s="2" t="s">
        <v>248</v>
      </c>
      <c r="CE1461" s="2" t="s">
        <v>235</v>
      </c>
      <c r="CF1461" s="4">
        <v>105</v>
      </c>
      <c r="CG1461" s="4">
        <v>421</v>
      </c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>
        <v>240</v>
      </c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>
        <v>527</v>
      </c>
      <c r="GE1461" s="4">
        <v>730</v>
      </c>
      <c r="GF1461" s="4">
        <v>711</v>
      </c>
      <c r="GG1461" s="4">
        <v>688</v>
      </c>
      <c r="GH1461" s="4">
        <v>670</v>
      </c>
      <c r="GI1461" s="4">
        <v>644</v>
      </c>
      <c r="GJ1461" s="4">
        <v>607</v>
      </c>
      <c r="GK1461" s="4">
        <v>567</v>
      </c>
      <c r="GL1461" s="4">
        <v>536</v>
      </c>
      <c r="GM1461" s="4">
        <v>506</v>
      </c>
      <c r="GN1461" s="4">
        <v>471</v>
      </c>
      <c r="GO1461" s="4">
        <v>427</v>
      </c>
      <c r="GP1461" s="4">
        <v>374</v>
      </c>
      <c r="GQ1461" s="4">
        <v>283</v>
      </c>
      <c r="GR1461" s="4">
        <v>247</v>
      </c>
      <c r="GS1461" s="4">
        <v>203</v>
      </c>
      <c r="GT1461" s="4">
        <v>177</v>
      </c>
      <c r="GU1461" s="4">
        <v>160</v>
      </c>
      <c r="GV1461" s="4">
        <v>134</v>
      </c>
      <c r="GW1461" s="4">
        <v>117</v>
      </c>
      <c r="GX1461" s="4">
        <v>99</v>
      </c>
      <c r="GY1461" s="4">
        <v>80</v>
      </c>
      <c r="GZ1461" s="4">
        <v>68</v>
      </c>
      <c r="HA1461" s="4">
        <v>99</v>
      </c>
      <c r="HB1461" s="4">
        <v>90</v>
      </c>
      <c r="HC1461" s="4">
        <v>81</v>
      </c>
      <c r="HD1461" s="19">
        <v>22</v>
      </c>
      <c r="HE1461" s="19">
        <v>33.2</v>
      </c>
      <c r="HF1461" s="19">
        <v>27.3</v>
      </c>
      <c r="HG1461" s="19">
        <v>22.9</v>
      </c>
      <c r="HH1461" s="19">
        <v>19.7</v>
      </c>
      <c r="HI1461" s="19">
        <v>18.9</v>
      </c>
      <c r="HJ1461" s="19">
        <v>17.9</v>
      </c>
      <c r="HK1461" s="19">
        <v>16.2</v>
      </c>
      <c r="HL1461" s="19">
        <v>13.4</v>
      </c>
      <c r="HM1461" s="19">
        <v>9</v>
      </c>
      <c r="HN1461" s="19">
        <v>8.4</v>
      </c>
      <c r="HO1461" s="19">
        <v>7.6</v>
      </c>
      <c r="HP1461" s="19">
        <v>7.6</v>
      </c>
      <c r="HQ1461" s="19">
        <v>9.1</v>
      </c>
      <c r="HR1461" s="19">
        <v>8.8</v>
      </c>
      <c r="HS1461" s="19">
        <v>9.2</v>
      </c>
      <c r="HT1461" s="19">
        <v>8.9</v>
      </c>
      <c r="HU1461" s="19">
        <v>8</v>
      </c>
      <c r="HV1461" s="19">
        <v>8.4</v>
      </c>
      <c r="HW1461" s="19">
        <v>7.8</v>
      </c>
      <c r="HX1461" s="19">
        <v>7.6</v>
      </c>
      <c r="HY1461" s="19">
        <v>8</v>
      </c>
      <c r="HZ1461" s="19">
        <v>6.8</v>
      </c>
      <c r="IA1461" s="19">
        <v>11</v>
      </c>
      <c r="IB1461" s="19">
        <v>10</v>
      </c>
      <c r="IC1461" s="19">
        <v>9</v>
      </c>
    </row>
    <row r="1462">
      <c r="A1462" s="2" t="s">
        <v>5561</v>
      </c>
      <c r="B1462" s="2" t="s">
        <v>323</v>
      </c>
      <c r="C1462" s="2" t="s">
        <v>1036</v>
      </c>
      <c r="D1462" s="2" t="s">
        <v>257</v>
      </c>
      <c r="E1462" s="2" t="s">
        <v>258</v>
      </c>
      <c r="F1462" s="2" t="s">
        <v>5508</v>
      </c>
      <c r="G1462" s="2" t="s">
        <v>5508</v>
      </c>
      <c r="H1462" s="2" t="s">
        <v>5508</v>
      </c>
      <c r="I1462" s="2" t="s">
        <v>405</v>
      </c>
      <c r="J1462" s="2" t="s">
        <v>272</v>
      </c>
      <c r="K1462" s="2" t="s">
        <v>292</v>
      </c>
      <c r="L1462" s="3">
        <v>35.4</v>
      </c>
      <c r="M1462" s="3">
        <v>37.17</v>
      </c>
      <c r="N1462" s="3">
        <v>74.99</v>
      </c>
      <c r="O1462" s="2" t="s">
        <v>232</v>
      </c>
      <c r="P1462" s="2" t="s">
        <v>233</v>
      </c>
      <c r="Q1462" s="2" t="s">
        <v>234</v>
      </c>
      <c r="R1462" s="2" t="s">
        <v>235</v>
      </c>
      <c r="S1462" s="2" t="s">
        <v>5558</v>
      </c>
      <c r="T1462" s="2" t="s">
        <v>587</v>
      </c>
      <c r="U1462" s="2" t="s">
        <v>264</v>
      </c>
      <c r="V1462" s="2" t="s">
        <v>238</v>
      </c>
      <c r="W1462" s="2" t="s">
        <v>239</v>
      </c>
      <c r="X1462" s="2" t="s">
        <v>682</v>
      </c>
      <c r="Y1462" s="2" t="s">
        <v>240</v>
      </c>
      <c r="Z1462" s="4">
        <v>294</v>
      </c>
      <c r="AA1462" s="4">
        <f>=ROUNDDOWN(24.5,0)</f>
      </c>
      <c r="AB1462" s="5">
        <v>12</v>
      </c>
      <c r="AC1462" s="2" t="s">
        <v>266</v>
      </c>
      <c r="AD1462" s="4">
        <v>60</v>
      </c>
      <c r="AE1462" s="4">
        <v>60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235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235</v>
      </c>
      <c r="AW1462" s="8" t="s">
        <v>235</v>
      </c>
      <c r="AX1462" s="4" t="s">
        <v>235</v>
      </c>
      <c r="AY1462" s="8" t="s">
        <v>235</v>
      </c>
      <c r="AZ1462" s="7" t="s">
        <v>235</v>
      </c>
      <c r="BA1462" s="7" t="s">
        <v>235</v>
      </c>
      <c r="BB1462" s="7"/>
      <c r="BC1462" s="4" t="s">
        <v>235</v>
      </c>
      <c r="BD1462" s="8" t="s">
        <v>235</v>
      </c>
      <c r="BE1462" s="4" t="s">
        <v>235</v>
      </c>
      <c r="BF1462" s="8" t="s">
        <v>235</v>
      </c>
      <c r="BG1462" s="7" t="s">
        <v>235</v>
      </c>
      <c r="BH1462" s="7" t="s">
        <v>235</v>
      </c>
      <c r="BI1462" s="7"/>
      <c r="BJ1462" s="4">
        <v>1</v>
      </c>
      <c r="BK1462" s="8">
        <v>39.08</v>
      </c>
      <c r="BL1462" s="2" t="s">
        <v>2089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5510</v>
      </c>
      <c r="BV1462" s="2" t="s">
        <v>243</v>
      </c>
      <c r="BW1462" s="2" t="s">
        <v>235</v>
      </c>
      <c r="BX1462" s="2" t="s">
        <v>383</v>
      </c>
      <c r="BY1462" s="2" t="s">
        <v>245</v>
      </c>
      <c r="BZ1462" s="2" t="s">
        <v>232</v>
      </c>
      <c r="CA1462" s="2" t="s">
        <v>1337</v>
      </c>
      <c r="CB1462" s="2" t="s">
        <v>4507</v>
      </c>
      <c r="CC1462" s="2" t="s">
        <v>248</v>
      </c>
      <c r="CD1462" s="2" t="s">
        <v>248</v>
      </c>
      <c r="CE1462" s="2" t="s">
        <v>235</v>
      </c>
      <c r="CF1462" s="4"/>
      <c r="CG1462" s="4">
        <v>195</v>
      </c>
      <c r="CH1462" s="4"/>
      <c r="CI1462" s="4">
        <v>99</v>
      </c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>
        <v>60</v>
      </c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>
        <v>295</v>
      </c>
      <c r="GE1462" s="4">
        <v>344</v>
      </c>
      <c r="GF1462" s="4">
        <v>335</v>
      </c>
      <c r="GG1462" s="4">
        <v>325</v>
      </c>
      <c r="GH1462" s="4">
        <v>317</v>
      </c>
      <c r="GI1462" s="4">
        <v>304</v>
      </c>
      <c r="GJ1462" s="4">
        <v>287</v>
      </c>
      <c r="GK1462" s="4">
        <v>269</v>
      </c>
      <c r="GL1462" s="4">
        <v>254</v>
      </c>
      <c r="GM1462" s="4">
        <v>240</v>
      </c>
      <c r="GN1462" s="4">
        <v>225</v>
      </c>
      <c r="GO1462" s="4">
        <v>206</v>
      </c>
      <c r="GP1462" s="4">
        <v>184</v>
      </c>
      <c r="GQ1462" s="4">
        <v>146</v>
      </c>
      <c r="GR1462" s="4">
        <v>129</v>
      </c>
      <c r="GS1462" s="4">
        <v>110</v>
      </c>
      <c r="GT1462" s="4">
        <v>98</v>
      </c>
      <c r="GU1462" s="4">
        <v>91</v>
      </c>
      <c r="GV1462" s="4">
        <v>81</v>
      </c>
      <c r="GW1462" s="4">
        <v>74</v>
      </c>
      <c r="GX1462" s="4">
        <v>67</v>
      </c>
      <c r="GY1462" s="4">
        <v>60</v>
      </c>
      <c r="GZ1462" s="4">
        <v>55</v>
      </c>
      <c r="HA1462" s="4">
        <v>50</v>
      </c>
      <c r="HB1462" s="4">
        <v>46</v>
      </c>
      <c r="HC1462" s="4">
        <v>42</v>
      </c>
      <c r="HD1462" s="19">
        <v>29.5</v>
      </c>
      <c r="HE1462" s="19">
        <v>34.4</v>
      </c>
      <c r="HF1462" s="19">
        <v>27.9</v>
      </c>
      <c r="HG1462" s="19">
        <v>23.2</v>
      </c>
      <c r="HH1462" s="19">
        <v>19.8</v>
      </c>
      <c r="HI1462" s="19">
        <v>19</v>
      </c>
      <c r="HJ1462" s="19">
        <v>17.9</v>
      </c>
      <c r="HK1462" s="19">
        <v>16.8</v>
      </c>
      <c r="HL1462" s="19">
        <v>14.1</v>
      </c>
      <c r="HM1462" s="19">
        <v>10</v>
      </c>
      <c r="HN1462" s="19">
        <v>9.4</v>
      </c>
      <c r="HO1462" s="19">
        <v>8.6</v>
      </c>
      <c r="HP1462" s="19">
        <v>8.4</v>
      </c>
      <c r="HQ1462" s="19">
        <v>10.4</v>
      </c>
      <c r="HR1462" s="19">
        <v>10.8</v>
      </c>
      <c r="HS1462" s="19">
        <v>12.2</v>
      </c>
      <c r="HT1462" s="19">
        <v>12.3</v>
      </c>
      <c r="HU1462" s="19">
        <v>11.4</v>
      </c>
      <c r="HV1462" s="19">
        <v>13.5</v>
      </c>
      <c r="HW1462" s="19">
        <v>12.3</v>
      </c>
      <c r="HX1462" s="19">
        <v>13.4</v>
      </c>
      <c r="HY1462" s="19">
        <v>15</v>
      </c>
      <c r="HZ1462" s="19">
        <v>13.8</v>
      </c>
      <c r="IA1462" s="19">
        <v>12.5</v>
      </c>
      <c r="IB1462" s="19">
        <v>11.5</v>
      </c>
      <c r="IC1462" s="19">
        <v>14</v>
      </c>
    </row>
    <row r="1463">
      <c r="A1463" s="2" t="s">
        <v>5562</v>
      </c>
      <c r="B1463" s="2" t="s">
        <v>323</v>
      </c>
      <c r="C1463" s="2" t="s">
        <v>1036</v>
      </c>
      <c r="D1463" s="2" t="s">
        <v>257</v>
      </c>
      <c r="E1463" s="2" t="s">
        <v>258</v>
      </c>
      <c r="F1463" s="2" t="s">
        <v>5508</v>
      </c>
      <c r="G1463" s="2" t="s">
        <v>5508</v>
      </c>
      <c r="H1463" s="2" t="s">
        <v>5508</v>
      </c>
      <c r="I1463" s="2" t="s">
        <v>405</v>
      </c>
      <c r="J1463" s="2" t="s">
        <v>394</v>
      </c>
      <c r="K1463" s="2" t="s">
        <v>5563</v>
      </c>
      <c r="L1463" s="3">
        <v>24</v>
      </c>
      <c r="M1463" s="3">
        <v>25.2</v>
      </c>
      <c r="N1463" s="3">
        <v>49.99</v>
      </c>
      <c r="O1463" s="2" t="s">
        <v>485</v>
      </c>
      <c r="P1463" s="2" t="s">
        <v>408</v>
      </c>
      <c r="Q1463" s="2" t="s">
        <v>234</v>
      </c>
      <c r="R1463" s="2" t="s">
        <v>235</v>
      </c>
      <c r="S1463" s="2" t="s">
        <v>5564</v>
      </c>
      <c r="T1463" s="2" t="s">
        <v>587</v>
      </c>
      <c r="U1463" s="2" t="s">
        <v>552</v>
      </c>
      <c r="V1463" s="2" t="s">
        <v>2182</v>
      </c>
      <c r="W1463" s="2" t="s">
        <v>239</v>
      </c>
      <c r="X1463" s="2" t="s">
        <v>682</v>
      </c>
      <c r="Y1463" s="2" t="s">
        <v>240</v>
      </c>
      <c r="Z1463" s="4">
        <v>61</v>
      </c>
      <c r="AA1463" s="4">
        <f>=ROUNDDOWN(33.8888888888889,0)</f>
      </c>
      <c r="AB1463" s="5">
        <v>1.8</v>
      </c>
      <c r="AC1463" s="2" t="s">
        <v>235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235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235</v>
      </c>
      <c r="BD1463" s="8" t="s">
        <v>235</v>
      </c>
      <c r="BE1463" s="4" t="s">
        <v>235</v>
      </c>
      <c r="BF1463" s="8" t="s">
        <v>235</v>
      </c>
      <c r="BG1463" s="7" t="s">
        <v>235</v>
      </c>
      <c r="BH1463" s="7" t="s">
        <v>235</v>
      </c>
      <c r="BI1463" s="7"/>
      <c r="BJ1463" s="4">
        <v>1</v>
      </c>
      <c r="BK1463" s="8">
        <v>17.2</v>
      </c>
      <c r="BL1463" s="2" t="s">
        <v>3992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5510</v>
      </c>
      <c r="BV1463" s="2" t="s">
        <v>243</v>
      </c>
      <c r="BW1463" s="2" t="s">
        <v>235</v>
      </c>
      <c r="BX1463" s="2" t="s">
        <v>414</v>
      </c>
      <c r="BY1463" s="2" t="s">
        <v>245</v>
      </c>
      <c r="BZ1463" s="2" t="s">
        <v>232</v>
      </c>
      <c r="CA1463" s="2" t="s">
        <v>252</v>
      </c>
      <c r="CB1463" s="2" t="s">
        <v>5565</v>
      </c>
      <c r="CC1463" s="2" t="s">
        <v>492</v>
      </c>
      <c r="CD1463" s="2" t="s">
        <v>248</v>
      </c>
      <c r="CE1463" s="2" t="s">
        <v>235</v>
      </c>
      <c r="CF1463" s="4">
        <v>61</v>
      </c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>
        <v>61</v>
      </c>
      <c r="GE1463" s="4">
        <v>61</v>
      </c>
      <c r="GF1463" s="4">
        <v>61</v>
      </c>
      <c r="GG1463" s="4">
        <v>61</v>
      </c>
      <c r="GH1463" s="4">
        <v>61</v>
      </c>
      <c r="GI1463" s="4">
        <v>60</v>
      </c>
      <c r="GJ1463" s="4">
        <v>59</v>
      </c>
      <c r="GK1463" s="4">
        <v>57</v>
      </c>
      <c r="GL1463" s="4">
        <v>56</v>
      </c>
      <c r="GM1463" s="4">
        <v>55</v>
      </c>
      <c r="GN1463" s="4">
        <v>54</v>
      </c>
      <c r="GO1463" s="4">
        <v>52</v>
      </c>
      <c r="GP1463" s="4">
        <v>50</v>
      </c>
      <c r="GQ1463" s="4">
        <v>46</v>
      </c>
      <c r="GR1463" s="4">
        <v>44</v>
      </c>
      <c r="GS1463" s="4">
        <v>42</v>
      </c>
      <c r="GT1463" s="4">
        <v>41</v>
      </c>
      <c r="GU1463" s="4">
        <v>40</v>
      </c>
      <c r="GV1463" s="4">
        <v>39</v>
      </c>
      <c r="GW1463" s="4">
        <v>38</v>
      </c>
      <c r="GX1463" s="4">
        <v>37</v>
      </c>
      <c r="GY1463" s="4">
        <v>36</v>
      </c>
      <c r="GZ1463" s="4">
        <v>36</v>
      </c>
      <c r="HA1463" s="4">
        <v>35</v>
      </c>
      <c r="HB1463" s="4">
        <v>34</v>
      </c>
      <c r="HC1463" s="4">
        <v>33</v>
      </c>
      <c r="HD1463" s="9"/>
      <c r="HE1463" s="9"/>
      <c r="HF1463" s="9"/>
      <c r="HG1463" s="19">
        <v>61</v>
      </c>
      <c r="HH1463" s="19">
        <v>61</v>
      </c>
      <c r="HI1463" s="19">
        <v>60</v>
      </c>
      <c r="HJ1463" s="19">
        <v>59</v>
      </c>
      <c r="HK1463" s="19">
        <v>57</v>
      </c>
      <c r="HL1463" s="19">
        <v>28</v>
      </c>
      <c r="HM1463" s="19">
        <v>27.5</v>
      </c>
      <c r="HN1463" s="19">
        <v>27</v>
      </c>
      <c r="HO1463" s="19">
        <v>26</v>
      </c>
      <c r="HP1463" s="19">
        <v>25</v>
      </c>
      <c r="HQ1463" s="19">
        <v>23</v>
      </c>
      <c r="HR1463" s="19">
        <v>44</v>
      </c>
      <c r="HS1463" s="19">
        <v>42</v>
      </c>
      <c r="HT1463" s="19">
        <v>41</v>
      </c>
      <c r="HU1463" s="19">
        <v>40</v>
      </c>
      <c r="HV1463" s="19">
        <v>39</v>
      </c>
      <c r="HW1463" s="19">
        <v>38</v>
      </c>
      <c r="HX1463" s="19">
        <v>37</v>
      </c>
      <c r="HY1463" s="19">
        <v>36</v>
      </c>
      <c r="HZ1463" s="19">
        <v>36</v>
      </c>
      <c r="IA1463" s="19">
        <v>35</v>
      </c>
      <c r="IB1463" s="20">
        <v>0</v>
      </c>
      <c r="IC1463" s="20">
        <v>0</v>
      </c>
    </row>
    <row r="1464">
      <c r="A1464" s="2" t="s">
        <v>5566</v>
      </c>
      <c r="B1464" s="2" t="s">
        <v>323</v>
      </c>
      <c r="C1464" s="2" t="s">
        <v>1036</v>
      </c>
      <c r="D1464" s="2" t="s">
        <v>257</v>
      </c>
      <c r="E1464" s="2" t="s">
        <v>258</v>
      </c>
      <c r="F1464" s="2" t="s">
        <v>5508</v>
      </c>
      <c r="G1464" s="2" t="s">
        <v>5508</v>
      </c>
      <c r="H1464" s="2" t="s">
        <v>5508</v>
      </c>
      <c r="I1464" s="2" t="s">
        <v>405</v>
      </c>
      <c r="J1464" s="2" t="s">
        <v>394</v>
      </c>
      <c r="K1464" s="2" t="s">
        <v>1210</v>
      </c>
      <c r="L1464" s="3">
        <v>23.82</v>
      </c>
      <c r="M1464" s="3">
        <v>25.01</v>
      </c>
      <c r="N1464" s="3">
        <v>49.99</v>
      </c>
      <c r="O1464" s="2" t="s">
        <v>232</v>
      </c>
      <c r="P1464" s="2" t="s">
        <v>233</v>
      </c>
      <c r="Q1464" s="2" t="s">
        <v>234</v>
      </c>
      <c r="R1464" s="2" t="s">
        <v>235</v>
      </c>
      <c r="S1464" s="2" t="s">
        <v>5567</v>
      </c>
      <c r="T1464" s="2" t="s">
        <v>587</v>
      </c>
      <c r="U1464" s="2" t="s">
        <v>552</v>
      </c>
      <c r="V1464" s="2" t="s">
        <v>863</v>
      </c>
      <c r="W1464" s="2" t="s">
        <v>239</v>
      </c>
      <c r="X1464" s="2" t="s">
        <v>682</v>
      </c>
      <c r="Y1464" s="2" t="s">
        <v>5217</v>
      </c>
      <c r="Z1464" s="4">
        <v>84</v>
      </c>
      <c r="AA1464" s="4">
        <f>=ROUNDDOWN(21,0)</f>
      </c>
      <c r="AB1464" s="5">
        <v>4</v>
      </c>
      <c r="AC1464" s="2" t="s">
        <v>235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235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235</v>
      </c>
      <c r="AW1464" s="8" t="s">
        <v>235</v>
      </c>
      <c r="AX1464" s="4" t="s">
        <v>235</v>
      </c>
      <c r="AY1464" s="8" t="s">
        <v>235</v>
      </c>
      <c r="AZ1464" s="7" t="s">
        <v>235</v>
      </c>
      <c r="BA1464" s="7" t="s">
        <v>235</v>
      </c>
      <c r="BB1464" s="7"/>
      <c r="BC1464" s="4" t="s">
        <v>235</v>
      </c>
      <c r="BD1464" s="8" t="s">
        <v>235</v>
      </c>
      <c r="BE1464" s="4" t="s">
        <v>235</v>
      </c>
      <c r="BF1464" s="8" t="s">
        <v>235</v>
      </c>
      <c r="BG1464" s="7" t="s">
        <v>235</v>
      </c>
      <c r="BH1464" s="7" t="s">
        <v>235</v>
      </c>
      <c r="BI1464" s="7"/>
      <c r="BJ1464" s="4">
        <v>2</v>
      </c>
      <c r="BK1464" s="8">
        <v>52.7</v>
      </c>
      <c r="BL1464" s="2" t="s">
        <v>1122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5510</v>
      </c>
      <c r="BV1464" s="2" t="s">
        <v>243</v>
      </c>
      <c r="BW1464" s="2" t="s">
        <v>235</v>
      </c>
      <c r="BX1464" s="2" t="s">
        <v>383</v>
      </c>
      <c r="BY1464" s="2" t="s">
        <v>245</v>
      </c>
      <c r="BZ1464" s="2" t="s">
        <v>232</v>
      </c>
      <c r="CA1464" s="2" t="s">
        <v>5533</v>
      </c>
      <c r="CB1464" s="2" t="s">
        <v>5043</v>
      </c>
      <c r="CC1464" s="2" t="s">
        <v>248</v>
      </c>
      <c r="CD1464" s="2" t="s">
        <v>248</v>
      </c>
      <c r="CE1464" s="2" t="s">
        <v>235</v>
      </c>
      <c r="CF1464" s="4">
        <v>12</v>
      </c>
      <c r="CG1464" s="4">
        <v>72</v>
      </c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>
        <v>84</v>
      </c>
      <c r="GE1464" s="4">
        <v>79</v>
      </c>
      <c r="GF1464" s="4">
        <v>77</v>
      </c>
      <c r="GG1464" s="4">
        <v>74</v>
      </c>
      <c r="GH1464" s="4">
        <v>72</v>
      </c>
      <c r="GI1464" s="4">
        <v>69</v>
      </c>
      <c r="GJ1464" s="4">
        <v>64</v>
      </c>
      <c r="GK1464" s="4">
        <v>58</v>
      </c>
      <c r="GL1464" s="4">
        <v>54</v>
      </c>
      <c r="GM1464" s="4">
        <v>51</v>
      </c>
      <c r="GN1464" s="4">
        <v>48</v>
      </c>
      <c r="GO1464" s="4">
        <v>44</v>
      </c>
      <c r="GP1464" s="4">
        <v>39</v>
      </c>
      <c r="GQ1464" s="4">
        <v>30</v>
      </c>
      <c r="GR1464" s="4">
        <v>27</v>
      </c>
      <c r="GS1464" s="4">
        <v>22</v>
      </c>
      <c r="GT1464" s="4">
        <v>19</v>
      </c>
      <c r="GU1464" s="4">
        <v>17</v>
      </c>
      <c r="GV1464" s="4">
        <v>14</v>
      </c>
      <c r="GW1464" s="4">
        <v>71</v>
      </c>
      <c r="GX1464" s="4">
        <v>69</v>
      </c>
      <c r="GY1464" s="4">
        <v>66</v>
      </c>
      <c r="GZ1464" s="4">
        <v>64</v>
      </c>
      <c r="HA1464" s="4">
        <v>62</v>
      </c>
      <c r="HB1464" s="4">
        <v>61</v>
      </c>
      <c r="HC1464" s="4">
        <v>60</v>
      </c>
      <c r="HD1464" s="19">
        <v>28</v>
      </c>
      <c r="HE1464" s="19">
        <v>39.5</v>
      </c>
      <c r="HF1464" s="19">
        <v>25.7</v>
      </c>
      <c r="HG1464" s="19">
        <v>18.5</v>
      </c>
      <c r="HH1464" s="19">
        <v>18</v>
      </c>
      <c r="HI1464" s="19">
        <v>17.3</v>
      </c>
      <c r="HJ1464" s="19">
        <v>16</v>
      </c>
      <c r="HK1464" s="19">
        <v>14.5</v>
      </c>
      <c r="HL1464" s="19">
        <v>13.5</v>
      </c>
      <c r="HM1464" s="19">
        <v>10.2</v>
      </c>
      <c r="HN1464" s="19">
        <v>9.6</v>
      </c>
      <c r="HO1464" s="19">
        <v>7.3</v>
      </c>
      <c r="HP1464" s="19">
        <v>7.8</v>
      </c>
      <c r="HQ1464" s="19">
        <v>10</v>
      </c>
      <c r="HR1464" s="19">
        <v>9</v>
      </c>
      <c r="HS1464" s="19">
        <v>11</v>
      </c>
      <c r="HT1464" s="19">
        <v>9.5</v>
      </c>
      <c r="HU1464" s="19">
        <v>8.5</v>
      </c>
      <c r="HV1464" s="19">
        <v>7</v>
      </c>
      <c r="HW1464" s="19">
        <v>35.5</v>
      </c>
      <c r="HX1464" s="19">
        <v>34.5</v>
      </c>
      <c r="HY1464" s="19">
        <v>33</v>
      </c>
      <c r="HZ1464" s="19">
        <v>64</v>
      </c>
      <c r="IA1464" s="19">
        <v>62</v>
      </c>
      <c r="IB1464" s="19">
        <v>61</v>
      </c>
      <c r="IC1464" s="19">
        <v>60</v>
      </c>
    </row>
    <row r="1465">
      <c r="A1465" s="2" t="s">
        <v>5568</v>
      </c>
      <c r="B1465" s="2" t="s">
        <v>323</v>
      </c>
      <c r="C1465" s="2" t="s">
        <v>1036</v>
      </c>
      <c r="D1465" s="2" t="s">
        <v>257</v>
      </c>
      <c r="E1465" s="2" t="s">
        <v>258</v>
      </c>
      <c r="F1465" s="2" t="s">
        <v>5508</v>
      </c>
      <c r="G1465" s="2" t="s">
        <v>5508</v>
      </c>
      <c r="H1465" s="2" t="s">
        <v>5508</v>
      </c>
      <c r="I1465" s="2" t="s">
        <v>405</v>
      </c>
      <c r="J1465" s="2" t="s">
        <v>250</v>
      </c>
      <c r="K1465" s="2" t="s">
        <v>1210</v>
      </c>
      <c r="L1465" s="3">
        <v>28.05</v>
      </c>
      <c r="M1465" s="3">
        <v>29.45</v>
      </c>
      <c r="N1465" s="3">
        <v>59.99</v>
      </c>
      <c r="O1465" s="2" t="s">
        <v>232</v>
      </c>
      <c r="P1465" s="2" t="s">
        <v>233</v>
      </c>
      <c r="Q1465" s="2" t="s">
        <v>234</v>
      </c>
      <c r="R1465" s="2" t="s">
        <v>235</v>
      </c>
      <c r="S1465" s="2" t="s">
        <v>5567</v>
      </c>
      <c r="T1465" s="2" t="s">
        <v>587</v>
      </c>
      <c r="U1465" s="2" t="s">
        <v>264</v>
      </c>
      <c r="V1465" s="2" t="s">
        <v>863</v>
      </c>
      <c r="W1465" s="2" t="s">
        <v>239</v>
      </c>
      <c r="X1465" s="2" t="s">
        <v>682</v>
      </c>
      <c r="Y1465" s="2" t="s">
        <v>5217</v>
      </c>
      <c r="Z1465" s="4">
        <v>82</v>
      </c>
      <c r="AA1465" s="4">
        <f>=ROUNDDOWN(20.5,0)</f>
      </c>
      <c r="AB1465" s="5">
        <v>4</v>
      </c>
      <c r="AC1465" s="2" t="s">
        <v>883</v>
      </c>
      <c r="AD1465" s="4">
        <v>40</v>
      </c>
      <c r="AE1465" s="4">
        <v>40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235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235</v>
      </c>
      <c r="AW1465" s="8" t="s">
        <v>235</v>
      </c>
      <c r="AX1465" s="4" t="s">
        <v>235</v>
      </c>
      <c r="AY1465" s="8" t="s">
        <v>235</v>
      </c>
      <c r="AZ1465" s="7" t="s">
        <v>235</v>
      </c>
      <c r="BA1465" s="7" t="s">
        <v>235</v>
      </c>
      <c r="BB1465" s="7"/>
      <c r="BC1465" s="4" t="s">
        <v>235</v>
      </c>
      <c r="BD1465" s="8" t="s">
        <v>235</v>
      </c>
      <c r="BE1465" s="4" t="s">
        <v>235</v>
      </c>
      <c r="BF1465" s="8" t="s">
        <v>235</v>
      </c>
      <c r="BG1465" s="7" t="s">
        <v>235</v>
      </c>
      <c r="BH1465" s="7" t="s">
        <v>235</v>
      </c>
      <c r="BI1465" s="7"/>
      <c r="BJ1465" s="4">
        <v>1</v>
      </c>
      <c r="BK1465" s="8">
        <v>32.9</v>
      </c>
      <c r="BL1465" s="2" t="s">
        <v>2589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5510</v>
      </c>
      <c r="BV1465" s="2" t="s">
        <v>243</v>
      </c>
      <c r="BW1465" s="2" t="s">
        <v>235</v>
      </c>
      <c r="BX1465" s="2" t="s">
        <v>383</v>
      </c>
      <c r="BY1465" s="2" t="s">
        <v>245</v>
      </c>
      <c r="BZ1465" s="2" t="s">
        <v>232</v>
      </c>
      <c r="CA1465" s="2" t="s">
        <v>5533</v>
      </c>
      <c r="CB1465" s="2" t="s">
        <v>1993</v>
      </c>
      <c r="CC1465" s="2" t="s">
        <v>248</v>
      </c>
      <c r="CD1465" s="2" t="s">
        <v>248</v>
      </c>
      <c r="CE1465" s="2" t="s">
        <v>235</v>
      </c>
      <c r="CF1465" s="4"/>
      <c r="CG1465" s="4">
        <v>82</v>
      </c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>
        <v>40</v>
      </c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>
        <v>83</v>
      </c>
      <c r="GE1465" s="4">
        <v>120</v>
      </c>
      <c r="GF1465" s="4">
        <v>117</v>
      </c>
      <c r="GG1465" s="4">
        <v>113</v>
      </c>
      <c r="GH1465" s="4">
        <v>110</v>
      </c>
      <c r="GI1465" s="4">
        <v>106</v>
      </c>
      <c r="GJ1465" s="4">
        <v>100</v>
      </c>
      <c r="GK1465" s="4">
        <v>93</v>
      </c>
      <c r="GL1465" s="4">
        <v>89</v>
      </c>
      <c r="GM1465" s="4">
        <v>85</v>
      </c>
      <c r="GN1465" s="4">
        <v>79</v>
      </c>
      <c r="GO1465" s="4">
        <v>70</v>
      </c>
      <c r="GP1465" s="4">
        <v>60</v>
      </c>
      <c r="GQ1465" s="4">
        <v>42</v>
      </c>
      <c r="GR1465" s="4">
        <v>34</v>
      </c>
      <c r="GS1465" s="4">
        <v>25</v>
      </c>
      <c r="GT1465" s="4">
        <v>20</v>
      </c>
      <c r="GU1465" s="4">
        <v>17</v>
      </c>
      <c r="GV1465" s="4">
        <v>13</v>
      </c>
      <c r="GW1465" s="4">
        <v>134</v>
      </c>
      <c r="GX1465" s="4">
        <v>132</v>
      </c>
      <c r="GY1465" s="4">
        <v>130</v>
      </c>
      <c r="GZ1465" s="4">
        <v>129</v>
      </c>
      <c r="HA1465" s="4">
        <v>127</v>
      </c>
      <c r="HB1465" s="4">
        <v>125</v>
      </c>
      <c r="HC1465" s="4">
        <v>123</v>
      </c>
      <c r="HD1465" s="19">
        <v>27.7</v>
      </c>
      <c r="HE1465" s="19">
        <v>30</v>
      </c>
      <c r="HF1465" s="19">
        <v>29.3</v>
      </c>
      <c r="HG1465" s="19">
        <v>22.6</v>
      </c>
      <c r="HH1465" s="19">
        <v>22</v>
      </c>
      <c r="HI1465" s="19">
        <v>21.2</v>
      </c>
      <c r="HJ1465" s="19">
        <v>20</v>
      </c>
      <c r="HK1465" s="19">
        <v>15.5</v>
      </c>
      <c r="HL1465" s="19">
        <v>12.7</v>
      </c>
      <c r="HM1465" s="19">
        <v>7.7</v>
      </c>
      <c r="HN1465" s="19">
        <v>7.2</v>
      </c>
      <c r="HO1465" s="19">
        <v>6.4</v>
      </c>
      <c r="HP1465" s="19">
        <v>6</v>
      </c>
      <c r="HQ1465" s="19">
        <v>7</v>
      </c>
      <c r="HR1465" s="19">
        <v>6.8</v>
      </c>
      <c r="HS1465" s="19">
        <v>6.3</v>
      </c>
      <c r="HT1465" s="19">
        <v>6.7</v>
      </c>
      <c r="HU1465" s="19">
        <v>8.5</v>
      </c>
      <c r="HV1465" s="19">
        <v>6.5</v>
      </c>
      <c r="HW1465" s="19">
        <v>67</v>
      </c>
      <c r="HX1465" s="19">
        <v>66</v>
      </c>
      <c r="HY1465" s="19">
        <v>65</v>
      </c>
      <c r="HZ1465" s="19">
        <v>64.5</v>
      </c>
      <c r="IA1465" s="19">
        <v>63.5</v>
      </c>
      <c r="IB1465" s="19">
        <v>62.5</v>
      </c>
      <c r="IC1465" s="19">
        <v>123</v>
      </c>
    </row>
    <row r="1466">
      <c r="A1466" s="2" t="s">
        <v>5569</v>
      </c>
      <c r="B1466" s="2" t="s">
        <v>323</v>
      </c>
      <c r="C1466" s="2" t="s">
        <v>1036</v>
      </c>
      <c r="D1466" s="2" t="s">
        <v>257</v>
      </c>
      <c r="E1466" s="2" t="s">
        <v>258</v>
      </c>
      <c r="F1466" s="2" t="s">
        <v>5508</v>
      </c>
      <c r="G1466" s="2" t="s">
        <v>5508</v>
      </c>
      <c r="H1466" s="2" t="s">
        <v>5508</v>
      </c>
      <c r="I1466" s="2" t="s">
        <v>405</v>
      </c>
      <c r="J1466" s="2" t="s">
        <v>270</v>
      </c>
      <c r="K1466" s="2" t="s">
        <v>1210</v>
      </c>
      <c r="L1466" s="3">
        <v>34.85</v>
      </c>
      <c r="M1466" s="3">
        <v>36.59</v>
      </c>
      <c r="N1466" s="3">
        <v>74.99</v>
      </c>
      <c r="O1466" s="2" t="s">
        <v>232</v>
      </c>
      <c r="P1466" s="2" t="s">
        <v>233</v>
      </c>
      <c r="Q1466" s="2" t="s">
        <v>234</v>
      </c>
      <c r="R1466" s="2" t="s">
        <v>235</v>
      </c>
      <c r="S1466" s="2" t="s">
        <v>5567</v>
      </c>
      <c r="T1466" s="2" t="s">
        <v>587</v>
      </c>
      <c r="U1466" s="2" t="s">
        <v>264</v>
      </c>
      <c r="V1466" s="2" t="s">
        <v>863</v>
      </c>
      <c r="W1466" s="2" t="s">
        <v>239</v>
      </c>
      <c r="X1466" s="2" t="s">
        <v>682</v>
      </c>
      <c r="Y1466" s="2" t="s">
        <v>5217</v>
      </c>
      <c r="Z1466" s="4">
        <v>118</v>
      </c>
      <c r="AA1466" s="4">
        <f>=ROUNDDOWN(23.6,0)</f>
      </c>
      <c r="AB1466" s="5">
        <v>5</v>
      </c>
      <c r="AC1466" s="2" t="s">
        <v>883</v>
      </c>
      <c r="AD1466" s="4">
        <v>40</v>
      </c>
      <c r="AE1466" s="4">
        <v>40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235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235</v>
      </c>
      <c r="AW1466" s="8" t="s">
        <v>235</v>
      </c>
      <c r="AX1466" s="4" t="s">
        <v>235</v>
      </c>
      <c r="AY1466" s="8" t="s">
        <v>235</v>
      </c>
      <c r="AZ1466" s="7" t="s">
        <v>235</v>
      </c>
      <c r="BA1466" s="7" t="s">
        <v>235</v>
      </c>
      <c r="BB1466" s="7"/>
      <c r="BC1466" s="4" t="s">
        <v>235</v>
      </c>
      <c r="BD1466" s="8" t="s">
        <v>235</v>
      </c>
      <c r="BE1466" s="4" t="s">
        <v>235</v>
      </c>
      <c r="BF1466" s="8" t="s">
        <v>235</v>
      </c>
      <c r="BG1466" s="7" t="s">
        <v>235</v>
      </c>
      <c r="BH1466" s="7" t="s">
        <v>235</v>
      </c>
      <c r="BI1466" s="7"/>
      <c r="BJ1466" s="4">
        <v>6</v>
      </c>
      <c r="BK1466" s="8">
        <v>234.64</v>
      </c>
      <c r="BL1466" s="2" t="s">
        <v>422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5510</v>
      </c>
      <c r="BV1466" s="2" t="s">
        <v>243</v>
      </c>
      <c r="BW1466" s="2" t="s">
        <v>235</v>
      </c>
      <c r="BX1466" s="2" t="s">
        <v>383</v>
      </c>
      <c r="BY1466" s="2" t="s">
        <v>245</v>
      </c>
      <c r="BZ1466" s="2" t="s">
        <v>232</v>
      </c>
      <c r="CA1466" s="2" t="s">
        <v>5533</v>
      </c>
      <c r="CB1466" s="2" t="s">
        <v>3240</v>
      </c>
      <c r="CC1466" s="2" t="s">
        <v>248</v>
      </c>
      <c r="CD1466" s="2" t="s">
        <v>248</v>
      </c>
      <c r="CE1466" s="2" t="s">
        <v>235</v>
      </c>
      <c r="CF1466" s="4"/>
      <c r="CG1466" s="4">
        <v>44</v>
      </c>
      <c r="CH1466" s="4"/>
      <c r="CI1466" s="4">
        <v>74</v>
      </c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>
        <v>40</v>
      </c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>
        <v>119</v>
      </c>
      <c r="GE1466" s="4">
        <v>156</v>
      </c>
      <c r="GF1466" s="4">
        <v>154</v>
      </c>
      <c r="GG1466" s="4">
        <v>151</v>
      </c>
      <c r="GH1466" s="4">
        <v>148</v>
      </c>
      <c r="GI1466" s="4">
        <v>144</v>
      </c>
      <c r="GJ1466" s="4">
        <v>137</v>
      </c>
      <c r="GK1466" s="4">
        <v>129</v>
      </c>
      <c r="GL1466" s="4">
        <v>124</v>
      </c>
      <c r="GM1466" s="4">
        <v>119</v>
      </c>
      <c r="GN1466" s="4">
        <v>111</v>
      </c>
      <c r="GO1466" s="4">
        <v>100</v>
      </c>
      <c r="GP1466" s="4">
        <v>87</v>
      </c>
      <c r="GQ1466" s="4">
        <v>63</v>
      </c>
      <c r="GR1466" s="4">
        <v>54</v>
      </c>
      <c r="GS1466" s="4">
        <v>43</v>
      </c>
      <c r="GT1466" s="4">
        <v>37</v>
      </c>
      <c r="GU1466" s="4">
        <v>33</v>
      </c>
      <c r="GV1466" s="4">
        <v>27</v>
      </c>
      <c r="GW1466" s="4">
        <v>168</v>
      </c>
      <c r="GX1466" s="4">
        <v>164</v>
      </c>
      <c r="GY1466" s="4">
        <v>160</v>
      </c>
      <c r="GZ1466" s="4">
        <v>158</v>
      </c>
      <c r="HA1466" s="4">
        <v>156</v>
      </c>
      <c r="HB1466" s="4">
        <v>154</v>
      </c>
      <c r="HC1466" s="4">
        <v>152</v>
      </c>
      <c r="HD1466" s="19">
        <v>39.7</v>
      </c>
      <c r="HE1466" s="19">
        <v>52</v>
      </c>
      <c r="HF1466" s="19">
        <v>38.5</v>
      </c>
      <c r="HG1466" s="19">
        <v>25.2</v>
      </c>
      <c r="HH1466" s="19">
        <v>24.7</v>
      </c>
      <c r="HI1466" s="19">
        <v>24</v>
      </c>
      <c r="HJ1466" s="19">
        <v>22.8</v>
      </c>
      <c r="HK1466" s="19">
        <v>18.4</v>
      </c>
      <c r="HL1466" s="19">
        <v>13.8</v>
      </c>
      <c r="HM1466" s="19">
        <v>8.5</v>
      </c>
      <c r="HN1466" s="19">
        <v>7.9</v>
      </c>
      <c r="HO1466" s="19">
        <v>7.1</v>
      </c>
      <c r="HP1466" s="19">
        <v>7.3</v>
      </c>
      <c r="HQ1466" s="19">
        <v>7.9</v>
      </c>
      <c r="HR1466" s="19">
        <v>7.7</v>
      </c>
      <c r="HS1466" s="19">
        <v>8.6</v>
      </c>
      <c r="HT1466" s="19">
        <v>9.3</v>
      </c>
      <c r="HU1466" s="19">
        <v>8.3</v>
      </c>
      <c r="HV1466" s="19">
        <v>6.8</v>
      </c>
      <c r="HW1466" s="19">
        <v>56</v>
      </c>
      <c r="HX1466" s="19">
        <v>82</v>
      </c>
      <c r="HY1466" s="19">
        <v>80</v>
      </c>
      <c r="HZ1466" s="19">
        <v>79</v>
      </c>
      <c r="IA1466" s="19">
        <v>78</v>
      </c>
      <c r="IB1466" s="19">
        <v>77</v>
      </c>
      <c r="IC1466" s="19">
        <v>76</v>
      </c>
    </row>
    <row r="1467">
      <c r="A1467" s="2" t="s">
        <v>5570</v>
      </c>
      <c r="B1467" s="2" t="s">
        <v>323</v>
      </c>
      <c r="C1467" s="2" t="s">
        <v>1036</v>
      </c>
      <c r="D1467" s="2" t="s">
        <v>257</v>
      </c>
      <c r="E1467" s="2" t="s">
        <v>258</v>
      </c>
      <c r="F1467" s="2" t="s">
        <v>5508</v>
      </c>
      <c r="G1467" s="2" t="s">
        <v>5508</v>
      </c>
      <c r="H1467" s="2" t="s">
        <v>5508</v>
      </c>
      <c r="I1467" s="2" t="s">
        <v>405</v>
      </c>
      <c r="J1467" s="2" t="s">
        <v>394</v>
      </c>
      <c r="K1467" s="2" t="s">
        <v>3027</v>
      </c>
      <c r="L1467" s="3">
        <v>23.82</v>
      </c>
      <c r="M1467" s="3">
        <v>25.01</v>
      </c>
      <c r="N1467" s="3">
        <v>49.99</v>
      </c>
      <c r="O1467" s="2" t="s">
        <v>232</v>
      </c>
      <c r="P1467" s="2" t="s">
        <v>233</v>
      </c>
      <c r="Q1467" s="2" t="s">
        <v>234</v>
      </c>
      <c r="R1467" s="2" t="s">
        <v>235</v>
      </c>
      <c r="S1467" s="2" t="s">
        <v>5571</v>
      </c>
      <c r="T1467" s="2" t="s">
        <v>587</v>
      </c>
      <c r="U1467" s="2" t="s">
        <v>552</v>
      </c>
      <c r="V1467" s="2" t="s">
        <v>1222</v>
      </c>
      <c r="W1467" s="2" t="s">
        <v>239</v>
      </c>
      <c r="X1467" s="2" t="s">
        <v>682</v>
      </c>
      <c r="Y1467" s="2" t="s">
        <v>240</v>
      </c>
      <c r="Z1467" s="4">
        <v>330</v>
      </c>
      <c r="AA1467" s="4">
        <f>=ROUNDDOWN(19.4117647058824,0)</f>
      </c>
      <c r="AB1467" s="5">
        <v>17</v>
      </c>
      <c r="AC1467" s="2" t="s">
        <v>266</v>
      </c>
      <c r="AD1467" s="4">
        <v>100</v>
      </c>
      <c r="AE1467" s="4">
        <v>100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235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235</v>
      </c>
      <c r="AW1467" s="8" t="s">
        <v>235</v>
      </c>
      <c r="AX1467" s="4" t="s">
        <v>235</v>
      </c>
      <c r="AY1467" s="8" t="s">
        <v>235</v>
      </c>
      <c r="AZ1467" s="7" t="s">
        <v>235</v>
      </c>
      <c r="BA1467" s="7" t="s">
        <v>235</v>
      </c>
      <c r="BB1467" s="7"/>
      <c r="BC1467" s="4" t="s">
        <v>235</v>
      </c>
      <c r="BD1467" s="8" t="s">
        <v>235</v>
      </c>
      <c r="BE1467" s="4" t="s">
        <v>235</v>
      </c>
      <c r="BF1467" s="8" t="s">
        <v>235</v>
      </c>
      <c r="BG1467" s="7" t="s">
        <v>235</v>
      </c>
      <c r="BH1467" s="7" t="s">
        <v>235</v>
      </c>
      <c r="BI1467" s="7"/>
      <c r="BJ1467" s="4">
        <v>2</v>
      </c>
      <c r="BK1467" s="8">
        <v>52.5</v>
      </c>
      <c r="BL1467" s="2" t="s">
        <v>5572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5510</v>
      </c>
      <c r="BV1467" s="2" t="s">
        <v>243</v>
      </c>
      <c r="BW1467" s="2" t="s">
        <v>235</v>
      </c>
      <c r="BX1467" s="2" t="s">
        <v>383</v>
      </c>
      <c r="BY1467" s="2" t="s">
        <v>245</v>
      </c>
      <c r="BZ1467" s="2" t="s">
        <v>232</v>
      </c>
      <c r="CA1467" s="2" t="s">
        <v>2974</v>
      </c>
      <c r="CB1467" s="2" t="s">
        <v>5573</v>
      </c>
      <c r="CC1467" s="2" t="s">
        <v>248</v>
      </c>
      <c r="CD1467" s="2" t="s">
        <v>248</v>
      </c>
      <c r="CE1467" s="2" t="s">
        <v>235</v>
      </c>
      <c r="CF1467" s="4">
        <v>106</v>
      </c>
      <c r="CG1467" s="4"/>
      <c r="CH1467" s="4"/>
      <c r="CI1467" s="4">
        <v>224</v>
      </c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>
        <v>100</v>
      </c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>
        <v>330</v>
      </c>
      <c r="GE1467" s="4">
        <v>377</v>
      </c>
      <c r="GF1467" s="4">
        <v>363</v>
      </c>
      <c r="GG1467" s="4">
        <v>343</v>
      </c>
      <c r="GH1467" s="4">
        <v>329</v>
      </c>
      <c r="GI1467" s="4">
        <v>306</v>
      </c>
      <c r="GJ1467" s="4">
        <v>276</v>
      </c>
      <c r="GK1467" s="4">
        <v>246</v>
      </c>
      <c r="GL1467" s="4">
        <v>218</v>
      </c>
      <c r="GM1467" s="4">
        <v>191</v>
      </c>
      <c r="GN1467" s="4">
        <v>171</v>
      </c>
      <c r="GO1467" s="4">
        <v>155</v>
      </c>
      <c r="GP1467" s="4">
        <v>136</v>
      </c>
      <c r="GQ1467" s="4">
        <v>106</v>
      </c>
      <c r="GR1467" s="4">
        <v>93</v>
      </c>
      <c r="GS1467" s="4">
        <v>78</v>
      </c>
      <c r="GT1467" s="4">
        <v>67</v>
      </c>
      <c r="GU1467" s="4">
        <v>59</v>
      </c>
      <c r="GV1467" s="4">
        <v>48</v>
      </c>
      <c r="GW1467" s="4">
        <v>40</v>
      </c>
      <c r="GX1467" s="4">
        <v>33</v>
      </c>
      <c r="GY1467" s="4">
        <v>25</v>
      </c>
      <c r="GZ1467" s="4">
        <v>20</v>
      </c>
      <c r="HA1467" s="4">
        <v>14</v>
      </c>
      <c r="HB1467" s="4">
        <v>9</v>
      </c>
      <c r="HC1467" s="4">
        <v>4</v>
      </c>
      <c r="HD1467" s="19">
        <v>13.2</v>
      </c>
      <c r="HE1467" s="19">
        <v>20.9</v>
      </c>
      <c r="HF1467" s="19">
        <v>16.5</v>
      </c>
      <c r="HG1467" s="19">
        <v>14.3</v>
      </c>
      <c r="HH1467" s="19">
        <v>11.8</v>
      </c>
      <c r="HI1467" s="19">
        <v>10.6</v>
      </c>
      <c r="HJ1467" s="19">
        <v>10.6</v>
      </c>
      <c r="HK1467" s="19">
        <v>10.7</v>
      </c>
      <c r="HL1467" s="19">
        <v>10.9</v>
      </c>
      <c r="HM1467" s="19">
        <v>9.1</v>
      </c>
      <c r="HN1467" s="19">
        <v>8.6</v>
      </c>
      <c r="HO1467" s="19">
        <v>8.2</v>
      </c>
      <c r="HP1467" s="19">
        <v>8</v>
      </c>
      <c r="HQ1467" s="19">
        <v>8.8</v>
      </c>
      <c r="HR1467" s="19">
        <v>8.5</v>
      </c>
      <c r="HS1467" s="19">
        <v>7.8</v>
      </c>
      <c r="HT1467" s="19">
        <v>8.4</v>
      </c>
      <c r="HU1467" s="19">
        <v>7.4</v>
      </c>
      <c r="HV1467" s="19">
        <v>6.9</v>
      </c>
      <c r="HW1467" s="19">
        <v>6.7</v>
      </c>
      <c r="HX1467" s="19">
        <v>5.5</v>
      </c>
      <c r="HY1467" s="19">
        <v>5</v>
      </c>
      <c r="HZ1467" s="19">
        <v>4</v>
      </c>
      <c r="IA1467" s="19">
        <v>2.8</v>
      </c>
      <c r="IB1467" s="19">
        <v>2.3</v>
      </c>
      <c r="IC1467" s="19">
        <v>1</v>
      </c>
    </row>
    <row r="1468">
      <c r="A1468" s="2" t="s">
        <v>5574</v>
      </c>
      <c r="B1468" s="2" t="s">
        <v>323</v>
      </c>
      <c r="C1468" s="2" t="s">
        <v>1036</v>
      </c>
      <c r="D1468" s="2" t="s">
        <v>257</v>
      </c>
      <c r="E1468" s="2" t="s">
        <v>258</v>
      </c>
      <c r="F1468" s="2" t="s">
        <v>5508</v>
      </c>
      <c r="G1468" s="2" t="s">
        <v>5508</v>
      </c>
      <c r="H1468" s="2" t="s">
        <v>5508</v>
      </c>
      <c r="I1468" s="2" t="s">
        <v>405</v>
      </c>
      <c r="J1468" s="2" t="s">
        <v>250</v>
      </c>
      <c r="K1468" s="2" t="s">
        <v>3027</v>
      </c>
      <c r="L1468" s="3">
        <v>28.05</v>
      </c>
      <c r="M1468" s="3">
        <v>29.45</v>
      </c>
      <c r="N1468" s="3">
        <v>59.99</v>
      </c>
      <c r="O1468" s="2" t="s">
        <v>232</v>
      </c>
      <c r="P1468" s="2" t="s">
        <v>233</v>
      </c>
      <c r="Q1468" s="2" t="s">
        <v>234</v>
      </c>
      <c r="R1468" s="2" t="s">
        <v>235</v>
      </c>
      <c r="S1468" s="2" t="s">
        <v>5571</v>
      </c>
      <c r="T1468" s="2" t="s">
        <v>587</v>
      </c>
      <c r="U1468" s="2" t="s">
        <v>264</v>
      </c>
      <c r="V1468" s="2" t="s">
        <v>1222</v>
      </c>
      <c r="W1468" s="2" t="s">
        <v>239</v>
      </c>
      <c r="X1468" s="2" t="s">
        <v>682</v>
      </c>
      <c r="Y1468" s="2" t="s">
        <v>240</v>
      </c>
      <c r="Z1468" s="4">
        <v>403</v>
      </c>
      <c r="AA1468" s="4">
        <f>=ROUNDDOWN(26.8666666666667,0)</f>
      </c>
      <c r="AB1468" s="5">
        <v>15</v>
      </c>
      <c r="AC1468" s="2" t="s">
        <v>266</v>
      </c>
      <c r="AD1468" s="4">
        <v>98</v>
      </c>
      <c r="AE1468" s="4">
        <v>98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235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235</v>
      </c>
      <c r="AW1468" s="8" t="s">
        <v>235</v>
      </c>
      <c r="AX1468" s="4" t="s">
        <v>235</v>
      </c>
      <c r="AY1468" s="8" t="s">
        <v>235</v>
      </c>
      <c r="AZ1468" s="7" t="s">
        <v>235</v>
      </c>
      <c r="BA1468" s="7" t="s">
        <v>235</v>
      </c>
      <c r="BB1468" s="7"/>
      <c r="BC1468" s="4" t="s">
        <v>235</v>
      </c>
      <c r="BD1468" s="8" t="s">
        <v>235</v>
      </c>
      <c r="BE1468" s="4" t="s">
        <v>235</v>
      </c>
      <c r="BF1468" s="8" t="s">
        <v>235</v>
      </c>
      <c r="BG1468" s="7" t="s">
        <v>235</v>
      </c>
      <c r="BH1468" s="7" t="s">
        <v>235</v>
      </c>
      <c r="BI1468" s="7"/>
      <c r="BJ1468" s="4">
        <v>4</v>
      </c>
      <c r="BK1468" s="8">
        <v>124.57</v>
      </c>
      <c r="BL1468" s="2" t="s">
        <v>5575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5510</v>
      </c>
      <c r="BV1468" s="2" t="s">
        <v>243</v>
      </c>
      <c r="BW1468" s="2" t="s">
        <v>235</v>
      </c>
      <c r="BX1468" s="2" t="s">
        <v>383</v>
      </c>
      <c r="BY1468" s="2" t="s">
        <v>245</v>
      </c>
      <c r="BZ1468" s="2" t="s">
        <v>232</v>
      </c>
      <c r="CA1468" s="2" t="s">
        <v>2974</v>
      </c>
      <c r="CB1468" s="2" t="s">
        <v>3332</v>
      </c>
      <c r="CC1468" s="2" t="s">
        <v>248</v>
      </c>
      <c r="CD1468" s="2" t="s">
        <v>248</v>
      </c>
      <c r="CE1468" s="2" t="s">
        <v>235</v>
      </c>
      <c r="CF1468" s="4">
        <v>128</v>
      </c>
      <c r="CG1468" s="4"/>
      <c r="CH1468" s="4"/>
      <c r="CI1468" s="4">
        <v>275</v>
      </c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>
        <v>98</v>
      </c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>
        <v>405</v>
      </c>
      <c r="GE1468" s="4">
        <v>446</v>
      </c>
      <c r="GF1468" s="4">
        <v>432</v>
      </c>
      <c r="GG1468" s="4">
        <v>412</v>
      </c>
      <c r="GH1468" s="4">
        <v>398</v>
      </c>
      <c r="GI1468" s="4">
        <v>377</v>
      </c>
      <c r="GJ1468" s="4">
        <v>350</v>
      </c>
      <c r="GK1468" s="4">
        <v>325</v>
      </c>
      <c r="GL1468" s="4">
        <v>300</v>
      </c>
      <c r="GM1468" s="4">
        <v>275</v>
      </c>
      <c r="GN1468" s="4">
        <v>256</v>
      </c>
      <c r="GO1468" s="4">
        <v>238</v>
      </c>
      <c r="GP1468" s="4">
        <v>217</v>
      </c>
      <c r="GQ1468" s="4">
        <v>186</v>
      </c>
      <c r="GR1468" s="4">
        <v>171</v>
      </c>
      <c r="GS1468" s="4">
        <v>155</v>
      </c>
      <c r="GT1468" s="4">
        <v>145</v>
      </c>
      <c r="GU1468" s="4">
        <v>137</v>
      </c>
      <c r="GV1468" s="4">
        <v>128</v>
      </c>
      <c r="GW1468" s="4">
        <v>121</v>
      </c>
      <c r="GX1468" s="4">
        <v>115</v>
      </c>
      <c r="GY1468" s="4">
        <v>109</v>
      </c>
      <c r="GZ1468" s="4">
        <v>104</v>
      </c>
      <c r="HA1468" s="4">
        <v>99</v>
      </c>
      <c r="HB1468" s="4">
        <v>95</v>
      </c>
      <c r="HC1468" s="4">
        <v>91</v>
      </c>
      <c r="HD1468" s="19">
        <v>15.6</v>
      </c>
      <c r="HE1468" s="19">
        <v>26.2</v>
      </c>
      <c r="HF1468" s="19">
        <v>21.6</v>
      </c>
      <c r="HG1468" s="19">
        <v>18.7</v>
      </c>
      <c r="HH1468" s="19">
        <v>16.6</v>
      </c>
      <c r="HI1468" s="19">
        <v>14.5</v>
      </c>
      <c r="HJ1468" s="19">
        <v>14.6</v>
      </c>
      <c r="HK1468" s="19">
        <v>14.8</v>
      </c>
      <c r="HL1468" s="19">
        <v>14.3</v>
      </c>
      <c r="HM1468" s="19">
        <v>12.5</v>
      </c>
      <c r="HN1468" s="19">
        <v>12.2</v>
      </c>
      <c r="HO1468" s="19">
        <v>11.3</v>
      </c>
      <c r="HP1468" s="19">
        <v>12.1</v>
      </c>
      <c r="HQ1468" s="19">
        <v>15.5</v>
      </c>
      <c r="HR1468" s="19">
        <v>15.5</v>
      </c>
      <c r="HS1468" s="19">
        <v>19.4</v>
      </c>
      <c r="HT1468" s="19">
        <v>18.1</v>
      </c>
      <c r="HU1468" s="19">
        <v>19.6</v>
      </c>
      <c r="HV1468" s="19">
        <v>21.3</v>
      </c>
      <c r="HW1468" s="19">
        <v>20.2</v>
      </c>
      <c r="HX1468" s="19">
        <v>23</v>
      </c>
      <c r="HY1468" s="19">
        <v>27.3</v>
      </c>
      <c r="HZ1468" s="19">
        <v>26</v>
      </c>
      <c r="IA1468" s="19">
        <v>24.8</v>
      </c>
      <c r="IB1468" s="19">
        <v>23.8</v>
      </c>
      <c r="IC1468" s="19">
        <v>22.8</v>
      </c>
    </row>
    <row r="1469">
      <c r="A1469" s="2" t="s">
        <v>5576</v>
      </c>
      <c r="B1469" s="2" t="s">
        <v>323</v>
      </c>
      <c r="C1469" s="2" t="s">
        <v>1036</v>
      </c>
      <c r="D1469" s="2" t="s">
        <v>257</v>
      </c>
      <c r="E1469" s="2" t="s">
        <v>258</v>
      </c>
      <c r="F1469" s="2" t="s">
        <v>5508</v>
      </c>
      <c r="G1469" s="2" t="s">
        <v>5508</v>
      </c>
      <c r="H1469" s="2" t="s">
        <v>5508</v>
      </c>
      <c r="I1469" s="2" t="s">
        <v>405</v>
      </c>
      <c r="J1469" s="2" t="s">
        <v>394</v>
      </c>
      <c r="K1469" s="2" t="s">
        <v>5577</v>
      </c>
      <c r="L1469" s="3">
        <v>23.82</v>
      </c>
      <c r="M1469" s="3">
        <v>25.01</v>
      </c>
      <c r="N1469" s="3">
        <v>49.99</v>
      </c>
      <c r="O1469" s="2" t="s">
        <v>232</v>
      </c>
      <c r="P1469" s="2" t="s">
        <v>233</v>
      </c>
      <c r="Q1469" s="2" t="s">
        <v>234</v>
      </c>
      <c r="R1469" s="2" t="s">
        <v>235</v>
      </c>
      <c r="S1469" s="2" t="s">
        <v>5578</v>
      </c>
      <c r="T1469" s="2" t="s">
        <v>587</v>
      </c>
      <c r="U1469" s="2" t="s">
        <v>552</v>
      </c>
      <c r="V1469" s="2" t="s">
        <v>2919</v>
      </c>
      <c r="W1469" s="2" t="s">
        <v>239</v>
      </c>
      <c r="X1469" s="2" t="s">
        <v>682</v>
      </c>
      <c r="Y1469" s="2" t="s">
        <v>5217</v>
      </c>
      <c r="Z1469" s="4">
        <v>166</v>
      </c>
      <c r="AA1469" s="4">
        <f>=ROUNDDOWN(18.4444444444444,0)</f>
      </c>
      <c r="AB1469" s="5">
        <v>9</v>
      </c>
      <c r="AC1469" s="2" t="s">
        <v>266</v>
      </c>
      <c r="AD1469" s="4">
        <v>60</v>
      </c>
      <c r="AE1469" s="4">
        <v>60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235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235</v>
      </c>
      <c r="AW1469" s="8" t="s">
        <v>235</v>
      </c>
      <c r="AX1469" s="4" t="s">
        <v>235</v>
      </c>
      <c r="AY1469" s="8" t="s">
        <v>235</v>
      </c>
      <c r="AZ1469" s="7" t="s">
        <v>235</v>
      </c>
      <c r="BA1469" s="7" t="s">
        <v>235</v>
      </c>
      <c r="BB1469" s="7"/>
      <c r="BC1469" s="4" t="s">
        <v>235</v>
      </c>
      <c r="BD1469" s="8" t="s">
        <v>235</v>
      </c>
      <c r="BE1469" s="4" t="s">
        <v>235</v>
      </c>
      <c r="BF1469" s="8" t="s">
        <v>235</v>
      </c>
      <c r="BG1469" s="7" t="s">
        <v>235</v>
      </c>
      <c r="BH1469" s="7" t="s">
        <v>235</v>
      </c>
      <c r="BI1469" s="7"/>
      <c r="BJ1469" s="4">
        <v>2</v>
      </c>
      <c r="BK1469" s="8">
        <v>55.6</v>
      </c>
      <c r="BL1469" s="2" t="s">
        <v>592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5510</v>
      </c>
      <c r="BV1469" s="2" t="s">
        <v>243</v>
      </c>
      <c r="BW1469" s="2" t="s">
        <v>235</v>
      </c>
      <c r="BX1469" s="2" t="s">
        <v>383</v>
      </c>
      <c r="BY1469" s="2" t="s">
        <v>245</v>
      </c>
      <c r="BZ1469" s="2" t="s">
        <v>232</v>
      </c>
      <c r="CA1469" s="2" t="s">
        <v>5533</v>
      </c>
      <c r="CB1469" s="2" t="s">
        <v>5043</v>
      </c>
      <c r="CC1469" s="2" t="s">
        <v>248</v>
      </c>
      <c r="CD1469" s="2" t="s">
        <v>248</v>
      </c>
      <c r="CE1469" s="2" t="s">
        <v>235</v>
      </c>
      <c r="CF1469" s="4">
        <v>56</v>
      </c>
      <c r="CG1469" s="4">
        <v>12</v>
      </c>
      <c r="CH1469" s="4"/>
      <c r="CI1469" s="4">
        <v>98</v>
      </c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>
        <v>60</v>
      </c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>
        <v>166</v>
      </c>
      <c r="GE1469" s="4">
        <v>224</v>
      </c>
      <c r="GF1469" s="4">
        <v>222</v>
      </c>
      <c r="GG1469" s="4">
        <v>216</v>
      </c>
      <c r="GH1469" s="4">
        <v>211</v>
      </c>
      <c r="GI1469" s="4">
        <v>202</v>
      </c>
      <c r="GJ1469" s="4">
        <v>188</v>
      </c>
      <c r="GK1469" s="4">
        <v>172</v>
      </c>
      <c r="GL1469" s="4">
        <v>161</v>
      </c>
      <c r="GM1469" s="4">
        <v>151</v>
      </c>
      <c r="GN1469" s="4">
        <v>140</v>
      </c>
      <c r="GO1469" s="4">
        <v>128</v>
      </c>
      <c r="GP1469" s="4">
        <v>114</v>
      </c>
      <c r="GQ1469" s="4">
        <v>89</v>
      </c>
      <c r="GR1469" s="4">
        <v>79</v>
      </c>
      <c r="GS1469" s="4">
        <v>66</v>
      </c>
      <c r="GT1469" s="4">
        <v>58</v>
      </c>
      <c r="GU1469" s="4">
        <v>53</v>
      </c>
      <c r="GV1469" s="4">
        <v>45</v>
      </c>
      <c r="GW1469" s="4">
        <v>82</v>
      </c>
      <c r="GX1469" s="4">
        <v>77</v>
      </c>
      <c r="GY1469" s="4">
        <v>71</v>
      </c>
      <c r="GZ1469" s="4">
        <v>68</v>
      </c>
      <c r="HA1469" s="4">
        <v>64</v>
      </c>
      <c r="HB1469" s="4">
        <v>60</v>
      </c>
      <c r="HC1469" s="4">
        <v>56</v>
      </c>
      <c r="HD1469" s="19">
        <v>41.5</v>
      </c>
      <c r="HE1469" s="19">
        <v>37.3</v>
      </c>
      <c r="HF1469" s="19">
        <v>27.8</v>
      </c>
      <c r="HG1469" s="19">
        <v>19.6</v>
      </c>
      <c r="HH1469" s="19">
        <v>17.6</v>
      </c>
      <c r="HI1469" s="19">
        <v>15.5</v>
      </c>
      <c r="HJ1469" s="19">
        <v>15.7</v>
      </c>
      <c r="HK1469" s="19">
        <v>15.6</v>
      </c>
      <c r="HL1469" s="19">
        <v>13.4</v>
      </c>
      <c r="HM1469" s="19">
        <v>9.4</v>
      </c>
      <c r="HN1469" s="19">
        <v>9.3</v>
      </c>
      <c r="HO1469" s="19">
        <v>8</v>
      </c>
      <c r="HP1469" s="19">
        <v>8.1</v>
      </c>
      <c r="HQ1469" s="19">
        <v>9.9</v>
      </c>
      <c r="HR1469" s="19">
        <v>9.9</v>
      </c>
      <c r="HS1469" s="19">
        <v>11</v>
      </c>
      <c r="HT1469" s="19">
        <v>9.7</v>
      </c>
      <c r="HU1469" s="19">
        <v>8.8</v>
      </c>
      <c r="HV1469" s="19">
        <v>9</v>
      </c>
      <c r="HW1469" s="19">
        <v>20.5</v>
      </c>
      <c r="HX1469" s="19">
        <v>19.3</v>
      </c>
      <c r="HY1469" s="19">
        <v>17.8</v>
      </c>
      <c r="HZ1469" s="19">
        <v>17</v>
      </c>
      <c r="IA1469" s="19">
        <v>16</v>
      </c>
      <c r="IB1469" s="19">
        <v>15</v>
      </c>
      <c r="IC1469" s="19">
        <v>18.7</v>
      </c>
    </row>
    <row r="1470">
      <c r="A1470" s="2" t="s">
        <v>5579</v>
      </c>
      <c r="B1470" s="2" t="s">
        <v>323</v>
      </c>
      <c r="C1470" s="2" t="s">
        <v>1036</v>
      </c>
      <c r="D1470" s="2" t="s">
        <v>257</v>
      </c>
      <c r="E1470" s="2" t="s">
        <v>258</v>
      </c>
      <c r="F1470" s="2" t="s">
        <v>5508</v>
      </c>
      <c r="G1470" s="2" t="s">
        <v>5508</v>
      </c>
      <c r="H1470" s="2" t="s">
        <v>5508</v>
      </c>
      <c r="I1470" s="2" t="s">
        <v>405</v>
      </c>
      <c r="J1470" s="2" t="s">
        <v>250</v>
      </c>
      <c r="K1470" s="2" t="s">
        <v>5577</v>
      </c>
      <c r="L1470" s="3">
        <v>28.05</v>
      </c>
      <c r="M1470" s="3">
        <v>29.45</v>
      </c>
      <c r="N1470" s="3">
        <v>59.99</v>
      </c>
      <c r="O1470" s="2" t="s">
        <v>232</v>
      </c>
      <c r="P1470" s="2" t="s">
        <v>233</v>
      </c>
      <c r="Q1470" s="2" t="s">
        <v>234</v>
      </c>
      <c r="R1470" s="2" t="s">
        <v>235</v>
      </c>
      <c r="S1470" s="2" t="s">
        <v>5578</v>
      </c>
      <c r="T1470" s="2" t="s">
        <v>587</v>
      </c>
      <c r="U1470" s="2" t="s">
        <v>264</v>
      </c>
      <c r="V1470" s="2" t="s">
        <v>2919</v>
      </c>
      <c r="W1470" s="2" t="s">
        <v>239</v>
      </c>
      <c r="X1470" s="2" t="s">
        <v>682</v>
      </c>
      <c r="Y1470" s="2" t="s">
        <v>5217</v>
      </c>
      <c r="Z1470" s="4">
        <v>237</v>
      </c>
      <c r="AA1470" s="4">
        <f>=ROUNDDOWN(19.75,0)</f>
      </c>
      <c r="AB1470" s="5">
        <v>12</v>
      </c>
      <c r="AC1470" s="2" t="s">
        <v>266</v>
      </c>
      <c r="AD1470" s="4">
        <v>100</v>
      </c>
      <c r="AE1470" s="4">
        <v>100</v>
      </c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235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235</v>
      </c>
      <c r="AW1470" s="8" t="s">
        <v>235</v>
      </c>
      <c r="AX1470" s="4" t="s">
        <v>235</v>
      </c>
      <c r="AY1470" s="8" t="s">
        <v>235</v>
      </c>
      <c r="AZ1470" s="7" t="s">
        <v>235</v>
      </c>
      <c r="BA1470" s="7" t="s">
        <v>235</v>
      </c>
      <c r="BB1470" s="7"/>
      <c r="BC1470" s="4" t="s">
        <v>235</v>
      </c>
      <c r="BD1470" s="8" t="s">
        <v>235</v>
      </c>
      <c r="BE1470" s="4" t="s">
        <v>235</v>
      </c>
      <c r="BF1470" s="8" t="s">
        <v>235</v>
      </c>
      <c r="BG1470" s="7" t="s">
        <v>235</v>
      </c>
      <c r="BH1470" s="7" t="s">
        <v>235</v>
      </c>
      <c r="BI1470" s="7"/>
      <c r="BJ1470" s="4">
        <v>1</v>
      </c>
      <c r="BK1470" s="8">
        <v>30.91</v>
      </c>
      <c r="BL1470" s="2" t="s">
        <v>1580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5510</v>
      </c>
      <c r="BV1470" s="2" t="s">
        <v>243</v>
      </c>
      <c r="BW1470" s="2" t="s">
        <v>235</v>
      </c>
      <c r="BX1470" s="2" t="s">
        <v>383</v>
      </c>
      <c r="BY1470" s="2" t="s">
        <v>245</v>
      </c>
      <c r="BZ1470" s="2" t="s">
        <v>232</v>
      </c>
      <c r="CA1470" s="2" t="s">
        <v>5533</v>
      </c>
      <c r="CB1470" s="2" t="s">
        <v>5580</v>
      </c>
      <c r="CC1470" s="2" t="s">
        <v>248</v>
      </c>
      <c r="CD1470" s="2" t="s">
        <v>248</v>
      </c>
      <c r="CE1470" s="2" t="s">
        <v>235</v>
      </c>
      <c r="CF1470" s="4">
        <v>96</v>
      </c>
      <c r="CG1470" s="4">
        <v>1</v>
      </c>
      <c r="CH1470" s="4"/>
      <c r="CI1470" s="4">
        <v>140</v>
      </c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>
        <v>100</v>
      </c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>
        <v>237</v>
      </c>
      <c r="GE1470" s="4">
        <v>316</v>
      </c>
      <c r="GF1470" s="4">
        <v>308</v>
      </c>
      <c r="GG1470" s="4">
        <v>298</v>
      </c>
      <c r="GH1470" s="4">
        <v>290</v>
      </c>
      <c r="GI1470" s="4">
        <v>280</v>
      </c>
      <c r="GJ1470" s="4">
        <v>263</v>
      </c>
      <c r="GK1470" s="4">
        <v>243</v>
      </c>
      <c r="GL1470" s="4">
        <v>230</v>
      </c>
      <c r="GM1470" s="4">
        <v>218</v>
      </c>
      <c r="GN1470" s="4">
        <v>200</v>
      </c>
      <c r="GO1470" s="4">
        <v>175</v>
      </c>
      <c r="GP1470" s="4">
        <v>146</v>
      </c>
      <c r="GQ1470" s="4">
        <v>93</v>
      </c>
      <c r="GR1470" s="4">
        <v>71</v>
      </c>
      <c r="GS1470" s="4">
        <v>44</v>
      </c>
      <c r="GT1470" s="4">
        <v>29</v>
      </c>
      <c r="GU1470" s="4">
        <v>20</v>
      </c>
      <c r="GV1470" s="4">
        <v>8</v>
      </c>
      <c r="GW1470" s="4">
        <v>145</v>
      </c>
      <c r="GX1470" s="4">
        <v>137</v>
      </c>
      <c r="GY1470" s="4">
        <v>129</v>
      </c>
      <c r="GZ1470" s="4">
        <v>124</v>
      </c>
      <c r="HA1470" s="4">
        <v>118</v>
      </c>
      <c r="HB1470" s="4">
        <v>112</v>
      </c>
      <c r="HC1470" s="4">
        <v>106</v>
      </c>
      <c r="HD1470" s="19">
        <v>19.8</v>
      </c>
      <c r="HE1470" s="19">
        <v>35.1</v>
      </c>
      <c r="HF1470" s="19">
        <v>28</v>
      </c>
      <c r="HG1470" s="19">
        <v>21.3</v>
      </c>
      <c r="HH1470" s="19">
        <v>19.3</v>
      </c>
      <c r="HI1470" s="19">
        <v>17.5</v>
      </c>
      <c r="HJ1470" s="19">
        <v>16.4</v>
      </c>
      <c r="HK1470" s="19">
        <v>14.3</v>
      </c>
      <c r="HL1470" s="19">
        <v>11</v>
      </c>
      <c r="HM1470" s="19">
        <v>7</v>
      </c>
      <c r="HN1470" s="19">
        <v>6.3</v>
      </c>
      <c r="HO1470" s="19">
        <v>5.3</v>
      </c>
      <c r="HP1470" s="19">
        <v>5</v>
      </c>
      <c r="HQ1470" s="19">
        <v>5.2</v>
      </c>
      <c r="HR1470" s="19">
        <v>4.4</v>
      </c>
      <c r="HS1470" s="19">
        <v>4</v>
      </c>
      <c r="HT1470" s="19">
        <v>3.2</v>
      </c>
      <c r="HU1470" s="19">
        <v>2.2</v>
      </c>
      <c r="HV1470" s="19">
        <v>1.1</v>
      </c>
      <c r="HW1470" s="19">
        <v>20.7</v>
      </c>
      <c r="HX1470" s="19">
        <v>22.8</v>
      </c>
      <c r="HY1470" s="19">
        <v>21.5</v>
      </c>
      <c r="HZ1470" s="19">
        <v>20.7</v>
      </c>
      <c r="IA1470" s="19">
        <v>19.7</v>
      </c>
      <c r="IB1470" s="19">
        <v>18.7</v>
      </c>
      <c r="IC1470" s="19">
        <v>21.2</v>
      </c>
    </row>
    <row r="1471">
      <c r="A1471" s="2" t="s">
        <v>5581</v>
      </c>
      <c r="B1471" s="2" t="s">
        <v>323</v>
      </c>
      <c r="C1471" s="2" t="s">
        <v>1036</v>
      </c>
      <c r="D1471" s="2" t="s">
        <v>257</v>
      </c>
      <c r="E1471" s="2" t="s">
        <v>258</v>
      </c>
      <c r="F1471" s="2" t="s">
        <v>5508</v>
      </c>
      <c r="G1471" s="2" t="s">
        <v>5508</v>
      </c>
      <c r="H1471" s="2" t="s">
        <v>5508</v>
      </c>
      <c r="I1471" s="2" t="s">
        <v>405</v>
      </c>
      <c r="J1471" s="2" t="s">
        <v>261</v>
      </c>
      <c r="K1471" s="2" t="s">
        <v>5577</v>
      </c>
      <c r="L1471" s="3">
        <v>31.3</v>
      </c>
      <c r="M1471" s="3">
        <v>32.86</v>
      </c>
      <c r="N1471" s="3">
        <v>64.99</v>
      </c>
      <c r="O1471" s="2" t="s">
        <v>232</v>
      </c>
      <c r="P1471" s="2" t="s">
        <v>336</v>
      </c>
      <c r="Q1471" s="2" t="s">
        <v>234</v>
      </c>
      <c r="R1471" s="2" t="s">
        <v>235</v>
      </c>
      <c r="S1471" s="2" t="s">
        <v>5578</v>
      </c>
      <c r="T1471" s="2" t="s">
        <v>587</v>
      </c>
      <c r="U1471" s="2" t="s">
        <v>264</v>
      </c>
      <c r="V1471" s="2" t="s">
        <v>2919</v>
      </c>
      <c r="W1471" s="2" t="s">
        <v>239</v>
      </c>
      <c r="X1471" s="2" t="s">
        <v>682</v>
      </c>
      <c r="Y1471" s="2" t="s">
        <v>5217</v>
      </c>
      <c r="Z1471" s="4">
        <v>661</v>
      </c>
      <c r="AA1471" s="4">
        <f>=ROUNDDOWN(22.7931034482759,0)</f>
      </c>
      <c r="AB1471" s="5">
        <v>29</v>
      </c>
      <c r="AC1471" s="2" t="s">
        <v>266</v>
      </c>
      <c r="AD1471" s="4">
        <v>258</v>
      </c>
      <c r="AE1471" s="4">
        <v>258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235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235</v>
      </c>
      <c r="AW1471" s="8" t="s">
        <v>235</v>
      </c>
      <c r="AX1471" s="4" t="s">
        <v>235</v>
      </c>
      <c r="AY1471" s="8" t="s">
        <v>235</v>
      </c>
      <c r="AZ1471" s="7" t="s">
        <v>235</v>
      </c>
      <c r="BA1471" s="7" t="s">
        <v>235</v>
      </c>
      <c r="BB1471" s="7"/>
      <c r="BC1471" s="4" t="s">
        <v>235</v>
      </c>
      <c r="BD1471" s="8" t="s">
        <v>235</v>
      </c>
      <c r="BE1471" s="4" t="s">
        <v>235</v>
      </c>
      <c r="BF1471" s="8" t="s">
        <v>235</v>
      </c>
      <c r="BG1471" s="7" t="s">
        <v>235</v>
      </c>
      <c r="BH1471" s="7" t="s">
        <v>235</v>
      </c>
      <c r="BI1471" s="7"/>
      <c r="BJ1471" s="4">
        <v>8</v>
      </c>
      <c r="BK1471" s="8">
        <v>297.6</v>
      </c>
      <c r="BL1471" s="2" t="s">
        <v>3136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5510</v>
      </c>
      <c r="BV1471" s="2" t="s">
        <v>243</v>
      </c>
      <c r="BW1471" s="2" t="s">
        <v>235</v>
      </c>
      <c r="BX1471" s="2" t="s">
        <v>383</v>
      </c>
      <c r="BY1471" s="2" t="s">
        <v>245</v>
      </c>
      <c r="BZ1471" s="2" t="s">
        <v>232</v>
      </c>
      <c r="CA1471" s="2" t="s">
        <v>5533</v>
      </c>
      <c r="CB1471" s="2" t="s">
        <v>5582</v>
      </c>
      <c r="CC1471" s="2" t="s">
        <v>248</v>
      </c>
      <c r="CD1471" s="2" t="s">
        <v>248</v>
      </c>
      <c r="CE1471" s="2" t="s">
        <v>235</v>
      </c>
      <c r="CF1471" s="4">
        <v>261</v>
      </c>
      <c r="CG1471" s="4">
        <v>2</v>
      </c>
      <c r="CH1471" s="4"/>
      <c r="CI1471" s="4">
        <v>398</v>
      </c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>
        <v>258</v>
      </c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>
        <v>662</v>
      </c>
      <c r="GE1471" s="4">
        <v>850</v>
      </c>
      <c r="GF1471" s="4">
        <v>830</v>
      </c>
      <c r="GG1471" s="4">
        <v>804</v>
      </c>
      <c r="GH1471" s="4">
        <v>784</v>
      </c>
      <c r="GI1471" s="4">
        <v>754</v>
      </c>
      <c r="GJ1471" s="4">
        <v>710</v>
      </c>
      <c r="GK1471" s="4">
        <v>662</v>
      </c>
      <c r="GL1471" s="4">
        <v>623</v>
      </c>
      <c r="GM1471" s="4">
        <v>587</v>
      </c>
      <c r="GN1471" s="4">
        <v>547</v>
      </c>
      <c r="GO1471" s="4">
        <v>490</v>
      </c>
      <c r="GP1471" s="4">
        <v>423</v>
      </c>
      <c r="GQ1471" s="4">
        <v>311</v>
      </c>
      <c r="GR1471" s="4">
        <v>250</v>
      </c>
      <c r="GS1471" s="4">
        <v>176</v>
      </c>
      <c r="GT1471" s="4">
        <v>132</v>
      </c>
      <c r="GU1471" s="4">
        <v>105</v>
      </c>
      <c r="GV1471" s="4">
        <v>74</v>
      </c>
      <c r="GW1471" s="4">
        <v>321</v>
      </c>
      <c r="GX1471" s="4">
        <v>300</v>
      </c>
      <c r="GY1471" s="4">
        <v>279</v>
      </c>
      <c r="GZ1471" s="4">
        <v>264</v>
      </c>
      <c r="HA1471" s="4">
        <v>248</v>
      </c>
      <c r="HB1471" s="4">
        <v>236</v>
      </c>
      <c r="HC1471" s="4">
        <v>224</v>
      </c>
      <c r="HD1471" s="19">
        <v>19.5</v>
      </c>
      <c r="HE1471" s="19">
        <v>35.4</v>
      </c>
      <c r="HF1471" s="19">
        <v>27.7</v>
      </c>
      <c r="HG1471" s="19">
        <v>22.3</v>
      </c>
      <c r="HH1471" s="19">
        <v>19.6</v>
      </c>
      <c r="HI1471" s="19">
        <v>18</v>
      </c>
      <c r="HJ1471" s="19">
        <v>17.3</v>
      </c>
      <c r="HK1471" s="19">
        <v>15.4</v>
      </c>
      <c r="HL1471" s="19">
        <v>12.5</v>
      </c>
      <c r="HM1471" s="19">
        <v>8.5</v>
      </c>
      <c r="HN1471" s="19">
        <v>7.4</v>
      </c>
      <c r="HO1471" s="19">
        <v>6.3</v>
      </c>
      <c r="HP1471" s="19">
        <v>5.8</v>
      </c>
      <c r="HQ1471" s="19">
        <v>6</v>
      </c>
      <c r="HR1471" s="19">
        <v>5.7</v>
      </c>
      <c r="HS1471" s="19">
        <v>5.7</v>
      </c>
      <c r="HT1471" s="19">
        <v>5.3</v>
      </c>
      <c r="HU1471" s="19">
        <v>4.4</v>
      </c>
      <c r="HV1471" s="19">
        <v>3.7</v>
      </c>
      <c r="HW1471" s="19">
        <v>17.8</v>
      </c>
      <c r="HX1471" s="19">
        <v>18.8</v>
      </c>
      <c r="HY1471" s="19">
        <v>19.9</v>
      </c>
      <c r="HZ1471" s="19">
        <v>20.3</v>
      </c>
      <c r="IA1471" s="19">
        <v>22.5</v>
      </c>
      <c r="IB1471" s="19">
        <v>23.6</v>
      </c>
      <c r="IC1471" s="19">
        <v>22.4</v>
      </c>
    </row>
    <row r="1472">
      <c r="A1472" s="2" t="s">
        <v>5583</v>
      </c>
      <c r="B1472" s="2" t="s">
        <v>323</v>
      </c>
      <c r="C1472" s="2" t="s">
        <v>1036</v>
      </c>
      <c r="D1472" s="2" t="s">
        <v>257</v>
      </c>
      <c r="E1472" s="2" t="s">
        <v>258</v>
      </c>
      <c r="F1472" s="2" t="s">
        <v>5508</v>
      </c>
      <c r="G1472" s="2" t="s">
        <v>5508</v>
      </c>
      <c r="H1472" s="2" t="s">
        <v>5508</v>
      </c>
      <c r="I1472" s="2" t="s">
        <v>405</v>
      </c>
      <c r="J1472" s="2" t="s">
        <v>270</v>
      </c>
      <c r="K1472" s="2" t="s">
        <v>5577</v>
      </c>
      <c r="L1472" s="3">
        <v>34.85</v>
      </c>
      <c r="M1472" s="3">
        <v>36.59</v>
      </c>
      <c r="N1472" s="3">
        <v>74.99</v>
      </c>
      <c r="O1472" s="2" t="s">
        <v>232</v>
      </c>
      <c r="P1472" s="2" t="s">
        <v>233</v>
      </c>
      <c r="Q1472" s="2" t="s">
        <v>234</v>
      </c>
      <c r="R1472" s="2" t="s">
        <v>235</v>
      </c>
      <c r="S1472" s="2" t="s">
        <v>5578</v>
      </c>
      <c r="T1472" s="2" t="s">
        <v>587</v>
      </c>
      <c r="U1472" s="2" t="s">
        <v>264</v>
      </c>
      <c r="V1472" s="2" t="s">
        <v>2919</v>
      </c>
      <c r="W1472" s="2" t="s">
        <v>239</v>
      </c>
      <c r="X1472" s="2" t="s">
        <v>682</v>
      </c>
      <c r="Y1472" s="2" t="s">
        <v>5217</v>
      </c>
      <c r="Z1472" s="4">
        <v>450</v>
      </c>
      <c r="AA1472" s="4">
        <f>=ROUNDDOWN(30,0)</f>
      </c>
      <c r="AB1472" s="5">
        <v>15</v>
      </c>
      <c r="AC1472" s="2" t="s">
        <v>235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235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235</v>
      </c>
      <c r="AW1472" s="8" t="s">
        <v>235</v>
      </c>
      <c r="AX1472" s="4" t="s">
        <v>235</v>
      </c>
      <c r="AY1472" s="8" t="s">
        <v>235</v>
      </c>
      <c r="AZ1472" s="7" t="s">
        <v>235</v>
      </c>
      <c r="BA1472" s="7" t="s">
        <v>235</v>
      </c>
      <c r="BB1472" s="7"/>
      <c r="BC1472" s="4" t="s">
        <v>235</v>
      </c>
      <c r="BD1472" s="8" t="s">
        <v>235</v>
      </c>
      <c r="BE1472" s="4" t="s">
        <v>235</v>
      </c>
      <c r="BF1472" s="8" t="s">
        <v>235</v>
      </c>
      <c r="BG1472" s="7" t="s">
        <v>235</v>
      </c>
      <c r="BH1472" s="7" t="s">
        <v>235</v>
      </c>
      <c r="BI1472" s="7"/>
      <c r="BJ1472" s="4">
        <v>10</v>
      </c>
      <c r="BK1472" s="8">
        <v>401.12</v>
      </c>
      <c r="BL1472" s="2" t="s">
        <v>5584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5510</v>
      </c>
      <c r="BV1472" s="2" t="s">
        <v>243</v>
      </c>
      <c r="BW1472" s="2" t="s">
        <v>235</v>
      </c>
      <c r="BX1472" s="2" t="s">
        <v>383</v>
      </c>
      <c r="BY1472" s="2" t="s">
        <v>245</v>
      </c>
      <c r="BZ1472" s="2" t="s">
        <v>232</v>
      </c>
      <c r="CA1472" s="2" t="s">
        <v>5533</v>
      </c>
      <c r="CB1472" s="2" t="s">
        <v>1246</v>
      </c>
      <c r="CC1472" s="2" t="s">
        <v>248</v>
      </c>
      <c r="CD1472" s="2" t="s">
        <v>248</v>
      </c>
      <c r="CE1472" s="2" t="s">
        <v>235</v>
      </c>
      <c r="CF1472" s="4">
        <v>265</v>
      </c>
      <c r="CG1472" s="4">
        <v>1</v>
      </c>
      <c r="CH1472" s="4"/>
      <c r="CI1472" s="4">
        <v>184</v>
      </c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>
        <v>450</v>
      </c>
      <c r="GE1472" s="4">
        <v>441</v>
      </c>
      <c r="GF1472" s="4">
        <v>433</v>
      </c>
      <c r="GG1472" s="4">
        <v>424</v>
      </c>
      <c r="GH1472" s="4">
        <v>416</v>
      </c>
      <c r="GI1472" s="4">
        <v>404</v>
      </c>
      <c r="GJ1472" s="4">
        <v>385</v>
      </c>
      <c r="GK1472" s="4">
        <v>361</v>
      </c>
      <c r="GL1472" s="4">
        <v>346</v>
      </c>
      <c r="GM1472" s="4">
        <v>333</v>
      </c>
      <c r="GN1472" s="4">
        <v>310</v>
      </c>
      <c r="GO1472" s="4">
        <v>279</v>
      </c>
      <c r="GP1472" s="4">
        <v>240</v>
      </c>
      <c r="GQ1472" s="4">
        <v>169</v>
      </c>
      <c r="GR1472" s="4">
        <v>142</v>
      </c>
      <c r="GS1472" s="4">
        <v>107</v>
      </c>
      <c r="GT1472" s="4">
        <v>87</v>
      </c>
      <c r="GU1472" s="4">
        <v>75</v>
      </c>
      <c r="GV1472" s="4">
        <v>55</v>
      </c>
      <c r="GW1472" s="4">
        <v>197</v>
      </c>
      <c r="GX1472" s="4">
        <v>184</v>
      </c>
      <c r="GY1472" s="4">
        <v>170</v>
      </c>
      <c r="GZ1472" s="4">
        <v>162</v>
      </c>
      <c r="HA1472" s="4">
        <v>155</v>
      </c>
      <c r="HB1472" s="4">
        <v>148</v>
      </c>
      <c r="HC1472" s="4">
        <v>141</v>
      </c>
      <c r="HD1472" s="19">
        <v>56.3</v>
      </c>
      <c r="HE1472" s="19">
        <v>49</v>
      </c>
      <c r="HF1472" s="19">
        <v>36.1</v>
      </c>
      <c r="HG1472" s="19">
        <v>26.5</v>
      </c>
      <c r="HH1472" s="19">
        <v>23.1</v>
      </c>
      <c r="HI1472" s="19">
        <v>22.4</v>
      </c>
      <c r="HJ1472" s="19">
        <v>20.3</v>
      </c>
      <c r="HK1472" s="19">
        <v>18.1</v>
      </c>
      <c r="HL1472" s="19">
        <v>13.3</v>
      </c>
      <c r="HM1472" s="19">
        <v>8.1</v>
      </c>
      <c r="HN1472" s="19">
        <v>7.4</v>
      </c>
      <c r="HO1472" s="19">
        <v>6.5</v>
      </c>
      <c r="HP1472" s="19">
        <v>6.3</v>
      </c>
      <c r="HQ1472" s="19">
        <v>7</v>
      </c>
      <c r="HR1472" s="19">
        <v>6.5</v>
      </c>
      <c r="HS1472" s="19">
        <v>6.7</v>
      </c>
      <c r="HT1472" s="19">
        <v>6.2</v>
      </c>
      <c r="HU1472" s="19">
        <v>5</v>
      </c>
      <c r="HV1472" s="19">
        <v>4.6</v>
      </c>
      <c r="HW1472" s="19">
        <v>19.7</v>
      </c>
      <c r="HX1472" s="19">
        <v>20.4</v>
      </c>
      <c r="HY1472" s="19">
        <v>24.3</v>
      </c>
      <c r="HZ1472" s="19">
        <v>23.1</v>
      </c>
      <c r="IA1472" s="19">
        <v>22.1</v>
      </c>
      <c r="IB1472" s="19">
        <v>21.1</v>
      </c>
      <c r="IC1472" s="19">
        <v>20.1</v>
      </c>
    </row>
    <row r="1473">
      <c r="A1473" s="2" t="s">
        <v>5585</v>
      </c>
      <c r="B1473" s="2" t="s">
        <v>323</v>
      </c>
      <c r="C1473" s="2" t="s">
        <v>1036</v>
      </c>
      <c r="D1473" s="2" t="s">
        <v>257</v>
      </c>
      <c r="E1473" s="2" t="s">
        <v>258</v>
      </c>
      <c r="F1473" s="2" t="s">
        <v>5508</v>
      </c>
      <c r="G1473" s="2" t="s">
        <v>5508</v>
      </c>
      <c r="H1473" s="2" t="s">
        <v>5508</v>
      </c>
      <c r="I1473" s="2" t="s">
        <v>405</v>
      </c>
      <c r="J1473" s="2" t="s">
        <v>230</v>
      </c>
      <c r="K1473" s="2" t="s">
        <v>295</v>
      </c>
      <c r="L1473" s="3">
        <v>25.3</v>
      </c>
      <c r="M1473" s="3">
        <v>26.56</v>
      </c>
      <c r="N1473" s="3">
        <v>53.99</v>
      </c>
      <c r="O1473" s="2" t="s">
        <v>232</v>
      </c>
      <c r="P1473" s="2" t="s">
        <v>233</v>
      </c>
      <c r="Q1473" s="2" t="s">
        <v>234</v>
      </c>
      <c r="R1473" s="2" t="s">
        <v>235</v>
      </c>
      <c r="S1473" s="2" t="s">
        <v>5586</v>
      </c>
      <c r="T1473" s="2" t="s">
        <v>587</v>
      </c>
      <c r="U1473" s="2" t="s">
        <v>552</v>
      </c>
      <c r="V1473" s="2" t="s">
        <v>238</v>
      </c>
      <c r="W1473" s="2" t="s">
        <v>239</v>
      </c>
      <c r="X1473" s="2" t="s">
        <v>682</v>
      </c>
      <c r="Y1473" s="2" t="s">
        <v>240</v>
      </c>
      <c r="Z1473" s="4">
        <v>100</v>
      </c>
      <c r="AA1473" s="4">
        <f>=ROUNDDOWN(12.5,0)</f>
      </c>
      <c r="AB1473" s="5">
        <v>8</v>
      </c>
      <c r="AC1473" s="2" t="s">
        <v>883</v>
      </c>
      <c r="AD1473" s="4">
        <v>80</v>
      </c>
      <c r="AE1473" s="4">
        <v>80</v>
      </c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235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235</v>
      </c>
      <c r="AW1473" s="8" t="s">
        <v>235</v>
      </c>
      <c r="AX1473" s="4" t="s">
        <v>235</v>
      </c>
      <c r="AY1473" s="8" t="s">
        <v>235</v>
      </c>
      <c r="AZ1473" s="7" t="s">
        <v>235</v>
      </c>
      <c r="BA1473" s="7" t="s">
        <v>235</v>
      </c>
      <c r="BB1473" s="7"/>
      <c r="BC1473" s="4" t="s">
        <v>235</v>
      </c>
      <c r="BD1473" s="8" t="s">
        <v>235</v>
      </c>
      <c r="BE1473" s="4" t="s">
        <v>235</v>
      </c>
      <c r="BF1473" s="8" t="s">
        <v>235</v>
      </c>
      <c r="BG1473" s="7" t="s">
        <v>235</v>
      </c>
      <c r="BH1473" s="7" t="s">
        <v>235</v>
      </c>
      <c r="BI1473" s="7"/>
      <c r="BJ1473" s="4">
        <v>16</v>
      </c>
      <c r="BK1473" s="8">
        <v>460.16</v>
      </c>
      <c r="BL1473" s="2" t="s">
        <v>5587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5510</v>
      </c>
      <c r="BV1473" s="2" t="s">
        <v>243</v>
      </c>
      <c r="BW1473" s="2" t="s">
        <v>235</v>
      </c>
      <c r="BX1473" s="2" t="s">
        <v>383</v>
      </c>
      <c r="BY1473" s="2" t="s">
        <v>245</v>
      </c>
      <c r="BZ1473" s="2" t="s">
        <v>232</v>
      </c>
      <c r="CA1473" s="2" t="s">
        <v>252</v>
      </c>
      <c r="CB1473" s="2" t="s">
        <v>1056</v>
      </c>
      <c r="CC1473" s="2" t="s">
        <v>248</v>
      </c>
      <c r="CD1473" s="2" t="s">
        <v>248</v>
      </c>
      <c r="CE1473" s="2" t="s">
        <v>235</v>
      </c>
      <c r="CF1473" s="4">
        <v>5</v>
      </c>
      <c r="CG1473" s="4"/>
      <c r="CH1473" s="4"/>
      <c r="CI1473" s="4">
        <v>95</v>
      </c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>
        <v>80</v>
      </c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>
        <v>106</v>
      </c>
      <c r="GE1473" s="4">
        <v>178</v>
      </c>
      <c r="GF1473" s="4">
        <v>172</v>
      </c>
      <c r="GG1473" s="4">
        <v>165</v>
      </c>
      <c r="GH1473" s="4">
        <v>159</v>
      </c>
      <c r="GI1473" s="4">
        <v>152</v>
      </c>
      <c r="GJ1473" s="4">
        <v>141</v>
      </c>
      <c r="GK1473" s="4">
        <v>128</v>
      </c>
      <c r="GL1473" s="4">
        <v>118</v>
      </c>
      <c r="GM1473" s="4">
        <v>109</v>
      </c>
      <c r="GN1473" s="4">
        <v>99</v>
      </c>
      <c r="GO1473" s="4">
        <v>86</v>
      </c>
      <c r="GP1473" s="4">
        <v>70</v>
      </c>
      <c r="GQ1473" s="4">
        <v>44</v>
      </c>
      <c r="GR1473" s="4">
        <v>33</v>
      </c>
      <c r="GS1473" s="4">
        <v>19</v>
      </c>
      <c r="GT1473" s="4">
        <v>11</v>
      </c>
      <c r="GU1473" s="4">
        <v>6</v>
      </c>
      <c r="GV1473" s="4">
        <v>2</v>
      </c>
      <c r="GW1473" s="4">
        <v>78</v>
      </c>
      <c r="GX1473" s="4">
        <v>74</v>
      </c>
      <c r="GY1473" s="4">
        <v>71</v>
      </c>
      <c r="GZ1473" s="4">
        <v>69</v>
      </c>
      <c r="HA1473" s="4">
        <v>66</v>
      </c>
      <c r="HB1473" s="4">
        <v>63</v>
      </c>
      <c r="HC1473" s="4">
        <v>60</v>
      </c>
      <c r="HD1473" s="19">
        <v>15.1</v>
      </c>
      <c r="HE1473" s="19">
        <v>29.7</v>
      </c>
      <c r="HF1473" s="19">
        <v>21.5</v>
      </c>
      <c r="HG1473" s="19">
        <v>18.3</v>
      </c>
      <c r="HH1473" s="19">
        <v>15.9</v>
      </c>
      <c r="HI1473" s="19">
        <v>13.8</v>
      </c>
      <c r="HJ1473" s="19">
        <v>14.1</v>
      </c>
      <c r="HK1473" s="19">
        <v>12.8</v>
      </c>
      <c r="HL1473" s="19">
        <v>9.8</v>
      </c>
      <c r="HM1473" s="19">
        <v>6.8</v>
      </c>
      <c r="HN1473" s="19">
        <v>6.2</v>
      </c>
      <c r="HO1473" s="19">
        <v>5.1</v>
      </c>
      <c r="HP1473" s="19">
        <v>4.7</v>
      </c>
      <c r="HQ1473" s="19">
        <v>4.4</v>
      </c>
      <c r="HR1473" s="19">
        <v>4.1</v>
      </c>
      <c r="HS1473" s="19">
        <v>3.8</v>
      </c>
      <c r="HT1473" s="19">
        <v>2.8</v>
      </c>
      <c r="HU1473" s="19">
        <v>2</v>
      </c>
      <c r="HV1473" s="19">
        <v>0.7</v>
      </c>
      <c r="HW1473" s="19">
        <v>26</v>
      </c>
      <c r="HX1473" s="19">
        <v>24.7</v>
      </c>
      <c r="HY1473" s="19">
        <v>23.7</v>
      </c>
      <c r="HZ1473" s="19">
        <v>23</v>
      </c>
      <c r="IA1473" s="19">
        <v>22</v>
      </c>
      <c r="IB1473" s="19">
        <v>21</v>
      </c>
      <c r="IC1473" s="19">
        <v>20</v>
      </c>
    </row>
    <row r="1474">
      <c r="A1474" s="2" t="s">
        <v>5588</v>
      </c>
      <c r="B1474" s="2" t="s">
        <v>323</v>
      </c>
      <c r="C1474" s="2" t="s">
        <v>1036</v>
      </c>
      <c r="D1474" s="2" t="s">
        <v>257</v>
      </c>
      <c r="E1474" s="2" t="s">
        <v>258</v>
      </c>
      <c r="F1474" s="2" t="s">
        <v>5508</v>
      </c>
      <c r="G1474" s="2" t="s">
        <v>5508</v>
      </c>
      <c r="H1474" s="2" t="s">
        <v>5508</v>
      </c>
      <c r="I1474" s="2" t="s">
        <v>405</v>
      </c>
      <c r="J1474" s="2" t="s">
        <v>250</v>
      </c>
      <c r="K1474" s="2" t="s">
        <v>295</v>
      </c>
      <c r="L1474" s="3">
        <v>28.05</v>
      </c>
      <c r="M1474" s="3">
        <v>29.45</v>
      </c>
      <c r="N1474" s="3">
        <v>59.99</v>
      </c>
      <c r="O1474" s="2" t="s">
        <v>232</v>
      </c>
      <c r="P1474" s="2" t="s">
        <v>233</v>
      </c>
      <c r="Q1474" s="2" t="s">
        <v>234</v>
      </c>
      <c r="R1474" s="2" t="s">
        <v>235</v>
      </c>
      <c r="S1474" s="2" t="s">
        <v>5586</v>
      </c>
      <c r="T1474" s="2" t="s">
        <v>587</v>
      </c>
      <c r="U1474" s="2" t="s">
        <v>264</v>
      </c>
      <c r="V1474" s="2" t="s">
        <v>238</v>
      </c>
      <c r="W1474" s="2" t="s">
        <v>239</v>
      </c>
      <c r="X1474" s="2" t="s">
        <v>682</v>
      </c>
      <c r="Y1474" s="2" t="s">
        <v>240</v>
      </c>
      <c r="Z1474" s="4">
        <v>247</v>
      </c>
      <c r="AA1474" s="4">
        <f>=ROUNDDOWN(20.5833333333333,0)</f>
      </c>
      <c r="AB1474" s="5">
        <v>12</v>
      </c>
      <c r="AC1474" s="2" t="s">
        <v>883</v>
      </c>
      <c r="AD1474" s="4">
        <v>100</v>
      </c>
      <c r="AE1474" s="4">
        <v>100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235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235</v>
      </c>
      <c r="AW1474" s="8" t="s">
        <v>235</v>
      </c>
      <c r="AX1474" s="4" t="s">
        <v>235</v>
      </c>
      <c r="AY1474" s="8" t="s">
        <v>235</v>
      </c>
      <c r="AZ1474" s="7" t="s">
        <v>235</v>
      </c>
      <c r="BA1474" s="7" t="s">
        <v>235</v>
      </c>
      <c r="BB1474" s="7"/>
      <c r="BC1474" s="4" t="s">
        <v>235</v>
      </c>
      <c r="BD1474" s="8" t="s">
        <v>235</v>
      </c>
      <c r="BE1474" s="4" t="s">
        <v>235</v>
      </c>
      <c r="BF1474" s="8" t="s">
        <v>235</v>
      </c>
      <c r="BG1474" s="7" t="s">
        <v>235</v>
      </c>
      <c r="BH1474" s="7" t="s">
        <v>235</v>
      </c>
      <c r="BI1474" s="7"/>
      <c r="BJ1474" s="4">
        <v>7</v>
      </c>
      <c r="BK1474" s="8">
        <v>201.83</v>
      </c>
      <c r="BL1474" s="2" t="s">
        <v>5589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5510</v>
      </c>
      <c r="BV1474" s="2" t="s">
        <v>243</v>
      </c>
      <c r="BW1474" s="2" t="s">
        <v>235</v>
      </c>
      <c r="BX1474" s="2" t="s">
        <v>383</v>
      </c>
      <c r="BY1474" s="2" t="s">
        <v>245</v>
      </c>
      <c r="BZ1474" s="2" t="s">
        <v>232</v>
      </c>
      <c r="CA1474" s="2" t="s">
        <v>252</v>
      </c>
      <c r="CB1474" s="2" t="s">
        <v>5590</v>
      </c>
      <c r="CC1474" s="2" t="s">
        <v>248</v>
      </c>
      <c r="CD1474" s="2" t="s">
        <v>248</v>
      </c>
      <c r="CE1474" s="2" t="s">
        <v>235</v>
      </c>
      <c r="CF1474" s="4">
        <v>69</v>
      </c>
      <c r="CG1474" s="4">
        <v>3</v>
      </c>
      <c r="CH1474" s="4"/>
      <c r="CI1474" s="4">
        <v>175</v>
      </c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>
        <v>100</v>
      </c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>
        <v>249</v>
      </c>
      <c r="GE1474" s="4">
        <v>314</v>
      </c>
      <c r="GF1474" s="4">
        <v>304</v>
      </c>
      <c r="GG1474" s="4">
        <v>291</v>
      </c>
      <c r="GH1474" s="4">
        <v>281</v>
      </c>
      <c r="GI1474" s="4">
        <v>267</v>
      </c>
      <c r="GJ1474" s="4">
        <v>248</v>
      </c>
      <c r="GK1474" s="4">
        <v>228</v>
      </c>
      <c r="GL1474" s="4">
        <v>211</v>
      </c>
      <c r="GM1474" s="4">
        <v>195</v>
      </c>
      <c r="GN1474" s="4">
        <v>178</v>
      </c>
      <c r="GO1474" s="4">
        <v>159</v>
      </c>
      <c r="GP1474" s="4">
        <v>136</v>
      </c>
      <c r="GQ1474" s="4">
        <v>98</v>
      </c>
      <c r="GR1474" s="4">
        <v>82</v>
      </c>
      <c r="GS1474" s="4">
        <v>63</v>
      </c>
      <c r="GT1474" s="4">
        <v>51</v>
      </c>
      <c r="GU1474" s="4">
        <v>44</v>
      </c>
      <c r="GV1474" s="4">
        <v>35</v>
      </c>
      <c r="GW1474" s="4">
        <v>98</v>
      </c>
      <c r="GX1474" s="4">
        <v>91</v>
      </c>
      <c r="GY1474" s="4">
        <v>84</v>
      </c>
      <c r="GZ1474" s="4">
        <v>80</v>
      </c>
      <c r="HA1474" s="4">
        <v>75</v>
      </c>
      <c r="HB1474" s="4">
        <v>71</v>
      </c>
      <c r="HC1474" s="4">
        <v>67</v>
      </c>
      <c r="HD1474" s="19">
        <v>14.6</v>
      </c>
      <c r="HE1474" s="19">
        <v>26.2</v>
      </c>
      <c r="HF1474" s="19">
        <v>21.7</v>
      </c>
      <c r="HG1474" s="19">
        <v>18.2</v>
      </c>
      <c r="HH1474" s="19">
        <v>15.6</v>
      </c>
      <c r="HI1474" s="19">
        <v>14.8</v>
      </c>
      <c r="HJ1474" s="19">
        <v>13.8</v>
      </c>
      <c r="HK1474" s="19">
        <v>13.4</v>
      </c>
      <c r="HL1474" s="19">
        <v>11.1</v>
      </c>
      <c r="HM1474" s="19">
        <v>8.1</v>
      </c>
      <c r="HN1474" s="19">
        <v>7.4</v>
      </c>
      <c r="HO1474" s="19">
        <v>6.6</v>
      </c>
      <c r="HP1474" s="19">
        <v>6.5</v>
      </c>
      <c r="HQ1474" s="19">
        <v>7</v>
      </c>
      <c r="HR1474" s="19">
        <v>6.8</v>
      </c>
      <c r="HS1474" s="19">
        <v>7.9</v>
      </c>
      <c r="HT1474" s="19">
        <v>7.3</v>
      </c>
      <c r="HU1474" s="19">
        <v>6.3</v>
      </c>
      <c r="HV1474" s="19">
        <v>5.8</v>
      </c>
      <c r="HW1474" s="19">
        <v>16.3</v>
      </c>
      <c r="HX1474" s="19">
        <v>18.2</v>
      </c>
      <c r="HY1474" s="19">
        <v>21</v>
      </c>
      <c r="HZ1474" s="19">
        <v>20</v>
      </c>
      <c r="IA1474" s="19">
        <v>18.8</v>
      </c>
      <c r="IB1474" s="19">
        <v>17.8</v>
      </c>
      <c r="IC1474" s="19">
        <v>22.3</v>
      </c>
    </row>
    <row r="1475">
      <c r="A1475" s="2" t="s">
        <v>5591</v>
      </c>
      <c r="B1475" s="2" t="s">
        <v>323</v>
      </c>
      <c r="C1475" s="2" t="s">
        <v>1036</v>
      </c>
      <c r="D1475" s="2" t="s">
        <v>257</v>
      </c>
      <c r="E1475" s="2" t="s">
        <v>258</v>
      </c>
      <c r="F1475" s="2" t="s">
        <v>5508</v>
      </c>
      <c r="G1475" s="2" t="s">
        <v>5508</v>
      </c>
      <c r="H1475" s="2" t="s">
        <v>5508</v>
      </c>
      <c r="I1475" s="2" t="s">
        <v>405</v>
      </c>
      <c r="J1475" s="2" t="s">
        <v>261</v>
      </c>
      <c r="K1475" s="2" t="s">
        <v>295</v>
      </c>
      <c r="L1475" s="3">
        <v>31.3</v>
      </c>
      <c r="M1475" s="3">
        <v>32.86</v>
      </c>
      <c r="N1475" s="3">
        <v>64.99</v>
      </c>
      <c r="O1475" s="2" t="s">
        <v>232</v>
      </c>
      <c r="P1475" s="2" t="s">
        <v>698</v>
      </c>
      <c r="Q1475" s="2" t="s">
        <v>234</v>
      </c>
      <c r="R1475" s="2" t="s">
        <v>235</v>
      </c>
      <c r="S1475" s="2" t="s">
        <v>5586</v>
      </c>
      <c r="T1475" s="2" t="s">
        <v>587</v>
      </c>
      <c r="U1475" s="2" t="s">
        <v>264</v>
      </c>
      <c r="V1475" s="2" t="s">
        <v>238</v>
      </c>
      <c r="W1475" s="2" t="s">
        <v>239</v>
      </c>
      <c r="X1475" s="2" t="s">
        <v>682</v>
      </c>
      <c r="Y1475" s="2" t="s">
        <v>240</v>
      </c>
      <c r="Z1475" s="4">
        <v>527</v>
      </c>
      <c r="AA1475" s="4">
        <f>=ROUNDDOWN(21.08,0)</f>
      </c>
      <c r="AB1475" s="5">
        <v>25</v>
      </c>
      <c r="AC1475" s="2" t="s">
        <v>883</v>
      </c>
      <c r="AD1475" s="4">
        <v>260</v>
      </c>
      <c r="AE1475" s="4">
        <v>260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235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235</v>
      </c>
      <c r="AW1475" s="8" t="s">
        <v>235</v>
      </c>
      <c r="AX1475" s="4" t="s">
        <v>235</v>
      </c>
      <c r="AY1475" s="8" t="s">
        <v>235</v>
      </c>
      <c r="AZ1475" s="7" t="s">
        <v>235</v>
      </c>
      <c r="BA1475" s="7" t="s">
        <v>235</v>
      </c>
      <c r="BB1475" s="7"/>
      <c r="BC1475" s="4" t="s">
        <v>235</v>
      </c>
      <c r="BD1475" s="8" t="s">
        <v>235</v>
      </c>
      <c r="BE1475" s="4" t="s">
        <v>235</v>
      </c>
      <c r="BF1475" s="8" t="s">
        <v>235</v>
      </c>
      <c r="BG1475" s="7" t="s">
        <v>235</v>
      </c>
      <c r="BH1475" s="7" t="s">
        <v>235</v>
      </c>
      <c r="BI1475" s="7"/>
      <c r="BJ1475" s="4">
        <v>25</v>
      </c>
      <c r="BK1475" s="8">
        <v>860.81</v>
      </c>
      <c r="BL1475" s="2" t="s">
        <v>5592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5510</v>
      </c>
      <c r="BV1475" s="2" t="s">
        <v>243</v>
      </c>
      <c r="BW1475" s="2" t="s">
        <v>235</v>
      </c>
      <c r="BX1475" s="2" t="s">
        <v>383</v>
      </c>
      <c r="BY1475" s="2" t="s">
        <v>245</v>
      </c>
      <c r="BZ1475" s="2" t="s">
        <v>232</v>
      </c>
      <c r="CA1475" s="2" t="s">
        <v>252</v>
      </c>
      <c r="CB1475" s="2" t="s">
        <v>603</v>
      </c>
      <c r="CC1475" s="2" t="s">
        <v>248</v>
      </c>
      <c r="CD1475" s="2" t="s">
        <v>248</v>
      </c>
      <c r="CE1475" s="2" t="s">
        <v>235</v>
      </c>
      <c r="CF1475" s="4">
        <v>189</v>
      </c>
      <c r="CG1475" s="4">
        <v>1</v>
      </c>
      <c r="CH1475" s="4"/>
      <c r="CI1475" s="4">
        <v>337</v>
      </c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>
        <v>260</v>
      </c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>
        <v>529</v>
      </c>
      <c r="GE1475" s="4">
        <v>730</v>
      </c>
      <c r="GF1475" s="4">
        <v>712</v>
      </c>
      <c r="GG1475" s="4">
        <v>688</v>
      </c>
      <c r="GH1475" s="4">
        <v>670</v>
      </c>
      <c r="GI1475" s="4">
        <v>643</v>
      </c>
      <c r="GJ1475" s="4">
        <v>604</v>
      </c>
      <c r="GK1475" s="4">
        <v>562</v>
      </c>
      <c r="GL1475" s="4">
        <v>527</v>
      </c>
      <c r="GM1475" s="4">
        <v>495</v>
      </c>
      <c r="GN1475" s="4">
        <v>461</v>
      </c>
      <c r="GO1475" s="4">
        <v>413</v>
      </c>
      <c r="GP1475" s="4">
        <v>355</v>
      </c>
      <c r="GQ1475" s="4">
        <v>261</v>
      </c>
      <c r="GR1475" s="4">
        <v>209</v>
      </c>
      <c r="GS1475" s="4">
        <v>146</v>
      </c>
      <c r="GT1475" s="4">
        <v>108</v>
      </c>
      <c r="GU1475" s="4">
        <v>84</v>
      </c>
      <c r="GV1475" s="4">
        <v>57</v>
      </c>
      <c r="GW1475" s="4">
        <v>241</v>
      </c>
      <c r="GX1475" s="4">
        <v>222</v>
      </c>
      <c r="GY1475" s="4">
        <v>203</v>
      </c>
      <c r="GZ1475" s="4">
        <v>190</v>
      </c>
      <c r="HA1475" s="4">
        <v>176</v>
      </c>
      <c r="HB1475" s="4">
        <v>166</v>
      </c>
      <c r="HC1475" s="4">
        <v>156</v>
      </c>
      <c r="HD1475" s="19">
        <v>17.6</v>
      </c>
      <c r="HE1475" s="19">
        <v>33.2</v>
      </c>
      <c r="HF1475" s="19">
        <v>26.4</v>
      </c>
      <c r="HG1475" s="19">
        <v>21.5</v>
      </c>
      <c r="HH1475" s="19">
        <v>18.6</v>
      </c>
      <c r="HI1475" s="19">
        <v>17.4</v>
      </c>
      <c r="HJ1475" s="19">
        <v>16.8</v>
      </c>
      <c r="HK1475" s="19">
        <v>15.2</v>
      </c>
      <c r="HL1475" s="19">
        <v>12.3</v>
      </c>
      <c r="HM1475" s="19">
        <v>8.5</v>
      </c>
      <c r="HN1475" s="19">
        <v>7.3</v>
      </c>
      <c r="HO1475" s="19">
        <v>6.2</v>
      </c>
      <c r="HP1475" s="19">
        <v>5.7</v>
      </c>
      <c r="HQ1475" s="19">
        <v>5.9</v>
      </c>
      <c r="HR1475" s="19">
        <v>5.5</v>
      </c>
      <c r="HS1475" s="19">
        <v>5.4</v>
      </c>
      <c r="HT1475" s="19">
        <v>4.9</v>
      </c>
      <c r="HU1475" s="19">
        <v>4</v>
      </c>
      <c r="HV1475" s="19">
        <v>3.4</v>
      </c>
      <c r="HW1475" s="19">
        <v>15.1</v>
      </c>
      <c r="HX1475" s="19">
        <v>15.9</v>
      </c>
      <c r="HY1475" s="19">
        <v>16.9</v>
      </c>
      <c r="HZ1475" s="19">
        <v>17.3</v>
      </c>
      <c r="IA1475" s="19">
        <v>17.6</v>
      </c>
      <c r="IB1475" s="19">
        <v>18.4</v>
      </c>
      <c r="IC1475" s="19">
        <v>19.5</v>
      </c>
    </row>
    <row r="1476">
      <c r="A1476" s="2" t="s">
        <v>5593</v>
      </c>
      <c r="B1476" s="2" t="s">
        <v>323</v>
      </c>
      <c r="C1476" s="2" t="s">
        <v>1036</v>
      </c>
      <c r="D1476" s="2" t="s">
        <v>257</v>
      </c>
      <c r="E1476" s="2" t="s">
        <v>258</v>
      </c>
      <c r="F1476" s="2" t="s">
        <v>5508</v>
      </c>
      <c r="G1476" s="2" t="s">
        <v>5508</v>
      </c>
      <c r="H1476" s="2" t="s">
        <v>5508</v>
      </c>
      <c r="I1476" s="2" t="s">
        <v>405</v>
      </c>
      <c r="J1476" s="2" t="s">
        <v>272</v>
      </c>
      <c r="K1476" s="2" t="s">
        <v>295</v>
      </c>
      <c r="L1476" s="3">
        <v>35.4</v>
      </c>
      <c r="M1476" s="3">
        <v>37.17</v>
      </c>
      <c r="N1476" s="3">
        <v>74.99</v>
      </c>
      <c r="O1476" s="2" t="s">
        <v>232</v>
      </c>
      <c r="P1476" s="2" t="s">
        <v>233</v>
      </c>
      <c r="Q1476" s="2" t="s">
        <v>234</v>
      </c>
      <c r="R1476" s="2" t="s">
        <v>235</v>
      </c>
      <c r="S1476" s="2" t="s">
        <v>5586</v>
      </c>
      <c r="T1476" s="2" t="s">
        <v>587</v>
      </c>
      <c r="U1476" s="2" t="s">
        <v>264</v>
      </c>
      <c r="V1476" s="2" t="s">
        <v>238</v>
      </c>
      <c r="W1476" s="2" t="s">
        <v>239</v>
      </c>
      <c r="X1476" s="2" t="s">
        <v>682</v>
      </c>
      <c r="Y1476" s="2" t="s">
        <v>240</v>
      </c>
      <c r="Z1476" s="4">
        <v>185</v>
      </c>
      <c r="AA1476" s="4">
        <f>=ROUNDDOWN(30.8333333333333,0)</f>
      </c>
      <c r="AB1476" s="5">
        <v>6</v>
      </c>
      <c r="AC1476" s="2" t="s">
        <v>235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235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235</v>
      </c>
      <c r="AW1476" s="8" t="s">
        <v>235</v>
      </c>
      <c r="AX1476" s="4" t="s">
        <v>235</v>
      </c>
      <c r="AY1476" s="8" t="s">
        <v>235</v>
      </c>
      <c r="AZ1476" s="7" t="s">
        <v>235</v>
      </c>
      <c r="BA1476" s="7" t="s">
        <v>235</v>
      </c>
      <c r="BB1476" s="7"/>
      <c r="BC1476" s="4" t="s">
        <v>235</v>
      </c>
      <c r="BD1476" s="8" t="s">
        <v>235</v>
      </c>
      <c r="BE1476" s="4" t="s">
        <v>235</v>
      </c>
      <c r="BF1476" s="8" t="s">
        <v>235</v>
      </c>
      <c r="BG1476" s="7" t="s">
        <v>235</v>
      </c>
      <c r="BH1476" s="7" t="s">
        <v>235</v>
      </c>
      <c r="BI1476" s="7"/>
      <c r="BJ1476" s="4">
        <v>4</v>
      </c>
      <c r="BK1476" s="8">
        <v>139.21</v>
      </c>
      <c r="BL1476" s="2" t="s">
        <v>5594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5510</v>
      </c>
      <c r="BV1476" s="2" t="s">
        <v>243</v>
      </c>
      <c r="BW1476" s="2" t="s">
        <v>235</v>
      </c>
      <c r="BX1476" s="2" t="s">
        <v>383</v>
      </c>
      <c r="BY1476" s="2" t="s">
        <v>245</v>
      </c>
      <c r="BZ1476" s="2" t="s">
        <v>232</v>
      </c>
      <c r="CA1476" s="2" t="s">
        <v>252</v>
      </c>
      <c r="CB1476" s="2" t="s">
        <v>5595</v>
      </c>
      <c r="CC1476" s="2" t="s">
        <v>248</v>
      </c>
      <c r="CD1476" s="2" t="s">
        <v>248</v>
      </c>
      <c r="CE1476" s="2" t="s">
        <v>235</v>
      </c>
      <c r="CF1476" s="4">
        <v>3</v>
      </c>
      <c r="CG1476" s="4">
        <v>96</v>
      </c>
      <c r="CH1476" s="4"/>
      <c r="CI1476" s="4">
        <v>86</v>
      </c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>
        <v>185</v>
      </c>
      <c r="GE1476" s="4">
        <v>164</v>
      </c>
      <c r="GF1476" s="4">
        <v>160</v>
      </c>
      <c r="GG1476" s="4">
        <v>155</v>
      </c>
      <c r="GH1476" s="4">
        <v>151</v>
      </c>
      <c r="GI1476" s="4">
        <v>144</v>
      </c>
      <c r="GJ1476" s="4">
        <v>135</v>
      </c>
      <c r="GK1476" s="4">
        <v>126</v>
      </c>
      <c r="GL1476" s="4">
        <v>118</v>
      </c>
      <c r="GM1476" s="4">
        <v>111</v>
      </c>
      <c r="GN1476" s="4">
        <v>103</v>
      </c>
      <c r="GO1476" s="4">
        <v>94</v>
      </c>
      <c r="GP1476" s="4">
        <v>83</v>
      </c>
      <c r="GQ1476" s="4">
        <v>63</v>
      </c>
      <c r="GR1476" s="4">
        <v>55</v>
      </c>
      <c r="GS1476" s="4">
        <v>46</v>
      </c>
      <c r="GT1476" s="4">
        <v>40</v>
      </c>
      <c r="GU1476" s="4">
        <v>36</v>
      </c>
      <c r="GV1476" s="4">
        <v>31</v>
      </c>
      <c r="GW1476" s="4">
        <v>61</v>
      </c>
      <c r="GX1476" s="4">
        <v>57</v>
      </c>
      <c r="GY1476" s="4">
        <v>53</v>
      </c>
      <c r="GZ1476" s="4">
        <v>50</v>
      </c>
      <c r="HA1476" s="4">
        <v>47</v>
      </c>
      <c r="HB1476" s="4">
        <v>44</v>
      </c>
      <c r="HC1476" s="4">
        <v>41</v>
      </c>
      <c r="HD1476" s="19">
        <v>23.1</v>
      </c>
      <c r="HE1476" s="19">
        <v>32.8</v>
      </c>
      <c r="HF1476" s="19">
        <v>26.7</v>
      </c>
      <c r="HG1476" s="19">
        <v>22.1</v>
      </c>
      <c r="HH1476" s="19">
        <v>18.9</v>
      </c>
      <c r="HI1476" s="19">
        <v>18</v>
      </c>
      <c r="HJ1476" s="19">
        <v>16.9</v>
      </c>
      <c r="HK1476" s="19">
        <v>15.8</v>
      </c>
      <c r="HL1476" s="19">
        <v>13.1</v>
      </c>
      <c r="HM1476" s="19">
        <v>9.3</v>
      </c>
      <c r="HN1476" s="19">
        <v>8.6</v>
      </c>
      <c r="HO1476" s="19">
        <v>7.8</v>
      </c>
      <c r="HP1476" s="19">
        <v>7.5</v>
      </c>
      <c r="HQ1476" s="19">
        <v>9</v>
      </c>
      <c r="HR1476" s="19">
        <v>9.2</v>
      </c>
      <c r="HS1476" s="19">
        <v>11.5</v>
      </c>
      <c r="HT1476" s="19">
        <v>10</v>
      </c>
      <c r="HU1476" s="19">
        <v>9</v>
      </c>
      <c r="HV1476" s="19">
        <v>7.8</v>
      </c>
      <c r="HW1476" s="19">
        <v>15.3</v>
      </c>
      <c r="HX1476" s="19">
        <v>19</v>
      </c>
      <c r="HY1476" s="19">
        <v>17.7</v>
      </c>
      <c r="HZ1476" s="19">
        <v>16.7</v>
      </c>
      <c r="IA1476" s="19">
        <v>15.7</v>
      </c>
      <c r="IB1476" s="19">
        <v>22</v>
      </c>
      <c r="IC1476" s="19">
        <v>20.5</v>
      </c>
    </row>
    <row r="1477">
      <c r="A1477" s="2" t="s">
        <v>5596</v>
      </c>
      <c r="B1477" s="2" t="s">
        <v>323</v>
      </c>
      <c r="C1477" s="2" t="s">
        <v>1036</v>
      </c>
      <c r="D1477" s="2" t="s">
        <v>257</v>
      </c>
      <c r="E1477" s="2" t="s">
        <v>258</v>
      </c>
      <c r="F1477" s="2" t="s">
        <v>5508</v>
      </c>
      <c r="G1477" s="2" t="s">
        <v>5508</v>
      </c>
      <c r="H1477" s="2" t="s">
        <v>5508</v>
      </c>
      <c r="I1477" s="2" t="s">
        <v>405</v>
      </c>
      <c r="J1477" s="2" t="s">
        <v>394</v>
      </c>
      <c r="K1477" s="2" t="s">
        <v>542</v>
      </c>
      <c r="L1477" s="3">
        <v>23.82</v>
      </c>
      <c r="M1477" s="3">
        <v>25.01</v>
      </c>
      <c r="N1477" s="3">
        <v>49.99</v>
      </c>
      <c r="O1477" s="2" t="s">
        <v>232</v>
      </c>
      <c r="P1477" s="2" t="s">
        <v>233</v>
      </c>
      <c r="Q1477" s="2" t="s">
        <v>234</v>
      </c>
      <c r="R1477" s="2" t="s">
        <v>235</v>
      </c>
      <c r="S1477" s="2" t="s">
        <v>5597</v>
      </c>
      <c r="T1477" s="2" t="s">
        <v>587</v>
      </c>
      <c r="U1477" s="2" t="s">
        <v>552</v>
      </c>
      <c r="V1477" s="2" t="s">
        <v>238</v>
      </c>
      <c r="W1477" s="2" t="s">
        <v>239</v>
      </c>
      <c r="X1477" s="2" t="s">
        <v>682</v>
      </c>
      <c r="Y1477" s="2" t="s">
        <v>240</v>
      </c>
      <c r="Z1477" s="4">
        <v>147</v>
      </c>
      <c r="AA1477" s="4">
        <f>=ROUNDDOWN(18.375,0)</f>
      </c>
      <c r="AB1477" s="5">
        <v>8</v>
      </c>
      <c r="AC1477" s="2" t="s">
        <v>266</v>
      </c>
      <c r="AD1477" s="4">
        <v>50</v>
      </c>
      <c r="AE1477" s="4">
        <v>50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235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235</v>
      </c>
      <c r="AW1477" s="8" t="s">
        <v>235</v>
      </c>
      <c r="AX1477" s="4" t="s">
        <v>235</v>
      </c>
      <c r="AY1477" s="8" t="s">
        <v>235</v>
      </c>
      <c r="AZ1477" s="7" t="s">
        <v>235</v>
      </c>
      <c r="BA1477" s="7" t="s">
        <v>235</v>
      </c>
      <c r="BB1477" s="7"/>
      <c r="BC1477" s="4" t="s">
        <v>235</v>
      </c>
      <c r="BD1477" s="8" t="s">
        <v>235</v>
      </c>
      <c r="BE1477" s="4" t="s">
        <v>235</v>
      </c>
      <c r="BF1477" s="8" t="s">
        <v>235</v>
      </c>
      <c r="BG1477" s="7" t="s">
        <v>235</v>
      </c>
      <c r="BH1477" s="7" t="s">
        <v>235</v>
      </c>
      <c r="BI1477" s="7"/>
      <c r="BJ1477" s="4">
        <v>11</v>
      </c>
      <c r="BK1477" s="8">
        <v>268.89</v>
      </c>
      <c r="BL1477" s="2" t="s">
        <v>5594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5510</v>
      </c>
      <c r="BV1477" s="2" t="s">
        <v>243</v>
      </c>
      <c r="BW1477" s="2" t="s">
        <v>235</v>
      </c>
      <c r="BX1477" s="2" t="s">
        <v>383</v>
      </c>
      <c r="BY1477" s="2" t="s">
        <v>245</v>
      </c>
      <c r="BZ1477" s="2" t="s">
        <v>232</v>
      </c>
      <c r="CA1477" s="2" t="s">
        <v>252</v>
      </c>
      <c r="CB1477" s="2" t="s">
        <v>5598</v>
      </c>
      <c r="CC1477" s="2" t="s">
        <v>248</v>
      </c>
      <c r="CD1477" s="2" t="s">
        <v>248</v>
      </c>
      <c r="CE1477" s="2" t="s">
        <v>235</v>
      </c>
      <c r="CF1477" s="4">
        <v>47</v>
      </c>
      <c r="CG1477" s="4">
        <v>3</v>
      </c>
      <c r="CH1477" s="4"/>
      <c r="CI1477" s="4">
        <v>97</v>
      </c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>
        <v>50</v>
      </c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>
        <v>148</v>
      </c>
      <c r="GE1477" s="4">
        <v>169</v>
      </c>
      <c r="GF1477" s="4">
        <v>162</v>
      </c>
      <c r="GG1477" s="4">
        <v>153</v>
      </c>
      <c r="GH1477" s="4">
        <v>146</v>
      </c>
      <c r="GI1477" s="4">
        <v>135</v>
      </c>
      <c r="GJ1477" s="4">
        <v>121</v>
      </c>
      <c r="GK1477" s="4">
        <v>107</v>
      </c>
      <c r="GL1477" s="4">
        <v>93</v>
      </c>
      <c r="GM1477" s="4">
        <v>80</v>
      </c>
      <c r="GN1477" s="4">
        <v>70</v>
      </c>
      <c r="GO1477" s="4">
        <v>62</v>
      </c>
      <c r="GP1477" s="4">
        <v>53</v>
      </c>
      <c r="GQ1477" s="4">
        <v>38</v>
      </c>
      <c r="GR1477" s="4">
        <v>31</v>
      </c>
      <c r="GS1477" s="4">
        <v>23</v>
      </c>
      <c r="GT1477" s="4">
        <v>18</v>
      </c>
      <c r="GU1477" s="4">
        <v>14</v>
      </c>
      <c r="GV1477" s="4">
        <v>9</v>
      </c>
      <c r="GW1477" s="4">
        <v>66</v>
      </c>
      <c r="GX1477" s="4">
        <v>62</v>
      </c>
      <c r="GY1477" s="4">
        <v>58</v>
      </c>
      <c r="GZ1477" s="4">
        <v>55</v>
      </c>
      <c r="HA1477" s="4">
        <v>51</v>
      </c>
      <c r="HB1477" s="4">
        <v>48</v>
      </c>
      <c r="HC1477" s="4">
        <v>45</v>
      </c>
      <c r="HD1477" s="19">
        <v>11.4</v>
      </c>
      <c r="HE1477" s="19">
        <v>21.1</v>
      </c>
      <c r="HF1477" s="19">
        <v>16.2</v>
      </c>
      <c r="HG1477" s="19">
        <v>12.8</v>
      </c>
      <c r="HH1477" s="19">
        <v>11.2</v>
      </c>
      <c r="HI1477" s="19">
        <v>9.6</v>
      </c>
      <c r="HJ1477" s="19">
        <v>9.3</v>
      </c>
      <c r="HK1477" s="19">
        <v>9.7</v>
      </c>
      <c r="HL1477" s="19">
        <v>9.3</v>
      </c>
      <c r="HM1477" s="19">
        <v>8</v>
      </c>
      <c r="HN1477" s="19">
        <v>7</v>
      </c>
      <c r="HO1477" s="19">
        <v>6.2</v>
      </c>
      <c r="HP1477" s="19">
        <v>5.9</v>
      </c>
      <c r="HQ1477" s="19">
        <v>6.3</v>
      </c>
      <c r="HR1477" s="19">
        <v>5.2</v>
      </c>
      <c r="HS1477" s="19">
        <v>5.8</v>
      </c>
      <c r="HT1477" s="19">
        <v>4.5</v>
      </c>
      <c r="HU1477" s="19">
        <v>3.5</v>
      </c>
      <c r="HV1477" s="19">
        <v>2.3</v>
      </c>
      <c r="HW1477" s="19">
        <v>16.5</v>
      </c>
      <c r="HX1477" s="19">
        <v>15.5</v>
      </c>
      <c r="HY1477" s="19">
        <v>19.3</v>
      </c>
      <c r="HZ1477" s="19">
        <v>18.3</v>
      </c>
      <c r="IA1477" s="19">
        <v>17</v>
      </c>
      <c r="IB1477" s="19">
        <v>24</v>
      </c>
      <c r="IC1477" s="19">
        <v>22.5</v>
      </c>
    </row>
    <row r="1478">
      <c r="A1478" s="2" t="s">
        <v>5599</v>
      </c>
      <c r="B1478" s="2" t="s">
        <v>323</v>
      </c>
      <c r="C1478" s="2" t="s">
        <v>1036</v>
      </c>
      <c r="D1478" s="2" t="s">
        <v>257</v>
      </c>
      <c r="E1478" s="2" t="s">
        <v>258</v>
      </c>
      <c r="F1478" s="2" t="s">
        <v>5508</v>
      </c>
      <c r="G1478" s="2" t="s">
        <v>5508</v>
      </c>
      <c r="H1478" s="2" t="s">
        <v>5508</v>
      </c>
      <c r="I1478" s="2" t="s">
        <v>405</v>
      </c>
      <c r="J1478" s="2" t="s">
        <v>230</v>
      </c>
      <c r="K1478" s="2" t="s">
        <v>542</v>
      </c>
      <c r="L1478" s="3">
        <v>25.3</v>
      </c>
      <c r="M1478" s="3">
        <v>26.56</v>
      </c>
      <c r="N1478" s="3">
        <v>53.99</v>
      </c>
      <c r="O1478" s="2" t="s">
        <v>232</v>
      </c>
      <c r="P1478" s="2" t="s">
        <v>233</v>
      </c>
      <c r="Q1478" s="2" t="s">
        <v>234</v>
      </c>
      <c r="R1478" s="2" t="s">
        <v>235</v>
      </c>
      <c r="S1478" s="2" t="s">
        <v>5597</v>
      </c>
      <c r="T1478" s="2" t="s">
        <v>587</v>
      </c>
      <c r="U1478" s="2" t="s">
        <v>552</v>
      </c>
      <c r="V1478" s="2" t="s">
        <v>238</v>
      </c>
      <c r="W1478" s="2" t="s">
        <v>239</v>
      </c>
      <c r="X1478" s="2" t="s">
        <v>682</v>
      </c>
      <c r="Y1478" s="2" t="s">
        <v>240</v>
      </c>
      <c r="Z1478" s="4">
        <v>76</v>
      </c>
      <c r="AA1478" s="4">
        <f>=ROUNDDOWN(12.6666666666667,0)</f>
      </c>
      <c r="AB1478" s="5">
        <v>6</v>
      </c>
      <c r="AC1478" s="2" t="s">
        <v>266</v>
      </c>
      <c r="AD1478" s="4">
        <v>80</v>
      </c>
      <c r="AE1478" s="4">
        <v>80</v>
      </c>
      <c r="AF1478" s="6">
        <v>65</v>
      </c>
      <c r="AG1478" s="6"/>
      <c r="AH1478" s="7">
        <v>0.3871</v>
      </c>
      <c r="AI1478" s="4"/>
      <c r="AJ1478" s="4">
        <f>=ROUNDDOWN({0},0)</f>
      </c>
      <c r="AK1478" s="5"/>
      <c r="AL1478" s="2" t="s">
        <v>235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235</v>
      </c>
      <c r="AW1478" s="8" t="s">
        <v>235</v>
      </c>
      <c r="AX1478" s="4" t="s">
        <v>235</v>
      </c>
      <c r="AY1478" s="8" t="s">
        <v>235</v>
      </c>
      <c r="AZ1478" s="7" t="s">
        <v>235</v>
      </c>
      <c r="BA1478" s="7" t="s">
        <v>235</v>
      </c>
      <c r="BB1478" s="7"/>
      <c r="BC1478" s="4" t="s">
        <v>235</v>
      </c>
      <c r="BD1478" s="8" t="s">
        <v>235</v>
      </c>
      <c r="BE1478" s="4" t="s">
        <v>235</v>
      </c>
      <c r="BF1478" s="8" t="s">
        <v>235</v>
      </c>
      <c r="BG1478" s="7" t="s">
        <v>235</v>
      </c>
      <c r="BH1478" s="7" t="s">
        <v>235</v>
      </c>
      <c r="BI1478" s="7"/>
      <c r="BJ1478" s="4">
        <v>6</v>
      </c>
      <c r="BK1478" s="8">
        <v>155.12</v>
      </c>
      <c r="BL1478" s="2" t="s">
        <v>4335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5510</v>
      </c>
      <c r="BV1478" s="2" t="s">
        <v>243</v>
      </c>
      <c r="BW1478" s="2" t="s">
        <v>235</v>
      </c>
      <c r="BX1478" s="2" t="s">
        <v>383</v>
      </c>
      <c r="BY1478" s="2" t="s">
        <v>245</v>
      </c>
      <c r="BZ1478" s="2" t="s">
        <v>232</v>
      </c>
      <c r="CA1478" s="2" t="s">
        <v>1337</v>
      </c>
      <c r="CB1478" s="2" t="s">
        <v>5600</v>
      </c>
      <c r="CC1478" s="2" t="s">
        <v>248</v>
      </c>
      <c r="CD1478" s="2" t="s">
        <v>248</v>
      </c>
      <c r="CE1478" s="2" t="s">
        <v>235</v>
      </c>
      <c r="CF1478" s="4"/>
      <c r="CG1478" s="4"/>
      <c r="CH1478" s="4"/>
      <c r="CI1478" s="4">
        <v>76</v>
      </c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>
        <v>80</v>
      </c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>
        <v>79</v>
      </c>
      <c r="GE1478" s="4">
        <v>154</v>
      </c>
      <c r="GF1478" s="4">
        <v>150</v>
      </c>
      <c r="GG1478" s="4">
        <v>144</v>
      </c>
      <c r="GH1478" s="4">
        <v>139</v>
      </c>
      <c r="GI1478" s="4">
        <v>133</v>
      </c>
      <c r="GJ1478" s="4">
        <v>124</v>
      </c>
      <c r="GK1478" s="4">
        <v>115</v>
      </c>
      <c r="GL1478" s="4">
        <v>107</v>
      </c>
      <c r="GM1478" s="4">
        <v>100</v>
      </c>
      <c r="GN1478" s="4">
        <v>93</v>
      </c>
      <c r="GO1478" s="4">
        <v>84</v>
      </c>
      <c r="GP1478" s="4">
        <v>73</v>
      </c>
      <c r="GQ1478" s="4">
        <v>56</v>
      </c>
      <c r="GR1478" s="4">
        <v>49</v>
      </c>
      <c r="GS1478" s="4">
        <v>40</v>
      </c>
      <c r="GT1478" s="4">
        <v>35</v>
      </c>
      <c r="GU1478" s="4">
        <v>32</v>
      </c>
      <c r="GV1478" s="4">
        <v>29</v>
      </c>
      <c r="GW1478" s="4">
        <v>56</v>
      </c>
      <c r="GX1478" s="4">
        <v>54</v>
      </c>
      <c r="GY1478" s="4">
        <v>52</v>
      </c>
      <c r="GZ1478" s="4">
        <v>50</v>
      </c>
      <c r="HA1478" s="4">
        <v>48</v>
      </c>
      <c r="HB1478" s="4">
        <v>46</v>
      </c>
      <c r="HC1478" s="4">
        <v>44</v>
      </c>
      <c r="HD1478" s="19">
        <v>15.8</v>
      </c>
      <c r="HE1478" s="19">
        <v>30.8</v>
      </c>
      <c r="HF1478" s="19">
        <v>25</v>
      </c>
      <c r="HG1478" s="19">
        <v>20.6</v>
      </c>
      <c r="HH1478" s="19">
        <v>17.4</v>
      </c>
      <c r="HI1478" s="19">
        <v>16.6</v>
      </c>
      <c r="HJ1478" s="19">
        <v>15.5</v>
      </c>
      <c r="HK1478" s="19">
        <v>14.4</v>
      </c>
      <c r="HL1478" s="19">
        <v>13.4</v>
      </c>
      <c r="HM1478" s="19">
        <v>9.1</v>
      </c>
      <c r="HN1478" s="19">
        <v>8.5</v>
      </c>
      <c r="HO1478" s="19">
        <v>7.6</v>
      </c>
      <c r="HP1478" s="19">
        <v>7.3</v>
      </c>
      <c r="HQ1478" s="19">
        <v>9.3</v>
      </c>
      <c r="HR1478" s="19">
        <v>9.8</v>
      </c>
      <c r="HS1478" s="19">
        <v>13.3</v>
      </c>
      <c r="HT1478" s="19">
        <v>17.5</v>
      </c>
      <c r="HU1478" s="19">
        <v>16</v>
      </c>
      <c r="HV1478" s="19">
        <v>14.5</v>
      </c>
      <c r="HW1478" s="19">
        <v>28</v>
      </c>
      <c r="HX1478" s="19">
        <v>27</v>
      </c>
      <c r="HY1478" s="19">
        <v>26</v>
      </c>
      <c r="HZ1478" s="19">
        <v>25</v>
      </c>
      <c r="IA1478" s="19">
        <v>24</v>
      </c>
      <c r="IB1478" s="19">
        <v>23</v>
      </c>
      <c r="IC1478" s="19">
        <v>22</v>
      </c>
    </row>
    <row r="1479">
      <c r="A1479" s="2" t="s">
        <v>5601</v>
      </c>
      <c r="B1479" s="2" t="s">
        <v>323</v>
      </c>
      <c r="C1479" s="2" t="s">
        <v>1036</v>
      </c>
      <c r="D1479" s="2" t="s">
        <v>257</v>
      </c>
      <c r="E1479" s="2" t="s">
        <v>258</v>
      </c>
      <c r="F1479" s="2" t="s">
        <v>5508</v>
      </c>
      <c r="G1479" s="2" t="s">
        <v>5508</v>
      </c>
      <c r="H1479" s="2" t="s">
        <v>5508</v>
      </c>
      <c r="I1479" s="2" t="s">
        <v>405</v>
      </c>
      <c r="J1479" s="2" t="s">
        <v>250</v>
      </c>
      <c r="K1479" s="2" t="s">
        <v>542</v>
      </c>
      <c r="L1479" s="3">
        <v>28.05</v>
      </c>
      <c r="M1479" s="3">
        <v>29.45</v>
      </c>
      <c r="N1479" s="3">
        <v>59.99</v>
      </c>
      <c r="O1479" s="2" t="s">
        <v>232</v>
      </c>
      <c r="P1479" s="2" t="s">
        <v>233</v>
      </c>
      <c r="Q1479" s="2" t="s">
        <v>234</v>
      </c>
      <c r="R1479" s="2" t="s">
        <v>235</v>
      </c>
      <c r="S1479" s="2" t="s">
        <v>5597</v>
      </c>
      <c r="T1479" s="2" t="s">
        <v>587</v>
      </c>
      <c r="U1479" s="2" t="s">
        <v>264</v>
      </c>
      <c r="V1479" s="2" t="s">
        <v>238</v>
      </c>
      <c r="W1479" s="2" t="s">
        <v>239</v>
      </c>
      <c r="X1479" s="2" t="s">
        <v>682</v>
      </c>
      <c r="Y1479" s="2" t="s">
        <v>240</v>
      </c>
      <c r="Z1479" s="4">
        <v>188</v>
      </c>
      <c r="AA1479" s="4">
        <f>=ROUNDDOWN(20.8888888888889,0)</f>
      </c>
      <c r="AB1479" s="5">
        <v>9</v>
      </c>
      <c r="AC1479" s="2" t="s">
        <v>266</v>
      </c>
      <c r="AD1479" s="4">
        <v>70</v>
      </c>
      <c r="AE1479" s="4">
        <v>70</v>
      </c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235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235</v>
      </c>
      <c r="AW1479" s="8" t="s">
        <v>235</v>
      </c>
      <c r="AX1479" s="4" t="s">
        <v>235</v>
      </c>
      <c r="AY1479" s="8" t="s">
        <v>235</v>
      </c>
      <c r="AZ1479" s="7" t="s">
        <v>235</v>
      </c>
      <c r="BA1479" s="7" t="s">
        <v>235</v>
      </c>
      <c r="BB1479" s="7"/>
      <c r="BC1479" s="4" t="s">
        <v>235</v>
      </c>
      <c r="BD1479" s="8" t="s">
        <v>235</v>
      </c>
      <c r="BE1479" s="4" t="s">
        <v>235</v>
      </c>
      <c r="BF1479" s="8" t="s">
        <v>235</v>
      </c>
      <c r="BG1479" s="7" t="s">
        <v>235</v>
      </c>
      <c r="BH1479" s="7" t="s">
        <v>235</v>
      </c>
      <c r="BI1479" s="7"/>
      <c r="BJ1479" s="4">
        <v>16</v>
      </c>
      <c r="BK1479" s="8">
        <v>478</v>
      </c>
      <c r="BL1479" s="2" t="s">
        <v>5602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5510</v>
      </c>
      <c r="BV1479" s="2" t="s">
        <v>243</v>
      </c>
      <c r="BW1479" s="2" t="s">
        <v>235</v>
      </c>
      <c r="BX1479" s="2" t="s">
        <v>383</v>
      </c>
      <c r="BY1479" s="2" t="s">
        <v>245</v>
      </c>
      <c r="BZ1479" s="2" t="s">
        <v>232</v>
      </c>
      <c r="CA1479" s="2" t="s">
        <v>252</v>
      </c>
      <c r="CB1479" s="2" t="s">
        <v>547</v>
      </c>
      <c r="CC1479" s="2" t="s">
        <v>248</v>
      </c>
      <c r="CD1479" s="2" t="s">
        <v>248</v>
      </c>
      <c r="CE1479" s="2" t="s">
        <v>235</v>
      </c>
      <c r="CF1479" s="4">
        <v>49</v>
      </c>
      <c r="CG1479" s="4">
        <v>2</v>
      </c>
      <c r="CH1479" s="4"/>
      <c r="CI1479" s="4">
        <v>137</v>
      </c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>
        <v>70</v>
      </c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>
        <v>189</v>
      </c>
      <c r="GE1479" s="4">
        <v>241</v>
      </c>
      <c r="GF1479" s="4">
        <v>233</v>
      </c>
      <c r="GG1479" s="4">
        <v>223</v>
      </c>
      <c r="GH1479" s="4">
        <v>215</v>
      </c>
      <c r="GI1479" s="4">
        <v>204</v>
      </c>
      <c r="GJ1479" s="4">
        <v>189</v>
      </c>
      <c r="GK1479" s="4">
        <v>174</v>
      </c>
      <c r="GL1479" s="4">
        <v>161</v>
      </c>
      <c r="GM1479" s="4">
        <v>148</v>
      </c>
      <c r="GN1479" s="4">
        <v>135</v>
      </c>
      <c r="GO1479" s="4">
        <v>121</v>
      </c>
      <c r="GP1479" s="4">
        <v>105</v>
      </c>
      <c r="GQ1479" s="4">
        <v>78</v>
      </c>
      <c r="GR1479" s="4">
        <v>66</v>
      </c>
      <c r="GS1479" s="4">
        <v>52</v>
      </c>
      <c r="GT1479" s="4">
        <v>44</v>
      </c>
      <c r="GU1479" s="4">
        <v>38</v>
      </c>
      <c r="GV1479" s="4">
        <v>31</v>
      </c>
      <c r="GW1479" s="4">
        <v>79</v>
      </c>
      <c r="GX1479" s="4">
        <v>74</v>
      </c>
      <c r="GY1479" s="4">
        <v>69</v>
      </c>
      <c r="GZ1479" s="4">
        <v>65</v>
      </c>
      <c r="HA1479" s="4">
        <v>61</v>
      </c>
      <c r="HB1479" s="4">
        <v>58</v>
      </c>
      <c r="HC1479" s="4">
        <v>55</v>
      </c>
      <c r="HD1479" s="19">
        <v>17.2</v>
      </c>
      <c r="HE1479" s="19">
        <v>26.8</v>
      </c>
      <c r="HF1479" s="19">
        <v>21.2</v>
      </c>
      <c r="HG1479" s="19">
        <v>18.6</v>
      </c>
      <c r="HH1479" s="19">
        <v>15.4</v>
      </c>
      <c r="HI1479" s="19">
        <v>14.6</v>
      </c>
      <c r="HJ1479" s="19">
        <v>13.5</v>
      </c>
      <c r="HK1479" s="19">
        <v>13.4</v>
      </c>
      <c r="HL1479" s="19">
        <v>11.5</v>
      </c>
      <c r="HM1479" s="19">
        <v>8.2</v>
      </c>
      <c r="HN1479" s="19">
        <v>7.9</v>
      </c>
      <c r="HO1479" s="19">
        <v>7.1</v>
      </c>
      <c r="HP1479" s="19">
        <v>7</v>
      </c>
      <c r="HQ1479" s="19">
        <v>7.8</v>
      </c>
      <c r="HR1479" s="19">
        <v>7.3</v>
      </c>
      <c r="HS1479" s="19">
        <v>8.7</v>
      </c>
      <c r="HT1479" s="19">
        <v>7.3</v>
      </c>
      <c r="HU1479" s="19">
        <v>6.3</v>
      </c>
      <c r="HV1479" s="19">
        <v>6.2</v>
      </c>
      <c r="HW1479" s="19">
        <v>19.8</v>
      </c>
      <c r="HX1479" s="19">
        <v>18.5</v>
      </c>
      <c r="HY1479" s="19">
        <v>17.3</v>
      </c>
      <c r="HZ1479" s="19">
        <v>21.7</v>
      </c>
      <c r="IA1479" s="19">
        <v>20.3</v>
      </c>
      <c r="IB1479" s="19">
        <v>19.3</v>
      </c>
      <c r="IC1479" s="19">
        <v>18.3</v>
      </c>
    </row>
    <row r="1480">
      <c r="A1480" s="2" t="s">
        <v>5603</v>
      </c>
      <c r="B1480" s="2" t="s">
        <v>323</v>
      </c>
      <c r="C1480" s="2" t="s">
        <v>1036</v>
      </c>
      <c r="D1480" s="2" t="s">
        <v>257</v>
      </c>
      <c r="E1480" s="2" t="s">
        <v>258</v>
      </c>
      <c r="F1480" s="2" t="s">
        <v>5508</v>
      </c>
      <c r="G1480" s="2" t="s">
        <v>5508</v>
      </c>
      <c r="H1480" s="2" t="s">
        <v>5508</v>
      </c>
      <c r="I1480" s="2" t="s">
        <v>405</v>
      </c>
      <c r="J1480" s="2" t="s">
        <v>270</v>
      </c>
      <c r="K1480" s="2" t="s">
        <v>542</v>
      </c>
      <c r="L1480" s="3">
        <v>34.85</v>
      </c>
      <c r="M1480" s="3">
        <v>36.59</v>
      </c>
      <c r="N1480" s="3">
        <v>74.99</v>
      </c>
      <c r="O1480" s="2" t="s">
        <v>232</v>
      </c>
      <c r="P1480" s="2" t="s">
        <v>233</v>
      </c>
      <c r="Q1480" s="2" t="s">
        <v>234</v>
      </c>
      <c r="R1480" s="2" t="s">
        <v>235</v>
      </c>
      <c r="S1480" s="2" t="s">
        <v>5597</v>
      </c>
      <c r="T1480" s="2" t="s">
        <v>587</v>
      </c>
      <c r="U1480" s="2" t="s">
        <v>264</v>
      </c>
      <c r="V1480" s="2" t="s">
        <v>238</v>
      </c>
      <c r="W1480" s="2" t="s">
        <v>239</v>
      </c>
      <c r="X1480" s="2" t="s">
        <v>682</v>
      </c>
      <c r="Y1480" s="2" t="s">
        <v>240</v>
      </c>
      <c r="Z1480" s="4">
        <v>353</v>
      </c>
      <c r="AA1480" s="4">
        <f>=ROUNDDOWN(27.1538461538462,0)</f>
      </c>
      <c r="AB1480" s="5">
        <v>13</v>
      </c>
      <c r="AC1480" s="2" t="s">
        <v>235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235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235</v>
      </c>
      <c r="AW1480" s="8" t="s">
        <v>235</v>
      </c>
      <c r="AX1480" s="4" t="s">
        <v>235</v>
      </c>
      <c r="AY1480" s="8" t="s">
        <v>235</v>
      </c>
      <c r="AZ1480" s="7" t="s">
        <v>235</v>
      </c>
      <c r="BA1480" s="7" t="s">
        <v>235</v>
      </c>
      <c r="BB1480" s="7"/>
      <c r="BC1480" s="4" t="s">
        <v>235</v>
      </c>
      <c r="BD1480" s="8" t="s">
        <v>235</v>
      </c>
      <c r="BE1480" s="4" t="s">
        <v>235</v>
      </c>
      <c r="BF1480" s="8" t="s">
        <v>235</v>
      </c>
      <c r="BG1480" s="7" t="s">
        <v>235</v>
      </c>
      <c r="BH1480" s="7" t="s">
        <v>235</v>
      </c>
      <c r="BI1480" s="7"/>
      <c r="BJ1480" s="4">
        <v>6</v>
      </c>
      <c r="BK1480" s="8">
        <v>237.66</v>
      </c>
      <c r="BL1480" s="2" t="s">
        <v>422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5510</v>
      </c>
      <c r="BV1480" s="2" t="s">
        <v>243</v>
      </c>
      <c r="BW1480" s="2" t="s">
        <v>235</v>
      </c>
      <c r="BX1480" s="2" t="s">
        <v>383</v>
      </c>
      <c r="BY1480" s="2" t="s">
        <v>245</v>
      </c>
      <c r="BZ1480" s="2" t="s">
        <v>232</v>
      </c>
      <c r="CA1480" s="2" t="s">
        <v>252</v>
      </c>
      <c r="CB1480" s="2" t="s">
        <v>5604</v>
      </c>
      <c r="CC1480" s="2" t="s">
        <v>248</v>
      </c>
      <c r="CD1480" s="2" t="s">
        <v>248</v>
      </c>
      <c r="CE1480" s="2" t="s">
        <v>235</v>
      </c>
      <c r="CF1480" s="4">
        <v>127</v>
      </c>
      <c r="CG1480" s="4">
        <v>48</v>
      </c>
      <c r="CH1480" s="4"/>
      <c r="CI1480" s="4">
        <v>178</v>
      </c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>
        <v>356</v>
      </c>
      <c r="GE1480" s="4">
        <v>343</v>
      </c>
      <c r="GF1480" s="4">
        <v>335</v>
      </c>
      <c r="GG1480" s="4">
        <v>325</v>
      </c>
      <c r="GH1480" s="4">
        <v>317</v>
      </c>
      <c r="GI1480" s="4">
        <v>306</v>
      </c>
      <c r="GJ1480" s="4">
        <v>288</v>
      </c>
      <c r="GK1480" s="4">
        <v>268</v>
      </c>
      <c r="GL1480" s="4">
        <v>254</v>
      </c>
      <c r="GM1480" s="4">
        <v>241</v>
      </c>
      <c r="GN1480" s="4">
        <v>222</v>
      </c>
      <c r="GO1480" s="4">
        <v>197</v>
      </c>
      <c r="GP1480" s="4">
        <v>166</v>
      </c>
      <c r="GQ1480" s="4">
        <v>111</v>
      </c>
      <c r="GR1480" s="4">
        <v>90</v>
      </c>
      <c r="GS1480" s="4">
        <v>63</v>
      </c>
      <c r="GT1480" s="4">
        <v>48</v>
      </c>
      <c r="GU1480" s="4">
        <v>39</v>
      </c>
      <c r="GV1480" s="4">
        <v>24</v>
      </c>
      <c r="GW1480" s="4">
        <v>143</v>
      </c>
      <c r="GX1480" s="4">
        <v>133</v>
      </c>
      <c r="GY1480" s="4">
        <v>122</v>
      </c>
      <c r="GZ1480" s="4">
        <v>116</v>
      </c>
      <c r="HA1480" s="4">
        <v>110</v>
      </c>
      <c r="HB1480" s="4">
        <v>104</v>
      </c>
      <c r="HC1480" s="4">
        <v>98</v>
      </c>
      <c r="HD1480" s="19">
        <v>35.6</v>
      </c>
      <c r="HE1480" s="19">
        <v>38.1</v>
      </c>
      <c r="HF1480" s="19">
        <v>27.9</v>
      </c>
      <c r="HG1480" s="19">
        <v>23.2</v>
      </c>
      <c r="HH1480" s="19">
        <v>19.8</v>
      </c>
      <c r="HI1480" s="19">
        <v>19.1</v>
      </c>
      <c r="HJ1480" s="19">
        <v>18</v>
      </c>
      <c r="HK1480" s="19">
        <v>14.9</v>
      </c>
      <c r="HL1480" s="19">
        <v>11.5</v>
      </c>
      <c r="HM1480" s="19">
        <v>7.5</v>
      </c>
      <c r="HN1480" s="19">
        <v>6.7</v>
      </c>
      <c r="HO1480" s="19">
        <v>5.8</v>
      </c>
      <c r="HP1480" s="19">
        <v>5.5</v>
      </c>
      <c r="HQ1480" s="19">
        <v>6.2</v>
      </c>
      <c r="HR1480" s="19">
        <v>5.6</v>
      </c>
      <c r="HS1480" s="19">
        <v>5.3</v>
      </c>
      <c r="HT1480" s="19">
        <v>4.4</v>
      </c>
      <c r="HU1480" s="19">
        <v>3.5</v>
      </c>
      <c r="HV1480" s="19">
        <v>2.7</v>
      </c>
      <c r="HW1480" s="19">
        <v>17.9</v>
      </c>
      <c r="HX1480" s="19">
        <v>19</v>
      </c>
      <c r="HY1480" s="19">
        <v>20.3</v>
      </c>
      <c r="HZ1480" s="19">
        <v>19.3</v>
      </c>
      <c r="IA1480" s="19">
        <v>18.3</v>
      </c>
      <c r="IB1480" s="19">
        <v>17.3</v>
      </c>
      <c r="IC1480" s="19">
        <v>16.3</v>
      </c>
    </row>
    <row r="1481">
      <c r="A1481" s="2" t="s">
        <v>5605</v>
      </c>
      <c r="B1481" s="2" t="s">
        <v>323</v>
      </c>
      <c r="C1481" s="2" t="s">
        <v>1036</v>
      </c>
      <c r="D1481" s="2" t="s">
        <v>257</v>
      </c>
      <c r="E1481" s="2" t="s">
        <v>258</v>
      </c>
      <c r="F1481" s="2" t="s">
        <v>5508</v>
      </c>
      <c r="G1481" s="2" t="s">
        <v>5508</v>
      </c>
      <c r="H1481" s="2" t="s">
        <v>5508</v>
      </c>
      <c r="I1481" s="2" t="s">
        <v>405</v>
      </c>
      <c r="J1481" s="2" t="s">
        <v>272</v>
      </c>
      <c r="K1481" s="2" t="s">
        <v>542</v>
      </c>
      <c r="L1481" s="3">
        <v>35.4</v>
      </c>
      <c r="M1481" s="3">
        <v>37.17</v>
      </c>
      <c r="N1481" s="3">
        <v>74.99</v>
      </c>
      <c r="O1481" s="2" t="s">
        <v>232</v>
      </c>
      <c r="P1481" s="2" t="s">
        <v>233</v>
      </c>
      <c r="Q1481" s="2" t="s">
        <v>234</v>
      </c>
      <c r="R1481" s="2" t="s">
        <v>235</v>
      </c>
      <c r="S1481" s="2" t="s">
        <v>5597</v>
      </c>
      <c r="T1481" s="2" t="s">
        <v>587</v>
      </c>
      <c r="U1481" s="2" t="s">
        <v>264</v>
      </c>
      <c r="V1481" s="2" t="s">
        <v>238</v>
      </c>
      <c r="W1481" s="2" t="s">
        <v>239</v>
      </c>
      <c r="X1481" s="2" t="s">
        <v>682</v>
      </c>
      <c r="Y1481" s="2" t="s">
        <v>240</v>
      </c>
      <c r="Z1481" s="4">
        <v>258</v>
      </c>
      <c r="AA1481" s="4">
        <f>=ROUNDDOWN(28.6666666666667,0)</f>
      </c>
      <c r="AB1481" s="5">
        <v>9</v>
      </c>
      <c r="AC1481" s="2" t="s">
        <v>235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235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235</v>
      </c>
      <c r="AW1481" s="8" t="s">
        <v>235</v>
      </c>
      <c r="AX1481" s="4" t="s">
        <v>235</v>
      </c>
      <c r="AY1481" s="8" t="s">
        <v>235</v>
      </c>
      <c r="AZ1481" s="7" t="s">
        <v>235</v>
      </c>
      <c r="BA1481" s="7" t="s">
        <v>235</v>
      </c>
      <c r="BB1481" s="7"/>
      <c r="BC1481" s="4" t="s">
        <v>235</v>
      </c>
      <c r="BD1481" s="8" t="s">
        <v>235</v>
      </c>
      <c r="BE1481" s="4" t="s">
        <v>235</v>
      </c>
      <c r="BF1481" s="8" t="s">
        <v>235</v>
      </c>
      <c r="BG1481" s="7" t="s">
        <v>235</v>
      </c>
      <c r="BH1481" s="7" t="s">
        <v>235</v>
      </c>
      <c r="BI1481" s="7"/>
      <c r="BJ1481" s="4">
        <v>6</v>
      </c>
      <c r="BK1481" s="8">
        <v>224.17</v>
      </c>
      <c r="BL1481" s="2" t="s">
        <v>5606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5510</v>
      </c>
      <c r="BV1481" s="2" t="s">
        <v>243</v>
      </c>
      <c r="BW1481" s="2" t="s">
        <v>235</v>
      </c>
      <c r="BX1481" s="2" t="s">
        <v>383</v>
      </c>
      <c r="BY1481" s="2" t="s">
        <v>245</v>
      </c>
      <c r="BZ1481" s="2" t="s">
        <v>232</v>
      </c>
      <c r="CA1481" s="2" t="s">
        <v>1337</v>
      </c>
      <c r="CB1481" s="2" t="s">
        <v>4507</v>
      </c>
      <c r="CC1481" s="2" t="s">
        <v>248</v>
      </c>
      <c r="CD1481" s="2" t="s">
        <v>248</v>
      </c>
      <c r="CE1481" s="2" t="s">
        <v>235</v>
      </c>
      <c r="CF1481" s="4">
        <v>129</v>
      </c>
      <c r="CG1481" s="4">
        <v>3</v>
      </c>
      <c r="CH1481" s="4"/>
      <c r="CI1481" s="4">
        <v>126</v>
      </c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>
        <v>259</v>
      </c>
      <c r="GE1481" s="4">
        <v>233</v>
      </c>
      <c r="GF1481" s="4">
        <v>227</v>
      </c>
      <c r="GG1481" s="4">
        <v>219</v>
      </c>
      <c r="GH1481" s="4">
        <v>213</v>
      </c>
      <c r="GI1481" s="4">
        <v>204</v>
      </c>
      <c r="GJ1481" s="4">
        <v>191</v>
      </c>
      <c r="GK1481" s="4">
        <v>177</v>
      </c>
      <c r="GL1481" s="4">
        <v>165</v>
      </c>
      <c r="GM1481" s="4">
        <v>154</v>
      </c>
      <c r="GN1481" s="4">
        <v>142</v>
      </c>
      <c r="GO1481" s="4">
        <v>127</v>
      </c>
      <c r="GP1481" s="4">
        <v>109</v>
      </c>
      <c r="GQ1481" s="4">
        <v>77</v>
      </c>
      <c r="GR1481" s="4">
        <v>64</v>
      </c>
      <c r="GS1481" s="4">
        <v>48</v>
      </c>
      <c r="GT1481" s="4">
        <v>39</v>
      </c>
      <c r="GU1481" s="4">
        <v>33</v>
      </c>
      <c r="GV1481" s="4">
        <v>25</v>
      </c>
      <c r="GW1481" s="4">
        <v>95</v>
      </c>
      <c r="GX1481" s="4">
        <v>89</v>
      </c>
      <c r="GY1481" s="4">
        <v>83</v>
      </c>
      <c r="GZ1481" s="4">
        <v>79</v>
      </c>
      <c r="HA1481" s="4">
        <v>75</v>
      </c>
      <c r="HB1481" s="4">
        <v>71</v>
      </c>
      <c r="HC1481" s="4">
        <v>67</v>
      </c>
      <c r="HD1481" s="19">
        <v>21.6</v>
      </c>
      <c r="HE1481" s="19">
        <v>33.3</v>
      </c>
      <c r="HF1481" s="19">
        <v>25.2</v>
      </c>
      <c r="HG1481" s="19">
        <v>21.9</v>
      </c>
      <c r="HH1481" s="19">
        <v>17.8</v>
      </c>
      <c r="HI1481" s="19">
        <v>17</v>
      </c>
      <c r="HJ1481" s="19">
        <v>15.9</v>
      </c>
      <c r="HK1481" s="19">
        <v>14.8</v>
      </c>
      <c r="HL1481" s="19">
        <v>11.8</v>
      </c>
      <c r="HM1481" s="19">
        <v>8.1</v>
      </c>
      <c r="HN1481" s="19">
        <v>7.1</v>
      </c>
      <c r="HO1481" s="19">
        <v>6.4</v>
      </c>
      <c r="HP1481" s="19">
        <v>6.1</v>
      </c>
      <c r="HQ1481" s="19">
        <v>7</v>
      </c>
      <c r="HR1481" s="19">
        <v>6.4</v>
      </c>
      <c r="HS1481" s="19">
        <v>6.9</v>
      </c>
      <c r="HT1481" s="19">
        <v>6.5</v>
      </c>
      <c r="HU1481" s="19">
        <v>5.5</v>
      </c>
      <c r="HV1481" s="19">
        <v>5</v>
      </c>
      <c r="HW1481" s="19">
        <v>19</v>
      </c>
      <c r="HX1481" s="19">
        <v>22.3</v>
      </c>
      <c r="HY1481" s="19">
        <v>20.8</v>
      </c>
      <c r="HZ1481" s="19">
        <v>19.8</v>
      </c>
      <c r="IA1481" s="19">
        <v>18.8</v>
      </c>
      <c r="IB1481" s="19">
        <v>17.8</v>
      </c>
      <c r="IC1481" s="19">
        <v>22.3</v>
      </c>
    </row>
    <row r="1482">
      <c r="A1482" s="2" t="s">
        <v>5607</v>
      </c>
      <c r="B1482" s="2" t="s">
        <v>323</v>
      </c>
      <c r="C1482" s="2" t="s">
        <v>1036</v>
      </c>
      <c r="D1482" s="2" t="s">
        <v>257</v>
      </c>
      <c r="E1482" s="2" t="s">
        <v>258</v>
      </c>
      <c r="F1482" s="2" t="s">
        <v>5508</v>
      </c>
      <c r="G1482" s="2" t="s">
        <v>5508</v>
      </c>
      <c r="H1482" s="2" t="s">
        <v>5508</v>
      </c>
      <c r="I1482" s="2" t="s">
        <v>405</v>
      </c>
      <c r="J1482" s="2" t="s">
        <v>394</v>
      </c>
      <c r="K1482" s="2" t="s">
        <v>4557</v>
      </c>
      <c r="L1482" s="3">
        <v>23.82</v>
      </c>
      <c r="M1482" s="3">
        <v>25.01</v>
      </c>
      <c r="N1482" s="3">
        <v>49.99</v>
      </c>
      <c r="O1482" s="2" t="s">
        <v>232</v>
      </c>
      <c r="P1482" s="2" t="s">
        <v>233</v>
      </c>
      <c r="Q1482" s="2" t="s">
        <v>234</v>
      </c>
      <c r="R1482" s="2" t="s">
        <v>235</v>
      </c>
      <c r="S1482" s="2" t="s">
        <v>5608</v>
      </c>
      <c r="T1482" s="2" t="s">
        <v>587</v>
      </c>
      <c r="U1482" s="2" t="s">
        <v>552</v>
      </c>
      <c r="V1482" s="2" t="s">
        <v>238</v>
      </c>
      <c r="W1482" s="2" t="s">
        <v>239</v>
      </c>
      <c r="X1482" s="2" t="s">
        <v>682</v>
      </c>
      <c r="Y1482" s="2" t="s">
        <v>240</v>
      </c>
      <c r="Z1482" s="4">
        <v>431</v>
      </c>
      <c r="AA1482" s="4">
        <f>=ROUNDDOWN(15.962962962963,0)</f>
      </c>
      <c r="AB1482" s="5">
        <v>27</v>
      </c>
      <c r="AC1482" s="2" t="s">
        <v>266</v>
      </c>
      <c r="AD1482" s="4">
        <v>72</v>
      </c>
      <c r="AE1482" s="4">
        <v>72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235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235</v>
      </c>
      <c r="AW1482" s="8" t="s">
        <v>235</v>
      </c>
      <c r="AX1482" s="4" t="s">
        <v>235</v>
      </c>
      <c r="AY1482" s="8" t="s">
        <v>235</v>
      </c>
      <c r="AZ1482" s="7" t="s">
        <v>235</v>
      </c>
      <c r="BA1482" s="7" t="s">
        <v>235</v>
      </c>
      <c r="BB1482" s="7"/>
      <c r="BC1482" s="4" t="s">
        <v>235</v>
      </c>
      <c r="BD1482" s="8" t="s">
        <v>235</v>
      </c>
      <c r="BE1482" s="4" t="s">
        <v>235</v>
      </c>
      <c r="BF1482" s="8" t="s">
        <v>235</v>
      </c>
      <c r="BG1482" s="7" t="s">
        <v>235</v>
      </c>
      <c r="BH1482" s="7" t="s">
        <v>235</v>
      </c>
      <c r="BI1482" s="7"/>
      <c r="BJ1482" s="4">
        <v>2</v>
      </c>
      <c r="BK1482" s="8">
        <v>52.95</v>
      </c>
      <c r="BL1482" s="2" t="s">
        <v>1254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5510</v>
      </c>
      <c r="BV1482" s="2" t="s">
        <v>243</v>
      </c>
      <c r="BW1482" s="2" t="s">
        <v>235</v>
      </c>
      <c r="BX1482" s="2" t="s">
        <v>383</v>
      </c>
      <c r="BY1482" s="2" t="s">
        <v>245</v>
      </c>
      <c r="BZ1482" s="2" t="s">
        <v>232</v>
      </c>
      <c r="CA1482" s="2" t="s">
        <v>252</v>
      </c>
      <c r="CB1482" s="2" t="s">
        <v>5609</v>
      </c>
      <c r="CC1482" s="2" t="s">
        <v>248</v>
      </c>
      <c r="CD1482" s="2" t="s">
        <v>248</v>
      </c>
      <c r="CE1482" s="2" t="s">
        <v>235</v>
      </c>
      <c r="CF1482" s="4"/>
      <c r="CG1482" s="4">
        <v>321</v>
      </c>
      <c r="CH1482" s="4"/>
      <c r="CI1482" s="4">
        <v>110</v>
      </c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>
        <v>72</v>
      </c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>
        <v>431</v>
      </c>
      <c r="GE1482" s="4">
        <v>500</v>
      </c>
      <c r="GF1482" s="4">
        <v>497</v>
      </c>
      <c r="GG1482" s="4">
        <v>494</v>
      </c>
      <c r="GH1482" s="4">
        <v>491</v>
      </c>
      <c r="GI1482" s="4">
        <v>484</v>
      </c>
      <c r="GJ1482" s="4">
        <v>470</v>
      </c>
      <c r="GK1482" s="4">
        <v>450</v>
      </c>
      <c r="GL1482" s="4">
        <v>411</v>
      </c>
      <c r="GM1482" s="4">
        <v>369</v>
      </c>
      <c r="GN1482" s="4">
        <v>337</v>
      </c>
      <c r="GO1482" s="4">
        <v>310</v>
      </c>
      <c r="GP1482" s="4">
        <v>278</v>
      </c>
      <c r="GQ1482" s="4">
        <v>225</v>
      </c>
      <c r="GR1482" s="4">
        <v>202</v>
      </c>
      <c r="GS1482" s="4">
        <v>175</v>
      </c>
      <c r="GT1482" s="4">
        <v>157</v>
      </c>
      <c r="GU1482" s="4">
        <v>144</v>
      </c>
      <c r="GV1482" s="4">
        <v>126</v>
      </c>
      <c r="GW1482" s="4">
        <v>253</v>
      </c>
      <c r="GX1482" s="4">
        <v>240</v>
      </c>
      <c r="GY1482" s="4">
        <v>226</v>
      </c>
      <c r="GZ1482" s="4">
        <v>217</v>
      </c>
      <c r="HA1482" s="4">
        <v>206</v>
      </c>
      <c r="HB1482" s="4">
        <v>197</v>
      </c>
      <c r="HC1482" s="4">
        <v>188</v>
      </c>
      <c r="HD1482" s="19">
        <v>143.7</v>
      </c>
      <c r="HE1482" s="19">
        <v>125</v>
      </c>
      <c r="HF1482" s="19">
        <v>71</v>
      </c>
      <c r="HG1482" s="19">
        <v>44.9</v>
      </c>
      <c r="HH1482" s="19">
        <v>24.6</v>
      </c>
      <c r="HI1482" s="19">
        <v>16.7</v>
      </c>
      <c r="HJ1482" s="19">
        <v>14.2</v>
      </c>
      <c r="HK1482" s="19">
        <v>12.9</v>
      </c>
      <c r="HL1482" s="19">
        <v>12.5</v>
      </c>
      <c r="HM1482" s="19">
        <v>10.3</v>
      </c>
      <c r="HN1482" s="19">
        <v>9.9</v>
      </c>
      <c r="HO1482" s="19">
        <v>9.1</v>
      </c>
      <c r="HP1482" s="19">
        <v>9.3</v>
      </c>
      <c r="HQ1482" s="19">
        <v>11.3</v>
      </c>
      <c r="HR1482" s="19">
        <v>10.6</v>
      </c>
      <c r="HS1482" s="19">
        <v>10.9</v>
      </c>
      <c r="HT1482" s="19">
        <v>11.2</v>
      </c>
      <c r="HU1482" s="19">
        <v>10.3</v>
      </c>
      <c r="HV1482" s="19">
        <v>10.5</v>
      </c>
      <c r="HW1482" s="19">
        <v>21.1</v>
      </c>
      <c r="HX1482" s="19">
        <v>21.8</v>
      </c>
      <c r="HY1482" s="19">
        <v>22.6</v>
      </c>
      <c r="HZ1482" s="19">
        <v>21.7</v>
      </c>
      <c r="IA1482" s="19">
        <v>25.8</v>
      </c>
      <c r="IB1482" s="19">
        <v>24.6</v>
      </c>
      <c r="IC1482" s="19">
        <v>26.9</v>
      </c>
    </row>
    <row r="1483">
      <c r="A1483" s="2" t="s">
        <v>5610</v>
      </c>
      <c r="B1483" s="2" t="s">
        <v>323</v>
      </c>
      <c r="C1483" s="2" t="s">
        <v>1036</v>
      </c>
      <c r="D1483" s="2" t="s">
        <v>257</v>
      </c>
      <c r="E1483" s="2" t="s">
        <v>258</v>
      </c>
      <c r="F1483" s="2" t="s">
        <v>5508</v>
      </c>
      <c r="G1483" s="2" t="s">
        <v>5508</v>
      </c>
      <c r="H1483" s="2" t="s">
        <v>5508</v>
      </c>
      <c r="I1483" s="2" t="s">
        <v>405</v>
      </c>
      <c r="J1483" s="2" t="s">
        <v>230</v>
      </c>
      <c r="K1483" s="2" t="s">
        <v>4557</v>
      </c>
      <c r="L1483" s="3">
        <v>25.3</v>
      </c>
      <c r="M1483" s="3">
        <v>26.56</v>
      </c>
      <c r="N1483" s="3">
        <v>53.99</v>
      </c>
      <c r="O1483" s="2" t="s">
        <v>232</v>
      </c>
      <c r="P1483" s="2" t="s">
        <v>233</v>
      </c>
      <c r="Q1483" s="2" t="s">
        <v>234</v>
      </c>
      <c r="R1483" s="2" t="s">
        <v>235</v>
      </c>
      <c r="S1483" s="2" t="s">
        <v>5608</v>
      </c>
      <c r="T1483" s="2" t="s">
        <v>587</v>
      </c>
      <c r="U1483" s="2" t="s">
        <v>552</v>
      </c>
      <c r="V1483" s="2" t="s">
        <v>238</v>
      </c>
      <c r="W1483" s="2" t="s">
        <v>239</v>
      </c>
      <c r="X1483" s="2" t="s">
        <v>682</v>
      </c>
      <c r="Y1483" s="2" t="s">
        <v>240</v>
      </c>
      <c r="Z1483" s="4">
        <v>222</v>
      </c>
      <c r="AA1483" s="4">
        <f>=ROUNDDOWN(20.1818181818182,0)</f>
      </c>
      <c r="AB1483" s="5">
        <v>11</v>
      </c>
      <c r="AC1483" s="2" t="s">
        <v>266</v>
      </c>
      <c r="AD1483" s="4">
        <v>30</v>
      </c>
      <c r="AE1483" s="4">
        <v>30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235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235</v>
      </c>
      <c r="AW1483" s="8" t="s">
        <v>235</v>
      </c>
      <c r="AX1483" s="4" t="s">
        <v>235</v>
      </c>
      <c r="AY1483" s="8" t="s">
        <v>235</v>
      </c>
      <c r="AZ1483" s="7" t="s">
        <v>235</v>
      </c>
      <c r="BA1483" s="7" t="s">
        <v>235</v>
      </c>
      <c r="BB1483" s="7"/>
      <c r="BC1483" s="4" t="s">
        <v>235</v>
      </c>
      <c r="BD1483" s="8" t="s">
        <v>235</v>
      </c>
      <c r="BE1483" s="4" t="s">
        <v>235</v>
      </c>
      <c r="BF1483" s="8" t="s">
        <v>235</v>
      </c>
      <c r="BG1483" s="7" t="s">
        <v>235</v>
      </c>
      <c r="BH1483" s="7" t="s">
        <v>235</v>
      </c>
      <c r="BI1483" s="7"/>
      <c r="BJ1483" s="4">
        <v>5</v>
      </c>
      <c r="BK1483" s="8">
        <v>132.5</v>
      </c>
      <c r="BL1483" s="2" t="s">
        <v>5611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5510</v>
      </c>
      <c r="BV1483" s="2" t="s">
        <v>243</v>
      </c>
      <c r="BW1483" s="2" t="s">
        <v>235</v>
      </c>
      <c r="BX1483" s="2" t="s">
        <v>383</v>
      </c>
      <c r="BY1483" s="2" t="s">
        <v>245</v>
      </c>
      <c r="BZ1483" s="2" t="s">
        <v>232</v>
      </c>
      <c r="CA1483" s="2" t="s">
        <v>252</v>
      </c>
      <c r="CB1483" s="2" t="s">
        <v>4584</v>
      </c>
      <c r="CC1483" s="2" t="s">
        <v>248</v>
      </c>
      <c r="CD1483" s="2" t="s">
        <v>248</v>
      </c>
      <c r="CE1483" s="2" t="s">
        <v>235</v>
      </c>
      <c r="CF1483" s="4">
        <v>59</v>
      </c>
      <c r="CG1483" s="4">
        <v>163</v>
      </c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>
        <v>30</v>
      </c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>
        <v>226</v>
      </c>
      <c r="GE1483" s="4">
        <v>215</v>
      </c>
      <c r="GF1483" s="4">
        <v>205</v>
      </c>
      <c r="GG1483" s="4">
        <v>194</v>
      </c>
      <c r="GH1483" s="4">
        <v>186</v>
      </c>
      <c r="GI1483" s="4">
        <v>174</v>
      </c>
      <c r="GJ1483" s="4">
        <v>158</v>
      </c>
      <c r="GK1483" s="4">
        <v>142</v>
      </c>
      <c r="GL1483" s="4">
        <v>126</v>
      </c>
      <c r="GM1483" s="4">
        <v>111</v>
      </c>
      <c r="GN1483" s="4">
        <v>100</v>
      </c>
      <c r="GO1483" s="4">
        <v>84</v>
      </c>
      <c r="GP1483" s="4">
        <v>66</v>
      </c>
      <c r="GQ1483" s="4">
        <v>40</v>
      </c>
      <c r="GR1483" s="4">
        <v>27</v>
      </c>
      <c r="GS1483" s="4">
        <v>14</v>
      </c>
      <c r="GT1483" s="4">
        <v>6</v>
      </c>
      <c r="GU1483" s="4"/>
      <c r="GV1483" s="4"/>
      <c r="GW1483" s="4">
        <v>123</v>
      </c>
      <c r="GX1483" s="4">
        <v>114</v>
      </c>
      <c r="GY1483" s="4">
        <v>110</v>
      </c>
      <c r="GZ1483" s="4">
        <v>107</v>
      </c>
      <c r="HA1483" s="4">
        <v>103</v>
      </c>
      <c r="HB1483" s="4">
        <v>100</v>
      </c>
      <c r="HC1483" s="4">
        <v>97</v>
      </c>
      <c r="HD1483" s="19">
        <v>12.6</v>
      </c>
      <c r="HE1483" s="19">
        <v>21.5</v>
      </c>
      <c r="HF1483" s="19">
        <v>17.1</v>
      </c>
      <c r="HG1483" s="19">
        <v>14.9</v>
      </c>
      <c r="HH1483" s="19">
        <v>12.4</v>
      </c>
      <c r="HI1483" s="19">
        <v>10.9</v>
      </c>
      <c r="HJ1483" s="19">
        <v>11.3</v>
      </c>
      <c r="HK1483" s="19">
        <v>10.1</v>
      </c>
      <c r="HL1483" s="19">
        <v>8.4</v>
      </c>
      <c r="HM1483" s="19">
        <v>6.2</v>
      </c>
      <c r="HN1483" s="19">
        <v>5.6</v>
      </c>
      <c r="HO1483" s="19">
        <v>4.7</v>
      </c>
      <c r="HP1483" s="19">
        <v>4.4</v>
      </c>
      <c r="HQ1483" s="19">
        <v>4</v>
      </c>
      <c r="HR1483" s="19">
        <v>3.9</v>
      </c>
      <c r="HS1483" s="19">
        <v>3.5</v>
      </c>
      <c r="HT1483" s="19">
        <v>1.5</v>
      </c>
      <c r="HU1483" s="20">
        <v>0</v>
      </c>
      <c r="HV1483" s="20">
        <v>0</v>
      </c>
      <c r="HW1483" s="19">
        <v>24.6</v>
      </c>
      <c r="HX1483" s="19">
        <v>28.5</v>
      </c>
      <c r="HY1483" s="19">
        <v>36.7</v>
      </c>
      <c r="HZ1483" s="19">
        <v>35.7</v>
      </c>
      <c r="IA1483" s="19">
        <v>34.3</v>
      </c>
      <c r="IB1483" s="19">
        <v>33.3</v>
      </c>
      <c r="IC1483" s="19">
        <v>32.3</v>
      </c>
    </row>
    <row r="1484">
      <c r="A1484" s="2" t="s">
        <v>5612</v>
      </c>
      <c r="B1484" s="2" t="s">
        <v>323</v>
      </c>
      <c r="C1484" s="2" t="s">
        <v>1036</v>
      </c>
      <c r="D1484" s="2" t="s">
        <v>257</v>
      </c>
      <c r="E1484" s="2" t="s">
        <v>258</v>
      </c>
      <c r="F1484" s="2" t="s">
        <v>5508</v>
      </c>
      <c r="G1484" s="2" t="s">
        <v>5508</v>
      </c>
      <c r="H1484" s="2" t="s">
        <v>5508</v>
      </c>
      <c r="I1484" s="2" t="s">
        <v>405</v>
      </c>
      <c r="J1484" s="2" t="s">
        <v>250</v>
      </c>
      <c r="K1484" s="2" t="s">
        <v>4557</v>
      </c>
      <c r="L1484" s="3">
        <v>28.05</v>
      </c>
      <c r="M1484" s="3">
        <v>29.45</v>
      </c>
      <c r="N1484" s="3">
        <v>59.99</v>
      </c>
      <c r="O1484" s="2" t="s">
        <v>232</v>
      </c>
      <c r="P1484" s="2" t="s">
        <v>336</v>
      </c>
      <c r="Q1484" s="2" t="s">
        <v>234</v>
      </c>
      <c r="R1484" s="2" t="s">
        <v>235</v>
      </c>
      <c r="S1484" s="2" t="s">
        <v>5608</v>
      </c>
      <c r="T1484" s="2" t="s">
        <v>587</v>
      </c>
      <c r="U1484" s="2" t="s">
        <v>264</v>
      </c>
      <c r="V1484" s="2" t="s">
        <v>238</v>
      </c>
      <c r="W1484" s="2" t="s">
        <v>239</v>
      </c>
      <c r="X1484" s="2" t="s">
        <v>682</v>
      </c>
      <c r="Y1484" s="2" t="s">
        <v>240</v>
      </c>
      <c r="Z1484" s="4">
        <v>949</v>
      </c>
      <c r="AA1484" s="4">
        <f>=ROUNDDOWN(24.9736842105263,0)</f>
      </c>
      <c r="AB1484" s="5">
        <v>38</v>
      </c>
      <c r="AC1484" s="2" t="s">
        <v>266</v>
      </c>
      <c r="AD1484" s="4">
        <v>240</v>
      </c>
      <c r="AE1484" s="4">
        <v>240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235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235</v>
      </c>
      <c r="AW1484" s="8" t="s">
        <v>235</v>
      </c>
      <c r="AX1484" s="4" t="s">
        <v>235</v>
      </c>
      <c r="AY1484" s="8" t="s">
        <v>235</v>
      </c>
      <c r="AZ1484" s="7" t="s">
        <v>235</v>
      </c>
      <c r="BA1484" s="7" t="s">
        <v>235</v>
      </c>
      <c r="BB1484" s="7"/>
      <c r="BC1484" s="4" t="s">
        <v>235</v>
      </c>
      <c r="BD1484" s="8" t="s">
        <v>235</v>
      </c>
      <c r="BE1484" s="4" t="s">
        <v>235</v>
      </c>
      <c r="BF1484" s="8" t="s">
        <v>235</v>
      </c>
      <c r="BG1484" s="7" t="s">
        <v>235</v>
      </c>
      <c r="BH1484" s="7" t="s">
        <v>235</v>
      </c>
      <c r="BI1484" s="7"/>
      <c r="BJ1484" s="4">
        <v>63</v>
      </c>
      <c r="BK1484" s="8">
        <v>1872.69</v>
      </c>
      <c r="BL1484" s="2" t="s">
        <v>1254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5510</v>
      </c>
      <c r="BV1484" s="2" t="s">
        <v>243</v>
      </c>
      <c r="BW1484" s="2" t="s">
        <v>235</v>
      </c>
      <c r="BX1484" s="2" t="s">
        <v>383</v>
      </c>
      <c r="BY1484" s="2" t="s">
        <v>245</v>
      </c>
      <c r="BZ1484" s="2" t="s">
        <v>232</v>
      </c>
      <c r="CA1484" s="2" t="s">
        <v>252</v>
      </c>
      <c r="CB1484" s="2" t="s">
        <v>5613</v>
      </c>
      <c r="CC1484" s="2" t="s">
        <v>248</v>
      </c>
      <c r="CD1484" s="2" t="s">
        <v>248</v>
      </c>
      <c r="CE1484" s="2" t="s">
        <v>235</v>
      </c>
      <c r="CF1484" s="4">
        <v>253</v>
      </c>
      <c r="CG1484" s="4"/>
      <c r="CH1484" s="4"/>
      <c r="CI1484" s="4">
        <v>696</v>
      </c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>
        <v>240</v>
      </c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>
        <v>974</v>
      </c>
      <c r="GE1484" s="4">
        <v>1165</v>
      </c>
      <c r="GF1484" s="4">
        <v>1127</v>
      </c>
      <c r="GG1484" s="4">
        <v>1073</v>
      </c>
      <c r="GH1484" s="4">
        <v>1035</v>
      </c>
      <c r="GI1484" s="4">
        <v>978</v>
      </c>
      <c r="GJ1484" s="4">
        <v>908</v>
      </c>
      <c r="GK1484" s="4">
        <v>846</v>
      </c>
      <c r="GL1484" s="4">
        <v>778</v>
      </c>
      <c r="GM1484" s="4">
        <v>711</v>
      </c>
      <c r="GN1484" s="4">
        <v>665</v>
      </c>
      <c r="GO1484" s="4">
        <v>625</v>
      </c>
      <c r="GP1484" s="4">
        <v>579</v>
      </c>
      <c r="GQ1484" s="4">
        <v>517</v>
      </c>
      <c r="GR1484" s="4">
        <v>486</v>
      </c>
      <c r="GS1484" s="4">
        <v>454</v>
      </c>
      <c r="GT1484" s="4">
        <v>431</v>
      </c>
      <c r="GU1484" s="4">
        <v>413</v>
      </c>
      <c r="GV1484" s="4">
        <v>393</v>
      </c>
      <c r="GW1484" s="4">
        <v>434</v>
      </c>
      <c r="GX1484" s="4">
        <v>419</v>
      </c>
      <c r="GY1484" s="4">
        <v>404</v>
      </c>
      <c r="GZ1484" s="4">
        <v>392</v>
      </c>
      <c r="HA1484" s="4">
        <v>379</v>
      </c>
      <c r="HB1484" s="4">
        <v>369</v>
      </c>
      <c r="HC1484" s="4">
        <v>359</v>
      </c>
      <c r="HD1484" s="19">
        <v>21.6</v>
      </c>
      <c r="HE1484" s="19">
        <v>24.8</v>
      </c>
      <c r="HF1484" s="19">
        <v>20.5</v>
      </c>
      <c r="HG1484" s="19">
        <v>18.8</v>
      </c>
      <c r="HH1484" s="19">
        <v>16.2</v>
      </c>
      <c r="HI1484" s="19">
        <v>14.6</v>
      </c>
      <c r="HJ1484" s="19">
        <v>14.9</v>
      </c>
      <c r="HK1484" s="19">
        <v>15.4</v>
      </c>
      <c r="HL1484" s="19">
        <v>15.6</v>
      </c>
      <c r="HM1484" s="19">
        <v>14.8</v>
      </c>
      <c r="HN1484" s="19">
        <v>14.8</v>
      </c>
      <c r="HO1484" s="19">
        <v>14.5</v>
      </c>
      <c r="HP1484" s="19">
        <v>15.6</v>
      </c>
      <c r="HQ1484" s="19">
        <v>19.9</v>
      </c>
      <c r="HR1484" s="19">
        <v>21.1</v>
      </c>
      <c r="HS1484" s="19">
        <v>22.7</v>
      </c>
      <c r="HT1484" s="19">
        <v>23.9</v>
      </c>
      <c r="HU1484" s="19">
        <v>24.3</v>
      </c>
      <c r="HV1484" s="19">
        <v>26.2</v>
      </c>
      <c r="HW1484" s="19">
        <v>31</v>
      </c>
      <c r="HX1484" s="19">
        <v>34.9</v>
      </c>
      <c r="HY1484" s="19">
        <v>36.7</v>
      </c>
      <c r="HZ1484" s="19">
        <v>35.6</v>
      </c>
      <c r="IA1484" s="19">
        <v>37.9</v>
      </c>
      <c r="IB1484" s="19">
        <v>36.9</v>
      </c>
      <c r="IC1484" s="19">
        <v>39.9</v>
      </c>
    </row>
    <row r="1485">
      <c r="A1485" s="2" t="s">
        <v>5614</v>
      </c>
      <c r="B1485" s="2" t="s">
        <v>323</v>
      </c>
      <c r="C1485" s="2" t="s">
        <v>1036</v>
      </c>
      <c r="D1485" s="2" t="s">
        <v>257</v>
      </c>
      <c r="E1485" s="2" t="s">
        <v>258</v>
      </c>
      <c r="F1485" s="2" t="s">
        <v>5508</v>
      </c>
      <c r="G1485" s="2" t="s">
        <v>5508</v>
      </c>
      <c r="H1485" s="2" t="s">
        <v>5508</v>
      </c>
      <c r="I1485" s="2" t="s">
        <v>405</v>
      </c>
      <c r="J1485" s="2" t="s">
        <v>270</v>
      </c>
      <c r="K1485" s="2" t="s">
        <v>4557</v>
      </c>
      <c r="L1485" s="3">
        <v>34.85</v>
      </c>
      <c r="M1485" s="3">
        <v>36.59</v>
      </c>
      <c r="N1485" s="3">
        <v>74.99</v>
      </c>
      <c r="O1485" s="2" t="s">
        <v>232</v>
      </c>
      <c r="P1485" s="2" t="s">
        <v>233</v>
      </c>
      <c r="Q1485" s="2" t="s">
        <v>234</v>
      </c>
      <c r="R1485" s="2" t="s">
        <v>235</v>
      </c>
      <c r="S1485" s="2" t="s">
        <v>5608</v>
      </c>
      <c r="T1485" s="2" t="s">
        <v>587</v>
      </c>
      <c r="U1485" s="2" t="s">
        <v>264</v>
      </c>
      <c r="V1485" s="2" t="s">
        <v>238</v>
      </c>
      <c r="W1485" s="2" t="s">
        <v>239</v>
      </c>
      <c r="X1485" s="2" t="s">
        <v>682</v>
      </c>
      <c r="Y1485" s="2" t="s">
        <v>240</v>
      </c>
      <c r="Z1485" s="4">
        <v>564</v>
      </c>
      <c r="AA1485" s="4">
        <f>=ROUNDDOWN(35.25,0)</f>
      </c>
      <c r="AB1485" s="5">
        <v>16</v>
      </c>
      <c r="AC1485" s="2" t="s">
        <v>235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235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235</v>
      </c>
      <c r="AW1485" s="8" t="s">
        <v>235</v>
      </c>
      <c r="AX1485" s="4" t="s">
        <v>235</v>
      </c>
      <c r="AY1485" s="8" t="s">
        <v>235</v>
      </c>
      <c r="AZ1485" s="7" t="s">
        <v>235</v>
      </c>
      <c r="BA1485" s="7" t="s">
        <v>235</v>
      </c>
      <c r="BB1485" s="7"/>
      <c r="BC1485" s="4" t="s">
        <v>235</v>
      </c>
      <c r="BD1485" s="8" t="s">
        <v>235</v>
      </c>
      <c r="BE1485" s="4" t="s">
        <v>235</v>
      </c>
      <c r="BF1485" s="8" t="s">
        <v>235</v>
      </c>
      <c r="BG1485" s="7" t="s">
        <v>235</v>
      </c>
      <c r="BH1485" s="7" t="s">
        <v>235</v>
      </c>
      <c r="BI1485" s="7"/>
      <c r="BJ1485" s="4">
        <v>3</v>
      </c>
      <c r="BK1485" s="8">
        <v>119.14</v>
      </c>
      <c r="BL1485" s="2" t="s">
        <v>5575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5510</v>
      </c>
      <c r="BV1485" s="2" t="s">
        <v>243</v>
      </c>
      <c r="BW1485" s="2" t="s">
        <v>235</v>
      </c>
      <c r="BX1485" s="2" t="s">
        <v>383</v>
      </c>
      <c r="BY1485" s="2" t="s">
        <v>245</v>
      </c>
      <c r="BZ1485" s="2" t="s">
        <v>232</v>
      </c>
      <c r="CA1485" s="2" t="s">
        <v>252</v>
      </c>
      <c r="CB1485" s="2" t="s">
        <v>5615</v>
      </c>
      <c r="CC1485" s="2" t="s">
        <v>248</v>
      </c>
      <c r="CD1485" s="2" t="s">
        <v>248</v>
      </c>
      <c r="CE1485" s="2" t="s">
        <v>235</v>
      </c>
      <c r="CF1485" s="4">
        <v>176</v>
      </c>
      <c r="CG1485" s="4">
        <v>388</v>
      </c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>
        <v>564</v>
      </c>
      <c r="GE1485" s="4">
        <v>535</v>
      </c>
      <c r="GF1485" s="4">
        <v>522</v>
      </c>
      <c r="GG1485" s="4">
        <v>506</v>
      </c>
      <c r="GH1485" s="4">
        <v>494</v>
      </c>
      <c r="GI1485" s="4">
        <v>475</v>
      </c>
      <c r="GJ1485" s="4">
        <v>451</v>
      </c>
      <c r="GK1485" s="4">
        <v>428</v>
      </c>
      <c r="GL1485" s="4">
        <v>406</v>
      </c>
      <c r="GM1485" s="4">
        <v>385</v>
      </c>
      <c r="GN1485" s="4">
        <v>366</v>
      </c>
      <c r="GO1485" s="4">
        <v>344</v>
      </c>
      <c r="GP1485" s="4">
        <v>317</v>
      </c>
      <c r="GQ1485" s="4">
        <v>274</v>
      </c>
      <c r="GR1485" s="4">
        <v>255</v>
      </c>
      <c r="GS1485" s="4">
        <v>234</v>
      </c>
      <c r="GT1485" s="4">
        <v>221</v>
      </c>
      <c r="GU1485" s="4">
        <v>213</v>
      </c>
      <c r="GV1485" s="4">
        <v>200</v>
      </c>
      <c r="GW1485" s="4">
        <v>199</v>
      </c>
      <c r="GX1485" s="4">
        <v>190</v>
      </c>
      <c r="GY1485" s="4">
        <v>180</v>
      </c>
      <c r="GZ1485" s="4">
        <v>173</v>
      </c>
      <c r="HA1485" s="4">
        <v>167</v>
      </c>
      <c r="HB1485" s="4">
        <v>162</v>
      </c>
      <c r="HC1485" s="4">
        <v>157</v>
      </c>
      <c r="HD1485" s="19">
        <v>31.3</v>
      </c>
      <c r="HE1485" s="19">
        <v>35.7</v>
      </c>
      <c r="HF1485" s="19">
        <v>29</v>
      </c>
      <c r="HG1485" s="19">
        <v>25.3</v>
      </c>
      <c r="HH1485" s="19">
        <v>22.5</v>
      </c>
      <c r="HI1485" s="19">
        <v>21.6</v>
      </c>
      <c r="HJ1485" s="19">
        <v>21.5</v>
      </c>
      <c r="HK1485" s="19">
        <v>20.4</v>
      </c>
      <c r="HL1485" s="19">
        <v>18.5</v>
      </c>
      <c r="HM1485" s="19">
        <v>13.8</v>
      </c>
      <c r="HN1485" s="19">
        <v>13.1</v>
      </c>
      <c r="HO1485" s="19">
        <v>12.3</v>
      </c>
      <c r="HP1485" s="19">
        <v>13.2</v>
      </c>
      <c r="HQ1485" s="19">
        <v>18.3</v>
      </c>
      <c r="HR1485" s="19">
        <v>18.2</v>
      </c>
      <c r="HS1485" s="19">
        <v>23.4</v>
      </c>
      <c r="HT1485" s="19">
        <v>22.1</v>
      </c>
      <c r="HU1485" s="19">
        <v>21.3</v>
      </c>
      <c r="HV1485" s="19">
        <v>25</v>
      </c>
      <c r="HW1485" s="19">
        <v>24.9</v>
      </c>
      <c r="HX1485" s="19">
        <v>27.1</v>
      </c>
      <c r="HY1485" s="19">
        <v>30</v>
      </c>
      <c r="HZ1485" s="19">
        <v>34.6</v>
      </c>
      <c r="IA1485" s="19">
        <v>33.4</v>
      </c>
      <c r="IB1485" s="19">
        <v>32.4</v>
      </c>
      <c r="IC1485" s="19">
        <v>31.4</v>
      </c>
    </row>
    <row r="1486">
      <c r="A1486" s="2" t="s">
        <v>5616</v>
      </c>
      <c r="B1486" s="2" t="s">
        <v>323</v>
      </c>
      <c r="C1486" s="2" t="s">
        <v>1036</v>
      </c>
      <c r="D1486" s="2" t="s">
        <v>257</v>
      </c>
      <c r="E1486" s="2" t="s">
        <v>258</v>
      </c>
      <c r="F1486" s="2" t="s">
        <v>5508</v>
      </c>
      <c r="G1486" s="2" t="s">
        <v>5508</v>
      </c>
      <c r="H1486" s="2" t="s">
        <v>5508</v>
      </c>
      <c r="I1486" s="2" t="s">
        <v>405</v>
      </c>
      <c r="J1486" s="2" t="s">
        <v>272</v>
      </c>
      <c r="K1486" s="2" t="s">
        <v>4557</v>
      </c>
      <c r="L1486" s="3">
        <v>35.4</v>
      </c>
      <c r="M1486" s="3">
        <v>37.17</v>
      </c>
      <c r="N1486" s="3">
        <v>74.99</v>
      </c>
      <c r="O1486" s="2" t="s">
        <v>232</v>
      </c>
      <c r="P1486" s="2" t="s">
        <v>233</v>
      </c>
      <c r="Q1486" s="2" t="s">
        <v>234</v>
      </c>
      <c r="R1486" s="2" t="s">
        <v>235</v>
      </c>
      <c r="S1486" s="2" t="s">
        <v>5608</v>
      </c>
      <c r="T1486" s="2" t="s">
        <v>587</v>
      </c>
      <c r="U1486" s="2" t="s">
        <v>264</v>
      </c>
      <c r="V1486" s="2" t="s">
        <v>238</v>
      </c>
      <c r="W1486" s="2" t="s">
        <v>239</v>
      </c>
      <c r="X1486" s="2" t="s">
        <v>682</v>
      </c>
      <c r="Y1486" s="2" t="s">
        <v>240</v>
      </c>
      <c r="Z1486" s="4">
        <v>154</v>
      </c>
      <c r="AA1486" s="4">
        <f>=ROUNDDOWN(30.8,0)</f>
      </c>
      <c r="AB1486" s="5">
        <v>5</v>
      </c>
      <c r="AC1486" s="2" t="s">
        <v>235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235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235</v>
      </c>
      <c r="AW1486" s="8" t="s">
        <v>235</v>
      </c>
      <c r="AX1486" s="4" t="s">
        <v>235</v>
      </c>
      <c r="AY1486" s="8" t="s">
        <v>235</v>
      </c>
      <c r="AZ1486" s="7" t="s">
        <v>235</v>
      </c>
      <c r="BA1486" s="7" t="s">
        <v>235</v>
      </c>
      <c r="BB1486" s="7"/>
      <c r="BC1486" s="4" t="s">
        <v>235</v>
      </c>
      <c r="BD1486" s="8" t="s">
        <v>235</v>
      </c>
      <c r="BE1486" s="4" t="s">
        <v>235</v>
      </c>
      <c r="BF1486" s="8" t="s">
        <v>235</v>
      </c>
      <c r="BG1486" s="7" t="s">
        <v>235</v>
      </c>
      <c r="BH1486" s="7" t="s">
        <v>235</v>
      </c>
      <c r="BI1486" s="7"/>
      <c r="BJ1486" s="4"/>
      <c r="BK1486" s="8"/>
      <c r="BL1486" s="2" t="s">
        <v>3073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5510</v>
      </c>
      <c r="BV1486" s="2" t="s">
        <v>243</v>
      </c>
      <c r="BW1486" s="2" t="s">
        <v>235</v>
      </c>
      <c r="BX1486" s="2" t="s">
        <v>383</v>
      </c>
      <c r="BY1486" s="2" t="s">
        <v>245</v>
      </c>
      <c r="BZ1486" s="2" t="s">
        <v>232</v>
      </c>
      <c r="CA1486" s="2" t="s">
        <v>252</v>
      </c>
      <c r="CB1486" s="2" t="s">
        <v>518</v>
      </c>
      <c r="CC1486" s="2" t="s">
        <v>248</v>
      </c>
      <c r="CD1486" s="2" t="s">
        <v>248</v>
      </c>
      <c r="CE1486" s="2" t="s">
        <v>235</v>
      </c>
      <c r="CF1486" s="4">
        <v>7</v>
      </c>
      <c r="CG1486" s="4">
        <v>72</v>
      </c>
      <c r="CH1486" s="4"/>
      <c r="CI1486" s="4">
        <v>75</v>
      </c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>
        <v>154</v>
      </c>
      <c r="GE1486" s="4">
        <v>153</v>
      </c>
      <c r="GF1486" s="4">
        <v>150</v>
      </c>
      <c r="GG1486" s="4">
        <v>146</v>
      </c>
      <c r="GH1486" s="4">
        <v>143</v>
      </c>
      <c r="GI1486" s="4">
        <v>138</v>
      </c>
      <c r="GJ1486" s="4">
        <v>131</v>
      </c>
      <c r="GK1486" s="4">
        <v>123</v>
      </c>
      <c r="GL1486" s="4">
        <v>117</v>
      </c>
      <c r="GM1486" s="4">
        <v>112</v>
      </c>
      <c r="GN1486" s="4">
        <v>105</v>
      </c>
      <c r="GO1486" s="4">
        <v>96</v>
      </c>
      <c r="GP1486" s="4">
        <v>86</v>
      </c>
      <c r="GQ1486" s="4">
        <v>67</v>
      </c>
      <c r="GR1486" s="4">
        <v>60</v>
      </c>
      <c r="GS1486" s="4">
        <v>51</v>
      </c>
      <c r="GT1486" s="4">
        <v>45</v>
      </c>
      <c r="GU1486" s="4">
        <v>41</v>
      </c>
      <c r="GV1486" s="4">
        <v>36</v>
      </c>
      <c r="GW1486" s="4">
        <v>59</v>
      </c>
      <c r="GX1486" s="4">
        <v>55</v>
      </c>
      <c r="GY1486" s="4">
        <v>51</v>
      </c>
      <c r="GZ1486" s="4">
        <v>48</v>
      </c>
      <c r="HA1486" s="4">
        <v>45</v>
      </c>
      <c r="HB1486" s="4">
        <v>43</v>
      </c>
      <c r="HC1486" s="4">
        <v>41</v>
      </c>
      <c r="HD1486" s="19">
        <v>51.3</v>
      </c>
      <c r="HE1486" s="19">
        <v>38.3</v>
      </c>
      <c r="HF1486" s="19">
        <v>30</v>
      </c>
      <c r="HG1486" s="19">
        <v>24.3</v>
      </c>
      <c r="HH1486" s="19">
        <v>23.8</v>
      </c>
      <c r="HI1486" s="19">
        <v>23</v>
      </c>
      <c r="HJ1486" s="19">
        <v>21.8</v>
      </c>
      <c r="HK1486" s="19">
        <v>17.6</v>
      </c>
      <c r="HL1486" s="19">
        <v>14.6</v>
      </c>
      <c r="HM1486" s="19">
        <v>10.2</v>
      </c>
      <c r="HN1486" s="19">
        <v>9.5</v>
      </c>
      <c r="HO1486" s="19">
        <v>8.7</v>
      </c>
      <c r="HP1486" s="19">
        <v>8.6</v>
      </c>
      <c r="HQ1486" s="19">
        <v>11.2</v>
      </c>
      <c r="HR1486" s="19">
        <v>10</v>
      </c>
      <c r="HS1486" s="19">
        <v>12.8</v>
      </c>
      <c r="HT1486" s="19">
        <v>11.3</v>
      </c>
      <c r="HU1486" s="19">
        <v>10.3</v>
      </c>
      <c r="HV1486" s="19">
        <v>9</v>
      </c>
      <c r="HW1486" s="19">
        <v>14.8</v>
      </c>
      <c r="HX1486" s="19">
        <v>18.3</v>
      </c>
      <c r="HY1486" s="19">
        <v>25.5</v>
      </c>
      <c r="HZ1486" s="19">
        <v>24</v>
      </c>
      <c r="IA1486" s="19">
        <v>22.5</v>
      </c>
      <c r="IB1486" s="19">
        <v>21.5</v>
      </c>
      <c r="IC1486" s="19">
        <v>41</v>
      </c>
    </row>
    <row r="1487">
      <c r="A1487" s="2" t="s">
        <v>5617</v>
      </c>
      <c r="B1487" s="2" t="s">
        <v>323</v>
      </c>
      <c r="C1487" s="2" t="s">
        <v>1036</v>
      </c>
      <c r="D1487" s="2" t="s">
        <v>257</v>
      </c>
      <c r="E1487" s="2" t="s">
        <v>258</v>
      </c>
      <c r="F1487" s="2" t="s">
        <v>5508</v>
      </c>
      <c r="G1487" s="2" t="s">
        <v>5508</v>
      </c>
      <c r="H1487" s="2" t="s">
        <v>5508</v>
      </c>
      <c r="I1487" s="2" t="s">
        <v>405</v>
      </c>
      <c r="J1487" s="2" t="s">
        <v>394</v>
      </c>
      <c r="K1487" s="2" t="s">
        <v>600</v>
      </c>
      <c r="L1487" s="3">
        <v>23.82</v>
      </c>
      <c r="M1487" s="3">
        <v>25.01</v>
      </c>
      <c r="N1487" s="3">
        <v>49.99</v>
      </c>
      <c r="O1487" s="2" t="s">
        <v>232</v>
      </c>
      <c r="P1487" s="2" t="s">
        <v>233</v>
      </c>
      <c r="Q1487" s="2" t="s">
        <v>234</v>
      </c>
      <c r="R1487" s="2" t="s">
        <v>235</v>
      </c>
      <c r="S1487" s="2" t="s">
        <v>5618</v>
      </c>
      <c r="T1487" s="2" t="s">
        <v>587</v>
      </c>
      <c r="U1487" s="2" t="s">
        <v>552</v>
      </c>
      <c r="V1487" s="2" t="s">
        <v>238</v>
      </c>
      <c r="W1487" s="2" t="s">
        <v>239</v>
      </c>
      <c r="X1487" s="2" t="s">
        <v>682</v>
      </c>
      <c r="Y1487" s="2" t="s">
        <v>5518</v>
      </c>
      <c r="Z1487" s="4">
        <v>210</v>
      </c>
      <c r="AA1487" s="4">
        <f>=ROUNDDOWN(19.0909090909091,0)</f>
      </c>
      <c r="AB1487" s="5">
        <v>11</v>
      </c>
      <c r="AC1487" s="2" t="s">
        <v>266</v>
      </c>
      <c r="AD1487" s="4">
        <v>60</v>
      </c>
      <c r="AE1487" s="4">
        <v>60</v>
      </c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235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235</v>
      </c>
      <c r="AW1487" s="8" t="s">
        <v>235</v>
      </c>
      <c r="AX1487" s="4" t="s">
        <v>235</v>
      </c>
      <c r="AY1487" s="8" t="s">
        <v>235</v>
      </c>
      <c r="AZ1487" s="7" t="s">
        <v>235</v>
      </c>
      <c r="BA1487" s="7" t="s">
        <v>235</v>
      </c>
      <c r="BB1487" s="7"/>
      <c r="BC1487" s="4" t="s">
        <v>235</v>
      </c>
      <c r="BD1487" s="8" t="s">
        <v>235</v>
      </c>
      <c r="BE1487" s="4" t="s">
        <v>235</v>
      </c>
      <c r="BF1487" s="8" t="s">
        <v>235</v>
      </c>
      <c r="BG1487" s="7" t="s">
        <v>235</v>
      </c>
      <c r="BH1487" s="7" t="s">
        <v>235</v>
      </c>
      <c r="BI1487" s="7"/>
      <c r="BJ1487" s="4"/>
      <c r="BK1487" s="8"/>
      <c r="BL1487" s="2" t="s">
        <v>422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5510</v>
      </c>
      <c r="BV1487" s="2" t="s">
        <v>243</v>
      </c>
      <c r="BW1487" s="2" t="s">
        <v>235</v>
      </c>
      <c r="BX1487" s="2" t="s">
        <v>383</v>
      </c>
      <c r="BY1487" s="2" t="s">
        <v>245</v>
      </c>
      <c r="BZ1487" s="2" t="s">
        <v>232</v>
      </c>
      <c r="CA1487" s="2" t="s">
        <v>5519</v>
      </c>
      <c r="CB1487" s="2" t="s">
        <v>5619</v>
      </c>
      <c r="CC1487" s="2" t="s">
        <v>248</v>
      </c>
      <c r="CD1487" s="2" t="s">
        <v>248</v>
      </c>
      <c r="CE1487" s="2" t="s">
        <v>235</v>
      </c>
      <c r="CF1487" s="4">
        <v>67</v>
      </c>
      <c r="CG1487" s="4">
        <v>143</v>
      </c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>
        <v>60</v>
      </c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>
        <v>210</v>
      </c>
      <c r="GE1487" s="4">
        <v>253</v>
      </c>
      <c r="GF1487" s="4">
        <v>244</v>
      </c>
      <c r="GG1487" s="4">
        <v>232</v>
      </c>
      <c r="GH1487" s="4">
        <v>223</v>
      </c>
      <c r="GI1487" s="4">
        <v>210</v>
      </c>
      <c r="GJ1487" s="4">
        <v>191</v>
      </c>
      <c r="GK1487" s="4">
        <v>172</v>
      </c>
      <c r="GL1487" s="4">
        <v>154</v>
      </c>
      <c r="GM1487" s="4">
        <v>137</v>
      </c>
      <c r="GN1487" s="4">
        <v>124</v>
      </c>
      <c r="GO1487" s="4">
        <v>112</v>
      </c>
      <c r="GP1487" s="4">
        <v>98</v>
      </c>
      <c r="GQ1487" s="4">
        <v>74</v>
      </c>
      <c r="GR1487" s="4">
        <v>64</v>
      </c>
      <c r="GS1487" s="4">
        <v>52</v>
      </c>
      <c r="GT1487" s="4">
        <v>44</v>
      </c>
      <c r="GU1487" s="4">
        <v>39</v>
      </c>
      <c r="GV1487" s="4">
        <v>31</v>
      </c>
      <c r="GW1487" s="4">
        <v>102</v>
      </c>
      <c r="GX1487" s="4">
        <v>96</v>
      </c>
      <c r="GY1487" s="4">
        <v>90</v>
      </c>
      <c r="GZ1487" s="4">
        <v>86</v>
      </c>
      <c r="HA1487" s="4">
        <v>81</v>
      </c>
      <c r="HB1487" s="4">
        <v>77</v>
      </c>
      <c r="HC1487" s="4">
        <v>73</v>
      </c>
      <c r="HD1487" s="19">
        <v>17.5</v>
      </c>
      <c r="HE1487" s="19">
        <v>23</v>
      </c>
      <c r="HF1487" s="19">
        <v>18.8</v>
      </c>
      <c r="HG1487" s="19">
        <v>15.5</v>
      </c>
      <c r="HH1487" s="19">
        <v>13.1</v>
      </c>
      <c r="HI1487" s="19">
        <v>11.7</v>
      </c>
      <c r="HJ1487" s="19">
        <v>11.2</v>
      </c>
      <c r="HK1487" s="19">
        <v>11.5</v>
      </c>
      <c r="HL1487" s="19">
        <v>11</v>
      </c>
      <c r="HM1487" s="19">
        <v>8.6</v>
      </c>
      <c r="HN1487" s="19">
        <v>8.3</v>
      </c>
      <c r="HO1487" s="19">
        <v>7.5</v>
      </c>
      <c r="HP1487" s="19">
        <v>7</v>
      </c>
      <c r="HQ1487" s="19">
        <v>8.2</v>
      </c>
      <c r="HR1487" s="19">
        <v>8</v>
      </c>
      <c r="HS1487" s="19">
        <v>8.7</v>
      </c>
      <c r="HT1487" s="19">
        <v>7.3</v>
      </c>
      <c r="HU1487" s="19">
        <v>6.5</v>
      </c>
      <c r="HV1487" s="19">
        <v>6.2</v>
      </c>
      <c r="HW1487" s="19">
        <v>20.4</v>
      </c>
      <c r="HX1487" s="19">
        <v>19.2</v>
      </c>
      <c r="HY1487" s="19">
        <v>22.5</v>
      </c>
      <c r="HZ1487" s="19">
        <v>21.5</v>
      </c>
      <c r="IA1487" s="19">
        <v>20.3</v>
      </c>
      <c r="IB1487" s="19">
        <v>19.3</v>
      </c>
      <c r="IC1487" s="19">
        <v>24.3</v>
      </c>
    </row>
    <row r="1488">
      <c r="A1488" s="2" t="s">
        <v>5620</v>
      </c>
      <c r="B1488" s="2" t="s">
        <v>323</v>
      </c>
      <c r="C1488" s="2" t="s">
        <v>1036</v>
      </c>
      <c r="D1488" s="2" t="s">
        <v>257</v>
      </c>
      <c r="E1488" s="2" t="s">
        <v>258</v>
      </c>
      <c r="F1488" s="2" t="s">
        <v>5508</v>
      </c>
      <c r="G1488" s="2" t="s">
        <v>5508</v>
      </c>
      <c r="H1488" s="2" t="s">
        <v>5508</v>
      </c>
      <c r="I1488" s="2" t="s">
        <v>405</v>
      </c>
      <c r="J1488" s="2" t="s">
        <v>230</v>
      </c>
      <c r="K1488" s="2" t="s">
        <v>600</v>
      </c>
      <c r="L1488" s="3">
        <v>25.3</v>
      </c>
      <c r="M1488" s="3">
        <v>26.56</v>
      </c>
      <c r="N1488" s="3">
        <v>53.99</v>
      </c>
      <c r="O1488" s="2" t="s">
        <v>232</v>
      </c>
      <c r="P1488" s="2" t="s">
        <v>233</v>
      </c>
      <c r="Q1488" s="2" t="s">
        <v>234</v>
      </c>
      <c r="R1488" s="2" t="s">
        <v>235</v>
      </c>
      <c r="S1488" s="2" t="s">
        <v>5618</v>
      </c>
      <c r="T1488" s="2" t="s">
        <v>587</v>
      </c>
      <c r="U1488" s="2" t="s">
        <v>552</v>
      </c>
      <c r="V1488" s="2" t="s">
        <v>238</v>
      </c>
      <c r="W1488" s="2" t="s">
        <v>239</v>
      </c>
      <c r="X1488" s="2" t="s">
        <v>682</v>
      </c>
      <c r="Y1488" s="2" t="s">
        <v>5518</v>
      </c>
      <c r="Z1488" s="4">
        <v>120</v>
      </c>
      <c r="AA1488" s="4">
        <f>=ROUNDDOWN(15,0)</f>
      </c>
      <c r="AB1488" s="5">
        <v>8</v>
      </c>
      <c r="AC1488" s="2" t="s">
        <v>266</v>
      </c>
      <c r="AD1488" s="4">
        <v>60</v>
      </c>
      <c r="AE1488" s="4">
        <v>60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235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235</v>
      </c>
      <c r="AW1488" s="8" t="s">
        <v>235</v>
      </c>
      <c r="AX1488" s="4" t="s">
        <v>235</v>
      </c>
      <c r="AY1488" s="8" t="s">
        <v>235</v>
      </c>
      <c r="AZ1488" s="7" t="s">
        <v>235</v>
      </c>
      <c r="BA1488" s="7" t="s">
        <v>235</v>
      </c>
      <c r="BB1488" s="7"/>
      <c r="BC1488" s="4" t="s">
        <v>235</v>
      </c>
      <c r="BD1488" s="8" t="s">
        <v>235</v>
      </c>
      <c r="BE1488" s="4" t="s">
        <v>235</v>
      </c>
      <c r="BF1488" s="8" t="s">
        <v>235</v>
      </c>
      <c r="BG1488" s="7" t="s">
        <v>235</v>
      </c>
      <c r="BH1488" s="7" t="s">
        <v>235</v>
      </c>
      <c r="BI1488" s="7"/>
      <c r="BJ1488" s="4">
        <v>13</v>
      </c>
      <c r="BK1488" s="8">
        <v>340.21</v>
      </c>
      <c r="BL1488" s="2" t="s">
        <v>5621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5510</v>
      </c>
      <c r="BV1488" s="2" t="s">
        <v>243</v>
      </c>
      <c r="BW1488" s="2" t="s">
        <v>235</v>
      </c>
      <c r="BX1488" s="2" t="s">
        <v>383</v>
      </c>
      <c r="BY1488" s="2" t="s">
        <v>245</v>
      </c>
      <c r="BZ1488" s="2" t="s">
        <v>232</v>
      </c>
      <c r="CA1488" s="2" t="s">
        <v>5519</v>
      </c>
      <c r="CB1488" s="2" t="s">
        <v>5622</v>
      </c>
      <c r="CC1488" s="2" t="s">
        <v>248</v>
      </c>
      <c r="CD1488" s="2" t="s">
        <v>248</v>
      </c>
      <c r="CE1488" s="2" t="s">
        <v>235</v>
      </c>
      <c r="CF1488" s="4">
        <v>3</v>
      </c>
      <c r="CG1488" s="4">
        <v>117</v>
      </c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>
        <v>60</v>
      </c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>
        <v>124</v>
      </c>
      <c r="GE1488" s="4">
        <v>177</v>
      </c>
      <c r="GF1488" s="4">
        <v>173</v>
      </c>
      <c r="GG1488" s="4">
        <v>167</v>
      </c>
      <c r="GH1488" s="4">
        <v>161</v>
      </c>
      <c r="GI1488" s="4">
        <v>154</v>
      </c>
      <c r="GJ1488" s="4">
        <v>144</v>
      </c>
      <c r="GK1488" s="4">
        <v>131</v>
      </c>
      <c r="GL1488" s="4">
        <v>123</v>
      </c>
      <c r="GM1488" s="4">
        <v>116</v>
      </c>
      <c r="GN1488" s="4">
        <v>106</v>
      </c>
      <c r="GO1488" s="4">
        <v>93</v>
      </c>
      <c r="GP1488" s="4">
        <v>76</v>
      </c>
      <c r="GQ1488" s="4">
        <v>48</v>
      </c>
      <c r="GR1488" s="4">
        <v>36</v>
      </c>
      <c r="GS1488" s="4">
        <v>21</v>
      </c>
      <c r="GT1488" s="4">
        <v>12</v>
      </c>
      <c r="GU1488" s="4">
        <v>7</v>
      </c>
      <c r="GV1488" s="4">
        <v>3</v>
      </c>
      <c r="GW1488" s="4">
        <v>80</v>
      </c>
      <c r="GX1488" s="4">
        <v>77</v>
      </c>
      <c r="GY1488" s="4">
        <v>74</v>
      </c>
      <c r="GZ1488" s="4">
        <v>72</v>
      </c>
      <c r="HA1488" s="4">
        <v>69</v>
      </c>
      <c r="HB1488" s="4">
        <v>67</v>
      </c>
      <c r="HC1488" s="4">
        <v>65</v>
      </c>
      <c r="HD1488" s="19">
        <v>20.7</v>
      </c>
      <c r="HE1488" s="19">
        <v>29.5</v>
      </c>
      <c r="HF1488" s="19">
        <v>24.7</v>
      </c>
      <c r="HG1488" s="19">
        <v>18.6</v>
      </c>
      <c r="HH1488" s="19">
        <v>16.1</v>
      </c>
      <c r="HI1488" s="19">
        <v>15.4</v>
      </c>
      <c r="HJ1488" s="19">
        <v>14.4</v>
      </c>
      <c r="HK1488" s="19">
        <v>13.1</v>
      </c>
      <c r="HL1488" s="19">
        <v>10.3</v>
      </c>
      <c r="HM1488" s="19">
        <v>6.8</v>
      </c>
      <c r="HN1488" s="19">
        <v>5.9</v>
      </c>
      <c r="HO1488" s="19">
        <v>5.2</v>
      </c>
      <c r="HP1488" s="19">
        <v>4.8</v>
      </c>
      <c r="HQ1488" s="19">
        <v>4.8</v>
      </c>
      <c r="HR1488" s="19">
        <v>4.5</v>
      </c>
      <c r="HS1488" s="19">
        <v>4.2</v>
      </c>
      <c r="HT1488" s="19">
        <v>3</v>
      </c>
      <c r="HU1488" s="19">
        <v>2.3</v>
      </c>
      <c r="HV1488" s="19">
        <v>1</v>
      </c>
      <c r="HW1488" s="19">
        <v>26.7</v>
      </c>
      <c r="HX1488" s="19">
        <v>38.5</v>
      </c>
      <c r="HY1488" s="19">
        <v>37</v>
      </c>
      <c r="HZ1488" s="19">
        <v>36</v>
      </c>
      <c r="IA1488" s="19">
        <v>34.5</v>
      </c>
      <c r="IB1488" s="19">
        <v>33.5</v>
      </c>
      <c r="IC1488" s="19">
        <v>32.5</v>
      </c>
    </row>
    <row r="1489">
      <c r="A1489" s="2" t="s">
        <v>5623</v>
      </c>
      <c r="B1489" s="2" t="s">
        <v>323</v>
      </c>
      <c r="C1489" s="2" t="s">
        <v>1036</v>
      </c>
      <c r="D1489" s="2" t="s">
        <v>257</v>
      </c>
      <c r="E1489" s="2" t="s">
        <v>258</v>
      </c>
      <c r="F1489" s="2" t="s">
        <v>5508</v>
      </c>
      <c r="G1489" s="2" t="s">
        <v>5508</v>
      </c>
      <c r="H1489" s="2" t="s">
        <v>5508</v>
      </c>
      <c r="I1489" s="2" t="s">
        <v>405</v>
      </c>
      <c r="J1489" s="2" t="s">
        <v>250</v>
      </c>
      <c r="K1489" s="2" t="s">
        <v>600</v>
      </c>
      <c r="L1489" s="3">
        <v>28.05</v>
      </c>
      <c r="M1489" s="3">
        <v>29.45</v>
      </c>
      <c r="N1489" s="3">
        <v>59.99</v>
      </c>
      <c r="O1489" s="2" t="s">
        <v>232</v>
      </c>
      <c r="P1489" s="2" t="s">
        <v>233</v>
      </c>
      <c r="Q1489" s="2" t="s">
        <v>234</v>
      </c>
      <c r="R1489" s="2" t="s">
        <v>235</v>
      </c>
      <c r="S1489" s="2" t="s">
        <v>5618</v>
      </c>
      <c r="T1489" s="2" t="s">
        <v>587</v>
      </c>
      <c r="U1489" s="2" t="s">
        <v>264</v>
      </c>
      <c r="V1489" s="2" t="s">
        <v>238</v>
      </c>
      <c r="W1489" s="2" t="s">
        <v>239</v>
      </c>
      <c r="X1489" s="2" t="s">
        <v>682</v>
      </c>
      <c r="Y1489" s="2" t="s">
        <v>1137</v>
      </c>
      <c r="Z1489" s="4">
        <v>223</v>
      </c>
      <c r="AA1489" s="4">
        <f>=ROUNDDOWN(22.3,0)</f>
      </c>
      <c r="AB1489" s="5">
        <v>10</v>
      </c>
      <c r="AC1489" s="2" t="s">
        <v>266</v>
      </c>
      <c r="AD1489" s="4">
        <v>90</v>
      </c>
      <c r="AE1489" s="4">
        <v>90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235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235</v>
      </c>
      <c r="AW1489" s="8" t="s">
        <v>235</v>
      </c>
      <c r="AX1489" s="4" t="s">
        <v>235</v>
      </c>
      <c r="AY1489" s="8" t="s">
        <v>235</v>
      </c>
      <c r="AZ1489" s="7" t="s">
        <v>235</v>
      </c>
      <c r="BA1489" s="7" t="s">
        <v>235</v>
      </c>
      <c r="BB1489" s="7"/>
      <c r="BC1489" s="4" t="s">
        <v>235</v>
      </c>
      <c r="BD1489" s="8" t="s">
        <v>235</v>
      </c>
      <c r="BE1489" s="4" t="s">
        <v>235</v>
      </c>
      <c r="BF1489" s="8" t="s">
        <v>235</v>
      </c>
      <c r="BG1489" s="7" t="s">
        <v>235</v>
      </c>
      <c r="BH1489" s="7" t="s">
        <v>235</v>
      </c>
      <c r="BI1489" s="7"/>
      <c r="BJ1489" s="4">
        <v>3</v>
      </c>
      <c r="BK1489" s="8">
        <v>93.41</v>
      </c>
      <c r="BL1489" s="2" t="s">
        <v>5584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5510</v>
      </c>
      <c r="BV1489" s="2" t="s">
        <v>243</v>
      </c>
      <c r="BW1489" s="2" t="s">
        <v>235</v>
      </c>
      <c r="BX1489" s="2" t="s">
        <v>383</v>
      </c>
      <c r="BY1489" s="2" t="s">
        <v>245</v>
      </c>
      <c r="BZ1489" s="2" t="s">
        <v>232</v>
      </c>
      <c r="CA1489" s="2" t="s">
        <v>5519</v>
      </c>
      <c r="CB1489" s="2" t="s">
        <v>5521</v>
      </c>
      <c r="CC1489" s="2" t="s">
        <v>248</v>
      </c>
      <c r="CD1489" s="2" t="s">
        <v>248</v>
      </c>
      <c r="CE1489" s="2" t="s">
        <v>235</v>
      </c>
      <c r="CF1489" s="4">
        <v>54</v>
      </c>
      <c r="CG1489" s="4">
        <v>169</v>
      </c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>
        <v>90</v>
      </c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>
        <v>224</v>
      </c>
      <c r="GE1489" s="4">
        <v>310</v>
      </c>
      <c r="GF1489" s="4">
        <v>307</v>
      </c>
      <c r="GG1489" s="4">
        <v>303</v>
      </c>
      <c r="GH1489" s="4">
        <v>296</v>
      </c>
      <c r="GI1489" s="4">
        <v>285</v>
      </c>
      <c r="GJ1489" s="4">
        <v>270</v>
      </c>
      <c r="GK1489" s="4">
        <v>254</v>
      </c>
      <c r="GL1489" s="4">
        <v>241</v>
      </c>
      <c r="GM1489" s="4">
        <v>229</v>
      </c>
      <c r="GN1489" s="4">
        <v>215</v>
      </c>
      <c r="GO1489" s="4">
        <v>197</v>
      </c>
      <c r="GP1489" s="4">
        <v>176</v>
      </c>
      <c r="GQ1489" s="4">
        <v>139</v>
      </c>
      <c r="GR1489" s="4">
        <v>124</v>
      </c>
      <c r="GS1489" s="4">
        <v>105</v>
      </c>
      <c r="GT1489" s="4">
        <v>93</v>
      </c>
      <c r="GU1489" s="4">
        <v>86</v>
      </c>
      <c r="GV1489" s="4">
        <v>77</v>
      </c>
      <c r="GW1489" s="4">
        <v>115</v>
      </c>
      <c r="GX1489" s="4">
        <v>109</v>
      </c>
      <c r="GY1489" s="4">
        <v>103</v>
      </c>
      <c r="GZ1489" s="4">
        <v>100</v>
      </c>
      <c r="HA1489" s="4">
        <v>96</v>
      </c>
      <c r="HB1489" s="4">
        <v>92</v>
      </c>
      <c r="HC1489" s="4">
        <v>88</v>
      </c>
      <c r="HD1489" s="19">
        <v>56</v>
      </c>
      <c r="HE1489" s="19">
        <v>51.7</v>
      </c>
      <c r="HF1489" s="19">
        <v>34.1</v>
      </c>
      <c r="HG1489" s="19">
        <v>25.3</v>
      </c>
      <c r="HH1489" s="19">
        <v>21.1</v>
      </c>
      <c r="HI1489" s="19">
        <v>20.4</v>
      </c>
      <c r="HJ1489" s="19">
        <v>19.3</v>
      </c>
      <c r="HK1489" s="19">
        <v>18.1</v>
      </c>
      <c r="HL1489" s="19">
        <v>15.1</v>
      </c>
      <c r="HM1489" s="19">
        <v>10.4</v>
      </c>
      <c r="HN1489" s="19">
        <v>9.3</v>
      </c>
      <c r="HO1489" s="19">
        <v>8.6</v>
      </c>
      <c r="HP1489" s="19">
        <v>8.4</v>
      </c>
      <c r="HQ1489" s="19">
        <v>10.7</v>
      </c>
      <c r="HR1489" s="19">
        <v>10.3</v>
      </c>
      <c r="HS1489" s="19">
        <v>13.1</v>
      </c>
      <c r="HT1489" s="19">
        <v>13.3</v>
      </c>
      <c r="HU1489" s="19">
        <v>12.3</v>
      </c>
      <c r="HV1489" s="19">
        <v>15.4</v>
      </c>
      <c r="HW1489" s="19">
        <v>23</v>
      </c>
      <c r="HX1489" s="19">
        <v>27.3</v>
      </c>
      <c r="HY1489" s="19">
        <v>25.8</v>
      </c>
      <c r="HZ1489" s="19">
        <v>25</v>
      </c>
      <c r="IA1489" s="19">
        <v>24</v>
      </c>
      <c r="IB1489" s="19">
        <v>23</v>
      </c>
      <c r="IC1489" s="19">
        <v>29.3</v>
      </c>
    </row>
    <row r="1490">
      <c r="A1490" s="2" t="s">
        <v>5624</v>
      </c>
      <c r="B1490" s="2" t="s">
        <v>323</v>
      </c>
      <c r="C1490" s="2" t="s">
        <v>1036</v>
      </c>
      <c r="D1490" s="2" t="s">
        <v>257</v>
      </c>
      <c r="E1490" s="2" t="s">
        <v>258</v>
      </c>
      <c r="F1490" s="2" t="s">
        <v>5508</v>
      </c>
      <c r="G1490" s="2" t="s">
        <v>5508</v>
      </c>
      <c r="H1490" s="2" t="s">
        <v>5508</v>
      </c>
      <c r="I1490" s="2" t="s">
        <v>405</v>
      </c>
      <c r="J1490" s="2" t="s">
        <v>394</v>
      </c>
      <c r="K1490" s="2" t="s">
        <v>1463</v>
      </c>
      <c r="L1490" s="3">
        <v>23.82</v>
      </c>
      <c r="M1490" s="3">
        <v>25.01</v>
      </c>
      <c r="N1490" s="3">
        <v>49.99</v>
      </c>
      <c r="O1490" s="2" t="s">
        <v>232</v>
      </c>
      <c r="P1490" s="2" t="s">
        <v>233</v>
      </c>
      <c r="Q1490" s="2" t="s">
        <v>234</v>
      </c>
      <c r="R1490" s="2" t="s">
        <v>235</v>
      </c>
      <c r="S1490" s="2" t="s">
        <v>5625</v>
      </c>
      <c r="T1490" s="2" t="s">
        <v>587</v>
      </c>
      <c r="U1490" s="2" t="s">
        <v>552</v>
      </c>
      <c r="V1490" s="2" t="s">
        <v>238</v>
      </c>
      <c r="W1490" s="2" t="s">
        <v>239</v>
      </c>
      <c r="X1490" s="2" t="s">
        <v>682</v>
      </c>
      <c r="Y1490" s="2" t="s">
        <v>240</v>
      </c>
      <c r="Z1490" s="4">
        <v>185</v>
      </c>
      <c r="AA1490" s="4">
        <f>=ROUNDDOWN(26.4285714285714,0)</f>
      </c>
      <c r="AB1490" s="5">
        <v>7</v>
      </c>
      <c r="AC1490" s="2" t="s">
        <v>235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235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235</v>
      </c>
      <c r="AW1490" s="8" t="s">
        <v>235</v>
      </c>
      <c r="AX1490" s="4" t="s">
        <v>235</v>
      </c>
      <c r="AY1490" s="8" t="s">
        <v>235</v>
      </c>
      <c r="AZ1490" s="7" t="s">
        <v>235</v>
      </c>
      <c r="BA1490" s="7" t="s">
        <v>235</v>
      </c>
      <c r="BB1490" s="7"/>
      <c r="BC1490" s="4" t="s">
        <v>235</v>
      </c>
      <c r="BD1490" s="8" t="s">
        <v>235</v>
      </c>
      <c r="BE1490" s="4" t="s">
        <v>235</v>
      </c>
      <c r="BF1490" s="8" t="s">
        <v>235</v>
      </c>
      <c r="BG1490" s="7" t="s">
        <v>235</v>
      </c>
      <c r="BH1490" s="7" t="s">
        <v>235</v>
      </c>
      <c r="BI1490" s="7"/>
      <c r="BJ1490" s="4">
        <v>1</v>
      </c>
      <c r="BK1490" s="8">
        <v>26.25</v>
      </c>
      <c r="BL1490" s="2" t="s">
        <v>3451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5510</v>
      </c>
      <c r="BV1490" s="2" t="s">
        <v>243</v>
      </c>
      <c r="BW1490" s="2" t="s">
        <v>235</v>
      </c>
      <c r="BX1490" s="2" t="s">
        <v>383</v>
      </c>
      <c r="BY1490" s="2" t="s">
        <v>245</v>
      </c>
      <c r="BZ1490" s="2" t="s">
        <v>232</v>
      </c>
      <c r="CA1490" s="2" t="s">
        <v>252</v>
      </c>
      <c r="CB1490" s="2" t="s">
        <v>5626</v>
      </c>
      <c r="CC1490" s="2" t="s">
        <v>248</v>
      </c>
      <c r="CD1490" s="2" t="s">
        <v>248</v>
      </c>
      <c r="CE1490" s="2" t="s">
        <v>235</v>
      </c>
      <c r="CF1490" s="4">
        <v>58</v>
      </c>
      <c r="CG1490" s="4">
        <v>127</v>
      </c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>
        <v>185</v>
      </c>
      <c r="GE1490" s="4">
        <v>184</v>
      </c>
      <c r="GF1490" s="4">
        <v>183</v>
      </c>
      <c r="GG1490" s="4">
        <v>182</v>
      </c>
      <c r="GH1490" s="4">
        <v>181</v>
      </c>
      <c r="GI1490" s="4">
        <v>179</v>
      </c>
      <c r="GJ1490" s="4">
        <v>174</v>
      </c>
      <c r="GK1490" s="4">
        <v>167</v>
      </c>
      <c r="GL1490" s="4">
        <v>163</v>
      </c>
      <c r="GM1490" s="4">
        <v>157</v>
      </c>
      <c r="GN1490" s="4">
        <v>148</v>
      </c>
      <c r="GO1490" s="4">
        <v>139</v>
      </c>
      <c r="GP1490" s="4">
        <v>129</v>
      </c>
      <c r="GQ1490" s="4">
        <v>111</v>
      </c>
      <c r="GR1490" s="4">
        <v>104</v>
      </c>
      <c r="GS1490" s="4">
        <v>95</v>
      </c>
      <c r="GT1490" s="4">
        <v>90</v>
      </c>
      <c r="GU1490" s="4">
        <v>87</v>
      </c>
      <c r="GV1490" s="4">
        <v>82</v>
      </c>
      <c r="GW1490" s="4">
        <v>131</v>
      </c>
      <c r="GX1490" s="4">
        <v>127</v>
      </c>
      <c r="GY1490" s="4">
        <v>123</v>
      </c>
      <c r="GZ1490" s="4">
        <v>120</v>
      </c>
      <c r="HA1490" s="4">
        <v>117</v>
      </c>
      <c r="HB1490" s="4">
        <v>114</v>
      </c>
      <c r="HC1490" s="4">
        <v>111</v>
      </c>
      <c r="HD1490" s="19">
        <v>185</v>
      </c>
      <c r="HE1490" s="19">
        <v>184</v>
      </c>
      <c r="HF1490" s="19">
        <v>91.5</v>
      </c>
      <c r="HG1490" s="19">
        <v>45.5</v>
      </c>
      <c r="HH1490" s="19">
        <v>45.3</v>
      </c>
      <c r="HI1490" s="19">
        <v>29.8</v>
      </c>
      <c r="HJ1490" s="19">
        <v>29</v>
      </c>
      <c r="HK1490" s="19">
        <v>23.9</v>
      </c>
      <c r="HL1490" s="19">
        <v>20.4</v>
      </c>
      <c r="HM1490" s="19">
        <v>13.1</v>
      </c>
      <c r="HN1490" s="19">
        <v>13.5</v>
      </c>
      <c r="HO1490" s="19">
        <v>12.6</v>
      </c>
      <c r="HP1490" s="19">
        <v>12.9</v>
      </c>
      <c r="HQ1490" s="19">
        <v>18.5</v>
      </c>
      <c r="HR1490" s="19">
        <v>17.3</v>
      </c>
      <c r="HS1490" s="19">
        <v>23.8</v>
      </c>
      <c r="HT1490" s="19">
        <v>22.5</v>
      </c>
      <c r="HU1490" s="19">
        <v>21.8</v>
      </c>
      <c r="HV1490" s="19">
        <v>20.5</v>
      </c>
      <c r="HW1490" s="19">
        <v>32.8</v>
      </c>
      <c r="HX1490" s="19">
        <v>42.3</v>
      </c>
      <c r="HY1490" s="19">
        <v>41</v>
      </c>
      <c r="HZ1490" s="19">
        <v>40</v>
      </c>
      <c r="IA1490" s="19">
        <v>39</v>
      </c>
      <c r="IB1490" s="19">
        <v>57</v>
      </c>
      <c r="IC1490" s="19">
        <v>55.5</v>
      </c>
    </row>
    <row r="1491">
      <c r="A1491" s="2" t="s">
        <v>5627</v>
      </c>
      <c r="B1491" s="2" t="s">
        <v>323</v>
      </c>
      <c r="C1491" s="2" t="s">
        <v>1036</v>
      </c>
      <c r="D1491" s="2" t="s">
        <v>257</v>
      </c>
      <c r="E1491" s="2" t="s">
        <v>258</v>
      </c>
      <c r="F1491" s="2" t="s">
        <v>5508</v>
      </c>
      <c r="G1491" s="2" t="s">
        <v>5508</v>
      </c>
      <c r="H1491" s="2" t="s">
        <v>5508</v>
      </c>
      <c r="I1491" s="2" t="s">
        <v>405</v>
      </c>
      <c r="J1491" s="2" t="s">
        <v>230</v>
      </c>
      <c r="K1491" s="2" t="s">
        <v>1463</v>
      </c>
      <c r="L1491" s="3">
        <v>25.3</v>
      </c>
      <c r="M1491" s="3">
        <v>26.56</v>
      </c>
      <c r="N1491" s="3">
        <v>53.99</v>
      </c>
      <c r="O1491" s="2" t="s">
        <v>232</v>
      </c>
      <c r="P1491" s="2" t="s">
        <v>233</v>
      </c>
      <c r="Q1491" s="2" t="s">
        <v>234</v>
      </c>
      <c r="R1491" s="2" t="s">
        <v>235</v>
      </c>
      <c r="S1491" s="2" t="s">
        <v>5625</v>
      </c>
      <c r="T1491" s="2" t="s">
        <v>587</v>
      </c>
      <c r="U1491" s="2" t="s">
        <v>552</v>
      </c>
      <c r="V1491" s="2" t="s">
        <v>238</v>
      </c>
      <c r="W1491" s="2" t="s">
        <v>239</v>
      </c>
      <c r="X1491" s="2" t="s">
        <v>682</v>
      </c>
      <c r="Y1491" s="2" t="s">
        <v>240</v>
      </c>
      <c r="Z1491" s="4">
        <v>74</v>
      </c>
      <c r="AA1491" s="4">
        <f>=ROUNDDOWN(24.6666666666667,0)</f>
      </c>
      <c r="AB1491" s="5">
        <v>3</v>
      </c>
      <c r="AC1491" s="2" t="s">
        <v>235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235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235</v>
      </c>
      <c r="AW1491" s="8" t="s">
        <v>235</v>
      </c>
      <c r="AX1491" s="4" t="s">
        <v>235</v>
      </c>
      <c r="AY1491" s="8" t="s">
        <v>235</v>
      </c>
      <c r="AZ1491" s="7" t="s">
        <v>235</v>
      </c>
      <c r="BA1491" s="7" t="s">
        <v>235</v>
      </c>
      <c r="BB1491" s="7"/>
      <c r="BC1491" s="4" t="s">
        <v>235</v>
      </c>
      <c r="BD1491" s="8" t="s">
        <v>235</v>
      </c>
      <c r="BE1491" s="4" t="s">
        <v>235</v>
      </c>
      <c r="BF1491" s="8" t="s">
        <v>235</v>
      </c>
      <c r="BG1491" s="7" t="s">
        <v>235</v>
      </c>
      <c r="BH1491" s="7" t="s">
        <v>235</v>
      </c>
      <c r="BI1491" s="7"/>
      <c r="BJ1491" s="4"/>
      <c r="BK1491" s="8"/>
      <c r="BL1491" s="2" t="s">
        <v>517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5510</v>
      </c>
      <c r="BV1491" s="2" t="s">
        <v>243</v>
      </c>
      <c r="BW1491" s="2" t="s">
        <v>235</v>
      </c>
      <c r="BX1491" s="2" t="s">
        <v>383</v>
      </c>
      <c r="BY1491" s="2" t="s">
        <v>245</v>
      </c>
      <c r="BZ1491" s="2" t="s">
        <v>232</v>
      </c>
      <c r="CA1491" s="2" t="s">
        <v>1337</v>
      </c>
      <c r="CB1491" s="2" t="s">
        <v>5628</v>
      </c>
      <c r="CC1491" s="2" t="s">
        <v>248</v>
      </c>
      <c r="CD1491" s="2" t="s">
        <v>248</v>
      </c>
      <c r="CE1491" s="2" t="s">
        <v>235</v>
      </c>
      <c r="CF1491" s="4">
        <v>33</v>
      </c>
      <c r="CG1491" s="4">
        <v>41</v>
      </c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>
        <v>74</v>
      </c>
      <c r="GE1491" s="4">
        <v>73</v>
      </c>
      <c r="GF1491" s="4">
        <v>72</v>
      </c>
      <c r="GG1491" s="4">
        <v>71</v>
      </c>
      <c r="GH1491" s="4">
        <v>69</v>
      </c>
      <c r="GI1491" s="4">
        <v>67</v>
      </c>
      <c r="GJ1491" s="4">
        <v>63</v>
      </c>
      <c r="GK1491" s="4">
        <v>59</v>
      </c>
      <c r="GL1491" s="4">
        <v>55</v>
      </c>
      <c r="GM1491" s="4">
        <v>52</v>
      </c>
      <c r="GN1491" s="4">
        <v>48</v>
      </c>
      <c r="GO1491" s="4">
        <v>43</v>
      </c>
      <c r="GP1491" s="4">
        <v>37</v>
      </c>
      <c r="GQ1491" s="4">
        <v>27</v>
      </c>
      <c r="GR1491" s="4">
        <v>23</v>
      </c>
      <c r="GS1491" s="4">
        <v>17</v>
      </c>
      <c r="GT1491" s="4">
        <v>14</v>
      </c>
      <c r="GU1491" s="4">
        <v>13</v>
      </c>
      <c r="GV1491" s="4">
        <v>12</v>
      </c>
      <c r="GW1491" s="4">
        <v>51</v>
      </c>
      <c r="GX1491" s="4">
        <v>50</v>
      </c>
      <c r="GY1491" s="4">
        <v>49</v>
      </c>
      <c r="GZ1491" s="4">
        <v>49</v>
      </c>
      <c r="HA1491" s="4">
        <v>48</v>
      </c>
      <c r="HB1491" s="4">
        <v>47</v>
      </c>
      <c r="HC1491" s="4">
        <v>46</v>
      </c>
      <c r="HD1491" s="19">
        <v>74</v>
      </c>
      <c r="HE1491" s="19">
        <v>36.5</v>
      </c>
      <c r="HF1491" s="9"/>
      <c r="HG1491" s="19">
        <v>23.7</v>
      </c>
      <c r="HH1491" s="19">
        <v>17.3</v>
      </c>
      <c r="HI1491" s="19">
        <v>16.8</v>
      </c>
      <c r="HJ1491" s="19">
        <v>15.8</v>
      </c>
      <c r="HK1491" s="19">
        <v>14.8</v>
      </c>
      <c r="HL1491" s="19">
        <v>13.8</v>
      </c>
      <c r="HM1491" s="19">
        <v>8.7</v>
      </c>
      <c r="HN1491" s="19">
        <v>8</v>
      </c>
      <c r="HO1491" s="19">
        <v>7.2</v>
      </c>
      <c r="HP1491" s="19">
        <v>6.2</v>
      </c>
      <c r="HQ1491" s="19">
        <v>6.8</v>
      </c>
      <c r="HR1491" s="19">
        <v>7.7</v>
      </c>
      <c r="HS1491" s="19">
        <v>8.5</v>
      </c>
      <c r="HT1491" s="19">
        <v>14</v>
      </c>
      <c r="HU1491" s="19">
        <v>13</v>
      </c>
      <c r="HV1491" s="19">
        <v>12</v>
      </c>
      <c r="HW1491" s="19">
        <v>51</v>
      </c>
      <c r="HX1491" s="19">
        <v>50</v>
      </c>
      <c r="HY1491" s="19">
        <v>49</v>
      </c>
      <c r="HZ1491" s="19">
        <v>49</v>
      </c>
      <c r="IA1491" s="19">
        <v>48</v>
      </c>
      <c r="IB1491" s="19">
        <v>47</v>
      </c>
      <c r="IC1491" s="19">
        <v>46</v>
      </c>
    </row>
    <row r="1492">
      <c r="A1492" s="2" t="s">
        <v>5629</v>
      </c>
      <c r="B1492" s="2" t="s">
        <v>323</v>
      </c>
      <c r="C1492" s="2" t="s">
        <v>1036</v>
      </c>
      <c r="D1492" s="2" t="s">
        <v>257</v>
      </c>
      <c r="E1492" s="2" t="s">
        <v>258</v>
      </c>
      <c r="F1492" s="2" t="s">
        <v>5508</v>
      </c>
      <c r="G1492" s="2" t="s">
        <v>5508</v>
      </c>
      <c r="H1492" s="2" t="s">
        <v>5508</v>
      </c>
      <c r="I1492" s="2" t="s">
        <v>405</v>
      </c>
      <c r="J1492" s="2" t="s">
        <v>250</v>
      </c>
      <c r="K1492" s="2" t="s">
        <v>1463</v>
      </c>
      <c r="L1492" s="3">
        <v>28.05</v>
      </c>
      <c r="M1492" s="3">
        <v>29.45</v>
      </c>
      <c r="N1492" s="3">
        <v>59.99</v>
      </c>
      <c r="O1492" s="2" t="s">
        <v>232</v>
      </c>
      <c r="P1492" s="2" t="s">
        <v>233</v>
      </c>
      <c r="Q1492" s="2" t="s">
        <v>234</v>
      </c>
      <c r="R1492" s="2" t="s">
        <v>235</v>
      </c>
      <c r="S1492" s="2" t="s">
        <v>5625</v>
      </c>
      <c r="T1492" s="2" t="s">
        <v>587</v>
      </c>
      <c r="U1492" s="2" t="s">
        <v>264</v>
      </c>
      <c r="V1492" s="2" t="s">
        <v>238</v>
      </c>
      <c r="W1492" s="2" t="s">
        <v>239</v>
      </c>
      <c r="X1492" s="2" t="s">
        <v>682</v>
      </c>
      <c r="Y1492" s="2" t="s">
        <v>240</v>
      </c>
      <c r="Z1492" s="4">
        <v>107</v>
      </c>
      <c r="AA1492" s="4">
        <f>=ROUNDDOWN(21.4,0)</f>
      </c>
      <c r="AB1492" s="5">
        <v>5</v>
      </c>
      <c r="AC1492" s="2" t="s">
        <v>883</v>
      </c>
      <c r="AD1492" s="4">
        <v>40</v>
      </c>
      <c r="AE1492" s="4">
        <v>40</v>
      </c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235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235</v>
      </c>
      <c r="AW1492" s="8" t="s">
        <v>235</v>
      </c>
      <c r="AX1492" s="4" t="s">
        <v>235</v>
      </c>
      <c r="AY1492" s="8" t="s">
        <v>235</v>
      </c>
      <c r="AZ1492" s="7" t="s">
        <v>235</v>
      </c>
      <c r="BA1492" s="7" t="s">
        <v>235</v>
      </c>
      <c r="BB1492" s="7"/>
      <c r="BC1492" s="4" t="s">
        <v>235</v>
      </c>
      <c r="BD1492" s="8" t="s">
        <v>235</v>
      </c>
      <c r="BE1492" s="4" t="s">
        <v>235</v>
      </c>
      <c r="BF1492" s="8" t="s">
        <v>235</v>
      </c>
      <c r="BG1492" s="7" t="s">
        <v>235</v>
      </c>
      <c r="BH1492" s="7" t="s">
        <v>235</v>
      </c>
      <c r="BI1492" s="7"/>
      <c r="BJ1492" s="4"/>
      <c r="BK1492" s="8"/>
      <c r="BL1492" s="2" t="s">
        <v>597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5510</v>
      </c>
      <c r="BV1492" s="2" t="s">
        <v>243</v>
      </c>
      <c r="BW1492" s="2" t="s">
        <v>235</v>
      </c>
      <c r="BX1492" s="2" t="s">
        <v>383</v>
      </c>
      <c r="BY1492" s="2" t="s">
        <v>245</v>
      </c>
      <c r="BZ1492" s="2" t="s">
        <v>232</v>
      </c>
      <c r="CA1492" s="2" t="s">
        <v>252</v>
      </c>
      <c r="CB1492" s="2" t="s">
        <v>5552</v>
      </c>
      <c r="CC1492" s="2" t="s">
        <v>248</v>
      </c>
      <c r="CD1492" s="2" t="s">
        <v>248</v>
      </c>
      <c r="CE1492" s="2" t="s">
        <v>235</v>
      </c>
      <c r="CF1492" s="4"/>
      <c r="CG1492" s="4">
        <v>52</v>
      </c>
      <c r="CH1492" s="4"/>
      <c r="CI1492" s="4">
        <v>55</v>
      </c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>
        <v>40</v>
      </c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>
        <v>107</v>
      </c>
      <c r="GE1492" s="4">
        <v>145</v>
      </c>
      <c r="GF1492" s="4">
        <v>143</v>
      </c>
      <c r="GG1492" s="4">
        <v>139</v>
      </c>
      <c r="GH1492" s="4">
        <v>135</v>
      </c>
      <c r="GI1492" s="4">
        <v>130</v>
      </c>
      <c r="GJ1492" s="4">
        <v>122</v>
      </c>
      <c r="GK1492" s="4">
        <v>114</v>
      </c>
      <c r="GL1492" s="4">
        <v>108</v>
      </c>
      <c r="GM1492" s="4">
        <v>102</v>
      </c>
      <c r="GN1492" s="4">
        <v>95</v>
      </c>
      <c r="GO1492" s="4">
        <v>86</v>
      </c>
      <c r="GP1492" s="4">
        <v>75</v>
      </c>
      <c r="GQ1492" s="4">
        <v>57</v>
      </c>
      <c r="GR1492" s="4">
        <v>49</v>
      </c>
      <c r="GS1492" s="4">
        <v>39</v>
      </c>
      <c r="GT1492" s="4">
        <v>33</v>
      </c>
      <c r="GU1492" s="4">
        <v>29</v>
      </c>
      <c r="GV1492" s="4">
        <v>24</v>
      </c>
      <c r="GW1492" s="4">
        <v>100</v>
      </c>
      <c r="GX1492" s="4">
        <v>97</v>
      </c>
      <c r="GY1492" s="4">
        <v>94</v>
      </c>
      <c r="GZ1492" s="4">
        <v>92</v>
      </c>
      <c r="HA1492" s="4">
        <v>89</v>
      </c>
      <c r="HB1492" s="4">
        <v>87</v>
      </c>
      <c r="HC1492" s="4">
        <v>85</v>
      </c>
      <c r="HD1492" s="19">
        <v>35.7</v>
      </c>
      <c r="HE1492" s="19">
        <v>36.3</v>
      </c>
      <c r="HF1492" s="19">
        <v>28.6</v>
      </c>
      <c r="HG1492" s="19">
        <v>23.2</v>
      </c>
      <c r="HH1492" s="19">
        <v>19.3</v>
      </c>
      <c r="HI1492" s="19">
        <v>18.6</v>
      </c>
      <c r="HJ1492" s="19">
        <v>17.4</v>
      </c>
      <c r="HK1492" s="19">
        <v>16.3</v>
      </c>
      <c r="HL1492" s="19">
        <v>13.5</v>
      </c>
      <c r="HM1492" s="19">
        <v>9.3</v>
      </c>
      <c r="HN1492" s="19">
        <v>7.9</v>
      </c>
      <c r="HO1492" s="19">
        <v>7.2</v>
      </c>
      <c r="HP1492" s="19">
        <v>7.5</v>
      </c>
      <c r="HQ1492" s="19">
        <v>8.1</v>
      </c>
      <c r="HR1492" s="19">
        <v>8.2</v>
      </c>
      <c r="HS1492" s="19">
        <v>9.8</v>
      </c>
      <c r="HT1492" s="19">
        <v>8.3</v>
      </c>
      <c r="HU1492" s="19">
        <v>7.3</v>
      </c>
      <c r="HV1492" s="19">
        <v>8</v>
      </c>
      <c r="HW1492" s="19">
        <v>33.3</v>
      </c>
      <c r="HX1492" s="19">
        <v>48.5</v>
      </c>
      <c r="HY1492" s="19">
        <v>47</v>
      </c>
      <c r="HZ1492" s="19">
        <v>46</v>
      </c>
      <c r="IA1492" s="19">
        <v>44.5</v>
      </c>
      <c r="IB1492" s="19">
        <v>43.5</v>
      </c>
      <c r="IC1492" s="19">
        <v>85</v>
      </c>
    </row>
    <row r="1493">
      <c r="A1493" s="2" t="s">
        <v>5630</v>
      </c>
      <c r="B1493" s="2" t="s">
        <v>323</v>
      </c>
      <c r="C1493" s="2" t="s">
        <v>1036</v>
      </c>
      <c r="D1493" s="2" t="s">
        <v>257</v>
      </c>
      <c r="E1493" s="2" t="s">
        <v>258</v>
      </c>
      <c r="F1493" s="2" t="s">
        <v>5508</v>
      </c>
      <c r="G1493" s="2" t="s">
        <v>5508</v>
      </c>
      <c r="H1493" s="2" t="s">
        <v>5508</v>
      </c>
      <c r="I1493" s="2" t="s">
        <v>405</v>
      </c>
      <c r="J1493" s="2" t="s">
        <v>261</v>
      </c>
      <c r="K1493" s="2" t="s">
        <v>1463</v>
      </c>
      <c r="L1493" s="3">
        <v>31.3</v>
      </c>
      <c r="M1493" s="3">
        <v>32.86</v>
      </c>
      <c r="N1493" s="3">
        <v>64.99</v>
      </c>
      <c r="O1493" s="2" t="s">
        <v>232</v>
      </c>
      <c r="P1493" s="2" t="s">
        <v>233</v>
      </c>
      <c r="Q1493" s="2" t="s">
        <v>234</v>
      </c>
      <c r="R1493" s="2" t="s">
        <v>235</v>
      </c>
      <c r="S1493" s="2" t="s">
        <v>5625</v>
      </c>
      <c r="T1493" s="2" t="s">
        <v>587</v>
      </c>
      <c r="U1493" s="2" t="s">
        <v>264</v>
      </c>
      <c r="V1493" s="2" t="s">
        <v>238</v>
      </c>
      <c r="W1493" s="2" t="s">
        <v>239</v>
      </c>
      <c r="X1493" s="2" t="s">
        <v>682</v>
      </c>
      <c r="Y1493" s="2" t="s">
        <v>240</v>
      </c>
      <c r="Z1493" s="4">
        <v>304</v>
      </c>
      <c r="AA1493" s="4">
        <f>=ROUNDDOWN(23.3846153846154,0)</f>
      </c>
      <c r="AB1493" s="5">
        <v>13</v>
      </c>
      <c r="AC1493" s="2" t="s">
        <v>883</v>
      </c>
      <c r="AD1493" s="4">
        <v>140</v>
      </c>
      <c r="AE1493" s="4">
        <v>140</v>
      </c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235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235</v>
      </c>
      <c r="AW1493" s="8" t="s">
        <v>235</v>
      </c>
      <c r="AX1493" s="4" t="s">
        <v>235</v>
      </c>
      <c r="AY1493" s="8" t="s">
        <v>235</v>
      </c>
      <c r="AZ1493" s="7" t="s">
        <v>235</v>
      </c>
      <c r="BA1493" s="7" t="s">
        <v>235</v>
      </c>
      <c r="BB1493" s="7"/>
      <c r="BC1493" s="4" t="s">
        <v>235</v>
      </c>
      <c r="BD1493" s="8" t="s">
        <v>235</v>
      </c>
      <c r="BE1493" s="4" t="s">
        <v>235</v>
      </c>
      <c r="BF1493" s="8" t="s">
        <v>235</v>
      </c>
      <c r="BG1493" s="7" t="s">
        <v>235</v>
      </c>
      <c r="BH1493" s="7" t="s">
        <v>235</v>
      </c>
      <c r="BI1493" s="7"/>
      <c r="BJ1493" s="4"/>
      <c r="BK1493" s="8"/>
      <c r="BL1493" s="2" t="s">
        <v>659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5510</v>
      </c>
      <c r="BV1493" s="2" t="s">
        <v>243</v>
      </c>
      <c r="BW1493" s="2" t="s">
        <v>235</v>
      </c>
      <c r="BX1493" s="2" t="s">
        <v>383</v>
      </c>
      <c r="BY1493" s="2" t="s">
        <v>245</v>
      </c>
      <c r="BZ1493" s="2" t="s">
        <v>232</v>
      </c>
      <c r="CA1493" s="2" t="s">
        <v>252</v>
      </c>
      <c r="CB1493" s="2" t="s">
        <v>5631</v>
      </c>
      <c r="CC1493" s="2" t="s">
        <v>248</v>
      </c>
      <c r="CD1493" s="2" t="s">
        <v>248</v>
      </c>
      <c r="CE1493" s="2" t="s">
        <v>235</v>
      </c>
      <c r="CF1493" s="4"/>
      <c r="CG1493" s="4">
        <v>94</v>
      </c>
      <c r="CH1493" s="4"/>
      <c r="CI1493" s="4">
        <v>210</v>
      </c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>
        <v>140</v>
      </c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>
        <v>304</v>
      </c>
      <c r="GE1493" s="4">
        <v>441</v>
      </c>
      <c r="GF1493" s="4">
        <v>433</v>
      </c>
      <c r="GG1493" s="4">
        <v>422</v>
      </c>
      <c r="GH1493" s="4">
        <v>413</v>
      </c>
      <c r="GI1493" s="4">
        <v>399</v>
      </c>
      <c r="GJ1493" s="4">
        <v>379</v>
      </c>
      <c r="GK1493" s="4">
        <v>357</v>
      </c>
      <c r="GL1493" s="4">
        <v>340</v>
      </c>
      <c r="GM1493" s="4">
        <v>324</v>
      </c>
      <c r="GN1493" s="4">
        <v>305</v>
      </c>
      <c r="GO1493" s="4">
        <v>279</v>
      </c>
      <c r="GP1493" s="4">
        <v>248</v>
      </c>
      <c r="GQ1493" s="4">
        <v>196</v>
      </c>
      <c r="GR1493" s="4">
        <v>168</v>
      </c>
      <c r="GS1493" s="4">
        <v>133</v>
      </c>
      <c r="GT1493" s="4">
        <v>112</v>
      </c>
      <c r="GU1493" s="4">
        <v>99</v>
      </c>
      <c r="GV1493" s="4">
        <v>85</v>
      </c>
      <c r="GW1493" s="4">
        <v>256</v>
      </c>
      <c r="GX1493" s="4">
        <v>246</v>
      </c>
      <c r="GY1493" s="4">
        <v>236</v>
      </c>
      <c r="GZ1493" s="4">
        <v>229</v>
      </c>
      <c r="HA1493" s="4">
        <v>221</v>
      </c>
      <c r="HB1493" s="4">
        <v>215</v>
      </c>
      <c r="HC1493" s="4">
        <v>209</v>
      </c>
      <c r="HD1493" s="19">
        <v>38</v>
      </c>
      <c r="HE1493" s="19">
        <v>44.1</v>
      </c>
      <c r="HF1493" s="19">
        <v>30.9</v>
      </c>
      <c r="HG1493" s="19">
        <v>26.4</v>
      </c>
      <c r="HH1493" s="19">
        <v>22.9</v>
      </c>
      <c r="HI1493" s="19">
        <v>21</v>
      </c>
      <c r="HJ1493" s="19">
        <v>21.1</v>
      </c>
      <c r="HK1493" s="19">
        <v>17.9</v>
      </c>
      <c r="HL1493" s="19">
        <v>14.8</v>
      </c>
      <c r="HM1493" s="19">
        <v>10.1</v>
      </c>
      <c r="HN1493" s="19">
        <v>9</v>
      </c>
      <c r="HO1493" s="19">
        <v>7.8</v>
      </c>
      <c r="HP1493" s="19">
        <v>7.3</v>
      </c>
      <c r="HQ1493" s="19">
        <v>8.2</v>
      </c>
      <c r="HR1493" s="19">
        <v>8</v>
      </c>
      <c r="HS1493" s="19">
        <v>9.5</v>
      </c>
      <c r="HT1493" s="19">
        <v>9.3</v>
      </c>
      <c r="HU1493" s="19">
        <v>9</v>
      </c>
      <c r="HV1493" s="19">
        <v>9.4</v>
      </c>
      <c r="HW1493" s="19">
        <v>28.4</v>
      </c>
      <c r="HX1493" s="19">
        <v>30.8</v>
      </c>
      <c r="HY1493" s="19">
        <v>33.7</v>
      </c>
      <c r="HZ1493" s="19">
        <v>38.2</v>
      </c>
      <c r="IA1493" s="19">
        <v>36.8</v>
      </c>
      <c r="IB1493" s="19">
        <v>43</v>
      </c>
      <c r="IC1493" s="19">
        <v>52.3</v>
      </c>
    </row>
    <row r="1494">
      <c r="A1494" s="2" t="s">
        <v>5632</v>
      </c>
      <c r="B1494" s="2" t="s">
        <v>323</v>
      </c>
      <c r="C1494" s="2" t="s">
        <v>1036</v>
      </c>
      <c r="D1494" s="2" t="s">
        <v>257</v>
      </c>
      <c r="E1494" s="2" t="s">
        <v>258</v>
      </c>
      <c r="F1494" s="2" t="s">
        <v>5508</v>
      </c>
      <c r="G1494" s="2" t="s">
        <v>5508</v>
      </c>
      <c r="H1494" s="2" t="s">
        <v>5508</v>
      </c>
      <c r="I1494" s="2" t="s">
        <v>405</v>
      </c>
      <c r="J1494" s="2" t="s">
        <v>270</v>
      </c>
      <c r="K1494" s="2" t="s">
        <v>1463</v>
      </c>
      <c r="L1494" s="3">
        <v>34.85</v>
      </c>
      <c r="M1494" s="3">
        <v>36.59</v>
      </c>
      <c r="N1494" s="3">
        <v>74.99</v>
      </c>
      <c r="O1494" s="2" t="s">
        <v>232</v>
      </c>
      <c r="P1494" s="2" t="s">
        <v>233</v>
      </c>
      <c r="Q1494" s="2" t="s">
        <v>234</v>
      </c>
      <c r="R1494" s="2" t="s">
        <v>235</v>
      </c>
      <c r="S1494" s="2" t="s">
        <v>5625</v>
      </c>
      <c r="T1494" s="2" t="s">
        <v>587</v>
      </c>
      <c r="U1494" s="2" t="s">
        <v>264</v>
      </c>
      <c r="V1494" s="2" t="s">
        <v>238</v>
      </c>
      <c r="W1494" s="2" t="s">
        <v>239</v>
      </c>
      <c r="X1494" s="2" t="s">
        <v>682</v>
      </c>
      <c r="Y1494" s="2" t="s">
        <v>240</v>
      </c>
      <c r="Z1494" s="4">
        <v>178</v>
      </c>
      <c r="AA1494" s="4">
        <f>=ROUNDDOWN(25.4285714285714,0)</f>
      </c>
      <c r="AB1494" s="5">
        <v>7</v>
      </c>
      <c r="AC1494" s="2" t="s">
        <v>883</v>
      </c>
      <c r="AD1494" s="4">
        <v>30</v>
      </c>
      <c r="AE1494" s="4">
        <v>30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235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235</v>
      </c>
      <c r="AW1494" s="8" t="s">
        <v>235</v>
      </c>
      <c r="AX1494" s="4" t="s">
        <v>235</v>
      </c>
      <c r="AY1494" s="8" t="s">
        <v>235</v>
      </c>
      <c r="AZ1494" s="7" t="s">
        <v>235</v>
      </c>
      <c r="BA1494" s="7" t="s">
        <v>235</v>
      </c>
      <c r="BB1494" s="7"/>
      <c r="BC1494" s="4" t="s">
        <v>235</v>
      </c>
      <c r="BD1494" s="8" t="s">
        <v>235</v>
      </c>
      <c r="BE1494" s="4" t="s">
        <v>235</v>
      </c>
      <c r="BF1494" s="8" t="s">
        <v>235</v>
      </c>
      <c r="BG1494" s="7" t="s">
        <v>235</v>
      </c>
      <c r="BH1494" s="7" t="s">
        <v>235</v>
      </c>
      <c r="BI1494" s="7"/>
      <c r="BJ1494" s="4">
        <v>3</v>
      </c>
      <c r="BK1494" s="8">
        <v>116.07</v>
      </c>
      <c r="BL1494" s="2" t="s">
        <v>1259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5510</v>
      </c>
      <c r="BV1494" s="2" t="s">
        <v>243</v>
      </c>
      <c r="BW1494" s="2" t="s">
        <v>235</v>
      </c>
      <c r="BX1494" s="2" t="s">
        <v>383</v>
      </c>
      <c r="BY1494" s="2" t="s">
        <v>245</v>
      </c>
      <c r="BZ1494" s="2" t="s">
        <v>232</v>
      </c>
      <c r="CA1494" s="2" t="s">
        <v>252</v>
      </c>
      <c r="CB1494" s="2" t="s">
        <v>5633</v>
      </c>
      <c r="CC1494" s="2" t="s">
        <v>248</v>
      </c>
      <c r="CD1494" s="2" t="s">
        <v>248</v>
      </c>
      <c r="CE1494" s="2" t="s">
        <v>235</v>
      </c>
      <c r="CF1494" s="4">
        <v>32</v>
      </c>
      <c r="CG1494" s="4">
        <v>146</v>
      </c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>
        <v>30</v>
      </c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>
        <v>178</v>
      </c>
      <c r="GE1494" s="4">
        <v>206</v>
      </c>
      <c r="GF1494" s="4">
        <v>203</v>
      </c>
      <c r="GG1494" s="4">
        <v>198</v>
      </c>
      <c r="GH1494" s="4">
        <v>194</v>
      </c>
      <c r="GI1494" s="4">
        <v>188</v>
      </c>
      <c r="GJ1494" s="4">
        <v>179</v>
      </c>
      <c r="GK1494" s="4">
        <v>167</v>
      </c>
      <c r="GL1494" s="4">
        <v>160</v>
      </c>
      <c r="GM1494" s="4">
        <v>153</v>
      </c>
      <c r="GN1494" s="4">
        <v>142</v>
      </c>
      <c r="GO1494" s="4">
        <v>128</v>
      </c>
      <c r="GP1494" s="4">
        <v>111</v>
      </c>
      <c r="GQ1494" s="4">
        <v>80</v>
      </c>
      <c r="GR1494" s="4">
        <v>68</v>
      </c>
      <c r="GS1494" s="4">
        <v>53</v>
      </c>
      <c r="GT1494" s="4">
        <v>44</v>
      </c>
      <c r="GU1494" s="4">
        <v>38</v>
      </c>
      <c r="GV1494" s="4">
        <v>29</v>
      </c>
      <c r="GW1494" s="4">
        <v>143</v>
      </c>
      <c r="GX1494" s="4">
        <v>137</v>
      </c>
      <c r="GY1494" s="4">
        <v>130</v>
      </c>
      <c r="GZ1494" s="4">
        <v>126</v>
      </c>
      <c r="HA1494" s="4">
        <v>122</v>
      </c>
      <c r="HB1494" s="4">
        <v>119</v>
      </c>
      <c r="HC1494" s="4">
        <v>116</v>
      </c>
      <c r="HD1494" s="19">
        <v>44.5</v>
      </c>
      <c r="HE1494" s="19">
        <v>51.5</v>
      </c>
      <c r="HF1494" s="19">
        <v>33.8</v>
      </c>
      <c r="HG1494" s="19">
        <v>24.8</v>
      </c>
      <c r="HH1494" s="19">
        <v>24.3</v>
      </c>
      <c r="HI1494" s="19">
        <v>20.9</v>
      </c>
      <c r="HJ1494" s="19">
        <v>19.9</v>
      </c>
      <c r="HK1494" s="19">
        <v>16.7</v>
      </c>
      <c r="HL1494" s="19">
        <v>13.3</v>
      </c>
      <c r="HM1494" s="19">
        <v>8.5</v>
      </c>
      <c r="HN1494" s="19">
        <v>7.9</v>
      </c>
      <c r="HO1494" s="19">
        <v>6.7</v>
      </c>
      <c r="HP1494" s="19">
        <v>6.5</v>
      </c>
      <c r="HQ1494" s="19">
        <v>8</v>
      </c>
      <c r="HR1494" s="19">
        <v>6.8</v>
      </c>
      <c r="HS1494" s="19">
        <v>6.6</v>
      </c>
      <c r="HT1494" s="19">
        <v>6.3</v>
      </c>
      <c r="HU1494" s="19">
        <v>5.4</v>
      </c>
      <c r="HV1494" s="19">
        <v>4.8</v>
      </c>
      <c r="HW1494" s="19">
        <v>28.6</v>
      </c>
      <c r="HX1494" s="19">
        <v>34.3</v>
      </c>
      <c r="HY1494" s="19">
        <v>32.5</v>
      </c>
      <c r="HZ1494" s="19">
        <v>42</v>
      </c>
      <c r="IA1494" s="19">
        <v>40.7</v>
      </c>
      <c r="IB1494" s="19">
        <v>39.7</v>
      </c>
      <c r="IC1494" s="19">
        <v>38.7</v>
      </c>
    </row>
    <row r="1495">
      <c r="A1495" s="2" t="s">
        <v>5634</v>
      </c>
      <c r="B1495" s="2" t="s">
        <v>323</v>
      </c>
      <c r="C1495" s="2" t="s">
        <v>1036</v>
      </c>
      <c r="D1495" s="2" t="s">
        <v>257</v>
      </c>
      <c r="E1495" s="2" t="s">
        <v>258</v>
      </c>
      <c r="F1495" s="2" t="s">
        <v>5508</v>
      </c>
      <c r="G1495" s="2" t="s">
        <v>5508</v>
      </c>
      <c r="H1495" s="2" t="s">
        <v>5508</v>
      </c>
      <c r="I1495" s="2" t="s">
        <v>405</v>
      </c>
      <c r="J1495" s="2" t="s">
        <v>272</v>
      </c>
      <c r="K1495" s="2" t="s">
        <v>1463</v>
      </c>
      <c r="L1495" s="3">
        <v>35.4</v>
      </c>
      <c r="M1495" s="3">
        <v>37.17</v>
      </c>
      <c r="N1495" s="3">
        <v>74.99</v>
      </c>
      <c r="O1495" s="2" t="s">
        <v>232</v>
      </c>
      <c r="P1495" s="2" t="s">
        <v>233</v>
      </c>
      <c r="Q1495" s="2" t="s">
        <v>234</v>
      </c>
      <c r="R1495" s="2" t="s">
        <v>235</v>
      </c>
      <c r="S1495" s="2" t="s">
        <v>5625</v>
      </c>
      <c r="T1495" s="2" t="s">
        <v>587</v>
      </c>
      <c r="U1495" s="2" t="s">
        <v>264</v>
      </c>
      <c r="V1495" s="2" t="s">
        <v>238</v>
      </c>
      <c r="W1495" s="2" t="s">
        <v>239</v>
      </c>
      <c r="X1495" s="2" t="s">
        <v>682</v>
      </c>
      <c r="Y1495" s="2" t="s">
        <v>240</v>
      </c>
      <c r="Z1495" s="4">
        <v>132</v>
      </c>
      <c r="AA1495" s="4">
        <f>=ROUNDDOWN(33,0)</f>
      </c>
      <c r="AB1495" s="5">
        <v>4</v>
      </c>
      <c r="AC1495" s="2" t="s">
        <v>235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235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235</v>
      </c>
      <c r="AW1495" s="8" t="s">
        <v>235</v>
      </c>
      <c r="AX1495" s="4" t="s">
        <v>235</v>
      </c>
      <c r="AY1495" s="8" t="s">
        <v>235</v>
      </c>
      <c r="AZ1495" s="7" t="s">
        <v>235</v>
      </c>
      <c r="BA1495" s="7" t="s">
        <v>235</v>
      </c>
      <c r="BB1495" s="7"/>
      <c r="BC1495" s="4" t="s">
        <v>235</v>
      </c>
      <c r="BD1495" s="8" t="s">
        <v>235</v>
      </c>
      <c r="BE1495" s="4" t="s">
        <v>235</v>
      </c>
      <c r="BF1495" s="8" t="s">
        <v>235</v>
      </c>
      <c r="BG1495" s="7" t="s">
        <v>235</v>
      </c>
      <c r="BH1495" s="7" t="s">
        <v>235</v>
      </c>
      <c r="BI1495" s="7"/>
      <c r="BJ1495" s="4"/>
      <c r="BK1495" s="8"/>
      <c r="BL1495" s="2" t="s">
        <v>1616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5510</v>
      </c>
      <c r="BV1495" s="2" t="s">
        <v>243</v>
      </c>
      <c r="BW1495" s="2" t="s">
        <v>235</v>
      </c>
      <c r="BX1495" s="2" t="s">
        <v>383</v>
      </c>
      <c r="BY1495" s="2" t="s">
        <v>245</v>
      </c>
      <c r="BZ1495" s="2" t="s">
        <v>232</v>
      </c>
      <c r="CA1495" s="2" t="s">
        <v>1337</v>
      </c>
      <c r="CB1495" s="2" t="s">
        <v>5635</v>
      </c>
      <c r="CC1495" s="2" t="s">
        <v>248</v>
      </c>
      <c r="CD1495" s="2" t="s">
        <v>248</v>
      </c>
      <c r="CE1495" s="2" t="s">
        <v>235</v>
      </c>
      <c r="CF1495" s="4"/>
      <c r="CG1495" s="4">
        <v>52</v>
      </c>
      <c r="CH1495" s="4"/>
      <c r="CI1495" s="4">
        <v>80</v>
      </c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>
        <v>132</v>
      </c>
      <c r="GE1495" s="4">
        <v>131</v>
      </c>
      <c r="GF1495" s="4">
        <v>130</v>
      </c>
      <c r="GG1495" s="4">
        <v>129</v>
      </c>
      <c r="GH1495" s="4">
        <v>128</v>
      </c>
      <c r="GI1495" s="4">
        <v>126</v>
      </c>
      <c r="GJ1495" s="4">
        <v>120</v>
      </c>
      <c r="GK1495" s="4">
        <v>114</v>
      </c>
      <c r="GL1495" s="4">
        <v>109</v>
      </c>
      <c r="GM1495" s="4">
        <v>105</v>
      </c>
      <c r="GN1495" s="4">
        <v>99</v>
      </c>
      <c r="GO1495" s="4">
        <v>91</v>
      </c>
      <c r="GP1495" s="4">
        <v>82</v>
      </c>
      <c r="GQ1495" s="4">
        <v>64</v>
      </c>
      <c r="GR1495" s="4">
        <v>57</v>
      </c>
      <c r="GS1495" s="4">
        <v>49</v>
      </c>
      <c r="GT1495" s="4">
        <v>44</v>
      </c>
      <c r="GU1495" s="4">
        <v>41</v>
      </c>
      <c r="GV1495" s="4">
        <v>37</v>
      </c>
      <c r="GW1495" s="4">
        <v>77</v>
      </c>
      <c r="GX1495" s="4">
        <v>74</v>
      </c>
      <c r="GY1495" s="4">
        <v>71</v>
      </c>
      <c r="GZ1495" s="4">
        <v>69</v>
      </c>
      <c r="HA1495" s="4">
        <v>67</v>
      </c>
      <c r="HB1495" s="4">
        <v>65</v>
      </c>
      <c r="HC1495" s="4">
        <v>63</v>
      </c>
      <c r="HD1495" s="19">
        <v>132</v>
      </c>
      <c r="HE1495" s="19">
        <v>131</v>
      </c>
      <c r="HF1495" s="19">
        <v>65</v>
      </c>
      <c r="HG1495" s="19">
        <v>32.3</v>
      </c>
      <c r="HH1495" s="19">
        <v>25.6</v>
      </c>
      <c r="HI1495" s="19">
        <v>25.2</v>
      </c>
      <c r="HJ1495" s="19">
        <v>24</v>
      </c>
      <c r="HK1495" s="19">
        <v>19</v>
      </c>
      <c r="HL1495" s="19">
        <v>15.6</v>
      </c>
      <c r="HM1495" s="19">
        <v>10.5</v>
      </c>
      <c r="HN1495" s="19">
        <v>9.9</v>
      </c>
      <c r="HO1495" s="19">
        <v>9.1</v>
      </c>
      <c r="HP1495" s="19">
        <v>8.2</v>
      </c>
      <c r="HQ1495" s="19">
        <v>10.7</v>
      </c>
      <c r="HR1495" s="19">
        <v>11.4</v>
      </c>
      <c r="HS1495" s="19">
        <v>12.3</v>
      </c>
      <c r="HT1495" s="19">
        <v>14.7</v>
      </c>
      <c r="HU1495" s="19">
        <v>13.7</v>
      </c>
      <c r="HV1495" s="19">
        <v>18.5</v>
      </c>
      <c r="HW1495" s="19">
        <v>38.5</v>
      </c>
      <c r="HX1495" s="19">
        <v>37</v>
      </c>
      <c r="HY1495" s="19">
        <v>35.5</v>
      </c>
      <c r="HZ1495" s="19">
        <v>34.5</v>
      </c>
      <c r="IA1495" s="19">
        <v>33.5</v>
      </c>
      <c r="IB1495" s="19">
        <v>32.5</v>
      </c>
      <c r="IC1495" s="19">
        <v>63</v>
      </c>
    </row>
    <row r="1496">
      <c r="A1496" s="2" t="s">
        <v>5636</v>
      </c>
      <c r="B1496" s="2" t="s">
        <v>323</v>
      </c>
      <c r="C1496" s="2" t="s">
        <v>853</v>
      </c>
      <c r="D1496" s="2" t="s">
        <v>257</v>
      </c>
      <c r="E1496" s="2" t="s">
        <v>258</v>
      </c>
      <c r="F1496" s="2" t="s">
        <v>501</v>
      </c>
      <c r="G1496" s="2" t="s">
        <v>501</v>
      </c>
      <c r="H1496" s="2" t="s">
        <v>501</v>
      </c>
      <c r="I1496" s="2" t="s">
        <v>5637</v>
      </c>
      <c r="J1496" s="2" t="s">
        <v>394</v>
      </c>
      <c r="K1496" s="2" t="s">
        <v>231</v>
      </c>
      <c r="L1496" s="3">
        <v>12.25</v>
      </c>
      <c r="M1496" s="3">
        <v>12.86</v>
      </c>
      <c r="N1496" s="3">
        <v>29.99</v>
      </c>
      <c r="O1496" s="2" t="s">
        <v>232</v>
      </c>
      <c r="P1496" s="2" t="s">
        <v>233</v>
      </c>
      <c r="Q1496" s="2" t="s">
        <v>234</v>
      </c>
      <c r="R1496" s="2" t="s">
        <v>235</v>
      </c>
      <c r="S1496" s="2" t="s">
        <v>5638</v>
      </c>
      <c r="T1496" s="2" t="s">
        <v>501</v>
      </c>
      <c r="U1496" s="2" t="s">
        <v>552</v>
      </c>
      <c r="V1496" s="2" t="s">
        <v>238</v>
      </c>
      <c r="W1496" s="2" t="s">
        <v>239</v>
      </c>
      <c r="X1496" s="2" t="s">
        <v>235</v>
      </c>
      <c r="Y1496" s="2" t="s">
        <v>2115</v>
      </c>
      <c r="Z1496" s="4">
        <v>120</v>
      </c>
      <c r="AA1496" s="4">
        <f>=ROUNDDOWN(57.1428571428571,0)</f>
      </c>
      <c r="AB1496" s="5">
        <v>2.1</v>
      </c>
      <c r="AC1496" s="2" t="s">
        <v>235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235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235</v>
      </c>
      <c r="AW1496" s="8" t="s">
        <v>235</v>
      </c>
      <c r="AX1496" s="4" t="s">
        <v>235</v>
      </c>
      <c r="AY1496" s="8" t="s">
        <v>235</v>
      </c>
      <c r="AZ1496" s="7" t="s">
        <v>235</v>
      </c>
      <c r="BA1496" s="7" t="s">
        <v>235</v>
      </c>
      <c r="BB1496" s="7"/>
      <c r="BC1496" s="4" t="s">
        <v>235</v>
      </c>
      <c r="BD1496" s="8" t="s">
        <v>235</v>
      </c>
      <c r="BE1496" s="4" t="s">
        <v>235</v>
      </c>
      <c r="BF1496" s="8" t="s">
        <v>235</v>
      </c>
      <c r="BG1496" s="7" t="s">
        <v>235</v>
      </c>
      <c r="BH1496" s="7" t="s">
        <v>235</v>
      </c>
      <c r="BI1496" s="7"/>
      <c r="BJ1496" s="4">
        <v>11</v>
      </c>
      <c r="BK1496" s="8">
        <v>149.05</v>
      </c>
      <c r="BL1496" s="2" t="s">
        <v>4076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5639</v>
      </c>
      <c r="BV1496" s="2" t="s">
        <v>243</v>
      </c>
      <c r="BW1496" s="2" t="s">
        <v>235</v>
      </c>
      <c r="BX1496" s="2" t="s">
        <v>244</v>
      </c>
      <c r="BY1496" s="2" t="s">
        <v>245</v>
      </c>
      <c r="BZ1496" s="2" t="s">
        <v>232</v>
      </c>
      <c r="CA1496" s="2" t="s">
        <v>415</v>
      </c>
      <c r="CB1496" s="2" t="s">
        <v>235</v>
      </c>
      <c r="CC1496" s="2" t="s">
        <v>248</v>
      </c>
      <c r="CD1496" s="2" t="s">
        <v>248</v>
      </c>
      <c r="CE1496" s="2" t="s">
        <v>235</v>
      </c>
      <c r="CF1496" s="4">
        <v>120</v>
      </c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>
        <v>120</v>
      </c>
      <c r="GE1496" s="4">
        <v>118</v>
      </c>
      <c r="GF1496" s="4">
        <v>116</v>
      </c>
      <c r="GG1496" s="4">
        <v>114</v>
      </c>
      <c r="GH1496" s="4">
        <v>112</v>
      </c>
      <c r="GI1496" s="4">
        <v>110</v>
      </c>
      <c r="GJ1496" s="4">
        <v>108</v>
      </c>
      <c r="GK1496" s="4">
        <v>106</v>
      </c>
      <c r="GL1496" s="4">
        <v>104</v>
      </c>
      <c r="GM1496" s="4">
        <v>102</v>
      </c>
      <c r="GN1496" s="4">
        <v>100</v>
      </c>
      <c r="GO1496" s="4">
        <v>98</v>
      </c>
      <c r="GP1496" s="4">
        <v>95</v>
      </c>
      <c r="GQ1496" s="4">
        <v>89</v>
      </c>
      <c r="GR1496" s="4">
        <v>83</v>
      </c>
      <c r="GS1496" s="4">
        <v>78</v>
      </c>
      <c r="GT1496" s="4">
        <v>75</v>
      </c>
      <c r="GU1496" s="4">
        <v>73</v>
      </c>
      <c r="GV1496" s="4">
        <v>71</v>
      </c>
      <c r="GW1496" s="4">
        <v>108</v>
      </c>
      <c r="GX1496" s="4">
        <v>106</v>
      </c>
      <c r="GY1496" s="4">
        <v>104</v>
      </c>
      <c r="GZ1496" s="4">
        <v>102</v>
      </c>
      <c r="HA1496" s="4">
        <v>100</v>
      </c>
      <c r="HB1496" s="4">
        <v>98</v>
      </c>
      <c r="HC1496" s="4">
        <v>96</v>
      </c>
      <c r="HD1496" s="19">
        <v>60</v>
      </c>
      <c r="HE1496" s="19">
        <v>59</v>
      </c>
      <c r="HF1496" s="19">
        <v>58</v>
      </c>
      <c r="HG1496" s="19">
        <v>57</v>
      </c>
      <c r="HH1496" s="19">
        <v>56</v>
      </c>
      <c r="HI1496" s="19">
        <v>55</v>
      </c>
      <c r="HJ1496" s="19">
        <v>54</v>
      </c>
      <c r="HK1496" s="19">
        <v>53</v>
      </c>
      <c r="HL1496" s="19">
        <v>52</v>
      </c>
      <c r="HM1496" s="19">
        <v>34</v>
      </c>
      <c r="HN1496" s="19">
        <v>25</v>
      </c>
      <c r="HO1496" s="19">
        <v>19.6</v>
      </c>
      <c r="HP1496" s="19">
        <v>19</v>
      </c>
      <c r="HQ1496" s="19">
        <v>22.3</v>
      </c>
      <c r="HR1496" s="19">
        <v>27.7</v>
      </c>
      <c r="HS1496" s="19">
        <v>39</v>
      </c>
      <c r="HT1496" s="19">
        <v>37.5</v>
      </c>
      <c r="HU1496" s="19">
        <v>36.5</v>
      </c>
      <c r="HV1496" s="19">
        <v>35.5</v>
      </c>
      <c r="HW1496" s="19">
        <v>54</v>
      </c>
      <c r="HX1496" s="19">
        <v>53</v>
      </c>
      <c r="HY1496" s="19">
        <v>52</v>
      </c>
      <c r="HZ1496" s="19">
        <v>51</v>
      </c>
      <c r="IA1496" s="19">
        <v>50</v>
      </c>
      <c r="IB1496" s="19">
        <v>49</v>
      </c>
      <c r="IC1496" s="19">
        <v>48</v>
      </c>
    </row>
    <row r="1497">
      <c r="A1497" s="2" t="s">
        <v>5640</v>
      </c>
      <c r="B1497" s="2" t="s">
        <v>323</v>
      </c>
      <c r="C1497" s="2" t="s">
        <v>853</v>
      </c>
      <c r="D1497" s="2" t="s">
        <v>257</v>
      </c>
      <c r="E1497" s="2" t="s">
        <v>258</v>
      </c>
      <c r="F1497" s="2" t="s">
        <v>501</v>
      </c>
      <c r="G1497" s="2" t="s">
        <v>501</v>
      </c>
      <c r="H1497" s="2" t="s">
        <v>501</v>
      </c>
      <c r="I1497" s="2" t="s">
        <v>5637</v>
      </c>
      <c r="J1497" s="2" t="s">
        <v>270</v>
      </c>
      <c r="K1497" s="2" t="s">
        <v>231</v>
      </c>
      <c r="L1497" s="3">
        <v>18.24</v>
      </c>
      <c r="M1497" s="3">
        <v>19.15</v>
      </c>
      <c r="N1497" s="3">
        <v>39.99</v>
      </c>
      <c r="O1497" s="2" t="s">
        <v>232</v>
      </c>
      <c r="P1497" s="2" t="s">
        <v>233</v>
      </c>
      <c r="Q1497" s="2" t="s">
        <v>234</v>
      </c>
      <c r="R1497" s="2" t="s">
        <v>235</v>
      </c>
      <c r="S1497" s="2" t="s">
        <v>5638</v>
      </c>
      <c r="T1497" s="2" t="s">
        <v>501</v>
      </c>
      <c r="U1497" s="2" t="s">
        <v>264</v>
      </c>
      <c r="V1497" s="2" t="s">
        <v>238</v>
      </c>
      <c r="W1497" s="2" t="s">
        <v>239</v>
      </c>
      <c r="X1497" s="2" t="s">
        <v>235</v>
      </c>
      <c r="Y1497" s="2" t="s">
        <v>2115</v>
      </c>
      <c r="Z1497" s="4">
        <v>70</v>
      </c>
      <c r="AA1497" s="4">
        <f>=ROUNDDOWN(25,0)</f>
      </c>
      <c r="AB1497" s="5">
        <v>2.8</v>
      </c>
      <c r="AC1497" s="2" t="s">
        <v>235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235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235</v>
      </c>
      <c r="AW1497" s="8" t="s">
        <v>235</v>
      </c>
      <c r="AX1497" s="4" t="s">
        <v>235</v>
      </c>
      <c r="AY1497" s="8" t="s">
        <v>235</v>
      </c>
      <c r="AZ1497" s="7" t="s">
        <v>235</v>
      </c>
      <c r="BA1497" s="7" t="s">
        <v>235</v>
      </c>
      <c r="BB1497" s="7"/>
      <c r="BC1497" s="4" t="s">
        <v>235</v>
      </c>
      <c r="BD1497" s="8" t="s">
        <v>235</v>
      </c>
      <c r="BE1497" s="4" t="s">
        <v>235</v>
      </c>
      <c r="BF1497" s="8" t="s">
        <v>235</v>
      </c>
      <c r="BG1497" s="7" t="s">
        <v>235</v>
      </c>
      <c r="BH1497" s="7" t="s">
        <v>235</v>
      </c>
      <c r="BI1497" s="7"/>
      <c r="BJ1497" s="4">
        <v>9</v>
      </c>
      <c r="BK1497" s="8">
        <v>181.56</v>
      </c>
      <c r="BL1497" s="2" t="s">
        <v>5641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5639</v>
      </c>
      <c r="BV1497" s="2" t="s">
        <v>243</v>
      </c>
      <c r="BW1497" s="2" t="s">
        <v>235</v>
      </c>
      <c r="BX1497" s="2" t="s">
        <v>244</v>
      </c>
      <c r="BY1497" s="2" t="s">
        <v>245</v>
      </c>
      <c r="BZ1497" s="2" t="s">
        <v>232</v>
      </c>
      <c r="CA1497" s="2" t="s">
        <v>415</v>
      </c>
      <c r="CB1497" s="2" t="s">
        <v>235</v>
      </c>
      <c r="CC1497" s="2" t="s">
        <v>248</v>
      </c>
      <c r="CD1497" s="2" t="s">
        <v>248</v>
      </c>
      <c r="CE1497" s="2" t="s">
        <v>235</v>
      </c>
      <c r="CF1497" s="4">
        <v>70</v>
      </c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>
        <v>71</v>
      </c>
      <c r="GE1497" s="4">
        <v>65</v>
      </c>
      <c r="GF1497" s="4">
        <v>62</v>
      </c>
      <c r="GG1497" s="4">
        <v>59</v>
      </c>
      <c r="GH1497" s="4">
        <v>56</v>
      </c>
      <c r="GI1497" s="4">
        <v>53</v>
      </c>
      <c r="GJ1497" s="4">
        <v>47</v>
      </c>
      <c r="GK1497" s="4">
        <v>41</v>
      </c>
      <c r="GL1497" s="4">
        <v>36</v>
      </c>
      <c r="GM1497" s="4">
        <v>33</v>
      </c>
      <c r="GN1497" s="4">
        <v>30</v>
      </c>
      <c r="GO1497" s="4">
        <v>27</v>
      </c>
      <c r="GP1497" s="4">
        <v>24</v>
      </c>
      <c r="GQ1497" s="4">
        <v>20</v>
      </c>
      <c r="GR1497" s="4">
        <v>16</v>
      </c>
      <c r="GS1497" s="4">
        <v>12</v>
      </c>
      <c r="GT1497" s="4">
        <v>9</v>
      </c>
      <c r="GU1497" s="4">
        <v>6</v>
      </c>
      <c r="GV1497" s="4">
        <v>3</v>
      </c>
      <c r="GW1497" s="4">
        <v>130</v>
      </c>
      <c r="GX1497" s="4">
        <v>127</v>
      </c>
      <c r="GY1497" s="4">
        <v>124</v>
      </c>
      <c r="GZ1497" s="4">
        <v>121</v>
      </c>
      <c r="HA1497" s="4">
        <v>118</v>
      </c>
      <c r="HB1497" s="4">
        <v>115</v>
      </c>
      <c r="HC1497" s="4">
        <v>112</v>
      </c>
      <c r="HD1497" s="19">
        <v>17.8</v>
      </c>
      <c r="HE1497" s="19">
        <v>21.7</v>
      </c>
      <c r="HF1497" s="19">
        <v>15.5</v>
      </c>
      <c r="HG1497" s="19">
        <v>14.8</v>
      </c>
      <c r="HH1497" s="19">
        <v>11.2</v>
      </c>
      <c r="HI1497" s="19">
        <v>10.6</v>
      </c>
      <c r="HJ1497" s="19">
        <v>11.8</v>
      </c>
      <c r="HK1497" s="19">
        <v>10.3</v>
      </c>
      <c r="HL1497" s="19">
        <v>12</v>
      </c>
      <c r="HM1497" s="19">
        <v>11</v>
      </c>
      <c r="HN1497" s="19">
        <v>7.5</v>
      </c>
      <c r="HO1497" s="19">
        <v>6.8</v>
      </c>
      <c r="HP1497" s="19">
        <v>6</v>
      </c>
      <c r="HQ1497" s="19">
        <v>5</v>
      </c>
      <c r="HR1497" s="19">
        <v>5.3</v>
      </c>
      <c r="HS1497" s="19">
        <v>4</v>
      </c>
      <c r="HT1497" s="19">
        <v>3</v>
      </c>
      <c r="HU1497" s="19">
        <v>2</v>
      </c>
      <c r="HV1497" s="19">
        <v>1</v>
      </c>
      <c r="HW1497" s="19">
        <v>43.3</v>
      </c>
      <c r="HX1497" s="19">
        <v>42.3</v>
      </c>
      <c r="HY1497" s="19">
        <v>41.3</v>
      </c>
      <c r="HZ1497" s="19">
        <v>40.3</v>
      </c>
      <c r="IA1497" s="19">
        <v>39.3</v>
      </c>
      <c r="IB1497" s="19">
        <v>38.3</v>
      </c>
      <c r="IC1497" s="19">
        <v>37.3</v>
      </c>
    </row>
    <row r="1498">
      <c r="A1498" s="2" t="s">
        <v>5642</v>
      </c>
      <c r="B1498" s="2" t="s">
        <v>323</v>
      </c>
      <c r="C1498" s="2" t="s">
        <v>853</v>
      </c>
      <c r="D1498" s="2" t="s">
        <v>257</v>
      </c>
      <c r="E1498" s="2" t="s">
        <v>258</v>
      </c>
      <c r="F1498" s="2" t="s">
        <v>501</v>
      </c>
      <c r="G1498" s="2" t="s">
        <v>501</v>
      </c>
      <c r="H1498" s="2" t="s">
        <v>501</v>
      </c>
      <c r="I1498" s="2" t="s">
        <v>5637</v>
      </c>
      <c r="J1498" s="2" t="s">
        <v>270</v>
      </c>
      <c r="K1498" s="2" t="s">
        <v>506</v>
      </c>
      <c r="L1498" s="3">
        <v>16.75</v>
      </c>
      <c r="M1498" s="3">
        <v>17.59</v>
      </c>
      <c r="N1498" s="3">
        <v>37.99</v>
      </c>
      <c r="O1498" s="2" t="s">
        <v>485</v>
      </c>
      <c r="P1498" s="2" t="s">
        <v>408</v>
      </c>
      <c r="Q1498" s="2" t="s">
        <v>234</v>
      </c>
      <c r="R1498" s="2" t="s">
        <v>235</v>
      </c>
      <c r="S1498" s="2" t="s">
        <v>5643</v>
      </c>
      <c r="T1498" s="2" t="s">
        <v>501</v>
      </c>
      <c r="U1498" s="2" t="s">
        <v>264</v>
      </c>
      <c r="V1498" s="2" t="s">
        <v>238</v>
      </c>
      <c r="W1498" s="2" t="s">
        <v>239</v>
      </c>
      <c r="X1498" s="2" t="s">
        <v>235</v>
      </c>
      <c r="Y1498" s="2" t="s">
        <v>2115</v>
      </c>
      <c r="Z1498" s="4"/>
      <c r="AA1498" s="4">
        <f>=ROUNDDOWN({0},0)</f>
      </c>
      <c r="AB1498" s="5">
        <v>1.3</v>
      </c>
      <c r="AC1498" s="2" t="s">
        <v>235</v>
      </c>
      <c r="AD1498" s="4"/>
      <c r="AE1498" s="4"/>
      <c r="AF1498" s="6">
        <v>65</v>
      </c>
      <c r="AG1498" s="6"/>
      <c r="AH1498" s="7">
        <v>0.8387</v>
      </c>
      <c r="AI1498" s="4"/>
      <c r="AJ1498" s="4">
        <f>=ROUNDDOWN({0},0)</f>
      </c>
      <c r="AK1498" s="5"/>
      <c r="AL1498" s="2" t="s">
        <v>235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 t="s">
        <v>235</v>
      </c>
      <c r="BD1498" s="8" t="s">
        <v>235</v>
      </c>
      <c r="BE1498" s="4" t="s">
        <v>235</v>
      </c>
      <c r="BF1498" s="8" t="s">
        <v>235</v>
      </c>
      <c r="BG1498" s="7" t="s">
        <v>235</v>
      </c>
      <c r="BH1498" s="7" t="s">
        <v>235</v>
      </c>
      <c r="BI1498" s="7"/>
      <c r="BJ1498" s="4">
        <v>4</v>
      </c>
      <c r="BK1498" s="8">
        <v>70.16</v>
      </c>
      <c r="BL1498" s="2" t="s">
        <v>3243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5639</v>
      </c>
      <c r="BV1498" s="2" t="s">
        <v>243</v>
      </c>
      <c r="BW1498" s="2" t="s">
        <v>235</v>
      </c>
      <c r="BX1498" s="2" t="s">
        <v>414</v>
      </c>
      <c r="BY1498" s="2" t="s">
        <v>245</v>
      </c>
      <c r="BZ1498" s="2" t="s">
        <v>232</v>
      </c>
      <c r="CA1498" s="2" t="s">
        <v>415</v>
      </c>
      <c r="CB1498" s="2" t="s">
        <v>235</v>
      </c>
      <c r="CC1498" s="2" t="s">
        <v>248</v>
      </c>
      <c r="CD1498" s="2" t="s">
        <v>248</v>
      </c>
      <c r="CE1498" s="2" t="s">
        <v>235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>
        <v>2</v>
      </c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19">
        <v>1</v>
      </c>
      <c r="HE1498" s="20">
        <v>0</v>
      </c>
      <c r="HF1498" s="20">
        <v>0</v>
      </c>
      <c r="HG1498" s="20">
        <v>0</v>
      </c>
      <c r="HH1498" s="20">
        <v>0</v>
      </c>
      <c r="HI1498" s="20">
        <v>0</v>
      </c>
      <c r="HJ1498" s="20">
        <v>0</v>
      </c>
      <c r="HK1498" s="20">
        <v>0</v>
      </c>
      <c r="HL1498" s="20">
        <v>0</v>
      </c>
      <c r="HM1498" s="20">
        <v>0</v>
      </c>
      <c r="HN1498" s="20">
        <v>0</v>
      </c>
      <c r="HO1498" s="20">
        <v>0</v>
      </c>
      <c r="HP1498" s="20">
        <v>0</v>
      </c>
      <c r="HQ1498" s="20">
        <v>0</v>
      </c>
      <c r="HR1498" s="20">
        <v>0</v>
      </c>
      <c r="HS1498" s="20">
        <v>0</v>
      </c>
      <c r="HT1498" s="20">
        <v>0</v>
      </c>
      <c r="HU1498" s="20">
        <v>0</v>
      </c>
      <c r="HV1498" s="20">
        <v>0</v>
      </c>
      <c r="HW1498" s="20">
        <v>0</v>
      </c>
      <c r="HX1498" s="20">
        <v>0</v>
      </c>
      <c r="HY1498" s="20">
        <v>0</v>
      </c>
      <c r="HZ1498" s="20">
        <v>0</v>
      </c>
      <c r="IA1498" s="20">
        <v>0</v>
      </c>
      <c r="IB1498" s="20">
        <v>0</v>
      </c>
      <c r="IC1498" s="20">
        <v>0</v>
      </c>
    </row>
    <row r="1499">
      <c r="A1499" s="2" t="s">
        <v>5644</v>
      </c>
      <c r="B1499" s="2" t="s">
        <v>323</v>
      </c>
      <c r="C1499" s="2" t="s">
        <v>853</v>
      </c>
      <c r="D1499" s="2" t="s">
        <v>257</v>
      </c>
      <c r="E1499" s="2" t="s">
        <v>258</v>
      </c>
      <c r="F1499" s="2" t="s">
        <v>501</v>
      </c>
      <c r="G1499" s="2" t="s">
        <v>501</v>
      </c>
      <c r="H1499" s="2" t="s">
        <v>501</v>
      </c>
      <c r="I1499" s="2" t="s">
        <v>5637</v>
      </c>
      <c r="J1499" s="2" t="s">
        <v>394</v>
      </c>
      <c r="K1499" s="2" t="s">
        <v>338</v>
      </c>
      <c r="L1499" s="3">
        <v>12.25</v>
      </c>
      <c r="M1499" s="3">
        <v>12.86</v>
      </c>
      <c r="N1499" s="3">
        <v>29.99</v>
      </c>
      <c r="O1499" s="2" t="s">
        <v>232</v>
      </c>
      <c r="P1499" s="2" t="s">
        <v>233</v>
      </c>
      <c r="Q1499" s="2" t="s">
        <v>234</v>
      </c>
      <c r="R1499" s="2" t="s">
        <v>235</v>
      </c>
      <c r="S1499" s="2" t="s">
        <v>5645</v>
      </c>
      <c r="T1499" s="2" t="s">
        <v>501</v>
      </c>
      <c r="U1499" s="2" t="s">
        <v>235</v>
      </c>
      <c r="V1499" s="2" t="s">
        <v>238</v>
      </c>
      <c r="W1499" s="2" t="s">
        <v>239</v>
      </c>
      <c r="X1499" s="2" t="s">
        <v>235</v>
      </c>
      <c r="Y1499" s="2" t="s">
        <v>240</v>
      </c>
      <c r="Z1499" s="4">
        <v>279</v>
      </c>
      <c r="AA1499" s="4">
        <f>=ROUNDDOWN(93,0)</f>
      </c>
      <c r="AB1499" s="5">
        <v>3</v>
      </c>
      <c r="AC1499" s="2" t="s">
        <v>235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235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235</v>
      </c>
      <c r="AW1499" s="8" t="s">
        <v>235</v>
      </c>
      <c r="AX1499" s="4" t="s">
        <v>235</v>
      </c>
      <c r="AY1499" s="8" t="s">
        <v>235</v>
      </c>
      <c r="AZ1499" s="7" t="s">
        <v>235</v>
      </c>
      <c r="BA1499" s="7" t="s">
        <v>235</v>
      </c>
      <c r="BB1499" s="7" t="s">
        <v>235</v>
      </c>
      <c r="BC1499" s="4" t="s">
        <v>235</v>
      </c>
      <c r="BD1499" s="8" t="s">
        <v>235</v>
      </c>
      <c r="BE1499" s="4" t="s">
        <v>235</v>
      </c>
      <c r="BF1499" s="8" t="s">
        <v>235</v>
      </c>
      <c r="BG1499" s="7" t="s">
        <v>235</v>
      </c>
      <c r="BH1499" s="7" t="s">
        <v>235</v>
      </c>
      <c r="BI1499" s="7"/>
      <c r="BJ1499" s="4">
        <v>42</v>
      </c>
      <c r="BK1499" s="8">
        <v>614.54</v>
      </c>
      <c r="BL1499" s="2" t="s">
        <v>5646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5639</v>
      </c>
      <c r="BV1499" s="2" t="s">
        <v>243</v>
      </c>
      <c r="BW1499" s="2" t="s">
        <v>235</v>
      </c>
      <c r="BX1499" s="2" t="s">
        <v>244</v>
      </c>
      <c r="BY1499" s="2" t="s">
        <v>245</v>
      </c>
      <c r="BZ1499" s="2" t="s">
        <v>232</v>
      </c>
      <c r="CA1499" s="2" t="s">
        <v>5544</v>
      </c>
      <c r="CB1499" s="2" t="s">
        <v>5615</v>
      </c>
      <c r="CC1499" s="2" t="s">
        <v>248</v>
      </c>
      <c r="CD1499" s="2" t="s">
        <v>248</v>
      </c>
      <c r="CE1499" s="2" t="s">
        <v>235</v>
      </c>
      <c r="CF1499" s="4">
        <v>279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>
        <v>282</v>
      </c>
      <c r="GE1499" s="4">
        <v>269</v>
      </c>
      <c r="GF1499" s="4">
        <v>266</v>
      </c>
      <c r="GG1499" s="4">
        <v>263</v>
      </c>
      <c r="GH1499" s="4">
        <v>260</v>
      </c>
      <c r="GI1499" s="4">
        <v>257</v>
      </c>
      <c r="GJ1499" s="4">
        <v>252</v>
      </c>
      <c r="GK1499" s="4">
        <v>247</v>
      </c>
      <c r="GL1499" s="4">
        <v>242</v>
      </c>
      <c r="GM1499" s="4">
        <v>239</v>
      </c>
      <c r="GN1499" s="4">
        <v>236</v>
      </c>
      <c r="GO1499" s="4">
        <v>233</v>
      </c>
      <c r="GP1499" s="4">
        <v>229</v>
      </c>
      <c r="GQ1499" s="4">
        <v>222</v>
      </c>
      <c r="GR1499" s="4">
        <v>215</v>
      </c>
      <c r="GS1499" s="4">
        <v>209</v>
      </c>
      <c r="GT1499" s="4">
        <v>205</v>
      </c>
      <c r="GU1499" s="4">
        <v>202</v>
      </c>
      <c r="GV1499" s="4">
        <v>199</v>
      </c>
      <c r="GW1499" s="4">
        <v>196</v>
      </c>
      <c r="GX1499" s="4">
        <v>193</v>
      </c>
      <c r="GY1499" s="4">
        <v>190</v>
      </c>
      <c r="GZ1499" s="4">
        <v>187</v>
      </c>
      <c r="HA1499" s="4">
        <v>184</v>
      </c>
      <c r="HB1499" s="4">
        <v>181</v>
      </c>
      <c r="HC1499" s="4">
        <v>178</v>
      </c>
      <c r="HD1499" s="19">
        <v>47</v>
      </c>
      <c r="HE1499" s="19">
        <v>89.7</v>
      </c>
      <c r="HF1499" s="19">
        <v>66.5</v>
      </c>
      <c r="HG1499" s="19">
        <v>65.8</v>
      </c>
      <c r="HH1499" s="19">
        <v>65</v>
      </c>
      <c r="HI1499" s="19">
        <v>64.3</v>
      </c>
      <c r="HJ1499" s="19">
        <v>63</v>
      </c>
      <c r="HK1499" s="19">
        <v>61.8</v>
      </c>
      <c r="HL1499" s="19">
        <v>80.7</v>
      </c>
      <c r="HM1499" s="19">
        <v>59.8</v>
      </c>
      <c r="HN1499" s="19">
        <v>47.2</v>
      </c>
      <c r="HO1499" s="19">
        <v>38.8</v>
      </c>
      <c r="HP1499" s="19">
        <v>38.2</v>
      </c>
      <c r="HQ1499" s="19">
        <v>44.4</v>
      </c>
      <c r="HR1499" s="19">
        <v>53.8</v>
      </c>
      <c r="HS1499" s="19">
        <v>69.7</v>
      </c>
      <c r="HT1499" s="19">
        <v>68.3</v>
      </c>
      <c r="HU1499" s="19">
        <v>67.3</v>
      </c>
      <c r="HV1499" s="19">
        <v>66.3</v>
      </c>
      <c r="HW1499" s="19">
        <v>65.3</v>
      </c>
      <c r="HX1499" s="19">
        <v>64.3</v>
      </c>
      <c r="HY1499" s="19">
        <v>63.3</v>
      </c>
      <c r="HZ1499" s="19">
        <v>62.3</v>
      </c>
      <c r="IA1499" s="19">
        <v>61.3</v>
      </c>
      <c r="IB1499" s="19">
        <v>60.3</v>
      </c>
      <c r="IC1499" s="19">
        <v>59.3</v>
      </c>
    </row>
    <row r="1500">
      <c r="A1500" s="2" t="s">
        <v>5647</v>
      </c>
      <c r="B1500" s="2" t="s">
        <v>323</v>
      </c>
      <c r="C1500" s="2" t="s">
        <v>853</v>
      </c>
      <c r="D1500" s="2" t="s">
        <v>257</v>
      </c>
      <c r="E1500" s="2" t="s">
        <v>258</v>
      </c>
      <c r="F1500" s="2" t="s">
        <v>501</v>
      </c>
      <c r="G1500" s="2" t="s">
        <v>501</v>
      </c>
      <c r="H1500" s="2" t="s">
        <v>501</v>
      </c>
      <c r="I1500" s="2" t="s">
        <v>5648</v>
      </c>
      <c r="J1500" s="2" t="s">
        <v>394</v>
      </c>
      <c r="K1500" s="2" t="s">
        <v>338</v>
      </c>
      <c r="L1500" s="3">
        <v>12.25</v>
      </c>
      <c r="M1500" s="3">
        <v>12.86</v>
      </c>
      <c r="N1500" s="3">
        <v>29.99</v>
      </c>
      <c r="O1500" s="2" t="s">
        <v>232</v>
      </c>
      <c r="P1500" s="2" t="s">
        <v>233</v>
      </c>
      <c r="Q1500" s="2" t="s">
        <v>234</v>
      </c>
      <c r="R1500" s="2" t="s">
        <v>235</v>
      </c>
      <c r="S1500" s="2" t="s">
        <v>5645</v>
      </c>
      <c r="T1500" s="2" t="s">
        <v>501</v>
      </c>
      <c r="U1500" s="2" t="s">
        <v>264</v>
      </c>
      <c r="V1500" s="2" t="s">
        <v>238</v>
      </c>
      <c r="W1500" s="2" t="s">
        <v>239</v>
      </c>
      <c r="X1500" s="2" t="s">
        <v>682</v>
      </c>
      <c r="Y1500" s="2" t="s">
        <v>5649</v>
      </c>
      <c r="Z1500" s="4">
        <v>175</v>
      </c>
      <c r="AA1500" s="4">
        <f>=ROUNDDOWN(175,0)</f>
      </c>
      <c r="AB1500" s="5">
        <v>1</v>
      </c>
      <c r="AC1500" s="2" t="s">
        <v>235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235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235</v>
      </c>
      <c r="AW1500" s="8" t="s">
        <v>235</v>
      </c>
      <c r="AX1500" s="4" t="s">
        <v>235</v>
      </c>
      <c r="AY1500" s="8" t="s">
        <v>235</v>
      </c>
      <c r="AZ1500" s="7" t="s">
        <v>235</v>
      </c>
      <c r="BA1500" s="7" t="s">
        <v>235</v>
      </c>
      <c r="BB1500" s="7" t="s">
        <v>235</v>
      </c>
      <c r="BC1500" s="4" t="s">
        <v>235</v>
      </c>
      <c r="BD1500" s="8" t="s">
        <v>235</v>
      </c>
      <c r="BE1500" s="4" t="s">
        <v>235</v>
      </c>
      <c r="BF1500" s="8" t="s">
        <v>235</v>
      </c>
      <c r="BG1500" s="7" t="s">
        <v>235</v>
      </c>
      <c r="BH1500" s="7" t="s">
        <v>235</v>
      </c>
      <c r="BI1500" s="7"/>
      <c r="BJ1500" s="4">
        <v>4</v>
      </c>
      <c r="BK1500" s="8">
        <v>56.32</v>
      </c>
      <c r="BL1500" s="2" t="s">
        <v>2305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5650</v>
      </c>
      <c r="BV1500" s="2" t="s">
        <v>243</v>
      </c>
      <c r="BW1500" s="2" t="s">
        <v>235</v>
      </c>
      <c r="BX1500" s="2" t="s">
        <v>244</v>
      </c>
      <c r="BY1500" s="2" t="s">
        <v>245</v>
      </c>
      <c r="BZ1500" s="2" t="s">
        <v>232</v>
      </c>
      <c r="CA1500" s="2" t="s">
        <v>5651</v>
      </c>
      <c r="CB1500" s="2" t="s">
        <v>5652</v>
      </c>
      <c r="CC1500" s="2" t="s">
        <v>248</v>
      </c>
      <c r="CD1500" s="2" t="s">
        <v>248</v>
      </c>
      <c r="CE1500" s="2" t="s">
        <v>235</v>
      </c>
      <c r="CF1500" s="4">
        <v>175</v>
      </c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>
        <v>176</v>
      </c>
      <c r="GE1500" s="4">
        <v>174</v>
      </c>
      <c r="GF1500" s="4">
        <v>173</v>
      </c>
      <c r="GG1500" s="4">
        <v>172</v>
      </c>
      <c r="GH1500" s="4">
        <v>171</v>
      </c>
      <c r="GI1500" s="4">
        <v>170</v>
      </c>
      <c r="GJ1500" s="4">
        <v>169</v>
      </c>
      <c r="GK1500" s="4">
        <v>168</v>
      </c>
      <c r="GL1500" s="4">
        <v>167</v>
      </c>
      <c r="GM1500" s="4">
        <v>166</v>
      </c>
      <c r="GN1500" s="4">
        <v>165</v>
      </c>
      <c r="GO1500" s="4">
        <v>164</v>
      </c>
      <c r="GP1500" s="4">
        <v>163</v>
      </c>
      <c r="GQ1500" s="4">
        <v>160</v>
      </c>
      <c r="GR1500" s="4">
        <v>157</v>
      </c>
      <c r="GS1500" s="4">
        <v>154</v>
      </c>
      <c r="GT1500" s="4">
        <v>153</v>
      </c>
      <c r="GU1500" s="4">
        <v>152</v>
      </c>
      <c r="GV1500" s="4">
        <v>151</v>
      </c>
      <c r="GW1500" s="4">
        <v>150</v>
      </c>
      <c r="GX1500" s="4">
        <v>149</v>
      </c>
      <c r="GY1500" s="4">
        <v>148</v>
      </c>
      <c r="GZ1500" s="4">
        <v>147</v>
      </c>
      <c r="HA1500" s="4">
        <v>146</v>
      </c>
      <c r="HB1500" s="4">
        <v>145</v>
      </c>
      <c r="HC1500" s="4">
        <v>144</v>
      </c>
      <c r="HD1500" s="19">
        <v>176</v>
      </c>
      <c r="HE1500" s="19">
        <v>174</v>
      </c>
      <c r="HF1500" s="19">
        <v>173</v>
      </c>
      <c r="HG1500" s="19">
        <v>172</v>
      </c>
      <c r="HH1500" s="19">
        <v>171</v>
      </c>
      <c r="HI1500" s="19">
        <v>170</v>
      </c>
      <c r="HJ1500" s="19">
        <v>169</v>
      </c>
      <c r="HK1500" s="19">
        <v>168</v>
      </c>
      <c r="HL1500" s="19">
        <v>167</v>
      </c>
      <c r="HM1500" s="19">
        <v>83</v>
      </c>
      <c r="HN1500" s="19">
        <v>82.5</v>
      </c>
      <c r="HO1500" s="19">
        <v>82</v>
      </c>
      <c r="HP1500" s="19">
        <v>81.5</v>
      </c>
      <c r="HQ1500" s="19">
        <v>80</v>
      </c>
      <c r="HR1500" s="19">
        <v>78.5</v>
      </c>
      <c r="HS1500" s="19">
        <v>154</v>
      </c>
      <c r="HT1500" s="19">
        <v>153</v>
      </c>
      <c r="HU1500" s="19">
        <v>152</v>
      </c>
      <c r="HV1500" s="19">
        <v>151</v>
      </c>
      <c r="HW1500" s="19">
        <v>150</v>
      </c>
      <c r="HX1500" s="19">
        <v>149</v>
      </c>
      <c r="HY1500" s="19">
        <v>148</v>
      </c>
      <c r="HZ1500" s="19">
        <v>147</v>
      </c>
      <c r="IA1500" s="19">
        <v>146</v>
      </c>
      <c r="IB1500" s="19">
        <v>145</v>
      </c>
      <c r="IC1500" s="19">
        <v>144</v>
      </c>
    </row>
    <row r="1501">
      <c r="A1501" s="2" t="s">
        <v>5653</v>
      </c>
      <c r="B1501" s="2" t="s">
        <v>323</v>
      </c>
      <c r="C1501" s="2" t="s">
        <v>853</v>
      </c>
      <c r="D1501" s="2" t="s">
        <v>257</v>
      </c>
      <c r="E1501" s="2" t="s">
        <v>258</v>
      </c>
      <c r="F1501" s="2" t="s">
        <v>501</v>
      </c>
      <c r="G1501" s="2" t="s">
        <v>501</v>
      </c>
      <c r="H1501" s="2" t="s">
        <v>501</v>
      </c>
      <c r="I1501" s="2" t="s">
        <v>5637</v>
      </c>
      <c r="J1501" s="2" t="s">
        <v>230</v>
      </c>
      <c r="K1501" s="2" t="s">
        <v>338</v>
      </c>
      <c r="L1501" s="3">
        <v>12.27</v>
      </c>
      <c r="M1501" s="3">
        <v>12.88</v>
      </c>
      <c r="N1501" s="3">
        <v>29.99</v>
      </c>
      <c r="O1501" s="2" t="s">
        <v>232</v>
      </c>
      <c r="P1501" s="2" t="s">
        <v>233</v>
      </c>
      <c r="Q1501" s="2" t="s">
        <v>234</v>
      </c>
      <c r="R1501" s="2" t="s">
        <v>235</v>
      </c>
      <c r="S1501" s="2" t="s">
        <v>5645</v>
      </c>
      <c r="T1501" s="2" t="s">
        <v>501</v>
      </c>
      <c r="U1501" s="2" t="s">
        <v>235</v>
      </c>
      <c r="V1501" s="2" t="s">
        <v>238</v>
      </c>
      <c r="W1501" s="2" t="s">
        <v>239</v>
      </c>
      <c r="X1501" s="2" t="s">
        <v>235</v>
      </c>
      <c r="Y1501" s="2" t="s">
        <v>240</v>
      </c>
      <c r="Z1501" s="4">
        <v>191</v>
      </c>
      <c r="AA1501" s="4">
        <f>=ROUNDDOWN(106.111111111111,0)</f>
      </c>
      <c r="AB1501" s="5">
        <v>1.8</v>
      </c>
      <c r="AC1501" s="2" t="s">
        <v>235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235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235</v>
      </c>
      <c r="AW1501" s="8" t="s">
        <v>235</v>
      </c>
      <c r="AX1501" s="4" t="s">
        <v>235</v>
      </c>
      <c r="AY1501" s="8" t="s">
        <v>235</v>
      </c>
      <c r="AZ1501" s="7" t="s">
        <v>235</v>
      </c>
      <c r="BA1501" s="7" t="s">
        <v>235</v>
      </c>
      <c r="BB1501" s="7" t="s">
        <v>235</v>
      </c>
      <c r="BC1501" s="4" t="s">
        <v>235</v>
      </c>
      <c r="BD1501" s="8" t="s">
        <v>235</v>
      </c>
      <c r="BE1501" s="4" t="s">
        <v>235</v>
      </c>
      <c r="BF1501" s="8" t="s">
        <v>235</v>
      </c>
      <c r="BG1501" s="7" t="s">
        <v>235</v>
      </c>
      <c r="BH1501" s="7" t="s">
        <v>235</v>
      </c>
      <c r="BI1501" s="7"/>
      <c r="BJ1501" s="4">
        <v>22</v>
      </c>
      <c r="BK1501" s="8">
        <v>298.57</v>
      </c>
      <c r="BL1501" s="2" t="s">
        <v>5654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5639</v>
      </c>
      <c r="BV1501" s="2" t="s">
        <v>243</v>
      </c>
      <c r="BW1501" s="2" t="s">
        <v>235</v>
      </c>
      <c r="BX1501" s="2" t="s">
        <v>244</v>
      </c>
      <c r="BY1501" s="2" t="s">
        <v>245</v>
      </c>
      <c r="BZ1501" s="2" t="s">
        <v>232</v>
      </c>
      <c r="CA1501" s="2" t="s">
        <v>5544</v>
      </c>
      <c r="CB1501" s="2" t="s">
        <v>2018</v>
      </c>
      <c r="CC1501" s="2" t="s">
        <v>248</v>
      </c>
      <c r="CD1501" s="2" t="s">
        <v>248</v>
      </c>
      <c r="CE1501" s="2" t="s">
        <v>235</v>
      </c>
      <c r="CF1501" s="4">
        <v>191</v>
      </c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>
        <v>193</v>
      </c>
      <c r="GE1501" s="4">
        <v>189</v>
      </c>
      <c r="GF1501" s="4">
        <v>187</v>
      </c>
      <c r="GG1501" s="4">
        <v>185</v>
      </c>
      <c r="GH1501" s="4">
        <v>183</v>
      </c>
      <c r="GI1501" s="4">
        <v>181</v>
      </c>
      <c r="GJ1501" s="4">
        <v>179</v>
      </c>
      <c r="GK1501" s="4">
        <v>177</v>
      </c>
      <c r="GL1501" s="4">
        <v>175</v>
      </c>
      <c r="GM1501" s="4">
        <v>173</v>
      </c>
      <c r="GN1501" s="4">
        <v>171</v>
      </c>
      <c r="GO1501" s="4">
        <v>168</v>
      </c>
      <c r="GP1501" s="4">
        <v>165</v>
      </c>
      <c r="GQ1501" s="4">
        <v>159</v>
      </c>
      <c r="GR1501" s="4">
        <v>151</v>
      </c>
      <c r="GS1501" s="4">
        <v>145</v>
      </c>
      <c r="GT1501" s="4">
        <v>142</v>
      </c>
      <c r="GU1501" s="4">
        <v>139</v>
      </c>
      <c r="GV1501" s="4">
        <v>137</v>
      </c>
      <c r="GW1501" s="4">
        <v>135</v>
      </c>
      <c r="GX1501" s="4">
        <v>133</v>
      </c>
      <c r="GY1501" s="4">
        <v>131</v>
      </c>
      <c r="GZ1501" s="4">
        <v>129</v>
      </c>
      <c r="HA1501" s="4">
        <v>127</v>
      </c>
      <c r="HB1501" s="4">
        <v>125</v>
      </c>
      <c r="HC1501" s="4">
        <v>123</v>
      </c>
      <c r="HD1501" s="19">
        <v>96.5</v>
      </c>
      <c r="HE1501" s="19">
        <v>94.5</v>
      </c>
      <c r="HF1501" s="19">
        <v>93.5</v>
      </c>
      <c r="HG1501" s="19">
        <v>92.5</v>
      </c>
      <c r="HH1501" s="19">
        <v>91.5</v>
      </c>
      <c r="HI1501" s="19">
        <v>90.5</v>
      </c>
      <c r="HJ1501" s="19">
        <v>89.5</v>
      </c>
      <c r="HK1501" s="19">
        <v>88.5</v>
      </c>
      <c r="HL1501" s="19">
        <v>87.5</v>
      </c>
      <c r="HM1501" s="19">
        <v>43.3</v>
      </c>
      <c r="HN1501" s="19">
        <v>34.2</v>
      </c>
      <c r="HO1501" s="19">
        <v>28</v>
      </c>
      <c r="HP1501" s="19">
        <v>27.5</v>
      </c>
      <c r="HQ1501" s="19">
        <v>31.8</v>
      </c>
      <c r="HR1501" s="19">
        <v>37.8</v>
      </c>
      <c r="HS1501" s="19">
        <v>72.5</v>
      </c>
      <c r="HT1501" s="19">
        <v>71</v>
      </c>
      <c r="HU1501" s="19">
        <v>69.5</v>
      </c>
      <c r="HV1501" s="19">
        <v>68.5</v>
      </c>
      <c r="HW1501" s="19">
        <v>67.5</v>
      </c>
      <c r="HX1501" s="19">
        <v>66.5</v>
      </c>
      <c r="HY1501" s="19">
        <v>65.5</v>
      </c>
      <c r="HZ1501" s="19">
        <v>64.5</v>
      </c>
      <c r="IA1501" s="19">
        <v>63.5</v>
      </c>
      <c r="IB1501" s="19">
        <v>62.5</v>
      </c>
      <c r="IC1501" s="19">
        <v>61.5</v>
      </c>
    </row>
    <row r="1502">
      <c r="A1502" s="2" t="s">
        <v>5655</v>
      </c>
      <c r="B1502" s="2" t="s">
        <v>323</v>
      </c>
      <c r="C1502" s="2" t="s">
        <v>853</v>
      </c>
      <c r="D1502" s="2" t="s">
        <v>257</v>
      </c>
      <c r="E1502" s="2" t="s">
        <v>258</v>
      </c>
      <c r="F1502" s="2" t="s">
        <v>501</v>
      </c>
      <c r="G1502" s="2" t="s">
        <v>501</v>
      </c>
      <c r="H1502" s="2" t="s">
        <v>501</v>
      </c>
      <c r="I1502" s="2" t="s">
        <v>5648</v>
      </c>
      <c r="J1502" s="2" t="s">
        <v>230</v>
      </c>
      <c r="K1502" s="2" t="s">
        <v>338</v>
      </c>
      <c r="L1502" s="3">
        <v>12.27</v>
      </c>
      <c r="M1502" s="3">
        <v>12.88</v>
      </c>
      <c r="N1502" s="3">
        <v>29.99</v>
      </c>
      <c r="O1502" s="2" t="s">
        <v>232</v>
      </c>
      <c r="P1502" s="2" t="s">
        <v>233</v>
      </c>
      <c r="Q1502" s="2" t="s">
        <v>234</v>
      </c>
      <c r="R1502" s="2" t="s">
        <v>235</v>
      </c>
      <c r="S1502" s="2" t="s">
        <v>5645</v>
      </c>
      <c r="T1502" s="2" t="s">
        <v>501</v>
      </c>
      <c r="U1502" s="2" t="s">
        <v>264</v>
      </c>
      <c r="V1502" s="2" t="s">
        <v>238</v>
      </c>
      <c r="W1502" s="2" t="s">
        <v>239</v>
      </c>
      <c r="X1502" s="2" t="s">
        <v>682</v>
      </c>
      <c r="Y1502" s="2" t="s">
        <v>5649</v>
      </c>
      <c r="Z1502" s="4">
        <v>327</v>
      </c>
      <c r="AA1502" s="4">
        <f>=ROUNDDOWN(163.5,0)</f>
      </c>
      <c r="AB1502" s="5">
        <v>2</v>
      </c>
      <c r="AC1502" s="2" t="s">
        <v>235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235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235</v>
      </c>
      <c r="AW1502" s="8" t="s">
        <v>235</v>
      </c>
      <c r="AX1502" s="4" t="s">
        <v>235</v>
      </c>
      <c r="AY1502" s="8" t="s">
        <v>235</v>
      </c>
      <c r="AZ1502" s="7" t="s">
        <v>235</v>
      </c>
      <c r="BA1502" s="7" t="s">
        <v>235</v>
      </c>
      <c r="BB1502" s="7" t="s">
        <v>235</v>
      </c>
      <c r="BC1502" s="4" t="s">
        <v>235</v>
      </c>
      <c r="BD1502" s="8" t="s">
        <v>235</v>
      </c>
      <c r="BE1502" s="4" t="s">
        <v>235</v>
      </c>
      <c r="BF1502" s="8" t="s">
        <v>235</v>
      </c>
      <c r="BG1502" s="7" t="s">
        <v>235</v>
      </c>
      <c r="BH1502" s="7" t="s">
        <v>235</v>
      </c>
      <c r="BI1502" s="7"/>
      <c r="BJ1502" s="4">
        <v>47</v>
      </c>
      <c r="BK1502" s="8">
        <v>638.49</v>
      </c>
      <c r="BL1502" s="2" t="s">
        <v>5656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5650</v>
      </c>
      <c r="BV1502" s="2" t="s">
        <v>243</v>
      </c>
      <c r="BW1502" s="2" t="s">
        <v>235</v>
      </c>
      <c r="BX1502" s="2" t="s">
        <v>244</v>
      </c>
      <c r="BY1502" s="2" t="s">
        <v>245</v>
      </c>
      <c r="BZ1502" s="2" t="s">
        <v>232</v>
      </c>
      <c r="CA1502" s="2" t="s">
        <v>5651</v>
      </c>
      <c r="CB1502" s="2" t="s">
        <v>5657</v>
      </c>
      <c r="CC1502" s="2" t="s">
        <v>248</v>
      </c>
      <c r="CD1502" s="2" t="s">
        <v>248</v>
      </c>
      <c r="CE1502" s="2" t="s">
        <v>235</v>
      </c>
      <c r="CF1502" s="4">
        <v>327</v>
      </c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>
        <v>328</v>
      </c>
      <c r="GE1502" s="4">
        <v>325</v>
      </c>
      <c r="GF1502" s="4">
        <v>323</v>
      </c>
      <c r="GG1502" s="4">
        <v>321</v>
      </c>
      <c r="GH1502" s="4">
        <v>319</v>
      </c>
      <c r="GI1502" s="4">
        <v>317</v>
      </c>
      <c r="GJ1502" s="4">
        <v>315</v>
      </c>
      <c r="GK1502" s="4">
        <v>313</v>
      </c>
      <c r="GL1502" s="4">
        <v>311</v>
      </c>
      <c r="GM1502" s="4">
        <v>309</v>
      </c>
      <c r="GN1502" s="4">
        <v>307</v>
      </c>
      <c r="GO1502" s="4">
        <v>304</v>
      </c>
      <c r="GP1502" s="4">
        <v>301</v>
      </c>
      <c r="GQ1502" s="4">
        <v>295</v>
      </c>
      <c r="GR1502" s="4">
        <v>287</v>
      </c>
      <c r="GS1502" s="4">
        <v>281</v>
      </c>
      <c r="GT1502" s="4">
        <v>278</v>
      </c>
      <c r="GU1502" s="4">
        <v>275</v>
      </c>
      <c r="GV1502" s="4">
        <v>273</v>
      </c>
      <c r="GW1502" s="4">
        <v>271</v>
      </c>
      <c r="GX1502" s="4">
        <v>269</v>
      </c>
      <c r="GY1502" s="4">
        <v>267</v>
      </c>
      <c r="GZ1502" s="4">
        <v>265</v>
      </c>
      <c r="HA1502" s="4">
        <v>263</v>
      </c>
      <c r="HB1502" s="4">
        <v>261</v>
      </c>
      <c r="HC1502" s="4">
        <v>259</v>
      </c>
      <c r="HD1502" s="19">
        <v>164</v>
      </c>
      <c r="HE1502" s="19">
        <v>162.5</v>
      </c>
      <c r="HF1502" s="19">
        <v>161.5</v>
      </c>
      <c r="HG1502" s="19">
        <v>160.5</v>
      </c>
      <c r="HH1502" s="19">
        <v>159.5</v>
      </c>
      <c r="HI1502" s="19">
        <v>158.5</v>
      </c>
      <c r="HJ1502" s="19">
        <v>157.5</v>
      </c>
      <c r="HK1502" s="19">
        <v>156.5</v>
      </c>
      <c r="HL1502" s="19">
        <v>155.5</v>
      </c>
      <c r="HM1502" s="19">
        <v>77.3</v>
      </c>
      <c r="HN1502" s="19">
        <v>61.4</v>
      </c>
      <c r="HO1502" s="19">
        <v>50.7</v>
      </c>
      <c r="HP1502" s="19">
        <v>50.2</v>
      </c>
      <c r="HQ1502" s="19">
        <v>59</v>
      </c>
      <c r="HR1502" s="19">
        <v>71.8</v>
      </c>
      <c r="HS1502" s="19">
        <v>140.5</v>
      </c>
      <c r="HT1502" s="19">
        <v>139</v>
      </c>
      <c r="HU1502" s="19">
        <v>137.5</v>
      </c>
      <c r="HV1502" s="19">
        <v>136.5</v>
      </c>
      <c r="HW1502" s="19">
        <v>135.5</v>
      </c>
      <c r="HX1502" s="19">
        <v>134.5</v>
      </c>
      <c r="HY1502" s="19">
        <v>133.5</v>
      </c>
      <c r="HZ1502" s="19">
        <v>132.5</v>
      </c>
      <c r="IA1502" s="19">
        <v>131.5</v>
      </c>
      <c r="IB1502" s="19">
        <v>130.5</v>
      </c>
      <c r="IC1502" s="19">
        <v>129.5</v>
      </c>
    </row>
    <row r="1503">
      <c r="A1503" s="2" t="s">
        <v>5658</v>
      </c>
      <c r="B1503" s="2" t="s">
        <v>323</v>
      </c>
      <c r="C1503" s="2" t="s">
        <v>853</v>
      </c>
      <c r="D1503" s="2" t="s">
        <v>257</v>
      </c>
      <c r="E1503" s="2" t="s">
        <v>258</v>
      </c>
      <c r="F1503" s="2" t="s">
        <v>501</v>
      </c>
      <c r="G1503" s="2" t="s">
        <v>501</v>
      </c>
      <c r="H1503" s="2" t="s">
        <v>501</v>
      </c>
      <c r="I1503" s="2" t="s">
        <v>5637</v>
      </c>
      <c r="J1503" s="2" t="s">
        <v>250</v>
      </c>
      <c r="K1503" s="2" t="s">
        <v>338</v>
      </c>
      <c r="L1503" s="3">
        <v>14.23</v>
      </c>
      <c r="M1503" s="3">
        <v>14.94</v>
      </c>
      <c r="N1503" s="3">
        <v>34.99</v>
      </c>
      <c r="O1503" s="2" t="s">
        <v>232</v>
      </c>
      <c r="P1503" s="2" t="s">
        <v>233</v>
      </c>
      <c r="Q1503" s="2" t="s">
        <v>234</v>
      </c>
      <c r="R1503" s="2" t="s">
        <v>235</v>
      </c>
      <c r="S1503" s="2" t="s">
        <v>5645</v>
      </c>
      <c r="T1503" s="2" t="s">
        <v>501</v>
      </c>
      <c r="U1503" s="2" t="s">
        <v>235</v>
      </c>
      <c r="V1503" s="2" t="s">
        <v>238</v>
      </c>
      <c r="W1503" s="2" t="s">
        <v>239</v>
      </c>
      <c r="X1503" s="2" t="s">
        <v>235</v>
      </c>
      <c r="Y1503" s="2" t="s">
        <v>240</v>
      </c>
      <c r="Z1503" s="4">
        <v>261</v>
      </c>
      <c r="AA1503" s="4">
        <f>=ROUNDDOWN(200.769230769231,0)</f>
      </c>
      <c r="AB1503" s="5">
        <v>1.3</v>
      </c>
      <c r="AC1503" s="2" t="s">
        <v>235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235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235</v>
      </c>
      <c r="AW1503" s="8" t="s">
        <v>235</v>
      </c>
      <c r="AX1503" s="4" t="s">
        <v>235</v>
      </c>
      <c r="AY1503" s="8" t="s">
        <v>235</v>
      </c>
      <c r="AZ1503" s="7" t="s">
        <v>235</v>
      </c>
      <c r="BA1503" s="7" t="s">
        <v>235</v>
      </c>
      <c r="BB1503" s="7" t="s">
        <v>235</v>
      </c>
      <c r="BC1503" s="4" t="s">
        <v>235</v>
      </c>
      <c r="BD1503" s="8" t="s">
        <v>235</v>
      </c>
      <c r="BE1503" s="4" t="s">
        <v>235</v>
      </c>
      <c r="BF1503" s="8" t="s">
        <v>235</v>
      </c>
      <c r="BG1503" s="7" t="s">
        <v>235</v>
      </c>
      <c r="BH1503" s="7" t="s">
        <v>235</v>
      </c>
      <c r="BI1503" s="7"/>
      <c r="BJ1503" s="4">
        <v>2</v>
      </c>
      <c r="BK1503" s="8">
        <v>30.41</v>
      </c>
      <c r="BL1503" s="2" t="s">
        <v>5659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5639</v>
      </c>
      <c r="BV1503" s="2" t="s">
        <v>243</v>
      </c>
      <c r="BW1503" s="2" t="s">
        <v>235</v>
      </c>
      <c r="BX1503" s="2" t="s">
        <v>244</v>
      </c>
      <c r="BY1503" s="2" t="s">
        <v>245</v>
      </c>
      <c r="BZ1503" s="2" t="s">
        <v>232</v>
      </c>
      <c r="CA1503" s="2" t="s">
        <v>5544</v>
      </c>
      <c r="CB1503" s="2" t="s">
        <v>5660</v>
      </c>
      <c r="CC1503" s="2" t="s">
        <v>248</v>
      </c>
      <c r="CD1503" s="2" t="s">
        <v>248</v>
      </c>
      <c r="CE1503" s="2" t="s">
        <v>235</v>
      </c>
      <c r="CF1503" s="4">
        <v>261</v>
      </c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>
        <v>261</v>
      </c>
      <c r="GE1503" s="4">
        <v>260</v>
      </c>
      <c r="GF1503" s="4">
        <v>259</v>
      </c>
      <c r="GG1503" s="4">
        <v>258</v>
      </c>
      <c r="GH1503" s="4">
        <v>257</v>
      </c>
      <c r="GI1503" s="4">
        <v>256</v>
      </c>
      <c r="GJ1503" s="4">
        <v>255</v>
      </c>
      <c r="GK1503" s="4">
        <v>254</v>
      </c>
      <c r="GL1503" s="4">
        <v>253</v>
      </c>
      <c r="GM1503" s="4">
        <v>252</v>
      </c>
      <c r="GN1503" s="4">
        <v>251</v>
      </c>
      <c r="GO1503" s="4">
        <v>250</v>
      </c>
      <c r="GP1503" s="4">
        <v>249</v>
      </c>
      <c r="GQ1503" s="4">
        <v>246</v>
      </c>
      <c r="GR1503" s="4">
        <v>243</v>
      </c>
      <c r="GS1503" s="4">
        <v>241</v>
      </c>
      <c r="GT1503" s="4">
        <v>240</v>
      </c>
      <c r="GU1503" s="4">
        <v>239</v>
      </c>
      <c r="GV1503" s="4">
        <v>238</v>
      </c>
      <c r="GW1503" s="4">
        <v>237</v>
      </c>
      <c r="GX1503" s="4">
        <v>236</v>
      </c>
      <c r="GY1503" s="4">
        <v>235</v>
      </c>
      <c r="GZ1503" s="4">
        <v>234</v>
      </c>
      <c r="HA1503" s="4">
        <v>233</v>
      </c>
      <c r="HB1503" s="4">
        <v>232</v>
      </c>
      <c r="HC1503" s="4">
        <v>231</v>
      </c>
      <c r="HD1503" s="19">
        <v>261</v>
      </c>
      <c r="HE1503" s="19">
        <v>260</v>
      </c>
      <c r="HF1503" s="19">
        <v>259</v>
      </c>
      <c r="HG1503" s="19">
        <v>258</v>
      </c>
      <c r="HH1503" s="19">
        <v>257</v>
      </c>
      <c r="HI1503" s="19">
        <v>256</v>
      </c>
      <c r="HJ1503" s="19">
        <v>255</v>
      </c>
      <c r="HK1503" s="19">
        <v>254</v>
      </c>
      <c r="HL1503" s="19">
        <v>253</v>
      </c>
      <c r="HM1503" s="19">
        <v>126</v>
      </c>
      <c r="HN1503" s="19">
        <v>125.5</v>
      </c>
      <c r="HO1503" s="19">
        <v>125</v>
      </c>
      <c r="HP1503" s="19">
        <v>124.5</v>
      </c>
      <c r="HQ1503" s="19">
        <v>123</v>
      </c>
      <c r="HR1503" s="19">
        <v>243</v>
      </c>
      <c r="HS1503" s="19">
        <v>241</v>
      </c>
      <c r="HT1503" s="19">
        <v>240</v>
      </c>
      <c r="HU1503" s="19">
        <v>239</v>
      </c>
      <c r="HV1503" s="19">
        <v>238</v>
      </c>
      <c r="HW1503" s="19">
        <v>237</v>
      </c>
      <c r="HX1503" s="19">
        <v>236</v>
      </c>
      <c r="HY1503" s="19">
        <v>235</v>
      </c>
      <c r="HZ1503" s="19">
        <v>234</v>
      </c>
      <c r="IA1503" s="19">
        <v>233</v>
      </c>
      <c r="IB1503" s="19">
        <v>232</v>
      </c>
      <c r="IC1503" s="19">
        <v>231</v>
      </c>
    </row>
    <row r="1504">
      <c r="A1504" s="2" t="s">
        <v>5661</v>
      </c>
      <c r="B1504" s="2" t="s">
        <v>323</v>
      </c>
      <c r="C1504" s="2" t="s">
        <v>853</v>
      </c>
      <c r="D1504" s="2" t="s">
        <v>257</v>
      </c>
      <c r="E1504" s="2" t="s">
        <v>258</v>
      </c>
      <c r="F1504" s="2" t="s">
        <v>501</v>
      </c>
      <c r="G1504" s="2" t="s">
        <v>501</v>
      </c>
      <c r="H1504" s="2" t="s">
        <v>501</v>
      </c>
      <c r="I1504" s="2" t="s">
        <v>5648</v>
      </c>
      <c r="J1504" s="2" t="s">
        <v>250</v>
      </c>
      <c r="K1504" s="2" t="s">
        <v>338</v>
      </c>
      <c r="L1504" s="3">
        <v>14.23</v>
      </c>
      <c r="M1504" s="3">
        <v>14.94</v>
      </c>
      <c r="N1504" s="3">
        <v>34.99</v>
      </c>
      <c r="O1504" s="2" t="s">
        <v>232</v>
      </c>
      <c r="P1504" s="2" t="s">
        <v>233</v>
      </c>
      <c r="Q1504" s="2" t="s">
        <v>234</v>
      </c>
      <c r="R1504" s="2" t="s">
        <v>235</v>
      </c>
      <c r="S1504" s="2" t="s">
        <v>5645</v>
      </c>
      <c r="T1504" s="2" t="s">
        <v>501</v>
      </c>
      <c r="U1504" s="2" t="s">
        <v>614</v>
      </c>
      <c r="V1504" s="2" t="s">
        <v>238</v>
      </c>
      <c r="W1504" s="2" t="s">
        <v>239</v>
      </c>
      <c r="X1504" s="2" t="s">
        <v>682</v>
      </c>
      <c r="Y1504" s="2" t="s">
        <v>5649</v>
      </c>
      <c r="Z1504" s="4">
        <v>80</v>
      </c>
      <c r="AA1504" s="4">
        <f>=ROUNDDOWN(61.5384615384615,0)</f>
      </c>
      <c r="AB1504" s="5">
        <v>1.3</v>
      </c>
      <c r="AC1504" s="2" t="s">
        <v>235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235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235</v>
      </c>
      <c r="AW1504" s="8" t="s">
        <v>235</v>
      </c>
      <c r="AX1504" s="4" t="s">
        <v>235</v>
      </c>
      <c r="AY1504" s="8" t="s">
        <v>235</v>
      </c>
      <c r="AZ1504" s="7" t="s">
        <v>235</v>
      </c>
      <c r="BA1504" s="7" t="s">
        <v>235</v>
      </c>
      <c r="BB1504" s="7" t="s">
        <v>235</v>
      </c>
      <c r="BC1504" s="4" t="s">
        <v>235</v>
      </c>
      <c r="BD1504" s="8" t="s">
        <v>235</v>
      </c>
      <c r="BE1504" s="4" t="s">
        <v>235</v>
      </c>
      <c r="BF1504" s="8" t="s">
        <v>235</v>
      </c>
      <c r="BG1504" s="7" t="s">
        <v>235</v>
      </c>
      <c r="BH1504" s="7" t="s">
        <v>235</v>
      </c>
      <c r="BI1504" s="7"/>
      <c r="BJ1504" s="4">
        <v>8</v>
      </c>
      <c r="BK1504" s="8">
        <v>137.4</v>
      </c>
      <c r="BL1504" s="2" t="s">
        <v>5662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5650</v>
      </c>
      <c r="BV1504" s="2" t="s">
        <v>243</v>
      </c>
      <c r="BW1504" s="2" t="s">
        <v>235</v>
      </c>
      <c r="BX1504" s="2" t="s">
        <v>244</v>
      </c>
      <c r="BY1504" s="2" t="s">
        <v>245</v>
      </c>
      <c r="BZ1504" s="2" t="s">
        <v>232</v>
      </c>
      <c r="CA1504" s="2" t="s">
        <v>5651</v>
      </c>
      <c r="CB1504" s="2" t="s">
        <v>5663</v>
      </c>
      <c r="CC1504" s="2" t="s">
        <v>248</v>
      </c>
      <c r="CD1504" s="2" t="s">
        <v>248</v>
      </c>
      <c r="CE1504" s="2" t="s">
        <v>235</v>
      </c>
      <c r="CF1504" s="4">
        <v>80</v>
      </c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>
        <v>81</v>
      </c>
      <c r="GE1504" s="4">
        <v>79</v>
      </c>
      <c r="GF1504" s="4">
        <v>78</v>
      </c>
      <c r="GG1504" s="4">
        <v>77</v>
      </c>
      <c r="GH1504" s="4">
        <v>76</v>
      </c>
      <c r="GI1504" s="4">
        <v>75</v>
      </c>
      <c r="GJ1504" s="4">
        <v>74</v>
      </c>
      <c r="GK1504" s="4">
        <v>73</v>
      </c>
      <c r="GL1504" s="4">
        <v>72</v>
      </c>
      <c r="GM1504" s="4">
        <v>71</v>
      </c>
      <c r="GN1504" s="4">
        <v>70</v>
      </c>
      <c r="GO1504" s="4">
        <v>69</v>
      </c>
      <c r="GP1504" s="4">
        <v>68</v>
      </c>
      <c r="GQ1504" s="4">
        <v>65</v>
      </c>
      <c r="GR1504" s="4">
        <v>62</v>
      </c>
      <c r="GS1504" s="4">
        <v>60</v>
      </c>
      <c r="GT1504" s="4">
        <v>59</v>
      </c>
      <c r="GU1504" s="4">
        <v>58</v>
      </c>
      <c r="GV1504" s="4">
        <v>57</v>
      </c>
      <c r="GW1504" s="4">
        <v>56</v>
      </c>
      <c r="GX1504" s="4">
        <v>55</v>
      </c>
      <c r="GY1504" s="4">
        <v>54</v>
      </c>
      <c r="GZ1504" s="4">
        <v>53</v>
      </c>
      <c r="HA1504" s="4">
        <v>52</v>
      </c>
      <c r="HB1504" s="4">
        <v>51</v>
      </c>
      <c r="HC1504" s="4">
        <v>50</v>
      </c>
      <c r="HD1504" s="19">
        <v>81</v>
      </c>
      <c r="HE1504" s="19">
        <v>79</v>
      </c>
      <c r="HF1504" s="19">
        <v>78</v>
      </c>
      <c r="HG1504" s="19">
        <v>77</v>
      </c>
      <c r="HH1504" s="19">
        <v>76</v>
      </c>
      <c r="HI1504" s="19">
        <v>75</v>
      </c>
      <c r="HJ1504" s="19">
        <v>74</v>
      </c>
      <c r="HK1504" s="19">
        <v>73</v>
      </c>
      <c r="HL1504" s="19">
        <v>72</v>
      </c>
      <c r="HM1504" s="19">
        <v>35.5</v>
      </c>
      <c r="HN1504" s="19">
        <v>35</v>
      </c>
      <c r="HO1504" s="19">
        <v>34.5</v>
      </c>
      <c r="HP1504" s="19">
        <v>34</v>
      </c>
      <c r="HQ1504" s="19">
        <v>32.5</v>
      </c>
      <c r="HR1504" s="19">
        <v>62</v>
      </c>
      <c r="HS1504" s="19">
        <v>60</v>
      </c>
      <c r="HT1504" s="19">
        <v>59</v>
      </c>
      <c r="HU1504" s="19">
        <v>58</v>
      </c>
      <c r="HV1504" s="19">
        <v>57</v>
      </c>
      <c r="HW1504" s="19">
        <v>56</v>
      </c>
      <c r="HX1504" s="19">
        <v>55</v>
      </c>
      <c r="HY1504" s="19">
        <v>54</v>
      </c>
      <c r="HZ1504" s="19">
        <v>53</v>
      </c>
      <c r="IA1504" s="19">
        <v>52</v>
      </c>
      <c r="IB1504" s="19">
        <v>51</v>
      </c>
      <c r="IC1504" s="19">
        <v>50</v>
      </c>
    </row>
    <row r="1505">
      <c r="A1505" s="2" t="s">
        <v>5664</v>
      </c>
      <c r="B1505" s="2" t="s">
        <v>323</v>
      </c>
      <c r="C1505" s="2" t="s">
        <v>853</v>
      </c>
      <c r="D1505" s="2" t="s">
        <v>257</v>
      </c>
      <c r="E1505" s="2" t="s">
        <v>258</v>
      </c>
      <c r="F1505" s="2" t="s">
        <v>501</v>
      </c>
      <c r="G1505" s="2" t="s">
        <v>501</v>
      </c>
      <c r="H1505" s="2" t="s">
        <v>501</v>
      </c>
      <c r="I1505" s="2" t="s">
        <v>5637</v>
      </c>
      <c r="J1505" s="2" t="s">
        <v>270</v>
      </c>
      <c r="K1505" s="2" t="s">
        <v>338</v>
      </c>
      <c r="L1505" s="3">
        <v>18.24</v>
      </c>
      <c r="M1505" s="3">
        <v>19.15</v>
      </c>
      <c r="N1505" s="3">
        <v>39.99</v>
      </c>
      <c r="O1505" s="2" t="s">
        <v>232</v>
      </c>
      <c r="P1505" s="2" t="s">
        <v>233</v>
      </c>
      <c r="Q1505" s="2" t="s">
        <v>234</v>
      </c>
      <c r="R1505" s="2" t="s">
        <v>235</v>
      </c>
      <c r="S1505" s="2" t="s">
        <v>5645</v>
      </c>
      <c r="T1505" s="2" t="s">
        <v>501</v>
      </c>
      <c r="U1505" s="2" t="s">
        <v>235</v>
      </c>
      <c r="V1505" s="2" t="s">
        <v>238</v>
      </c>
      <c r="W1505" s="2" t="s">
        <v>239</v>
      </c>
      <c r="X1505" s="2" t="s">
        <v>235</v>
      </c>
      <c r="Y1505" s="2" t="s">
        <v>240</v>
      </c>
      <c r="Z1505" s="4">
        <v>195</v>
      </c>
      <c r="AA1505" s="4">
        <f>=ROUNDDOWN(41.4893617021277,0)</f>
      </c>
      <c r="AB1505" s="5">
        <v>4.7</v>
      </c>
      <c r="AC1505" s="2" t="s">
        <v>235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235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235</v>
      </c>
      <c r="AW1505" s="8" t="s">
        <v>235</v>
      </c>
      <c r="AX1505" s="4" t="s">
        <v>235</v>
      </c>
      <c r="AY1505" s="8" t="s">
        <v>235</v>
      </c>
      <c r="AZ1505" s="7" t="s">
        <v>235</v>
      </c>
      <c r="BA1505" s="7" t="s">
        <v>235</v>
      </c>
      <c r="BB1505" s="7"/>
      <c r="BC1505" s="4" t="s">
        <v>235</v>
      </c>
      <c r="BD1505" s="8" t="s">
        <v>235</v>
      </c>
      <c r="BE1505" s="4" t="s">
        <v>235</v>
      </c>
      <c r="BF1505" s="8" t="s">
        <v>235</v>
      </c>
      <c r="BG1505" s="7" t="s">
        <v>235</v>
      </c>
      <c r="BH1505" s="7" t="s">
        <v>235</v>
      </c>
      <c r="BI1505" s="7"/>
      <c r="BJ1505" s="4">
        <v>20</v>
      </c>
      <c r="BK1505" s="8">
        <v>427.77</v>
      </c>
      <c r="BL1505" s="2" t="s">
        <v>5665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5639</v>
      </c>
      <c r="BV1505" s="2" t="s">
        <v>243</v>
      </c>
      <c r="BW1505" s="2" t="s">
        <v>235</v>
      </c>
      <c r="BX1505" s="2" t="s">
        <v>244</v>
      </c>
      <c r="BY1505" s="2" t="s">
        <v>245</v>
      </c>
      <c r="BZ1505" s="2" t="s">
        <v>232</v>
      </c>
      <c r="CA1505" s="2" t="s">
        <v>5544</v>
      </c>
      <c r="CB1505" s="2" t="s">
        <v>462</v>
      </c>
      <c r="CC1505" s="2" t="s">
        <v>248</v>
      </c>
      <c r="CD1505" s="2" t="s">
        <v>248</v>
      </c>
      <c r="CE1505" s="2" t="s">
        <v>235</v>
      </c>
      <c r="CF1505" s="4">
        <v>195</v>
      </c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>
        <v>195</v>
      </c>
      <c r="GE1505" s="4">
        <v>176</v>
      </c>
      <c r="GF1505" s="4">
        <v>171</v>
      </c>
      <c r="GG1505" s="4">
        <v>166</v>
      </c>
      <c r="GH1505" s="4">
        <v>161</v>
      </c>
      <c r="GI1505" s="4">
        <v>156</v>
      </c>
      <c r="GJ1505" s="4">
        <v>148</v>
      </c>
      <c r="GK1505" s="4">
        <v>140</v>
      </c>
      <c r="GL1505" s="4">
        <v>133</v>
      </c>
      <c r="GM1505" s="4">
        <v>128</v>
      </c>
      <c r="GN1505" s="4">
        <v>123</v>
      </c>
      <c r="GO1505" s="4">
        <v>118</v>
      </c>
      <c r="GP1505" s="4">
        <v>113</v>
      </c>
      <c r="GQ1505" s="4">
        <v>104</v>
      </c>
      <c r="GR1505" s="4">
        <v>95</v>
      </c>
      <c r="GS1505" s="4">
        <v>87</v>
      </c>
      <c r="GT1505" s="4">
        <v>82</v>
      </c>
      <c r="GU1505" s="4">
        <v>77</v>
      </c>
      <c r="GV1505" s="4">
        <v>72</v>
      </c>
      <c r="GW1505" s="4">
        <v>67</v>
      </c>
      <c r="GX1505" s="4">
        <v>62</v>
      </c>
      <c r="GY1505" s="4">
        <v>57</v>
      </c>
      <c r="GZ1505" s="4">
        <v>52</v>
      </c>
      <c r="HA1505" s="4">
        <v>47</v>
      </c>
      <c r="HB1505" s="4">
        <v>42</v>
      </c>
      <c r="HC1505" s="4">
        <v>36</v>
      </c>
      <c r="HD1505" s="19">
        <v>24.4</v>
      </c>
      <c r="HE1505" s="19">
        <v>35.2</v>
      </c>
      <c r="HF1505" s="19">
        <v>28.5</v>
      </c>
      <c r="HG1505" s="19">
        <v>27.7</v>
      </c>
      <c r="HH1505" s="19">
        <v>23</v>
      </c>
      <c r="HI1505" s="19">
        <v>22.3</v>
      </c>
      <c r="HJ1505" s="19">
        <v>24.7</v>
      </c>
      <c r="HK1505" s="19">
        <v>23.3</v>
      </c>
      <c r="HL1505" s="19">
        <v>26.6</v>
      </c>
      <c r="HM1505" s="19">
        <v>21.3</v>
      </c>
      <c r="HN1505" s="19">
        <v>17.6</v>
      </c>
      <c r="HO1505" s="19">
        <v>14.8</v>
      </c>
      <c r="HP1505" s="19">
        <v>14.1</v>
      </c>
      <c r="HQ1505" s="19">
        <v>14.9</v>
      </c>
      <c r="HR1505" s="19">
        <v>15.8</v>
      </c>
      <c r="HS1505" s="19">
        <v>17.4</v>
      </c>
      <c r="HT1505" s="19">
        <v>16.4</v>
      </c>
      <c r="HU1505" s="19">
        <v>15.4</v>
      </c>
      <c r="HV1505" s="19">
        <v>14.4</v>
      </c>
      <c r="HW1505" s="19">
        <v>13.4</v>
      </c>
      <c r="HX1505" s="19">
        <v>12.4</v>
      </c>
      <c r="HY1505" s="19">
        <v>11.4</v>
      </c>
      <c r="HZ1505" s="19">
        <v>10.4</v>
      </c>
      <c r="IA1505" s="19">
        <v>9.4</v>
      </c>
      <c r="IB1505" s="19">
        <v>8.4</v>
      </c>
      <c r="IC1505" s="19">
        <v>7.2</v>
      </c>
    </row>
    <row r="1506">
      <c r="A1506" s="2" t="s">
        <v>5666</v>
      </c>
      <c r="B1506" s="2" t="s">
        <v>323</v>
      </c>
      <c r="C1506" s="2" t="s">
        <v>853</v>
      </c>
      <c r="D1506" s="2" t="s">
        <v>257</v>
      </c>
      <c r="E1506" s="2" t="s">
        <v>258</v>
      </c>
      <c r="F1506" s="2" t="s">
        <v>501</v>
      </c>
      <c r="G1506" s="2" t="s">
        <v>501</v>
      </c>
      <c r="H1506" s="2" t="s">
        <v>501</v>
      </c>
      <c r="I1506" s="2" t="s">
        <v>5637</v>
      </c>
      <c r="J1506" s="2" t="s">
        <v>394</v>
      </c>
      <c r="K1506" s="2" t="s">
        <v>292</v>
      </c>
      <c r="L1506" s="3">
        <v>12.25</v>
      </c>
      <c r="M1506" s="3">
        <v>12.86</v>
      </c>
      <c r="N1506" s="3">
        <v>29.99</v>
      </c>
      <c r="O1506" s="2" t="s">
        <v>232</v>
      </c>
      <c r="P1506" s="2" t="s">
        <v>233</v>
      </c>
      <c r="Q1506" s="2" t="s">
        <v>234</v>
      </c>
      <c r="R1506" s="2" t="s">
        <v>235</v>
      </c>
      <c r="S1506" s="2" t="s">
        <v>5667</v>
      </c>
      <c r="T1506" s="2" t="s">
        <v>501</v>
      </c>
      <c r="U1506" s="2" t="s">
        <v>235</v>
      </c>
      <c r="V1506" s="2" t="s">
        <v>238</v>
      </c>
      <c r="W1506" s="2" t="s">
        <v>239</v>
      </c>
      <c r="X1506" s="2" t="s">
        <v>235</v>
      </c>
      <c r="Y1506" s="2" t="s">
        <v>240</v>
      </c>
      <c r="Z1506" s="4">
        <v>231</v>
      </c>
      <c r="AA1506" s="4">
        <f>=ROUNDDOWN(85.5555555555555,0)</f>
      </c>
      <c r="AB1506" s="5">
        <v>2.7</v>
      </c>
      <c r="AC1506" s="2" t="s">
        <v>235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235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235</v>
      </c>
      <c r="AW1506" s="8" t="s">
        <v>235</v>
      </c>
      <c r="AX1506" s="4" t="s">
        <v>235</v>
      </c>
      <c r="AY1506" s="8" t="s">
        <v>235</v>
      </c>
      <c r="AZ1506" s="7" t="s">
        <v>235</v>
      </c>
      <c r="BA1506" s="7" t="s">
        <v>235</v>
      </c>
      <c r="BB1506" s="7" t="s">
        <v>235</v>
      </c>
      <c r="BC1506" s="4" t="s">
        <v>235</v>
      </c>
      <c r="BD1506" s="8" t="s">
        <v>235</v>
      </c>
      <c r="BE1506" s="4" t="s">
        <v>235</v>
      </c>
      <c r="BF1506" s="8" t="s">
        <v>235</v>
      </c>
      <c r="BG1506" s="7" t="s">
        <v>235</v>
      </c>
      <c r="BH1506" s="7" t="s">
        <v>235</v>
      </c>
      <c r="BI1506" s="7"/>
      <c r="BJ1506" s="4">
        <v>6</v>
      </c>
      <c r="BK1506" s="8">
        <v>80.81</v>
      </c>
      <c r="BL1506" s="2" t="s">
        <v>5668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5639</v>
      </c>
      <c r="BV1506" s="2" t="s">
        <v>243</v>
      </c>
      <c r="BW1506" s="2" t="s">
        <v>235</v>
      </c>
      <c r="BX1506" s="2" t="s">
        <v>244</v>
      </c>
      <c r="BY1506" s="2" t="s">
        <v>245</v>
      </c>
      <c r="BZ1506" s="2" t="s">
        <v>232</v>
      </c>
      <c r="CA1506" s="2" t="s">
        <v>252</v>
      </c>
      <c r="CB1506" s="2" t="s">
        <v>1866</v>
      </c>
      <c r="CC1506" s="2" t="s">
        <v>248</v>
      </c>
      <c r="CD1506" s="2" t="s">
        <v>248</v>
      </c>
      <c r="CE1506" s="2" t="s">
        <v>235</v>
      </c>
      <c r="CF1506" s="4">
        <v>231</v>
      </c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>
        <v>232</v>
      </c>
      <c r="GE1506" s="4">
        <v>221</v>
      </c>
      <c r="GF1506" s="4">
        <v>218</v>
      </c>
      <c r="GG1506" s="4">
        <v>215</v>
      </c>
      <c r="GH1506" s="4">
        <v>212</v>
      </c>
      <c r="GI1506" s="4">
        <v>209</v>
      </c>
      <c r="GJ1506" s="4">
        <v>204</v>
      </c>
      <c r="GK1506" s="4">
        <v>199</v>
      </c>
      <c r="GL1506" s="4">
        <v>194</v>
      </c>
      <c r="GM1506" s="4">
        <v>191</v>
      </c>
      <c r="GN1506" s="4">
        <v>188</v>
      </c>
      <c r="GO1506" s="4">
        <v>185</v>
      </c>
      <c r="GP1506" s="4">
        <v>181</v>
      </c>
      <c r="GQ1506" s="4">
        <v>174</v>
      </c>
      <c r="GR1506" s="4">
        <v>167</v>
      </c>
      <c r="GS1506" s="4">
        <v>161</v>
      </c>
      <c r="GT1506" s="4">
        <v>157</v>
      </c>
      <c r="GU1506" s="4">
        <v>154</v>
      </c>
      <c r="GV1506" s="4">
        <v>151</v>
      </c>
      <c r="GW1506" s="4">
        <v>148</v>
      </c>
      <c r="GX1506" s="4">
        <v>145</v>
      </c>
      <c r="GY1506" s="4">
        <v>142</v>
      </c>
      <c r="GZ1506" s="4">
        <v>139</v>
      </c>
      <c r="HA1506" s="4">
        <v>136</v>
      </c>
      <c r="HB1506" s="4">
        <v>133</v>
      </c>
      <c r="HC1506" s="4">
        <v>130</v>
      </c>
      <c r="HD1506" s="19">
        <v>46.4</v>
      </c>
      <c r="HE1506" s="19">
        <v>73.7</v>
      </c>
      <c r="HF1506" s="19">
        <v>54.5</v>
      </c>
      <c r="HG1506" s="19">
        <v>53.8</v>
      </c>
      <c r="HH1506" s="19">
        <v>53</v>
      </c>
      <c r="HI1506" s="19">
        <v>52.3</v>
      </c>
      <c r="HJ1506" s="19">
        <v>51</v>
      </c>
      <c r="HK1506" s="19">
        <v>49.8</v>
      </c>
      <c r="HL1506" s="19">
        <v>64.7</v>
      </c>
      <c r="HM1506" s="19">
        <v>47.8</v>
      </c>
      <c r="HN1506" s="19">
        <v>37.6</v>
      </c>
      <c r="HO1506" s="19">
        <v>30.8</v>
      </c>
      <c r="HP1506" s="19">
        <v>30.2</v>
      </c>
      <c r="HQ1506" s="19">
        <v>34.8</v>
      </c>
      <c r="HR1506" s="19">
        <v>41.8</v>
      </c>
      <c r="HS1506" s="19">
        <v>53.7</v>
      </c>
      <c r="HT1506" s="19">
        <v>52.3</v>
      </c>
      <c r="HU1506" s="19">
        <v>51.3</v>
      </c>
      <c r="HV1506" s="19">
        <v>50.3</v>
      </c>
      <c r="HW1506" s="19">
        <v>49.3</v>
      </c>
      <c r="HX1506" s="19">
        <v>48.3</v>
      </c>
      <c r="HY1506" s="19">
        <v>47.3</v>
      </c>
      <c r="HZ1506" s="19">
        <v>46.3</v>
      </c>
      <c r="IA1506" s="19">
        <v>45.3</v>
      </c>
      <c r="IB1506" s="19">
        <v>44.3</v>
      </c>
      <c r="IC1506" s="19">
        <v>43.3</v>
      </c>
    </row>
    <row r="1507">
      <c r="A1507" s="2" t="s">
        <v>5669</v>
      </c>
      <c r="B1507" s="2" t="s">
        <v>323</v>
      </c>
      <c r="C1507" s="2" t="s">
        <v>853</v>
      </c>
      <c r="D1507" s="2" t="s">
        <v>257</v>
      </c>
      <c r="E1507" s="2" t="s">
        <v>258</v>
      </c>
      <c r="F1507" s="2" t="s">
        <v>501</v>
      </c>
      <c r="G1507" s="2" t="s">
        <v>501</v>
      </c>
      <c r="H1507" s="2" t="s">
        <v>501</v>
      </c>
      <c r="I1507" s="2" t="s">
        <v>5648</v>
      </c>
      <c r="J1507" s="2" t="s">
        <v>394</v>
      </c>
      <c r="K1507" s="2" t="s">
        <v>292</v>
      </c>
      <c r="L1507" s="3">
        <v>12.25</v>
      </c>
      <c r="M1507" s="3">
        <v>12.86</v>
      </c>
      <c r="N1507" s="3">
        <v>29.99</v>
      </c>
      <c r="O1507" s="2" t="s">
        <v>232</v>
      </c>
      <c r="P1507" s="2" t="s">
        <v>233</v>
      </c>
      <c r="Q1507" s="2" t="s">
        <v>234</v>
      </c>
      <c r="R1507" s="2" t="s">
        <v>235</v>
      </c>
      <c r="S1507" s="2" t="s">
        <v>5667</v>
      </c>
      <c r="T1507" s="2" t="s">
        <v>501</v>
      </c>
      <c r="U1507" s="2" t="s">
        <v>264</v>
      </c>
      <c r="V1507" s="2" t="s">
        <v>238</v>
      </c>
      <c r="W1507" s="2" t="s">
        <v>682</v>
      </c>
      <c r="X1507" s="2" t="s">
        <v>235</v>
      </c>
      <c r="Y1507" s="2" t="s">
        <v>5670</v>
      </c>
      <c r="Z1507" s="4">
        <v>58</v>
      </c>
      <c r="AA1507" s="4">
        <f>=ROUNDDOWN(19.3333333333333,0)</f>
      </c>
      <c r="AB1507" s="5">
        <v>3</v>
      </c>
      <c r="AC1507" s="2" t="s">
        <v>235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235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235</v>
      </c>
      <c r="AW1507" s="8" t="s">
        <v>235</v>
      </c>
      <c r="AX1507" s="4" t="s">
        <v>235</v>
      </c>
      <c r="AY1507" s="8" t="s">
        <v>235</v>
      </c>
      <c r="AZ1507" s="7" t="s">
        <v>235</v>
      </c>
      <c r="BA1507" s="7" t="s">
        <v>235</v>
      </c>
      <c r="BB1507" s="7" t="s">
        <v>235</v>
      </c>
      <c r="BC1507" s="4" t="s">
        <v>235</v>
      </c>
      <c r="BD1507" s="8" t="s">
        <v>235</v>
      </c>
      <c r="BE1507" s="4" t="s">
        <v>235</v>
      </c>
      <c r="BF1507" s="8" t="s">
        <v>235</v>
      </c>
      <c r="BG1507" s="7" t="s">
        <v>235</v>
      </c>
      <c r="BH1507" s="7" t="s">
        <v>235</v>
      </c>
      <c r="BI1507" s="7"/>
      <c r="BJ1507" s="4">
        <v>16</v>
      </c>
      <c r="BK1507" s="8">
        <v>213.15</v>
      </c>
      <c r="BL1507" s="2" t="s">
        <v>422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5650</v>
      </c>
      <c r="BV1507" s="2" t="s">
        <v>243</v>
      </c>
      <c r="BW1507" s="2" t="s">
        <v>235</v>
      </c>
      <c r="BX1507" s="2" t="s">
        <v>244</v>
      </c>
      <c r="BY1507" s="2" t="s">
        <v>245</v>
      </c>
      <c r="BZ1507" s="2" t="s">
        <v>232</v>
      </c>
      <c r="CA1507" s="2" t="s">
        <v>5671</v>
      </c>
      <c r="CB1507" s="2" t="s">
        <v>1162</v>
      </c>
      <c r="CC1507" s="2" t="s">
        <v>248</v>
      </c>
      <c r="CD1507" s="2" t="s">
        <v>248</v>
      </c>
      <c r="CE1507" s="2" t="s">
        <v>235</v>
      </c>
      <c r="CF1507" s="4">
        <v>58</v>
      </c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>
        <v>58</v>
      </c>
      <c r="GE1507" s="4">
        <v>54</v>
      </c>
      <c r="GF1507" s="4">
        <v>51</v>
      </c>
      <c r="GG1507" s="4">
        <v>48</v>
      </c>
      <c r="GH1507" s="4">
        <v>45</v>
      </c>
      <c r="GI1507" s="4">
        <v>42</v>
      </c>
      <c r="GJ1507" s="4">
        <v>37</v>
      </c>
      <c r="GK1507" s="4">
        <v>32</v>
      </c>
      <c r="GL1507" s="4">
        <v>27</v>
      </c>
      <c r="GM1507" s="4">
        <v>24</v>
      </c>
      <c r="GN1507" s="4">
        <v>21</v>
      </c>
      <c r="GO1507" s="4">
        <v>18</v>
      </c>
      <c r="GP1507" s="4">
        <v>14</v>
      </c>
      <c r="GQ1507" s="4">
        <v>7</v>
      </c>
      <c r="GR1507" s="4"/>
      <c r="GS1507" s="4"/>
      <c r="GT1507" s="4"/>
      <c r="GU1507" s="4"/>
      <c r="GV1507" s="4"/>
      <c r="GW1507" s="4">
        <v>162</v>
      </c>
      <c r="GX1507" s="4">
        <v>154</v>
      </c>
      <c r="GY1507" s="4">
        <v>151</v>
      </c>
      <c r="GZ1507" s="4">
        <v>148</v>
      </c>
      <c r="HA1507" s="4">
        <v>145</v>
      </c>
      <c r="HB1507" s="4">
        <v>142</v>
      </c>
      <c r="HC1507" s="4">
        <v>139</v>
      </c>
      <c r="HD1507" s="19">
        <v>19.3</v>
      </c>
      <c r="HE1507" s="19">
        <v>18</v>
      </c>
      <c r="HF1507" s="19">
        <v>12.8</v>
      </c>
      <c r="HG1507" s="19">
        <v>12</v>
      </c>
      <c r="HH1507" s="19">
        <v>11.3</v>
      </c>
      <c r="HI1507" s="19">
        <v>10.5</v>
      </c>
      <c r="HJ1507" s="19">
        <v>9.3</v>
      </c>
      <c r="HK1507" s="19">
        <v>8</v>
      </c>
      <c r="HL1507" s="19">
        <v>9</v>
      </c>
      <c r="HM1507" s="19">
        <v>6</v>
      </c>
      <c r="HN1507" s="19">
        <v>4.2</v>
      </c>
      <c r="HO1507" s="19">
        <v>3</v>
      </c>
      <c r="HP1507" s="19">
        <v>2.3</v>
      </c>
      <c r="HQ1507" s="19">
        <v>1.8</v>
      </c>
      <c r="HR1507" s="20">
        <v>0</v>
      </c>
      <c r="HS1507" s="20">
        <v>0</v>
      </c>
      <c r="HT1507" s="20">
        <v>0</v>
      </c>
      <c r="HU1507" s="20">
        <v>0</v>
      </c>
      <c r="HV1507" s="20">
        <v>0</v>
      </c>
      <c r="HW1507" s="19">
        <v>40.5</v>
      </c>
      <c r="HX1507" s="19">
        <v>51.3</v>
      </c>
      <c r="HY1507" s="19">
        <v>50.3</v>
      </c>
      <c r="HZ1507" s="19">
        <v>49.3</v>
      </c>
      <c r="IA1507" s="19">
        <v>48.3</v>
      </c>
      <c r="IB1507" s="19">
        <v>47.3</v>
      </c>
      <c r="IC1507" s="19">
        <v>46.3</v>
      </c>
    </row>
    <row r="1508">
      <c r="A1508" s="2" t="s">
        <v>5672</v>
      </c>
      <c r="B1508" s="2" t="s">
        <v>323</v>
      </c>
      <c r="C1508" s="2" t="s">
        <v>853</v>
      </c>
      <c r="D1508" s="2" t="s">
        <v>257</v>
      </c>
      <c r="E1508" s="2" t="s">
        <v>258</v>
      </c>
      <c r="F1508" s="2" t="s">
        <v>501</v>
      </c>
      <c r="G1508" s="2" t="s">
        <v>501</v>
      </c>
      <c r="H1508" s="2" t="s">
        <v>501</v>
      </c>
      <c r="I1508" s="2" t="s">
        <v>5637</v>
      </c>
      <c r="J1508" s="2" t="s">
        <v>230</v>
      </c>
      <c r="K1508" s="2" t="s">
        <v>292</v>
      </c>
      <c r="L1508" s="3">
        <v>12.27</v>
      </c>
      <c r="M1508" s="3">
        <v>12.88</v>
      </c>
      <c r="N1508" s="3">
        <v>29.99</v>
      </c>
      <c r="O1508" s="2" t="s">
        <v>232</v>
      </c>
      <c r="P1508" s="2" t="s">
        <v>233</v>
      </c>
      <c r="Q1508" s="2" t="s">
        <v>234</v>
      </c>
      <c r="R1508" s="2" t="s">
        <v>235</v>
      </c>
      <c r="S1508" s="2" t="s">
        <v>5667</v>
      </c>
      <c r="T1508" s="2" t="s">
        <v>501</v>
      </c>
      <c r="U1508" s="2" t="s">
        <v>235</v>
      </c>
      <c r="V1508" s="2" t="s">
        <v>238</v>
      </c>
      <c r="W1508" s="2" t="s">
        <v>239</v>
      </c>
      <c r="X1508" s="2" t="s">
        <v>235</v>
      </c>
      <c r="Y1508" s="2" t="s">
        <v>240</v>
      </c>
      <c r="Z1508" s="4">
        <v>238</v>
      </c>
      <c r="AA1508" s="4">
        <f>=ROUNDDOWN(79.3333333333333,0)</f>
      </c>
      <c r="AB1508" s="5">
        <v>3</v>
      </c>
      <c r="AC1508" s="2" t="s">
        <v>235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235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235</v>
      </c>
      <c r="AW1508" s="8" t="s">
        <v>235</v>
      </c>
      <c r="AX1508" s="4" t="s">
        <v>235</v>
      </c>
      <c r="AY1508" s="8" t="s">
        <v>235</v>
      </c>
      <c r="AZ1508" s="7" t="s">
        <v>235</v>
      </c>
      <c r="BA1508" s="7" t="s">
        <v>235</v>
      </c>
      <c r="BB1508" s="7" t="s">
        <v>235</v>
      </c>
      <c r="BC1508" s="4" t="s">
        <v>235</v>
      </c>
      <c r="BD1508" s="8" t="s">
        <v>235</v>
      </c>
      <c r="BE1508" s="4" t="s">
        <v>235</v>
      </c>
      <c r="BF1508" s="8" t="s">
        <v>235</v>
      </c>
      <c r="BG1508" s="7" t="s">
        <v>235</v>
      </c>
      <c r="BH1508" s="7" t="s">
        <v>235</v>
      </c>
      <c r="BI1508" s="7"/>
      <c r="BJ1508" s="4">
        <v>17</v>
      </c>
      <c r="BK1508" s="8">
        <v>217.43</v>
      </c>
      <c r="BL1508" s="2" t="s">
        <v>5673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5639</v>
      </c>
      <c r="BV1508" s="2" t="s">
        <v>243</v>
      </c>
      <c r="BW1508" s="2" t="s">
        <v>235</v>
      </c>
      <c r="BX1508" s="2" t="s">
        <v>244</v>
      </c>
      <c r="BY1508" s="2" t="s">
        <v>245</v>
      </c>
      <c r="BZ1508" s="2" t="s">
        <v>232</v>
      </c>
      <c r="CA1508" s="2" t="s">
        <v>252</v>
      </c>
      <c r="CB1508" s="2" t="s">
        <v>5604</v>
      </c>
      <c r="CC1508" s="2" t="s">
        <v>248</v>
      </c>
      <c r="CD1508" s="2" t="s">
        <v>248</v>
      </c>
      <c r="CE1508" s="2" t="s">
        <v>235</v>
      </c>
      <c r="CF1508" s="4">
        <v>238</v>
      </c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>
        <v>239</v>
      </c>
      <c r="GE1508" s="4">
        <v>228</v>
      </c>
      <c r="GF1508" s="4">
        <v>225</v>
      </c>
      <c r="GG1508" s="4">
        <v>222</v>
      </c>
      <c r="GH1508" s="4">
        <v>219</v>
      </c>
      <c r="GI1508" s="4">
        <v>215</v>
      </c>
      <c r="GJ1508" s="4">
        <v>210</v>
      </c>
      <c r="GK1508" s="4">
        <v>204</v>
      </c>
      <c r="GL1508" s="4">
        <v>199</v>
      </c>
      <c r="GM1508" s="4">
        <v>195</v>
      </c>
      <c r="GN1508" s="4">
        <v>192</v>
      </c>
      <c r="GO1508" s="4">
        <v>188</v>
      </c>
      <c r="GP1508" s="4">
        <v>184</v>
      </c>
      <c r="GQ1508" s="4">
        <v>177</v>
      </c>
      <c r="GR1508" s="4">
        <v>168</v>
      </c>
      <c r="GS1508" s="4">
        <v>161</v>
      </c>
      <c r="GT1508" s="4">
        <v>157</v>
      </c>
      <c r="GU1508" s="4">
        <v>153</v>
      </c>
      <c r="GV1508" s="4">
        <v>150</v>
      </c>
      <c r="GW1508" s="4">
        <v>147</v>
      </c>
      <c r="GX1508" s="4">
        <v>144</v>
      </c>
      <c r="GY1508" s="4">
        <v>141</v>
      </c>
      <c r="GZ1508" s="4">
        <v>138</v>
      </c>
      <c r="HA1508" s="4">
        <v>135</v>
      </c>
      <c r="HB1508" s="4">
        <v>132</v>
      </c>
      <c r="HC1508" s="4">
        <v>129</v>
      </c>
      <c r="HD1508" s="19">
        <v>47.8</v>
      </c>
      <c r="HE1508" s="19">
        <v>76</v>
      </c>
      <c r="HF1508" s="19">
        <v>56.3</v>
      </c>
      <c r="HG1508" s="19">
        <v>55.5</v>
      </c>
      <c r="HH1508" s="19">
        <v>43.8</v>
      </c>
      <c r="HI1508" s="19">
        <v>43</v>
      </c>
      <c r="HJ1508" s="19">
        <v>52.5</v>
      </c>
      <c r="HK1508" s="19">
        <v>51</v>
      </c>
      <c r="HL1508" s="19">
        <v>49.8</v>
      </c>
      <c r="HM1508" s="19">
        <v>48.8</v>
      </c>
      <c r="HN1508" s="19">
        <v>32</v>
      </c>
      <c r="HO1508" s="19">
        <v>26.9</v>
      </c>
      <c r="HP1508" s="19">
        <v>26.3</v>
      </c>
      <c r="HQ1508" s="19">
        <v>29.5</v>
      </c>
      <c r="HR1508" s="19">
        <v>42</v>
      </c>
      <c r="HS1508" s="19">
        <v>40.3</v>
      </c>
      <c r="HT1508" s="19">
        <v>52.3</v>
      </c>
      <c r="HU1508" s="19">
        <v>51</v>
      </c>
      <c r="HV1508" s="19">
        <v>50</v>
      </c>
      <c r="HW1508" s="19">
        <v>49</v>
      </c>
      <c r="HX1508" s="19">
        <v>48</v>
      </c>
      <c r="HY1508" s="19">
        <v>47</v>
      </c>
      <c r="HZ1508" s="19">
        <v>46</v>
      </c>
      <c r="IA1508" s="19">
        <v>45</v>
      </c>
      <c r="IB1508" s="19">
        <v>44</v>
      </c>
      <c r="IC1508" s="19">
        <v>43</v>
      </c>
    </row>
    <row r="1509">
      <c r="A1509" s="2" t="s">
        <v>5674</v>
      </c>
      <c r="B1509" s="2" t="s">
        <v>323</v>
      </c>
      <c r="C1509" s="2" t="s">
        <v>853</v>
      </c>
      <c r="D1509" s="2" t="s">
        <v>257</v>
      </c>
      <c r="E1509" s="2" t="s">
        <v>258</v>
      </c>
      <c r="F1509" s="2" t="s">
        <v>501</v>
      </c>
      <c r="G1509" s="2" t="s">
        <v>501</v>
      </c>
      <c r="H1509" s="2" t="s">
        <v>501</v>
      </c>
      <c r="I1509" s="2" t="s">
        <v>5648</v>
      </c>
      <c r="J1509" s="2" t="s">
        <v>230</v>
      </c>
      <c r="K1509" s="2" t="s">
        <v>292</v>
      </c>
      <c r="L1509" s="3">
        <v>12.27</v>
      </c>
      <c r="M1509" s="3">
        <v>12.88</v>
      </c>
      <c r="N1509" s="3">
        <v>29.99</v>
      </c>
      <c r="O1509" s="2" t="s">
        <v>232</v>
      </c>
      <c r="P1509" s="2" t="s">
        <v>233</v>
      </c>
      <c r="Q1509" s="2" t="s">
        <v>234</v>
      </c>
      <c r="R1509" s="2" t="s">
        <v>235</v>
      </c>
      <c r="S1509" s="2" t="s">
        <v>5667</v>
      </c>
      <c r="T1509" s="2" t="s">
        <v>501</v>
      </c>
      <c r="U1509" s="2" t="s">
        <v>264</v>
      </c>
      <c r="V1509" s="2" t="s">
        <v>238</v>
      </c>
      <c r="W1509" s="2" t="s">
        <v>682</v>
      </c>
      <c r="X1509" s="2" t="s">
        <v>235</v>
      </c>
      <c r="Y1509" s="2" t="s">
        <v>5670</v>
      </c>
      <c r="Z1509" s="4">
        <v>402</v>
      </c>
      <c r="AA1509" s="4">
        <f>=ROUNDDOWN(125.625,0)</f>
      </c>
      <c r="AB1509" s="5">
        <v>3.2</v>
      </c>
      <c r="AC1509" s="2" t="s">
        <v>235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235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235</v>
      </c>
      <c r="AW1509" s="8" t="s">
        <v>235</v>
      </c>
      <c r="AX1509" s="4" t="s">
        <v>235</v>
      </c>
      <c r="AY1509" s="8" t="s">
        <v>235</v>
      </c>
      <c r="AZ1509" s="7" t="s">
        <v>235</v>
      </c>
      <c r="BA1509" s="7" t="s">
        <v>235</v>
      </c>
      <c r="BB1509" s="7" t="s">
        <v>235</v>
      </c>
      <c r="BC1509" s="4" t="s">
        <v>235</v>
      </c>
      <c r="BD1509" s="8" t="s">
        <v>235</v>
      </c>
      <c r="BE1509" s="4" t="s">
        <v>235</v>
      </c>
      <c r="BF1509" s="8" t="s">
        <v>235</v>
      </c>
      <c r="BG1509" s="7" t="s">
        <v>235</v>
      </c>
      <c r="BH1509" s="7" t="s">
        <v>235</v>
      </c>
      <c r="BI1509" s="7"/>
      <c r="BJ1509" s="4">
        <v>54</v>
      </c>
      <c r="BK1509" s="8">
        <v>725.31</v>
      </c>
      <c r="BL1509" s="2" t="s">
        <v>5675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5650</v>
      </c>
      <c r="BV1509" s="2" t="s">
        <v>243</v>
      </c>
      <c r="BW1509" s="2" t="s">
        <v>235</v>
      </c>
      <c r="BX1509" s="2" t="s">
        <v>244</v>
      </c>
      <c r="BY1509" s="2" t="s">
        <v>245</v>
      </c>
      <c r="BZ1509" s="2" t="s">
        <v>232</v>
      </c>
      <c r="CA1509" s="2" t="s">
        <v>5671</v>
      </c>
      <c r="CB1509" s="2" t="s">
        <v>5676</v>
      </c>
      <c r="CC1509" s="2" t="s">
        <v>248</v>
      </c>
      <c r="CD1509" s="2" t="s">
        <v>248</v>
      </c>
      <c r="CE1509" s="2" t="s">
        <v>235</v>
      </c>
      <c r="CF1509" s="4">
        <v>402</v>
      </c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>
        <v>403</v>
      </c>
      <c r="GE1509" s="4">
        <v>399</v>
      </c>
      <c r="GF1509" s="4">
        <v>396</v>
      </c>
      <c r="GG1509" s="4">
        <v>393</v>
      </c>
      <c r="GH1509" s="4">
        <v>390</v>
      </c>
      <c r="GI1509" s="4">
        <v>387</v>
      </c>
      <c r="GJ1509" s="4">
        <v>384</v>
      </c>
      <c r="GK1509" s="4">
        <v>381</v>
      </c>
      <c r="GL1509" s="4">
        <v>378</v>
      </c>
      <c r="GM1509" s="4">
        <v>375</v>
      </c>
      <c r="GN1509" s="4">
        <v>372</v>
      </c>
      <c r="GO1509" s="4">
        <v>368</v>
      </c>
      <c r="GP1509" s="4">
        <v>363</v>
      </c>
      <c r="GQ1509" s="4">
        <v>354</v>
      </c>
      <c r="GR1509" s="4">
        <v>342</v>
      </c>
      <c r="GS1509" s="4">
        <v>332</v>
      </c>
      <c r="GT1509" s="4">
        <v>327</v>
      </c>
      <c r="GU1509" s="4">
        <v>323</v>
      </c>
      <c r="GV1509" s="4">
        <v>320</v>
      </c>
      <c r="GW1509" s="4">
        <v>320</v>
      </c>
      <c r="GX1509" s="4">
        <v>317</v>
      </c>
      <c r="GY1509" s="4">
        <v>314</v>
      </c>
      <c r="GZ1509" s="4">
        <v>311</v>
      </c>
      <c r="HA1509" s="4">
        <v>308</v>
      </c>
      <c r="HB1509" s="4">
        <v>305</v>
      </c>
      <c r="HC1509" s="4">
        <v>301</v>
      </c>
      <c r="HD1509" s="19">
        <v>134.3</v>
      </c>
      <c r="HE1509" s="19">
        <v>133</v>
      </c>
      <c r="HF1509" s="19">
        <v>132</v>
      </c>
      <c r="HG1509" s="19">
        <v>131</v>
      </c>
      <c r="HH1509" s="19">
        <v>130</v>
      </c>
      <c r="HI1509" s="19">
        <v>129</v>
      </c>
      <c r="HJ1509" s="19">
        <v>128</v>
      </c>
      <c r="HK1509" s="19">
        <v>127</v>
      </c>
      <c r="HL1509" s="19">
        <v>94.5</v>
      </c>
      <c r="HM1509" s="19">
        <v>75</v>
      </c>
      <c r="HN1509" s="19">
        <v>46.5</v>
      </c>
      <c r="HO1509" s="19">
        <v>40.9</v>
      </c>
      <c r="HP1509" s="19">
        <v>40.3</v>
      </c>
      <c r="HQ1509" s="19">
        <v>44.3</v>
      </c>
      <c r="HR1509" s="19">
        <v>57</v>
      </c>
      <c r="HS1509" s="19">
        <v>83</v>
      </c>
      <c r="HT1509" s="19">
        <v>109</v>
      </c>
      <c r="HU1509" s="19">
        <v>107.7</v>
      </c>
      <c r="HV1509" s="19">
        <v>106.7</v>
      </c>
      <c r="HW1509" s="19">
        <v>106.7</v>
      </c>
      <c r="HX1509" s="19">
        <v>105.7</v>
      </c>
      <c r="HY1509" s="19">
        <v>104.7</v>
      </c>
      <c r="HZ1509" s="19">
        <v>103.7</v>
      </c>
      <c r="IA1509" s="19">
        <v>102.7</v>
      </c>
      <c r="IB1509" s="19">
        <v>101.7</v>
      </c>
      <c r="IC1509" s="19">
        <v>100.3</v>
      </c>
    </row>
    <row r="1510">
      <c r="A1510" s="2" t="s">
        <v>5677</v>
      </c>
      <c r="B1510" s="2" t="s">
        <v>323</v>
      </c>
      <c r="C1510" s="2" t="s">
        <v>853</v>
      </c>
      <c r="D1510" s="2" t="s">
        <v>257</v>
      </c>
      <c r="E1510" s="2" t="s">
        <v>258</v>
      </c>
      <c r="F1510" s="2" t="s">
        <v>501</v>
      </c>
      <c r="G1510" s="2" t="s">
        <v>501</v>
      </c>
      <c r="H1510" s="2" t="s">
        <v>501</v>
      </c>
      <c r="I1510" s="2" t="s">
        <v>5637</v>
      </c>
      <c r="J1510" s="2" t="s">
        <v>250</v>
      </c>
      <c r="K1510" s="2" t="s">
        <v>292</v>
      </c>
      <c r="L1510" s="3">
        <v>14.23</v>
      </c>
      <c r="M1510" s="3">
        <v>14.94</v>
      </c>
      <c r="N1510" s="3">
        <v>34.99</v>
      </c>
      <c r="O1510" s="2" t="s">
        <v>232</v>
      </c>
      <c r="P1510" s="2" t="s">
        <v>233</v>
      </c>
      <c r="Q1510" s="2" t="s">
        <v>234</v>
      </c>
      <c r="R1510" s="2" t="s">
        <v>235</v>
      </c>
      <c r="S1510" s="2" t="s">
        <v>5667</v>
      </c>
      <c r="T1510" s="2" t="s">
        <v>501</v>
      </c>
      <c r="U1510" s="2" t="s">
        <v>235</v>
      </c>
      <c r="V1510" s="2" t="s">
        <v>238</v>
      </c>
      <c r="W1510" s="2" t="s">
        <v>239</v>
      </c>
      <c r="X1510" s="2" t="s">
        <v>235</v>
      </c>
      <c r="Y1510" s="2" t="s">
        <v>240</v>
      </c>
      <c r="Z1510" s="4">
        <v>109</v>
      </c>
      <c r="AA1510" s="4">
        <f>=ROUNDDOWN(68.125,0)</f>
      </c>
      <c r="AB1510" s="5">
        <v>1.6</v>
      </c>
      <c r="AC1510" s="2" t="s">
        <v>235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235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235</v>
      </c>
      <c r="AW1510" s="8" t="s">
        <v>235</v>
      </c>
      <c r="AX1510" s="4" t="s">
        <v>235</v>
      </c>
      <c r="AY1510" s="8" t="s">
        <v>235</v>
      </c>
      <c r="AZ1510" s="7" t="s">
        <v>235</v>
      </c>
      <c r="BA1510" s="7" t="s">
        <v>235</v>
      </c>
      <c r="BB1510" s="7" t="s">
        <v>235</v>
      </c>
      <c r="BC1510" s="4" t="s">
        <v>235</v>
      </c>
      <c r="BD1510" s="8" t="s">
        <v>235</v>
      </c>
      <c r="BE1510" s="4" t="s">
        <v>235</v>
      </c>
      <c r="BF1510" s="8" t="s">
        <v>235</v>
      </c>
      <c r="BG1510" s="7" t="s">
        <v>235</v>
      </c>
      <c r="BH1510" s="7" t="s">
        <v>235</v>
      </c>
      <c r="BI1510" s="7"/>
      <c r="BJ1510" s="4">
        <v>11</v>
      </c>
      <c r="BK1510" s="8">
        <v>171.61</v>
      </c>
      <c r="BL1510" s="2" t="s">
        <v>5678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5639</v>
      </c>
      <c r="BV1510" s="2" t="s">
        <v>243</v>
      </c>
      <c r="BW1510" s="2" t="s">
        <v>235</v>
      </c>
      <c r="BX1510" s="2" t="s">
        <v>244</v>
      </c>
      <c r="BY1510" s="2" t="s">
        <v>245</v>
      </c>
      <c r="BZ1510" s="2" t="s">
        <v>232</v>
      </c>
      <c r="CA1510" s="2" t="s">
        <v>252</v>
      </c>
      <c r="CB1510" s="2" t="s">
        <v>5679</v>
      </c>
      <c r="CC1510" s="2" t="s">
        <v>248</v>
      </c>
      <c r="CD1510" s="2" t="s">
        <v>248</v>
      </c>
      <c r="CE1510" s="2" t="s">
        <v>235</v>
      </c>
      <c r="CF1510" s="4">
        <v>109</v>
      </c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>
        <v>109</v>
      </c>
      <c r="GE1510" s="4">
        <v>100</v>
      </c>
      <c r="GF1510" s="4">
        <v>98</v>
      </c>
      <c r="GG1510" s="4">
        <v>96</v>
      </c>
      <c r="GH1510" s="4">
        <v>94</v>
      </c>
      <c r="GI1510" s="4">
        <v>92</v>
      </c>
      <c r="GJ1510" s="4">
        <v>88</v>
      </c>
      <c r="GK1510" s="4">
        <v>84</v>
      </c>
      <c r="GL1510" s="4">
        <v>81</v>
      </c>
      <c r="GM1510" s="4">
        <v>79</v>
      </c>
      <c r="GN1510" s="4">
        <v>77</v>
      </c>
      <c r="GO1510" s="4">
        <v>75</v>
      </c>
      <c r="GP1510" s="4">
        <v>73</v>
      </c>
      <c r="GQ1510" s="4">
        <v>69</v>
      </c>
      <c r="GR1510" s="4">
        <v>65</v>
      </c>
      <c r="GS1510" s="4">
        <v>62</v>
      </c>
      <c r="GT1510" s="4">
        <v>60</v>
      </c>
      <c r="GU1510" s="4">
        <v>58</v>
      </c>
      <c r="GV1510" s="4">
        <v>56</v>
      </c>
      <c r="GW1510" s="4">
        <v>54</v>
      </c>
      <c r="GX1510" s="4">
        <v>52</v>
      </c>
      <c r="GY1510" s="4">
        <v>50</v>
      </c>
      <c r="GZ1510" s="4">
        <v>48</v>
      </c>
      <c r="HA1510" s="4">
        <v>46</v>
      </c>
      <c r="HB1510" s="4">
        <v>44</v>
      </c>
      <c r="HC1510" s="4">
        <v>42</v>
      </c>
      <c r="HD1510" s="19">
        <v>27.3</v>
      </c>
      <c r="HE1510" s="19">
        <v>50</v>
      </c>
      <c r="HF1510" s="19">
        <v>49</v>
      </c>
      <c r="HG1510" s="19">
        <v>32</v>
      </c>
      <c r="HH1510" s="19">
        <v>31.3</v>
      </c>
      <c r="HI1510" s="19">
        <v>30.7</v>
      </c>
      <c r="HJ1510" s="19">
        <v>29.3</v>
      </c>
      <c r="HK1510" s="19">
        <v>42</v>
      </c>
      <c r="HL1510" s="19">
        <v>40.5</v>
      </c>
      <c r="HM1510" s="19">
        <v>39.5</v>
      </c>
      <c r="HN1510" s="19">
        <v>25.7</v>
      </c>
      <c r="HO1510" s="19">
        <v>25</v>
      </c>
      <c r="HP1510" s="19">
        <v>24.3</v>
      </c>
      <c r="HQ1510" s="19">
        <v>23</v>
      </c>
      <c r="HR1510" s="19">
        <v>32.5</v>
      </c>
      <c r="HS1510" s="19">
        <v>31</v>
      </c>
      <c r="HT1510" s="19">
        <v>30</v>
      </c>
      <c r="HU1510" s="19">
        <v>29</v>
      </c>
      <c r="HV1510" s="19">
        <v>28</v>
      </c>
      <c r="HW1510" s="19">
        <v>27</v>
      </c>
      <c r="HX1510" s="19">
        <v>26</v>
      </c>
      <c r="HY1510" s="19">
        <v>25</v>
      </c>
      <c r="HZ1510" s="19">
        <v>24</v>
      </c>
      <c r="IA1510" s="19">
        <v>23</v>
      </c>
      <c r="IB1510" s="19">
        <v>22</v>
      </c>
      <c r="IC1510" s="19">
        <v>21</v>
      </c>
    </row>
    <row r="1511">
      <c r="A1511" s="2" t="s">
        <v>5680</v>
      </c>
      <c r="B1511" s="2" t="s">
        <v>323</v>
      </c>
      <c r="C1511" s="2" t="s">
        <v>853</v>
      </c>
      <c r="D1511" s="2" t="s">
        <v>257</v>
      </c>
      <c r="E1511" s="2" t="s">
        <v>258</v>
      </c>
      <c r="F1511" s="2" t="s">
        <v>501</v>
      </c>
      <c r="G1511" s="2" t="s">
        <v>501</v>
      </c>
      <c r="H1511" s="2" t="s">
        <v>501</v>
      </c>
      <c r="I1511" s="2" t="s">
        <v>5648</v>
      </c>
      <c r="J1511" s="2" t="s">
        <v>250</v>
      </c>
      <c r="K1511" s="2" t="s">
        <v>292</v>
      </c>
      <c r="L1511" s="3">
        <v>14.23</v>
      </c>
      <c r="M1511" s="3">
        <v>14.94</v>
      </c>
      <c r="N1511" s="3">
        <v>34.99</v>
      </c>
      <c r="O1511" s="2" t="s">
        <v>232</v>
      </c>
      <c r="P1511" s="2" t="s">
        <v>233</v>
      </c>
      <c r="Q1511" s="2" t="s">
        <v>234</v>
      </c>
      <c r="R1511" s="2" t="s">
        <v>235</v>
      </c>
      <c r="S1511" s="2" t="s">
        <v>5667</v>
      </c>
      <c r="T1511" s="2" t="s">
        <v>501</v>
      </c>
      <c r="U1511" s="2" t="s">
        <v>614</v>
      </c>
      <c r="V1511" s="2" t="s">
        <v>238</v>
      </c>
      <c r="W1511" s="2" t="s">
        <v>682</v>
      </c>
      <c r="X1511" s="2" t="s">
        <v>235</v>
      </c>
      <c r="Y1511" s="2" t="s">
        <v>5670</v>
      </c>
      <c r="Z1511" s="4">
        <v>122</v>
      </c>
      <c r="AA1511" s="4">
        <f>=ROUNDDOWN(93.8461538461538,0)</f>
      </c>
      <c r="AB1511" s="5">
        <v>1.3</v>
      </c>
      <c r="AC1511" s="2" t="s">
        <v>235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235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235</v>
      </c>
      <c r="AW1511" s="8" t="s">
        <v>235</v>
      </c>
      <c r="AX1511" s="4" t="s">
        <v>235</v>
      </c>
      <c r="AY1511" s="8" t="s">
        <v>235</v>
      </c>
      <c r="AZ1511" s="7" t="s">
        <v>235</v>
      </c>
      <c r="BA1511" s="7" t="s">
        <v>235</v>
      </c>
      <c r="BB1511" s="7" t="s">
        <v>235</v>
      </c>
      <c r="BC1511" s="4" t="s">
        <v>235</v>
      </c>
      <c r="BD1511" s="8" t="s">
        <v>235</v>
      </c>
      <c r="BE1511" s="4" t="s">
        <v>235</v>
      </c>
      <c r="BF1511" s="8" t="s">
        <v>235</v>
      </c>
      <c r="BG1511" s="7" t="s">
        <v>235</v>
      </c>
      <c r="BH1511" s="7" t="s">
        <v>235</v>
      </c>
      <c r="BI1511" s="7"/>
      <c r="BJ1511" s="4">
        <v>8</v>
      </c>
      <c r="BK1511" s="8">
        <v>129.86</v>
      </c>
      <c r="BL1511" s="2" t="s">
        <v>3724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5650</v>
      </c>
      <c r="BV1511" s="2" t="s">
        <v>243</v>
      </c>
      <c r="BW1511" s="2" t="s">
        <v>235</v>
      </c>
      <c r="BX1511" s="2" t="s">
        <v>244</v>
      </c>
      <c r="BY1511" s="2" t="s">
        <v>245</v>
      </c>
      <c r="BZ1511" s="2" t="s">
        <v>232</v>
      </c>
      <c r="CA1511" s="2" t="s">
        <v>5671</v>
      </c>
      <c r="CB1511" s="2" t="s">
        <v>5681</v>
      </c>
      <c r="CC1511" s="2" t="s">
        <v>248</v>
      </c>
      <c r="CD1511" s="2" t="s">
        <v>248</v>
      </c>
      <c r="CE1511" s="2" t="s">
        <v>235</v>
      </c>
      <c r="CF1511" s="4">
        <v>122</v>
      </c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>
        <v>122</v>
      </c>
      <c r="GE1511" s="4">
        <v>121</v>
      </c>
      <c r="GF1511" s="4">
        <v>120</v>
      </c>
      <c r="GG1511" s="4">
        <v>119</v>
      </c>
      <c r="GH1511" s="4">
        <v>118</v>
      </c>
      <c r="GI1511" s="4">
        <v>117</v>
      </c>
      <c r="GJ1511" s="4">
        <v>116</v>
      </c>
      <c r="GK1511" s="4">
        <v>115</v>
      </c>
      <c r="GL1511" s="4">
        <v>114</v>
      </c>
      <c r="GM1511" s="4">
        <v>113</v>
      </c>
      <c r="GN1511" s="4">
        <v>112</v>
      </c>
      <c r="GO1511" s="4">
        <v>111</v>
      </c>
      <c r="GP1511" s="4">
        <v>110</v>
      </c>
      <c r="GQ1511" s="4">
        <v>107</v>
      </c>
      <c r="GR1511" s="4">
        <v>104</v>
      </c>
      <c r="GS1511" s="4">
        <v>102</v>
      </c>
      <c r="GT1511" s="4">
        <v>101</v>
      </c>
      <c r="GU1511" s="4">
        <v>100</v>
      </c>
      <c r="GV1511" s="4">
        <v>99</v>
      </c>
      <c r="GW1511" s="4">
        <v>98</v>
      </c>
      <c r="GX1511" s="4">
        <v>97</v>
      </c>
      <c r="GY1511" s="4">
        <v>96</v>
      </c>
      <c r="GZ1511" s="4">
        <v>95</v>
      </c>
      <c r="HA1511" s="4">
        <v>94</v>
      </c>
      <c r="HB1511" s="4">
        <v>93</v>
      </c>
      <c r="HC1511" s="4">
        <v>92</v>
      </c>
      <c r="HD1511" s="19">
        <v>122</v>
      </c>
      <c r="HE1511" s="19">
        <v>121</v>
      </c>
      <c r="HF1511" s="19">
        <v>120</v>
      </c>
      <c r="HG1511" s="19">
        <v>119</v>
      </c>
      <c r="HH1511" s="19">
        <v>118</v>
      </c>
      <c r="HI1511" s="19">
        <v>117</v>
      </c>
      <c r="HJ1511" s="19">
        <v>116</v>
      </c>
      <c r="HK1511" s="19">
        <v>115</v>
      </c>
      <c r="HL1511" s="19">
        <v>114</v>
      </c>
      <c r="HM1511" s="19">
        <v>56.5</v>
      </c>
      <c r="HN1511" s="19">
        <v>56</v>
      </c>
      <c r="HO1511" s="19">
        <v>55.5</v>
      </c>
      <c r="HP1511" s="19">
        <v>55</v>
      </c>
      <c r="HQ1511" s="19">
        <v>53.5</v>
      </c>
      <c r="HR1511" s="19">
        <v>104</v>
      </c>
      <c r="HS1511" s="19">
        <v>102</v>
      </c>
      <c r="HT1511" s="19">
        <v>101</v>
      </c>
      <c r="HU1511" s="19">
        <v>100</v>
      </c>
      <c r="HV1511" s="19">
        <v>99</v>
      </c>
      <c r="HW1511" s="19">
        <v>98</v>
      </c>
      <c r="HX1511" s="19">
        <v>97</v>
      </c>
      <c r="HY1511" s="19">
        <v>96</v>
      </c>
      <c r="HZ1511" s="19">
        <v>95</v>
      </c>
      <c r="IA1511" s="19">
        <v>94</v>
      </c>
      <c r="IB1511" s="19">
        <v>93</v>
      </c>
      <c r="IC1511" s="19">
        <v>92</v>
      </c>
    </row>
    <row r="1512">
      <c r="A1512" s="2" t="s">
        <v>5682</v>
      </c>
      <c r="B1512" s="2" t="s">
        <v>323</v>
      </c>
      <c r="C1512" s="2" t="s">
        <v>853</v>
      </c>
      <c r="D1512" s="2" t="s">
        <v>257</v>
      </c>
      <c r="E1512" s="2" t="s">
        <v>258</v>
      </c>
      <c r="F1512" s="2" t="s">
        <v>501</v>
      </c>
      <c r="G1512" s="2" t="s">
        <v>501</v>
      </c>
      <c r="H1512" s="2" t="s">
        <v>501</v>
      </c>
      <c r="I1512" s="2" t="s">
        <v>5637</v>
      </c>
      <c r="J1512" s="2" t="s">
        <v>261</v>
      </c>
      <c r="K1512" s="2" t="s">
        <v>292</v>
      </c>
      <c r="L1512" s="3">
        <v>15.55</v>
      </c>
      <c r="M1512" s="3">
        <v>16.33</v>
      </c>
      <c r="N1512" s="3">
        <v>34.99</v>
      </c>
      <c r="O1512" s="2" t="s">
        <v>232</v>
      </c>
      <c r="P1512" s="2" t="s">
        <v>233</v>
      </c>
      <c r="Q1512" s="2" t="s">
        <v>234</v>
      </c>
      <c r="R1512" s="2" t="s">
        <v>235</v>
      </c>
      <c r="S1512" s="2" t="s">
        <v>5667</v>
      </c>
      <c r="T1512" s="2" t="s">
        <v>501</v>
      </c>
      <c r="U1512" s="2" t="s">
        <v>235</v>
      </c>
      <c r="V1512" s="2" t="s">
        <v>238</v>
      </c>
      <c r="W1512" s="2" t="s">
        <v>239</v>
      </c>
      <c r="X1512" s="2" t="s">
        <v>235</v>
      </c>
      <c r="Y1512" s="2" t="s">
        <v>240</v>
      </c>
      <c r="Z1512" s="4">
        <v>557</v>
      </c>
      <c r="AA1512" s="4">
        <f>=ROUNDDOWN(185.666666666667,0)</f>
      </c>
      <c r="AB1512" s="5">
        <v>3</v>
      </c>
      <c r="AC1512" s="2" t="s">
        <v>235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235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235</v>
      </c>
      <c r="AW1512" s="8" t="s">
        <v>235</v>
      </c>
      <c r="AX1512" s="4" t="s">
        <v>235</v>
      </c>
      <c r="AY1512" s="8" t="s">
        <v>235</v>
      </c>
      <c r="AZ1512" s="7" t="s">
        <v>235</v>
      </c>
      <c r="BA1512" s="7" t="s">
        <v>235</v>
      </c>
      <c r="BB1512" s="7" t="s">
        <v>235</v>
      </c>
      <c r="BC1512" s="4" t="s">
        <v>235</v>
      </c>
      <c r="BD1512" s="8" t="s">
        <v>235</v>
      </c>
      <c r="BE1512" s="4" t="s">
        <v>235</v>
      </c>
      <c r="BF1512" s="8" t="s">
        <v>235</v>
      </c>
      <c r="BG1512" s="7" t="s">
        <v>235</v>
      </c>
      <c r="BH1512" s="7" t="s">
        <v>235</v>
      </c>
      <c r="BI1512" s="7"/>
      <c r="BJ1512" s="4">
        <v>11</v>
      </c>
      <c r="BK1512" s="8">
        <v>201.23</v>
      </c>
      <c r="BL1512" s="2" t="s">
        <v>5683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5639</v>
      </c>
      <c r="BV1512" s="2" t="s">
        <v>243</v>
      </c>
      <c r="BW1512" s="2" t="s">
        <v>235</v>
      </c>
      <c r="BX1512" s="2" t="s">
        <v>244</v>
      </c>
      <c r="BY1512" s="2" t="s">
        <v>245</v>
      </c>
      <c r="BZ1512" s="2" t="s">
        <v>232</v>
      </c>
      <c r="CA1512" s="2" t="s">
        <v>252</v>
      </c>
      <c r="CB1512" s="2" t="s">
        <v>5590</v>
      </c>
      <c r="CC1512" s="2" t="s">
        <v>248</v>
      </c>
      <c r="CD1512" s="2" t="s">
        <v>248</v>
      </c>
      <c r="CE1512" s="2" t="s">
        <v>235</v>
      </c>
      <c r="CF1512" s="4">
        <v>557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>
        <v>558</v>
      </c>
      <c r="GE1512" s="4">
        <v>547</v>
      </c>
      <c r="GF1512" s="4">
        <v>544</v>
      </c>
      <c r="GG1512" s="4">
        <v>541</v>
      </c>
      <c r="GH1512" s="4">
        <v>538</v>
      </c>
      <c r="GI1512" s="4">
        <v>535</v>
      </c>
      <c r="GJ1512" s="4">
        <v>530</v>
      </c>
      <c r="GK1512" s="4">
        <v>525</v>
      </c>
      <c r="GL1512" s="4">
        <v>521</v>
      </c>
      <c r="GM1512" s="4">
        <v>518</v>
      </c>
      <c r="GN1512" s="4">
        <v>515</v>
      </c>
      <c r="GO1512" s="4">
        <v>512</v>
      </c>
      <c r="GP1512" s="4">
        <v>509</v>
      </c>
      <c r="GQ1512" s="4">
        <v>503</v>
      </c>
      <c r="GR1512" s="4">
        <v>497</v>
      </c>
      <c r="GS1512" s="4">
        <v>492</v>
      </c>
      <c r="GT1512" s="4">
        <v>489</v>
      </c>
      <c r="GU1512" s="4">
        <v>486</v>
      </c>
      <c r="GV1512" s="4">
        <v>483</v>
      </c>
      <c r="GW1512" s="4">
        <v>480</v>
      </c>
      <c r="GX1512" s="4">
        <v>477</v>
      </c>
      <c r="GY1512" s="4">
        <v>474</v>
      </c>
      <c r="GZ1512" s="4">
        <v>471</v>
      </c>
      <c r="HA1512" s="4">
        <v>468</v>
      </c>
      <c r="HB1512" s="4">
        <v>465</v>
      </c>
      <c r="HC1512" s="4">
        <v>462</v>
      </c>
      <c r="HD1512" s="19">
        <v>111.6</v>
      </c>
      <c r="HE1512" s="19">
        <v>182.3</v>
      </c>
      <c r="HF1512" s="19">
        <v>136</v>
      </c>
      <c r="HG1512" s="19">
        <v>135.3</v>
      </c>
      <c r="HH1512" s="19">
        <v>134.5</v>
      </c>
      <c r="HI1512" s="19">
        <v>133.8</v>
      </c>
      <c r="HJ1512" s="19">
        <v>132.5</v>
      </c>
      <c r="HK1512" s="19">
        <v>175</v>
      </c>
      <c r="HL1512" s="19">
        <v>173.7</v>
      </c>
      <c r="HM1512" s="19">
        <v>129.5</v>
      </c>
      <c r="HN1512" s="19">
        <v>128.8</v>
      </c>
      <c r="HO1512" s="19">
        <v>102.4</v>
      </c>
      <c r="HP1512" s="19">
        <v>101.8</v>
      </c>
      <c r="HQ1512" s="19">
        <v>125.8</v>
      </c>
      <c r="HR1512" s="19">
        <v>124.3</v>
      </c>
      <c r="HS1512" s="19">
        <v>164</v>
      </c>
      <c r="HT1512" s="19">
        <v>163</v>
      </c>
      <c r="HU1512" s="19">
        <v>162</v>
      </c>
      <c r="HV1512" s="19">
        <v>161</v>
      </c>
      <c r="HW1512" s="19">
        <v>160</v>
      </c>
      <c r="HX1512" s="19">
        <v>159</v>
      </c>
      <c r="HY1512" s="19">
        <v>158</v>
      </c>
      <c r="HZ1512" s="19">
        <v>157</v>
      </c>
      <c r="IA1512" s="19">
        <v>156</v>
      </c>
      <c r="IB1512" s="19">
        <v>155</v>
      </c>
      <c r="IC1512" s="19">
        <v>154</v>
      </c>
    </row>
    <row r="1513">
      <c r="A1513" s="2" t="s">
        <v>5684</v>
      </c>
      <c r="B1513" s="2" t="s">
        <v>323</v>
      </c>
      <c r="C1513" s="2" t="s">
        <v>853</v>
      </c>
      <c r="D1513" s="2" t="s">
        <v>257</v>
      </c>
      <c r="E1513" s="2" t="s">
        <v>258</v>
      </c>
      <c r="F1513" s="2" t="s">
        <v>501</v>
      </c>
      <c r="G1513" s="2" t="s">
        <v>501</v>
      </c>
      <c r="H1513" s="2" t="s">
        <v>501</v>
      </c>
      <c r="I1513" s="2" t="s">
        <v>5648</v>
      </c>
      <c r="J1513" s="2" t="s">
        <v>261</v>
      </c>
      <c r="K1513" s="2" t="s">
        <v>292</v>
      </c>
      <c r="L1513" s="3">
        <v>15.55</v>
      </c>
      <c r="M1513" s="3">
        <v>16.33</v>
      </c>
      <c r="N1513" s="3">
        <v>34.99</v>
      </c>
      <c r="O1513" s="2" t="s">
        <v>232</v>
      </c>
      <c r="P1513" s="2" t="s">
        <v>233</v>
      </c>
      <c r="Q1513" s="2" t="s">
        <v>234</v>
      </c>
      <c r="R1513" s="2" t="s">
        <v>235</v>
      </c>
      <c r="S1513" s="2" t="s">
        <v>5667</v>
      </c>
      <c r="T1513" s="2" t="s">
        <v>501</v>
      </c>
      <c r="U1513" s="2" t="s">
        <v>614</v>
      </c>
      <c r="V1513" s="2" t="s">
        <v>238</v>
      </c>
      <c r="W1513" s="2" t="s">
        <v>682</v>
      </c>
      <c r="X1513" s="2" t="s">
        <v>235</v>
      </c>
      <c r="Y1513" s="2" t="s">
        <v>5670</v>
      </c>
      <c r="Z1513" s="4">
        <v>580</v>
      </c>
      <c r="AA1513" s="4">
        <f>=ROUNDDOWN(290,0)</f>
      </c>
      <c r="AB1513" s="5">
        <v>2</v>
      </c>
      <c r="AC1513" s="2" t="s">
        <v>235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235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235</v>
      </c>
      <c r="AW1513" s="8" t="s">
        <v>235</v>
      </c>
      <c r="AX1513" s="4" t="s">
        <v>235</v>
      </c>
      <c r="AY1513" s="8" t="s">
        <v>235</v>
      </c>
      <c r="AZ1513" s="7" t="s">
        <v>235</v>
      </c>
      <c r="BA1513" s="7" t="s">
        <v>235</v>
      </c>
      <c r="BB1513" s="7" t="s">
        <v>235</v>
      </c>
      <c r="BC1513" s="4" t="s">
        <v>235</v>
      </c>
      <c r="BD1513" s="8" t="s">
        <v>235</v>
      </c>
      <c r="BE1513" s="4" t="s">
        <v>235</v>
      </c>
      <c r="BF1513" s="8" t="s">
        <v>235</v>
      </c>
      <c r="BG1513" s="7" t="s">
        <v>235</v>
      </c>
      <c r="BH1513" s="7" t="s">
        <v>235</v>
      </c>
      <c r="BI1513" s="7"/>
      <c r="BJ1513" s="4">
        <v>9</v>
      </c>
      <c r="BK1513" s="8">
        <v>152.05</v>
      </c>
      <c r="BL1513" s="2" t="s">
        <v>5685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5650</v>
      </c>
      <c r="BV1513" s="2" t="s">
        <v>243</v>
      </c>
      <c r="BW1513" s="2" t="s">
        <v>235</v>
      </c>
      <c r="BX1513" s="2" t="s">
        <v>244</v>
      </c>
      <c r="BY1513" s="2" t="s">
        <v>245</v>
      </c>
      <c r="BZ1513" s="2" t="s">
        <v>232</v>
      </c>
      <c r="CA1513" s="2" t="s">
        <v>5671</v>
      </c>
      <c r="CB1513" s="2" t="s">
        <v>5681</v>
      </c>
      <c r="CC1513" s="2" t="s">
        <v>248</v>
      </c>
      <c r="CD1513" s="2" t="s">
        <v>248</v>
      </c>
      <c r="CE1513" s="2" t="s">
        <v>235</v>
      </c>
      <c r="CF1513" s="4">
        <v>580</v>
      </c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>
        <v>584</v>
      </c>
      <c r="GE1513" s="4">
        <v>579</v>
      </c>
      <c r="GF1513" s="4">
        <v>577</v>
      </c>
      <c r="GG1513" s="4">
        <v>575</v>
      </c>
      <c r="GH1513" s="4">
        <v>573</v>
      </c>
      <c r="GI1513" s="4">
        <v>571</v>
      </c>
      <c r="GJ1513" s="4">
        <v>569</v>
      </c>
      <c r="GK1513" s="4">
        <v>567</v>
      </c>
      <c r="GL1513" s="4">
        <v>565</v>
      </c>
      <c r="GM1513" s="4">
        <v>563</v>
      </c>
      <c r="GN1513" s="4">
        <v>561</v>
      </c>
      <c r="GO1513" s="4">
        <v>559</v>
      </c>
      <c r="GP1513" s="4">
        <v>557</v>
      </c>
      <c r="GQ1513" s="4">
        <v>552</v>
      </c>
      <c r="GR1513" s="4">
        <v>547</v>
      </c>
      <c r="GS1513" s="4">
        <v>543</v>
      </c>
      <c r="GT1513" s="4">
        <v>541</v>
      </c>
      <c r="GU1513" s="4">
        <v>539</v>
      </c>
      <c r="GV1513" s="4">
        <v>537</v>
      </c>
      <c r="GW1513" s="4">
        <v>535</v>
      </c>
      <c r="GX1513" s="4">
        <v>533</v>
      </c>
      <c r="GY1513" s="4">
        <v>531</v>
      </c>
      <c r="GZ1513" s="4">
        <v>529</v>
      </c>
      <c r="HA1513" s="4">
        <v>527</v>
      </c>
      <c r="HB1513" s="4">
        <v>525</v>
      </c>
      <c r="HC1513" s="4">
        <v>523</v>
      </c>
      <c r="HD1513" s="19">
        <v>194.7</v>
      </c>
      <c r="HE1513" s="19">
        <v>289.5</v>
      </c>
      <c r="HF1513" s="19">
        <v>288.5</v>
      </c>
      <c r="HG1513" s="19">
        <v>287.5</v>
      </c>
      <c r="HH1513" s="19">
        <v>286.5</v>
      </c>
      <c r="HI1513" s="19">
        <v>285.5</v>
      </c>
      <c r="HJ1513" s="19">
        <v>284.5</v>
      </c>
      <c r="HK1513" s="19">
        <v>283.5</v>
      </c>
      <c r="HL1513" s="19">
        <v>282.5</v>
      </c>
      <c r="HM1513" s="19">
        <v>187.7</v>
      </c>
      <c r="HN1513" s="19">
        <v>140.3</v>
      </c>
      <c r="HO1513" s="19">
        <v>139.8</v>
      </c>
      <c r="HP1513" s="19">
        <v>139.3</v>
      </c>
      <c r="HQ1513" s="19">
        <v>184</v>
      </c>
      <c r="HR1513" s="19">
        <v>273.5</v>
      </c>
      <c r="HS1513" s="19">
        <v>271.5</v>
      </c>
      <c r="HT1513" s="19">
        <v>270.5</v>
      </c>
      <c r="HU1513" s="19">
        <v>269.5</v>
      </c>
      <c r="HV1513" s="19">
        <v>268.5</v>
      </c>
      <c r="HW1513" s="19">
        <v>267.5</v>
      </c>
      <c r="HX1513" s="19">
        <v>266.5</v>
      </c>
      <c r="HY1513" s="19">
        <v>265.5</v>
      </c>
      <c r="HZ1513" s="19">
        <v>264.5</v>
      </c>
      <c r="IA1513" s="19">
        <v>263.5</v>
      </c>
      <c r="IB1513" s="19">
        <v>262.5</v>
      </c>
      <c r="IC1513" s="19">
        <v>261.5</v>
      </c>
    </row>
    <row r="1514">
      <c r="A1514" s="2" t="s">
        <v>5686</v>
      </c>
      <c r="B1514" s="2" t="s">
        <v>323</v>
      </c>
      <c r="C1514" s="2" t="s">
        <v>853</v>
      </c>
      <c r="D1514" s="2" t="s">
        <v>257</v>
      </c>
      <c r="E1514" s="2" t="s">
        <v>258</v>
      </c>
      <c r="F1514" s="2" t="s">
        <v>501</v>
      </c>
      <c r="G1514" s="2" t="s">
        <v>501</v>
      </c>
      <c r="H1514" s="2" t="s">
        <v>501</v>
      </c>
      <c r="I1514" s="2" t="s">
        <v>5637</v>
      </c>
      <c r="J1514" s="2" t="s">
        <v>230</v>
      </c>
      <c r="K1514" s="2" t="s">
        <v>4557</v>
      </c>
      <c r="L1514" s="3">
        <v>12.27</v>
      </c>
      <c r="M1514" s="3">
        <v>12.88</v>
      </c>
      <c r="N1514" s="3">
        <v>29.99</v>
      </c>
      <c r="O1514" s="2" t="s">
        <v>232</v>
      </c>
      <c r="P1514" s="2" t="s">
        <v>233</v>
      </c>
      <c r="Q1514" s="2" t="s">
        <v>234</v>
      </c>
      <c r="R1514" s="2" t="s">
        <v>235</v>
      </c>
      <c r="S1514" s="2" t="s">
        <v>5687</v>
      </c>
      <c r="T1514" s="2" t="s">
        <v>501</v>
      </c>
      <c r="U1514" s="2" t="s">
        <v>552</v>
      </c>
      <c r="V1514" s="2" t="s">
        <v>238</v>
      </c>
      <c r="W1514" s="2" t="s">
        <v>239</v>
      </c>
      <c r="X1514" s="2" t="s">
        <v>235</v>
      </c>
      <c r="Y1514" s="2" t="s">
        <v>2115</v>
      </c>
      <c r="Z1514" s="4">
        <v>307</v>
      </c>
      <c r="AA1514" s="4">
        <f>=ROUNDDOWN(307,0)</f>
      </c>
      <c r="AB1514" s="5">
        <v>1</v>
      </c>
      <c r="AC1514" s="2" t="s">
        <v>235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235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235</v>
      </c>
      <c r="AW1514" s="8" t="s">
        <v>235</v>
      </c>
      <c r="AX1514" s="4" t="s">
        <v>235</v>
      </c>
      <c r="AY1514" s="8" t="s">
        <v>235</v>
      </c>
      <c r="AZ1514" s="7" t="s">
        <v>235</v>
      </c>
      <c r="BA1514" s="7" t="s">
        <v>235</v>
      </c>
      <c r="BB1514" s="7"/>
      <c r="BC1514" s="4" t="s">
        <v>235</v>
      </c>
      <c r="BD1514" s="8" t="s">
        <v>235</v>
      </c>
      <c r="BE1514" s="4" t="s">
        <v>235</v>
      </c>
      <c r="BF1514" s="8" t="s">
        <v>235</v>
      </c>
      <c r="BG1514" s="7" t="s">
        <v>235</v>
      </c>
      <c r="BH1514" s="7" t="s">
        <v>235</v>
      </c>
      <c r="BI1514" s="7"/>
      <c r="BJ1514" s="4">
        <v>22</v>
      </c>
      <c r="BK1514" s="8">
        <v>277.68</v>
      </c>
      <c r="BL1514" s="2" t="s">
        <v>536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5639</v>
      </c>
      <c r="BV1514" s="2" t="s">
        <v>243</v>
      </c>
      <c r="BW1514" s="2" t="s">
        <v>235</v>
      </c>
      <c r="BX1514" s="2" t="s">
        <v>244</v>
      </c>
      <c r="BY1514" s="2" t="s">
        <v>245</v>
      </c>
      <c r="BZ1514" s="2" t="s">
        <v>232</v>
      </c>
      <c r="CA1514" s="2" t="s">
        <v>415</v>
      </c>
      <c r="CB1514" s="2" t="s">
        <v>235</v>
      </c>
      <c r="CC1514" s="2" t="s">
        <v>248</v>
      </c>
      <c r="CD1514" s="2" t="s">
        <v>248</v>
      </c>
      <c r="CE1514" s="2" t="s">
        <v>235</v>
      </c>
      <c r="CF1514" s="4">
        <v>307</v>
      </c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>
        <v>307</v>
      </c>
      <c r="GE1514" s="4">
        <v>306</v>
      </c>
      <c r="GF1514" s="4">
        <v>305</v>
      </c>
      <c r="GG1514" s="4">
        <v>304</v>
      </c>
      <c r="GH1514" s="4">
        <v>303</v>
      </c>
      <c r="GI1514" s="4">
        <v>302</v>
      </c>
      <c r="GJ1514" s="4">
        <v>301</v>
      </c>
      <c r="GK1514" s="4">
        <v>300</v>
      </c>
      <c r="GL1514" s="4">
        <v>299</v>
      </c>
      <c r="GM1514" s="4">
        <v>298</v>
      </c>
      <c r="GN1514" s="4">
        <v>297</v>
      </c>
      <c r="GO1514" s="4">
        <v>296</v>
      </c>
      <c r="GP1514" s="4">
        <v>294</v>
      </c>
      <c r="GQ1514" s="4">
        <v>291</v>
      </c>
      <c r="GR1514" s="4">
        <v>287</v>
      </c>
      <c r="GS1514" s="4">
        <v>284</v>
      </c>
      <c r="GT1514" s="4">
        <v>282</v>
      </c>
      <c r="GU1514" s="4">
        <v>281</v>
      </c>
      <c r="GV1514" s="4">
        <v>280</v>
      </c>
      <c r="GW1514" s="4">
        <v>279</v>
      </c>
      <c r="GX1514" s="4">
        <v>278</v>
      </c>
      <c r="GY1514" s="4">
        <v>277</v>
      </c>
      <c r="GZ1514" s="4">
        <v>276</v>
      </c>
      <c r="HA1514" s="4">
        <v>275</v>
      </c>
      <c r="HB1514" s="4">
        <v>274</v>
      </c>
      <c r="HC1514" s="4">
        <v>273</v>
      </c>
      <c r="HD1514" s="19">
        <v>307</v>
      </c>
      <c r="HE1514" s="19">
        <v>306</v>
      </c>
      <c r="HF1514" s="19">
        <v>305</v>
      </c>
      <c r="HG1514" s="19">
        <v>304</v>
      </c>
      <c r="HH1514" s="19">
        <v>303</v>
      </c>
      <c r="HI1514" s="19">
        <v>302</v>
      </c>
      <c r="HJ1514" s="19">
        <v>301</v>
      </c>
      <c r="HK1514" s="19">
        <v>300</v>
      </c>
      <c r="HL1514" s="19">
        <v>299</v>
      </c>
      <c r="HM1514" s="19">
        <v>149</v>
      </c>
      <c r="HN1514" s="19">
        <v>148.5</v>
      </c>
      <c r="HO1514" s="19">
        <v>98.7</v>
      </c>
      <c r="HP1514" s="19">
        <v>98</v>
      </c>
      <c r="HQ1514" s="19">
        <v>145.5</v>
      </c>
      <c r="HR1514" s="19">
        <v>143.5</v>
      </c>
      <c r="HS1514" s="19">
        <v>284</v>
      </c>
      <c r="HT1514" s="19">
        <v>282</v>
      </c>
      <c r="HU1514" s="19">
        <v>281</v>
      </c>
      <c r="HV1514" s="19">
        <v>280</v>
      </c>
      <c r="HW1514" s="19">
        <v>279</v>
      </c>
      <c r="HX1514" s="19">
        <v>278</v>
      </c>
      <c r="HY1514" s="19">
        <v>277</v>
      </c>
      <c r="HZ1514" s="19">
        <v>276</v>
      </c>
      <c r="IA1514" s="19">
        <v>275</v>
      </c>
      <c r="IB1514" s="19">
        <v>274</v>
      </c>
      <c r="IC1514" s="19">
        <v>273</v>
      </c>
    </row>
    <row r="1515">
      <c r="A1515" s="2" t="s">
        <v>5688</v>
      </c>
      <c r="B1515" s="2" t="s">
        <v>323</v>
      </c>
      <c r="C1515" s="2" t="s">
        <v>853</v>
      </c>
      <c r="D1515" s="2" t="s">
        <v>257</v>
      </c>
      <c r="E1515" s="2" t="s">
        <v>258</v>
      </c>
      <c r="F1515" s="2" t="s">
        <v>501</v>
      </c>
      <c r="G1515" s="2" t="s">
        <v>501</v>
      </c>
      <c r="H1515" s="2" t="s">
        <v>501</v>
      </c>
      <c r="I1515" s="2" t="s">
        <v>5637</v>
      </c>
      <c r="J1515" s="2" t="s">
        <v>270</v>
      </c>
      <c r="K1515" s="2" t="s">
        <v>4557</v>
      </c>
      <c r="L1515" s="3">
        <v>18.24</v>
      </c>
      <c r="M1515" s="3">
        <v>19.15</v>
      </c>
      <c r="N1515" s="3">
        <v>39.99</v>
      </c>
      <c r="O1515" s="2" t="s">
        <v>232</v>
      </c>
      <c r="P1515" s="2" t="s">
        <v>233</v>
      </c>
      <c r="Q1515" s="2" t="s">
        <v>234</v>
      </c>
      <c r="R1515" s="2" t="s">
        <v>235</v>
      </c>
      <c r="S1515" s="2" t="s">
        <v>5687</v>
      </c>
      <c r="T1515" s="2" t="s">
        <v>501</v>
      </c>
      <c r="U1515" s="2" t="s">
        <v>264</v>
      </c>
      <c r="V1515" s="2" t="s">
        <v>238</v>
      </c>
      <c r="W1515" s="2" t="s">
        <v>239</v>
      </c>
      <c r="X1515" s="2" t="s">
        <v>235</v>
      </c>
      <c r="Y1515" s="2" t="s">
        <v>2115</v>
      </c>
      <c r="Z1515" s="4">
        <v>2</v>
      </c>
      <c r="AA1515" s="4">
        <f>=ROUNDDOWN(1.81818181818182,0)</f>
      </c>
      <c r="AB1515" s="5">
        <v>1.1</v>
      </c>
      <c r="AC1515" s="2" t="s">
        <v>574</v>
      </c>
      <c r="AD1515" s="4">
        <v>80</v>
      </c>
      <c r="AE1515" s="4">
        <v>80</v>
      </c>
      <c r="AF1515" s="6">
        <v>65</v>
      </c>
      <c r="AG1515" s="6"/>
      <c r="AH1515" s="7">
        <v>0</v>
      </c>
      <c r="AI1515" s="4"/>
      <c r="AJ1515" s="4">
        <f>=ROUNDDOWN({0},0)</f>
      </c>
      <c r="AK1515" s="5"/>
      <c r="AL1515" s="2" t="s">
        <v>235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235</v>
      </c>
      <c r="AW1515" s="8" t="s">
        <v>235</v>
      </c>
      <c r="AX1515" s="4" t="s">
        <v>235</v>
      </c>
      <c r="AY1515" s="8" t="s">
        <v>235</v>
      </c>
      <c r="AZ1515" s="7" t="s">
        <v>235</v>
      </c>
      <c r="BA1515" s="7" t="s">
        <v>235</v>
      </c>
      <c r="BB1515" s="7"/>
      <c r="BC1515" s="4" t="s">
        <v>235</v>
      </c>
      <c r="BD1515" s="8" t="s">
        <v>235</v>
      </c>
      <c r="BE1515" s="4" t="s">
        <v>235</v>
      </c>
      <c r="BF1515" s="8" t="s">
        <v>235</v>
      </c>
      <c r="BG1515" s="7" t="s">
        <v>235</v>
      </c>
      <c r="BH1515" s="7" t="s">
        <v>235</v>
      </c>
      <c r="BI1515" s="7"/>
      <c r="BJ1515" s="4"/>
      <c r="BK1515" s="8"/>
      <c r="BL1515" s="2" t="s">
        <v>5216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5639</v>
      </c>
      <c r="BV1515" s="2" t="s">
        <v>243</v>
      </c>
      <c r="BW1515" s="2" t="s">
        <v>235</v>
      </c>
      <c r="BX1515" s="2" t="s">
        <v>244</v>
      </c>
      <c r="BY1515" s="2" t="s">
        <v>245</v>
      </c>
      <c r="BZ1515" s="2" t="s">
        <v>232</v>
      </c>
      <c r="CA1515" s="2" t="s">
        <v>415</v>
      </c>
      <c r="CB1515" s="2" t="s">
        <v>235</v>
      </c>
      <c r="CC1515" s="2" t="s">
        <v>248</v>
      </c>
      <c r="CD1515" s="2" t="s">
        <v>248</v>
      </c>
      <c r="CE1515" s="2" t="s">
        <v>235</v>
      </c>
      <c r="CF1515" s="4">
        <v>2</v>
      </c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>
        <v>80</v>
      </c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>
        <v>2</v>
      </c>
      <c r="GE1515" s="4">
        <v>1</v>
      </c>
      <c r="GF1515" s="4"/>
      <c r="GG1515" s="4"/>
      <c r="GH1515" s="4"/>
      <c r="GI1515" s="4"/>
      <c r="GJ1515" s="4"/>
      <c r="GK1515" s="4"/>
      <c r="GL1515" s="4"/>
      <c r="GM1515" s="4">
        <v>80</v>
      </c>
      <c r="GN1515" s="4">
        <v>79</v>
      </c>
      <c r="GO1515" s="4">
        <v>78</v>
      </c>
      <c r="GP1515" s="4">
        <v>77</v>
      </c>
      <c r="GQ1515" s="4">
        <v>75</v>
      </c>
      <c r="GR1515" s="4">
        <v>73</v>
      </c>
      <c r="GS1515" s="4">
        <v>71</v>
      </c>
      <c r="GT1515" s="4">
        <v>70</v>
      </c>
      <c r="GU1515" s="4">
        <v>69</v>
      </c>
      <c r="GV1515" s="4">
        <v>68</v>
      </c>
      <c r="GW1515" s="4">
        <v>67</v>
      </c>
      <c r="GX1515" s="4">
        <v>66</v>
      </c>
      <c r="GY1515" s="4">
        <v>65</v>
      </c>
      <c r="GZ1515" s="4">
        <v>64</v>
      </c>
      <c r="HA1515" s="4">
        <v>63</v>
      </c>
      <c r="HB1515" s="4">
        <v>62</v>
      </c>
      <c r="HC1515" s="4">
        <v>61</v>
      </c>
      <c r="HD1515" s="19">
        <v>2</v>
      </c>
      <c r="HE1515" s="19">
        <v>1</v>
      </c>
      <c r="HF1515" s="20">
        <v>0</v>
      </c>
      <c r="HG1515" s="20">
        <v>0</v>
      </c>
      <c r="HH1515" s="20">
        <v>0</v>
      </c>
      <c r="HI1515" s="20">
        <v>0</v>
      </c>
      <c r="HJ1515" s="20">
        <v>0</v>
      </c>
      <c r="HK1515" s="20">
        <v>0</v>
      </c>
      <c r="HL1515" s="20">
        <v>0</v>
      </c>
      <c r="HM1515" s="19">
        <v>80</v>
      </c>
      <c r="HN1515" s="19">
        <v>39.5</v>
      </c>
      <c r="HO1515" s="19">
        <v>39</v>
      </c>
      <c r="HP1515" s="19">
        <v>38.5</v>
      </c>
      <c r="HQ1515" s="19">
        <v>37.5</v>
      </c>
      <c r="HR1515" s="19">
        <v>73</v>
      </c>
      <c r="HS1515" s="19">
        <v>71</v>
      </c>
      <c r="HT1515" s="19">
        <v>70</v>
      </c>
      <c r="HU1515" s="19">
        <v>69</v>
      </c>
      <c r="HV1515" s="19">
        <v>68</v>
      </c>
      <c r="HW1515" s="19">
        <v>67</v>
      </c>
      <c r="HX1515" s="19">
        <v>66</v>
      </c>
      <c r="HY1515" s="19">
        <v>65</v>
      </c>
      <c r="HZ1515" s="19">
        <v>64</v>
      </c>
      <c r="IA1515" s="19">
        <v>63</v>
      </c>
      <c r="IB1515" s="19">
        <v>62</v>
      </c>
      <c r="IC1515" s="19">
        <v>61</v>
      </c>
    </row>
    <row r="1516">
      <c r="A1516" s="2" t="s">
        <v>5689</v>
      </c>
      <c r="B1516" s="2" t="s">
        <v>323</v>
      </c>
      <c r="C1516" s="2" t="s">
        <v>853</v>
      </c>
      <c r="D1516" s="2" t="s">
        <v>257</v>
      </c>
      <c r="E1516" s="2" t="s">
        <v>258</v>
      </c>
      <c r="F1516" s="2" t="s">
        <v>501</v>
      </c>
      <c r="G1516" s="2" t="s">
        <v>501</v>
      </c>
      <c r="H1516" s="2" t="s">
        <v>501</v>
      </c>
      <c r="I1516" s="2" t="s">
        <v>5637</v>
      </c>
      <c r="J1516" s="2" t="s">
        <v>394</v>
      </c>
      <c r="K1516" s="2" t="s">
        <v>889</v>
      </c>
      <c r="L1516" s="3">
        <v>12.25</v>
      </c>
      <c r="M1516" s="3">
        <v>12.86</v>
      </c>
      <c r="N1516" s="3">
        <v>29.99</v>
      </c>
      <c r="O1516" s="2" t="s">
        <v>232</v>
      </c>
      <c r="P1516" s="2" t="s">
        <v>233</v>
      </c>
      <c r="Q1516" s="2" t="s">
        <v>234</v>
      </c>
      <c r="R1516" s="2" t="s">
        <v>235</v>
      </c>
      <c r="S1516" s="2" t="s">
        <v>5690</v>
      </c>
      <c r="T1516" s="2" t="s">
        <v>501</v>
      </c>
      <c r="U1516" s="2" t="s">
        <v>235</v>
      </c>
      <c r="V1516" s="2" t="s">
        <v>238</v>
      </c>
      <c r="W1516" s="2" t="s">
        <v>239</v>
      </c>
      <c r="X1516" s="2" t="s">
        <v>235</v>
      </c>
      <c r="Y1516" s="2" t="s">
        <v>240</v>
      </c>
      <c r="Z1516" s="4">
        <v>133</v>
      </c>
      <c r="AA1516" s="4">
        <f>=ROUNDDOWN(102.307692307692,0)</f>
      </c>
      <c r="AB1516" s="5">
        <v>1.3</v>
      </c>
      <c r="AC1516" s="2" t="s">
        <v>235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235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235</v>
      </c>
      <c r="AW1516" s="8" t="s">
        <v>235</v>
      </c>
      <c r="AX1516" s="4" t="s">
        <v>235</v>
      </c>
      <c r="AY1516" s="8" t="s">
        <v>235</v>
      </c>
      <c r="AZ1516" s="7" t="s">
        <v>235</v>
      </c>
      <c r="BA1516" s="7" t="s">
        <v>235</v>
      </c>
      <c r="BB1516" s="7" t="s">
        <v>235</v>
      </c>
      <c r="BC1516" s="4" t="s">
        <v>235</v>
      </c>
      <c r="BD1516" s="8" t="s">
        <v>235</v>
      </c>
      <c r="BE1516" s="4" t="s">
        <v>235</v>
      </c>
      <c r="BF1516" s="8" t="s">
        <v>235</v>
      </c>
      <c r="BG1516" s="7" t="s">
        <v>235</v>
      </c>
      <c r="BH1516" s="7" t="s">
        <v>235</v>
      </c>
      <c r="BI1516" s="7"/>
      <c r="BJ1516" s="4">
        <v>10</v>
      </c>
      <c r="BK1516" s="8">
        <v>128.83</v>
      </c>
      <c r="BL1516" s="2" t="s">
        <v>5691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5639</v>
      </c>
      <c r="BV1516" s="2" t="s">
        <v>243</v>
      </c>
      <c r="BW1516" s="2" t="s">
        <v>235</v>
      </c>
      <c r="BX1516" s="2" t="s">
        <v>244</v>
      </c>
      <c r="BY1516" s="2" t="s">
        <v>245</v>
      </c>
      <c r="BZ1516" s="2" t="s">
        <v>232</v>
      </c>
      <c r="CA1516" s="2" t="s">
        <v>252</v>
      </c>
      <c r="CB1516" s="2" t="s">
        <v>2045</v>
      </c>
      <c r="CC1516" s="2" t="s">
        <v>248</v>
      </c>
      <c r="CD1516" s="2" t="s">
        <v>248</v>
      </c>
      <c r="CE1516" s="2" t="s">
        <v>235</v>
      </c>
      <c r="CF1516" s="4">
        <v>133</v>
      </c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>
        <v>135</v>
      </c>
      <c r="GE1516" s="4">
        <v>132</v>
      </c>
      <c r="GF1516" s="4">
        <v>131</v>
      </c>
      <c r="GG1516" s="4">
        <v>130</v>
      </c>
      <c r="GH1516" s="4">
        <v>129</v>
      </c>
      <c r="GI1516" s="4">
        <v>128</v>
      </c>
      <c r="GJ1516" s="4">
        <v>127</v>
      </c>
      <c r="GK1516" s="4">
        <v>126</v>
      </c>
      <c r="GL1516" s="4">
        <v>125</v>
      </c>
      <c r="GM1516" s="4">
        <v>124</v>
      </c>
      <c r="GN1516" s="4">
        <v>123</v>
      </c>
      <c r="GO1516" s="4">
        <v>122</v>
      </c>
      <c r="GP1516" s="4">
        <v>121</v>
      </c>
      <c r="GQ1516" s="4">
        <v>118</v>
      </c>
      <c r="GR1516" s="4">
        <v>115</v>
      </c>
      <c r="GS1516" s="4">
        <v>112</v>
      </c>
      <c r="GT1516" s="4">
        <v>111</v>
      </c>
      <c r="GU1516" s="4">
        <v>110</v>
      </c>
      <c r="GV1516" s="4">
        <v>109</v>
      </c>
      <c r="GW1516" s="4">
        <v>108</v>
      </c>
      <c r="GX1516" s="4">
        <v>107</v>
      </c>
      <c r="GY1516" s="4">
        <v>106</v>
      </c>
      <c r="GZ1516" s="4">
        <v>105</v>
      </c>
      <c r="HA1516" s="4">
        <v>104</v>
      </c>
      <c r="HB1516" s="4">
        <v>103</v>
      </c>
      <c r="HC1516" s="4">
        <v>102</v>
      </c>
      <c r="HD1516" s="19">
        <v>67.5</v>
      </c>
      <c r="HE1516" s="19">
        <v>132</v>
      </c>
      <c r="HF1516" s="19">
        <v>131</v>
      </c>
      <c r="HG1516" s="19">
        <v>130</v>
      </c>
      <c r="HH1516" s="19">
        <v>129</v>
      </c>
      <c r="HI1516" s="19">
        <v>128</v>
      </c>
      <c r="HJ1516" s="19">
        <v>127</v>
      </c>
      <c r="HK1516" s="19">
        <v>126</v>
      </c>
      <c r="HL1516" s="19">
        <v>125</v>
      </c>
      <c r="HM1516" s="19">
        <v>62</v>
      </c>
      <c r="HN1516" s="19">
        <v>61.5</v>
      </c>
      <c r="HO1516" s="19">
        <v>61</v>
      </c>
      <c r="HP1516" s="19">
        <v>60.5</v>
      </c>
      <c r="HQ1516" s="19">
        <v>59</v>
      </c>
      <c r="HR1516" s="19">
        <v>57.5</v>
      </c>
      <c r="HS1516" s="19">
        <v>112</v>
      </c>
      <c r="HT1516" s="19">
        <v>111</v>
      </c>
      <c r="HU1516" s="19">
        <v>110</v>
      </c>
      <c r="HV1516" s="19">
        <v>109</v>
      </c>
      <c r="HW1516" s="19">
        <v>108</v>
      </c>
      <c r="HX1516" s="19">
        <v>107</v>
      </c>
      <c r="HY1516" s="19">
        <v>106</v>
      </c>
      <c r="HZ1516" s="19">
        <v>105</v>
      </c>
      <c r="IA1516" s="19">
        <v>104</v>
      </c>
      <c r="IB1516" s="19">
        <v>103</v>
      </c>
      <c r="IC1516" s="19">
        <v>102</v>
      </c>
    </row>
    <row r="1517">
      <c r="A1517" s="2" t="s">
        <v>5692</v>
      </c>
      <c r="B1517" s="2" t="s">
        <v>323</v>
      </c>
      <c r="C1517" s="2" t="s">
        <v>853</v>
      </c>
      <c r="D1517" s="2" t="s">
        <v>257</v>
      </c>
      <c r="E1517" s="2" t="s">
        <v>258</v>
      </c>
      <c r="F1517" s="2" t="s">
        <v>501</v>
      </c>
      <c r="G1517" s="2" t="s">
        <v>501</v>
      </c>
      <c r="H1517" s="2" t="s">
        <v>501</v>
      </c>
      <c r="I1517" s="2" t="s">
        <v>5648</v>
      </c>
      <c r="J1517" s="2" t="s">
        <v>394</v>
      </c>
      <c r="K1517" s="2" t="s">
        <v>889</v>
      </c>
      <c r="L1517" s="3">
        <v>12.25</v>
      </c>
      <c r="M1517" s="3">
        <v>12.86</v>
      </c>
      <c r="N1517" s="3">
        <v>29.99</v>
      </c>
      <c r="O1517" s="2" t="s">
        <v>232</v>
      </c>
      <c r="P1517" s="2" t="s">
        <v>233</v>
      </c>
      <c r="Q1517" s="2" t="s">
        <v>234</v>
      </c>
      <c r="R1517" s="2" t="s">
        <v>235</v>
      </c>
      <c r="S1517" s="2" t="s">
        <v>5690</v>
      </c>
      <c r="T1517" s="2" t="s">
        <v>501</v>
      </c>
      <c r="U1517" s="2" t="s">
        <v>264</v>
      </c>
      <c r="V1517" s="2" t="s">
        <v>238</v>
      </c>
      <c r="W1517" s="2" t="s">
        <v>682</v>
      </c>
      <c r="X1517" s="2" t="s">
        <v>235</v>
      </c>
      <c r="Y1517" s="2" t="s">
        <v>5670</v>
      </c>
      <c r="Z1517" s="4">
        <v>137</v>
      </c>
      <c r="AA1517" s="4">
        <f>=ROUNDDOWN(72.1052631578947,0)</f>
      </c>
      <c r="AB1517" s="5">
        <v>1.9</v>
      </c>
      <c r="AC1517" s="2" t="s">
        <v>235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235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235</v>
      </c>
      <c r="AW1517" s="8" t="s">
        <v>235</v>
      </c>
      <c r="AX1517" s="4" t="s">
        <v>235</v>
      </c>
      <c r="AY1517" s="8" t="s">
        <v>235</v>
      </c>
      <c r="AZ1517" s="7" t="s">
        <v>235</v>
      </c>
      <c r="BA1517" s="7" t="s">
        <v>235</v>
      </c>
      <c r="BB1517" s="7" t="s">
        <v>235</v>
      </c>
      <c r="BC1517" s="4" t="s">
        <v>235</v>
      </c>
      <c r="BD1517" s="8" t="s">
        <v>235</v>
      </c>
      <c r="BE1517" s="4" t="s">
        <v>235</v>
      </c>
      <c r="BF1517" s="8" t="s">
        <v>235</v>
      </c>
      <c r="BG1517" s="7" t="s">
        <v>235</v>
      </c>
      <c r="BH1517" s="7" t="s">
        <v>235</v>
      </c>
      <c r="BI1517" s="7"/>
      <c r="BJ1517" s="4">
        <v>9</v>
      </c>
      <c r="BK1517" s="8">
        <v>119</v>
      </c>
      <c r="BL1517" s="2" t="s">
        <v>5693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5650</v>
      </c>
      <c r="BV1517" s="2" t="s">
        <v>243</v>
      </c>
      <c r="BW1517" s="2" t="s">
        <v>235</v>
      </c>
      <c r="BX1517" s="2" t="s">
        <v>244</v>
      </c>
      <c r="BY1517" s="2" t="s">
        <v>245</v>
      </c>
      <c r="BZ1517" s="2" t="s">
        <v>232</v>
      </c>
      <c r="CA1517" s="2" t="s">
        <v>5671</v>
      </c>
      <c r="CB1517" s="2" t="s">
        <v>5694</v>
      </c>
      <c r="CC1517" s="2" t="s">
        <v>248</v>
      </c>
      <c r="CD1517" s="2" t="s">
        <v>248</v>
      </c>
      <c r="CE1517" s="2" t="s">
        <v>235</v>
      </c>
      <c r="CF1517" s="4">
        <v>137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>
        <v>138</v>
      </c>
      <c r="GE1517" s="4">
        <v>135</v>
      </c>
      <c r="GF1517" s="4">
        <v>133</v>
      </c>
      <c r="GG1517" s="4">
        <v>131</v>
      </c>
      <c r="GH1517" s="4">
        <v>129</v>
      </c>
      <c r="GI1517" s="4">
        <v>127</v>
      </c>
      <c r="GJ1517" s="4">
        <v>125</v>
      </c>
      <c r="GK1517" s="4">
        <v>123</v>
      </c>
      <c r="GL1517" s="4">
        <v>121</v>
      </c>
      <c r="GM1517" s="4">
        <v>119</v>
      </c>
      <c r="GN1517" s="4">
        <v>117</v>
      </c>
      <c r="GO1517" s="4">
        <v>115</v>
      </c>
      <c r="GP1517" s="4">
        <v>112</v>
      </c>
      <c r="GQ1517" s="4">
        <v>106</v>
      </c>
      <c r="GR1517" s="4">
        <v>100</v>
      </c>
      <c r="GS1517" s="4">
        <v>95</v>
      </c>
      <c r="GT1517" s="4">
        <v>92</v>
      </c>
      <c r="GU1517" s="4">
        <v>90</v>
      </c>
      <c r="GV1517" s="4">
        <v>88</v>
      </c>
      <c r="GW1517" s="4">
        <v>102</v>
      </c>
      <c r="GX1517" s="4">
        <v>100</v>
      </c>
      <c r="GY1517" s="4">
        <v>98</v>
      </c>
      <c r="GZ1517" s="4">
        <v>96</v>
      </c>
      <c r="HA1517" s="4">
        <v>94</v>
      </c>
      <c r="HB1517" s="4">
        <v>92</v>
      </c>
      <c r="HC1517" s="4">
        <v>90</v>
      </c>
      <c r="HD1517" s="19">
        <v>69</v>
      </c>
      <c r="HE1517" s="19">
        <v>67.5</v>
      </c>
      <c r="HF1517" s="19">
        <v>66.5</v>
      </c>
      <c r="HG1517" s="19">
        <v>65.5</v>
      </c>
      <c r="HH1517" s="19">
        <v>64.5</v>
      </c>
      <c r="HI1517" s="19">
        <v>63.5</v>
      </c>
      <c r="HJ1517" s="19">
        <v>62.5</v>
      </c>
      <c r="HK1517" s="19">
        <v>61.5</v>
      </c>
      <c r="HL1517" s="19">
        <v>60.5</v>
      </c>
      <c r="HM1517" s="19">
        <v>39.7</v>
      </c>
      <c r="HN1517" s="19">
        <v>29.3</v>
      </c>
      <c r="HO1517" s="19">
        <v>23</v>
      </c>
      <c r="HP1517" s="19">
        <v>22.4</v>
      </c>
      <c r="HQ1517" s="19">
        <v>26.5</v>
      </c>
      <c r="HR1517" s="19">
        <v>33.3</v>
      </c>
      <c r="HS1517" s="19">
        <v>47.5</v>
      </c>
      <c r="HT1517" s="19">
        <v>46</v>
      </c>
      <c r="HU1517" s="19">
        <v>45</v>
      </c>
      <c r="HV1517" s="19">
        <v>44</v>
      </c>
      <c r="HW1517" s="19">
        <v>51</v>
      </c>
      <c r="HX1517" s="19">
        <v>50</v>
      </c>
      <c r="HY1517" s="19">
        <v>49</v>
      </c>
      <c r="HZ1517" s="19">
        <v>48</v>
      </c>
      <c r="IA1517" s="19">
        <v>47</v>
      </c>
      <c r="IB1517" s="19">
        <v>46</v>
      </c>
      <c r="IC1517" s="19">
        <v>45</v>
      </c>
    </row>
    <row r="1518">
      <c r="A1518" s="2" t="s">
        <v>5695</v>
      </c>
      <c r="B1518" s="2" t="s">
        <v>323</v>
      </c>
      <c r="C1518" s="2" t="s">
        <v>853</v>
      </c>
      <c r="D1518" s="2" t="s">
        <v>257</v>
      </c>
      <c r="E1518" s="2" t="s">
        <v>258</v>
      </c>
      <c r="F1518" s="2" t="s">
        <v>501</v>
      </c>
      <c r="G1518" s="2" t="s">
        <v>501</v>
      </c>
      <c r="H1518" s="2" t="s">
        <v>501</v>
      </c>
      <c r="I1518" s="2" t="s">
        <v>5637</v>
      </c>
      <c r="J1518" s="2" t="s">
        <v>230</v>
      </c>
      <c r="K1518" s="2" t="s">
        <v>889</v>
      </c>
      <c r="L1518" s="3">
        <v>12.27</v>
      </c>
      <c r="M1518" s="3">
        <v>12.88</v>
      </c>
      <c r="N1518" s="3">
        <v>29.99</v>
      </c>
      <c r="O1518" s="2" t="s">
        <v>232</v>
      </c>
      <c r="P1518" s="2" t="s">
        <v>233</v>
      </c>
      <c r="Q1518" s="2" t="s">
        <v>234</v>
      </c>
      <c r="R1518" s="2" t="s">
        <v>235</v>
      </c>
      <c r="S1518" s="2" t="s">
        <v>5690</v>
      </c>
      <c r="T1518" s="2" t="s">
        <v>501</v>
      </c>
      <c r="U1518" s="2" t="s">
        <v>235</v>
      </c>
      <c r="V1518" s="2" t="s">
        <v>238</v>
      </c>
      <c r="W1518" s="2" t="s">
        <v>239</v>
      </c>
      <c r="X1518" s="2" t="s">
        <v>235</v>
      </c>
      <c r="Y1518" s="2" t="s">
        <v>240</v>
      </c>
      <c r="Z1518" s="4">
        <v>169</v>
      </c>
      <c r="AA1518" s="4">
        <f>=ROUNDDOWN(153.636363636364,0)</f>
      </c>
      <c r="AB1518" s="5">
        <v>1.1</v>
      </c>
      <c r="AC1518" s="2" t="s">
        <v>235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235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235</v>
      </c>
      <c r="AW1518" s="8" t="s">
        <v>235</v>
      </c>
      <c r="AX1518" s="4" t="s">
        <v>235</v>
      </c>
      <c r="AY1518" s="8" t="s">
        <v>235</v>
      </c>
      <c r="AZ1518" s="7" t="s">
        <v>235</v>
      </c>
      <c r="BA1518" s="7" t="s">
        <v>235</v>
      </c>
      <c r="BB1518" s="7" t="s">
        <v>235</v>
      </c>
      <c r="BC1518" s="4" t="s">
        <v>235</v>
      </c>
      <c r="BD1518" s="8" t="s">
        <v>235</v>
      </c>
      <c r="BE1518" s="4" t="s">
        <v>235</v>
      </c>
      <c r="BF1518" s="8" t="s">
        <v>235</v>
      </c>
      <c r="BG1518" s="7" t="s">
        <v>235</v>
      </c>
      <c r="BH1518" s="7" t="s">
        <v>235</v>
      </c>
      <c r="BI1518" s="7"/>
      <c r="BJ1518" s="4">
        <v>9</v>
      </c>
      <c r="BK1518" s="8">
        <v>113.6</v>
      </c>
      <c r="BL1518" s="2" t="s">
        <v>5696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5639</v>
      </c>
      <c r="BV1518" s="2" t="s">
        <v>243</v>
      </c>
      <c r="BW1518" s="2" t="s">
        <v>235</v>
      </c>
      <c r="BX1518" s="2" t="s">
        <v>244</v>
      </c>
      <c r="BY1518" s="2" t="s">
        <v>245</v>
      </c>
      <c r="BZ1518" s="2" t="s">
        <v>232</v>
      </c>
      <c r="CA1518" s="2" t="s">
        <v>252</v>
      </c>
      <c r="CB1518" s="2" t="s">
        <v>5697</v>
      </c>
      <c r="CC1518" s="2" t="s">
        <v>248</v>
      </c>
      <c r="CD1518" s="2" t="s">
        <v>248</v>
      </c>
      <c r="CE1518" s="2" t="s">
        <v>235</v>
      </c>
      <c r="CF1518" s="4">
        <v>169</v>
      </c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>
        <v>170</v>
      </c>
      <c r="GE1518" s="4">
        <v>168</v>
      </c>
      <c r="GF1518" s="4">
        <v>167</v>
      </c>
      <c r="GG1518" s="4">
        <v>166</v>
      </c>
      <c r="GH1518" s="4">
        <v>165</v>
      </c>
      <c r="GI1518" s="4">
        <v>164</v>
      </c>
      <c r="GJ1518" s="4">
        <v>163</v>
      </c>
      <c r="GK1518" s="4">
        <v>162</v>
      </c>
      <c r="GL1518" s="4">
        <v>161</v>
      </c>
      <c r="GM1518" s="4">
        <v>160</v>
      </c>
      <c r="GN1518" s="4">
        <v>159</v>
      </c>
      <c r="GO1518" s="4">
        <v>158</v>
      </c>
      <c r="GP1518" s="4">
        <v>156</v>
      </c>
      <c r="GQ1518" s="4">
        <v>153</v>
      </c>
      <c r="GR1518" s="4">
        <v>149</v>
      </c>
      <c r="GS1518" s="4">
        <v>146</v>
      </c>
      <c r="GT1518" s="4">
        <v>144</v>
      </c>
      <c r="GU1518" s="4">
        <v>143</v>
      </c>
      <c r="GV1518" s="4">
        <v>142</v>
      </c>
      <c r="GW1518" s="4">
        <v>141</v>
      </c>
      <c r="GX1518" s="4">
        <v>140</v>
      </c>
      <c r="GY1518" s="4">
        <v>139</v>
      </c>
      <c r="GZ1518" s="4">
        <v>138</v>
      </c>
      <c r="HA1518" s="4">
        <v>137</v>
      </c>
      <c r="HB1518" s="4">
        <v>136</v>
      </c>
      <c r="HC1518" s="4">
        <v>135</v>
      </c>
      <c r="HD1518" s="19">
        <v>170</v>
      </c>
      <c r="HE1518" s="19">
        <v>168</v>
      </c>
      <c r="HF1518" s="19">
        <v>167</v>
      </c>
      <c r="HG1518" s="19">
        <v>166</v>
      </c>
      <c r="HH1518" s="19">
        <v>165</v>
      </c>
      <c r="HI1518" s="19">
        <v>164</v>
      </c>
      <c r="HJ1518" s="19">
        <v>163</v>
      </c>
      <c r="HK1518" s="19">
        <v>162</v>
      </c>
      <c r="HL1518" s="19">
        <v>161</v>
      </c>
      <c r="HM1518" s="19">
        <v>80</v>
      </c>
      <c r="HN1518" s="19">
        <v>79.5</v>
      </c>
      <c r="HO1518" s="19">
        <v>52.7</v>
      </c>
      <c r="HP1518" s="19">
        <v>52</v>
      </c>
      <c r="HQ1518" s="19">
        <v>76.5</v>
      </c>
      <c r="HR1518" s="19">
        <v>74.5</v>
      </c>
      <c r="HS1518" s="19">
        <v>146</v>
      </c>
      <c r="HT1518" s="19">
        <v>144</v>
      </c>
      <c r="HU1518" s="19">
        <v>143</v>
      </c>
      <c r="HV1518" s="19">
        <v>142</v>
      </c>
      <c r="HW1518" s="19">
        <v>141</v>
      </c>
      <c r="HX1518" s="19">
        <v>140</v>
      </c>
      <c r="HY1518" s="19">
        <v>139</v>
      </c>
      <c r="HZ1518" s="19">
        <v>138</v>
      </c>
      <c r="IA1518" s="19">
        <v>137</v>
      </c>
      <c r="IB1518" s="19">
        <v>136</v>
      </c>
      <c r="IC1518" s="19">
        <v>135</v>
      </c>
    </row>
    <row r="1519">
      <c r="A1519" s="2" t="s">
        <v>5698</v>
      </c>
      <c r="B1519" s="2" t="s">
        <v>323</v>
      </c>
      <c r="C1519" s="2" t="s">
        <v>853</v>
      </c>
      <c r="D1519" s="2" t="s">
        <v>257</v>
      </c>
      <c r="E1519" s="2" t="s">
        <v>258</v>
      </c>
      <c r="F1519" s="2" t="s">
        <v>501</v>
      </c>
      <c r="G1519" s="2" t="s">
        <v>501</v>
      </c>
      <c r="H1519" s="2" t="s">
        <v>501</v>
      </c>
      <c r="I1519" s="2" t="s">
        <v>5648</v>
      </c>
      <c r="J1519" s="2" t="s">
        <v>230</v>
      </c>
      <c r="K1519" s="2" t="s">
        <v>889</v>
      </c>
      <c r="L1519" s="3">
        <v>12.27</v>
      </c>
      <c r="M1519" s="3">
        <v>12.88</v>
      </c>
      <c r="N1519" s="3">
        <v>29.99</v>
      </c>
      <c r="O1519" s="2" t="s">
        <v>232</v>
      </c>
      <c r="P1519" s="2" t="s">
        <v>233</v>
      </c>
      <c r="Q1519" s="2" t="s">
        <v>234</v>
      </c>
      <c r="R1519" s="2" t="s">
        <v>235</v>
      </c>
      <c r="S1519" s="2" t="s">
        <v>5690</v>
      </c>
      <c r="T1519" s="2" t="s">
        <v>501</v>
      </c>
      <c r="U1519" s="2" t="s">
        <v>264</v>
      </c>
      <c r="V1519" s="2" t="s">
        <v>238</v>
      </c>
      <c r="W1519" s="2" t="s">
        <v>682</v>
      </c>
      <c r="X1519" s="2" t="s">
        <v>235</v>
      </c>
      <c r="Y1519" s="2" t="s">
        <v>5670</v>
      </c>
      <c r="Z1519" s="4">
        <v>111</v>
      </c>
      <c r="AA1519" s="4">
        <f>=ROUNDDOWN(38.2758620689655,0)</f>
      </c>
      <c r="AB1519" s="5">
        <v>2.9</v>
      </c>
      <c r="AC1519" s="2" t="s">
        <v>235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235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235</v>
      </c>
      <c r="AW1519" s="8" t="s">
        <v>235</v>
      </c>
      <c r="AX1519" s="4" t="s">
        <v>235</v>
      </c>
      <c r="AY1519" s="8" t="s">
        <v>235</v>
      </c>
      <c r="AZ1519" s="7" t="s">
        <v>235</v>
      </c>
      <c r="BA1519" s="7" t="s">
        <v>235</v>
      </c>
      <c r="BB1519" s="7" t="s">
        <v>235</v>
      </c>
      <c r="BC1519" s="4" t="s">
        <v>235</v>
      </c>
      <c r="BD1519" s="8" t="s">
        <v>235</v>
      </c>
      <c r="BE1519" s="4" t="s">
        <v>235</v>
      </c>
      <c r="BF1519" s="8" t="s">
        <v>235</v>
      </c>
      <c r="BG1519" s="7" t="s">
        <v>235</v>
      </c>
      <c r="BH1519" s="7" t="s">
        <v>235</v>
      </c>
      <c r="BI1519" s="7"/>
      <c r="BJ1519" s="4">
        <v>44</v>
      </c>
      <c r="BK1519" s="8">
        <v>607.89</v>
      </c>
      <c r="BL1519" s="2" t="s">
        <v>5699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5650</v>
      </c>
      <c r="BV1519" s="2" t="s">
        <v>243</v>
      </c>
      <c r="BW1519" s="2" t="s">
        <v>235</v>
      </c>
      <c r="BX1519" s="2" t="s">
        <v>244</v>
      </c>
      <c r="BY1519" s="2" t="s">
        <v>245</v>
      </c>
      <c r="BZ1519" s="2" t="s">
        <v>232</v>
      </c>
      <c r="CA1519" s="2" t="s">
        <v>5671</v>
      </c>
      <c r="CB1519" s="2" t="s">
        <v>5700</v>
      </c>
      <c r="CC1519" s="2" t="s">
        <v>248</v>
      </c>
      <c r="CD1519" s="2" t="s">
        <v>248</v>
      </c>
      <c r="CE1519" s="2" t="s">
        <v>235</v>
      </c>
      <c r="CF1519" s="4">
        <v>111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>
        <v>111</v>
      </c>
      <c r="GE1519" s="4">
        <v>108</v>
      </c>
      <c r="GF1519" s="4">
        <v>105</v>
      </c>
      <c r="GG1519" s="4">
        <v>102</v>
      </c>
      <c r="GH1519" s="4">
        <v>99</v>
      </c>
      <c r="GI1519" s="4">
        <v>96</v>
      </c>
      <c r="GJ1519" s="4">
        <v>93</v>
      </c>
      <c r="GK1519" s="4">
        <v>90</v>
      </c>
      <c r="GL1519" s="4">
        <v>87</v>
      </c>
      <c r="GM1519" s="4">
        <v>84</v>
      </c>
      <c r="GN1519" s="4">
        <v>81</v>
      </c>
      <c r="GO1519" s="4">
        <v>77</v>
      </c>
      <c r="GP1519" s="4">
        <v>72</v>
      </c>
      <c r="GQ1519" s="4">
        <v>63</v>
      </c>
      <c r="GR1519" s="4">
        <v>51</v>
      </c>
      <c r="GS1519" s="4">
        <v>41</v>
      </c>
      <c r="GT1519" s="4">
        <v>36</v>
      </c>
      <c r="GU1519" s="4">
        <v>32</v>
      </c>
      <c r="GV1519" s="4">
        <v>29</v>
      </c>
      <c r="GW1519" s="4">
        <v>293</v>
      </c>
      <c r="GX1519" s="4">
        <v>290</v>
      </c>
      <c r="GY1519" s="4">
        <v>287</v>
      </c>
      <c r="GZ1519" s="4">
        <v>284</v>
      </c>
      <c r="HA1519" s="4">
        <v>281</v>
      </c>
      <c r="HB1519" s="4">
        <v>278</v>
      </c>
      <c r="HC1519" s="4">
        <v>274</v>
      </c>
      <c r="HD1519" s="19">
        <v>37</v>
      </c>
      <c r="HE1519" s="19">
        <v>36</v>
      </c>
      <c r="HF1519" s="19">
        <v>35</v>
      </c>
      <c r="HG1519" s="19">
        <v>34</v>
      </c>
      <c r="HH1519" s="19">
        <v>33</v>
      </c>
      <c r="HI1519" s="19">
        <v>32</v>
      </c>
      <c r="HJ1519" s="19">
        <v>31</v>
      </c>
      <c r="HK1519" s="19">
        <v>30</v>
      </c>
      <c r="HL1519" s="19">
        <v>21.8</v>
      </c>
      <c r="HM1519" s="19">
        <v>16.8</v>
      </c>
      <c r="HN1519" s="19">
        <v>10.1</v>
      </c>
      <c r="HO1519" s="19">
        <v>8.6</v>
      </c>
      <c r="HP1519" s="19">
        <v>8</v>
      </c>
      <c r="HQ1519" s="19">
        <v>7.9</v>
      </c>
      <c r="HR1519" s="19">
        <v>8.5</v>
      </c>
      <c r="HS1519" s="19">
        <v>10.3</v>
      </c>
      <c r="HT1519" s="19">
        <v>12</v>
      </c>
      <c r="HU1519" s="19">
        <v>10.7</v>
      </c>
      <c r="HV1519" s="19">
        <v>9.7</v>
      </c>
      <c r="HW1519" s="19">
        <v>97.7</v>
      </c>
      <c r="HX1519" s="19">
        <v>96.7</v>
      </c>
      <c r="HY1519" s="19">
        <v>95.7</v>
      </c>
      <c r="HZ1519" s="19">
        <v>94.7</v>
      </c>
      <c r="IA1519" s="19">
        <v>93.7</v>
      </c>
      <c r="IB1519" s="19">
        <v>92.7</v>
      </c>
      <c r="IC1519" s="19">
        <v>91.3</v>
      </c>
    </row>
    <row r="1520">
      <c r="A1520" s="2" t="s">
        <v>5701</v>
      </c>
      <c r="B1520" s="2" t="s">
        <v>323</v>
      </c>
      <c r="C1520" s="2" t="s">
        <v>853</v>
      </c>
      <c r="D1520" s="2" t="s">
        <v>257</v>
      </c>
      <c r="E1520" s="2" t="s">
        <v>258</v>
      </c>
      <c r="F1520" s="2" t="s">
        <v>501</v>
      </c>
      <c r="G1520" s="2" t="s">
        <v>501</v>
      </c>
      <c r="H1520" s="2" t="s">
        <v>501</v>
      </c>
      <c r="I1520" s="2" t="s">
        <v>5637</v>
      </c>
      <c r="J1520" s="2" t="s">
        <v>250</v>
      </c>
      <c r="K1520" s="2" t="s">
        <v>889</v>
      </c>
      <c r="L1520" s="3">
        <v>14.23</v>
      </c>
      <c r="M1520" s="3">
        <v>14.94</v>
      </c>
      <c r="N1520" s="3">
        <v>34.99</v>
      </c>
      <c r="O1520" s="2" t="s">
        <v>232</v>
      </c>
      <c r="P1520" s="2" t="s">
        <v>233</v>
      </c>
      <c r="Q1520" s="2" t="s">
        <v>234</v>
      </c>
      <c r="R1520" s="2" t="s">
        <v>235</v>
      </c>
      <c r="S1520" s="2" t="s">
        <v>5690</v>
      </c>
      <c r="T1520" s="2" t="s">
        <v>501</v>
      </c>
      <c r="U1520" s="2" t="s">
        <v>235</v>
      </c>
      <c r="V1520" s="2" t="s">
        <v>238</v>
      </c>
      <c r="W1520" s="2" t="s">
        <v>239</v>
      </c>
      <c r="X1520" s="2" t="s">
        <v>235</v>
      </c>
      <c r="Y1520" s="2" t="s">
        <v>240</v>
      </c>
      <c r="Z1520" s="4">
        <v>145</v>
      </c>
      <c r="AA1520" s="4">
        <f>=ROUNDDOWN(40.2777777777778,0)</f>
      </c>
      <c r="AB1520" s="5">
        <v>3.6</v>
      </c>
      <c r="AC1520" s="2" t="s">
        <v>235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235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235</v>
      </c>
      <c r="AW1520" s="8" t="s">
        <v>235</v>
      </c>
      <c r="AX1520" s="4" t="s">
        <v>235</v>
      </c>
      <c r="AY1520" s="8" t="s">
        <v>235</v>
      </c>
      <c r="AZ1520" s="7" t="s">
        <v>235</v>
      </c>
      <c r="BA1520" s="7" t="s">
        <v>235</v>
      </c>
      <c r="BB1520" s="7" t="s">
        <v>235</v>
      </c>
      <c r="BC1520" s="4" t="s">
        <v>235</v>
      </c>
      <c r="BD1520" s="8" t="s">
        <v>235</v>
      </c>
      <c r="BE1520" s="4" t="s">
        <v>235</v>
      </c>
      <c r="BF1520" s="8" t="s">
        <v>235</v>
      </c>
      <c r="BG1520" s="7" t="s">
        <v>235</v>
      </c>
      <c r="BH1520" s="7" t="s">
        <v>235</v>
      </c>
      <c r="BI1520" s="7"/>
      <c r="BJ1520" s="4">
        <v>21</v>
      </c>
      <c r="BK1520" s="8">
        <v>301.37</v>
      </c>
      <c r="BL1520" s="2" t="s">
        <v>5702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5639</v>
      </c>
      <c r="BV1520" s="2" t="s">
        <v>243</v>
      </c>
      <c r="BW1520" s="2" t="s">
        <v>235</v>
      </c>
      <c r="BX1520" s="2" t="s">
        <v>244</v>
      </c>
      <c r="BY1520" s="2" t="s">
        <v>245</v>
      </c>
      <c r="BZ1520" s="2" t="s">
        <v>232</v>
      </c>
      <c r="CA1520" s="2" t="s">
        <v>252</v>
      </c>
      <c r="CB1520" s="2" t="s">
        <v>5703</v>
      </c>
      <c r="CC1520" s="2" t="s">
        <v>248</v>
      </c>
      <c r="CD1520" s="2" t="s">
        <v>248</v>
      </c>
      <c r="CE1520" s="2" t="s">
        <v>235</v>
      </c>
      <c r="CF1520" s="4">
        <v>145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>
        <v>146</v>
      </c>
      <c r="GE1520" s="4">
        <v>142</v>
      </c>
      <c r="GF1520" s="4">
        <v>138</v>
      </c>
      <c r="GG1520" s="4">
        <v>134</v>
      </c>
      <c r="GH1520" s="4">
        <v>130</v>
      </c>
      <c r="GI1520" s="4">
        <v>126</v>
      </c>
      <c r="GJ1520" s="4">
        <v>122</v>
      </c>
      <c r="GK1520" s="4">
        <v>118</v>
      </c>
      <c r="GL1520" s="4">
        <v>114</v>
      </c>
      <c r="GM1520" s="4">
        <v>110</v>
      </c>
      <c r="GN1520" s="4">
        <v>106</v>
      </c>
      <c r="GO1520" s="4">
        <v>101</v>
      </c>
      <c r="GP1520" s="4">
        <v>95</v>
      </c>
      <c r="GQ1520" s="4">
        <v>83</v>
      </c>
      <c r="GR1520" s="4">
        <v>71</v>
      </c>
      <c r="GS1520" s="4">
        <v>61</v>
      </c>
      <c r="GT1520" s="4">
        <v>56</v>
      </c>
      <c r="GU1520" s="4">
        <v>52</v>
      </c>
      <c r="GV1520" s="4">
        <v>48</v>
      </c>
      <c r="GW1520" s="4">
        <v>44</v>
      </c>
      <c r="GX1520" s="4">
        <v>40</v>
      </c>
      <c r="GY1520" s="4">
        <v>36</v>
      </c>
      <c r="GZ1520" s="4">
        <v>32</v>
      </c>
      <c r="HA1520" s="4">
        <v>28</v>
      </c>
      <c r="HB1520" s="4">
        <v>24</v>
      </c>
      <c r="HC1520" s="4">
        <v>19</v>
      </c>
      <c r="HD1520" s="19">
        <v>36.5</v>
      </c>
      <c r="HE1520" s="19">
        <v>35.5</v>
      </c>
      <c r="HF1520" s="19">
        <v>34.5</v>
      </c>
      <c r="HG1520" s="19">
        <v>33.5</v>
      </c>
      <c r="HH1520" s="19">
        <v>32.5</v>
      </c>
      <c r="HI1520" s="19">
        <v>31.5</v>
      </c>
      <c r="HJ1520" s="19">
        <v>30.5</v>
      </c>
      <c r="HK1520" s="19">
        <v>29.5</v>
      </c>
      <c r="HL1520" s="19">
        <v>22.8</v>
      </c>
      <c r="HM1520" s="19">
        <v>15.7</v>
      </c>
      <c r="HN1520" s="19">
        <v>11.8</v>
      </c>
      <c r="HO1520" s="19">
        <v>10.1</v>
      </c>
      <c r="HP1520" s="19">
        <v>9.5</v>
      </c>
      <c r="HQ1520" s="19">
        <v>10.4</v>
      </c>
      <c r="HR1520" s="19">
        <v>11.8</v>
      </c>
      <c r="HS1520" s="19">
        <v>15.3</v>
      </c>
      <c r="HT1520" s="19">
        <v>14</v>
      </c>
      <c r="HU1520" s="19">
        <v>13</v>
      </c>
      <c r="HV1520" s="19">
        <v>12</v>
      </c>
      <c r="HW1520" s="19">
        <v>11</v>
      </c>
      <c r="HX1520" s="19">
        <v>10</v>
      </c>
      <c r="HY1520" s="19">
        <v>9</v>
      </c>
      <c r="HZ1520" s="19">
        <v>8</v>
      </c>
      <c r="IA1520" s="19">
        <v>7</v>
      </c>
      <c r="IB1520" s="19">
        <v>6</v>
      </c>
      <c r="IC1520" s="19">
        <v>4.8</v>
      </c>
    </row>
    <row r="1521">
      <c r="A1521" s="2" t="s">
        <v>5704</v>
      </c>
      <c r="B1521" s="2" t="s">
        <v>323</v>
      </c>
      <c r="C1521" s="2" t="s">
        <v>853</v>
      </c>
      <c r="D1521" s="2" t="s">
        <v>257</v>
      </c>
      <c r="E1521" s="2" t="s">
        <v>258</v>
      </c>
      <c r="F1521" s="2" t="s">
        <v>501</v>
      </c>
      <c r="G1521" s="2" t="s">
        <v>501</v>
      </c>
      <c r="H1521" s="2" t="s">
        <v>501</v>
      </c>
      <c r="I1521" s="2" t="s">
        <v>5648</v>
      </c>
      <c r="J1521" s="2" t="s">
        <v>250</v>
      </c>
      <c r="K1521" s="2" t="s">
        <v>889</v>
      </c>
      <c r="L1521" s="3">
        <v>14.23</v>
      </c>
      <c r="M1521" s="3">
        <v>14.94</v>
      </c>
      <c r="N1521" s="3">
        <v>34.99</v>
      </c>
      <c r="O1521" s="2" t="s">
        <v>232</v>
      </c>
      <c r="P1521" s="2" t="s">
        <v>233</v>
      </c>
      <c r="Q1521" s="2" t="s">
        <v>234</v>
      </c>
      <c r="R1521" s="2" t="s">
        <v>235</v>
      </c>
      <c r="S1521" s="2" t="s">
        <v>5690</v>
      </c>
      <c r="T1521" s="2" t="s">
        <v>501</v>
      </c>
      <c r="U1521" s="2" t="s">
        <v>614</v>
      </c>
      <c r="V1521" s="2" t="s">
        <v>238</v>
      </c>
      <c r="W1521" s="2" t="s">
        <v>682</v>
      </c>
      <c r="X1521" s="2" t="s">
        <v>235</v>
      </c>
      <c r="Y1521" s="2" t="s">
        <v>5670</v>
      </c>
      <c r="Z1521" s="4">
        <v>72</v>
      </c>
      <c r="AA1521" s="4">
        <f>=ROUNDDOWN(19.4594594594595,0)</f>
      </c>
      <c r="AB1521" s="5">
        <v>3.7</v>
      </c>
      <c r="AC1521" s="2" t="s">
        <v>235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235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235</v>
      </c>
      <c r="AW1521" s="8" t="s">
        <v>235</v>
      </c>
      <c r="AX1521" s="4" t="s">
        <v>235</v>
      </c>
      <c r="AY1521" s="8" t="s">
        <v>235</v>
      </c>
      <c r="AZ1521" s="7" t="s">
        <v>235</v>
      </c>
      <c r="BA1521" s="7" t="s">
        <v>235</v>
      </c>
      <c r="BB1521" s="7" t="s">
        <v>235</v>
      </c>
      <c r="BC1521" s="4" t="s">
        <v>235</v>
      </c>
      <c r="BD1521" s="8" t="s">
        <v>235</v>
      </c>
      <c r="BE1521" s="4" t="s">
        <v>235</v>
      </c>
      <c r="BF1521" s="8" t="s">
        <v>235</v>
      </c>
      <c r="BG1521" s="7" t="s">
        <v>235</v>
      </c>
      <c r="BH1521" s="7" t="s">
        <v>235</v>
      </c>
      <c r="BI1521" s="7"/>
      <c r="BJ1521" s="4">
        <v>24</v>
      </c>
      <c r="BK1521" s="8">
        <v>429.98</v>
      </c>
      <c r="BL1521" s="2" t="s">
        <v>5699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5650</v>
      </c>
      <c r="BV1521" s="2" t="s">
        <v>243</v>
      </c>
      <c r="BW1521" s="2" t="s">
        <v>235</v>
      </c>
      <c r="BX1521" s="2" t="s">
        <v>244</v>
      </c>
      <c r="BY1521" s="2" t="s">
        <v>245</v>
      </c>
      <c r="BZ1521" s="2" t="s">
        <v>232</v>
      </c>
      <c r="CA1521" s="2" t="s">
        <v>5671</v>
      </c>
      <c r="CB1521" s="2" t="s">
        <v>5681</v>
      </c>
      <c r="CC1521" s="2" t="s">
        <v>248</v>
      </c>
      <c r="CD1521" s="2" t="s">
        <v>248</v>
      </c>
      <c r="CE1521" s="2" t="s">
        <v>235</v>
      </c>
      <c r="CF1521" s="4">
        <v>72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>
        <v>74</v>
      </c>
      <c r="GE1521" s="4">
        <v>69</v>
      </c>
      <c r="GF1521" s="4">
        <v>65</v>
      </c>
      <c r="GG1521" s="4">
        <v>61</v>
      </c>
      <c r="GH1521" s="4">
        <v>57</v>
      </c>
      <c r="GI1521" s="4">
        <v>53</v>
      </c>
      <c r="GJ1521" s="4">
        <v>49</v>
      </c>
      <c r="GK1521" s="4">
        <v>45</v>
      </c>
      <c r="GL1521" s="4">
        <v>41</v>
      </c>
      <c r="GM1521" s="4">
        <v>37</v>
      </c>
      <c r="GN1521" s="4">
        <v>33</v>
      </c>
      <c r="GO1521" s="4">
        <v>28</v>
      </c>
      <c r="GP1521" s="4">
        <v>22</v>
      </c>
      <c r="GQ1521" s="4">
        <v>10</v>
      </c>
      <c r="GR1521" s="4"/>
      <c r="GS1521" s="4"/>
      <c r="GT1521" s="4"/>
      <c r="GU1521" s="4"/>
      <c r="GV1521" s="4"/>
      <c r="GW1521" s="4">
        <v>217</v>
      </c>
      <c r="GX1521" s="4">
        <v>213</v>
      </c>
      <c r="GY1521" s="4">
        <v>209</v>
      </c>
      <c r="GZ1521" s="4">
        <v>205</v>
      </c>
      <c r="HA1521" s="4">
        <v>201</v>
      </c>
      <c r="HB1521" s="4">
        <v>197</v>
      </c>
      <c r="HC1521" s="4">
        <v>192</v>
      </c>
      <c r="HD1521" s="19">
        <v>18.5</v>
      </c>
      <c r="HE1521" s="19">
        <v>17.3</v>
      </c>
      <c r="HF1521" s="19">
        <v>16.3</v>
      </c>
      <c r="HG1521" s="19">
        <v>15.3</v>
      </c>
      <c r="HH1521" s="19">
        <v>14.3</v>
      </c>
      <c r="HI1521" s="19">
        <v>13.3</v>
      </c>
      <c r="HJ1521" s="19">
        <v>12.3</v>
      </c>
      <c r="HK1521" s="19">
        <v>11.3</v>
      </c>
      <c r="HL1521" s="19">
        <v>8.2</v>
      </c>
      <c r="HM1521" s="19">
        <v>5.3</v>
      </c>
      <c r="HN1521" s="19">
        <v>3.7</v>
      </c>
      <c r="HO1521" s="19">
        <v>2.8</v>
      </c>
      <c r="HP1521" s="19">
        <v>2.2</v>
      </c>
      <c r="HQ1521" s="19">
        <v>1.3</v>
      </c>
      <c r="HR1521" s="20">
        <v>0</v>
      </c>
      <c r="HS1521" s="20">
        <v>0</v>
      </c>
      <c r="HT1521" s="20">
        <v>0</v>
      </c>
      <c r="HU1521" s="20">
        <v>0</v>
      </c>
      <c r="HV1521" s="20">
        <v>0</v>
      </c>
      <c r="HW1521" s="19">
        <v>54.3</v>
      </c>
      <c r="HX1521" s="19">
        <v>53.3</v>
      </c>
      <c r="HY1521" s="19">
        <v>52.3</v>
      </c>
      <c r="HZ1521" s="19">
        <v>51.3</v>
      </c>
      <c r="IA1521" s="19">
        <v>50.3</v>
      </c>
      <c r="IB1521" s="19">
        <v>49.3</v>
      </c>
      <c r="IC1521" s="19">
        <v>48</v>
      </c>
    </row>
    <row r="1522">
      <c r="A1522" s="2" t="s">
        <v>5705</v>
      </c>
      <c r="B1522" s="2" t="s">
        <v>323</v>
      </c>
      <c r="C1522" s="2" t="s">
        <v>853</v>
      </c>
      <c r="D1522" s="2" t="s">
        <v>257</v>
      </c>
      <c r="E1522" s="2" t="s">
        <v>258</v>
      </c>
      <c r="F1522" s="2" t="s">
        <v>501</v>
      </c>
      <c r="G1522" s="2" t="s">
        <v>501</v>
      </c>
      <c r="H1522" s="2" t="s">
        <v>501</v>
      </c>
      <c r="I1522" s="2" t="s">
        <v>5637</v>
      </c>
      <c r="J1522" s="2" t="s">
        <v>261</v>
      </c>
      <c r="K1522" s="2" t="s">
        <v>889</v>
      </c>
      <c r="L1522" s="3">
        <v>15.55</v>
      </c>
      <c r="M1522" s="3">
        <v>16.33</v>
      </c>
      <c r="N1522" s="3">
        <v>34.99</v>
      </c>
      <c r="O1522" s="2" t="s">
        <v>232</v>
      </c>
      <c r="P1522" s="2" t="s">
        <v>233</v>
      </c>
      <c r="Q1522" s="2" t="s">
        <v>234</v>
      </c>
      <c r="R1522" s="2" t="s">
        <v>235</v>
      </c>
      <c r="S1522" s="2" t="s">
        <v>5690</v>
      </c>
      <c r="T1522" s="2" t="s">
        <v>501</v>
      </c>
      <c r="U1522" s="2" t="s">
        <v>235</v>
      </c>
      <c r="V1522" s="2" t="s">
        <v>238</v>
      </c>
      <c r="W1522" s="2" t="s">
        <v>239</v>
      </c>
      <c r="X1522" s="2" t="s">
        <v>235</v>
      </c>
      <c r="Y1522" s="2" t="s">
        <v>240</v>
      </c>
      <c r="Z1522" s="4">
        <v>847</v>
      </c>
      <c r="AA1522" s="4">
        <f>=ROUNDDOWN(180.212765957447,0)</f>
      </c>
      <c r="AB1522" s="5">
        <v>4.7</v>
      </c>
      <c r="AC1522" s="2" t="s">
        <v>235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235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235</v>
      </c>
      <c r="AW1522" s="8" t="s">
        <v>235</v>
      </c>
      <c r="AX1522" s="4" t="s">
        <v>235</v>
      </c>
      <c r="AY1522" s="8" t="s">
        <v>235</v>
      </c>
      <c r="AZ1522" s="7" t="s">
        <v>235</v>
      </c>
      <c r="BA1522" s="7" t="s">
        <v>235</v>
      </c>
      <c r="BB1522" s="7"/>
      <c r="BC1522" s="4" t="s">
        <v>235</v>
      </c>
      <c r="BD1522" s="8" t="s">
        <v>235</v>
      </c>
      <c r="BE1522" s="4" t="s">
        <v>235</v>
      </c>
      <c r="BF1522" s="8" t="s">
        <v>235</v>
      </c>
      <c r="BG1522" s="7" t="s">
        <v>235</v>
      </c>
      <c r="BH1522" s="7" t="s">
        <v>235</v>
      </c>
      <c r="BI1522" s="7"/>
      <c r="BJ1522" s="4">
        <v>24</v>
      </c>
      <c r="BK1522" s="8">
        <v>398.1</v>
      </c>
      <c r="BL1522" s="2" t="s">
        <v>5696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5639</v>
      </c>
      <c r="BV1522" s="2" t="s">
        <v>243</v>
      </c>
      <c r="BW1522" s="2" t="s">
        <v>235</v>
      </c>
      <c r="BX1522" s="2" t="s">
        <v>244</v>
      </c>
      <c r="BY1522" s="2" t="s">
        <v>245</v>
      </c>
      <c r="BZ1522" s="2" t="s">
        <v>232</v>
      </c>
      <c r="CA1522" s="2" t="s">
        <v>252</v>
      </c>
      <c r="CB1522" s="2" t="s">
        <v>5706</v>
      </c>
      <c r="CC1522" s="2" t="s">
        <v>248</v>
      </c>
      <c r="CD1522" s="2" t="s">
        <v>248</v>
      </c>
      <c r="CE1522" s="2" t="s">
        <v>235</v>
      </c>
      <c r="CF1522" s="4">
        <v>847</v>
      </c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>
        <v>849</v>
      </c>
      <c r="GE1522" s="4">
        <v>843</v>
      </c>
      <c r="GF1522" s="4">
        <v>838</v>
      </c>
      <c r="GG1522" s="4">
        <v>833</v>
      </c>
      <c r="GH1522" s="4">
        <v>828</v>
      </c>
      <c r="GI1522" s="4">
        <v>823</v>
      </c>
      <c r="GJ1522" s="4">
        <v>818</v>
      </c>
      <c r="GK1522" s="4">
        <v>813</v>
      </c>
      <c r="GL1522" s="4">
        <v>808</v>
      </c>
      <c r="GM1522" s="4">
        <v>803</v>
      </c>
      <c r="GN1522" s="4">
        <v>798</v>
      </c>
      <c r="GO1522" s="4">
        <v>792</v>
      </c>
      <c r="GP1522" s="4">
        <v>786</v>
      </c>
      <c r="GQ1522" s="4">
        <v>773</v>
      </c>
      <c r="GR1522" s="4">
        <v>759</v>
      </c>
      <c r="GS1522" s="4">
        <v>748</v>
      </c>
      <c r="GT1522" s="4">
        <v>742</v>
      </c>
      <c r="GU1522" s="4">
        <v>737</v>
      </c>
      <c r="GV1522" s="4">
        <v>732</v>
      </c>
      <c r="GW1522" s="4">
        <v>727</v>
      </c>
      <c r="GX1522" s="4">
        <v>722</v>
      </c>
      <c r="GY1522" s="4">
        <v>717</v>
      </c>
      <c r="GZ1522" s="4">
        <v>712</v>
      </c>
      <c r="HA1522" s="4">
        <v>707</v>
      </c>
      <c r="HB1522" s="4">
        <v>702</v>
      </c>
      <c r="HC1522" s="4">
        <v>696</v>
      </c>
      <c r="HD1522" s="19">
        <v>169.8</v>
      </c>
      <c r="HE1522" s="19">
        <v>168.6</v>
      </c>
      <c r="HF1522" s="19">
        <v>167.6</v>
      </c>
      <c r="HG1522" s="19">
        <v>166.6</v>
      </c>
      <c r="HH1522" s="19">
        <v>165.6</v>
      </c>
      <c r="HI1522" s="19">
        <v>164.6</v>
      </c>
      <c r="HJ1522" s="19">
        <v>163.6</v>
      </c>
      <c r="HK1522" s="19">
        <v>162.6</v>
      </c>
      <c r="HL1522" s="19">
        <v>134.7</v>
      </c>
      <c r="HM1522" s="19">
        <v>100.4</v>
      </c>
      <c r="HN1522" s="19">
        <v>79.8</v>
      </c>
      <c r="HO1522" s="19">
        <v>72</v>
      </c>
      <c r="HP1522" s="19">
        <v>71.5</v>
      </c>
      <c r="HQ1522" s="19">
        <v>85.9</v>
      </c>
      <c r="HR1522" s="19">
        <v>108.4</v>
      </c>
      <c r="HS1522" s="19">
        <v>149.6</v>
      </c>
      <c r="HT1522" s="19">
        <v>148.4</v>
      </c>
      <c r="HU1522" s="19">
        <v>147.4</v>
      </c>
      <c r="HV1522" s="19">
        <v>146.4</v>
      </c>
      <c r="HW1522" s="19">
        <v>145.4</v>
      </c>
      <c r="HX1522" s="19">
        <v>144.4</v>
      </c>
      <c r="HY1522" s="19">
        <v>143.4</v>
      </c>
      <c r="HZ1522" s="19">
        <v>142.4</v>
      </c>
      <c r="IA1522" s="19">
        <v>141.4</v>
      </c>
      <c r="IB1522" s="19">
        <v>140.4</v>
      </c>
      <c r="IC1522" s="19">
        <v>139.2</v>
      </c>
    </row>
    <row r="1523">
      <c r="A1523" s="2" t="s">
        <v>5707</v>
      </c>
      <c r="B1523" s="2" t="s">
        <v>323</v>
      </c>
      <c r="C1523" s="2" t="s">
        <v>853</v>
      </c>
      <c r="D1523" s="2" t="s">
        <v>257</v>
      </c>
      <c r="E1523" s="2" t="s">
        <v>258</v>
      </c>
      <c r="F1523" s="2" t="s">
        <v>501</v>
      </c>
      <c r="G1523" s="2" t="s">
        <v>501</v>
      </c>
      <c r="H1523" s="2" t="s">
        <v>501</v>
      </c>
      <c r="I1523" s="2" t="s">
        <v>5637</v>
      </c>
      <c r="J1523" s="2" t="s">
        <v>270</v>
      </c>
      <c r="K1523" s="2" t="s">
        <v>889</v>
      </c>
      <c r="L1523" s="3">
        <v>18.24</v>
      </c>
      <c r="M1523" s="3">
        <v>19.15</v>
      </c>
      <c r="N1523" s="3">
        <v>39.99</v>
      </c>
      <c r="O1523" s="2" t="s">
        <v>232</v>
      </c>
      <c r="P1523" s="2" t="s">
        <v>233</v>
      </c>
      <c r="Q1523" s="2" t="s">
        <v>234</v>
      </c>
      <c r="R1523" s="2" t="s">
        <v>235</v>
      </c>
      <c r="S1523" s="2" t="s">
        <v>5690</v>
      </c>
      <c r="T1523" s="2" t="s">
        <v>501</v>
      </c>
      <c r="U1523" s="2" t="s">
        <v>235</v>
      </c>
      <c r="V1523" s="2" t="s">
        <v>238</v>
      </c>
      <c r="W1523" s="2" t="s">
        <v>239</v>
      </c>
      <c r="X1523" s="2" t="s">
        <v>235</v>
      </c>
      <c r="Y1523" s="2" t="s">
        <v>240</v>
      </c>
      <c r="Z1523" s="4">
        <v>175</v>
      </c>
      <c r="AA1523" s="4">
        <f>=ROUNDDOWN(83.3333333333333,0)</f>
      </c>
      <c r="AB1523" s="5">
        <v>2.1</v>
      </c>
      <c r="AC1523" s="2" t="s">
        <v>235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235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235</v>
      </c>
      <c r="AW1523" s="8" t="s">
        <v>235</v>
      </c>
      <c r="AX1523" s="4" t="s">
        <v>235</v>
      </c>
      <c r="AY1523" s="8" t="s">
        <v>235</v>
      </c>
      <c r="AZ1523" s="7" t="s">
        <v>235</v>
      </c>
      <c r="BA1523" s="7" t="s">
        <v>235</v>
      </c>
      <c r="BB1523" s="7"/>
      <c r="BC1523" s="4" t="s">
        <v>235</v>
      </c>
      <c r="BD1523" s="8" t="s">
        <v>235</v>
      </c>
      <c r="BE1523" s="4" t="s">
        <v>235</v>
      </c>
      <c r="BF1523" s="8" t="s">
        <v>235</v>
      </c>
      <c r="BG1523" s="7" t="s">
        <v>235</v>
      </c>
      <c r="BH1523" s="7" t="s">
        <v>235</v>
      </c>
      <c r="BI1523" s="7"/>
      <c r="BJ1523" s="4">
        <v>4</v>
      </c>
      <c r="BK1523" s="8">
        <v>74.82</v>
      </c>
      <c r="BL1523" s="2" t="s">
        <v>5708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5639</v>
      </c>
      <c r="BV1523" s="2" t="s">
        <v>243</v>
      </c>
      <c r="BW1523" s="2" t="s">
        <v>235</v>
      </c>
      <c r="BX1523" s="2" t="s">
        <v>244</v>
      </c>
      <c r="BY1523" s="2" t="s">
        <v>245</v>
      </c>
      <c r="BZ1523" s="2" t="s">
        <v>232</v>
      </c>
      <c r="CA1523" s="2" t="s">
        <v>252</v>
      </c>
      <c r="CB1523" s="2" t="s">
        <v>5626</v>
      </c>
      <c r="CC1523" s="2" t="s">
        <v>248</v>
      </c>
      <c r="CD1523" s="2" t="s">
        <v>248</v>
      </c>
      <c r="CE1523" s="2" t="s">
        <v>235</v>
      </c>
      <c r="CF1523" s="4">
        <v>175</v>
      </c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>
        <v>175</v>
      </c>
      <c r="GE1523" s="4">
        <v>173</v>
      </c>
      <c r="GF1523" s="4">
        <v>171</v>
      </c>
      <c r="GG1523" s="4">
        <v>169</v>
      </c>
      <c r="GH1523" s="4">
        <v>167</v>
      </c>
      <c r="GI1523" s="4">
        <v>165</v>
      </c>
      <c r="GJ1523" s="4">
        <v>163</v>
      </c>
      <c r="GK1523" s="4">
        <v>161</v>
      </c>
      <c r="GL1523" s="4">
        <v>159</v>
      </c>
      <c r="GM1523" s="4">
        <v>157</v>
      </c>
      <c r="GN1523" s="4">
        <v>155</v>
      </c>
      <c r="GO1523" s="4">
        <v>153</v>
      </c>
      <c r="GP1523" s="4">
        <v>151</v>
      </c>
      <c r="GQ1523" s="4">
        <v>146</v>
      </c>
      <c r="GR1523" s="4">
        <v>141</v>
      </c>
      <c r="GS1523" s="4">
        <v>137</v>
      </c>
      <c r="GT1523" s="4">
        <v>135</v>
      </c>
      <c r="GU1523" s="4">
        <v>133</v>
      </c>
      <c r="GV1523" s="4">
        <v>131</v>
      </c>
      <c r="GW1523" s="4">
        <v>129</v>
      </c>
      <c r="GX1523" s="4">
        <v>127</v>
      </c>
      <c r="GY1523" s="4">
        <v>125</v>
      </c>
      <c r="GZ1523" s="4">
        <v>123</v>
      </c>
      <c r="HA1523" s="4">
        <v>121</v>
      </c>
      <c r="HB1523" s="4">
        <v>119</v>
      </c>
      <c r="HC1523" s="4">
        <v>117</v>
      </c>
      <c r="HD1523" s="19">
        <v>87.5</v>
      </c>
      <c r="HE1523" s="19">
        <v>86.5</v>
      </c>
      <c r="HF1523" s="19">
        <v>85.5</v>
      </c>
      <c r="HG1523" s="19">
        <v>84.5</v>
      </c>
      <c r="HH1523" s="19">
        <v>83.5</v>
      </c>
      <c r="HI1523" s="19">
        <v>82.5</v>
      </c>
      <c r="HJ1523" s="19">
        <v>81.5</v>
      </c>
      <c r="HK1523" s="19">
        <v>80.5</v>
      </c>
      <c r="HL1523" s="19">
        <v>79.5</v>
      </c>
      <c r="HM1523" s="19">
        <v>52.3</v>
      </c>
      <c r="HN1523" s="19">
        <v>38.8</v>
      </c>
      <c r="HO1523" s="19">
        <v>38.3</v>
      </c>
      <c r="HP1523" s="19">
        <v>37.8</v>
      </c>
      <c r="HQ1523" s="19">
        <v>48.7</v>
      </c>
      <c r="HR1523" s="19">
        <v>70.5</v>
      </c>
      <c r="HS1523" s="19">
        <v>68.5</v>
      </c>
      <c r="HT1523" s="19">
        <v>67.5</v>
      </c>
      <c r="HU1523" s="19">
        <v>66.5</v>
      </c>
      <c r="HV1523" s="19">
        <v>65.5</v>
      </c>
      <c r="HW1523" s="19">
        <v>64.5</v>
      </c>
      <c r="HX1523" s="19">
        <v>63.5</v>
      </c>
      <c r="HY1523" s="19">
        <v>62.5</v>
      </c>
      <c r="HZ1523" s="19">
        <v>61.5</v>
      </c>
      <c r="IA1523" s="19">
        <v>60.5</v>
      </c>
      <c r="IB1523" s="19">
        <v>59.5</v>
      </c>
      <c r="IC1523" s="19">
        <v>58.5</v>
      </c>
    </row>
    <row r="1524">
      <c r="A1524" s="2" t="s">
        <v>5709</v>
      </c>
      <c r="B1524" s="2" t="s">
        <v>323</v>
      </c>
      <c r="C1524" s="2" t="s">
        <v>853</v>
      </c>
      <c r="D1524" s="2" t="s">
        <v>257</v>
      </c>
      <c r="E1524" s="2" t="s">
        <v>258</v>
      </c>
      <c r="F1524" s="2" t="s">
        <v>501</v>
      </c>
      <c r="G1524" s="2" t="s">
        <v>501</v>
      </c>
      <c r="H1524" s="2" t="s">
        <v>501</v>
      </c>
      <c r="I1524" s="2" t="s">
        <v>5637</v>
      </c>
      <c r="J1524" s="2" t="s">
        <v>394</v>
      </c>
      <c r="K1524" s="2" t="s">
        <v>567</v>
      </c>
      <c r="L1524" s="3">
        <v>12.25</v>
      </c>
      <c r="M1524" s="3">
        <v>12.86</v>
      </c>
      <c r="N1524" s="3">
        <v>29.99</v>
      </c>
      <c r="O1524" s="2" t="s">
        <v>232</v>
      </c>
      <c r="P1524" s="2" t="s">
        <v>233</v>
      </c>
      <c r="Q1524" s="2" t="s">
        <v>234</v>
      </c>
      <c r="R1524" s="2" t="s">
        <v>235</v>
      </c>
      <c r="S1524" s="2" t="s">
        <v>5710</v>
      </c>
      <c r="T1524" s="2" t="s">
        <v>501</v>
      </c>
      <c r="U1524" s="2" t="s">
        <v>235</v>
      </c>
      <c r="V1524" s="2" t="s">
        <v>238</v>
      </c>
      <c r="W1524" s="2" t="s">
        <v>239</v>
      </c>
      <c r="X1524" s="2" t="s">
        <v>235</v>
      </c>
      <c r="Y1524" s="2" t="s">
        <v>240</v>
      </c>
      <c r="Z1524" s="4">
        <v>199</v>
      </c>
      <c r="AA1524" s="4">
        <f>=ROUNDDOWN(117.058823529412,0)</f>
      </c>
      <c r="AB1524" s="5">
        <v>1.7</v>
      </c>
      <c r="AC1524" s="2" t="s">
        <v>235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235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235</v>
      </c>
      <c r="AW1524" s="8" t="s">
        <v>235</v>
      </c>
      <c r="AX1524" s="4" t="s">
        <v>235</v>
      </c>
      <c r="AY1524" s="8" t="s">
        <v>235</v>
      </c>
      <c r="AZ1524" s="7" t="s">
        <v>235</v>
      </c>
      <c r="BA1524" s="7" t="s">
        <v>235</v>
      </c>
      <c r="BB1524" s="7"/>
      <c r="BC1524" s="4" t="s">
        <v>235</v>
      </c>
      <c r="BD1524" s="8" t="s">
        <v>235</v>
      </c>
      <c r="BE1524" s="4" t="s">
        <v>235</v>
      </c>
      <c r="BF1524" s="8" t="s">
        <v>235</v>
      </c>
      <c r="BG1524" s="7" t="s">
        <v>235</v>
      </c>
      <c r="BH1524" s="7" t="s">
        <v>235</v>
      </c>
      <c r="BI1524" s="7"/>
      <c r="BJ1524" s="4">
        <v>4</v>
      </c>
      <c r="BK1524" s="8">
        <v>52.6</v>
      </c>
      <c r="BL1524" s="2" t="s">
        <v>5711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5639</v>
      </c>
      <c r="BV1524" s="2" t="s">
        <v>243</v>
      </c>
      <c r="BW1524" s="2" t="s">
        <v>235</v>
      </c>
      <c r="BX1524" s="2" t="s">
        <v>244</v>
      </c>
      <c r="BY1524" s="2" t="s">
        <v>245</v>
      </c>
      <c r="BZ1524" s="2" t="s">
        <v>232</v>
      </c>
      <c r="CA1524" s="2" t="s">
        <v>5544</v>
      </c>
      <c r="CB1524" s="2" t="s">
        <v>462</v>
      </c>
      <c r="CC1524" s="2" t="s">
        <v>248</v>
      </c>
      <c r="CD1524" s="2" t="s">
        <v>248</v>
      </c>
      <c r="CE1524" s="2" t="s">
        <v>235</v>
      </c>
      <c r="CF1524" s="4">
        <v>199</v>
      </c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>
        <v>199</v>
      </c>
      <c r="GE1524" s="4">
        <v>198</v>
      </c>
      <c r="GF1524" s="4">
        <v>197</v>
      </c>
      <c r="GG1524" s="4">
        <v>196</v>
      </c>
      <c r="GH1524" s="4">
        <v>195</v>
      </c>
      <c r="GI1524" s="4">
        <v>194</v>
      </c>
      <c r="GJ1524" s="4">
        <v>193</v>
      </c>
      <c r="GK1524" s="4">
        <v>192</v>
      </c>
      <c r="GL1524" s="4">
        <v>191</v>
      </c>
      <c r="GM1524" s="4">
        <v>190</v>
      </c>
      <c r="GN1524" s="4">
        <v>189</v>
      </c>
      <c r="GO1524" s="4">
        <v>188</v>
      </c>
      <c r="GP1524" s="4">
        <v>187</v>
      </c>
      <c r="GQ1524" s="4">
        <v>184</v>
      </c>
      <c r="GR1524" s="4">
        <v>181</v>
      </c>
      <c r="GS1524" s="4">
        <v>178</v>
      </c>
      <c r="GT1524" s="4">
        <v>177</v>
      </c>
      <c r="GU1524" s="4">
        <v>176</v>
      </c>
      <c r="GV1524" s="4">
        <v>175</v>
      </c>
      <c r="GW1524" s="4">
        <v>174</v>
      </c>
      <c r="GX1524" s="4">
        <v>173</v>
      </c>
      <c r="GY1524" s="4">
        <v>172</v>
      </c>
      <c r="GZ1524" s="4">
        <v>171</v>
      </c>
      <c r="HA1524" s="4">
        <v>170</v>
      </c>
      <c r="HB1524" s="4">
        <v>169</v>
      </c>
      <c r="HC1524" s="4">
        <v>168</v>
      </c>
      <c r="HD1524" s="19">
        <v>199</v>
      </c>
      <c r="HE1524" s="19">
        <v>198</v>
      </c>
      <c r="HF1524" s="19">
        <v>197</v>
      </c>
      <c r="HG1524" s="19">
        <v>196</v>
      </c>
      <c r="HH1524" s="19">
        <v>195</v>
      </c>
      <c r="HI1524" s="19">
        <v>194</v>
      </c>
      <c r="HJ1524" s="19">
        <v>193</v>
      </c>
      <c r="HK1524" s="19">
        <v>192</v>
      </c>
      <c r="HL1524" s="19">
        <v>191</v>
      </c>
      <c r="HM1524" s="19">
        <v>95</v>
      </c>
      <c r="HN1524" s="19">
        <v>94.5</v>
      </c>
      <c r="HO1524" s="19">
        <v>94</v>
      </c>
      <c r="HP1524" s="19">
        <v>93.5</v>
      </c>
      <c r="HQ1524" s="19">
        <v>92</v>
      </c>
      <c r="HR1524" s="19">
        <v>90.5</v>
      </c>
      <c r="HS1524" s="19">
        <v>178</v>
      </c>
      <c r="HT1524" s="19">
        <v>177</v>
      </c>
      <c r="HU1524" s="19">
        <v>176</v>
      </c>
      <c r="HV1524" s="19">
        <v>175</v>
      </c>
      <c r="HW1524" s="19">
        <v>174</v>
      </c>
      <c r="HX1524" s="19">
        <v>173</v>
      </c>
      <c r="HY1524" s="19">
        <v>172</v>
      </c>
      <c r="HZ1524" s="19">
        <v>171</v>
      </c>
      <c r="IA1524" s="19">
        <v>170</v>
      </c>
      <c r="IB1524" s="19">
        <v>169</v>
      </c>
      <c r="IC1524" s="19">
        <v>168</v>
      </c>
    </row>
    <row r="1525">
      <c r="A1525" s="2" t="s">
        <v>5712</v>
      </c>
      <c r="B1525" s="2" t="s">
        <v>323</v>
      </c>
      <c r="C1525" s="2" t="s">
        <v>853</v>
      </c>
      <c r="D1525" s="2" t="s">
        <v>257</v>
      </c>
      <c r="E1525" s="2" t="s">
        <v>258</v>
      </c>
      <c r="F1525" s="2" t="s">
        <v>501</v>
      </c>
      <c r="G1525" s="2" t="s">
        <v>501</v>
      </c>
      <c r="H1525" s="2" t="s">
        <v>501</v>
      </c>
      <c r="I1525" s="2" t="s">
        <v>5637</v>
      </c>
      <c r="J1525" s="2" t="s">
        <v>230</v>
      </c>
      <c r="K1525" s="2" t="s">
        <v>567</v>
      </c>
      <c r="L1525" s="3">
        <v>12.27</v>
      </c>
      <c r="M1525" s="3">
        <v>12.88</v>
      </c>
      <c r="N1525" s="3">
        <v>29.99</v>
      </c>
      <c r="O1525" s="2" t="s">
        <v>232</v>
      </c>
      <c r="P1525" s="2" t="s">
        <v>233</v>
      </c>
      <c r="Q1525" s="2" t="s">
        <v>234</v>
      </c>
      <c r="R1525" s="2" t="s">
        <v>235</v>
      </c>
      <c r="S1525" s="2" t="s">
        <v>5710</v>
      </c>
      <c r="T1525" s="2" t="s">
        <v>501</v>
      </c>
      <c r="U1525" s="2" t="s">
        <v>235</v>
      </c>
      <c r="V1525" s="2" t="s">
        <v>238</v>
      </c>
      <c r="W1525" s="2" t="s">
        <v>239</v>
      </c>
      <c r="X1525" s="2" t="s">
        <v>235</v>
      </c>
      <c r="Y1525" s="2" t="s">
        <v>240</v>
      </c>
      <c r="Z1525" s="4">
        <v>154</v>
      </c>
      <c r="AA1525" s="4">
        <f>=ROUNDDOWN(118.461538461538,0)</f>
      </c>
      <c r="AB1525" s="5">
        <v>1.3</v>
      </c>
      <c r="AC1525" s="2" t="s">
        <v>235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235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235</v>
      </c>
      <c r="AW1525" s="8" t="s">
        <v>235</v>
      </c>
      <c r="AX1525" s="4" t="s">
        <v>235</v>
      </c>
      <c r="AY1525" s="8" t="s">
        <v>235</v>
      </c>
      <c r="AZ1525" s="7" t="s">
        <v>235</v>
      </c>
      <c r="BA1525" s="7" t="s">
        <v>235</v>
      </c>
      <c r="BB1525" s="7"/>
      <c r="BC1525" s="4" t="s">
        <v>235</v>
      </c>
      <c r="BD1525" s="8" t="s">
        <v>235</v>
      </c>
      <c r="BE1525" s="4" t="s">
        <v>235</v>
      </c>
      <c r="BF1525" s="8" t="s">
        <v>235</v>
      </c>
      <c r="BG1525" s="7" t="s">
        <v>235</v>
      </c>
      <c r="BH1525" s="7" t="s">
        <v>235</v>
      </c>
      <c r="BI1525" s="7"/>
      <c r="BJ1525" s="4">
        <v>13</v>
      </c>
      <c r="BK1525" s="8">
        <v>165.95</v>
      </c>
      <c r="BL1525" s="2" t="s">
        <v>5713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5639</v>
      </c>
      <c r="BV1525" s="2" t="s">
        <v>243</v>
      </c>
      <c r="BW1525" s="2" t="s">
        <v>235</v>
      </c>
      <c r="BX1525" s="2" t="s">
        <v>244</v>
      </c>
      <c r="BY1525" s="2" t="s">
        <v>245</v>
      </c>
      <c r="BZ1525" s="2" t="s">
        <v>232</v>
      </c>
      <c r="CA1525" s="2" t="s">
        <v>5544</v>
      </c>
      <c r="CB1525" s="2" t="s">
        <v>4493</v>
      </c>
      <c r="CC1525" s="2" t="s">
        <v>248</v>
      </c>
      <c r="CD1525" s="2" t="s">
        <v>248</v>
      </c>
      <c r="CE1525" s="2" t="s">
        <v>235</v>
      </c>
      <c r="CF1525" s="4">
        <v>154</v>
      </c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>
        <v>154</v>
      </c>
      <c r="GE1525" s="4">
        <v>153</v>
      </c>
      <c r="GF1525" s="4">
        <v>152</v>
      </c>
      <c r="GG1525" s="4">
        <v>151</v>
      </c>
      <c r="GH1525" s="4">
        <v>150</v>
      </c>
      <c r="GI1525" s="4">
        <v>149</v>
      </c>
      <c r="GJ1525" s="4">
        <v>148</v>
      </c>
      <c r="GK1525" s="4">
        <v>147</v>
      </c>
      <c r="GL1525" s="4">
        <v>146</v>
      </c>
      <c r="GM1525" s="4">
        <v>145</v>
      </c>
      <c r="GN1525" s="4">
        <v>144</v>
      </c>
      <c r="GO1525" s="4">
        <v>143</v>
      </c>
      <c r="GP1525" s="4">
        <v>141</v>
      </c>
      <c r="GQ1525" s="4">
        <v>138</v>
      </c>
      <c r="GR1525" s="4">
        <v>134</v>
      </c>
      <c r="GS1525" s="4">
        <v>131</v>
      </c>
      <c r="GT1525" s="4">
        <v>129</v>
      </c>
      <c r="GU1525" s="4">
        <v>128</v>
      </c>
      <c r="GV1525" s="4">
        <v>127</v>
      </c>
      <c r="GW1525" s="4">
        <v>126</v>
      </c>
      <c r="GX1525" s="4">
        <v>125</v>
      </c>
      <c r="GY1525" s="4">
        <v>124</v>
      </c>
      <c r="GZ1525" s="4">
        <v>123</v>
      </c>
      <c r="HA1525" s="4">
        <v>122</v>
      </c>
      <c r="HB1525" s="4">
        <v>121</v>
      </c>
      <c r="HC1525" s="4">
        <v>120</v>
      </c>
      <c r="HD1525" s="19">
        <v>154</v>
      </c>
      <c r="HE1525" s="19">
        <v>153</v>
      </c>
      <c r="HF1525" s="19">
        <v>152</v>
      </c>
      <c r="HG1525" s="19">
        <v>151</v>
      </c>
      <c r="HH1525" s="19">
        <v>150</v>
      </c>
      <c r="HI1525" s="19">
        <v>149</v>
      </c>
      <c r="HJ1525" s="19">
        <v>148</v>
      </c>
      <c r="HK1525" s="19">
        <v>147</v>
      </c>
      <c r="HL1525" s="19">
        <v>146</v>
      </c>
      <c r="HM1525" s="19">
        <v>72.5</v>
      </c>
      <c r="HN1525" s="19">
        <v>72</v>
      </c>
      <c r="HO1525" s="19">
        <v>47.7</v>
      </c>
      <c r="HP1525" s="19">
        <v>47</v>
      </c>
      <c r="HQ1525" s="19">
        <v>69</v>
      </c>
      <c r="HR1525" s="19">
        <v>67</v>
      </c>
      <c r="HS1525" s="19">
        <v>131</v>
      </c>
      <c r="HT1525" s="19">
        <v>129</v>
      </c>
      <c r="HU1525" s="19">
        <v>128</v>
      </c>
      <c r="HV1525" s="19">
        <v>127</v>
      </c>
      <c r="HW1525" s="19">
        <v>126</v>
      </c>
      <c r="HX1525" s="19">
        <v>125</v>
      </c>
      <c r="HY1525" s="19">
        <v>124</v>
      </c>
      <c r="HZ1525" s="19">
        <v>123</v>
      </c>
      <c r="IA1525" s="19">
        <v>122</v>
      </c>
      <c r="IB1525" s="19">
        <v>121</v>
      </c>
      <c r="IC1525" s="19">
        <v>120</v>
      </c>
    </row>
    <row r="1526">
      <c r="A1526" s="2" t="s">
        <v>5714</v>
      </c>
      <c r="B1526" s="2" t="s">
        <v>323</v>
      </c>
      <c r="C1526" s="2" t="s">
        <v>853</v>
      </c>
      <c r="D1526" s="2" t="s">
        <v>257</v>
      </c>
      <c r="E1526" s="2" t="s">
        <v>258</v>
      </c>
      <c r="F1526" s="2" t="s">
        <v>501</v>
      </c>
      <c r="G1526" s="2" t="s">
        <v>501</v>
      </c>
      <c r="H1526" s="2" t="s">
        <v>501</v>
      </c>
      <c r="I1526" s="2" t="s">
        <v>5637</v>
      </c>
      <c r="J1526" s="2" t="s">
        <v>261</v>
      </c>
      <c r="K1526" s="2" t="s">
        <v>567</v>
      </c>
      <c r="L1526" s="3">
        <v>15.55</v>
      </c>
      <c r="M1526" s="3">
        <v>16.33</v>
      </c>
      <c r="N1526" s="3">
        <v>34.99</v>
      </c>
      <c r="O1526" s="2" t="s">
        <v>232</v>
      </c>
      <c r="P1526" s="2" t="s">
        <v>233</v>
      </c>
      <c r="Q1526" s="2" t="s">
        <v>234</v>
      </c>
      <c r="R1526" s="2" t="s">
        <v>235</v>
      </c>
      <c r="S1526" s="2" t="s">
        <v>5710</v>
      </c>
      <c r="T1526" s="2" t="s">
        <v>501</v>
      </c>
      <c r="U1526" s="2" t="s">
        <v>235</v>
      </c>
      <c r="V1526" s="2" t="s">
        <v>238</v>
      </c>
      <c r="W1526" s="2" t="s">
        <v>239</v>
      </c>
      <c r="X1526" s="2" t="s">
        <v>235</v>
      </c>
      <c r="Y1526" s="2" t="s">
        <v>240</v>
      </c>
      <c r="Z1526" s="4">
        <v>1044</v>
      </c>
      <c r="AA1526" s="4">
        <f>=ROUNDDOWN(307.058823529412,0)</f>
      </c>
      <c r="AB1526" s="5">
        <v>3.4</v>
      </c>
      <c r="AC1526" s="2" t="s">
        <v>235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235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235</v>
      </c>
      <c r="AW1526" s="8" t="s">
        <v>235</v>
      </c>
      <c r="AX1526" s="4" t="s">
        <v>235</v>
      </c>
      <c r="AY1526" s="8" t="s">
        <v>235</v>
      </c>
      <c r="AZ1526" s="7" t="s">
        <v>235</v>
      </c>
      <c r="BA1526" s="7" t="s">
        <v>235</v>
      </c>
      <c r="BB1526" s="7"/>
      <c r="BC1526" s="4" t="s">
        <v>235</v>
      </c>
      <c r="BD1526" s="8" t="s">
        <v>235</v>
      </c>
      <c r="BE1526" s="4" t="s">
        <v>235</v>
      </c>
      <c r="BF1526" s="8" t="s">
        <v>235</v>
      </c>
      <c r="BG1526" s="7" t="s">
        <v>235</v>
      </c>
      <c r="BH1526" s="7" t="s">
        <v>235</v>
      </c>
      <c r="BI1526" s="7"/>
      <c r="BJ1526" s="4">
        <v>11</v>
      </c>
      <c r="BK1526" s="8">
        <v>189.93</v>
      </c>
      <c r="BL1526" s="2" t="s">
        <v>5715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5639</v>
      </c>
      <c r="BV1526" s="2" t="s">
        <v>243</v>
      </c>
      <c r="BW1526" s="2" t="s">
        <v>235</v>
      </c>
      <c r="BX1526" s="2" t="s">
        <v>244</v>
      </c>
      <c r="BY1526" s="2" t="s">
        <v>245</v>
      </c>
      <c r="BZ1526" s="2" t="s">
        <v>232</v>
      </c>
      <c r="CA1526" s="2" t="s">
        <v>5544</v>
      </c>
      <c r="CB1526" s="2" t="s">
        <v>401</v>
      </c>
      <c r="CC1526" s="2" t="s">
        <v>248</v>
      </c>
      <c r="CD1526" s="2" t="s">
        <v>248</v>
      </c>
      <c r="CE1526" s="2" t="s">
        <v>235</v>
      </c>
      <c r="CF1526" s="4">
        <v>1044</v>
      </c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>
        <v>1044</v>
      </c>
      <c r="GE1526" s="4">
        <v>1041</v>
      </c>
      <c r="GF1526" s="4">
        <v>1038</v>
      </c>
      <c r="GG1526" s="4">
        <v>1035</v>
      </c>
      <c r="GH1526" s="4">
        <v>1032</v>
      </c>
      <c r="GI1526" s="4">
        <v>1029</v>
      </c>
      <c r="GJ1526" s="4">
        <v>1026</v>
      </c>
      <c r="GK1526" s="4">
        <v>1023</v>
      </c>
      <c r="GL1526" s="4">
        <v>1020</v>
      </c>
      <c r="GM1526" s="4">
        <v>1017</v>
      </c>
      <c r="GN1526" s="4">
        <v>1014</v>
      </c>
      <c r="GO1526" s="4">
        <v>1011</v>
      </c>
      <c r="GP1526" s="4">
        <v>1007</v>
      </c>
      <c r="GQ1526" s="4">
        <v>999</v>
      </c>
      <c r="GR1526" s="4">
        <v>991</v>
      </c>
      <c r="GS1526" s="4">
        <v>984</v>
      </c>
      <c r="GT1526" s="4">
        <v>980</v>
      </c>
      <c r="GU1526" s="4">
        <v>977</v>
      </c>
      <c r="GV1526" s="4">
        <v>974</v>
      </c>
      <c r="GW1526" s="4">
        <v>971</v>
      </c>
      <c r="GX1526" s="4">
        <v>968</v>
      </c>
      <c r="GY1526" s="4">
        <v>965</v>
      </c>
      <c r="GZ1526" s="4">
        <v>962</v>
      </c>
      <c r="HA1526" s="4">
        <v>959</v>
      </c>
      <c r="HB1526" s="4">
        <v>956</v>
      </c>
      <c r="HC1526" s="4">
        <v>952</v>
      </c>
      <c r="HD1526" s="19">
        <v>348</v>
      </c>
      <c r="HE1526" s="19">
        <v>347</v>
      </c>
      <c r="HF1526" s="19">
        <v>346</v>
      </c>
      <c r="HG1526" s="19">
        <v>345</v>
      </c>
      <c r="HH1526" s="19">
        <v>344</v>
      </c>
      <c r="HI1526" s="19">
        <v>343</v>
      </c>
      <c r="HJ1526" s="19">
        <v>342</v>
      </c>
      <c r="HK1526" s="19">
        <v>341</v>
      </c>
      <c r="HL1526" s="19">
        <v>340</v>
      </c>
      <c r="HM1526" s="19">
        <v>254.3</v>
      </c>
      <c r="HN1526" s="19">
        <v>169</v>
      </c>
      <c r="HO1526" s="19">
        <v>144.4</v>
      </c>
      <c r="HP1526" s="19">
        <v>143.9</v>
      </c>
      <c r="HQ1526" s="19">
        <v>166.5</v>
      </c>
      <c r="HR1526" s="19">
        <v>247.8</v>
      </c>
      <c r="HS1526" s="19">
        <v>328</v>
      </c>
      <c r="HT1526" s="19">
        <v>326.7</v>
      </c>
      <c r="HU1526" s="19">
        <v>325.7</v>
      </c>
      <c r="HV1526" s="19">
        <v>324.7</v>
      </c>
      <c r="HW1526" s="19">
        <v>323.7</v>
      </c>
      <c r="HX1526" s="19">
        <v>322.7</v>
      </c>
      <c r="HY1526" s="19">
        <v>321.7</v>
      </c>
      <c r="HZ1526" s="19">
        <v>320.7</v>
      </c>
      <c r="IA1526" s="19">
        <v>319.7</v>
      </c>
      <c r="IB1526" s="19">
        <v>318.7</v>
      </c>
      <c r="IC1526" s="19">
        <v>317.3</v>
      </c>
    </row>
    <row r="1527">
      <c r="A1527" s="2" t="s">
        <v>5716</v>
      </c>
      <c r="B1527" s="2" t="s">
        <v>323</v>
      </c>
      <c r="C1527" s="2" t="s">
        <v>853</v>
      </c>
      <c r="D1527" s="2" t="s">
        <v>257</v>
      </c>
      <c r="E1527" s="2" t="s">
        <v>258</v>
      </c>
      <c r="F1527" s="2" t="s">
        <v>501</v>
      </c>
      <c r="G1527" s="2" t="s">
        <v>501</v>
      </c>
      <c r="H1527" s="2" t="s">
        <v>501</v>
      </c>
      <c r="I1527" s="2" t="s">
        <v>5637</v>
      </c>
      <c r="J1527" s="2" t="s">
        <v>270</v>
      </c>
      <c r="K1527" s="2" t="s">
        <v>567</v>
      </c>
      <c r="L1527" s="3">
        <v>18.24</v>
      </c>
      <c r="M1527" s="3">
        <v>19.15</v>
      </c>
      <c r="N1527" s="3">
        <v>39.99</v>
      </c>
      <c r="O1527" s="2" t="s">
        <v>232</v>
      </c>
      <c r="P1527" s="2" t="s">
        <v>233</v>
      </c>
      <c r="Q1527" s="2" t="s">
        <v>234</v>
      </c>
      <c r="R1527" s="2" t="s">
        <v>235</v>
      </c>
      <c r="S1527" s="2" t="s">
        <v>5710</v>
      </c>
      <c r="T1527" s="2" t="s">
        <v>501</v>
      </c>
      <c r="U1527" s="2" t="s">
        <v>235</v>
      </c>
      <c r="V1527" s="2" t="s">
        <v>238</v>
      </c>
      <c r="W1527" s="2" t="s">
        <v>239</v>
      </c>
      <c r="X1527" s="2" t="s">
        <v>235</v>
      </c>
      <c r="Y1527" s="2" t="s">
        <v>240</v>
      </c>
      <c r="Z1527" s="4">
        <v>98</v>
      </c>
      <c r="AA1527" s="4">
        <f>=ROUNDDOWN(33.7931034482759,0)</f>
      </c>
      <c r="AB1527" s="5">
        <v>2.9</v>
      </c>
      <c r="AC1527" s="2" t="s">
        <v>235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235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235</v>
      </c>
      <c r="AW1527" s="8" t="s">
        <v>235</v>
      </c>
      <c r="AX1527" s="4" t="s">
        <v>235</v>
      </c>
      <c r="AY1527" s="8" t="s">
        <v>235</v>
      </c>
      <c r="AZ1527" s="7" t="s">
        <v>235</v>
      </c>
      <c r="BA1527" s="7" t="s">
        <v>235</v>
      </c>
      <c r="BB1527" s="7"/>
      <c r="BC1527" s="4" t="s">
        <v>235</v>
      </c>
      <c r="BD1527" s="8" t="s">
        <v>235</v>
      </c>
      <c r="BE1527" s="4" t="s">
        <v>235</v>
      </c>
      <c r="BF1527" s="8" t="s">
        <v>235</v>
      </c>
      <c r="BG1527" s="7" t="s">
        <v>235</v>
      </c>
      <c r="BH1527" s="7" t="s">
        <v>235</v>
      </c>
      <c r="BI1527" s="7"/>
      <c r="BJ1527" s="4">
        <v>11</v>
      </c>
      <c r="BK1527" s="8">
        <v>255.16</v>
      </c>
      <c r="BL1527" s="2" t="s">
        <v>5717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5639</v>
      </c>
      <c r="BV1527" s="2" t="s">
        <v>243</v>
      </c>
      <c r="BW1527" s="2" t="s">
        <v>235</v>
      </c>
      <c r="BX1527" s="2" t="s">
        <v>244</v>
      </c>
      <c r="BY1527" s="2" t="s">
        <v>245</v>
      </c>
      <c r="BZ1527" s="2" t="s">
        <v>232</v>
      </c>
      <c r="CA1527" s="2" t="s">
        <v>5544</v>
      </c>
      <c r="CB1527" s="2" t="s">
        <v>5718</v>
      </c>
      <c r="CC1527" s="2" t="s">
        <v>248</v>
      </c>
      <c r="CD1527" s="2" t="s">
        <v>248</v>
      </c>
      <c r="CE1527" s="2" t="s">
        <v>235</v>
      </c>
      <c r="CF1527" s="4">
        <v>98</v>
      </c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>
        <v>98</v>
      </c>
      <c r="GE1527" s="4">
        <v>96</v>
      </c>
      <c r="GF1527" s="4">
        <v>94</v>
      </c>
      <c r="GG1527" s="4">
        <v>92</v>
      </c>
      <c r="GH1527" s="4">
        <v>90</v>
      </c>
      <c r="GI1527" s="4">
        <v>88</v>
      </c>
      <c r="GJ1527" s="4">
        <v>86</v>
      </c>
      <c r="GK1527" s="4">
        <v>84</v>
      </c>
      <c r="GL1527" s="4">
        <v>80</v>
      </c>
      <c r="GM1527" s="4">
        <v>77</v>
      </c>
      <c r="GN1527" s="4">
        <v>74</v>
      </c>
      <c r="GO1527" s="4">
        <v>71</v>
      </c>
      <c r="GP1527" s="4">
        <v>68</v>
      </c>
      <c r="GQ1527" s="4">
        <v>62</v>
      </c>
      <c r="GR1527" s="4">
        <v>56</v>
      </c>
      <c r="GS1527" s="4">
        <v>51</v>
      </c>
      <c r="GT1527" s="4">
        <v>48</v>
      </c>
      <c r="GU1527" s="4">
        <v>45</v>
      </c>
      <c r="GV1527" s="4">
        <v>42</v>
      </c>
      <c r="GW1527" s="4">
        <v>39</v>
      </c>
      <c r="GX1527" s="4">
        <v>36</v>
      </c>
      <c r="GY1527" s="4">
        <v>33</v>
      </c>
      <c r="GZ1527" s="4">
        <v>30</v>
      </c>
      <c r="HA1527" s="4">
        <v>27</v>
      </c>
      <c r="HB1527" s="4">
        <v>24</v>
      </c>
      <c r="HC1527" s="4">
        <v>21</v>
      </c>
      <c r="HD1527" s="19">
        <v>49</v>
      </c>
      <c r="HE1527" s="19">
        <v>48</v>
      </c>
      <c r="HF1527" s="19">
        <v>47</v>
      </c>
      <c r="HG1527" s="19">
        <v>46</v>
      </c>
      <c r="HH1527" s="19">
        <v>45</v>
      </c>
      <c r="HI1527" s="19">
        <v>29.3</v>
      </c>
      <c r="HJ1527" s="19">
        <v>28.7</v>
      </c>
      <c r="HK1527" s="19">
        <v>28</v>
      </c>
      <c r="HL1527" s="19">
        <v>26.7</v>
      </c>
      <c r="HM1527" s="19">
        <v>19.3</v>
      </c>
      <c r="HN1527" s="19">
        <v>18.5</v>
      </c>
      <c r="HO1527" s="19">
        <v>14.2</v>
      </c>
      <c r="HP1527" s="19">
        <v>13.6</v>
      </c>
      <c r="HQ1527" s="19">
        <v>15.5</v>
      </c>
      <c r="HR1527" s="19">
        <v>14</v>
      </c>
      <c r="HS1527" s="19">
        <v>17</v>
      </c>
      <c r="HT1527" s="19">
        <v>16</v>
      </c>
      <c r="HU1527" s="19">
        <v>15</v>
      </c>
      <c r="HV1527" s="19">
        <v>14</v>
      </c>
      <c r="HW1527" s="19">
        <v>13</v>
      </c>
      <c r="HX1527" s="19">
        <v>12</v>
      </c>
      <c r="HY1527" s="19">
        <v>11</v>
      </c>
      <c r="HZ1527" s="19">
        <v>10</v>
      </c>
      <c r="IA1527" s="19">
        <v>9</v>
      </c>
      <c r="IB1527" s="19">
        <v>8</v>
      </c>
      <c r="IC1527" s="19">
        <v>7</v>
      </c>
    </row>
    <row r="1528">
      <c r="A1528" s="2" t="s">
        <v>5719</v>
      </c>
      <c r="B1528" s="2" t="s">
        <v>323</v>
      </c>
      <c r="C1528" s="2" t="s">
        <v>853</v>
      </c>
      <c r="D1528" s="2" t="s">
        <v>257</v>
      </c>
      <c r="E1528" s="2" t="s">
        <v>258</v>
      </c>
      <c r="F1528" s="2" t="s">
        <v>501</v>
      </c>
      <c r="G1528" s="2" t="s">
        <v>501</v>
      </c>
      <c r="H1528" s="2" t="s">
        <v>501</v>
      </c>
      <c r="I1528" s="2" t="s">
        <v>5648</v>
      </c>
      <c r="J1528" s="2" t="s">
        <v>394</v>
      </c>
      <c r="K1528" s="2" t="s">
        <v>316</v>
      </c>
      <c r="L1528" s="3">
        <v>12.25</v>
      </c>
      <c r="M1528" s="3">
        <v>12.86</v>
      </c>
      <c r="N1528" s="3">
        <v>29.99</v>
      </c>
      <c r="O1528" s="2" t="s">
        <v>232</v>
      </c>
      <c r="P1528" s="2" t="s">
        <v>233</v>
      </c>
      <c r="Q1528" s="2" t="s">
        <v>234</v>
      </c>
      <c r="R1528" s="2" t="s">
        <v>235</v>
      </c>
      <c r="S1528" s="2" t="s">
        <v>5720</v>
      </c>
      <c r="T1528" s="2" t="s">
        <v>501</v>
      </c>
      <c r="U1528" s="2" t="s">
        <v>264</v>
      </c>
      <c r="V1528" s="2" t="s">
        <v>238</v>
      </c>
      <c r="W1528" s="2" t="s">
        <v>239</v>
      </c>
      <c r="X1528" s="2" t="s">
        <v>682</v>
      </c>
      <c r="Y1528" s="2" t="s">
        <v>5649</v>
      </c>
      <c r="Z1528" s="4">
        <v>185</v>
      </c>
      <c r="AA1528" s="4">
        <f>=ROUNDDOWN(154.166666666667,0)</f>
      </c>
      <c r="AB1528" s="5">
        <v>1.2</v>
      </c>
      <c r="AC1528" s="2" t="s">
        <v>235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235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235</v>
      </c>
      <c r="AW1528" s="8" t="s">
        <v>235</v>
      </c>
      <c r="AX1528" s="4" t="s">
        <v>235</v>
      </c>
      <c r="AY1528" s="8" t="s">
        <v>235</v>
      </c>
      <c r="AZ1528" s="7" t="s">
        <v>235</v>
      </c>
      <c r="BA1528" s="7" t="s">
        <v>235</v>
      </c>
      <c r="BB1528" s="7"/>
      <c r="BC1528" s="4" t="s">
        <v>235</v>
      </c>
      <c r="BD1528" s="8" t="s">
        <v>235</v>
      </c>
      <c r="BE1528" s="4" t="s">
        <v>235</v>
      </c>
      <c r="BF1528" s="8" t="s">
        <v>235</v>
      </c>
      <c r="BG1528" s="7" t="s">
        <v>235</v>
      </c>
      <c r="BH1528" s="7" t="s">
        <v>235</v>
      </c>
      <c r="BI1528" s="7"/>
      <c r="BJ1528" s="4">
        <v>3</v>
      </c>
      <c r="BK1528" s="8">
        <v>42.84</v>
      </c>
      <c r="BL1528" s="2" t="s">
        <v>2305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5650</v>
      </c>
      <c r="BV1528" s="2" t="s">
        <v>243</v>
      </c>
      <c r="BW1528" s="2" t="s">
        <v>235</v>
      </c>
      <c r="BX1528" s="2" t="s">
        <v>244</v>
      </c>
      <c r="BY1528" s="2" t="s">
        <v>245</v>
      </c>
      <c r="BZ1528" s="2" t="s">
        <v>232</v>
      </c>
      <c r="CA1528" s="2" t="s">
        <v>5651</v>
      </c>
      <c r="CB1528" s="2" t="s">
        <v>5721</v>
      </c>
      <c r="CC1528" s="2" t="s">
        <v>248</v>
      </c>
      <c r="CD1528" s="2" t="s">
        <v>248</v>
      </c>
      <c r="CE1528" s="2" t="s">
        <v>235</v>
      </c>
      <c r="CF1528" s="4">
        <v>185</v>
      </c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>
        <v>185</v>
      </c>
      <c r="GE1528" s="4">
        <v>176</v>
      </c>
      <c r="GF1528" s="4">
        <v>174</v>
      </c>
      <c r="GG1528" s="4">
        <v>172</v>
      </c>
      <c r="GH1528" s="4">
        <v>170</v>
      </c>
      <c r="GI1528" s="4">
        <v>168</v>
      </c>
      <c r="GJ1528" s="4">
        <v>164</v>
      </c>
      <c r="GK1528" s="4">
        <v>160</v>
      </c>
      <c r="GL1528" s="4">
        <v>156</v>
      </c>
      <c r="GM1528" s="4">
        <v>154</v>
      </c>
      <c r="GN1528" s="4">
        <v>152</v>
      </c>
      <c r="GO1528" s="4">
        <v>150</v>
      </c>
      <c r="GP1528" s="4">
        <v>148</v>
      </c>
      <c r="GQ1528" s="4">
        <v>144</v>
      </c>
      <c r="GR1528" s="4">
        <v>140</v>
      </c>
      <c r="GS1528" s="4">
        <v>136</v>
      </c>
      <c r="GT1528" s="4">
        <v>134</v>
      </c>
      <c r="GU1528" s="4">
        <v>132</v>
      </c>
      <c r="GV1528" s="4">
        <v>130</v>
      </c>
      <c r="GW1528" s="4">
        <v>128</v>
      </c>
      <c r="GX1528" s="4">
        <v>126</v>
      </c>
      <c r="GY1528" s="4">
        <v>124</v>
      </c>
      <c r="GZ1528" s="4">
        <v>122</v>
      </c>
      <c r="HA1528" s="4">
        <v>120</v>
      </c>
      <c r="HB1528" s="4">
        <v>118</v>
      </c>
      <c r="HC1528" s="4">
        <v>116</v>
      </c>
      <c r="HD1528" s="19">
        <v>46.3</v>
      </c>
      <c r="HE1528" s="19">
        <v>88</v>
      </c>
      <c r="HF1528" s="19">
        <v>87</v>
      </c>
      <c r="HG1528" s="19">
        <v>57.3</v>
      </c>
      <c r="HH1528" s="19">
        <v>42.5</v>
      </c>
      <c r="HI1528" s="19">
        <v>42</v>
      </c>
      <c r="HJ1528" s="19">
        <v>54.7</v>
      </c>
      <c r="HK1528" s="19">
        <v>80</v>
      </c>
      <c r="HL1528" s="19">
        <v>78</v>
      </c>
      <c r="HM1528" s="19">
        <v>77</v>
      </c>
      <c r="HN1528" s="19">
        <v>50.7</v>
      </c>
      <c r="HO1528" s="19">
        <v>37.5</v>
      </c>
      <c r="HP1528" s="19">
        <v>37</v>
      </c>
      <c r="HQ1528" s="19">
        <v>48</v>
      </c>
      <c r="HR1528" s="19">
        <v>70</v>
      </c>
      <c r="HS1528" s="19">
        <v>68</v>
      </c>
      <c r="HT1528" s="19">
        <v>67</v>
      </c>
      <c r="HU1528" s="19">
        <v>66</v>
      </c>
      <c r="HV1528" s="19">
        <v>65</v>
      </c>
      <c r="HW1528" s="19">
        <v>64</v>
      </c>
      <c r="HX1528" s="19">
        <v>63</v>
      </c>
      <c r="HY1528" s="19">
        <v>62</v>
      </c>
      <c r="HZ1528" s="19">
        <v>61</v>
      </c>
      <c r="IA1528" s="19">
        <v>60</v>
      </c>
      <c r="IB1528" s="19">
        <v>59</v>
      </c>
      <c r="IC1528" s="19">
        <v>58</v>
      </c>
    </row>
    <row r="1529">
      <c r="A1529" s="2" t="s">
        <v>5722</v>
      </c>
      <c r="B1529" s="2" t="s">
        <v>323</v>
      </c>
      <c r="C1529" s="2" t="s">
        <v>853</v>
      </c>
      <c r="D1529" s="2" t="s">
        <v>257</v>
      </c>
      <c r="E1529" s="2" t="s">
        <v>258</v>
      </c>
      <c r="F1529" s="2" t="s">
        <v>501</v>
      </c>
      <c r="G1529" s="2" t="s">
        <v>501</v>
      </c>
      <c r="H1529" s="2" t="s">
        <v>501</v>
      </c>
      <c r="I1529" s="2" t="s">
        <v>5637</v>
      </c>
      <c r="J1529" s="2" t="s">
        <v>230</v>
      </c>
      <c r="K1529" s="2" t="s">
        <v>316</v>
      </c>
      <c r="L1529" s="3">
        <v>12.27</v>
      </c>
      <c r="M1529" s="3">
        <v>12.88</v>
      </c>
      <c r="N1529" s="3">
        <v>29.99</v>
      </c>
      <c r="O1529" s="2" t="s">
        <v>232</v>
      </c>
      <c r="P1529" s="2" t="s">
        <v>233</v>
      </c>
      <c r="Q1529" s="2" t="s">
        <v>234</v>
      </c>
      <c r="R1529" s="2" t="s">
        <v>235</v>
      </c>
      <c r="S1529" s="2" t="s">
        <v>5720</v>
      </c>
      <c r="T1529" s="2" t="s">
        <v>501</v>
      </c>
      <c r="U1529" s="2" t="s">
        <v>235</v>
      </c>
      <c r="V1529" s="2" t="s">
        <v>238</v>
      </c>
      <c r="W1529" s="2" t="s">
        <v>239</v>
      </c>
      <c r="X1529" s="2" t="s">
        <v>235</v>
      </c>
      <c r="Y1529" s="2" t="s">
        <v>240</v>
      </c>
      <c r="Z1529" s="4">
        <v>211</v>
      </c>
      <c r="AA1529" s="4">
        <f>=ROUNDDOWN(91.7391304347826,0)</f>
      </c>
      <c r="AB1529" s="5">
        <v>2.3</v>
      </c>
      <c r="AC1529" s="2" t="s">
        <v>235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235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235</v>
      </c>
      <c r="AW1529" s="8" t="s">
        <v>235</v>
      </c>
      <c r="AX1529" s="4" t="s">
        <v>235</v>
      </c>
      <c r="AY1529" s="8" t="s">
        <v>235</v>
      </c>
      <c r="AZ1529" s="7" t="s">
        <v>235</v>
      </c>
      <c r="BA1529" s="7" t="s">
        <v>235</v>
      </c>
      <c r="BB1529" s="7" t="s">
        <v>235</v>
      </c>
      <c r="BC1529" s="4" t="s">
        <v>235</v>
      </c>
      <c r="BD1529" s="8" t="s">
        <v>235</v>
      </c>
      <c r="BE1529" s="4" t="s">
        <v>235</v>
      </c>
      <c r="BF1529" s="8" t="s">
        <v>235</v>
      </c>
      <c r="BG1529" s="7" t="s">
        <v>235</v>
      </c>
      <c r="BH1529" s="7" t="s">
        <v>235</v>
      </c>
      <c r="BI1529" s="7"/>
      <c r="BJ1529" s="4">
        <v>25</v>
      </c>
      <c r="BK1529" s="8">
        <v>343.59</v>
      </c>
      <c r="BL1529" s="2" t="s">
        <v>5723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5639</v>
      </c>
      <c r="BV1529" s="2" t="s">
        <v>243</v>
      </c>
      <c r="BW1529" s="2" t="s">
        <v>235</v>
      </c>
      <c r="BX1529" s="2" t="s">
        <v>244</v>
      </c>
      <c r="BY1529" s="2" t="s">
        <v>245</v>
      </c>
      <c r="BZ1529" s="2" t="s">
        <v>232</v>
      </c>
      <c r="CA1529" s="2" t="s">
        <v>252</v>
      </c>
      <c r="CB1529" s="2" t="s">
        <v>5724</v>
      </c>
      <c r="CC1529" s="2" t="s">
        <v>248</v>
      </c>
      <c r="CD1529" s="2" t="s">
        <v>248</v>
      </c>
      <c r="CE1529" s="2" t="s">
        <v>235</v>
      </c>
      <c r="CF1529" s="4">
        <v>211</v>
      </c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>
        <v>212</v>
      </c>
      <c r="GE1529" s="4">
        <v>210</v>
      </c>
      <c r="GF1529" s="4">
        <v>208</v>
      </c>
      <c r="GG1529" s="4">
        <v>206</v>
      </c>
      <c r="GH1529" s="4">
        <v>204</v>
      </c>
      <c r="GI1529" s="4">
        <v>202</v>
      </c>
      <c r="GJ1529" s="4">
        <v>200</v>
      </c>
      <c r="GK1529" s="4">
        <v>198</v>
      </c>
      <c r="GL1529" s="4">
        <v>196</v>
      </c>
      <c r="GM1529" s="4">
        <v>194</v>
      </c>
      <c r="GN1529" s="4">
        <v>192</v>
      </c>
      <c r="GO1529" s="4">
        <v>189</v>
      </c>
      <c r="GP1529" s="4">
        <v>186</v>
      </c>
      <c r="GQ1529" s="4">
        <v>180</v>
      </c>
      <c r="GR1529" s="4">
        <v>172</v>
      </c>
      <c r="GS1529" s="4">
        <v>166</v>
      </c>
      <c r="GT1529" s="4">
        <v>163</v>
      </c>
      <c r="GU1529" s="4">
        <v>160</v>
      </c>
      <c r="GV1529" s="4">
        <v>158</v>
      </c>
      <c r="GW1529" s="4">
        <v>156</v>
      </c>
      <c r="GX1529" s="4">
        <v>154</v>
      </c>
      <c r="GY1529" s="4">
        <v>152</v>
      </c>
      <c r="GZ1529" s="4">
        <v>150</v>
      </c>
      <c r="HA1529" s="4">
        <v>148</v>
      </c>
      <c r="HB1529" s="4">
        <v>146</v>
      </c>
      <c r="HC1529" s="4">
        <v>144</v>
      </c>
      <c r="HD1529" s="19">
        <v>106</v>
      </c>
      <c r="HE1529" s="19">
        <v>105</v>
      </c>
      <c r="HF1529" s="19">
        <v>104</v>
      </c>
      <c r="HG1529" s="19">
        <v>103</v>
      </c>
      <c r="HH1529" s="19">
        <v>102</v>
      </c>
      <c r="HI1529" s="19">
        <v>101</v>
      </c>
      <c r="HJ1529" s="19">
        <v>100</v>
      </c>
      <c r="HK1529" s="19">
        <v>99</v>
      </c>
      <c r="HL1529" s="19">
        <v>98</v>
      </c>
      <c r="HM1529" s="19">
        <v>48.5</v>
      </c>
      <c r="HN1529" s="19">
        <v>38.4</v>
      </c>
      <c r="HO1529" s="19">
        <v>31.5</v>
      </c>
      <c r="HP1529" s="19">
        <v>31</v>
      </c>
      <c r="HQ1529" s="19">
        <v>36</v>
      </c>
      <c r="HR1529" s="19">
        <v>43</v>
      </c>
      <c r="HS1529" s="19">
        <v>83</v>
      </c>
      <c r="HT1529" s="19">
        <v>81.5</v>
      </c>
      <c r="HU1529" s="19">
        <v>80</v>
      </c>
      <c r="HV1529" s="19">
        <v>79</v>
      </c>
      <c r="HW1529" s="19">
        <v>78</v>
      </c>
      <c r="HX1529" s="19">
        <v>77</v>
      </c>
      <c r="HY1529" s="19">
        <v>76</v>
      </c>
      <c r="HZ1529" s="19">
        <v>75</v>
      </c>
      <c r="IA1529" s="19">
        <v>74</v>
      </c>
      <c r="IB1529" s="19">
        <v>73</v>
      </c>
      <c r="IC1529" s="19">
        <v>72</v>
      </c>
    </row>
    <row r="1530">
      <c r="A1530" s="2" t="s">
        <v>5725</v>
      </c>
      <c r="B1530" s="2" t="s">
        <v>323</v>
      </c>
      <c r="C1530" s="2" t="s">
        <v>853</v>
      </c>
      <c r="D1530" s="2" t="s">
        <v>257</v>
      </c>
      <c r="E1530" s="2" t="s">
        <v>258</v>
      </c>
      <c r="F1530" s="2" t="s">
        <v>501</v>
      </c>
      <c r="G1530" s="2" t="s">
        <v>501</v>
      </c>
      <c r="H1530" s="2" t="s">
        <v>501</v>
      </c>
      <c r="I1530" s="2" t="s">
        <v>5648</v>
      </c>
      <c r="J1530" s="2" t="s">
        <v>230</v>
      </c>
      <c r="K1530" s="2" t="s">
        <v>316</v>
      </c>
      <c r="L1530" s="3">
        <v>12.27</v>
      </c>
      <c r="M1530" s="3">
        <v>12.88</v>
      </c>
      <c r="N1530" s="3">
        <v>29.99</v>
      </c>
      <c r="O1530" s="2" t="s">
        <v>232</v>
      </c>
      <c r="P1530" s="2" t="s">
        <v>233</v>
      </c>
      <c r="Q1530" s="2" t="s">
        <v>234</v>
      </c>
      <c r="R1530" s="2" t="s">
        <v>235</v>
      </c>
      <c r="S1530" s="2" t="s">
        <v>5720</v>
      </c>
      <c r="T1530" s="2" t="s">
        <v>501</v>
      </c>
      <c r="U1530" s="2" t="s">
        <v>264</v>
      </c>
      <c r="V1530" s="2" t="s">
        <v>238</v>
      </c>
      <c r="W1530" s="2" t="s">
        <v>239</v>
      </c>
      <c r="X1530" s="2" t="s">
        <v>682</v>
      </c>
      <c r="Y1530" s="2" t="s">
        <v>5649</v>
      </c>
      <c r="Z1530" s="4">
        <v>306</v>
      </c>
      <c r="AA1530" s="4">
        <f>=ROUNDDOWN(153,0)</f>
      </c>
      <c r="AB1530" s="5">
        <v>2</v>
      </c>
      <c r="AC1530" s="2" t="s">
        <v>235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235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235</v>
      </c>
      <c r="AW1530" s="8" t="s">
        <v>235</v>
      </c>
      <c r="AX1530" s="4" t="s">
        <v>235</v>
      </c>
      <c r="AY1530" s="8" t="s">
        <v>235</v>
      </c>
      <c r="AZ1530" s="7" t="s">
        <v>235</v>
      </c>
      <c r="BA1530" s="7" t="s">
        <v>235</v>
      </c>
      <c r="BB1530" s="7" t="s">
        <v>235</v>
      </c>
      <c r="BC1530" s="4" t="s">
        <v>235</v>
      </c>
      <c r="BD1530" s="8" t="s">
        <v>235</v>
      </c>
      <c r="BE1530" s="4" t="s">
        <v>235</v>
      </c>
      <c r="BF1530" s="8" t="s">
        <v>235</v>
      </c>
      <c r="BG1530" s="7" t="s">
        <v>235</v>
      </c>
      <c r="BH1530" s="7" t="s">
        <v>235</v>
      </c>
      <c r="BI1530" s="7"/>
      <c r="BJ1530" s="4">
        <v>21</v>
      </c>
      <c r="BK1530" s="8">
        <v>292.02</v>
      </c>
      <c r="BL1530" s="2" t="s">
        <v>5726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5650</v>
      </c>
      <c r="BV1530" s="2" t="s">
        <v>243</v>
      </c>
      <c r="BW1530" s="2" t="s">
        <v>235</v>
      </c>
      <c r="BX1530" s="2" t="s">
        <v>244</v>
      </c>
      <c r="BY1530" s="2" t="s">
        <v>245</v>
      </c>
      <c r="BZ1530" s="2" t="s">
        <v>232</v>
      </c>
      <c r="CA1530" s="2" t="s">
        <v>5651</v>
      </c>
      <c r="CB1530" s="2" t="s">
        <v>5727</v>
      </c>
      <c r="CC1530" s="2" t="s">
        <v>248</v>
      </c>
      <c r="CD1530" s="2" t="s">
        <v>248</v>
      </c>
      <c r="CE1530" s="2" t="s">
        <v>235</v>
      </c>
      <c r="CF1530" s="4">
        <v>306</v>
      </c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>
        <v>314</v>
      </c>
      <c r="GE1530" s="4">
        <v>301</v>
      </c>
      <c r="GF1530" s="4">
        <v>299</v>
      </c>
      <c r="GG1530" s="4">
        <v>297</v>
      </c>
      <c r="GH1530" s="4">
        <v>295</v>
      </c>
      <c r="GI1530" s="4">
        <v>292</v>
      </c>
      <c r="GJ1530" s="4">
        <v>288</v>
      </c>
      <c r="GK1530" s="4">
        <v>283</v>
      </c>
      <c r="GL1530" s="4">
        <v>279</v>
      </c>
      <c r="GM1530" s="4">
        <v>276</v>
      </c>
      <c r="GN1530" s="4">
        <v>274</v>
      </c>
      <c r="GO1530" s="4">
        <v>272</v>
      </c>
      <c r="GP1530" s="4">
        <v>269</v>
      </c>
      <c r="GQ1530" s="4">
        <v>265</v>
      </c>
      <c r="GR1530" s="4">
        <v>260</v>
      </c>
      <c r="GS1530" s="4">
        <v>256</v>
      </c>
      <c r="GT1530" s="4">
        <v>253</v>
      </c>
      <c r="GU1530" s="4">
        <v>251</v>
      </c>
      <c r="GV1530" s="4">
        <v>249</v>
      </c>
      <c r="GW1530" s="4">
        <v>247</v>
      </c>
      <c r="GX1530" s="4">
        <v>245</v>
      </c>
      <c r="GY1530" s="4">
        <v>243</v>
      </c>
      <c r="GZ1530" s="4">
        <v>241</v>
      </c>
      <c r="HA1530" s="4">
        <v>239</v>
      </c>
      <c r="HB1530" s="4">
        <v>237</v>
      </c>
      <c r="HC1530" s="4">
        <v>235</v>
      </c>
      <c r="HD1530" s="19">
        <v>62.8</v>
      </c>
      <c r="HE1530" s="19">
        <v>150.5</v>
      </c>
      <c r="HF1530" s="19">
        <v>99.7</v>
      </c>
      <c r="HG1530" s="19">
        <v>74.3</v>
      </c>
      <c r="HH1530" s="19">
        <v>73.8</v>
      </c>
      <c r="HI1530" s="19">
        <v>73</v>
      </c>
      <c r="HJ1530" s="19">
        <v>72</v>
      </c>
      <c r="HK1530" s="19">
        <v>94.3</v>
      </c>
      <c r="HL1530" s="19">
        <v>139.5</v>
      </c>
      <c r="HM1530" s="19">
        <v>92</v>
      </c>
      <c r="HN1530" s="19">
        <v>68.5</v>
      </c>
      <c r="HO1530" s="19">
        <v>68</v>
      </c>
      <c r="HP1530" s="19">
        <v>67.3</v>
      </c>
      <c r="HQ1530" s="19">
        <v>66.3</v>
      </c>
      <c r="HR1530" s="19">
        <v>86.7</v>
      </c>
      <c r="HS1530" s="19">
        <v>128</v>
      </c>
      <c r="HT1530" s="19">
        <v>126.5</v>
      </c>
      <c r="HU1530" s="19">
        <v>125.5</v>
      </c>
      <c r="HV1530" s="19">
        <v>124.5</v>
      </c>
      <c r="HW1530" s="19">
        <v>123.5</v>
      </c>
      <c r="HX1530" s="19">
        <v>122.5</v>
      </c>
      <c r="HY1530" s="19">
        <v>121.5</v>
      </c>
      <c r="HZ1530" s="19">
        <v>120.5</v>
      </c>
      <c r="IA1530" s="19">
        <v>119.5</v>
      </c>
      <c r="IB1530" s="19">
        <v>118.5</v>
      </c>
      <c r="IC1530" s="19">
        <v>117.5</v>
      </c>
    </row>
    <row r="1531">
      <c r="A1531" s="2" t="s">
        <v>5728</v>
      </c>
      <c r="B1531" s="2" t="s">
        <v>323</v>
      </c>
      <c r="C1531" s="2" t="s">
        <v>853</v>
      </c>
      <c r="D1531" s="2" t="s">
        <v>257</v>
      </c>
      <c r="E1531" s="2" t="s">
        <v>258</v>
      </c>
      <c r="F1531" s="2" t="s">
        <v>501</v>
      </c>
      <c r="G1531" s="2" t="s">
        <v>501</v>
      </c>
      <c r="H1531" s="2" t="s">
        <v>501</v>
      </c>
      <c r="I1531" s="2" t="s">
        <v>5637</v>
      </c>
      <c r="J1531" s="2" t="s">
        <v>250</v>
      </c>
      <c r="K1531" s="2" t="s">
        <v>316</v>
      </c>
      <c r="L1531" s="3">
        <v>14.23</v>
      </c>
      <c r="M1531" s="3">
        <v>14.94</v>
      </c>
      <c r="N1531" s="3">
        <v>34.99</v>
      </c>
      <c r="O1531" s="2" t="s">
        <v>232</v>
      </c>
      <c r="P1531" s="2" t="s">
        <v>233</v>
      </c>
      <c r="Q1531" s="2" t="s">
        <v>234</v>
      </c>
      <c r="R1531" s="2" t="s">
        <v>235</v>
      </c>
      <c r="S1531" s="2" t="s">
        <v>5720</v>
      </c>
      <c r="T1531" s="2" t="s">
        <v>501</v>
      </c>
      <c r="U1531" s="2" t="s">
        <v>235</v>
      </c>
      <c r="V1531" s="2" t="s">
        <v>238</v>
      </c>
      <c r="W1531" s="2" t="s">
        <v>239</v>
      </c>
      <c r="X1531" s="2" t="s">
        <v>235</v>
      </c>
      <c r="Y1531" s="2" t="s">
        <v>240</v>
      </c>
      <c r="Z1531" s="4">
        <v>126</v>
      </c>
      <c r="AA1531" s="4">
        <f>=ROUNDDOWN(15.9493670886076,0)</f>
      </c>
      <c r="AB1531" s="5">
        <v>7.9</v>
      </c>
      <c r="AC1531" s="2" t="s">
        <v>574</v>
      </c>
      <c r="AD1531" s="4">
        <v>150</v>
      </c>
      <c r="AE1531" s="4">
        <v>150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235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235</v>
      </c>
      <c r="AW1531" s="8" t="s">
        <v>235</v>
      </c>
      <c r="AX1531" s="4" t="s">
        <v>235</v>
      </c>
      <c r="AY1531" s="8" t="s">
        <v>235</v>
      </c>
      <c r="AZ1531" s="7" t="s">
        <v>235</v>
      </c>
      <c r="BA1531" s="7" t="s">
        <v>235</v>
      </c>
      <c r="BB1531" s="7" t="s">
        <v>235</v>
      </c>
      <c r="BC1531" s="4" t="s">
        <v>235</v>
      </c>
      <c r="BD1531" s="8" t="s">
        <v>235</v>
      </c>
      <c r="BE1531" s="4" t="s">
        <v>235</v>
      </c>
      <c r="BF1531" s="8" t="s">
        <v>235</v>
      </c>
      <c r="BG1531" s="7" t="s">
        <v>235</v>
      </c>
      <c r="BH1531" s="7" t="s">
        <v>235</v>
      </c>
      <c r="BI1531" s="7"/>
      <c r="BJ1531" s="4">
        <v>54</v>
      </c>
      <c r="BK1531" s="8">
        <v>892.42</v>
      </c>
      <c r="BL1531" s="2" t="s">
        <v>5729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5639</v>
      </c>
      <c r="BV1531" s="2" t="s">
        <v>243</v>
      </c>
      <c r="BW1531" s="2" t="s">
        <v>235</v>
      </c>
      <c r="BX1531" s="2" t="s">
        <v>244</v>
      </c>
      <c r="BY1531" s="2" t="s">
        <v>245</v>
      </c>
      <c r="BZ1531" s="2" t="s">
        <v>232</v>
      </c>
      <c r="CA1531" s="2" t="s">
        <v>252</v>
      </c>
      <c r="CB1531" s="2" t="s">
        <v>603</v>
      </c>
      <c r="CC1531" s="2" t="s">
        <v>248</v>
      </c>
      <c r="CD1531" s="2" t="s">
        <v>248</v>
      </c>
      <c r="CE1531" s="2" t="s">
        <v>235</v>
      </c>
      <c r="CF1531" s="4">
        <v>126</v>
      </c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>
        <v>150</v>
      </c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>
        <v>126</v>
      </c>
      <c r="GE1531" s="4">
        <v>119</v>
      </c>
      <c r="GF1531" s="4">
        <v>113</v>
      </c>
      <c r="GG1531" s="4">
        <v>107</v>
      </c>
      <c r="GH1531" s="4">
        <v>100</v>
      </c>
      <c r="GI1531" s="4">
        <v>91</v>
      </c>
      <c r="GJ1531" s="4">
        <v>79</v>
      </c>
      <c r="GK1531" s="4">
        <v>67</v>
      </c>
      <c r="GL1531" s="4">
        <v>56</v>
      </c>
      <c r="GM1531" s="4">
        <v>197</v>
      </c>
      <c r="GN1531" s="4">
        <v>189</v>
      </c>
      <c r="GO1531" s="4">
        <v>180</v>
      </c>
      <c r="GP1531" s="4">
        <v>170</v>
      </c>
      <c r="GQ1531" s="4">
        <v>151</v>
      </c>
      <c r="GR1531" s="4">
        <v>132</v>
      </c>
      <c r="GS1531" s="4">
        <v>116</v>
      </c>
      <c r="GT1531" s="4">
        <v>106</v>
      </c>
      <c r="GU1531" s="4">
        <v>98</v>
      </c>
      <c r="GV1531" s="4">
        <v>90</v>
      </c>
      <c r="GW1531" s="4">
        <v>82</v>
      </c>
      <c r="GX1531" s="4">
        <v>74</v>
      </c>
      <c r="GY1531" s="4">
        <v>66</v>
      </c>
      <c r="GZ1531" s="4">
        <v>58</v>
      </c>
      <c r="HA1531" s="4">
        <v>50</v>
      </c>
      <c r="HB1531" s="4">
        <v>42</v>
      </c>
      <c r="HC1531" s="4">
        <v>33</v>
      </c>
      <c r="HD1531" s="19">
        <v>21</v>
      </c>
      <c r="HE1531" s="19">
        <v>17</v>
      </c>
      <c r="HF1531" s="19">
        <v>14.1</v>
      </c>
      <c r="HG1531" s="19">
        <v>10.7</v>
      </c>
      <c r="HH1531" s="19">
        <v>9.1</v>
      </c>
      <c r="HI1531" s="19">
        <v>8.3</v>
      </c>
      <c r="HJ1531" s="19">
        <v>7.9</v>
      </c>
      <c r="HK1531" s="19">
        <v>7.4</v>
      </c>
      <c r="HL1531" s="19">
        <v>6.2</v>
      </c>
      <c r="HM1531" s="19">
        <v>16.4</v>
      </c>
      <c r="HN1531" s="19">
        <v>13.5</v>
      </c>
      <c r="HO1531" s="19">
        <v>11.3</v>
      </c>
      <c r="HP1531" s="19">
        <v>10.6</v>
      </c>
      <c r="HQ1531" s="19">
        <v>11.6</v>
      </c>
      <c r="HR1531" s="19">
        <v>13.2</v>
      </c>
      <c r="HS1531" s="19">
        <v>14.5</v>
      </c>
      <c r="HT1531" s="19">
        <v>13.3</v>
      </c>
      <c r="HU1531" s="19">
        <v>12.3</v>
      </c>
      <c r="HV1531" s="19">
        <v>11.3</v>
      </c>
      <c r="HW1531" s="19">
        <v>10.3</v>
      </c>
      <c r="HX1531" s="19">
        <v>9.3</v>
      </c>
      <c r="HY1531" s="19">
        <v>8.3</v>
      </c>
      <c r="HZ1531" s="19">
        <v>7.3</v>
      </c>
      <c r="IA1531" s="19">
        <v>6.3</v>
      </c>
      <c r="IB1531" s="19">
        <v>5.3</v>
      </c>
      <c r="IC1531" s="19">
        <v>4.1</v>
      </c>
    </row>
    <row r="1532">
      <c r="A1532" s="2" t="s">
        <v>5730</v>
      </c>
      <c r="B1532" s="2" t="s">
        <v>323</v>
      </c>
      <c r="C1532" s="2" t="s">
        <v>853</v>
      </c>
      <c r="D1532" s="2" t="s">
        <v>257</v>
      </c>
      <c r="E1532" s="2" t="s">
        <v>258</v>
      </c>
      <c r="F1532" s="2" t="s">
        <v>501</v>
      </c>
      <c r="G1532" s="2" t="s">
        <v>501</v>
      </c>
      <c r="H1532" s="2" t="s">
        <v>501</v>
      </c>
      <c r="I1532" s="2" t="s">
        <v>5648</v>
      </c>
      <c r="J1532" s="2" t="s">
        <v>250</v>
      </c>
      <c r="K1532" s="2" t="s">
        <v>316</v>
      </c>
      <c r="L1532" s="3">
        <v>14.23</v>
      </c>
      <c r="M1532" s="3">
        <v>14.94</v>
      </c>
      <c r="N1532" s="3">
        <v>34.99</v>
      </c>
      <c r="O1532" s="2" t="s">
        <v>232</v>
      </c>
      <c r="P1532" s="2" t="s">
        <v>233</v>
      </c>
      <c r="Q1532" s="2" t="s">
        <v>234</v>
      </c>
      <c r="R1532" s="2" t="s">
        <v>235</v>
      </c>
      <c r="S1532" s="2" t="s">
        <v>5720</v>
      </c>
      <c r="T1532" s="2" t="s">
        <v>501</v>
      </c>
      <c r="U1532" s="2" t="s">
        <v>614</v>
      </c>
      <c r="V1532" s="2" t="s">
        <v>238</v>
      </c>
      <c r="W1532" s="2" t="s">
        <v>239</v>
      </c>
      <c r="X1532" s="2" t="s">
        <v>682</v>
      </c>
      <c r="Y1532" s="2" t="s">
        <v>5649</v>
      </c>
      <c r="Z1532" s="4">
        <v>173</v>
      </c>
      <c r="AA1532" s="4">
        <f>=ROUNDDOWN(96.1111111111111,0)</f>
      </c>
      <c r="AB1532" s="5">
        <v>1.8</v>
      </c>
      <c r="AC1532" s="2" t="s">
        <v>235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235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235</v>
      </c>
      <c r="AW1532" s="8" t="s">
        <v>235</v>
      </c>
      <c r="AX1532" s="4" t="s">
        <v>235</v>
      </c>
      <c r="AY1532" s="8" t="s">
        <v>235</v>
      </c>
      <c r="AZ1532" s="7" t="s">
        <v>235</v>
      </c>
      <c r="BA1532" s="7" t="s">
        <v>235</v>
      </c>
      <c r="BB1532" s="7" t="s">
        <v>235</v>
      </c>
      <c r="BC1532" s="4" t="s">
        <v>235</v>
      </c>
      <c r="BD1532" s="8" t="s">
        <v>235</v>
      </c>
      <c r="BE1532" s="4" t="s">
        <v>235</v>
      </c>
      <c r="BF1532" s="8" t="s">
        <v>235</v>
      </c>
      <c r="BG1532" s="7" t="s">
        <v>235</v>
      </c>
      <c r="BH1532" s="7" t="s">
        <v>235</v>
      </c>
      <c r="BI1532" s="7"/>
      <c r="BJ1532" s="4">
        <v>7</v>
      </c>
      <c r="BK1532" s="8">
        <v>124.63</v>
      </c>
      <c r="BL1532" s="2" t="s">
        <v>5731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5650</v>
      </c>
      <c r="BV1532" s="2" t="s">
        <v>243</v>
      </c>
      <c r="BW1532" s="2" t="s">
        <v>235</v>
      </c>
      <c r="BX1532" s="2" t="s">
        <v>244</v>
      </c>
      <c r="BY1532" s="2" t="s">
        <v>245</v>
      </c>
      <c r="BZ1532" s="2" t="s">
        <v>232</v>
      </c>
      <c r="CA1532" s="2" t="s">
        <v>5651</v>
      </c>
      <c r="CB1532" s="2" t="s">
        <v>5732</v>
      </c>
      <c r="CC1532" s="2" t="s">
        <v>248</v>
      </c>
      <c r="CD1532" s="2" t="s">
        <v>248</v>
      </c>
      <c r="CE1532" s="2" t="s">
        <v>235</v>
      </c>
      <c r="CF1532" s="4">
        <v>173</v>
      </c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>
        <v>173</v>
      </c>
      <c r="GE1532" s="4">
        <v>164</v>
      </c>
      <c r="GF1532" s="4">
        <v>162</v>
      </c>
      <c r="GG1532" s="4">
        <v>160</v>
      </c>
      <c r="GH1532" s="4">
        <v>158</v>
      </c>
      <c r="GI1532" s="4">
        <v>156</v>
      </c>
      <c r="GJ1532" s="4">
        <v>152</v>
      </c>
      <c r="GK1532" s="4">
        <v>148</v>
      </c>
      <c r="GL1532" s="4">
        <v>145</v>
      </c>
      <c r="GM1532" s="4">
        <v>143</v>
      </c>
      <c r="GN1532" s="4">
        <v>141</v>
      </c>
      <c r="GO1532" s="4">
        <v>139</v>
      </c>
      <c r="GP1532" s="4">
        <v>137</v>
      </c>
      <c r="GQ1532" s="4">
        <v>133</v>
      </c>
      <c r="GR1532" s="4">
        <v>129</v>
      </c>
      <c r="GS1532" s="4">
        <v>126</v>
      </c>
      <c r="GT1532" s="4">
        <v>124</v>
      </c>
      <c r="GU1532" s="4">
        <v>122</v>
      </c>
      <c r="GV1532" s="4">
        <v>120</v>
      </c>
      <c r="GW1532" s="4">
        <v>118</v>
      </c>
      <c r="GX1532" s="4">
        <v>116</v>
      </c>
      <c r="GY1532" s="4">
        <v>114</v>
      </c>
      <c r="GZ1532" s="4">
        <v>112</v>
      </c>
      <c r="HA1532" s="4">
        <v>110</v>
      </c>
      <c r="HB1532" s="4">
        <v>108</v>
      </c>
      <c r="HC1532" s="4">
        <v>106</v>
      </c>
      <c r="HD1532" s="19">
        <v>43.3</v>
      </c>
      <c r="HE1532" s="19">
        <v>82</v>
      </c>
      <c r="HF1532" s="19">
        <v>81</v>
      </c>
      <c r="HG1532" s="19">
        <v>53.3</v>
      </c>
      <c r="HH1532" s="19">
        <v>52.7</v>
      </c>
      <c r="HI1532" s="19">
        <v>52</v>
      </c>
      <c r="HJ1532" s="19">
        <v>50.7</v>
      </c>
      <c r="HK1532" s="19">
        <v>74</v>
      </c>
      <c r="HL1532" s="19">
        <v>72.5</v>
      </c>
      <c r="HM1532" s="19">
        <v>71.5</v>
      </c>
      <c r="HN1532" s="19">
        <v>47</v>
      </c>
      <c r="HO1532" s="19">
        <v>46.3</v>
      </c>
      <c r="HP1532" s="19">
        <v>45.7</v>
      </c>
      <c r="HQ1532" s="19">
        <v>44.3</v>
      </c>
      <c r="HR1532" s="19">
        <v>64.5</v>
      </c>
      <c r="HS1532" s="19">
        <v>63</v>
      </c>
      <c r="HT1532" s="19">
        <v>62</v>
      </c>
      <c r="HU1532" s="19">
        <v>61</v>
      </c>
      <c r="HV1532" s="19">
        <v>60</v>
      </c>
      <c r="HW1532" s="19">
        <v>59</v>
      </c>
      <c r="HX1532" s="19">
        <v>58</v>
      </c>
      <c r="HY1532" s="19">
        <v>57</v>
      </c>
      <c r="HZ1532" s="19">
        <v>56</v>
      </c>
      <c r="IA1532" s="19">
        <v>55</v>
      </c>
      <c r="IB1532" s="19">
        <v>54</v>
      </c>
      <c r="IC1532" s="19">
        <v>53</v>
      </c>
    </row>
    <row r="1533">
      <c r="A1533" s="2" t="s">
        <v>5733</v>
      </c>
      <c r="B1533" s="2" t="s">
        <v>323</v>
      </c>
      <c r="C1533" s="2" t="s">
        <v>853</v>
      </c>
      <c r="D1533" s="2" t="s">
        <v>257</v>
      </c>
      <c r="E1533" s="2" t="s">
        <v>258</v>
      </c>
      <c r="F1533" s="2" t="s">
        <v>501</v>
      </c>
      <c r="G1533" s="2" t="s">
        <v>501</v>
      </c>
      <c r="H1533" s="2" t="s">
        <v>501</v>
      </c>
      <c r="I1533" s="2" t="s">
        <v>5637</v>
      </c>
      <c r="J1533" s="2" t="s">
        <v>261</v>
      </c>
      <c r="K1533" s="2" t="s">
        <v>316</v>
      </c>
      <c r="L1533" s="3">
        <v>15.55</v>
      </c>
      <c r="M1533" s="3">
        <v>16.33</v>
      </c>
      <c r="N1533" s="3">
        <v>34.99</v>
      </c>
      <c r="O1533" s="2" t="s">
        <v>232</v>
      </c>
      <c r="P1533" s="2" t="s">
        <v>233</v>
      </c>
      <c r="Q1533" s="2" t="s">
        <v>234</v>
      </c>
      <c r="R1533" s="2" t="s">
        <v>235</v>
      </c>
      <c r="S1533" s="2" t="s">
        <v>5720</v>
      </c>
      <c r="T1533" s="2" t="s">
        <v>501</v>
      </c>
      <c r="U1533" s="2" t="s">
        <v>235</v>
      </c>
      <c r="V1533" s="2" t="s">
        <v>238</v>
      </c>
      <c r="W1533" s="2" t="s">
        <v>239</v>
      </c>
      <c r="X1533" s="2" t="s">
        <v>235</v>
      </c>
      <c r="Y1533" s="2" t="s">
        <v>240</v>
      </c>
      <c r="Z1533" s="4">
        <v>887</v>
      </c>
      <c r="AA1533" s="4">
        <f>=ROUNDDOWN(100.795454545455,0)</f>
      </c>
      <c r="AB1533" s="5">
        <v>8.8</v>
      </c>
      <c r="AC1533" s="2" t="s">
        <v>235</v>
      </c>
      <c r="AD1533" s="4"/>
      <c r="AE1533" s="4"/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235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235</v>
      </c>
      <c r="AW1533" s="8" t="s">
        <v>235</v>
      </c>
      <c r="AX1533" s="4" t="s">
        <v>235</v>
      </c>
      <c r="AY1533" s="8" t="s">
        <v>235</v>
      </c>
      <c r="AZ1533" s="7" t="s">
        <v>235</v>
      </c>
      <c r="BA1533" s="7" t="s">
        <v>235</v>
      </c>
      <c r="BB1533" s="7" t="s">
        <v>235</v>
      </c>
      <c r="BC1533" s="4" t="s">
        <v>235</v>
      </c>
      <c r="BD1533" s="8" t="s">
        <v>235</v>
      </c>
      <c r="BE1533" s="4" t="s">
        <v>235</v>
      </c>
      <c r="BF1533" s="8" t="s">
        <v>235</v>
      </c>
      <c r="BG1533" s="7" t="s">
        <v>235</v>
      </c>
      <c r="BH1533" s="7" t="s">
        <v>235</v>
      </c>
      <c r="BI1533" s="7"/>
      <c r="BJ1533" s="4">
        <v>44</v>
      </c>
      <c r="BK1533" s="8">
        <v>814.8</v>
      </c>
      <c r="BL1533" s="2" t="s">
        <v>5734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5639</v>
      </c>
      <c r="BV1533" s="2" t="s">
        <v>243</v>
      </c>
      <c r="BW1533" s="2" t="s">
        <v>235</v>
      </c>
      <c r="BX1533" s="2" t="s">
        <v>244</v>
      </c>
      <c r="BY1533" s="2" t="s">
        <v>245</v>
      </c>
      <c r="BZ1533" s="2" t="s">
        <v>232</v>
      </c>
      <c r="CA1533" s="2" t="s">
        <v>252</v>
      </c>
      <c r="CB1533" s="2" t="s">
        <v>5703</v>
      </c>
      <c r="CC1533" s="2" t="s">
        <v>248</v>
      </c>
      <c r="CD1533" s="2" t="s">
        <v>248</v>
      </c>
      <c r="CE1533" s="2" t="s">
        <v>235</v>
      </c>
      <c r="CF1533" s="4">
        <v>887</v>
      </c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>
        <v>890</v>
      </c>
      <c r="GE1533" s="4">
        <v>870</v>
      </c>
      <c r="GF1533" s="4">
        <v>861</v>
      </c>
      <c r="GG1533" s="4">
        <v>852</v>
      </c>
      <c r="GH1533" s="4">
        <v>843</v>
      </c>
      <c r="GI1533" s="4">
        <v>834</v>
      </c>
      <c r="GJ1533" s="4">
        <v>823</v>
      </c>
      <c r="GK1533" s="4">
        <v>812</v>
      </c>
      <c r="GL1533" s="4">
        <v>802</v>
      </c>
      <c r="GM1533" s="4">
        <v>793</v>
      </c>
      <c r="GN1533" s="4">
        <v>784</v>
      </c>
      <c r="GO1533" s="4">
        <v>774</v>
      </c>
      <c r="GP1533" s="4">
        <v>763</v>
      </c>
      <c r="GQ1533" s="4">
        <v>741</v>
      </c>
      <c r="GR1533" s="4">
        <v>718</v>
      </c>
      <c r="GS1533" s="4">
        <v>699</v>
      </c>
      <c r="GT1533" s="4">
        <v>688</v>
      </c>
      <c r="GU1533" s="4">
        <v>679</v>
      </c>
      <c r="GV1533" s="4">
        <v>670</v>
      </c>
      <c r="GW1533" s="4">
        <v>661</v>
      </c>
      <c r="GX1533" s="4">
        <v>652</v>
      </c>
      <c r="GY1533" s="4">
        <v>643</v>
      </c>
      <c r="GZ1533" s="4">
        <v>634</v>
      </c>
      <c r="HA1533" s="4">
        <v>625</v>
      </c>
      <c r="HB1533" s="4">
        <v>616</v>
      </c>
      <c r="HC1533" s="4">
        <v>605</v>
      </c>
      <c r="HD1533" s="19">
        <v>74.2</v>
      </c>
      <c r="HE1533" s="19">
        <v>96.7</v>
      </c>
      <c r="HF1533" s="19">
        <v>86.1</v>
      </c>
      <c r="HG1533" s="19">
        <v>85.2</v>
      </c>
      <c r="HH1533" s="19">
        <v>84.3</v>
      </c>
      <c r="HI1533" s="19">
        <v>83.4</v>
      </c>
      <c r="HJ1533" s="19">
        <v>82.3</v>
      </c>
      <c r="HK1533" s="19">
        <v>81.2</v>
      </c>
      <c r="HL1533" s="19">
        <v>80.2</v>
      </c>
      <c r="HM1533" s="19">
        <v>61</v>
      </c>
      <c r="HN1533" s="19">
        <v>49</v>
      </c>
      <c r="HO1533" s="19">
        <v>40.7</v>
      </c>
      <c r="HP1533" s="19">
        <v>40.2</v>
      </c>
      <c r="HQ1533" s="19">
        <v>46.3</v>
      </c>
      <c r="HR1533" s="19">
        <v>59.8</v>
      </c>
      <c r="HS1533" s="19">
        <v>69.9</v>
      </c>
      <c r="HT1533" s="19">
        <v>76.4</v>
      </c>
      <c r="HU1533" s="19">
        <v>75.4</v>
      </c>
      <c r="HV1533" s="19">
        <v>74.4</v>
      </c>
      <c r="HW1533" s="19">
        <v>73.4</v>
      </c>
      <c r="HX1533" s="19">
        <v>72.4</v>
      </c>
      <c r="HY1533" s="19">
        <v>64.3</v>
      </c>
      <c r="HZ1533" s="19">
        <v>63.4</v>
      </c>
      <c r="IA1533" s="19">
        <v>62.5</v>
      </c>
      <c r="IB1533" s="19">
        <v>61.6</v>
      </c>
      <c r="IC1533" s="19">
        <v>67.2</v>
      </c>
    </row>
    <row r="1534">
      <c r="A1534" s="2" t="s">
        <v>5735</v>
      </c>
      <c r="B1534" s="2" t="s">
        <v>323</v>
      </c>
      <c r="C1534" s="2" t="s">
        <v>853</v>
      </c>
      <c r="D1534" s="2" t="s">
        <v>257</v>
      </c>
      <c r="E1534" s="2" t="s">
        <v>258</v>
      </c>
      <c r="F1534" s="2" t="s">
        <v>501</v>
      </c>
      <c r="G1534" s="2" t="s">
        <v>501</v>
      </c>
      <c r="H1534" s="2" t="s">
        <v>501</v>
      </c>
      <c r="I1534" s="2" t="s">
        <v>5648</v>
      </c>
      <c r="J1534" s="2" t="s">
        <v>261</v>
      </c>
      <c r="K1534" s="2" t="s">
        <v>316</v>
      </c>
      <c r="L1534" s="3">
        <v>15.55</v>
      </c>
      <c r="M1534" s="3">
        <v>16.33</v>
      </c>
      <c r="N1534" s="3">
        <v>34.99</v>
      </c>
      <c r="O1534" s="2" t="s">
        <v>232</v>
      </c>
      <c r="P1534" s="2" t="s">
        <v>233</v>
      </c>
      <c r="Q1534" s="2" t="s">
        <v>234</v>
      </c>
      <c r="R1534" s="2" t="s">
        <v>235</v>
      </c>
      <c r="S1534" s="2" t="s">
        <v>5720</v>
      </c>
      <c r="T1534" s="2" t="s">
        <v>501</v>
      </c>
      <c r="U1534" s="2" t="s">
        <v>614</v>
      </c>
      <c r="V1534" s="2" t="s">
        <v>238</v>
      </c>
      <c r="W1534" s="2" t="s">
        <v>239</v>
      </c>
      <c r="X1534" s="2" t="s">
        <v>682</v>
      </c>
      <c r="Y1534" s="2" t="s">
        <v>5649</v>
      </c>
      <c r="Z1534" s="4">
        <v>411</v>
      </c>
      <c r="AA1534" s="4">
        <f>=ROUNDDOWN(241.764705882353,0)</f>
      </c>
      <c r="AB1534" s="5">
        <v>1.7</v>
      </c>
      <c r="AC1534" s="2" t="s">
        <v>235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235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235</v>
      </c>
      <c r="AW1534" s="8" t="s">
        <v>235</v>
      </c>
      <c r="AX1534" s="4" t="s">
        <v>235</v>
      </c>
      <c r="AY1534" s="8" t="s">
        <v>235</v>
      </c>
      <c r="AZ1534" s="7" t="s">
        <v>235</v>
      </c>
      <c r="BA1534" s="7" t="s">
        <v>235</v>
      </c>
      <c r="BB1534" s="7" t="s">
        <v>235</v>
      </c>
      <c r="BC1534" s="4" t="s">
        <v>235</v>
      </c>
      <c r="BD1534" s="8" t="s">
        <v>235</v>
      </c>
      <c r="BE1534" s="4" t="s">
        <v>235</v>
      </c>
      <c r="BF1534" s="8" t="s">
        <v>235</v>
      </c>
      <c r="BG1534" s="7" t="s">
        <v>235</v>
      </c>
      <c r="BH1534" s="7" t="s">
        <v>235</v>
      </c>
      <c r="BI1534" s="7"/>
      <c r="BJ1534" s="4">
        <v>7</v>
      </c>
      <c r="BK1534" s="8">
        <v>118.09</v>
      </c>
      <c r="BL1534" s="2" t="s">
        <v>5736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5650</v>
      </c>
      <c r="BV1534" s="2" t="s">
        <v>243</v>
      </c>
      <c r="BW1534" s="2" t="s">
        <v>235</v>
      </c>
      <c r="BX1534" s="2" t="s">
        <v>244</v>
      </c>
      <c r="BY1534" s="2" t="s">
        <v>245</v>
      </c>
      <c r="BZ1534" s="2" t="s">
        <v>232</v>
      </c>
      <c r="CA1534" s="2" t="s">
        <v>5651</v>
      </c>
      <c r="CB1534" s="2" t="s">
        <v>2502</v>
      </c>
      <c r="CC1534" s="2" t="s">
        <v>248</v>
      </c>
      <c r="CD1534" s="2" t="s">
        <v>248</v>
      </c>
      <c r="CE1534" s="2" t="s">
        <v>235</v>
      </c>
      <c r="CF1534" s="4">
        <v>411</v>
      </c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>
        <v>413</v>
      </c>
      <c r="GE1534" s="4">
        <v>409</v>
      </c>
      <c r="GF1534" s="4">
        <v>407</v>
      </c>
      <c r="GG1534" s="4">
        <v>405</v>
      </c>
      <c r="GH1534" s="4">
        <v>403</v>
      </c>
      <c r="GI1534" s="4">
        <v>401</v>
      </c>
      <c r="GJ1534" s="4">
        <v>399</v>
      </c>
      <c r="GK1534" s="4">
        <v>397</v>
      </c>
      <c r="GL1534" s="4">
        <v>395</v>
      </c>
      <c r="GM1534" s="4">
        <v>393</v>
      </c>
      <c r="GN1534" s="4">
        <v>391</v>
      </c>
      <c r="GO1534" s="4">
        <v>389</v>
      </c>
      <c r="GP1534" s="4">
        <v>387</v>
      </c>
      <c r="GQ1534" s="4">
        <v>382</v>
      </c>
      <c r="GR1534" s="4">
        <v>377</v>
      </c>
      <c r="GS1534" s="4">
        <v>373</v>
      </c>
      <c r="GT1534" s="4">
        <v>371</v>
      </c>
      <c r="GU1534" s="4">
        <v>369</v>
      </c>
      <c r="GV1534" s="4">
        <v>367</v>
      </c>
      <c r="GW1534" s="4">
        <v>365</v>
      </c>
      <c r="GX1534" s="4">
        <v>363</v>
      </c>
      <c r="GY1534" s="4">
        <v>361</v>
      </c>
      <c r="GZ1534" s="4">
        <v>359</v>
      </c>
      <c r="HA1534" s="4">
        <v>357</v>
      </c>
      <c r="HB1534" s="4">
        <v>355</v>
      </c>
      <c r="HC1534" s="4">
        <v>353</v>
      </c>
      <c r="HD1534" s="19">
        <v>206.5</v>
      </c>
      <c r="HE1534" s="19">
        <v>204.5</v>
      </c>
      <c r="HF1534" s="19">
        <v>203.5</v>
      </c>
      <c r="HG1534" s="19">
        <v>202.5</v>
      </c>
      <c r="HH1534" s="19">
        <v>201.5</v>
      </c>
      <c r="HI1534" s="19">
        <v>200.5</v>
      </c>
      <c r="HJ1534" s="19">
        <v>199.5</v>
      </c>
      <c r="HK1534" s="19">
        <v>198.5</v>
      </c>
      <c r="HL1534" s="19">
        <v>197.5</v>
      </c>
      <c r="HM1534" s="19">
        <v>131</v>
      </c>
      <c r="HN1534" s="19">
        <v>97.8</v>
      </c>
      <c r="HO1534" s="19">
        <v>97.3</v>
      </c>
      <c r="HP1534" s="19">
        <v>96.8</v>
      </c>
      <c r="HQ1534" s="19">
        <v>127.3</v>
      </c>
      <c r="HR1534" s="19">
        <v>188.5</v>
      </c>
      <c r="HS1534" s="19">
        <v>186.5</v>
      </c>
      <c r="HT1534" s="19">
        <v>185.5</v>
      </c>
      <c r="HU1534" s="19">
        <v>184.5</v>
      </c>
      <c r="HV1534" s="19">
        <v>183.5</v>
      </c>
      <c r="HW1534" s="19">
        <v>182.5</v>
      </c>
      <c r="HX1534" s="19">
        <v>181.5</v>
      </c>
      <c r="HY1534" s="19">
        <v>180.5</v>
      </c>
      <c r="HZ1534" s="19">
        <v>179.5</v>
      </c>
      <c r="IA1534" s="19">
        <v>178.5</v>
      </c>
      <c r="IB1534" s="19">
        <v>177.5</v>
      </c>
      <c r="IC1534" s="19">
        <v>176.5</v>
      </c>
    </row>
    <row r="1535">
      <c r="A1535" s="2" t="s">
        <v>5737</v>
      </c>
      <c r="B1535" s="2" t="s">
        <v>905</v>
      </c>
      <c r="C1535" s="2" t="s">
        <v>2746</v>
      </c>
      <c r="D1535" s="2" t="s">
        <v>2650</v>
      </c>
      <c r="E1535" s="2" t="s">
        <v>2651</v>
      </c>
      <c r="F1535" s="2" t="s">
        <v>5738</v>
      </c>
      <c r="G1535" s="2" t="s">
        <v>5738</v>
      </c>
      <c r="H1535" s="2" t="s">
        <v>5738</v>
      </c>
      <c r="I1535" s="2" t="s">
        <v>3684</v>
      </c>
      <c r="J1535" s="2" t="s">
        <v>394</v>
      </c>
      <c r="K1535" s="2" t="s">
        <v>316</v>
      </c>
      <c r="L1535" s="3">
        <v>40.66</v>
      </c>
      <c r="M1535" s="3">
        <v>42.69</v>
      </c>
      <c r="N1535" s="3">
        <v>84.99</v>
      </c>
      <c r="O1535" s="2" t="s">
        <v>232</v>
      </c>
      <c r="P1535" s="2" t="s">
        <v>233</v>
      </c>
      <c r="Q1535" s="2" t="s">
        <v>234</v>
      </c>
      <c r="R1535" s="2" t="s">
        <v>235</v>
      </c>
      <c r="S1535" s="2" t="s">
        <v>5739</v>
      </c>
      <c r="T1535" s="2" t="s">
        <v>501</v>
      </c>
      <c r="U1535" s="2" t="s">
        <v>807</v>
      </c>
      <c r="V1535" s="2" t="s">
        <v>238</v>
      </c>
      <c r="W1535" s="2" t="s">
        <v>239</v>
      </c>
      <c r="X1535" s="2" t="s">
        <v>235</v>
      </c>
      <c r="Y1535" s="2" t="s">
        <v>1853</v>
      </c>
      <c r="Z1535" s="4">
        <v>470</v>
      </c>
      <c r="AA1535" s="4">
        <f>=ROUNDDOWN(142.424242424242,0)</f>
      </c>
      <c r="AB1535" s="5">
        <v>3.3</v>
      </c>
      <c r="AC1535" s="2" t="s">
        <v>235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235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/>
      <c r="BD1535" s="8"/>
      <c r="BE1535" s="4"/>
      <c r="BF1535" s="8"/>
      <c r="BG1535" s="7"/>
      <c r="BH1535" s="7"/>
      <c r="BI1535" s="7"/>
      <c r="BJ1535" s="4">
        <v>8</v>
      </c>
      <c r="BK1535" s="8">
        <v>367.43</v>
      </c>
      <c r="BL1535" s="2" t="s">
        <v>5740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5741</v>
      </c>
      <c r="BV1535" s="2" t="s">
        <v>243</v>
      </c>
      <c r="BW1535" s="2" t="s">
        <v>235</v>
      </c>
      <c r="BX1535" s="2" t="s">
        <v>244</v>
      </c>
      <c r="BY1535" s="2" t="s">
        <v>245</v>
      </c>
      <c r="BZ1535" s="2" t="s">
        <v>232</v>
      </c>
      <c r="CA1535" s="2" t="s">
        <v>2656</v>
      </c>
      <c r="CB1535" s="2" t="s">
        <v>4024</v>
      </c>
      <c r="CC1535" s="2" t="s">
        <v>248</v>
      </c>
      <c r="CD1535" s="2" t="s">
        <v>248</v>
      </c>
      <c r="CE1535" s="2" t="s">
        <v>235</v>
      </c>
      <c r="CF1535" s="4">
        <v>470</v>
      </c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>
        <v>471</v>
      </c>
      <c r="GE1535" s="4">
        <v>468</v>
      </c>
      <c r="GF1535" s="4">
        <v>466</v>
      </c>
      <c r="GG1535" s="4">
        <v>464</v>
      </c>
      <c r="GH1535" s="4">
        <v>462</v>
      </c>
      <c r="GI1535" s="4">
        <v>459</v>
      </c>
      <c r="GJ1535" s="4">
        <v>456</v>
      </c>
      <c r="GK1535" s="4">
        <v>453</v>
      </c>
      <c r="GL1535" s="4">
        <v>450</v>
      </c>
      <c r="GM1535" s="4">
        <v>447</v>
      </c>
      <c r="GN1535" s="4">
        <v>444</v>
      </c>
      <c r="GO1535" s="4">
        <v>439</v>
      </c>
      <c r="GP1535" s="4">
        <v>433</v>
      </c>
      <c r="GQ1535" s="4">
        <v>426</v>
      </c>
      <c r="GR1535" s="4">
        <v>415</v>
      </c>
      <c r="GS1535" s="4">
        <v>404</v>
      </c>
      <c r="GT1535" s="4">
        <v>396</v>
      </c>
      <c r="GU1535" s="4">
        <v>394</v>
      </c>
      <c r="GV1535" s="4">
        <v>392</v>
      </c>
      <c r="GW1535" s="4">
        <v>389</v>
      </c>
      <c r="GX1535" s="4">
        <v>386</v>
      </c>
      <c r="GY1535" s="4">
        <v>383</v>
      </c>
      <c r="GZ1535" s="4">
        <v>381</v>
      </c>
      <c r="HA1535" s="4">
        <v>379</v>
      </c>
      <c r="HB1535" s="4">
        <v>377</v>
      </c>
      <c r="HC1535" s="4">
        <v>375</v>
      </c>
      <c r="HD1535" s="19">
        <v>235.5</v>
      </c>
      <c r="HE1535" s="19">
        <v>234</v>
      </c>
      <c r="HF1535" s="19">
        <v>233</v>
      </c>
      <c r="HG1535" s="19">
        <v>154.7</v>
      </c>
      <c r="HH1535" s="19">
        <v>154</v>
      </c>
      <c r="HI1535" s="19">
        <v>153</v>
      </c>
      <c r="HJ1535" s="19">
        <v>152</v>
      </c>
      <c r="HK1535" s="19">
        <v>113.3</v>
      </c>
      <c r="HL1535" s="19">
        <v>112.5</v>
      </c>
      <c r="HM1535" s="19">
        <v>89.4</v>
      </c>
      <c r="HN1535" s="19">
        <v>63.4</v>
      </c>
      <c r="HO1535" s="19">
        <v>48.8</v>
      </c>
      <c r="HP1535" s="19">
        <v>48.1</v>
      </c>
      <c r="HQ1535" s="19">
        <v>53.3</v>
      </c>
      <c r="HR1535" s="19">
        <v>69.2</v>
      </c>
      <c r="HS1535" s="19">
        <v>101</v>
      </c>
      <c r="HT1535" s="19">
        <v>198</v>
      </c>
      <c r="HU1535" s="19">
        <v>131.3</v>
      </c>
      <c r="HV1535" s="19">
        <v>130.7</v>
      </c>
      <c r="HW1535" s="19">
        <v>194.5</v>
      </c>
      <c r="HX1535" s="19">
        <v>193</v>
      </c>
      <c r="HY1535" s="19">
        <v>191.5</v>
      </c>
      <c r="HZ1535" s="19">
        <v>190.5</v>
      </c>
      <c r="IA1535" s="19">
        <v>189.5</v>
      </c>
      <c r="IB1535" s="19">
        <v>377</v>
      </c>
      <c r="IC1535" s="19">
        <v>375</v>
      </c>
    </row>
    <row r="1536">
      <c r="A1536" s="2" t="s">
        <v>5742</v>
      </c>
      <c r="B1536" s="2" t="s">
        <v>905</v>
      </c>
      <c r="C1536" s="2" t="s">
        <v>2746</v>
      </c>
      <c r="D1536" s="2" t="s">
        <v>2650</v>
      </c>
      <c r="E1536" s="2" t="s">
        <v>2651</v>
      </c>
      <c r="F1536" s="2" t="s">
        <v>5743</v>
      </c>
      <c r="G1536" s="2" t="s">
        <v>5743</v>
      </c>
      <c r="H1536" s="2" t="s">
        <v>5743</v>
      </c>
      <c r="I1536" s="2" t="s">
        <v>2653</v>
      </c>
      <c r="J1536" s="2" t="s">
        <v>394</v>
      </c>
      <c r="K1536" s="2" t="s">
        <v>316</v>
      </c>
      <c r="L1536" s="3">
        <v>40.47</v>
      </c>
      <c r="M1536" s="3">
        <v>42.5</v>
      </c>
      <c r="N1536" s="3">
        <v>84.99</v>
      </c>
      <c r="O1536" s="2" t="s">
        <v>232</v>
      </c>
      <c r="P1536" s="2" t="s">
        <v>878</v>
      </c>
      <c r="Q1536" s="2" t="s">
        <v>234</v>
      </c>
      <c r="R1536" s="2" t="s">
        <v>235</v>
      </c>
      <c r="S1536" s="2" t="s">
        <v>235</v>
      </c>
      <c r="T1536" s="2" t="s">
        <v>501</v>
      </c>
      <c r="U1536" s="2" t="s">
        <v>807</v>
      </c>
      <c r="V1536" s="2" t="s">
        <v>238</v>
      </c>
      <c r="W1536" s="2" t="s">
        <v>1029</v>
      </c>
      <c r="X1536" s="2" t="s">
        <v>235</v>
      </c>
      <c r="Y1536" s="2" t="s">
        <v>235</v>
      </c>
      <c r="Z1536" s="4"/>
      <c r="AA1536" s="4">
        <f>=ROUNDDOWN({0},0)</f>
      </c>
      <c r="AB1536" s="5"/>
      <c r="AC1536" s="2" t="s">
        <v>170</v>
      </c>
      <c r="AD1536" s="4">
        <v>191</v>
      </c>
      <c r="AE1536" s="4">
        <v>191</v>
      </c>
      <c r="AF1536" s="6">
        <v>65</v>
      </c>
      <c r="AG1536" s="6"/>
      <c r="AH1536" s="7"/>
      <c r="AI1536" s="4"/>
      <c r="AJ1536" s="4">
        <f>=ROUNDDOWN({0},0)</f>
      </c>
      <c r="AK1536" s="5"/>
      <c r="AL1536" s="2" t="s">
        <v>235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235</v>
      </c>
      <c r="AW1536" s="8" t="s">
        <v>235</v>
      </c>
      <c r="AX1536" s="4" t="s">
        <v>235</v>
      </c>
      <c r="AY1536" s="8" t="s">
        <v>235</v>
      </c>
      <c r="AZ1536" s="7" t="s">
        <v>235</v>
      </c>
      <c r="BA1536" s="7" t="s">
        <v>235</v>
      </c>
      <c r="BB1536" s="7"/>
      <c r="BC1536" s="4" t="s">
        <v>235</v>
      </c>
      <c r="BD1536" s="8" t="s">
        <v>235</v>
      </c>
      <c r="BE1536" s="4" t="s">
        <v>235</v>
      </c>
      <c r="BF1536" s="8" t="s">
        <v>235</v>
      </c>
      <c r="BG1536" s="7" t="s">
        <v>235</v>
      </c>
      <c r="BH1536" s="7" t="s">
        <v>235</v>
      </c>
      <c r="BI1536" s="7"/>
      <c r="BJ1536" s="4"/>
      <c r="BK1536" s="8"/>
      <c r="BL1536" s="2" t="s">
        <v>235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330</v>
      </c>
      <c r="BV1536" s="2" t="s">
        <v>235</v>
      </c>
      <c r="BW1536" s="2" t="s">
        <v>235</v>
      </c>
      <c r="BX1536" s="2" t="s">
        <v>330</v>
      </c>
      <c r="BY1536" s="2" t="s">
        <v>331</v>
      </c>
      <c r="BZ1536" s="2" t="s">
        <v>232</v>
      </c>
      <c r="CA1536" s="2" t="s">
        <v>235</v>
      </c>
      <c r="CB1536" s="2" t="s">
        <v>235</v>
      </c>
      <c r="CC1536" s="2" t="s">
        <v>248</v>
      </c>
      <c r="CD1536" s="2" t="s">
        <v>248</v>
      </c>
      <c r="CE1536" s="2" t="s">
        <v>235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>
        <v>191</v>
      </c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>
        <v>191</v>
      </c>
      <c r="GM1536" s="4">
        <v>191</v>
      </c>
      <c r="GN1536" s="4">
        <v>191</v>
      </c>
      <c r="GO1536" s="4">
        <v>191</v>
      </c>
      <c r="GP1536" s="4">
        <v>179</v>
      </c>
      <c r="GQ1536" s="4">
        <v>165</v>
      </c>
      <c r="GR1536" s="4">
        <v>142</v>
      </c>
      <c r="GS1536" s="4">
        <v>120</v>
      </c>
      <c r="GT1536" s="4">
        <v>104</v>
      </c>
      <c r="GU1536" s="4">
        <v>100</v>
      </c>
      <c r="GV1536" s="4">
        <v>96</v>
      </c>
      <c r="GW1536" s="4">
        <v>89</v>
      </c>
      <c r="GX1536" s="4">
        <v>82</v>
      </c>
      <c r="GY1536" s="4">
        <v>75</v>
      </c>
      <c r="GZ1536" s="4">
        <v>71</v>
      </c>
      <c r="HA1536" s="4">
        <v>67</v>
      </c>
      <c r="HB1536" s="4">
        <v>63</v>
      </c>
      <c r="HC1536" s="4">
        <v>59</v>
      </c>
      <c r="HD1536" s="9"/>
      <c r="HE1536" s="9"/>
      <c r="HF1536" s="9"/>
      <c r="HG1536" s="9"/>
      <c r="HH1536" s="9"/>
      <c r="HI1536" s="9"/>
      <c r="HJ1536" s="9"/>
      <c r="HK1536" s="9"/>
      <c r="HL1536" s="19">
        <v>63.7</v>
      </c>
      <c r="HM1536" s="19">
        <v>31.8</v>
      </c>
      <c r="HN1536" s="19">
        <v>15.9</v>
      </c>
      <c r="HO1536" s="19">
        <v>10.6</v>
      </c>
      <c r="HP1536" s="19">
        <v>9.4</v>
      </c>
      <c r="HQ1536" s="19">
        <v>10.3</v>
      </c>
      <c r="HR1536" s="19">
        <v>11.8</v>
      </c>
      <c r="HS1536" s="19">
        <v>15</v>
      </c>
      <c r="HT1536" s="19">
        <v>17.3</v>
      </c>
      <c r="HU1536" s="19">
        <v>16.7</v>
      </c>
      <c r="HV1536" s="19">
        <v>16</v>
      </c>
      <c r="HW1536" s="19">
        <v>14.8</v>
      </c>
      <c r="HX1536" s="19">
        <v>16.4</v>
      </c>
      <c r="HY1536" s="19">
        <v>18.8</v>
      </c>
      <c r="HZ1536" s="19">
        <v>17.8</v>
      </c>
      <c r="IA1536" s="19">
        <v>22.3</v>
      </c>
      <c r="IB1536" s="19">
        <v>31.5</v>
      </c>
      <c r="IC1536" s="19">
        <v>29.5</v>
      </c>
    </row>
    <row r="1537">
      <c r="A1537" s="2" t="s">
        <v>5744</v>
      </c>
      <c r="B1537" s="2" t="s">
        <v>905</v>
      </c>
      <c r="C1537" s="2" t="s">
        <v>2746</v>
      </c>
      <c r="D1537" s="2" t="s">
        <v>2650</v>
      </c>
      <c r="E1537" s="2" t="s">
        <v>2651</v>
      </c>
      <c r="F1537" s="2" t="s">
        <v>5743</v>
      </c>
      <c r="G1537" s="2" t="s">
        <v>5743</v>
      </c>
      <c r="H1537" s="2" t="s">
        <v>5743</v>
      </c>
      <c r="I1537" s="2" t="s">
        <v>2653</v>
      </c>
      <c r="J1537" s="2" t="s">
        <v>230</v>
      </c>
      <c r="K1537" s="2" t="s">
        <v>316</v>
      </c>
      <c r="L1537" s="3">
        <v>40.47</v>
      </c>
      <c r="M1537" s="3">
        <v>42.5</v>
      </c>
      <c r="N1537" s="3">
        <v>84.99</v>
      </c>
      <c r="O1537" s="2" t="s">
        <v>232</v>
      </c>
      <c r="P1537" s="2" t="s">
        <v>878</v>
      </c>
      <c r="Q1537" s="2" t="s">
        <v>234</v>
      </c>
      <c r="R1537" s="2" t="s">
        <v>235</v>
      </c>
      <c r="S1537" s="2" t="s">
        <v>235</v>
      </c>
      <c r="T1537" s="2" t="s">
        <v>501</v>
      </c>
      <c r="U1537" s="2" t="s">
        <v>807</v>
      </c>
      <c r="V1537" s="2" t="s">
        <v>238</v>
      </c>
      <c r="W1537" s="2" t="s">
        <v>1029</v>
      </c>
      <c r="X1537" s="2" t="s">
        <v>235</v>
      </c>
      <c r="Y1537" s="2" t="s">
        <v>235</v>
      </c>
      <c r="Z1537" s="4"/>
      <c r="AA1537" s="4">
        <f>=ROUNDDOWN({0},0)</f>
      </c>
      <c r="AB1537" s="5"/>
      <c r="AC1537" s="2" t="s">
        <v>170</v>
      </c>
      <c r="AD1537" s="4">
        <v>283</v>
      </c>
      <c r="AE1537" s="4">
        <v>283</v>
      </c>
      <c r="AF1537" s="6">
        <v>65</v>
      </c>
      <c r="AG1537" s="6"/>
      <c r="AH1537" s="7"/>
      <c r="AI1537" s="4"/>
      <c r="AJ1537" s="4">
        <f>=ROUNDDOWN({0},0)</f>
      </c>
      <c r="AK1537" s="5"/>
      <c r="AL1537" s="2" t="s">
        <v>235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235</v>
      </c>
      <c r="AW1537" s="8" t="s">
        <v>235</v>
      </c>
      <c r="AX1537" s="4" t="s">
        <v>235</v>
      </c>
      <c r="AY1537" s="8" t="s">
        <v>235</v>
      </c>
      <c r="AZ1537" s="7" t="s">
        <v>235</v>
      </c>
      <c r="BA1537" s="7" t="s">
        <v>235</v>
      </c>
      <c r="BB1537" s="7"/>
      <c r="BC1537" s="4" t="s">
        <v>235</v>
      </c>
      <c r="BD1537" s="8" t="s">
        <v>235</v>
      </c>
      <c r="BE1537" s="4" t="s">
        <v>235</v>
      </c>
      <c r="BF1537" s="8" t="s">
        <v>235</v>
      </c>
      <c r="BG1537" s="7" t="s">
        <v>235</v>
      </c>
      <c r="BH1537" s="7" t="s">
        <v>235</v>
      </c>
      <c r="BI1537" s="7"/>
      <c r="BJ1537" s="4"/>
      <c r="BK1537" s="8"/>
      <c r="BL1537" s="2" t="s">
        <v>235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330</v>
      </c>
      <c r="BV1537" s="2" t="s">
        <v>235</v>
      </c>
      <c r="BW1537" s="2" t="s">
        <v>235</v>
      </c>
      <c r="BX1537" s="2" t="s">
        <v>330</v>
      </c>
      <c r="BY1537" s="2" t="s">
        <v>331</v>
      </c>
      <c r="BZ1537" s="2" t="s">
        <v>232</v>
      </c>
      <c r="CA1537" s="2" t="s">
        <v>235</v>
      </c>
      <c r="CB1537" s="2" t="s">
        <v>235</v>
      </c>
      <c r="CC1537" s="2" t="s">
        <v>248</v>
      </c>
      <c r="CD1537" s="2" t="s">
        <v>248</v>
      </c>
      <c r="CE1537" s="2" t="s">
        <v>235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>
        <v>283</v>
      </c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>
        <v>283</v>
      </c>
      <c r="GM1537" s="4">
        <v>283</v>
      </c>
      <c r="GN1537" s="4">
        <v>283</v>
      </c>
      <c r="GO1537" s="4">
        <v>283</v>
      </c>
      <c r="GP1537" s="4">
        <v>261</v>
      </c>
      <c r="GQ1537" s="4">
        <v>243</v>
      </c>
      <c r="GR1537" s="4">
        <v>212</v>
      </c>
      <c r="GS1537" s="4">
        <v>183</v>
      </c>
      <c r="GT1537" s="4">
        <v>162</v>
      </c>
      <c r="GU1537" s="4">
        <v>156</v>
      </c>
      <c r="GV1537" s="4">
        <v>148</v>
      </c>
      <c r="GW1537" s="4">
        <v>140</v>
      </c>
      <c r="GX1537" s="4">
        <v>132</v>
      </c>
      <c r="GY1537" s="4">
        <v>124</v>
      </c>
      <c r="GZ1537" s="4">
        <v>116</v>
      </c>
      <c r="HA1537" s="4">
        <v>108</v>
      </c>
      <c r="HB1537" s="4">
        <v>100</v>
      </c>
      <c r="HC1537" s="4">
        <v>92</v>
      </c>
      <c r="HD1537" s="9"/>
      <c r="HE1537" s="9"/>
      <c r="HF1537" s="9"/>
      <c r="HG1537" s="9"/>
      <c r="HH1537" s="9"/>
      <c r="HI1537" s="9"/>
      <c r="HJ1537" s="9"/>
      <c r="HK1537" s="9"/>
      <c r="HL1537" s="19">
        <v>47.2</v>
      </c>
      <c r="HM1537" s="19">
        <v>28.3</v>
      </c>
      <c r="HN1537" s="19">
        <v>15.7</v>
      </c>
      <c r="HO1537" s="19">
        <v>11.3</v>
      </c>
      <c r="HP1537" s="19">
        <v>10.4</v>
      </c>
      <c r="HQ1537" s="19">
        <v>11</v>
      </c>
      <c r="HR1537" s="19">
        <v>13.3</v>
      </c>
      <c r="HS1537" s="19">
        <v>16.6</v>
      </c>
      <c r="HT1537" s="19">
        <v>20.3</v>
      </c>
      <c r="HU1537" s="19">
        <v>19.5</v>
      </c>
      <c r="HV1537" s="19">
        <v>18.5</v>
      </c>
      <c r="HW1537" s="19">
        <v>17.5</v>
      </c>
      <c r="HX1537" s="19">
        <v>16.5</v>
      </c>
      <c r="HY1537" s="19">
        <v>15.5</v>
      </c>
      <c r="HZ1537" s="19">
        <v>16.6</v>
      </c>
      <c r="IA1537" s="19">
        <v>18</v>
      </c>
      <c r="IB1537" s="19">
        <v>20</v>
      </c>
      <c r="IC1537" s="19">
        <v>23</v>
      </c>
    </row>
    <row r="1538">
      <c r="A1538" s="2" t="s">
        <v>5745</v>
      </c>
      <c r="B1538" s="2" t="s">
        <v>905</v>
      </c>
      <c r="C1538" s="2" t="s">
        <v>2746</v>
      </c>
      <c r="D1538" s="2" t="s">
        <v>2650</v>
      </c>
      <c r="E1538" s="2" t="s">
        <v>2651</v>
      </c>
      <c r="F1538" s="2" t="s">
        <v>5743</v>
      </c>
      <c r="G1538" s="2" t="s">
        <v>5743</v>
      </c>
      <c r="H1538" s="2" t="s">
        <v>5743</v>
      </c>
      <c r="I1538" s="2" t="s">
        <v>2653</v>
      </c>
      <c r="J1538" s="2" t="s">
        <v>250</v>
      </c>
      <c r="K1538" s="2" t="s">
        <v>316</v>
      </c>
      <c r="L1538" s="3">
        <v>45.23</v>
      </c>
      <c r="M1538" s="3">
        <v>47.5</v>
      </c>
      <c r="N1538" s="3">
        <v>94.99</v>
      </c>
      <c r="O1538" s="2" t="s">
        <v>232</v>
      </c>
      <c r="P1538" s="2" t="s">
        <v>878</v>
      </c>
      <c r="Q1538" s="2" t="s">
        <v>234</v>
      </c>
      <c r="R1538" s="2" t="s">
        <v>235</v>
      </c>
      <c r="S1538" s="2" t="s">
        <v>235</v>
      </c>
      <c r="T1538" s="2" t="s">
        <v>501</v>
      </c>
      <c r="U1538" s="2" t="s">
        <v>807</v>
      </c>
      <c r="V1538" s="2" t="s">
        <v>238</v>
      </c>
      <c r="W1538" s="2" t="s">
        <v>1029</v>
      </c>
      <c r="X1538" s="2" t="s">
        <v>235</v>
      </c>
      <c r="Y1538" s="2" t="s">
        <v>235</v>
      </c>
      <c r="Z1538" s="4"/>
      <c r="AA1538" s="4">
        <f>=ROUNDDOWN({0},0)</f>
      </c>
      <c r="AB1538" s="5"/>
      <c r="AC1538" s="2" t="s">
        <v>170</v>
      </c>
      <c r="AD1538" s="4">
        <v>354</v>
      </c>
      <c r="AE1538" s="4">
        <v>354</v>
      </c>
      <c r="AF1538" s="6">
        <v>65</v>
      </c>
      <c r="AG1538" s="6"/>
      <c r="AH1538" s="7"/>
      <c r="AI1538" s="4"/>
      <c r="AJ1538" s="4">
        <f>=ROUNDDOWN({0},0)</f>
      </c>
      <c r="AK1538" s="5"/>
      <c r="AL1538" s="2" t="s">
        <v>235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235</v>
      </c>
      <c r="AW1538" s="8" t="s">
        <v>235</v>
      </c>
      <c r="AX1538" s="4" t="s">
        <v>235</v>
      </c>
      <c r="AY1538" s="8" t="s">
        <v>235</v>
      </c>
      <c r="AZ1538" s="7" t="s">
        <v>235</v>
      </c>
      <c r="BA1538" s="7" t="s">
        <v>235</v>
      </c>
      <c r="BB1538" s="7"/>
      <c r="BC1538" s="4" t="s">
        <v>235</v>
      </c>
      <c r="BD1538" s="8" t="s">
        <v>235</v>
      </c>
      <c r="BE1538" s="4" t="s">
        <v>235</v>
      </c>
      <c r="BF1538" s="8" t="s">
        <v>235</v>
      </c>
      <c r="BG1538" s="7" t="s">
        <v>235</v>
      </c>
      <c r="BH1538" s="7" t="s">
        <v>235</v>
      </c>
      <c r="BI1538" s="7"/>
      <c r="BJ1538" s="4"/>
      <c r="BK1538" s="8"/>
      <c r="BL1538" s="2" t="s">
        <v>235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330</v>
      </c>
      <c r="BV1538" s="2" t="s">
        <v>235</v>
      </c>
      <c r="BW1538" s="2" t="s">
        <v>235</v>
      </c>
      <c r="BX1538" s="2" t="s">
        <v>330</v>
      </c>
      <c r="BY1538" s="2" t="s">
        <v>331</v>
      </c>
      <c r="BZ1538" s="2" t="s">
        <v>232</v>
      </c>
      <c r="CA1538" s="2" t="s">
        <v>235</v>
      </c>
      <c r="CB1538" s="2" t="s">
        <v>235</v>
      </c>
      <c r="CC1538" s="2" t="s">
        <v>248</v>
      </c>
      <c r="CD1538" s="2" t="s">
        <v>248</v>
      </c>
      <c r="CE1538" s="2" t="s">
        <v>235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>
        <v>354</v>
      </c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>
        <v>354</v>
      </c>
      <c r="GM1538" s="4">
        <v>354</v>
      </c>
      <c r="GN1538" s="4">
        <v>354</v>
      </c>
      <c r="GO1538" s="4">
        <v>354</v>
      </c>
      <c r="GP1538" s="4">
        <v>333</v>
      </c>
      <c r="GQ1538" s="4">
        <v>310</v>
      </c>
      <c r="GR1538" s="4">
        <v>270</v>
      </c>
      <c r="GS1538" s="4">
        <v>232</v>
      </c>
      <c r="GT1538" s="4">
        <v>205</v>
      </c>
      <c r="GU1538" s="4">
        <v>198</v>
      </c>
      <c r="GV1538" s="4">
        <v>189</v>
      </c>
      <c r="GW1538" s="4">
        <v>175</v>
      </c>
      <c r="GX1538" s="4">
        <v>161</v>
      </c>
      <c r="GY1538" s="4">
        <v>147</v>
      </c>
      <c r="GZ1538" s="4">
        <v>138</v>
      </c>
      <c r="HA1538" s="4">
        <v>129</v>
      </c>
      <c r="HB1538" s="4">
        <v>120</v>
      </c>
      <c r="HC1538" s="4">
        <v>111</v>
      </c>
      <c r="HD1538" s="9"/>
      <c r="HE1538" s="9"/>
      <c r="HF1538" s="9"/>
      <c r="HG1538" s="9"/>
      <c r="HH1538" s="9"/>
      <c r="HI1538" s="9"/>
      <c r="HJ1538" s="9"/>
      <c r="HK1538" s="9"/>
      <c r="HL1538" s="19">
        <v>70.8</v>
      </c>
      <c r="HM1538" s="19">
        <v>32.2</v>
      </c>
      <c r="HN1538" s="19">
        <v>16.9</v>
      </c>
      <c r="HO1538" s="19">
        <v>11.8</v>
      </c>
      <c r="HP1538" s="19">
        <v>10.4</v>
      </c>
      <c r="HQ1538" s="19">
        <v>11.1</v>
      </c>
      <c r="HR1538" s="19">
        <v>13.5</v>
      </c>
      <c r="HS1538" s="19">
        <v>16.6</v>
      </c>
      <c r="HT1538" s="19">
        <v>18.6</v>
      </c>
      <c r="HU1538" s="19">
        <v>15.2</v>
      </c>
      <c r="HV1538" s="19">
        <v>14.5</v>
      </c>
      <c r="HW1538" s="19">
        <v>14.6</v>
      </c>
      <c r="HX1538" s="19">
        <v>16.1</v>
      </c>
      <c r="HY1538" s="19">
        <v>16.3</v>
      </c>
      <c r="HZ1538" s="19">
        <v>17.3</v>
      </c>
      <c r="IA1538" s="19">
        <v>21.5</v>
      </c>
      <c r="IB1538" s="19">
        <v>24</v>
      </c>
      <c r="IC1538" s="19">
        <v>27.8</v>
      </c>
    </row>
    <row r="1539">
      <c r="A1539" s="2" t="s">
        <v>5746</v>
      </c>
      <c r="B1539" s="2" t="s">
        <v>905</v>
      </c>
      <c r="C1539" s="2" t="s">
        <v>2746</v>
      </c>
      <c r="D1539" s="2" t="s">
        <v>2650</v>
      </c>
      <c r="E1539" s="2" t="s">
        <v>2651</v>
      </c>
      <c r="F1539" s="2" t="s">
        <v>5743</v>
      </c>
      <c r="G1539" s="2" t="s">
        <v>5743</v>
      </c>
      <c r="H1539" s="2" t="s">
        <v>5743</v>
      </c>
      <c r="I1539" s="2" t="s">
        <v>2653</v>
      </c>
      <c r="J1539" s="2" t="s">
        <v>261</v>
      </c>
      <c r="K1539" s="2" t="s">
        <v>316</v>
      </c>
      <c r="L1539" s="3">
        <v>64.28</v>
      </c>
      <c r="M1539" s="3">
        <v>67.5</v>
      </c>
      <c r="N1539" s="3">
        <v>134.99</v>
      </c>
      <c r="O1539" s="2" t="s">
        <v>232</v>
      </c>
      <c r="P1539" s="2" t="s">
        <v>878</v>
      </c>
      <c r="Q1539" s="2" t="s">
        <v>234</v>
      </c>
      <c r="R1539" s="2" t="s">
        <v>235</v>
      </c>
      <c r="S1539" s="2" t="s">
        <v>235</v>
      </c>
      <c r="T1539" s="2" t="s">
        <v>501</v>
      </c>
      <c r="U1539" s="2" t="s">
        <v>807</v>
      </c>
      <c r="V1539" s="2" t="s">
        <v>238</v>
      </c>
      <c r="W1539" s="2" t="s">
        <v>1029</v>
      </c>
      <c r="X1539" s="2" t="s">
        <v>235</v>
      </c>
      <c r="Y1539" s="2" t="s">
        <v>235</v>
      </c>
      <c r="Z1539" s="4"/>
      <c r="AA1539" s="4">
        <f>=ROUNDDOWN({0},0)</f>
      </c>
      <c r="AB1539" s="5"/>
      <c r="AC1539" s="2" t="s">
        <v>170</v>
      </c>
      <c r="AD1539" s="4">
        <v>1137</v>
      </c>
      <c r="AE1539" s="4">
        <v>1137</v>
      </c>
      <c r="AF1539" s="6">
        <v>65</v>
      </c>
      <c r="AG1539" s="6"/>
      <c r="AH1539" s="7"/>
      <c r="AI1539" s="4"/>
      <c r="AJ1539" s="4">
        <f>=ROUNDDOWN({0},0)</f>
      </c>
      <c r="AK1539" s="5"/>
      <c r="AL1539" s="2" t="s">
        <v>235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235</v>
      </c>
      <c r="AW1539" s="8" t="s">
        <v>235</v>
      </c>
      <c r="AX1539" s="4" t="s">
        <v>235</v>
      </c>
      <c r="AY1539" s="8" t="s">
        <v>235</v>
      </c>
      <c r="AZ1539" s="7" t="s">
        <v>235</v>
      </c>
      <c r="BA1539" s="7" t="s">
        <v>235</v>
      </c>
      <c r="BB1539" s="7"/>
      <c r="BC1539" s="4" t="s">
        <v>235</v>
      </c>
      <c r="BD1539" s="8" t="s">
        <v>235</v>
      </c>
      <c r="BE1539" s="4" t="s">
        <v>235</v>
      </c>
      <c r="BF1539" s="8" t="s">
        <v>235</v>
      </c>
      <c r="BG1539" s="7" t="s">
        <v>235</v>
      </c>
      <c r="BH1539" s="7" t="s">
        <v>235</v>
      </c>
      <c r="BI1539" s="7"/>
      <c r="BJ1539" s="4"/>
      <c r="BK1539" s="8"/>
      <c r="BL1539" s="2" t="s">
        <v>235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330</v>
      </c>
      <c r="BV1539" s="2" t="s">
        <v>235</v>
      </c>
      <c r="BW1539" s="2" t="s">
        <v>235</v>
      </c>
      <c r="BX1539" s="2" t="s">
        <v>330</v>
      </c>
      <c r="BY1539" s="2" t="s">
        <v>331</v>
      </c>
      <c r="BZ1539" s="2" t="s">
        <v>232</v>
      </c>
      <c r="CA1539" s="2" t="s">
        <v>235</v>
      </c>
      <c r="CB1539" s="2" t="s">
        <v>235</v>
      </c>
      <c r="CC1539" s="2" t="s">
        <v>248</v>
      </c>
      <c r="CD1539" s="2" t="s">
        <v>248</v>
      </c>
      <c r="CE1539" s="2" t="s">
        <v>235</v>
      </c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>
        <v>1137</v>
      </c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>
        <v>1137</v>
      </c>
      <c r="GM1539" s="4">
        <v>1137</v>
      </c>
      <c r="GN1539" s="4">
        <v>1137</v>
      </c>
      <c r="GO1539" s="4">
        <v>1137</v>
      </c>
      <c r="GP1539" s="4">
        <v>1059</v>
      </c>
      <c r="GQ1539" s="4">
        <v>993</v>
      </c>
      <c r="GR1539" s="4">
        <v>876</v>
      </c>
      <c r="GS1539" s="4">
        <v>767</v>
      </c>
      <c r="GT1539" s="4">
        <v>689</v>
      </c>
      <c r="GU1539" s="4">
        <v>669</v>
      </c>
      <c r="GV1539" s="4">
        <v>638</v>
      </c>
      <c r="GW1539" s="4">
        <v>607</v>
      </c>
      <c r="GX1539" s="4">
        <v>576</v>
      </c>
      <c r="GY1539" s="4">
        <v>545</v>
      </c>
      <c r="GZ1539" s="4">
        <v>522</v>
      </c>
      <c r="HA1539" s="4">
        <v>499</v>
      </c>
      <c r="HB1539" s="4">
        <v>476</v>
      </c>
      <c r="HC1539" s="4">
        <v>453</v>
      </c>
      <c r="HD1539" s="9"/>
      <c r="HE1539" s="9"/>
      <c r="HF1539" s="9"/>
      <c r="HG1539" s="9"/>
      <c r="HH1539" s="9"/>
      <c r="HI1539" s="9"/>
      <c r="HJ1539" s="9"/>
      <c r="HK1539" s="9"/>
      <c r="HL1539" s="19">
        <v>56.9</v>
      </c>
      <c r="HM1539" s="19">
        <v>31.6</v>
      </c>
      <c r="HN1539" s="19">
        <v>17.5</v>
      </c>
      <c r="HO1539" s="19">
        <v>12.4</v>
      </c>
      <c r="HP1539" s="19">
        <v>11.5</v>
      </c>
      <c r="HQ1539" s="19">
        <v>12.3</v>
      </c>
      <c r="HR1539" s="19">
        <v>14.6</v>
      </c>
      <c r="HS1539" s="19">
        <v>19.2</v>
      </c>
      <c r="HT1539" s="19">
        <v>24.6</v>
      </c>
      <c r="HU1539" s="19">
        <v>21.6</v>
      </c>
      <c r="HV1539" s="19">
        <v>22</v>
      </c>
      <c r="HW1539" s="19">
        <v>22.5</v>
      </c>
      <c r="HX1539" s="19">
        <v>23</v>
      </c>
      <c r="HY1539" s="19">
        <v>23.7</v>
      </c>
      <c r="HZ1539" s="19">
        <v>27.5</v>
      </c>
      <c r="IA1539" s="19">
        <v>31.2</v>
      </c>
      <c r="IB1539" s="19">
        <v>39.7</v>
      </c>
      <c r="IC1539" s="19">
        <v>56.6</v>
      </c>
    </row>
    <row r="1540">
      <c r="A1540" s="2" t="s">
        <v>5747</v>
      </c>
      <c r="B1540" s="2" t="s">
        <v>905</v>
      </c>
      <c r="C1540" s="2" t="s">
        <v>2746</v>
      </c>
      <c r="D1540" s="2" t="s">
        <v>2650</v>
      </c>
      <c r="E1540" s="2" t="s">
        <v>2651</v>
      </c>
      <c r="F1540" s="2" t="s">
        <v>5743</v>
      </c>
      <c r="G1540" s="2" t="s">
        <v>5743</v>
      </c>
      <c r="H1540" s="2" t="s">
        <v>5743</v>
      </c>
      <c r="I1540" s="2" t="s">
        <v>2653</v>
      </c>
      <c r="J1540" s="2" t="s">
        <v>270</v>
      </c>
      <c r="K1540" s="2" t="s">
        <v>316</v>
      </c>
      <c r="L1540" s="3">
        <v>69.04</v>
      </c>
      <c r="M1540" s="3">
        <v>72.5</v>
      </c>
      <c r="N1540" s="3">
        <v>144.99</v>
      </c>
      <c r="O1540" s="2" t="s">
        <v>232</v>
      </c>
      <c r="P1540" s="2" t="s">
        <v>878</v>
      </c>
      <c r="Q1540" s="2" t="s">
        <v>234</v>
      </c>
      <c r="R1540" s="2" t="s">
        <v>235</v>
      </c>
      <c r="S1540" s="2" t="s">
        <v>235</v>
      </c>
      <c r="T1540" s="2" t="s">
        <v>501</v>
      </c>
      <c r="U1540" s="2" t="s">
        <v>807</v>
      </c>
      <c r="V1540" s="2" t="s">
        <v>238</v>
      </c>
      <c r="W1540" s="2" t="s">
        <v>1029</v>
      </c>
      <c r="X1540" s="2" t="s">
        <v>235</v>
      </c>
      <c r="Y1540" s="2" t="s">
        <v>235</v>
      </c>
      <c r="Z1540" s="4"/>
      <c r="AA1540" s="4">
        <f>=ROUNDDOWN({0},0)</f>
      </c>
      <c r="AB1540" s="5"/>
      <c r="AC1540" s="2" t="s">
        <v>170</v>
      </c>
      <c r="AD1540" s="4">
        <v>705</v>
      </c>
      <c r="AE1540" s="4">
        <v>705</v>
      </c>
      <c r="AF1540" s="6">
        <v>65</v>
      </c>
      <c r="AG1540" s="6"/>
      <c r="AH1540" s="7"/>
      <c r="AI1540" s="4"/>
      <c r="AJ1540" s="4">
        <f>=ROUNDDOWN({0},0)</f>
      </c>
      <c r="AK1540" s="5"/>
      <c r="AL1540" s="2" t="s">
        <v>235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235</v>
      </c>
      <c r="AW1540" s="8" t="s">
        <v>235</v>
      </c>
      <c r="AX1540" s="4" t="s">
        <v>235</v>
      </c>
      <c r="AY1540" s="8" t="s">
        <v>235</v>
      </c>
      <c r="AZ1540" s="7" t="s">
        <v>235</v>
      </c>
      <c r="BA1540" s="7" t="s">
        <v>235</v>
      </c>
      <c r="BB1540" s="7"/>
      <c r="BC1540" s="4" t="s">
        <v>235</v>
      </c>
      <c r="BD1540" s="8" t="s">
        <v>235</v>
      </c>
      <c r="BE1540" s="4" t="s">
        <v>235</v>
      </c>
      <c r="BF1540" s="8" t="s">
        <v>235</v>
      </c>
      <c r="BG1540" s="7" t="s">
        <v>235</v>
      </c>
      <c r="BH1540" s="7" t="s">
        <v>235</v>
      </c>
      <c r="BI1540" s="7"/>
      <c r="BJ1540" s="4"/>
      <c r="BK1540" s="8"/>
      <c r="BL1540" s="2" t="s">
        <v>235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330</v>
      </c>
      <c r="BV1540" s="2" t="s">
        <v>235</v>
      </c>
      <c r="BW1540" s="2" t="s">
        <v>235</v>
      </c>
      <c r="BX1540" s="2" t="s">
        <v>330</v>
      </c>
      <c r="BY1540" s="2" t="s">
        <v>331</v>
      </c>
      <c r="BZ1540" s="2" t="s">
        <v>232</v>
      </c>
      <c r="CA1540" s="2" t="s">
        <v>235</v>
      </c>
      <c r="CB1540" s="2" t="s">
        <v>235</v>
      </c>
      <c r="CC1540" s="2" t="s">
        <v>248</v>
      </c>
      <c r="CD1540" s="2" t="s">
        <v>248</v>
      </c>
      <c r="CE1540" s="2" t="s">
        <v>235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>
        <v>705</v>
      </c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>
        <v>705</v>
      </c>
      <c r="GM1540" s="4">
        <v>705</v>
      </c>
      <c r="GN1540" s="4">
        <v>705</v>
      </c>
      <c r="GO1540" s="4">
        <v>705</v>
      </c>
      <c r="GP1540" s="4">
        <v>663</v>
      </c>
      <c r="GQ1540" s="4">
        <v>614</v>
      </c>
      <c r="GR1540" s="4">
        <v>528</v>
      </c>
      <c r="GS1540" s="4">
        <v>447</v>
      </c>
      <c r="GT1540" s="4">
        <v>390</v>
      </c>
      <c r="GU1540" s="4">
        <v>374</v>
      </c>
      <c r="GV1540" s="4">
        <v>353</v>
      </c>
      <c r="GW1540" s="4">
        <v>332</v>
      </c>
      <c r="GX1540" s="4">
        <v>311</v>
      </c>
      <c r="GY1540" s="4">
        <v>290</v>
      </c>
      <c r="GZ1540" s="4">
        <v>264</v>
      </c>
      <c r="HA1540" s="4">
        <v>238</v>
      </c>
      <c r="HB1540" s="4">
        <v>212</v>
      </c>
      <c r="HC1540" s="4">
        <v>186</v>
      </c>
      <c r="HD1540" s="9"/>
      <c r="HE1540" s="9"/>
      <c r="HF1540" s="9"/>
      <c r="HG1540" s="9"/>
      <c r="HH1540" s="9"/>
      <c r="HI1540" s="9"/>
      <c r="HJ1540" s="9"/>
      <c r="HK1540" s="9"/>
      <c r="HL1540" s="19">
        <v>70.5</v>
      </c>
      <c r="HM1540" s="19">
        <v>30.7</v>
      </c>
      <c r="HN1540" s="19">
        <v>16</v>
      </c>
      <c r="HO1540" s="19">
        <v>11</v>
      </c>
      <c r="HP1540" s="19">
        <v>9.8</v>
      </c>
      <c r="HQ1540" s="19">
        <v>10.2</v>
      </c>
      <c r="HR1540" s="19">
        <v>12</v>
      </c>
      <c r="HS1540" s="19">
        <v>15.4</v>
      </c>
      <c r="HT1540" s="19">
        <v>19.5</v>
      </c>
      <c r="HU1540" s="19">
        <v>17.8</v>
      </c>
      <c r="HV1540" s="19">
        <v>16</v>
      </c>
      <c r="HW1540" s="19">
        <v>13.8</v>
      </c>
      <c r="HX1540" s="19">
        <v>12.4</v>
      </c>
      <c r="HY1540" s="19">
        <v>11.2</v>
      </c>
      <c r="HZ1540" s="19">
        <v>12</v>
      </c>
      <c r="IA1540" s="19">
        <v>13.2</v>
      </c>
      <c r="IB1540" s="19">
        <v>15.1</v>
      </c>
      <c r="IC1540" s="19">
        <v>18.6</v>
      </c>
    </row>
    <row r="1541">
      <c r="A1541" s="2" t="s">
        <v>5748</v>
      </c>
      <c r="B1541" s="2" t="s">
        <v>905</v>
      </c>
      <c r="C1541" s="2" t="s">
        <v>2746</v>
      </c>
      <c r="D1541" s="2" t="s">
        <v>2650</v>
      </c>
      <c r="E1541" s="2" t="s">
        <v>2651</v>
      </c>
      <c r="F1541" s="2" t="s">
        <v>5743</v>
      </c>
      <c r="G1541" s="2" t="s">
        <v>5743</v>
      </c>
      <c r="H1541" s="2" t="s">
        <v>5743</v>
      </c>
      <c r="I1541" s="2" t="s">
        <v>2653</v>
      </c>
      <c r="J1541" s="2" t="s">
        <v>272</v>
      </c>
      <c r="K1541" s="2" t="s">
        <v>316</v>
      </c>
      <c r="L1541" s="3">
        <v>69.04</v>
      </c>
      <c r="M1541" s="3">
        <v>72.5</v>
      </c>
      <c r="N1541" s="3">
        <v>144.99</v>
      </c>
      <c r="O1541" s="2" t="s">
        <v>232</v>
      </c>
      <c r="P1541" s="2" t="s">
        <v>878</v>
      </c>
      <c r="Q1541" s="2" t="s">
        <v>234</v>
      </c>
      <c r="R1541" s="2" t="s">
        <v>235</v>
      </c>
      <c r="S1541" s="2" t="s">
        <v>235</v>
      </c>
      <c r="T1541" s="2" t="s">
        <v>501</v>
      </c>
      <c r="U1541" s="2" t="s">
        <v>807</v>
      </c>
      <c r="V1541" s="2" t="s">
        <v>238</v>
      </c>
      <c r="W1541" s="2" t="s">
        <v>1029</v>
      </c>
      <c r="X1541" s="2" t="s">
        <v>235</v>
      </c>
      <c r="Y1541" s="2" t="s">
        <v>235</v>
      </c>
      <c r="Z1541" s="4"/>
      <c r="AA1541" s="4">
        <f>=ROUNDDOWN({0},0)</f>
      </c>
      <c r="AB1541" s="5"/>
      <c r="AC1541" s="2" t="s">
        <v>170</v>
      </c>
      <c r="AD1541" s="4">
        <v>274</v>
      </c>
      <c r="AE1541" s="4">
        <v>274</v>
      </c>
      <c r="AF1541" s="6">
        <v>65</v>
      </c>
      <c r="AG1541" s="6"/>
      <c r="AH1541" s="7"/>
      <c r="AI1541" s="4"/>
      <c r="AJ1541" s="4">
        <f>=ROUNDDOWN({0},0)</f>
      </c>
      <c r="AK1541" s="5"/>
      <c r="AL1541" s="2" t="s">
        <v>235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235</v>
      </c>
      <c r="AW1541" s="8" t="s">
        <v>235</v>
      </c>
      <c r="AX1541" s="4" t="s">
        <v>235</v>
      </c>
      <c r="AY1541" s="8" t="s">
        <v>235</v>
      </c>
      <c r="AZ1541" s="7" t="s">
        <v>235</v>
      </c>
      <c r="BA1541" s="7" t="s">
        <v>235</v>
      </c>
      <c r="BB1541" s="7"/>
      <c r="BC1541" s="4" t="s">
        <v>235</v>
      </c>
      <c r="BD1541" s="8" t="s">
        <v>235</v>
      </c>
      <c r="BE1541" s="4" t="s">
        <v>235</v>
      </c>
      <c r="BF1541" s="8" t="s">
        <v>235</v>
      </c>
      <c r="BG1541" s="7" t="s">
        <v>235</v>
      </c>
      <c r="BH1541" s="7" t="s">
        <v>235</v>
      </c>
      <c r="BI1541" s="7"/>
      <c r="BJ1541" s="4"/>
      <c r="BK1541" s="8"/>
      <c r="BL1541" s="2" t="s">
        <v>235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330</v>
      </c>
      <c r="BV1541" s="2" t="s">
        <v>235</v>
      </c>
      <c r="BW1541" s="2" t="s">
        <v>235</v>
      </c>
      <c r="BX1541" s="2" t="s">
        <v>330</v>
      </c>
      <c r="BY1541" s="2" t="s">
        <v>331</v>
      </c>
      <c r="BZ1541" s="2" t="s">
        <v>232</v>
      </c>
      <c r="CA1541" s="2" t="s">
        <v>235</v>
      </c>
      <c r="CB1541" s="2" t="s">
        <v>235</v>
      </c>
      <c r="CC1541" s="2" t="s">
        <v>248</v>
      </c>
      <c r="CD1541" s="2" t="s">
        <v>248</v>
      </c>
      <c r="CE1541" s="2" t="s">
        <v>235</v>
      </c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>
        <v>274</v>
      </c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>
        <v>274</v>
      </c>
      <c r="GM1541" s="4">
        <v>274</v>
      </c>
      <c r="GN1541" s="4">
        <v>274</v>
      </c>
      <c r="GO1541" s="4">
        <v>274</v>
      </c>
      <c r="GP1541" s="4">
        <v>255</v>
      </c>
      <c r="GQ1541" s="4">
        <v>242</v>
      </c>
      <c r="GR1541" s="4">
        <v>220</v>
      </c>
      <c r="GS1541" s="4">
        <v>200</v>
      </c>
      <c r="GT1541" s="4">
        <v>186</v>
      </c>
      <c r="GU1541" s="4">
        <v>182</v>
      </c>
      <c r="GV1541" s="4">
        <v>178</v>
      </c>
      <c r="GW1541" s="4">
        <v>174</v>
      </c>
      <c r="GX1541" s="4">
        <v>170</v>
      </c>
      <c r="GY1541" s="4">
        <v>166</v>
      </c>
      <c r="GZ1541" s="4">
        <v>160</v>
      </c>
      <c r="HA1541" s="4">
        <v>154</v>
      </c>
      <c r="HB1541" s="4">
        <v>148</v>
      </c>
      <c r="HC1541" s="4">
        <v>142</v>
      </c>
      <c r="HD1541" s="9"/>
      <c r="HE1541" s="9"/>
      <c r="HF1541" s="9"/>
      <c r="HG1541" s="9"/>
      <c r="HH1541" s="9"/>
      <c r="HI1541" s="9"/>
      <c r="HJ1541" s="9"/>
      <c r="HK1541" s="9"/>
      <c r="HL1541" s="19">
        <v>54.8</v>
      </c>
      <c r="HM1541" s="19">
        <v>34.3</v>
      </c>
      <c r="HN1541" s="19">
        <v>19.6</v>
      </c>
      <c r="HO1541" s="19">
        <v>15.2</v>
      </c>
      <c r="HP1541" s="19">
        <v>15</v>
      </c>
      <c r="HQ1541" s="19">
        <v>16.1</v>
      </c>
      <c r="HR1541" s="19">
        <v>22</v>
      </c>
      <c r="HS1541" s="19">
        <v>33.3</v>
      </c>
      <c r="HT1541" s="19">
        <v>46.5</v>
      </c>
      <c r="HU1541" s="19">
        <v>45.5</v>
      </c>
      <c r="HV1541" s="19">
        <v>44.5</v>
      </c>
      <c r="HW1541" s="19">
        <v>34.8</v>
      </c>
      <c r="HX1541" s="19">
        <v>28.3</v>
      </c>
      <c r="HY1541" s="19">
        <v>27.7</v>
      </c>
      <c r="HZ1541" s="19">
        <v>32</v>
      </c>
      <c r="IA1541" s="19">
        <v>38.5</v>
      </c>
      <c r="IB1541" s="19">
        <v>37</v>
      </c>
      <c r="IC1541" s="19">
        <v>47.3</v>
      </c>
    </row>
    <row r="1542">
      <c r="A1542" s="2" t="s">
        <v>5749</v>
      </c>
      <c r="B1542" s="2" t="s">
        <v>905</v>
      </c>
      <c r="C1542" s="2" t="s">
        <v>1036</v>
      </c>
      <c r="D1542" s="2" t="s">
        <v>981</v>
      </c>
      <c r="E1542" s="2" t="s">
        <v>982</v>
      </c>
      <c r="F1542" s="2" t="s">
        <v>5750</v>
      </c>
      <c r="G1542" s="2" t="s">
        <v>5750</v>
      </c>
      <c r="H1542" s="2" t="s">
        <v>5750</v>
      </c>
      <c r="I1542" s="2" t="s">
        <v>982</v>
      </c>
      <c r="J1542" s="2" t="s">
        <v>365</v>
      </c>
      <c r="K1542" s="2" t="s">
        <v>231</v>
      </c>
      <c r="L1542" s="3">
        <v>14.18</v>
      </c>
      <c r="M1542" s="3">
        <v>14.89</v>
      </c>
      <c r="N1542" s="3">
        <v>34.99</v>
      </c>
      <c r="O1542" s="2" t="s">
        <v>232</v>
      </c>
      <c r="P1542" s="2" t="s">
        <v>233</v>
      </c>
      <c r="Q1542" s="2" t="s">
        <v>234</v>
      </c>
      <c r="R1542" s="2" t="s">
        <v>235</v>
      </c>
      <c r="S1542" s="2" t="s">
        <v>5751</v>
      </c>
      <c r="T1542" s="2" t="s">
        <v>587</v>
      </c>
      <c r="U1542" s="2" t="s">
        <v>807</v>
      </c>
      <c r="V1542" s="2" t="s">
        <v>863</v>
      </c>
      <c r="W1542" s="2" t="s">
        <v>239</v>
      </c>
      <c r="X1542" s="2" t="s">
        <v>235</v>
      </c>
      <c r="Y1542" s="2" t="s">
        <v>2334</v>
      </c>
      <c r="Z1542" s="4">
        <v>1239</v>
      </c>
      <c r="AA1542" s="4">
        <f>=ROUNDDOWN(86.0416666666667,0)</f>
      </c>
      <c r="AB1542" s="5">
        <v>14.4</v>
      </c>
      <c r="AC1542" s="2" t="s">
        <v>235</v>
      </c>
      <c r="AD1542" s="4"/>
      <c r="AE1542" s="4"/>
      <c r="AF1542" s="6">
        <v>64</v>
      </c>
      <c r="AG1542" s="6"/>
      <c r="AH1542" s="7">
        <v>1</v>
      </c>
      <c r="AI1542" s="4"/>
      <c r="AJ1542" s="4">
        <f>=ROUNDDOWN({0},0)</f>
      </c>
      <c r="AK1542" s="5"/>
      <c r="AL1542" s="2" t="s">
        <v>235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235</v>
      </c>
      <c r="BD1542" s="8" t="s">
        <v>235</v>
      </c>
      <c r="BE1542" s="4" t="s">
        <v>235</v>
      </c>
      <c r="BF1542" s="8" t="s">
        <v>235</v>
      </c>
      <c r="BG1542" s="7" t="s">
        <v>235</v>
      </c>
      <c r="BH1542" s="7" t="s">
        <v>235</v>
      </c>
      <c r="BI1542" s="7"/>
      <c r="BJ1542" s="4">
        <v>68</v>
      </c>
      <c r="BK1542" s="8">
        <v>1098.28</v>
      </c>
      <c r="BL1542" s="2" t="s">
        <v>2072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5752</v>
      </c>
      <c r="BV1542" s="2" t="s">
        <v>243</v>
      </c>
      <c r="BW1542" s="2" t="s">
        <v>235</v>
      </c>
      <c r="BX1542" s="2" t="s">
        <v>244</v>
      </c>
      <c r="BY1542" s="2" t="s">
        <v>245</v>
      </c>
      <c r="BZ1542" s="2" t="s">
        <v>232</v>
      </c>
      <c r="CA1542" s="2" t="s">
        <v>5753</v>
      </c>
      <c r="CB1542" s="2" t="s">
        <v>3896</v>
      </c>
      <c r="CC1542" s="2" t="s">
        <v>248</v>
      </c>
      <c r="CD1542" s="2" t="s">
        <v>248</v>
      </c>
      <c r="CE1542" s="2" t="s">
        <v>235</v>
      </c>
      <c r="CF1542" s="4">
        <v>1239</v>
      </c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>
        <v>1243</v>
      </c>
      <c r="GE1542" s="4">
        <v>1222</v>
      </c>
      <c r="GF1542" s="4">
        <v>1205</v>
      </c>
      <c r="GG1542" s="4">
        <v>1187</v>
      </c>
      <c r="GH1542" s="4">
        <v>1168</v>
      </c>
      <c r="GI1542" s="4">
        <v>1144</v>
      </c>
      <c r="GJ1542" s="4">
        <v>1119</v>
      </c>
      <c r="GK1542" s="4">
        <v>1094</v>
      </c>
      <c r="GL1542" s="4">
        <v>1069</v>
      </c>
      <c r="GM1542" s="4">
        <v>1044</v>
      </c>
      <c r="GN1542" s="4">
        <v>1017</v>
      </c>
      <c r="GO1542" s="4">
        <v>972</v>
      </c>
      <c r="GP1542" s="4">
        <v>937</v>
      </c>
      <c r="GQ1542" s="4">
        <v>856</v>
      </c>
      <c r="GR1542" s="4">
        <v>820</v>
      </c>
      <c r="GS1542" s="4">
        <v>769</v>
      </c>
      <c r="GT1542" s="4">
        <v>745</v>
      </c>
      <c r="GU1542" s="4">
        <v>736</v>
      </c>
      <c r="GV1542" s="4">
        <v>721</v>
      </c>
      <c r="GW1542" s="4">
        <v>707</v>
      </c>
      <c r="GX1542" s="4">
        <v>693</v>
      </c>
      <c r="GY1542" s="4">
        <v>679</v>
      </c>
      <c r="GZ1542" s="4">
        <v>665</v>
      </c>
      <c r="HA1542" s="4">
        <v>653</v>
      </c>
      <c r="HB1542" s="4">
        <v>641</v>
      </c>
      <c r="HC1542" s="4">
        <v>627</v>
      </c>
      <c r="HD1542" s="19">
        <v>65.4</v>
      </c>
      <c r="HE1542" s="19">
        <v>61.1</v>
      </c>
      <c r="HF1542" s="19">
        <v>54.8</v>
      </c>
      <c r="HG1542" s="19">
        <v>51.6</v>
      </c>
      <c r="HH1542" s="19">
        <v>46.7</v>
      </c>
      <c r="HI1542" s="19">
        <v>45.8</v>
      </c>
      <c r="HJ1542" s="19">
        <v>43</v>
      </c>
      <c r="HK1542" s="19">
        <v>36.5</v>
      </c>
      <c r="HL1542" s="19">
        <v>32.4</v>
      </c>
      <c r="HM1542" s="19">
        <v>22.2</v>
      </c>
      <c r="HN1542" s="19">
        <v>20.8</v>
      </c>
      <c r="HO1542" s="19">
        <v>19.1</v>
      </c>
      <c r="HP1542" s="19">
        <v>19.5</v>
      </c>
      <c r="HQ1542" s="19">
        <v>28.5</v>
      </c>
      <c r="HR1542" s="19">
        <v>32.8</v>
      </c>
      <c r="HS1542" s="19">
        <v>48.1</v>
      </c>
      <c r="HT1542" s="19">
        <v>57.3</v>
      </c>
      <c r="HU1542" s="19">
        <v>52.6</v>
      </c>
      <c r="HV1542" s="19">
        <v>51.5</v>
      </c>
      <c r="HW1542" s="19">
        <v>50.5</v>
      </c>
      <c r="HX1542" s="19">
        <v>53.3</v>
      </c>
      <c r="HY1542" s="19">
        <v>52.2</v>
      </c>
      <c r="HZ1542" s="19">
        <v>55.4</v>
      </c>
      <c r="IA1542" s="19">
        <v>46.6</v>
      </c>
      <c r="IB1542" s="19">
        <v>45.8</v>
      </c>
      <c r="IC1542" s="19">
        <v>41.8</v>
      </c>
    </row>
    <row r="1543">
      <c r="A1543" s="2" t="s">
        <v>5754</v>
      </c>
      <c r="B1543" s="2" t="s">
        <v>905</v>
      </c>
      <c r="C1543" s="2" t="s">
        <v>1036</v>
      </c>
      <c r="D1543" s="2" t="s">
        <v>981</v>
      </c>
      <c r="E1543" s="2" t="s">
        <v>982</v>
      </c>
      <c r="F1543" s="2" t="s">
        <v>5750</v>
      </c>
      <c r="G1543" s="2" t="s">
        <v>5750</v>
      </c>
      <c r="H1543" s="2" t="s">
        <v>5750</v>
      </c>
      <c r="I1543" s="2" t="s">
        <v>982</v>
      </c>
      <c r="J1543" s="2" t="s">
        <v>394</v>
      </c>
      <c r="K1543" s="2" t="s">
        <v>292</v>
      </c>
      <c r="L1543" s="3">
        <v>11.86</v>
      </c>
      <c r="M1543" s="3">
        <v>12.45</v>
      </c>
      <c r="N1543" s="3">
        <v>29.99</v>
      </c>
      <c r="O1543" s="2" t="s">
        <v>232</v>
      </c>
      <c r="P1543" s="2" t="s">
        <v>233</v>
      </c>
      <c r="Q1543" s="2" t="s">
        <v>234</v>
      </c>
      <c r="R1543" s="2" t="s">
        <v>235</v>
      </c>
      <c r="S1543" s="2" t="s">
        <v>5755</v>
      </c>
      <c r="T1543" s="2" t="s">
        <v>587</v>
      </c>
      <c r="U1543" s="2" t="s">
        <v>807</v>
      </c>
      <c r="V1543" s="2" t="s">
        <v>863</v>
      </c>
      <c r="W1543" s="2" t="s">
        <v>239</v>
      </c>
      <c r="X1543" s="2" t="s">
        <v>235</v>
      </c>
      <c r="Y1543" s="2" t="s">
        <v>2334</v>
      </c>
      <c r="Z1543" s="4">
        <v>263</v>
      </c>
      <c r="AA1543" s="4">
        <f>=ROUNDDOWN(29.2222222222222,0)</f>
      </c>
      <c r="AB1543" s="5">
        <v>9</v>
      </c>
      <c r="AC1543" s="2" t="s">
        <v>235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235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235</v>
      </c>
      <c r="AW1543" s="8" t="s">
        <v>235</v>
      </c>
      <c r="AX1543" s="4" t="s">
        <v>235</v>
      </c>
      <c r="AY1543" s="8" t="s">
        <v>235</v>
      </c>
      <c r="AZ1543" s="7" t="s">
        <v>235</v>
      </c>
      <c r="BA1543" s="7" t="s">
        <v>235</v>
      </c>
      <c r="BB1543" s="7"/>
      <c r="BC1543" s="4" t="s">
        <v>235</v>
      </c>
      <c r="BD1543" s="8" t="s">
        <v>235</v>
      </c>
      <c r="BE1543" s="4" t="s">
        <v>235</v>
      </c>
      <c r="BF1543" s="8" t="s">
        <v>235</v>
      </c>
      <c r="BG1543" s="7" t="s">
        <v>235</v>
      </c>
      <c r="BH1543" s="7" t="s">
        <v>235</v>
      </c>
      <c r="BI1543" s="7"/>
      <c r="BJ1543" s="4">
        <v>21</v>
      </c>
      <c r="BK1543" s="8">
        <v>282.7</v>
      </c>
      <c r="BL1543" s="2" t="s">
        <v>5756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5752</v>
      </c>
      <c r="BV1543" s="2" t="s">
        <v>243</v>
      </c>
      <c r="BW1543" s="2" t="s">
        <v>235</v>
      </c>
      <c r="BX1543" s="2" t="s">
        <v>244</v>
      </c>
      <c r="BY1543" s="2" t="s">
        <v>245</v>
      </c>
      <c r="BZ1543" s="2" t="s">
        <v>232</v>
      </c>
      <c r="CA1543" s="2" t="s">
        <v>5753</v>
      </c>
      <c r="CB1543" s="2" t="s">
        <v>5757</v>
      </c>
      <c r="CC1543" s="2" t="s">
        <v>248</v>
      </c>
      <c r="CD1543" s="2" t="s">
        <v>248</v>
      </c>
      <c r="CE1543" s="2" t="s">
        <v>235</v>
      </c>
      <c r="CF1543" s="4">
        <v>201</v>
      </c>
      <c r="CG1543" s="4"/>
      <c r="CH1543" s="4"/>
      <c r="CI1543" s="4">
        <v>62</v>
      </c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>
        <v>266</v>
      </c>
      <c r="GE1543" s="4">
        <v>249</v>
      </c>
      <c r="GF1543" s="4">
        <v>241</v>
      </c>
      <c r="GG1543" s="4">
        <v>233</v>
      </c>
      <c r="GH1543" s="4">
        <v>225</v>
      </c>
      <c r="GI1543" s="4">
        <v>214</v>
      </c>
      <c r="GJ1543" s="4">
        <v>202</v>
      </c>
      <c r="GK1543" s="4">
        <v>191</v>
      </c>
      <c r="GL1543" s="4">
        <v>179</v>
      </c>
      <c r="GM1543" s="4">
        <v>168</v>
      </c>
      <c r="GN1543" s="4">
        <v>155</v>
      </c>
      <c r="GO1543" s="4">
        <v>134</v>
      </c>
      <c r="GP1543" s="4">
        <v>117</v>
      </c>
      <c r="GQ1543" s="4">
        <v>83</v>
      </c>
      <c r="GR1543" s="4">
        <v>64</v>
      </c>
      <c r="GS1543" s="4">
        <v>42</v>
      </c>
      <c r="GT1543" s="4">
        <v>35</v>
      </c>
      <c r="GU1543" s="4">
        <v>30</v>
      </c>
      <c r="GV1543" s="4">
        <v>22</v>
      </c>
      <c r="GW1543" s="4">
        <v>549</v>
      </c>
      <c r="GX1543" s="4">
        <v>542</v>
      </c>
      <c r="GY1543" s="4">
        <v>535</v>
      </c>
      <c r="GZ1543" s="4">
        <v>528</v>
      </c>
      <c r="HA1543" s="4">
        <v>520</v>
      </c>
      <c r="HB1543" s="4">
        <v>512</v>
      </c>
      <c r="HC1543" s="4">
        <v>503</v>
      </c>
      <c r="HD1543" s="19">
        <v>26.6</v>
      </c>
      <c r="HE1543" s="19">
        <v>27.7</v>
      </c>
      <c r="HF1543" s="19">
        <v>24.1</v>
      </c>
      <c r="HG1543" s="19">
        <v>23.3</v>
      </c>
      <c r="HH1543" s="19">
        <v>18.8</v>
      </c>
      <c r="HI1543" s="19">
        <v>17.8</v>
      </c>
      <c r="HJ1543" s="19">
        <v>16.8</v>
      </c>
      <c r="HK1543" s="19">
        <v>13.6</v>
      </c>
      <c r="HL1543" s="19">
        <v>11.2</v>
      </c>
      <c r="HM1543" s="19">
        <v>8</v>
      </c>
      <c r="HN1543" s="19">
        <v>6.7</v>
      </c>
      <c r="HO1543" s="19">
        <v>5.8</v>
      </c>
      <c r="HP1543" s="19">
        <v>5.9</v>
      </c>
      <c r="HQ1543" s="19">
        <v>6.4</v>
      </c>
      <c r="HR1543" s="19">
        <v>6.4</v>
      </c>
      <c r="HS1543" s="19">
        <v>6</v>
      </c>
      <c r="HT1543" s="19">
        <v>5</v>
      </c>
      <c r="HU1543" s="19">
        <v>4.3</v>
      </c>
      <c r="HV1543" s="19">
        <v>3.1</v>
      </c>
      <c r="HW1543" s="19">
        <v>78.4</v>
      </c>
      <c r="HX1543" s="19">
        <v>67.8</v>
      </c>
      <c r="HY1543" s="19">
        <v>66.9</v>
      </c>
      <c r="HZ1543" s="19">
        <v>66</v>
      </c>
      <c r="IA1543" s="19">
        <v>65</v>
      </c>
      <c r="IB1543" s="19">
        <v>56.9</v>
      </c>
      <c r="IC1543" s="19">
        <v>55.9</v>
      </c>
    </row>
    <row r="1544">
      <c r="A1544" s="2" t="s">
        <v>5758</v>
      </c>
      <c r="B1544" s="2" t="s">
        <v>905</v>
      </c>
      <c r="C1544" s="2" t="s">
        <v>1036</v>
      </c>
      <c r="D1544" s="2" t="s">
        <v>981</v>
      </c>
      <c r="E1544" s="2" t="s">
        <v>982</v>
      </c>
      <c r="F1544" s="2" t="s">
        <v>5750</v>
      </c>
      <c r="G1544" s="2" t="s">
        <v>5750</v>
      </c>
      <c r="H1544" s="2" t="s">
        <v>5750</v>
      </c>
      <c r="I1544" s="2" t="s">
        <v>982</v>
      </c>
      <c r="J1544" s="2" t="s">
        <v>365</v>
      </c>
      <c r="K1544" s="2" t="s">
        <v>292</v>
      </c>
      <c r="L1544" s="3">
        <v>14.18</v>
      </c>
      <c r="M1544" s="3">
        <v>14.89</v>
      </c>
      <c r="N1544" s="3">
        <v>34.99</v>
      </c>
      <c r="O1544" s="2" t="s">
        <v>232</v>
      </c>
      <c r="P1544" s="2" t="s">
        <v>233</v>
      </c>
      <c r="Q1544" s="2" t="s">
        <v>234</v>
      </c>
      <c r="R1544" s="2" t="s">
        <v>235</v>
      </c>
      <c r="S1544" s="2" t="s">
        <v>5755</v>
      </c>
      <c r="T1544" s="2" t="s">
        <v>587</v>
      </c>
      <c r="U1544" s="2" t="s">
        <v>807</v>
      </c>
      <c r="V1544" s="2" t="s">
        <v>863</v>
      </c>
      <c r="W1544" s="2" t="s">
        <v>239</v>
      </c>
      <c r="X1544" s="2" t="s">
        <v>235</v>
      </c>
      <c r="Y1544" s="2" t="s">
        <v>2334</v>
      </c>
      <c r="Z1544" s="4">
        <v>1142</v>
      </c>
      <c r="AA1544" s="4">
        <f>=ROUNDDOWN(92.0967741935484,0)</f>
      </c>
      <c r="AB1544" s="5">
        <v>12.4</v>
      </c>
      <c r="AC1544" s="2" t="s">
        <v>235</v>
      </c>
      <c r="AD1544" s="4"/>
      <c r="AE1544" s="4"/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235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235</v>
      </c>
      <c r="AW1544" s="8" t="s">
        <v>235</v>
      </c>
      <c r="AX1544" s="4" t="s">
        <v>235</v>
      </c>
      <c r="AY1544" s="8" t="s">
        <v>235</v>
      </c>
      <c r="AZ1544" s="7" t="s">
        <v>235</v>
      </c>
      <c r="BA1544" s="7" t="s">
        <v>235</v>
      </c>
      <c r="BB1544" s="7"/>
      <c r="BC1544" s="4" t="s">
        <v>235</v>
      </c>
      <c r="BD1544" s="8" t="s">
        <v>235</v>
      </c>
      <c r="BE1544" s="4" t="s">
        <v>235</v>
      </c>
      <c r="BF1544" s="8" t="s">
        <v>235</v>
      </c>
      <c r="BG1544" s="7" t="s">
        <v>235</v>
      </c>
      <c r="BH1544" s="7" t="s">
        <v>235</v>
      </c>
      <c r="BI1544" s="7"/>
      <c r="BJ1544" s="4">
        <v>72</v>
      </c>
      <c r="BK1544" s="8">
        <v>1168.58</v>
      </c>
      <c r="BL1544" s="2" t="s">
        <v>2596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5752</v>
      </c>
      <c r="BV1544" s="2" t="s">
        <v>243</v>
      </c>
      <c r="BW1544" s="2" t="s">
        <v>235</v>
      </c>
      <c r="BX1544" s="2" t="s">
        <v>244</v>
      </c>
      <c r="BY1544" s="2" t="s">
        <v>245</v>
      </c>
      <c r="BZ1544" s="2" t="s">
        <v>232</v>
      </c>
      <c r="CA1544" s="2" t="s">
        <v>5753</v>
      </c>
      <c r="CB1544" s="2" t="s">
        <v>1527</v>
      </c>
      <c r="CC1544" s="2" t="s">
        <v>248</v>
      </c>
      <c r="CD1544" s="2" t="s">
        <v>248</v>
      </c>
      <c r="CE1544" s="2" t="s">
        <v>235</v>
      </c>
      <c r="CF1544" s="4">
        <v>1142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>
        <v>1146</v>
      </c>
      <c r="GE1544" s="4">
        <v>1112</v>
      </c>
      <c r="GF1544" s="4">
        <v>1097</v>
      </c>
      <c r="GG1544" s="4">
        <v>1082</v>
      </c>
      <c r="GH1544" s="4">
        <v>1067</v>
      </c>
      <c r="GI1544" s="4">
        <v>1048</v>
      </c>
      <c r="GJ1544" s="4">
        <v>1028</v>
      </c>
      <c r="GK1544" s="4">
        <v>1008</v>
      </c>
      <c r="GL1544" s="4">
        <v>988</v>
      </c>
      <c r="GM1544" s="4">
        <v>968</v>
      </c>
      <c r="GN1544" s="4">
        <v>947</v>
      </c>
      <c r="GO1544" s="4">
        <v>912</v>
      </c>
      <c r="GP1544" s="4">
        <v>885</v>
      </c>
      <c r="GQ1544" s="4">
        <v>822</v>
      </c>
      <c r="GR1544" s="4">
        <v>794</v>
      </c>
      <c r="GS1544" s="4">
        <v>754</v>
      </c>
      <c r="GT1544" s="4">
        <v>735</v>
      </c>
      <c r="GU1544" s="4">
        <v>728</v>
      </c>
      <c r="GV1544" s="4">
        <v>716</v>
      </c>
      <c r="GW1544" s="4">
        <v>812</v>
      </c>
      <c r="GX1544" s="4">
        <v>801</v>
      </c>
      <c r="GY1544" s="4">
        <v>790</v>
      </c>
      <c r="GZ1544" s="4">
        <v>779</v>
      </c>
      <c r="HA1544" s="4">
        <v>769</v>
      </c>
      <c r="HB1544" s="4">
        <v>759</v>
      </c>
      <c r="HC1544" s="4">
        <v>748</v>
      </c>
      <c r="HD1544" s="19">
        <v>57.3</v>
      </c>
      <c r="HE1544" s="19">
        <v>69.5</v>
      </c>
      <c r="HF1544" s="19">
        <v>64.5</v>
      </c>
      <c r="HG1544" s="19">
        <v>60.1</v>
      </c>
      <c r="HH1544" s="19">
        <v>53.4</v>
      </c>
      <c r="HI1544" s="19">
        <v>52.4</v>
      </c>
      <c r="HJ1544" s="19">
        <v>51.4</v>
      </c>
      <c r="HK1544" s="19">
        <v>42</v>
      </c>
      <c r="HL1544" s="19">
        <v>38</v>
      </c>
      <c r="HM1544" s="19">
        <v>26.9</v>
      </c>
      <c r="HN1544" s="19">
        <v>24.9</v>
      </c>
      <c r="HO1544" s="19">
        <v>22.8</v>
      </c>
      <c r="HP1544" s="19">
        <v>23.3</v>
      </c>
      <c r="HQ1544" s="19">
        <v>34.3</v>
      </c>
      <c r="HR1544" s="19">
        <v>39.7</v>
      </c>
      <c r="HS1544" s="19">
        <v>62.8</v>
      </c>
      <c r="HT1544" s="19">
        <v>73.5</v>
      </c>
      <c r="HU1544" s="19">
        <v>66.2</v>
      </c>
      <c r="HV1544" s="19">
        <v>65.1</v>
      </c>
      <c r="HW1544" s="19">
        <v>73.8</v>
      </c>
      <c r="HX1544" s="19">
        <v>80.1</v>
      </c>
      <c r="HY1544" s="19">
        <v>79</v>
      </c>
      <c r="HZ1544" s="19">
        <v>77.9</v>
      </c>
      <c r="IA1544" s="19">
        <v>69.9</v>
      </c>
      <c r="IB1544" s="19">
        <v>63.3</v>
      </c>
      <c r="IC1544" s="19">
        <v>62.3</v>
      </c>
    </row>
    <row r="1545">
      <c r="A1545" s="2" t="s">
        <v>5759</v>
      </c>
      <c r="B1545" s="2" t="s">
        <v>905</v>
      </c>
      <c r="C1545" s="2" t="s">
        <v>1036</v>
      </c>
      <c r="D1545" s="2" t="s">
        <v>981</v>
      </c>
      <c r="E1545" s="2" t="s">
        <v>982</v>
      </c>
      <c r="F1545" s="2" t="s">
        <v>5750</v>
      </c>
      <c r="G1545" s="2" t="s">
        <v>5750</v>
      </c>
      <c r="H1545" s="2" t="s">
        <v>5750</v>
      </c>
      <c r="I1545" s="2" t="s">
        <v>982</v>
      </c>
      <c r="J1545" s="2" t="s">
        <v>394</v>
      </c>
      <c r="K1545" s="2" t="s">
        <v>295</v>
      </c>
      <c r="L1545" s="3">
        <v>11.86</v>
      </c>
      <c r="M1545" s="3">
        <v>12.45</v>
      </c>
      <c r="N1545" s="3">
        <v>29.99</v>
      </c>
      <c r="O1545" s="2" t="s">
        <v>232</v>
      </c>
      <c r="P1545" s="2" t="s">
        <v>233</v>
      </c>
      <c r="Q1545" s="2" t="s">
        <v>234</v>
      </c>
      <c r="R1545" s="2" t="s">
        <v>235</v>
      </c>
      <c r="S1545" s="2" t="s">
        <v>5760</v>
      </c>
      <c r="T1545" s="2" t="s">
        <v>587</v>
      </c>
      <c r="U1545" s="2" t="s">
        <v>807</v>
      </c>
      <c r="V1545" s="2" t="s">
        <v>863</v>
      </c>
      <c r="W1545" s="2" t="s">
        <v>239</v>
      </c>
      <c r="X1545" s="2" t="s">
        <v>235</v>
      </c>
      <c r="Y1545" s="2" t="s">
        <v>5761</v>
      </c>
      <c r="Z1545" s="4">
        <v>404</v>
      </c>
      <c r="AA1545" s="4">
        <f>=ROUNDDOWN(56.9014084507042,0)</f>
      </c>
      <c r="AB1545" s="5">
        <v>7.1</v>
      </c>
      <c r="AC1545" s="2" t="s">
        <v>235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235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235</v>
      </c>
      <c r="BD1545" s="8" t="s">
        <v>235</v>
      </c>
      <c r="BE1545" s="4" t="s">
        <v>235</v>
      </c>
      <c r="BF1545" s="8" t="s">
        <v>235</v>
      </c>
      <c r="BG1545" s="7" t="s">
        <v>235</v>
      </c>
      <c r="BH1545" s="7" t="s">
        <v>235</v>
      </c>
      <c r="BI1545" s="7"/>
      <c r="BJ1545" s="4">
        <v>50</v>
      </c>
      <c r="BK1545" s="8">
        <v>711.26</v>
      </c>
      <c r="BL1545" s="2" t="s">
        <v>5762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5752</v>
      </c>
      <c r="BV1545" s="2" t="s">
        <v>243</v>
      </c>
      <c r="BW1545" s="2" t="s">
        <v>235</v>
      </c>
      <c r="BX1545" s="2" t="s">
        <v>244</v>
      </c>
      <c r="BY1545" s="2" t="s">
        <v>245</v>
      </c>
      <c r="BZ1545" s="2" t="s">
        <v>232</v>
      </c>
      <c r="CA1545" s="2" t="s">
        <v>5753</v>
      </c>
      <c r="CB1545" s="2" t="s">
        <v>5763</v>
      </c>
      <c r="CC1545" s="2" t="s">
        <v>248</v>
      </c>
      <c r="CD1545" s="2" t="s">
        <v>248</v>
      </c>
      <c r="CE1545" s="2" t="s">
        <v>235</v>
      </c>
      <c r="CF1545" s="4">
        <v>350</v>
      </c>
      <c r="CG1545" s="4"/>
      <c r="CH1545" s="4"/>
      <c r="CI1545" s="4">
        <v>54</v>
      </c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>
        <v>406</v>
      </c>
      <c r="GE1545" s="4">
        <v>391</v>
      </c>
      <c r="GF1545" s="4">
        <v>385</v>
      </c>
      <c r="GG1545" s="4">
        <v>379</v>
      </c>
      <c r="GH1545" s="4">
        <v>373</v>
      </c>
      <c r="GI1545" s="4">
        <v>365</v>
      </c>
      <c r="GJ1545" s="4">
        <v>356</v>
      </c>
      <c r="GK1545" s="4">
        <v>348</v>
      </c>
      <c r="GL1545" s="4">
        <v>339</v>
      </c>
      <c r="GM1545" s="4">
        <v>331</v>
      </c>
      <c r="GN1545" s="4">
        <v>321</v>
      </c>
      <c r="GO1545" s="4">
        <v>305</v>
      </c>
      <c r="GP1545" s="4">
        <v>292</v>
      </c>
      <c r="GQ1545" s="4">
        <v>266</v>
      </c>
      <c r="GR1545" s="4">
        <v>252</v>
      </c>
      <c r="GS1545" s="4">
        <v>235</v>
      </c>
      <c r="GT1545" s="4">
        <v>229</v>
      </c>
      <c r="GU1545" s="4">
        <v>225</v>
      </c>
      <c r="GV1545" s="4">
        <v>219</v>
      </c>
      <c r="GW1545" s="4">
        <v>213</v>
      </c>
      <c r="GX1545" s="4">
        <v>207</v>
      </c>
      <c r="GY1545" s="4">
        <v>201</v>
      </c>
      <c r="GZ1545" s="4">
        <v>195</v>
      </c>
      <c r="HA1545" s="4">
        <v>189</v>
      </c>
      <c r="HB1545" s="4">
        <v>183</v>
      </c>
      <c r="HC1545" s="4">
        <v>176</v>
      </c>
      <c r="HD1545" s="19">
        <v>50.8</v>
      </c>
      <c r="HE1545" s="19">
        <v>65.2</v>
      </c>
      <c r="HF1545" s="19">
        <v>55</v>
      </c>
      <c r="HG1545" s="19">
        <v>47.4</v>
      </c>
      <c r="HH1545" s="19">
        <v>46.6</v>
      </c>
      <c r="HI1545" s="19">
        <v>45.6</v>
      </c>
      <c r="HJ1545" s="19">
        <v>39.6</v>
      </c>
      <c r="HK1545" s="19">
        <v>31.6</v>
      </c>
      <c r="HL1545" s="19">
        <v>28.3</v>
      </c>
      <c r="HM1545" s="19">
        <v>20.7</v>
      </c>
      <c r="HN1545" s="19">
        <v>18.9</v>
      </c>
      <c r="HO1545" s="19">
        <v>16.9</v>
      </c>
      <c r="HP1545" s="19">
        <v>18.3</v>
      </c>
      <c r="HQ1545" s="19">
        <v>26.6</v>
      </c>
      <c r="HR1545" s="19">
        <v>31.5</v>
      </c>
      <c r="HS1545" s="19">
        <v>39.2</v>
      </c>
      <c r="HT1545" s="19">
        <v>38.2</v>
      </c>
      <c r="HU1545" s="19">
        <v>37.5</v>
      </c>
      <c r="HV1545" s="19">
        <v>36.5</v>
      </c>
      <c r="HW1545" s="19">
        <v>35.5</v>
      </c>
      <c r="HX1545" s="19">
        <v>34.5</v>
      </c>
      <c r="HY1545" s="19">
        <v>33.5</v>
      </c>
      <c r="HZ1545" s="19">
        <v>32.5</v>
      </c>
      <c r="IA1545" s="19">
        <v>31.5</v>
      </c>
      <c r="IB1545" s="19">
        <v>26.1</v>
      </c>
      <c r="IC1545" s="19">
        <v>25.1</v>
      </c>
    </row>
    <row r="1546">
      <c r="A1546" s="2" t="s">
        <v>5764</v>
      </c>
      <c r="B1546" s="2" t="s">
        <v>905</v>
      </c>
      <c r="C1546" s="2" t="s">
        <v>1036</v>
      </c>
      <c r="D1546" s="2" t="s">
        <v>981</v>
      </c>
      <c r="E1546" s="2" t="s">
        <v>982</v>
      </c>
      <c r="F1546" s="2" t="s">
        <v>5750</v>
      </c>
      <c r="G1546" s="2" t="s">
        <v>5750</v>
      </c>
      <c r="H1546" s="2" t="s">
        <v>5750</v>
      </c>
      <c r="I1546" s="2" t="s">
        <v>982</v>
      </c>
      <c r="J1546" s="2" t="s">
        <v>365</v>
      </c>
      <c r="K1546" s="2" t="s">
        <v>2029</v>
      </c>
      <c r="L1546" s="3">
        <v>14.18</v>
      </c>
      <c r="M1546" s="3">
        <v>14.89</v>
      </c>
      <c r="N1546" s="3">
        <v>34.99</v>
      </c>
      <c r="O1546" s="2" t="s">
        <v>232</v>
      </c>
      <c r="P1546" s="2" t="s">
        <v>233</v>
      </c>
      <c r="Q1546" s="2" t="s">
        <v>234</v>
      </c>
      <c r="R1546" s="2" t="s">
        <v>235</v>
      </c>
      <c r="S1546" s="2" t="s">
        <v>5765</v>
      </c>
      <c r="T1546" s="2" t="s">
        <v>587</v>
      </c>
      <c r="U1546" s="2" t="s">
        <v>807</v>
      </c>
      <c r="V1546" s="2" t="s">
        <v>863</v>
      </c>
      <c r="W1546" s="2" t="s">
        <v>239</v>
      </c>
      <c r="X1546" s="2" t="s">
        <v>235</v>
      </c>
      <c r="Y1546" s="2" t="s">
        <v>2334</v>
      </c>
      <c r="Z1546" s="4">
        <v>1187</v>
      </c>
      <c r="AA1546" s="4">
        <f>=ROUNDDOWN(110.934579439252,0)</f>
      </c>
      <c r="AB1546" s="5">
        <v>10.7</v>
      </c>
      <c r="AC1546" s="2" t="s">
        <v>235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235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235</v>
      </c>
      <c r="BD1546" s="8" t="s">
        <v>235</v>
      </c>
      <c r="BE1546" s="4" t="s">
        <v>235</v>
      </c>
      <c r="BF1546" s="8" t="s">
        <v>235</v>
      </c>
      <c r="BG1546" s="7" t="s">
        <v>235</v>
      </c>
      <c r="BH1546" s="7" t="s">
        <v>235</v>
      </c>
      <c r="BI1546" s="7"/>
      <c r="BJ1546" s="4">
        <v>47</v>
      </c>
      <c r="BK1546" s="8">
        <v>759.95</v>
      </c>
      <c r="BL1546" s="2" t="s">
        <v>2589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5752</v>
      </c>
      <c r="BV1546" s="2" t="s">
        <v>243</v>
      </c>
      <c r="BW1546" s="2" t="s">
        <v>235</v>
      </c>
      <c r="BX1546" s="2" t="s">
        <v>244</v>
      </c>
      <c r="BY1546" s="2" t="s">
        <v>245</v>
      </c>
      <c r="BZ1546" s="2" t="s">
        <v>232</v>
      </c>
      <c r="CA1546" s="2" t="s">
        <v>5753</v>
      </c>
      <c r="CB1546" s="2" t="s">
        <v>3189</v>
      </c>
      <c r="CC1546" s="2" t="s">
        <v>248</v>
      </c>
      <c r="CD1546" s="2" t="s">
        <v>248</v>
      </c>
      <c r="CE1546" s="2" t="s">
        <v>235</v>
      </c>
      <c r="CF1546" s="4">
        <v>1105</v>
      </c>
      <c r="CG1546" s="4"/>
      <c r="CH1546" s="4"/>
      <c r="CI1546" s="4">
        <v>82</v>
      </c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>
        <v>1195</v>
      </c>
      <c r="GE1546" s="4">
        <v>1173</v>
      </c>
      <c r="GF1546" s="4">
        <v>1160</v>
      </c>
      <c r="GG1546" s="4">
        <v>1147</v>
      </c>
      <c r="GH1546" s="4">
        <v>1134</v>
      </c>
      <c r="GI1546" s="4">
        <v>1117</v>
      </c>
      <c r="GJ1546" s="4">
        <v>1100</v>
      </c>
      <c r="GK1546" s="4">
        <v>1082</v>
      </c>
      <c r="GL1546" s="4">
        <v>1063</v>
      </c>
      <c r="GM1546" s="4">
        <v>1045</v>
      </c>
      <c r="GN1546" s="4">
        <v>1025</v>
      </c>
      <c r="GO1546" s="4">
        <v>991</v>
      </c>
      <c r="GP1546" s="4">
        <v>965</v>
      </c>
      <c r="GQ1546" s="4">
        <v>903</v>
      </c>
      <c r="GR1546" s="4">
        <v>876</v>
      </c>
      <c r="GS1546" s="4">
        <v>837</v>
      </c>
      <c r="GT1546" s="4">
        <v>819</v>
      </c>
      <c r="GU1546" s="4">
        <v>813</v>
      </c>
      <c r="GV1546" s="4">
        <v>802</v>
      </c>
      <c r="GW1546" s="4">
        <v>792</v>
      </c>
      <c r="GX1546" s="4">
        <v>782</v>
      </c>
      <c r="GY1546" s="4">
        <v>772</v>
      </c>
      <c r="GZ1546" s="4">
        <v>762</v>
      </c>
      <c r="HA1546" s="4">
        <v>753</v>
      </c>
      <c r="HB1546" s="4">
        <v>744</v>
      </c>
      <c r="HC1546" s="4">
        <v>734</v>
      </c>
      <c r="HD1546" s="19">
        <v>79.7</v>
      </c>
      <c r="HE1546" s="19">
        <v>83.8</v>
      </c>
      <c r="HF1546" s="19">
        <v>77.3</v>
      </c>
      <c r="HG1546" s="19">
        <v>71.7</v>
      </c>
      <c r="HH1546" s="19">
        <v>63</v>
      </c>
      <c r="HI1546" s="19">
        <v>62.1</v>
      </c>
      <c r="HJ1546" s="19">
        <v>57.9</v>
      </c>
      <c r="HK1546" s="19">
        <v>47</v>
      </c>
      <c r="HL1546" s="19">
        <v>44.3</v>
      </c>
      <c r="HM1546" s="19">
        <v>29</v>
      </c>
      <c r="HN1546" s="19">
        <v>27.7</v>
      </c>
      <c r="HO1546" s="19">
        <v>26.1</v>
      </c>
      <c r="HP1546" s="19">
        <v>26.8</v>
      </c>
      <c r="HQ1546" s="19">
        <v>41</v>
      </c>
      <c r="HR1546" s="19">
        <v>48.7</v>
      </c>
      <c r="HS1546" s="19">
        <v>76.1</v>
      </c>
      <c r="HT1546" s="19">
        <v>91</v>
      </c>
      <c r="HU1546" s="19">
        <v>81.3</v>
      </c>
      <c r="HV1546" s="19">
        <v>80.2</v>
      </c>
      <c r="HW1546" s="19">
        <v>79.2</v>
      </c>
      <c r="HX1546" s="19">
        <v>78.2</v>
      </c>
      <c r="HY1546" s="19">
        <v>77.2</v>
      </c>
      <c r="HZ1546" s="19">
        <v>84.7</v>
      </c>
      <c r="IA1546" s="19">
        <v>75.3</v>
      </c>
      <c r="IB1546" s="19">
        <v>67.6</v>
      </c>
      <c r="IC1546" s="19">
        <v>66.7</v>
      </c>
    </row>
    <row r="1547">
      <c r="A1547" s="2" t="s">
        <v>5766</v>
      </c>
      <c r="B1547" s="2" t="s">
        <v>905</v>
      </c>
      <c r="C1547" s="2" t="s">
        <v>853</v>
      </c>
      <c r="D1547" s="2" t="s">
        <v>981</v>
      </c>
      <c r="E1547" s="2" t="s">
        <v>982</v>
      </c>
      <c r="F1547" s="2" t="s">
        <v>5767</v>
      </c>
      <c r="G1547" s="2" t="s">
        <v>5767</v>
      </c>
      <c r="H1547" s="2" t="s">
        <v>5767</v>
      </c>
      <c r="I1547" s="2" t="s">
        <v>5768</v>
      </c>
      <c r="J1547" s="2" t="s">
        <v>365</v>
      </c>
      <c r="K1547" s="2" t="s">
        <v>378</v>
      </c>
      <c r="L1547" s="3">
        <v>16.82</v>
      </c>
      <c r="M1547" s="3">
        <v>17.66</v>
      </c>
      <c r="N1547" s="3">
        <v>39.99</v>
      </c>
      <c r="O1547" s="2" t="s">
        <v>232</v>
      </c>
      <c r="P1547" s="2" t="s">
        <v>233</v>
      </c>
      <c r="Q1547" s="2" t="s">
        <v>234</v>
      </c>
      <c r="R1547" s="2" t="s">
        <v>235</v>
      </c>
      <c r="S1547" s="2" t="s">
        <v>5769</v>
      </c>
      <c r="T1547" s="2" t="s">
        <v>2295</v>
      </c>
      <c r="U1547" s="2" t="s">
        <v>235</v>
      </c>
      <c r="V1547" s="2" t="s">
        <v>238</v>
      </c>
      <c r="W1547" s="2" t="s">
        <v>239</v>
      </c>
      <c r="X1547" s="2" t="s">
        <v>235</v>
      </c>
      <c r="Y1547" s="2" t="s">
        <v>240</v>
      </c>
      <c r="Z1547" s="4">
        <v>932</v>
      </c>
      <c r="AA1547" s="4">
        <f>=ROUNDDOWN(51.7777777777778,0)</f>
      </c>
      <c r="AB1547" s="5">
        <v>18</v>
      </c>
      <c r="AC1547" s="2" t="s">
        <v>235</v>
      </c>
      <c r="AD1547" s="4"/>
      <c r="AE1547" s="4"/>
      <c r="AF1547" s="6">
        <v>75</v>
      </c>
      <c r="AG1547" s="6"/>
      <c r="AH1547" s="7">
        <v>1</v>
      </c>
      <c r="AI1547" s="4"/>
      <c r="AJ1547" s="4">
        <f>=ROUNDDOWN({0},0)</f>
      </c>
      <c r="AK1547" s="5"/>
      <c r="AL1547" s="2" t="s">
        <v>235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235</v>
      </c>
      <c r="BD1547" s="8" t="s">
        <v>235</v>
      </c>
      <c r="BE1547" s="4" t="s">
        <v>235</v>
      </c>
      <c r="BF1547" s="8" t="s">
        <v>235</v>
      </c>
      <c r="BG1547" s="7" t="s">
        <v>235</v>
      </c>
      <c r="BH1547" s="7" t="s">
        <v>235</v>
      </c>
      <c r="BI1547" s="7"/>
      <c r="BJ1547" s="4">
        <v>116</v>
      </c>
      <c r="BK1547" s="8">
        <v>1992.08</v>
      </c>
      <c r="BL1547" s="2" t="s">
        <v>5770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5771</v>
      </c>
      <c r="BV1547" s="2" t="s">
        <v>243</v>
      </c>
      <c r="BW1547" s="2" t="s">
        <v>235</v>
      </c>
      <c r="BX1547" s="2" t="s">
        <v>383</v>
      </c>
      <c r="BY1547" s="2" t="s">
        <v>245</v>
      </c>
      <c r="BZ1547" s="2" t="s">
        <v>232</v>
      </c>
      <c r="CA1547" s="2" t="s">
        <v>5565</v>
      </c>
      <c r="CB1547" s="2" t="s">
        <v>4929</v>
      </c>
      <c r="CC1547" s="2" t="s">
        <v>248</v>
      </c>
      <c r="CD1547" s="2" t="s">
        <v>248</v>
      </c>
      <c r="CE1547" s="2" t="s">
        <v>235</v>
      </c>
      <c r="CF1547" s="4">
        <v>932</v>
      </c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>
        <v>933</v>
      </c>
      <c r="GE1547" s="4">
        <v>874</v>
      </c>
      <c r="GF1547" s="4">
        <v>852</v>
      </c>
      <c r="GG1547" s="4">
        <v>830</v>
      </c>
      <c r="GH1547" s="4">
        <v>808</v>
      </c>
      <c r="GI1547" s="4">
        <v>781</v>
      </c>
      <c r="GJ1547" s="4">
        <v>750</v>
      </c>
      <c r="GK1547" s="4">
        <v>721</v>
      </c>
      <c r="GL1547" s="4">
        <v>691</v>
      </c>
      <c r="GM1547" s="4">
        <v>662</v>
      </c>
      <c r="GN1547" s="4">
        <v>632</v>
      </c>
      <c r="GO1547" s="4">
        <v>584</v>
      </c>
      <c r="GP1547" s="4">
        <v>546</v>
      </c>
      <c r="GQ1547" s="4">
        <v>462</v>
      </c>
      <c r="GR1547" s="4">
        <v>423</v>
      </c>
      <c r="GS1547" s="4">
        <v>369</v>
      </c>
      <c r="GT1547" s="4">
        <v>342</v>
      </c>
      <c r="GU1547" s="4">
        <v>330</v>
      </c>
      <c r="GV1547" s="4">
        <v>312</v>
      </c>
      <c r="GW1547" s="4">
        <v>295</v>
      </c>
      <c r="GX1547" s="4">
        <v>278</v>
      </c>
      <c r="GY1547" s="4">
        <v>261</v>
      </c>
      <c r="GZ1547" s="4">
        <v>244</v>
      </c>
      <c r="HA1547" s="4">
        <v>229</v>
      </c>
      <c r="HB1547" s="4">
        <v>214</v>
      </c>
      <c r="HC1547" s="4">
        <v>197</v>
      </c>
      <c r="HD1547" s="19">
        <v>30.1</v>
      </c>
      <c r="HE1547" s="19">
        <v>38</v>
      </c>
      <c r="HF1547" s="19">
        <v>32.8</v>
      </c>
      <c r="HG1547" s="19">
        <v>30.7</v>
      </c>
      <c r="HH1547" s="19">
        <v>27.9</v>
      </c>
      <c r="HI1547" s="19">
        <v>26</v>
      </c>
      <c r="HJ1547" s="19">
        <v>25</v>
      </c>
      <c r="HK1547" s="19">
        <v>21.2</v>
      </c>
      <c r="HL1547" s="19">
        <v>19.2</v>
      </c>
      <c r="HM1547" s="19">
        <v>13.2</v>
      </c>
      <c r="HN1547" s="19">
        <v>12.2</v>
      </c>
      <c r="HO1547" s="19">
        <v>10.8</v>
      </c>
      <c r="HP1547" s="19">
        <v>10.7</v>
      </c>
      <c r="HQ1547" s="19">
        <v>14</v>
      </c>
      <c r="HR1547" s="19">
        <v>15.1</v>
      </c>
      <c r="HS1547" s="19">
        <v>20.5</v>
      </c>
      <c r="HT1547" s="19">
        <v>21.4</v>
      </c>
      <c r="HU1547" s="19">
        <v>19.4</v>
      </c>
      <c r="HV1547" s="19">
        <v>18.4</v>
      </c>
      <c r="HW1547" s="19">
        <v>18.4</v>
      </c>
      <c r="HX1547" s="19">
        <v>17.4</v>
      </c>
      <c r="HY1547" s="19">
        <v>16.3</v>
      </c>
      <c r="HZ1547" s="19">
        <v>15.3</v>
      </c>
      <c r="IA1547" s="19">
        <v>13.5</v>
      </c>
      <c r="IB1547" s="19">
        <v>11.3</v>
      </c>
      <c r="IC1547" s="19">
        <v>9.9</v>
      </c>
    </row>
    <row r="1548">
      <c r="A1548" s="2" t="s">
        <v>5772</v>
      </c>
      <c r="B1548" s="2" t="s">
        <v>905</v>
      </c>
      <c r="C1548" s="2" t="s">
        <v>853</v>
      </c>
      <c r="D1548" s="2" t="s">
        <v>981</v>
      </c>
      <c r="E1548" s="2" t="s">
        <v>982</v>
      </c>
      <c r="F1548" s="2" t="s">
        <v>5767</v>
      </c>
      <c r="G1548" s="2" t="s">
        <v>5767</v>
      </c>
      <c r="H1548" s="2" t="s">
        <v>5767</v>
      </c>
      <c r="I1548" s="2" t="s">
        <v>5768</v>
      </c>
      <c r="J1548" s="2" t="s">
        <v>270</v>
      </c>
      <c r="K1548" s="2" t="s">
        <v>889</v>
      </c>
      <c r="L1548" s="3">
        <v>20.03</v>
      </c>
      <c r="M1548" s="3">
        <v>21.03</v>
      </c>
      <c r="N1548" s="3">
        <v>44.99</v>
      </c>
      <c r="O1548" s="2" t="s">
        <v>232</v>
      </c>
      <c r="P1548" s="2" t="s">
        <v>233</v>
      </c>
      <c r="Q1548" s="2" t="s">
        <v>234</v>
      </c>
      <c r="R1548" s="2" t="s">
        <v>235</v>
      </c>
      <c r="S1548" s="2" t="s">
        <v>5773</v>
      </c>
      <c r="T1548" s="2" t="s">
        <v>2295</v>
      </c>
      <c r="U1548" s="2" t="s">
        <v>235</v>
      </c>
      <c r="V1548" s="2" t="s">
        <v>238</v>
      </c>
      <c r="W1548" s="2" t="s">
        <v>239</v>
      </c>
      <c r="X1548" s="2" t="s">
        <v>235</v>
      </c>
      <c r="Y1548" s="2" t="s">
        <v>5774</v>
      </c>
      <c r="Z1548" s="4">
        <v>327</v>
      </c>
      <c r="AA1548" s="4">
        <f>=ROUNDDOWN(105.483870967742,0)</f>
      </c>
      <c r="AB1548" s="5">
        <v>3.1</v>
      </c>
      <c r="AC1548" s="2" t="s">
        <v>883</v>
      </c>
      <c r="AD1548" s="4">
        <v>400</v>
      </c>
      <c r="AE1548" s="4">
        <v>400</v>
      </c>
      <c r="AF1548" s="6">
        <v>75</v>
      </c>
      <c r="AG1548" s="6"/>
      <c r="AH1548" s="7">
        <v>1</v>
      </c>
      <c r="AI1548" s="4"/>
      <c r="AJ1548" s="4">
        <f>=ROUNDDOWN({0},0)</f>
      </c>
      <c r="AK1548" s="5"/>
      <c r="AL1548" s="2" t="s">
        <v>235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 t="s">
        <v>235</v>
      </c>
      <c r="BD1548" s="8" t="s">
        <v>235</v>
      </c>
      <c r="BE1548" s="4" t="s">
        <v>235</v>
      </c>
      <c r="BF1548" s="8" t="s">
        <v>235</v>
      </c>
      <c r="BG1548" s="7" t="s">
        <v>235</v>
      </c>
      <c r="BH1548" s="7" t="s">
        <v>235</v>
      </c>
      <c r="BI1548" s="7"/>
      <c r="BJ1548" s="4">
        <v>14</v>
      </c>
      <c r="BK1548" s="8">
        <v>283.89</v>
      </c>
      <c r="BL1548" s="2" t="s">
        <v>5775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5771</v>
      </c>
      <c r="BV1548" s="2" t="s">
        <v>243</v>
      </c>
      <c r="BW1548" s="2" t="s">
        <v>235</v>
      </c>
      <c r="BX1548" s="2" t="s">
        <v>383</v>
      </c>
      <c r="BY1548" s="2" t="s">
        <v>245</v>
      </c>
      <c r="BZ1548" s="2" t="s">
        <v>232</v>
      </c>
      <c r="CA1548" s="2" t="s">
        <v>5776</v>
      </c>
      <c r="CB1548" s="2" t="s">
        <v>5777</v>
      </c>
      <c r="CC1548" s="2" t="s">
        <v>248</v>
      </c>
      <c r="CD1548" s="2" t="s">
        <v>248</v>
      </c>
      <c r="CE1548" s="2" t="s">
        <v>235</v>
      </c>
      <c r="CF1548" s="4">
        <v>327</v>
      </c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>
        <v>400</v>
      </c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>
        <v>327</v>
      </c>
      <c r="GE1548" s="4">
        <v>723</v>
      </c>
      <c r="GF1548" s="4">
        <v>720</v>
      </c>
      <c r="GG1548" s="4">
        <v>717</v>
      </c>
      <c r="GH1548" s="4">
        <v>714</v>
      </c>
      <c r="GI1548" s="4">
        <v>710</v>
      </c>
      <c r="GJ1548" s="4">
        <v>706</v>
      </c>
      <c r="GK1548" s="4">
        <v>702</v>
      </c>
      <c r="GL1548" s="4">
        <v>698</v>
      </c>
      <c r="GM1548" s="4">
        <v>694</v>
      </c>
      <c r="GN1548" s="4">
        <v>689</v>
      </c>
      <c r="GO1548" s="4">
        <v>681</v>
      </c>
      <c r="GP1548" s="4">
        <v>673</v>
      </c>
      <c r="GQ1548" s="4">
        <v>658</v>
      </c>
      <c r="GR1548" s="4">
        <v>650</v>
      </c>
      <c r="GS1548" s="4">
        <v>641</v>
      </c>
      <c r="GT1548" s="4">
        <v>638</v>
      </c>
      <c r="GU1548" s="4">
        <v>637</v>
      </c>
      <c r="GV1548" s="4">
        <v>634</v>
      </c>
      <c r="GW1548" s="4">
        <v>632</v>
      </c>
      <c r="GX1548" s="4">
        <v>630</v>
      </c>
      <c r="GY1548" s="4">
        <v>628</v>
      </c>
      <c r="GZ1548" s="4">
        <v>626</v>
      </c>
      <c r="HA1548" s="4">
        <v>623</v>
      </c>
      <c r="HB1548" s="4">
        <v>620</v>
      </c>
      <c r="HC1548" s="4">
        <v>617</v>
      </c>
      <c r="HD1548" s="19">
        <v>109</v>
      </c>
      <c r="HE1548" s="19">
        <v>241</v>
      </c>
      <c r="HF1548" s="19">
        <v>180</v>
      </c>
      <c r="HG1548" s="19">
        <v>179.3</v>
      </c>
      <c r="HH1548" s="19">
        <v>178.5</v>
      </c>
      <c r="HI1548" s="19">
        <v>177.5</v>
      </c>
      <c r="HJ1548" s="19">
        <v>176.5</v>
      </c>
      <c r="HK1548" s="19">
        <v>140.4</v>
      </c>
      <c r="HL1548" s="19">
        <v>116.3</v>
      </c>
      <c r="HM1548" s="19">
        <v>77.1</v>
      </c>
      <c r="HN1548" s="19">
        <v>68.9</v>
      </c>
      <c r="HO1548" s="19">
        <v>68.1</v>
      </c>
      <c r="HP1548" s="19">
        <v>74.8</v>
      </c>
      <c r="HQ1548" s="19">
        <v>131.6</v>
      </c>
      <c r="HR1548" s="19">
        <v>162.5</v>
      </c>
      <c r="HS1548" s="19">
        <v>320.5</v>
      </c>
      <c r="HT1548" s="19">
        <v>319</v>
      </c>
      <c r="HU1548" s="19">
        <v>318.5</v>
      </c>
      <c r="HV1548" s="19">
        <v>317</v>
      </c>
      <c r="HW1548" s="19">
        <v>316</v>
      </c>
      <c r="HX1548" s="19">
        <v>315</v>
      </c>
      <c r="HY1548" s="19">
        <v>209.3</v>
      </c>
      <c r="HZ1548" s="19">
        <v>208.7</v>
      </c>
      <c r="IA1548" s="19">
        <v>207.7</v>
      </c>
      <c r="IB1548" s="19">
        <v>206.7</v>
      </c>
      <c r="IC1548" s="19">
        <v>205.7</v>
      </c>
    </row>
    <row r="1549">
      <c r="A1549" s="2" t="s">
        <v>5778</v>
      </c>
      <c r="B1549" s="2" t="s">
        <v>905</v>
      </c>
      <c r="C1549" s="2" t="s">
        <v>678</v>
      </c>
      <c r="D1549" s="2" t="s">
        <v>1177</v>
      </c>
      <c r="E1549" s="2" t="s">
        <v>2747</v>
      </c>
      <c r="F1549" s="2" t="s">
        <v>5779</v>
      </c>
      <c r="G1549" s="2" t="s">
        <v>5779</v>
      </c>
      <c r="H1549" s="2" t="s">
        <v>5779</v>
      </c>
      <c r="I1549" s="2" t="s">
        <v>5780</v>
      </c>
      <c r="J1549" s="2" t="s">
        <v>270</v>
      </c>
      <c r="K1549" s="2" t="s">
        <v>2029</v>
      </c>
      <c r="L1549" s="3">
        <v>115.52</v>
      </c>
      <c r="M1549" s="3">
        <v>121.3</v>
      </c>
      <c r="N1549" s="3">
        <v>234.99</v>
      </c>
      <c r="O1549" s="2" t="s">
        <v>232</v>
      </c>
      <c r="P1549" s="2" t="s">
        <v>233</v>
      </c>
      <c r="Q1549" s="2" t="s">
        <v>234</v>
      </c>
      <c r="R1549" s="2" t="s">
        <v>235</v>
      </c>
      <c r="S1549" s="2" t="s">
        <v>5781</v>
      </c>
      <c r="T1549" s="2" t="s">
        <v>2295</v>
      </c>
      <c r="U1549" s="2" t="s">
        <v>807</v>
      </c>
      <c r="V1549" s="2" t="s">
        <v>238</v>
      </c>
      <c r="W1549" s="2" t="s">
        <v>239</v>
      </c>
      <c r="X1549" s="2" t="s">
        <v>235</v>
      </c>
      <c r="Y1549" s="2" t="s">
        <v>5357</v>
      </c>
      <c r="Z1549" s="4">
        <v>409</v>
      </c>
      <c r="AA1549" s="4">
        <f>=ROUNDDOWN(27.0860927152318,0)</f>
      </c>
      <c r="AB1549" s="5">
        <v>15.1</v>
      </c>
      <c r="AC1549" s="2" t="s">
        <v>235</v>
      </c>
      <c r="AD1549" s="4"/>
      <c r="AE1549" s="4"/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235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9</v>
      </c>
      <c r="BK1549" s="8">
        <v>1108.08</v>
      </c>
      <c r="BL1549" s="2" t="s">
        <v>5782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5783</v>
      </c>
      <c r="BV1549" s="2" t="s">
        <v>243</v>
      </c>
      <c r="BW1549" s="2" t="s">
        <v>235</v>
      </c>
      <c r="BX1549" s="2" t="s">
        <v>244</v>
      </c>
      <c r="BY1549" s="2" t="s">
        <v>245</v>
      </c>
      <c r="BZ1549" s="2" t="s">
        <v>232</v>
      </c>
      <c r="CA1549" s="2" t="s">
        <v>5359</v>
      </c>
      <c r="CB1549" s="2" t="s">
        <v>3908</v>
      </c>
      <c r="CC1549" s="2" t="s">
        <v>248</v>
      </c>
      <c r="CD1549" s="2" t="s">
        <v>248</v>
      </c>
      <c r="CE1549" s="2" t="s">
        <v>235</v>
      </c>
      <c r="CF1549" s="4">
        <v>409</v>
      </c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>
        <v>422</v>
      </c>
      <c r="GE1549" s="4">
        <v>395</v>
      </c>
      <c r="GF1549" s="4">
        <v>385</v>
      </c>
      <c r="GG1549" s="4">
        <v>378</v>
      </c>
      <c r="GH1549" s="4">
        <v>370</v>
      </c>
      <c r="GI1549" s="4">
        <v>353</v>
      </c>
      <c r="GJ1549" s="4">
        <v>330</v>
      </c>
      <c r="GK1549" s="4">
        <v>313</v>
      </c>
      <c r="GL1549" s="4">
        <v>293</v>
      </c>
      <c r="GM1549" s="4">
        <v>278</v>
      </c>
      <c r="GN1549" s="4">
        <v>266</v>
      </c>
      <c r="GO1549" s="4">
        <v>250</v>
      </c>
      <c r="GP1549" s="4">
        <v>226</v>
      </c>
      <c r="GQ1549" s="4">
        <v>201</v>
      </c>
      <c r="GR1549" s="4">
        <v>163</v>
      </c>
      <c r="GS1549" s="4">
        <v>124</v>
      </c>
      <c r="GT1549" s="4">
        <v>90</v>
      </c>
      <c r="GU1549" s="4">
        <v>71</v>
      </c>
      <c r="GV1549" s="4">
        <v>58</v>
      </c>
      <c r="GW1549" s="4">
        <v>108</v>
      </c>
      <c r="GX1549" s="4">
        <v>95</v>
      </c>
      <c r="GY1549" s="4">
        <v>82</v>
      </c>
      <c r="GZ1549" s="4">
        <v>73</v>
      </c>
      <c r="HA1549" s="4">
        <v>65</v>
      </c>
      <c r="HB1549" s="4">
        <v>58</v>
      </c>
      <c r="HC1549" s="4">
        <v>351</v>
      </c>
      <c r="HD1549" s="19">
        <v>32.5</v>
      </c>
      <c r="HE1549" s="19">
        <v>39.5</v>
      </c>
      <c r="HF1549" s="19">
        <v>27.5</v>
      </c>
      <c r="HG1549" s="19">
        <v>23.6</v>
      </c>
      <c r="HH1549" s="19">
        <v>19.5</v>
      </c>
      <c r="HI1549" s="19">
        <v>18.6</v>
      </c>
      <c r="HJ1549" s="19">
        <v>20.6</v>
      </c>
      <c r="HK1549" s="19">
        <v>19.6</v>
      </c>
      <c r="HL1549" s="19">
        <v>17.2</v>
      </c>
      <c r="HM1549" s="19">
        <v>14.6</v>
      </c>
      <c r="HN1549" s="19">
        <v>10.2</v>
      </c>
      <c r="HO1549" s="19">
        <v>7.8</v>
      </c>
      <c r="HP1549" s="19">
        <v>6.6</v>
      </c>
      <c r="HQ1549" s="19">
        <v>6.3</v>
      </c>
      <c r="HR1549" s="19">
        <v>6.3</v>
      </c>
      <c r="HS1549" s="19">
        <v>6.2</v>
      </c>
      <c r="HT1549" s="19">
        <v>6.4</v>
      </c>
      <c r="HU1549" s="19">
        <v>5.5</v>
      </c>
      <c r="HV1549" s="19">
        <v>4.8</v>
      </c>
      <c r="HW1549" s="19">
        <v>9.8</v>
      </c>
      <c r="HX1549" s="19">
        <v>10.6</v>
      </c>
      <c r="HY1549" s="19">
        <v>10.3</v>
      </c>
      <c r="HZ1549" s="19">
        <v>10.4</v>
      </c>
      <c r="IA1549" s="19">
        <v>10.8</v>
      </c>
      <c r="IB1549" s="19">
        <v>9.7</v>
      </c>
      <c r="IC1549" s="19">
        <v>58.5</v>
      </c>
    </row>
    <row r="1550">
      <c r="A1550" s="2" t="s">
        <v>5784</v>
      </c>
      <c r="B1550" s="2" t="s">
        <v>871</v>
      </c>
      <c r="C1550" s="2" t="s">
        <v>893</v>
      </c>
      <c r="D1550" s="2" t="s">
        <v>906</v>
      </c>
      <c r="E1550" s="2" t="s">
        <v>907</v>
      </c>
      <c r="F1550" s="2" t="s">
        <v>5785</v>
      </c>
      <c r="G1550" s="2" t="s">
        <v>5785</v>
      </c>
      <c r="H1550" s="2" t="s">
        <v>5785</v>
      </c>
      <c r="I1550" s="2" t="s">
        <v>5786</v>
      </c>
      <c r="J1550" s="2" t="s">
        <v>365</v>
      </c>
      <c r="K1550" s="2" t="s">
        <v>1493</v>
      </c>
      <c r="L1550" s="3">
        <v>51.3</v>
      </c>
      <c r="M1550" s="3">
        <v>53.86</v>
      </c>
      <c r="N1550" s="3">
        <v>109.99</v>
      </c>
      <c r="O1550" s="2" t="s">
        <v>485</v>
      </c>
      <c r="P1550" s="2" t="s">
        <v>408</v>
      </c>
      <c r="Q1550" s="2" t="s">
        <v>234</v>
      </c>
      <c r="R1550" s="2" t="s">
        <v>235</v>
      </c>
      <c r="S1550" s="2" t="s">
        <v>5787</v>
      </c>
      <c r="T1550" s="2" t="s">
        <v>263</v>
      </c>
      <c r="U1550" s="2" t="s">
        <v>552</v>
      </c>
      <c r="V1550" s="2" t="s">
        <v>3806</v>
      </c>
      <c r="W1550" s="2" t="s">
        <v>1681</v>
      </c>
      <c r="X1550" s="2" t="s">
        <v>1354</v>
      </c>
      <c r="Y1550" s="2" t="s">
        <v>2759</v>
      </c>
      <c r="Z1550" s="4"/>
      <c r="AA1550" s="4">
        <f>=ROUNDDOWN({0},0)</f>
      </c>
      <c r="AB1550" s="5">
        <v>1</v>
      </c>
      <c r="AC1550" s="2" t="s">
        <v>235</v>
      </c>
      <c r="AD1550" s="4"/>
      <c r="AE1550" s="4"/>
      <c r="AF1550" s="6">
        <v>74</v>
      </c>
      <c r="AG1550" s="6"/>
      <c r="AH1550" s="7">
        <v>1</v>
      </c>
      <c r="AI1550" s="4"/>
      <c r="AJ1550" s="4">
        <f>=ROUNDDOWN({0},0)</f>
      </c>
      <c r="AK1550" s="5"/>
      <c r="AL1550" s="2" t="s">
        <v>235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235</v>
      </c>
      <c r="AW1550" s="8" t="s">
        <v>235</v>
      </c>
      <c r="AX1550" s="4" t="s">
        <v>235</v>
      </c>
      <c r="AY1550" s="8" t="s">
        <v>235</v>
      </c>
      <c r="AZ1550" s="7" t="s">
        <v>235</v>
      </c>
      <c r="BA1550" s="7" t="s">
        <v>235</v>
      </c>
      <c r="BB1550" s="7"/>
      <c r="BC1550" s="4" t="s">
        <v>235</v>
      </c>
      <c r="BD1550" s="8" t="s">
        <v>235</v>
      </c>
      <c r="BE1550" s="4" t="s">
        <v>235</v>
      </c>
      <c r="BF1550" s="8" t="s">
        <v>235</v>
      </c>
      <c r="BG1550" s="7" t="s">
        <v>235</v>
      </c>
      <c r="BH1550" s="7" t="s">
        <v>235</v>
      </c>
      <c r="BI1550" s="7"/>
      <c r="BJ1550" s="4">
        <v>1</v>
      </c>
      <c r="BK1550" s="8">
        <v>57.99</v>
      </c>
      <c r="BL1550" s="2" t="s">
        <v>3992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5788</v>
      </c>
      <c r="BV1550" s="2" t="s">
        <v>243</v>
      </c>
      <c r="BW1550" s="2" t="s">
        <v>235</v>
      </c>
      <c r="BX1550" s="2" t="s">
        <v>414</v>
      </c>
      <c r="BY1550" s="2" t="s">
        <v>245</v>
      </c>
      <c r="BZ1550" s="2" t="s">
        <v>232</v>
      </c>
      <c r="CA1550" s="2" t="s">
        <v>5534</v>
      </c>
      <c r="CB1550" s="2" t="s">
        <v>798</v>
      </c>
      <c r="CC1550" s="2" t="s">
        <v>248</v>
      </c>
      <c r="CD1550" s="2" t="s">
        <v>248</v>
      </c>
      <c r="CE1550" s="2" t="s">
        <v>235</v>
      </c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>
        <v>51</v>
      </c>
      <c r="GE1550" s="4">
        <v>50</v>
      </c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19">
        <v>3.6</v>
      </c>
      <c r="HE1550" s="19">
        <v>3.6</v>
      </c>
      <c r="HF1550" s="20">
        <v>0</v>
      </c>
      <c r="HG1550" s="20">
        <v>0</v>
      </c>
      <c r="HH1550" s="20">
        <v>0</v>
      </c>
      <c r="HI1550" s="20">
        <v>0</v>
      </c>
      <c r="HJ1550" s="20">
        <v>0</v>
      </c>
      <c r="HK1550" s="20">
        <v>0</v>
      </c>
      <c r="HL1550" s="20">
        <v>0</v>
      </c>
      <c r="HM1550" s="20">
        <v>0</v>
      </c>
      <c r="HN1550" s="20">
        <v>0</v>
      </c>
      <c r="HO1550" s="20">
        <v>0</v>
      </c>
      <c r="HP1550" s="20">
        <v>0</v>
      </c>
      <c r="HQ1550" s="20">
        <v>0</v>
      </c>
      <c r="HR1550" s="20">
        <v>0</v>
      </c>
      <c r="HS1550" s="20">
        <v>0</v>
      </c>
      <c r="HT1550" s="20">
        <v>0</v>
      </c>
      <c r="HU1550" s="20">
        <v>0</v>
      </c>
      <c r="HV1550" s="20">
        <v>0</v>
      </c>
      <c r="HW1550" s="20">
        <v>0</v>
      </c>
      <c r="HX1550" s="20">
        <v>0</v>
      </c>
      <c r="HY1550" s="20">
        <v>0</v>
      </c>
      <c r="HZ1550" s="20">
        <v>0</v>
      </c>
      <c r="IA1550" s="20">
        <v>0</v>
      </c>
      <c r="IB1550" s="20">
        <v>0</v>
      </c>
      <c r="IC1550" s="20">
        <v>0</v>
      </c>
    </row>
    <row r="1551">
      <c r="A1551" s="2" t="s">
        <v>5789</v>
      </c>
      <c r="B1551" s="2" t="s">
        <v>871</v>
      </c>
      <c r="C1551" s="2" t="s">
        <v>893</v>
      </c>
      <c r="D1551" s="2" t="s">
        <v>906</v>
      </c>
      <c r="E1551" s="2" t="s">
        <v>907</v>
      </c>
      <c r="F1551" s="2" t="s">
        <v>5785</v>
      </c>
      <c r="G1551" s="2" t="s">
        <v>5785</v>
      </c>
      <c r="H1551" s="2" t="s">
        <v>5785</v>
      </c>
      <c r="I1551" s="2" t="s">
        <v>5786</v>
      </c>
      <c r="J1551" s="2" t="s">
        <v>372</v>
      </c>
      <c r="K1551" s="2" t="s">
        <v>1493</v>
      </c>
      <c r="L1551" s="3">
        <v>65.55</v>
      </c>
      <c r="M1551" s="3">
        <v>68.83</v>
      </c>
      <c r="N1551" s="3">
        <v>139.99</v>
      </c>
      <c r="O1551" s="2" t="s">
        <v>485</v>
      </c>
      <c r="P1551" s="2" t="s">
        <v>408</v>
      </c>
      <c r="Q1551" s="2" t="s">
        <v>234</v>
      </c>
      <c r="R1551" s="2" t="s">
        <v>235</v>
      </c>
      <c r="S1551" s="2" t="s">
        <v>5787</v>
      </c>
      <c r="T1551" s="2" t="s">
        <v>263</v>
      </c>
      <c r="U1551" s="2" t="s">
        <v>552</v>
      </c>
      <c r="V1551" s="2" t="s">
        <v>3806</v>
      </c>
      <c r="W1551" s="2" t="s">
        <v>1681</v>
      </c>
      <c r="X1551" s="2" t="s">
        <v>1354</v>
      </c>
      <c r="Y1551" s="2" t="s">
        <v>2759</v>
      </c>
      <c r="Z1551" s="4"/>
      <c r="AA1551" s="4">
        <f>=ROUNDDOWN({0},0)</f>
      </c>
      <c r="AB1551" s="5">
        <v>1</v>
      </c>
      <c r="AC1551" s="2" t="s">
        <v>235</v>
      </c>
      <c r="AD1551" s="4"/>
      <c r="AE1551" s="4"/>
      <c r="AF1551" s="6">
        <v>74</v>
      </c>
      <c r="AG1551" s="6"/>
      <c r="AH1551" s="7">
        <v>1</v>
      </c>
      <c r="AI1551" s="4"/>
      <c r="AJ1551" s="4">
        <f>=ROUNDDOWN({0},0)</f>
      </c>
      <c r="AK1551" s="5"/>
      <c r="AL1551" s="2" t="s">
        <v>235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235</v>
      </c>
      <c r="AW1551" s="8" t="s">
        <v>235</v>
      </c>
      <c r="AX1551" s="4" t="s">
        <v>235</v>
      </c>
      <c r="AY1551" s="8" t="s">
        <v>235</v>
      </c>
      <c r="AZ1551" s="7" t="s">
        <v>235</v>
      </c>
      <c r="BA1551" s="7" t="s">
        <v>235</v>
      </c>
      <c r="BB1551" s="7"/>
      <c r="BC1551" s="4" t="s">
        <v>235</v>
      </c>
      <c r="BD1551" s="8" t="s">
        <v>235</v>
      </c>
      <c r="BE1551" s="4" t="s">
        <v>235</v>
      </c>
      <c r="BF1551" s="8" t="s">
        <v>235</v>
      </c>
      <c r="BG1551" s="7" t="s">
        <v>235</v>
      </c>
      <c r="BH1551" s="7" t="s">
        <v>235</v>
      </c>
      <c r="BI1551" s="7"/>
      <c r="BJ1551" s="4">
        <v>3</v>
      </c>
      <c r="BK1551" s="8">
        <v>194.42</v>
      </c>
      <c r="BL1551" s="2" t="s">
        <v>5790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5788</v>
      </c>
      <c r="BV1551" s="2" t="s">
        <v>243</v>
      </c>
      <c r="BW1551" s="2" t="s">
        <v>235</v>
      </c>
      <c r="BX1551" s="2" t="s">
        <v>414</v>
      </c>
      <c r="BY1551" s="2" t="s">
        <v>245</v>
      </c>
      <c r="BZ1551" s="2" t="s">
        <v>232</v>
      </c>
      <c r="CA1551" s="2" t="s">
        <v>5534</v>
      </c>
      <c r="CB1551" s="2" t="s">
        <v>2657</v>
      </c>
      <c r="CC1551" s="2" t="s">
        <v>248</v>
      </c>
      <c r="CD1551" s="2" t="s">
        <v>248</v>
      </c>
      <c r="CE1551" s="2" t="s">
        <v>235</v>
      </c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>
        <v>114</v>
      </c>
      <c r="GE1551" s="4">
        <v>113</v>
      </c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19">
        <v>3.8</v>
      </c>
      <c r="HE1551" s="19">
        <v>3.8</v>
      </c>
      <c r="HF1551" s="20">
        <v>0</v>
      </c>
      <c r="HG1551" s="20">
        <v>0</v>
      </c>
      <c r="HH1551" s="20">
        <v>0</v>
      </c>
      <c r="HI1551" s="20">
        <v>0</v>
      </c>
      <c r="HJ1551" s="20">
        <v>0</v>
      </c>
      <c r="HK1551" s="20">
        <v>0</v>
      </c>
      <c r="HL1551" s="20">
        <v>0</v>
      </c>
      <c r="HM1551" s="20">
        <v>0</v>
      </c>
      <c r="HN1551" s="20">
        <v>0</v>
      </c>
      <c r="HO1551" s="20">
        <v>0</v>
      </c>
      <c r="HP1551" s="20">
        <v>0</v>
      </c>
      <c r="HQ1551" s="20">
        <v>0</v>
      </c>
      <c r="HR1551" s="20">
        <v>0</v>
      </c>
      <c r="HS1551" s="20">
        <v>0</v>
      </c>
      <c r="HT1551" s="20">
        <v>0</v>
      </c>
      <c r="HU1551" s="20">
        <v>0</v>
      </c>
      <c r="HV1551" s="20">
        <v>0</v>
      </c>
      <c r="HW1551" s="20">
        <v>0</v>
      </c>
      <c r="HX1551" s="20">
        <v>0</v>
      </c>
      <c r="HY1551" s="20">
        <v>0</v>
      </c>
      <c r="HZ1551" s="20">
        <v>0</v>
      </c>
      <c r="IA1551" s="20">
        <v>0</v>
      </c>
      <c r="IB1551" s="20">
        <v>0</v>
      </c>
      <c r="IC1551" s="20">
        <v>0</v>
      </c>
    </row>
    <row r="1552">
      <c r="A1552" s="2" t="s">
        <v>5791</v>
      </c>
      <c r="B1552" s="2" t="s">
        <v>871</v>
      </c>
      <c r="C1552" s="2" t="s">
        <v>893</v>
      </c>
      <c r="D1552" s="2" t="s">
        <v>906</v>
      </c>
      <c r="E1552" s="2" t="s">
        <v>907</v>
      </c>
      <c r="F1552" s="2" t="s">
        <v>5785</v>
      </c>
      <c r="G1552" s="2" t="s">
        <v>5785</v>
      </c>
      <c r="H1552" s="2" t="s">
        <v>5785</v>
      </c>
      <c r="I1552" s="2" t="s">
        <v>5786</v>
      </c>
      <c r="J1552" s="2" t="s">
        <v>372</v>
      </c>
      <c r="K1552" s="2" t="s">
        <v>287</v>
      </c>
      <c r="L1552" s="3">
        <v>65.55</v>
      </c>
      <c r="M1552" s="3">
        <v>68.83</v>
      </c>
      <c r="N1552" s="3">
        <v>139.99</v>
      </c>
      <c r="O1552" s="2" t="s">
        <v>407</v>
      </c>
      <c r="P1552" s="2" t="s">
        <v>408</v>
      </c>
      <c r="Q1552" s="2" t="s">
        <v>234</v>
      </c>
      <c r="R1552" s="2" t="s">
        <v>235</v>
      </c>
      <c r="S1552" s="2" t="s">
        <v>5792</v>
      </c>
      <c r="T1552" s="2" t="s">
        <v>1051</v>
      </c>
      <c r="U1552" s="2" t="s">
        <v>552</v>
      </c>
      <c r="V1552" s="2" t="s">
        <v>863</v>
      </c>
      <c r="W1552" s="2" t="s">
        <v>986</v>
      </c>
      <c r="X1552" s="2" t="s">
        <v>235</v>
      </c>
      <c r="Y1552" s="2" t="s">
        <v>5793</v>
      </c>
      <c r="Z1552" s="4">
        <v>101</v>
      </c>
      <c r="AA1552" s="4">
        <f>=ROUNDDOWN(50.5,0)</f>
      </c>
      <c r="AB1552" s="5">
        <v>2</v>
      </c>
      <c r="AC1552" s="2" t="s">
        <v>235</v>
      </c>
      <c r="AD1552" s="4"/>
      <c r="AE1552" s="4"/>
      <c r="AF1552" s="6">
        <v>74</v>
      </c>
      <c r="AG1552" s="6"/>
      <c r="AH1552" s="7">
        <v>1</v>
      </c>
      <c r="AI1552" s="4"/>
      <c r="AJ1552" s="4">
        <f>=ROUNDDOWN({0},0)</f>
      </c>
      <c r="AK1552" s="5"/>
      <c r="AL1552" s="2" t="s">
        <v>235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235</v>
      </c>
      <c r="BD1552" s="8" t="s">
        <v>235</v>
      </c>
      <c r="BE1552" s="4" t="s">
        <v>235</v>
      </c>
      <c r="BF1552" s="8" t="s">
        <v>235</v>
      </c>
      <c r="BG1552" s="7" t="s">
        <v>235</v>
      </c>
      <c r="BH1552" s="7" t="s">
        <v>235</v>
      </c>
      <c r="BI1552" s="7"/>
      <c r="BJ1552" s="4">
        <v>7</v>
      </c>
      <c r="BK1552" s="8">
        <v>486.39</v>
      </c>
      <c r="BL1552" s="2" t="s">
        <v>5794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5788</v>
      </c>
      <c r="BV1552" s="2" t="s">
        <v>243</v>
      </c>
      <c r="BW1552" s="2" t="s">
        <v>235</v>
      </c>
      <c r="BX1552" s="2" t="s">
        <v>414</v>
      </c>
      <c r="BY1552" s="2" t="s">
        <v>245</v>
      </c>
      <c r="BZ1552" s="2" t="s">
        <v>232</v>
      </c>
      <c r="CA1552" s="2" t="s">
        <v>4031</v>
      </c>
      <c r="CB1552" s="2" t="s">
        <v>5795</v>
      </c>
      <c r="CC1552" s="2" t="s">
        <v>248</v>
      </c>
      <c r="CD1552" s="2" t="s">
        <v>248</v>
      </c>
      <c r="CE1552" s="2" t="s">
        <v>235</v>
      </c>
      <c r="CF1552" s="4">
        <v>101</v>
      </c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>
        <v>101</v>
      </c>
      <c r="GE1552" s="4">
        <v>92</v>
      </c>
      <c r="GF1552" s="4">
        <v>90</v>
      </c>
      <c r="GG1552" s="4">
        <v>88</v>
      </c>
      <c r="GH1552" s="4">
        <v>85</v>
      </c>
      <c r="GI1552" s="4">
        <v>82</v>
      </c>
      <c r="GJ1552" s="4">
        <v>78</v>
      </c>
      <c r="GK1552" s="4">
        <v>76</v>
      </c>
      <c r="GL1552" s="4">
        <v>74</v>
      </c>
      <c r="GM1552" s="4">
        <v>72</v>
      </c>
      <c r="GN1552" s="4">
        <v>70</v>
      </c>
      <c r="GO1552" s="4">
        <v>67</v>
      </c>
      <c r="GP1552" s="4">
        <v>64</v>
      </c>
      <c r="GQ1552" s="4">
        <v>60</v>
      </c>
      <c r="GR1552" s="4">
        <v>58</v>
      </c>
      <c r="GS1552" s="4">
        <v>56</v>
      </c>
      <c r="GT1552" s="4">
        <v>54</v>
      </c>
      <c r="GU1552" s="4">
        <v>52</v>
      </c>
      <c r="GV1552" s="4">
        <v>50</v>
      </c>
      <c r="GW1552" s="4">
        <v>48</v>
      </c>
      <c r="GX1552" s="4">
        <v>46</v>
      </c>
      <c r="GY1552" s="4">
        <v>44</v>
      </c>
      <c r="GZ1552" s="4">
        <v>42</v>
      </c>
      <c r="HA1552" s="4">
        <v>40</v>
      </c>
      <c r="HB1552" s="4">
        <v>38</v>
      </c>
      <c r="HC1552" s="4">
        <v>36</v>
      </c>
      <c r="HD1552" s="19">
        <v>25.3</v>
      </c>
      <c r="HE1552" s="19">
        <v>46</v>
      </c>
      <c r="HF1552" s="19">
        <v>30</v>
      </c>
      <c r="HG1552" s="19">
        <v>29.3</v>
      </c>
      <c r="HH1552" s="19">
        <v>28.3</v>
      </c>
      <c r="HI1552" s="19">
        <v>41</v>
      </c>
      <c r="HJ1552" s="19">
        <v>39</v>
      </c>
      <c r="HK1552" s="19">
        <v>38</v>
      </c>
      <c r="HL1552" s="19">
        <v>37</v>
      </c>
      <c r="HM1552" s="19">
        <v>24</v>
      </c>
      <c r="HN1552" s="19">
        <v>23.3</v>
      </c>
      <c r="HO1552" s="19">
        <v>22.3</v>
      </c>
      <c r="HP1552" s="19">
        <v>32</v>
      </c>
      <c r="HQ1552" s="19">
        <v>30</v>
      </c>
      <c r="HR1552" s="19">
        <v>29</v>
      </c>
      <c r="HS1552" s="19">
        <v>28</v>
      </c>
      <c r="HT1552" s="19">
        <v>27</v>
      </c>
      <c r="HU1552" s="19">
        <v>26</v>
      </c>
      <c r="HV1552" s="19">
        <v>25</v>
      </c>
      <c r="HW1552" s="19">
        <v>24</v>
      </c>
      <c r="HX1552" s="19">
        <v>23</v>
      </c>
      <c r="HY1552" s="19">
        <v>22</v>
      </c>
      <c r="HZ1552" s="19">
        <v>21</v>
      </c>
      <c r="IA1552" s="19">
        <v>20</v>
      </c>
      <c r="IB1552" s="19">
        <v>19</v>
      </c>
      <c r="IC1552" s="19">
        <v>18</v>
      </c>
    </row>
    <row r="1553">
      <c r="A1553" s="2" t="s">
        <v>5796</v>
      </c>
      <c r="B1553" s="2" t="s">
        <v>1071</v>
      </c>
      <c r="C1553" s="2" t="s">
        <v>893</v>
      </c>
      <c r="D1553" s="2" t="s">
        <v>4819</v>
      </c>
      <c r="E1553" s="2" t="s">
        <v>5797</v>
      </c>
      <c r="F1553" s="2" t="s">
        <v>5798</v>
      </c>
      <c r="G1553" s="2" t="s">
        <v>235</v>
      </c>
      <c r="H1553" s="2" t="s">
        <v>235</v>
      </c>
      <c r="I1553" s="2" t="s">
        <v>5799</v>
      </c>
      <c r="J1553" s="2" t="s">
        <v>806</v>
      </c>
      <c r="K1553" s="2" t="s">
        <v>316</v>
      </c>
      <c r="L1553" s="3">
        <v>99.75</v>
      </c>
      <c r="M1553" s="3">
        <v>104.74</v>
      </c>
      <c r="N1553" s="3">
        <v>199.99</v>
      </c>
      <c r="O1553" s="2" t="s">
        <v>407</v>
      </c>
      <c r="P1553" s="2" t="s">
        <v>408</v>
      </c>
      <c r="Q1553" s="2" t="s">
        <v>234</v>
      </c>
      <c r="R1553" s="2" t="s">
        <v>235</v>
      </c>
      <c r="S1553" s="2" t="s">
        <v>5800</v>
      </c>
      <c r="T1553" s="2" t="s">
        <v>235</v>
      </c>
      <c r="U1553" s="2" t="s">
        <v>235</v>
      </c>
      <c r="V1553" s="2" t="s">
        <v>238</v>
      </c>
      <c r="W1553" s="2" t="s">
        <v>682</v>
      </c>
      <c r="X1553" s="2" t="s">
        <v>235</v>
      </c>
      <c r="Y1553" s="2" t="s">
        <v>240</v>
      </c>
      <c r="Z1553" s="4">
        <v>22</v>
      </c>
      <c r="AA1553" s="4">
        <f>=ROUNDDOWN(22,0)</f>
      </c>
      <c r="AB1553" s="5">
        <v>1</v>
      </c>
      <c r="AC1553" s="2" t="s">
        <v>235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235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/>
      <c r="BD1553" s="8"/>
      <c r="BE1553" s="4"/>
      <c r="BF1553" s="8"/>
      <c r="BG1553" s="7"/>
      <c r="BH1553" s="7"/>
      <c r="BI1553" s="7"/>
      <c r="BJ1553" s="4">
        <v>2</v>
      </c>
      <c r="BK1553" s="8">
        <v>186.85</v>
      </c>
      <c r="BL1553" s="2" t="s">
        <v>3639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5801</v>
      </c>
      <c r="BV1553" s="2" t="s">
        <v>4384</v>
      </c>
      <c r="BW1553" s="2" t="s">
        <v>235</v>
      </c>
      <c r="BX1553" s="2" t="s">
        <v>414</v>
      </c>
      <c r="BY1553" s="2" t="s">
        <v>245</v>
      </c>
      <c r="BZ1553" s="2" t="s">
        <v>232</v>
      </c>
      <c r="CA1553" s="2" t="s">
        <v>1066</v>
      </c>
      <c r="CB1553" s="2" t="s">
        <v>5802</v>
      </c>
      <c r="CC1553" s="2" t="s">
        <v>492</v>
      </c>
      <c r="CD1553" s="2" t="s">
        <v>248</v>
      </c>
      <c r="CE1553" s="2" t="s">
        <v>235</v>
      </c>
      <c r="CF1553" s="4"/>
      <c r="CG1553" s="4">
        <v>22</v>
      </c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>
        <v>23</v>
      </c>
      <c r="GE1553" s="4">
        <v>21</v>
      </c>
      <c r="GF1553" s="4">
        <v>20</v>
      </c>
      <c r="GG1553" s="4">
        <v>19</v>
      </c>
      <c r="GH1553" s="4">
        <v>18</v>
      </c>
      <c r="GI1553" s="4">
        <v>17</v>
      </c>
      <c r="GJ1553" s="4">
        <v>16</v>
      </c>
      <c r="GK1553" s="4">
        <v>15</v>
      </c>
      <c r="GL1553" s="4">
        <v>14</v>
      </c>
      <c r="GM1553" s="4">
        <v>13</v>
      </c>
      <c r="GN1553" s="4">
        <v>12</v>
      </c>
      <c r="GO1553" s="4">
        <v>11</v>
      </c>
      <c r="GP1553" s="4">
        <v>10</v>
      </c>
      <c r="GQ1553" s="4">
        <v>8</v>
      </c>
      <c r="GR1553" s="4">
        <v>6</v>
      </c>
      <c r="GS1553" s="4">
        <v>5</v>
      </c>
      <c r="GT1553" s="4">
        <v>4</v>
      </c>
      <c r="GU1553" s="4">
        <v>3</v>
      </c>
      <c r="GV1553" s="4">
        <v>2</v>
      </c>
      <c r="GW1553" s="4">
        <v>1</v>
      </c>
      <c r="GX1553" s="4"/>
      <c r="GY1553" s="4"/>
      <c r="GZ1553" s="4"/>
      <c r="HA1553" s="4"/>
      <c r="HB1553" s="4"/>
      <c r="HC1553" s="4"/>
      <c r="HD1553" s="19">
        <v>23</v>
      </c>
      <c r="HE1553" s="19">
        <v>21</v>
      </c>
      <c r="HF1553" s="19">
        <v>20</v>
      </c>
      <c r="HG1553" s="19">
        <v>19</v>
      </c>
      <c r="HH1553" s="19">
        <v>18</v>
      </c>
      <c r="HI1553" s="19">
        <v>17</v>
      </c>
      <c r="HJ1553" s="19">
        <v>16</v>
      </c>
      <c r="HK1553" s="19">
        <v>15</v>
      </c>
      <c r="HL1553" s="19">
        <v>14</v>
      </c>
      <c r="HM1553" s="19">
        <v>13</v>
      </c>
      <c r="HN1553" s="19">
        <v>6</v>
      </c>
      <c r="HO1553" s="19">
        <v>5.5</v>
      </c>
      <c r="HP1553" s="19">
        <v>5</v>
      </c>
      <c r="HQ1553" s="19">
        <v>8</v>
      </c>
      <c r="HR1553" s="19">
        <v>6</v>
      </c>
      <c r="HS1553" s="19">
        <v>5</v>
      </c>
      <c r="HT1553" s="19">
        <v>4</v>
      </c>
      <c r="HU1553" s="19">
        <v>3</v>
      </c>
      <c r="HV1553" s="19">
        <v>2</v>
      </c>
      <c r="HW1553" s="19">
        <v>1</v>
      </c>
      <c r="HX1553" s="20">
        <v>0</v>
      </c>
      <c r="HY1553" s="20">
        <v>0</v>
      </c>
      <c r="HZ1553" s="20">
        <v>0</v>
      </c>
      <c r="IA1553" s="20">
        <v>0</v>
      </c>
      <c r="IB1553" s="20">
        <v>0</v>
      </c>
      <c r="IC1553" s="20">
        <v>0</v>
      </c>
    </row>
    <row r="1554">
      <c r="A1554" s="2" t="s">
        <v>5803</v>
      </c>
      <c r="B1554" s="2" t="s">
        <v>871</v>
      </c>
      <c r="C1554" s="2" t="s">
        <v>606</v>
      </c>
      <c r="D1554" s="2" t="s">
        <v>4227</v>
      </c>
      <c r="E1554" s="2" t="s">
        <v>1895</v>
      </c>
      <c r="F1554" s="2" t="s">
        <v>5804</v>
      </c>
      <c r="G1554" s="2" t="s">
        <v>5805</v>
      </c>
      <c r="H1554" s="2" t="s">
        <v>5806</v>
      </c>
      <c r="I1554" s="2" t="s">
        <v>5807</v>
      </c>
      <c r="J1554" s="2" t="s">
        <v>877</v>
      </c>
      <c r="K1554" s="2" t="s">
        <v>287</v>
      </c>
      <c r="L1554" s="3">
        <v>23.84</v>
      </c>
      <c r="M1554" s="3">
        <v>25.03</v>
      </c>
      <c r="N1554" s="3">
        <v>49.99</v>
      </c>
      <c r="O1554" s="2" t="s">
        <v>232</v>
      </c>
      <c r="P1554" s="2" t="s">
        <v>233</v>
      </c>
      <c r="Q1554" s="2" t="s">
        <v>234</v>
      </c>
      <c r="R1554" s="2" t="s">
        <v>235</v>
      </c>
      <c r="S1554" s="2" t="s">
        <v>5808</v>
      </c>
      <c r="T1554" s="2" t="s">
        <v>4127</v>
      </c>
      <c r="U1554" s="2" t="s">
        <v>278</v>
      </c>
      <c r="V1554" s="2" t="s">
        <v>238</v>
      </c>
      <c r="W1554" s="2" t="s">
        <v>682</v>
      </c>
      <c r="X1554" s="2" t="s">
        <v>235</v>
      </c>
      <c r="Y1554" s="2" t="s">
        <v>1485</v>
      </c>
      <c r="Z1554" s="4">
        <v>133</v>
      </c>
      <c r="AA1554" s="4">
        <f>=ROUNDDOWN(55.4166666666667,0)</f>
      </c>
      <c r="AB1554" s="5">
        <v>2.4</v>
      </c>
      <c r="AC1554" s="2" t="s">
        <v>235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235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235</v>
      </c>
      <c r="AW1554" s="8" t="s">
        <v>235</v>
      </c>
      <c r="AX1554" s="4" t="s">
        <v>235</v>
      </c>
      <c r="AY1554" s="8" t="s">
        <v>235</v>
      </c>
      <c r="AZ1554" s="7" t="s">
        <v>235</v>
      </c>
      <c r="BA1554" s="7" t="s">
        <v>235</v>
      </c>
      <c r="BB1554" s="7"/>
      <c r="BC1554" s="4" t="s">
        <v>235</v>
      </c>
      <c r="BD1554" s="8" t="s">
        <v>235</v>
      </c>
      <c r="BE1554" s="4" t="s">
        <v>235</v>
      </c>
      <c r="BF1554" s="8" t="s">
        <v>235</v>
      </c>
      <c r="BG1554" s="7" t="s">
        <v>235</v>
      </c>
      <c r="BH1554" s="7" t="s">
        <v>235</v>
      </c>
      <c r="BI1554" s="7"/>
      <c r="BJ1554" s="4">
        <v>2</v>
      </c>
      <c r="BK1554" s="8">
        <v>49.56</v>
      </c>
      <c r="BL1554" s="2" t="s">
        <v>1122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5809</v>
      </c>
      <c r="BV1554" s="2" t="s">
        <v>243</v>
      </c>
      <c r="BW1554" s="2" t="s">
        <v>235</v>
      </c>
      <c r="BX1554" s="2" t="s">
        <v>619</v>
      </c>
      <c r="BY1554" s="2" t="s">
        <v>245</v>
      </c>
      <c r="BZ1554" s="2" t="s">
        <v>232</v>
      </c>
      <c r="CA1554" s="2" t="s">
        <v>1536</v>
      </c>
      <c r="CB1554" s="2" t="s">
        <v>235</v>
      </c>
      <c r="CC1554" s="2" t="s">
        <v>248</v>
      </c>
      <c r="CD1554" s="2" t="s">
        <v>248</v>
      </c>
      <c r="CE1554" s="2" t="s">
        <v>235</v>
      </c>
      <c r="CF1554" s="4">
        <v>50</v>
      </c>
      <c r="CG1554" s="4"/>
      <c r="CH1554" s="4"/>
      <c r="CI1554" s="4">
        <v>83</v>
      </c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>
        <v>133</v>
      </c>
      <c r="GE1554" s="4">
        <v>124</v>
      </c>
      <c r="GF1554" s="4">
        <v>122</v>
      </c>
      <c r="GG1554" s="4">
        <v>120</v>
      </c>
      <c r="GH1554" s="4">
        <v>117</v>
      </c>
      <c r="GI1554" s="4">
        <v>115</v>
      </c>
      <c r="GJ1554" s="4">
        <v>111</v>
      </c>
      <c r="GK1554" s="4">
        <v>108</v>
      </c>
      <c r="GL1554" s="4">
        <v>105</v>
      </c>
      <c r="GM1554" s="4">
        <v>103</v>
      </c>
      <c r="GN1554" s="4">
        <v>101</v>
      </c>
      <c r="GO1554" s="4">
        <v>98</v>
      </c>
      <c r="GP1554" s="4">
        <v>96</v>
      </c>
      <c r="GQ1554" s="4">
        <v>92</v>
      </c>
      <c r="GR1554" s="4">
        <v>89</v>
      </c>
      <c r="GS1554" s="4">
        <v>86</v>
      </c>
      <c r="GT1554" s="4">
        <v>84</v>
      </c>
      <c r="GU1554" s="4">
        <v>82</v>
      </c>
      <c r="GV1554" s="4">
        <v>80</v>
      </c>
      <c r="GW1554" s="4">
        <v>78</v>
      </c>
      <c r="GX1554" s="4">
        <v>76</v>
      </c>
      <c r="GY1554" s="4">
        <v>74</v>
      </c>
      <c r="GZ1554" s="4">
        <v>72</v>
      </c>
      <c r="HA1554" s="4">
        <v>70</v>
      </c>
      <c r="HB1554" s="4">
        <v>68</v>
      </c>
      <c r="HC1554" s="4">
        <v>66</v>
      </c>
      <c r="HD1554" s="19">
        <v>33.3</v>
      </c>
      <c r="HE1554" s="19">
        <v>62</v>
      </c>
      <c r="HF1554" s="19">
        <v>40.7</v>
      </c>
      <c r="HG1554" s="19">
        <v>40</v>
      </c>
      <c r="HH1554" s="19">
        <v>39</v>
      </c>
      <c r="HI1554" s="19">
        <v>38.3</v>
      </c>
      <c r="HJ1554" s="19">
        <v>55.5</v>
      </c>
      <c r="HK1554" s="19">
        <v>54</v>
      </c>
      <c r="HL1554" s="19">
        <v>52.5</v>
      </c>
      <c r="HM1554" s="19">
        <v>34.3</v>
      </c>
      <c r="HN1554" s="19">
        <v>33.7</v>
      </c>
      <c r="HO1554" s="19">
        <v>32.7</v>
      </c>
      <c r="HP1554" s="19">
        <v>32</v>
      </c>
      <c r="HQ1554" s="19">
        <v>46</v>
      </c>
      <c r="HR1554" s="19">
        <v>44.5</v>
      </c>
      <c r="HS1554" s="19">
        <v>43</v>
      </c>
      <c r="HT1554" s="19">
        <v>42</v>
      </c>
      <c r="HU1554" s="19">
        <v>41</v>
      </c>
      <c r="HV1554" s="19">
        <v>40</v>
      </c>
      <c r="HW1554" s="19">
        <v>39</v>
      </c>
      <c r="HX1554" s="19">
        <v>38</v>
      </c>
      <c r="HY1554" s="19">
        <v>37</v>
      </c>
      <c r="HZ1554" s="19">
        <v>36</v>
      </c>
      <c r="IA1554" s="19">
        <v>35</v>
      </c>
      <c r="IB1554" s="19">
        <v>34</v>
      </c>
      <c r="IC1554" s="19">
        <v>33</v>
      </c>
    </row>
    <row r="1555">
      <c r="A1555" s="2" t="s">
        <v>5810</v>
      </c>
      <c r="B1555" s="2" t="s">
        <v>871</v>
      </c>
      <c r="C1555" s="2" t="s">
        <v>606</v>
      </c>
      <c r="D1555" s="2" t="s">
        <v>4227</v>
      </c>
      <c r="E1555" s="2" t="s">
        <v>1895</v>
      </c>
      <c r="F1555" s="2" t="s">
        <v>5804</v>
      </c>
      <c r="G1555" s="2" t="s">
        <v>5805</v>
      </c>
      <c r="H1555" s="2" t="s">
        <v>5806</v>
      </c>
      <c r="I1555" s="2" t="s">
        <v>5807</v>
      </c>
      <c r="J1555" s="2" t="s">
        <v>365</v>
      </c>
      <c r="K1555" s="2" t="s">
        <v>287</v>
      </c>
      <c r="L1555" s="3">
        <v>29.49</v>
      </c>
      <c r="M1555" s="3">
        <v>30.96</v>
      </c>
      <c r="N1555" s="3">
        <v>64.99</v>
      </c>
      <c r="O1555" s="2" t="s">
        <v>232</v>
      </c>
      <c r="P1555" s="2" t="s">
        <v>233</v>
      </c>
      <c r="Q1555" s="2" t="s">
        <v>234</v>
      </c>
      <c r="R1555" s="2" t="s">
        <v>235</v>
      </c>
      <c r="S1555" s="2" t="s">
        <v>5808</v>
      </c>
      <c r="T1555" s="2" t="s">
        <v>4127</v>
      </c>
      <c r="U1555" s="2" t="s">
        <v>552</v>
      </c>
      <c r="V1555" s="2" t="s">
        <v>238</v>
      </c>
      <c r="W1555" s="2" t="s">
        <v>682</v>
      </c>
      <c r="X1555" s="2" t="s">
        <v>235</v>
      </c>
      <c r="Y1555" s="2" t="s">
        <v>976</v>
      </c>
      <c r="Z1555" s="4">
        <v>460</v>
      </c>
      <c r="AA1555" s="4">
        <f>=ROUNDDOWN(287.5,0)</f>
      </c>
      <c r="AB1555" s="5">
        <v>1.6</v>
      </c>
      <c r="AC1555" s="2" t="s">
        <v>235</v>
      </c>
      <c r="AD1555" s="4"/>
      <c r="AE1555" s="4"/>
      <c r="AF1555" s="6">
        <v>64</v>
      </c>
      <c r="AG1555" s="6"/>
      <c r="AH1555" s="7">
        <v>1</v>
      </c>
      <c r="AI1555" s="4"/>
      <c r="AJ1555" s="4">
        <f>=ROUNDDOWN({0},0)</f>
      </c>
      <c r="AK1555" s="5"/>
      <c r="AL1555" s="2" t="s">
        <v>235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235</v>
      </c>
      <c r="AW1555" s="8" t="s">
        <v>235</v>
      </c>
      <c r="AX1555" s="4" t="s">
        <v>235</v>
      </c>
      <c r="AY1555" s="8" t="s">
        <v>235</v>
      </c>
      <c r="AZ1555" s="7" t="s">
        <v>235</v>
      </c>
      <c r="BA1555" s="7" t="s">
        <v>235</v>
      </c>
      <c r="BB1555" s="7"/>
      <c r="BC1555" s="4" t="s">
        <v>235</v>
      </c>
      <c r="BD1555" s="8" t="s">
        <v>235</v>
      </c>
      <c r="BE1555" s="4" t="s">
        <v>235</v>
      </c>
      <c r="BF1555" s="8" t="s">
        <v>235</v>
      </c>
      <c r="BG1555" s="7" t="s">
        <v>235</v>
      </c>
      <c r="BH1555" s="7" t="s">
        <v>235</v>
      </c>
      <c r="BI1555" s="7"/>
      <c r="BJ1555" s="4">
        <v>5</v>
      </c>
      <c r="BK1555" s="8">
        <v>164.09</v>
      </c>
      <c r="BL1555" s="2" t="s">
        <v>502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5809</v>
      </c>
      <c r="BV1555" s="2" t="s">
        <v>243</v>
      </c>
      <c r="BW1555" s="2" t="s">
        <v>235</v>
      </c>
      <c r="BX1555" s="2" t="s">
        <v>619</v>
      </c>
      <c r="BY1555" s="2" t="s">
        <v>245</v>
      </c>
      <c r="BZ1555" s="2" t="s">
        <v>232</v>
      </c>
      <c r="CA1555" s="2" t="s">
        <v>1536</v>
      </c>
      <c r="CB1555" s="2" t="s">
        <v>1034</v>
      </c>
      <c r="CC1555" s="2" t="s">
        <v>248</v>
      </c>
      <c r="CD1555" s="2" t="s">
        <v>248</v>
      </c>
      <c r="CE1555" s="2" t="s">
        <v>235</v>
      </c>
      <c r="CF1555" s="4">
        <v>156</v>
      </c>
      <c r="CG1555" s="4"/>
      <c r="CH1555" s="4"/>
      <c r="CI1555" s="4">
        <v>304</v>
      </c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>
        <v>460</v>
      </c>
      <c r="GE1555" s="4">
        <v>458</v>
      </c>
      <c r="GF1555" s="4">
        <v>456</v>
      </c>
      <c r="GG1555" s="4">
        <v>454</v>
      </c>
      <c r="GH1555" s="4">
        <v>452</v>
      </c>
      <c r="GI1555" s="4">
        <v>450</v>
      </c>
      <c r="GJ1555" s="4">
        <v>448</v>
      </c>
      <c r="GK1555" s="4">
        <v>446</v>
      </c>
      <c r="GL1555" s="4">
        <v>444</v>
      </c>
      <c r="GM1555" s="4">
        <v>442</v>
      </c>
      <c r="GN1555" s="4">
        <v>440</v>
      </c>
      <c r="GO1555" s="4">
        <v>437</v>
      </c>
      <c r="GP1555" s="4">
        <v>434</v>
      </c>
      <c r="GQ1555" s="4">
        <v>428</v>
      </c>
      <c r="GR1555" s="4">
        <v>424</v>
      </c>
      <c r="GS1555" s="4">
        <v>420</v>
      </c>
      <c r="GT1555" s="4">
        <v>419</v>
      </c>
      <c r="GU1555" s="4">
        <v>417</v>
      </c>
      <c r="GV1555" s="4">
        <v>415</v>
      </c>
      <c r="GW1555" s="4">
        <v>413</v>
      </c>
      <c r="GX1555" s="4">
        <v>411</v>
      </c>
      <c r="GY1555" s="4">
        <v>409</v>
      </c>
      <c r="GZ1555" s="4">
        <v>407</v>
      </c>
      <c r="HA1555" s="4">
        <v>405</v>
      </c>
      <c r="HB1555" s="4">
        <v>403</v>
      </c>
      <c r="HC1555" s="4">
        <v>401</v>
      </c>
      <c r="HD1555" s="19">
        <v>230</v>
      </c>
      <c r="HE1555" s="19">
        <v>229</v>
      </c>
      <c r="HF1555" s="19">
        <v>228</v>
      </c>
      <c r="HG1555" s="19">
        <v>227</v>
      </c>
      <c r="HH1555" s="19">
        <v>226</v>
      </c>
      <c r="HI1555" s="19">
        <v>225</v>
      </c>
      <c r="HJ1555" s="19">
        <v>224</v>
      </c>
      <c r="HK1555" s="19">
        <v>223</v>
      </c>
      <c r="HL1555" s="19">
        <v>222</v>
      </c>
      <c r="HM1555" s="19">
        <v>110.5</v>
      </c>
      <c r="HN1555" s="19">
        <v>110</v>
      </c>
      <c r="HO1555" s="19">
        <v>109.3</v>
      </c>
      <c r="HP1555" s="19">
        <v>108.5</v>
      </c>
      <c r="HQ1555" s="19">
        <v>142.7</v>
      </c>
      <c r="HR1555" s="19">
        <v>212</v>
      </c>
      <c r="HS1555" s="19">
        <v>210</v>
      </c>
      <c r="HT1555" s="19">
        <v>209.5</v>
      </c>
      <c r="HU1555" s="19">
        <v>208.5</v>
      </c>
      <c r="HV1555" s="19">
        <v>207.5</v>
      </c>
      <c r="HW1555" s="19">
        <v>206.5</v>
      </c>
      <c r="HX1555" s="19">
        <v>205.5</v>
      </c>
      <c r="HY1555" s="19">
        <v>204.5</v>
      </c>
      <c r="HZ1555" s="19">
        <v>203.5</v>
      </c>
      <c r="IA1555" s="19">
        <v>202.5</v>
      </c>
      <c r="IB1555" s="19">
        <v>201.5</v>
      </c>
      <c r="IC1555" s="19">
        <v>200.5</v>
      </c>
    </row>
    <row r="1556">
      <c r="A1556" s="2" t="s">
        <v>5811</v>
      </c>
      <c r="B1556" s="2" t="s">
        <v>871</v>
      </c>
      <c r="C1556" s="2" t="s">
        <v>606</v>
      </c>
      <c r="D1556" s="2" t="s">
        <v>4227</v>
      </c>
      <c r="E1556" s="2" t="s">
        <v>1895</v>
      </c>
      <c r="F1556" s="2" t="s">
        <v>5804</v>
      </c>
      <c r="G1556" s="2" t="s">
        <v>5805</v>
      </c>
      <c r="H1556" s="2" t="s">
        <v>5806</v>
      </c>
      <c r="I1556" s="2" t="s">
        <v>5807</v>
      </c>
      <c r="J1556" s="2" t="s">
        <v>372</v>
      </c>
      <c r="K1556" s="2" t="s">
        <v>287</v>
      </c>
      <c r="L1556" s="3">
        <v>32.29</v>
      </c>
      <c r="M1556" s="3">
        <v>33.9</v>
      </c>
      <c r="N1556" s="3">
        <v>74.99</v>
      </c>
      <c r="O1556" s="2" t="s">
        <v>232</v>
      </c>
      <c r="P1556" s="2" t="s">
        <v>233</v>
      </c>
      <c r="Q1556" s="2" t="s">
        <v>234</v>
      </c>
      <c r="R1556" s="2" t="s">
        <v>235</v>
      </c>
      <c r="S1556" s="2" t="s">
        <v>5808</v>
      </c>
      <c r="T1556" s="2" t="s">
        <v>4127</v>
      </c>
      <c r="U1556" s="2" t="s">
        <v>552</v>
      </c>
      <c r="V1556" s="2" t="s">
        <v>238</v>
      </c>
      <c r="W1556" s="2" t="s">
        <v>682</v>
      </c>
      <c r="X1556" s="2" t="s">
        <v>235</v>
      </c>
      <c r="Y1556" s="2" t="s">
        <v>1485</v>
      </c>
      <c r="Z1556" s="4">
        <v>346</v>
      </c>
      <c r="AA1556" s="4">
        <f>=ROUNDDOWN(138.4,0)</f>
      </c>
      <c r="AB1556" s="5">
        <v>2.5</v>
      </c>
      <c r="AC1556" s="2" t="s">
        <v>235</v>
      </c>
      <c r="AD1556" s="4"/>
      <c r="AE1556" s="4"/>
      <c r="AF1556" s="6">
        <v>64</v>
      </c>
      <c r="AG1556" s="6"/>
      <c r="AH1556" s="7">
        <v>1</v>
      </c>
      <c r="AI1556" s="4"/>
      <c r="AJ1556" s="4">
        <f>=ROUNDDOWN({0},0)</f>
      </c>
      <c r="AK1556" s="5"/>
      <c r="AL1556" s="2" t="s">
        <v>235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235</v>
      </c>
      <c r="AW1556" s="8" t="s">
        <v>235</v>
      </c>
      <c r="AX1556" s="4" t="s">
        <v>235</v>
      </c>
      <c r="AY1556" s="8" t="s">
        <v>235</v>
      </c>
      <c r="AZ1556" s="7" t="s">
        <v>235</v>
      </c>
      <c r="BA1556" s="7" t="s">
        <v>235</v>
      </c>
      <c r="BB1556" s="7"/>
      <c r="BC1556" s="4" t="s">
        <v>235</v>
      </c>
      <c r="BD1556" s="8" t="s">
        <v>235</v>
      </c>
      <c r="BE1556" s="4" t="s">
        <v>235</v>
      </c>
      <c r="BF1556" s="8" t="s">
        <v>235</v>
      </c>
      <c r="BG1556" s="7" t="s">
        <v>235</v>
      </c>
      <c r="BH1556" s="7" t="s">
        <v>235</v>
      </c>
      <c r="BI1556" s="7"/>
      <c r="BJ1556" s="4">
        <v>8</v>
      </c>
      <c r="BK1556" s="8">
        <v>274.25</v>
      </c>
      <c r="BL1556" s="2" t="s">
        <v>1580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5809</v>
      </c>
      <c r="BV1556" s="2" t="s">
        <v>243</v>
      </c>
      <c r="BW1556" s="2" t="s">
        <v>235</v>
      </c>
      <c r="BX1556" s="2" t="s">
        <v>619</v>
      </c>
      <c r="BY1556" s="2" t="s">
        <v>245</v>
      </c>
      <c r="BZ1556" s="2" t="s">
        <v>232</v>
      </c>
      <c r="CA1556" s="2" t="s">
        <v>1536</v>
      </c>
      <c r="CB1556" s="2" t="s">
        <v>2821</v>
      </c>
      <c r="CC1556" s="2" t="s">
        <v>248</v>
      </c>
      <c r="CD1556" s="2" t="s">
        <v>248</v>
      </c>
      <c r="CE1556" s="2" t="s">
        <v>235</v>
      </c>
      <c r="CF1556" s="4">
        <v>92</v>
      </c>
      <c r="CG1556" s="4"/>
      <c r="CH1556" s="4"/>
      <c r="CI1556" s="4">
        <v>254</v>
      </c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>
        <v>346</v>
      </c>
      <c r="GE1556" s="4">
        <v>344</v>
      </c>
      <c r="GF1556" s="4">
        <v>342</v>
      </c>
      <c r="GG1556" s="4">
        <v>340</v>
      </c>
      <c r="GH1556" s="4">
        <v>338</v>
      </c>
      <c r="GI1556" s="4">
        <v>336</v>
      </c>
      <c r="GJ1556" s="4">
        <v>334</v>
      </c>
      <c r="GK1556" s="4">
        <v>332</v>
      </c>
      <c r="GL1556" s="4">
        <v>330</v>
      </c>
      <c r="GM1556" s="4">
        <v>328</v>
      </c>
      <c r="GN1556" s="4">
        <v>326</v>
      </c>
      <c r="GO1556" s="4">
        <v>323</v>
      </c>
      <c r="GP1556" s="4">
        <v>320</v>
      </c>
      <c r="GQ1556" s="4">
        <v>314</v>
      </c>
      <c r="GR1556" s="4">
        <v>310</v>
      </c>
      <c r="GS1556" s="4">
        <v>306</v>
      </c>
      <c r="GT1556" s="4">
        <v>305</v>
      </c>
      <c r="GU1556" s="4">
        <v>303</v>
      </c>
      <c r="GV1556" s="4">
        <v>301</v>
      </c>
      <c r="GW1556" s="4">
        <v>299</v>
      </c>
      <c r="GX1556" s="4">
        <v>297</v>
      </c>
      <c r="GY1556" s="4">
        <v>295</v>
      </c>
      <c r="GZ1556" s="4">
        <v>293</v>
      </c>
      <c r="HA1556" s="4">
        <v>291</v>
      </c>
      <c r="HB1556" s="4">
        <v>289</v>
      </c>
      <c r="HC1556" s="4">
        <v>287</v>
      </c>
      <c r="HD1556" s="19">
        <v>173</v>
      </c>
      <c r="HE1556" s="19">
        <v>172</v>
      </c>
      <c r="HF1556" s="19">
        <v>171</v>
      </c>
      <c r="HG1556" s="19">
        <v>170</v>
      </c>
      <c r="HH1556" s="19">
        <v>169</v>
      </c>
      <c r="HI1556" s="19">
        <v>168</v>
      </c>
      <c r="HJ1556" s="19">
        <v>167</v>
      </c>
      <c r="HK1556" s="19">
        <v>166</v>
      </c>
      <c r="HL1556" s="19">
        <v>165</v>
      </c>
      <c r="HM1556" s="19">
        <v>82</v>
      </c>
      <c r="HN1556" s="19">
        <v>81.5</v>
      </c>
      <c r="HO1556" s="19">
        <v>80.8</v>
      </c>
      <c r="HP1556" s="19">
        <v>80</v>
      </c>
      <c r="HQ1556" s="19">
        <v>104.7</v>
      </c>
      <c r="HR1556" s="19">
        <v>155</v>
      </c>
      <c r="HS1556" s="19">
        <v>153</v>
      </c>
      <c r="HT1556" s="19">
        <v>152.5</v>
      </c>
      <c r="HU1556" s="19">
        <v>151.5</v>
      </c>
      <c r="HV1556" s="19">
        <v>150.5</v>
      </c>
      <c r="HW1556" s="19">
        <v>149.5</v>
      </c>
      <c r="HX1556" s="19">
        <v>148.5</v>
      </c>
      <c r="HY1556" s="19">
        <v>147.5</v>
      </c>
      <c r="HZ1556" s="19">
        <v>146.5</v>
      </c>
      <c r="IA1556" s="19">
        <v>145.5</v>
      </c>
      <c r="IB1556" s="19">
        <v>144.5</v>
      </c>
      <c r="IC1556" s="19">
        <v>143.5</v>
      </c>
    </row>
    <row r="1557">
      <c r="A1557" s="2" t="s">
        <v>5812</v>
      </c>
      <c r="B1557" s="2" t="s">
        <v>871</v>
      </c>
      <c r="C1557" s="2" t="s">
        <v>606</v>
      </c>
      <c r="D1557" s="2" t="s">
        <v>4227</v>
      </c>
      <c r="E1557" s="2" t="s">
        <v>1895</v>
      </c>
      <c r="F1557" s="2" t="s">
        <v>5804</v>
      </c>
      <c r="G1557" s="2" t="s">
        <v>5805</v>
      </c>
      <c r="H1557" s="2" t="s">
        <v>5806</v>
      </c>
      <c r="I1557" s="2" t="s">
        <v>5807</v>
      </c>
      <c r="J1557" s="2" t="s">
        <v>877</v>
      </c>
      <c r="K1557" s="2" t="s">
        <v>1238</v>
      </c>
      <c r="L1557" s="3">
        <v>23.84</v>
      </c>
      <c r="M1557" s="3">
        <v>25.03</v>
      </c>
      <c r="N1557" s="3">
        <v>49.99</v>
      </c>
      <c r="O1557" s="2" t="s">
        <v>232</v>
      </c>
      <c r="P1557" s="2" t="s">
        <v>233</v>
      </c>
      <c r="Q1557" s="2" t="s">
        <v>234</v>
      </c>
      <c r="R1557" s="2" t="s">
        <v>235</v>
      </c>
      <c r="S1557" s="2" t="s">
        <v>5813</v>
      </c>
      <c r="T1557" s="2" t="s">
        <v>4127</v>
      </c>
      <c r="U1557" s="2" t="s">
        <v>278</v>
      </c>
      <c r="V1557" s="2" t="s">
        <v>238</v>
      </c>
      <c r="W1557" s="2" t="s">
        <v>682</v>
      </c>
      <c r="X1557" s="2" t="s">
        <v>235</v>
      </c>
      <c r="Y1557" s="2" t="s">
        <v>976</v>
      </c>
      <c r="Z1557" s="4">
        <v>253</v>
      </c>
      <c r="AA1557" s="4">
        <f>=ROUNDDOWN(281.111111111111,0)</f>
      </c>
      <c r="AB1557" s="5">
        <v>0.9</v>
      </c>
      <c r="AC1557" s="2" t="s">
        <v>235</v>
      </c>
      <c r="AD1557" s="4"/>
      <c r="AE1557" s="4"/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235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235</v>
      </c>
      <c r="AW1557" s="8" t="s">
        <v>235</v>
      </c>
      <c r="AX1557" s="4" t="s">
        <v>235</v>
      </c>
      <c r="AY1557" s="8" t="s">
        <v>235</v>
      </c>
      <c r="AZ1557" s="7" t="s">
        <v>235</v>
      </c>
      <c r="BA1557" s="7" t="s">
        <v>235</v>
      </c>
      <c r="BB1557" s="7"/>
      <c r="BC1557" s="4" t="s">
        <v>235</v>
      </c>
      <c r="BD1557" s="8" t="s">
        <v>235</v>
      </c>
      <c r="BE1557" s="4" t="s">
        <v>235</v>
      </c>
      <c r="BF1557" s="8" t="s">
        <v>235</v>
      </c>
      <c r="BG1557" s="7" t="s">
        <v>235</v>
      </c>
      <c r="BH1557" s="7" t="s">
        <v>235</v>
      </c>
      <c r="BI1557" s="7"/>
      <c r="BJ1557" s="4">
        <v>5</v>
      </c>
      <c r="BK1557" s="8">
        <v>291.9</v>
      </c>
      <c r="BL1557" s="2" t="s">
        <v>1043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5809</v>
      </c>
      <c r="BV1557" s="2" t="s">
        <v>243</v>
      </c>
      <c r="BW1557" s="2" t="s">
        <v>235</v>
      </c>
      <c r="BX1557" s="2" t="s">
        <v>619</v>
      </c>
      <c r="BY1557" s="2" t="s">
        <v>245</v>
      </c>
      <c r="BZ1557" s="2" t="s">
        <v>232</v>
      </c>
      <c r="CA1557" s="2" t="s">
        <v>1536</v>
      </c>
      <c r="CB1557" s="2" t="s">
        <v>235</v>
      </c>
      <c r="CC1557" s="2" t="s">
        <v>248</v>
      </c>
      <c r="CD1557" s="2" t="s">
        <v>248</v>
      </c>
      <c r="CE1557" s="2" t="s">
        <v>235</v>
      </c>
      <c r="CF1557" s="4">
        <v>111</v>
      </c>
      <c r="CG1557" s="4"/>
      <c r="CH1557" s="4"/>
      <c r="CI1557" s="4">
        <v>142</v>
      </c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>
        <v>253</v>
      </c>
      <c r="GE1557" s="4">
        <v>252</v>
      </c>
      <c r="GF1557" s="4">
        <v>251</v>
      </c>
      <c r="GG1557" s="4">
        <v>250</v>
      </c>
      <c r="GH1557" s="4">
        <v>249</v>
      </c>
      <c r="GI1557" s="4">
        <v>248</v>
      </c>
      <c r="GJ1557" s="4">
        <v>247</v>
      </c>
      <c r="GK1557" s="4">
        <v>246</v>
      </c>
      <c r="GL1557" s="4">
        <v>245</v>
      </c>
      <c r="GM1557" s="4">
        <v>244</v>
      </c>
      <c r="GN1557" s="4">
        <v>243</v>
      </c>
      <c r="GO1557" s="4">
        <v>241</v>
      </c>
      <c r="GP1557" s="4">
        <v>240</v>
      </c>
      <c r="GQ1557" s="4">
        <v>237</v>
      </c>
      <c r="GR1557" s="4">
        <v>235</v>
      </c>
      <c r="GS1557" s="4">
        <v>233</v>
      </c>
      <c r="GT1557" s="4">
        <v>232</v>
      </c>
      <c r="GU1557" s="4">
        <v>231</v>
      </c>
      <c r="GV1557" s="4">
        <v>230</v>
      </c>
      <c r="GW1557" s="4">
        <v>229</v>
      </c>
      <c r="GX1557" s="4">
        <v>228</v>
      </c>
      <c r="GY1557" s="4">
        <v>227</v>
      </c>
      <c r="GZ1557" s="4">
        <v>226</v>
      </c>
      <c r="HA1557" s="4">
        <v>225</v>
      </c>
      <c r="HB1557" s="4">
        <v>224</v>
      </c>
      <c r="HC1557" s="4">
        <v>223</v>
      </c>
      <c r="HD1557" s="19">
        <v>253</v>
      </c>
      <c r="HE1557" s="19">
        <v>252</v>
      </c>
      <c r="HF1557" s="19">
        <v>251</v>
      </c>
      <c r="HG1557" s="19">
        <v>250</v>
      </c>
      <c r="HH1557" s="19">
        <v>249</v>
      </c>
      <c r="HI1557" s="19">
        <v>248</v>
      </c>
      <c r="HJ1557" s="19">
        <v>247</v>
      </c>
      <c r="HK1557" s="19">
        <v>246</v>
      </c>
      <c r="HL1557" s="19">
        <v>245</v>
      </c>
      <c r="HM1557" s="19">
        <v>122</v>
      </c>
      <c r="HN1557" s="19">
        <v>121.5</v>
      </c>
      <c r="HO1557" s="19">
        <v>120.5</v>
      </c>
      <c r="HP1557" s="19">
        <v>120</v>
      </c>
      <c r="HQ1557" s="19">
        <v>118.5</v>
      </c>
      <c r="HR1557" s="19">
        <v>235</v>
      </c>
      <c r="HS1557" s="19">
        <v>233</v>
      </c>
      <c r="HT1557" s="19">
        <v>232</v>
      </c>
      <c r="HU1557" s="19">
        <v>231</v>
      </c>
      <c r="HV1557" s="19">
        <v>230</v>
      </c>
      <c r="HW1557" s="19">
        <v>229</v>
      </c>
      <c r="HX1557" s="19">
        <v>228</v>
      </c>
      <c r="HY1557" s="19">
        <v>227</v>
      </c>
      <c r="HZ1557" s="19">
        <v>226</v>
      </c>
      <c r="IA1557" s="19">
        <v>225</v>
      </c>
      <c r="IB1557" s="19">
        <v>224</v>
      </c>
      <c r="IC1557" s="19">
        <v>223</v>
      </c>
    </row>
    <row r="1558">
      <c r="A1558" s="2" t="s">
        <v>5814</v>
      </c>
      <c r="B1558" s="2" t="s">
        <v>871</v>
      </c>
      <c r="C1558" s="2" t="s">
        <v>606</v>
      </c>
      <c r="D1558" s="2" t="s">
        <v>4227</v>
      </c>
      <c r="E1558" s="2" t="s">
        <v>1895</v>
      </c>
      <c r="F1558" s="2" t="s">
        <v>5804</v>
      </c>
      <c r="G1558" s="2" t="s">
        <v>5805</v>
      </c>
      <c r="H1558" s="2" t="s">
        <v>5806</v>
      </c>
      <c r="I1558" s="2" t="s">
        <v>5807</v>
      </c>
      <c r="J1558" s="2" t="s">
        <v>372</v>
      </c>
      <c r="K1558" s="2" t="s">
        <v>1238</v>
      </c>
      <c r="L1558" s="3">
        <v>32.29</v>
      </c>
      <c r="M1558" s="3">
        <v>33.9</v>
      </c>
      <c r="N1558" s="3">
        <v>74.99</v>
      </c>
      <c r="O1558" s="2" t="s">
        <v>232</v>
      </c>
      <c r="P1558" s="2" t="s">
        <v>233</v>
      </c>
      <c r="Q1558" s="2" t="s">
        <v>234</v>
      </c>
      <c r="R1558" s="2" t="s">
        <v>235</v>
      </c>
      <c r="S1558" s="2" t="s">
        <v>5813</v>
      </c>
      <c r="T1558" s="2" t="s">
        <v>4127</v>
      </c>
      <c r="U1558" s="2" t="s">
        <v>552</v>
      </c>
      <c r="V1558" s="2" t="s">
        <v>238</v>
      </c>
      <c r="W1558" s="2" t="s">
        <v>682</v>
      </c>
      <c r="X1558" s="2" t="s">
        <v>235</v>
      </c>
      <c r="Y1558" s="2" t="s">
        <v>1485</v>
      </c>
      <c r="Z1558" s="4">
        <v>725</v>
      </c>
      <c r="AA1558" s="4">
        <f>=ROUNDDOWN(453.125,0)</f>
      </c>
      <c r="AB1558" s="5">
        <v>1.6</v>
      </c>
      <c r="AC1558" s="2" t="s">
        <v>235</v>
      </c>
      <c r="AD1558" s="4"/>
      <c r="AE1558" s="4"/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235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235</v>
      </c>
      <c r="AW1558" s="8" t="s">
        <v>235</v>
      </c>
      <c r="AX1558" s="4" t="s">
        <v>235</v>
      </c>
      <c r="AY1558" s="8" t="s">
        <v>235</v>
      </c>
      <c r="AZ1558" s="7" t="s">
        <v>235</v>
      </c>
      <c r="BA1558" s="7" t="s">
        <v>235</v>
      </c>
      <c r="BB1558" s="7"/>
      <c r="BC1558" s="4" t="s">
        <v>235</v>
      </c>
      <c r="BD1558" s="8" t="s">
        <v>235</v>
      </c>
      <c r="BE1558" s="4" t="s">
        <v>235</v>
      </c>
      <c r="BF1558" s="8" t="s">
        <v>235</v>
      </c>
      <c r="BG1558" s="7" t="s">
        <v>235</v>
      </c>
      <c r="BH1558" s="7" t="s">
        <v>235</v>
      </c>
      <c r="BI1558" s="7"/>
      <c r="BJ1558" s="4">
        <v>8</v>
      </c>
      <c r="BK1558" s="8">
        <v>290.56</v>
      </c>
      <c r="BL1558" s="2" t="s">
        <v>536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5809</v>
      </c>
      <c r="BV1558" s="2" t="s">
        <v>243</v>
      </c>
      <c r="BW1558" s="2" t="s">
        <v>235</v>
      </c>
      <c r="BX1558" s="2" t="s">
        <v>619</v>
      </c>
      <c r="BY1558" s="2" t="s">
        <v>245</v>
      </c>
      <c r="BZ1558" s="2" t="s">
        <v>232</v>
      </c>
      <c r="CA1558" s="2" t="s">
        <v>1536</v>
      </c>
      <c r="CB1558" s="2" t="s">
        <v>235</v>
      </c>
      <c r="CC1558" s="2" t="s">
        <v>248</v>
      </c>
      <c r="CD1558" s="2" t="s">
        <v>248</v>
      </c>
      <c r="CE1558" s="2" t="s">
        <v>235</v>
      </c>
      <c r="CF1558" s="4">
        <v>348</v>
      </c>
      <c r="CG1558" s="4"/>
      <c r="CH1558" s="4"/>
      <c r="CI1558" s="4">
        <v>377</v>
      </c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>
        <v>725</v>
      </c>
      <c r="GE1558" s="4">
        <v>723</v>
      </c>
      <c r="GF1558" s="4">
        <v>721</v>
      </c>
      <c r="GG1558" s="4">
        <v>719</v>
      </c>
      <c r="GH1558" s="4">
        <v>717</v>
      </c>
      <c r="GI1558" s="4">
        <v>715</v>
      </c>
      <c r="GJ1558" s="4">
        <v>713</v>
      </c>
      <c r="GK1558" s="4">
        <v>711</v>
      </c>
      <c r="GL1558" s="4">
        <v>709</v>
      </c>
      <c r="GM1558" s="4">
        <v>707</v>
      </c>
      <c r="GN1558" s="4">
        <v>705</v>
      </c>
      <c r="GO1558" s="4">
        <v>702</v>
      </c>
      <c r="GP1558" s="4">
        <v>699</v>
      </c>
      <c r="GQ1558" s="4">
        <v>693</v>
      </c>
      <c r="GR1558" s="4">
        <v>689</v>
      </c>
      <c r="GS1558" s="4">
        <v>685</v>
      </c>
      <c r="GT1558" s="4">
        <v>684</v>
      </c>
      <c r="GU1558" s="4">
        <v>682</v>
      </c>
      <c r="GV1558" s="4">
        <v>680</v>
      </c>
      <c r="GW1558" s="4">
        <v>678</v>
      </c>
      <c r="GX1558" s="4">
        <v>676</v>
      </c>
      <c r="GY1558" s="4">
        <v>674</v>
      </c>
      <c r="GZ1558" s="4">
        <v>672</v>
      </c>
      <c r="HA1558" s="4">
        <v>670</v>
      </c>
      <c r="HB1558" s="4">
        <v>668</v>
      </c>
      <c r="HC1558" s="4">
        <v>666</v>
      </c>
      <c r="HD1558" s="19">
        <v>362.5</v>
      </c>
      <c r="HE1558" s="19">
        <v>361.5</v>
      </c>
      <c r="HF1558" s="19">
        <v>360.5</v>
      </c>
      <c r="HG1558" s="19">
        <v>359.5</v>
      </c>
      <c r="HH1558" s="19">
        <v>358.5</v>
      </c>
      <c r="HI1558" s="19">
        <v>357.5</v>
      </c>
      <c r="HJ1558" s="19">
        <v>356.5</v>
      </c>
      <c r="HK1558" s="19">
        <v>355.5</v>
      </c>
      <c r="HL1558" s="19">
        <v>354.5</v>
      </c>
      <c r="HM1558" s="19">
        <v>176.8</v>
      </c>
      <c r="HN1558" s="19">
        <v>176.3</v>
      </c>
      <c r="HO1558" s="19">
        <v>175.5</v>
      </c>
      <c r="HP1558" s="19">
        <v>174.8</v>
      </c>
      <c r="HQ1558" s="19">
        <v>231</v>
      </c>
      <c r="HR1558" s="19">
        <v>344.5</v>
      </c>
      <c r="HS1558" s="19">
        <v>342.5</v>
      </c>
      <c r="HT1558" s="19">
        <v>342</v>
      </c>
      <c r="HU1558" s="19">
        <v>341</v>
      </c>
      <c r="HV1558" s="19">
        <v>340</v>
      </c>
      <c r="HW1558" s="19">
        <v>339</v>
      </c>
      <c r="HX1558" s="19">
        <v>338</v>
      </c>
      <c r="HY1558" s="19">
        <v>337</v>
      </c>
      <c r="HZ1558" s="19">
        <v>336</v>
      </c>
      <c r="IA1558" s="19">
        <v>335</v>
      </c>
      <c r="IB1558" s="19">
        <v>334</v>
      </c>
      <c r="IC1558" s="19">
        <v>333</v>
      </c>
    </row>
    <row r="1559">
      <c r="A1559" s="2" t="s">
        <v>5815</v>
      </c>
      <c r="B1559" s="2" t="s">
        <v>871</v>
      </c>
      <c r="C1559" s="2" t="s">
        <v>606</v>
      </c>
      <c r="D1559" s="2" t="s">
        <v>4227</v>
      </c>
      <c r="E1559" s="2" t="s">
        <v>1895</v>
      </c>
      <c r="F1559" s="2" t="s">
        <v>5804</v>
      </c>
      <c r="G1559" s="2" t="s">
        <v>5805</v>
      </c>
      <c r="H1559" s="2" t="s">
        <v>5806</v>
      </c>
      <c r="I1559" s="2" t="s">
        <v>5807</v>
      </c>
      <c r="J1559" s="2" t="s">
        <v>877</v>
      </c>
      <c r="K1559" s="2" t="s">
        <v>822</v>
      </c>
      <c r="L1559" s="3">
        <v>23.84</v>
      </c>
      <c r="M1559" s="3">
        <v>25.03</v>
      </c>
      <c r="N1559" s="3">
        <v>49.99</v>
      </c>
      <c r="O1559" s="2" t="s">
        <v>232</v>
      </c>
      <c r="P1559" s="2" t="s">
        <v>233</v>
      </c>
      <c r="Q1559" s="2" t="s">
        <v>234</v>
      </c>
      <c r="R1559" s="2" t="s">
        <v>235</v>
      </c>
      <c r="S1559" s="2" t="s">
        <v>5816</v>
      </c>
      <c r="T1559" s="2" t="s">
        <v>4127</v>
      </c>
      <c r="U1559" s="2" t="s">
        <v>278</v>
      </c>
      <c r="V1559" s="2" t="s">
        <v>238</v>
      </c>
      <c r="W1559" s="2" t="s">
        <v>682</v>
      </c>
      <c r="X1559" s="2" t="s">
        <v>235</v>
      </c>
      <c r="Y1559" s="2" t="s">
        <v>976</v>
      </c>
      <c r="Z1559" s="4">
        <v>144</v>
      </c>
      <c r="AA1559" s="4">
        <f>=ROUNDDOWN(180,0)</f>
      </c>
      <c r="AB1559" s="5">
        <v>0.8</v>
      </c>
      <c r="AC1559" s="2" t="s">
        <v>235</v>
      </c>
      <c r="AD1559" s="4"/>
      <c r="AE1559" s="4"/>
      <c r="AF1559" s="6">
        <v>64</v>
      </c>
      <c r="AG1559" s="6"/>
      <c r="AH1559" s="7">
        <v>1</v>
      </c>
      <c r="AI1559" s="4"/>
      <c r="AJ1559" s="4">
        <f>=ROUNDDOWN({0},0)</f>
      </c>
      <c r="AK1559" s="5"/>
      <c r="AL1559" s="2" t="s">
        <v>235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235</v>
      </c>
      <c r="AW1559" s="8" t="s">
        <v>235</v>
      </c>
      <c r="AX1559" s="4" t="s">
        <v>235</v>
      </c>
      <c r="AY1559" s="8" t="s">
        <v>235</v>
      </c>
      <c r="AZ1559" s="7" t="s">
        <v>235</v>
      </c>
      <c r="BA1559" s="7" t="s">
        <v>235</v>
      </c>
      <c r="BB1559" s="7"/>
      <c r="BC1559" s="4" t="s">
        <v>235</v>
      </c>
      <c r="BD1559" s="8" t="s">
        <v>235</v>
      </c>
      <c r="BE1559" s="4" t="s">
        <v>235</v>
      </c>
      <c r="BF1559" s="8" t="s">
        <v>235</v>
      </c>
      <c r="BG1559" s="7" t="s">
        <v>235</v>
      </c>
      <c r="BH1559" s="7" t="s">
        <v>235</v>
      </c>
      <c r="BI1559" s="7"/>
      <c r="BJ1559" s="4">
        <v>2</v>
      </c>
      <c r="BK1559" s="8">
        <v>114.86</v>
      </c>
      <c r="BL1559" s="2" t="s">
        <v>5817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5809</v>
      </c>
      <c r="BV1559" s="2" t="s">
        <v>243</v>
      </c>
      <c r="BW1559" s="2" t="s">
        <v>235</v>
      </c>
      <c r="BX1559" s="2" t="s">
        <v>619</v>
      </c>
      <c r="BY1559" s="2" t="s">
        <v>245</v>
      </c>
      <c r="BZ1559" s="2" t="s">
        <v>232</v>
      </c>
      <c r="CA1559" s="2" t="s">
        <v>1536</v>
      </c>
      <c r="CB1559" s="2" t="s">
        <v>235</v>
      </c>
      <c r="CC1559" s="2" t="s">
        <v>248</v>
      </c>
      <c r="CD1559" s="2" t="s">
        <v>248</v>
      </c>
      <c r="CE1559" s="2" t="s">
        <v>235</v>
      </c>
      <c r="CF1559" s="4">
        <v>32</v>
      </c>
      <c r="CG1559" s="4"/>
      <c r="CH1559" s="4"/>
      <c r="CI1559" s="4">
        <v>112</v>
      </c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>
        <v>144</v>
      </c>
      <c r="GE1559" s="4">
        <v>143</v>
      </c>
      <c r="GF1559" s="4">
        <v>142</v>
      </c>
      <c r="GG1559" s="4">
        <v>141</v>
      </c>
      <c r="GH1559" s="4">
        <v>140</v>
      </c>
      <c r="GI1559" s="4">
        <v>139</v>
      </c>
      <c r="GJ1559" s="4">
        <v>138</v>
      </c>
      <c r="GK1559" s="4">
        <v>137</v>
      </c>
      <c r="GL1559" s="4">
        <v>136</v>
      </c>
      <c r="GM1559" s="4">
        <v>135</v>
      </c>
      <c r="GN1559" s="4">
        <v>134</v>
      </c>
      <c r="GO1559" s="4">
        <v>132</v>
      </c>
      <c r="GP1559" s="4">
        <v>131</v>
      </c>
      <c r="GQ1559" s="4">
        <v>128</v>
      </c>
      <c r="GR1559" s="4">
        <v>126</v>
      </c>
      <c r="GS1559" s="4">
        <v>124</v>
      </c>
      <c r="GT1559" s="4">
        <v>123</v>
      </c>
      <c r="GU1559" s="4">
        <v>122</v>
      </c>
      <c r="GV1559" s="4">
        <v>121</v>
      </c>
      <c r="GW1559" s="4">
        <v>120</v>
      </c>
      <c r="GX1559" s="4">
        <v>119</v>
      </c>
      <c r="GY1559" s="4">
        <v>118</v>
      </c>
      <c r="GZ1559" s="4">
        <v>117</v>
      </c>
      <c r="HA1559" s="4">
        <v>116</v>
      </c>
      <c r="HB1559" s="4">
        <v>115</v>
      </c>
      <c r="HC1559" s="4">
        <v>114</v>
      </c>
      <c r="HD1559" s="19">
        <v>144</v>
      </c>
      <c r="HE1559" s="19">
        <v>143</v>
      </c>
      <c r="HF1559" s="19">
        <v>142</v>
      </c>
      <c r="HG1559" s="19">
        <v>141</v>
      </c>
      <c r="HH1559" s="19">
        <v>140</v>
      </c>
      <c r="HI1559" s="19">
        <v>139</v>
      </c>
      <c r="HJ1559" s="19">
        <v>138</v>
      </c>
      <c r="HK1559" s="19">
        <v>137</v>
      </c>
      <c r="HL1559" s="19">
        <v>136</v>
      </c>
      <c r="HM1559" s="19">
        <v>67.5</v>
      </c>
      <c r="HN1559" s="19">
        <v>67</v>
      </c>
      <c r="HO1559" s="19">
        <v>66</v>
      </c>
      <c r="HP1559" s="19">
        <v>65.5</v>
      </c>
      <c r="HQ1559" s="19">
        <v>64</v>
      </c>
      <c r="HR1559" s="19">
        <v>126</v>
      </c>
      <c r="HS1559" s="19">
        <v>124</v>
      </c>
      <c r="HT1559" s="19">
        <v>123</v>
      </c>
      <c r="HU1559" s="19">
        <v>122</v>
      </c>
      <c r="HV1559" s="19">
        <v>121</v>
      </c>
      <c r="HW1559" s="19">
        <v>120</v>
      </c>
      <c r="HX1559" s="19">
        <v>119</v>
      </c>
      <c r="HY1559" s="19">
        <v>118</v>
      </c>
      <c r="HZ1559" s="19">
        <v>117</v>
      </c>
      <c r="IA1559" s="19">
        <v>116</v>
      </c>
      <c r="IB1559" s="19">
        <v>115</v>
      </c>
      <c r="IC1559" s="19">
        <v>114</v>
      </c>
    </row>
    <row r="1560">
      <c r="A1560" s="2" t="s">
        <v>5818</v>
      </c>
      <c r="B1560" s="2" t="s">
        <v>871</v>
      </c>
      <c r="C1560" s="2" t="s">
        <v>606</v>
      </c>
      <c r="D1560" s="2" t="s">
        <v>4227</v>
      </c>
      <c r="E1560" s="2" t="s">
        <v>1895</v>
      </c>
      <c r="F1560" s="2" t="s">
        <v>5804</v>
      </c>
      <c r="G1560" s="2" t="s">
        <v>5805</v>
      </c>
      <c r="H1560" s="2" t="s">
        <v>5806</v>
      </c>
      <c r="I1560" s="2" t="s">
        <v>5807</v>
      </c>
      <c r="J1560" s="2" t="s">
        <v>365</v>
      </c>
      <c r="K1560" s="2" t="s">
        <v>822</v>
      </c>
      <c r="L1560" s="3">
        <v>29.49</v>
      </c>
      <c r="M1560" s="3">
        <v>30.96</v>
      </c>
      <c r="N1560" s="3">
        <v>64.99</v>
      </c>
      <c r="O1560" s="2" t="s">
        <v>232</v>
      </c>
      <c r="P1560" s="2" t="s">
        <v>233</v>
      </c>
      <c r="Q1560" s="2" t="s">
        <v>234</v>
      </c>
      <c r="R1560" s="2" t="s">
        <v>235</v>
      </c>
      <c r="S1560" s="2" t="s">
        <v>5816</v>
      </c>
      <c r="T1560" s="2" t="s">
        <v>4127</v>
      </c>
      <c r="U1560" s="2" t="s">
        <v>552</v>
      </c>
      <c r="V1560" s="2" t="s">
        <v>238</v>
      </c>
      <c r="W1560" s="2" t="s">
        <v>682</v>
      </c>
      <c r="X1560" s="2" t="s">
        <v>235</v>
      </c>
      <c r="Y1560" s="2" t="s">
        <v>1485</v>
      </c>
      <c r="Z1560" s="4">
        <v>524</v>
      </c>
      <c r="AA1560" s="4">
        <f>=ROUNDDOWN(327.5,0)</f>
      </c>
      <c r="AB1560" s="5">
        <v>1.6</v>
      </c>
      <c r="AC1560" s="2" t="s">
        <v>235</v>
      </c>
      <c r="AD1560" s="4"/>
      <c r="AE1560" s="4"/>
      <c r="AF1560" s="6">
        <v>64</v>
      </c>
      <c r="AG1560" s="6"/>
      <c r="AH1560" s="7">
        <v>1</v>
      </c>
      <c r="AI1560" s="4"/>
      <c r="AJ1560" s="4">
        <f>=ROUNDDOWN({0},0)</f>
      </c>
      <c r="AK1560" s="5"/>
      <c r="AL1560" s="2" t="s">
        <v>235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235</v>
      </c>
      <c r="AW1560" s="8" t="s">
        <v>235</v>
      </c>
      <c r="AX1560" s="4" t="s">
        <v>235</v>
      </c>
      <c r="AY1560" s="8" t="s">
        <v>235</v>
      </c>
      <c r="AZ1560" s="7" t="s">
        <v>235</v>
      </c>
      <c r="BA1560" s="7" t="s">
        <v>235</v>
      </c>
      <c r="BB1560" s="7"/>
      <c r="BC1560" s="4" t="s">
        <v>235</v>
      </c>
      <c r="BD1560" s="8" t="s">
        <v>235</v>
      </c>
      <c r="BE1560" s="4" t="s">
        <v>235</v>
      </c>
      <c r="BF1560" s="8" t="s">
        <v>235</v>
      </c>
      <c r="BG1560" s="7" t="s">
        <v>235</v>
      </c>
      <c r="BH1560" s="7" t="s">
        <v>235</v>
      </c>
      <c r="BI1560" s="7"/>
      <c r="BJ1560" s="4">
        <v>4</v>
      </c>
      <c r="BK1560" s="8">
        <v>139.83</v>
      </c>
      <c r="BL1560" s="2" t="s">
        <v>5819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5809</v>
      </c>
      <c r="BV1560" s="2" t="s">
        <v>243</v>
      </c>
      <c r="BW1560" s="2" t="s">
        <v>235</v>
      </c>
      <c r="BX1560" s="2" t="s">
        <v>619</v>
      </c>
      <c r="BY1560" s="2" t="s">
        <v>245</v>
      </c>
      <c r="BZ1560" s="2" t="s">
        <v>232</v>
      </c>
      <c r="CA1560" s="2" t="s">
        <v>1536</v>
      </c>
      <c r="CB1560" s="2" t="s">
        <v>2837</v>
      </c>
      <c r="CC1560" s="2" t="s">
        <v>248</v>
      </c>
      <c r="CD1560" s="2" t="s">
        <v>248</v>
      </c>
      <c r="CE1560" s="2" t="s">
        <v>235</v>
      </c>
      <c r="CF1560" s="4">
        <v>184</v>
      </c>
      <c r="CG1560" s="4"/>
      <c r="CH1560" s="4"/>
      <c r="CI1560" s="4">
        <v>340</v>
      </c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>
        <v>528</v>
      </c>
      <c r="GE1560" s="4">
        <v>524</v>
      </c>
      <c r="GF1560" s="4">
        <v>522</v>
      </c>
      <c r="GG1560" s="4">
        <v>520</v>
      </c>
      <c r="GH1560" s="4">
        <v>518</v>
      </c>
      <c r="GI1560" s="4">
        <v>516</v>
      </c>
      <c r="GJ1560" s="4">
        <v>514</v>
      </c>
      <c r="GK1560" s="4">
        <v>512</v>
      </c>
      <c r="GL1560" s="4">
        <v>510</v>
      </c>
      <c r="GM1560" s="4">
        <v>508</v>
      </c>
      <c r="GN1560" s="4">
        <v>506</v>
      </c>
      <c r="GO1560" s="4">
        <v>503</v>
      </c>
      <c r="GP1560" s="4">
        <v>500</v>
      </c>
      <c r="GQ1560" s="4">
        <v>494</v>
      </c>
      <c r="GR1560" s="4">
        <v>490</v>
      </c>
      <c r="GS1560" s="4">
        <v>486</v>
      </c>
      <c r="GT1560" s="4">
        <v>485</v>
      </c>
      <c r="GU1560" s="4">
        <v>483</v>
      </c>
      <c r="GV1560" s="4">
        <v>481</v>
      </c>
      <c r="GW1560" s="4">
        <v>479</v>
      </c>
      <c r="GX1560" s="4">
        <v>477</v>
      </c>
      <c r="GY1560" s="4">
        <v>475</v>
      </c>
      <c r="GZ1560" s="4">
        <v>473</v>
      </c>
      <c r="HA1560" s="4">
        <v>471</v>
      </c>
      <c r="HB1560" s="4">
        <v>469</v>
      </c>
      <c r="HC1560" s="4">
        <v>467</v>
      </c>
      <c r="HD1560" s="19">
        <v>264</v>
      </c>
      <c r="HE1560" s="19">
        <v>262</v>
      </c>
      <c r="HF1560" s="19">
        <v>261</v>
      </c>
      <c r="HG1560" s="19">
        <v>260</v>
      </c>
      <c r="HH1560" s="19">
        <v>259</v>
      </c>
      <c r="HI1560" s="19">
        <v>258</v>
      </c>
      <c r="HJ1560" s="19">
        <v>257</v>
      </c>
      <c r="HK1560" s="19">
        <v>256</v>
      </c>
      <c r="HL1560" s="19">
        <v>255</v>
      </c>
      <c r="HM1560" s="19">
        <v>127</v>
      </c>
      <c r="HN1560" s="19">
        <v>126.5</v>
      </c>
      <c r="HO1560" s="19">
        <v>125.8</v>
      </c>
      <c r="HP1560" s="19">
        <v>125</v>
      </c>
      <c r="HQ1560" s="19">
        <v>164.7</v>
      </c>
      <c r="HR1560" s="19">
        <v>245</v>
      </c>
      <c r="HS1560" s="19">
        <v>243</v>
      </c>
      <c r="HT1560" s="19">
        <v>242.5</v>
      </c>
      <c r="HU1560" s="19">
        <v>241.5</v>
      </c>
      <c r="HV1560" s="19">
        <v>240.5</v>
      </c>
      <c r="HW1560" s="19">
        <v>239.5</v>
      </c>
      <c r="HX1560" s="19">
        <v>238.5</v>
      </c>
      <c r="HY1560" s="19">
        <v>237.5</v>
      </c>
      <c r="HZ1560" s="19">
        <v>236.5</v>
      </c>
      <c r="IA1560" s="19">
        <v>235.5</v>
      </c>
      <c r="IB1560" s="19">
        <v>234.5</v>
      </c>
      <c r="IC1560" s="19">
        <v>233.5</v>
      </c>
    </row>
    <row r="1561">
      <c r="A1561" s="2" t="s">
        <v>5820</v>
      </c>
      <c r="B1561" s="2" t="s">
        <v>871</v>
      </c>
      <c r="C1561" s="2" t="s">
        <v>606</v>
      </c>
      <c r="D1561" s="2" t="s">
        <v>4227</v>
      </c>
      <c r="E1561" s="2" t="s">
        <v>1895</v>
      </c>
      <c r="F1561" s="2" t="s">
        <v>5804</v>
      </c>
      <c r="G1561" s="2" t="s">
        <v>5805</v>
      </c>
      <c r="H1561" s="2" t="s">
        <v>5806</v>
      </c>
      <c r="I1561" s="2" t="s">
        <v>5807</v>
      </c>
      <c r="J1561" s="2" t="s">
        <v>372</v>
      </c>
      <c r="K1561" s="2" t="s">
        <v>822</v>
      </c>
      <c r="L1561" s="3">
        <v>32.29</v>
      </c>
      <c r="M1561" s="3">
        <v>33.9</v>
      </c>
      <c r="N1561" s="3">
        <v>74.99</v>
      </c>
      <c r="O1561" s="2" t="s">
        <v>232</v>
      </c>
      <c r="P1561" s="2" t="s">
        <v>233</v>
      </c>
      <c r="Q1561" s="2" t="s">
        <v>234</v>
      </c>
      <c r="R1561" s="2" t="s">
        <v>235</v>
      </c>
      <c r="S1561" s="2" t="s">
        <v>5816</v>
      </c>
      <c r="T1561" s="2" t="s">
        <v>4127</v>
      </c>
      <c r="U1561" s="2" t="s">
        <v>552</v>
      </c>
      <c r="V1561" s="2" t="s">
        <v>238</v>
      </c>
      <c r="W1561" s="2" t="s">
        <v>682</v>
      </c>
      <c r="X1561" s="2" t="s">
        <v>235</v>
      </c>
      <c r="Y1561" s="2" t="s">
        <v>1485</v>
      </c>
      <c r="Z1561" s="4">
        <v>439</v>
      </c>
      <c r="AA1561" s="4">
        <f>=ROUNDDOWN(151.379310344828,0)</f>
      </c>
      <c r="AB1561" s="5">
        <v>2.9</v>
      </c>
      <c r="AC1561" s="2" t="s">
        <v>235</v>
      </c>
      <c r="AD1561" s="4"/>
      <c r="AE1561" s="4"/>
      <c r="AF1561" s="6">
        <v>64</v>
      </c>
      <c r="AG1561" s="6"/>
      <c r="AH1561" s="7">
        <v>1</v>
      </c>
      <c r="AI1561" s="4"/>
      <c r="AJ1561" s="4">
        <f>=ROUNDDOWN({0},0)</f>
      </c>
      <c r="AK1561" s="5"/>
      <c r="AL1561" s="2" t="s">
        <v>235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235</v>
      </c>
      <c r="AW1561" s="8" t="s">
        <v>235</v>
      </c>
      <c r="AX1561" s="4" t="s">
        <v>235</v>
      </c>
      <c r="AY1561" s="8" t="s">
        <v>235</v>
      </c>
      <c r="AZ1561" s="7" t="s">
        <v>235</v>
      </c>
      <c r="BA1561" s="7" t="s">
        <v>235</v>
      </c>
      <c r="BB1561" s="7"/>
      <c r="BC1561" s="4" t="s">
        <v>235</v>
      </c>
      <c r="BD1561" s="8" t="s">
        <v>235</v>
      </c>
      <c r="BE1561" s="4" t="s">
        <v>235</v>
      </c>
      <c r="BF1561" s="8" t="s">
        <v>235</v>
      </c>
      <c r="BG1561" s="7" t="s">
        <v>235</v>
      </c>
      <c r="BH1561" s="7" t="s">
        <v>235</v>
      </c>
      <c r="BI1561" s="7"/>
      <c r="BJ1561" s="4">
        <v>12</v>
      </c>
      <c r="BK1561" s="8">
        <v>455.29</v>
      </c>
      <c r="BL1561" s="2" t="s">
        <v>5821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5809</v>
      </c>
      <c r="BV1561" s="2" t="s">
        <v>243</v>
      </c>
      <c r="BW1561" s="2" t="s">
        <v>235</v>
      </c>
      <c r="BX1561" s="2" t="s">
        <v>619</v>
      </c>
      <c r="BY1561" s="2" t="s">
        <v>245</v>
      </c>
      <c r="BZ1561" s="2" t="s">
        <v>232</v>
      </c>
      <c r="CA1561" s="2" t="s">
        <v>1536</v>
      </c>
      <c r="CB1561" s="2" t="s">
        <v>2953</v>
      </c>
      <c r="CC1561" s="2" t="s">
        <v>248</v>
      </c>
      <c r="CD1561" s="2" t="s">
        <v>248</v>
      </c>
      <c r="CE1561" s="2" t="s">
        <v>235</v>
      </c>
      <c r="CF1561" s="4">
        <v>116</v>
      </c>
      <c r="CG1561" s="4"/>
      <c r="CH1561" s="4"/>
      <c r="CI1561" s="4">
        <v>323</v>
      </c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>
        <v>439</v>
      </c>
      <c r="GE1561" s="4">
        <v>436</v>
      </c>
      <c r="GF1561" s="4">
        <v>433</v>
      </c>
      <c r="GG1561" s="4">
        <v>430</v>
      </c>
      <c r="GH1561" s="4">
        <v>427</v>
      </c>
      <c r="GI1561" s="4">
        <v>424</v>
      </c>
      <c r="GJ1561" s="4">
        <v>421</v>
      </c>
      <c r="GK1561" s="4">
        <v>418</v>
      </c>
      <c r="GL1561" s="4">
        <v>415</v>
      </c>
      <c r="GM1561" s="4">
        <v>412</v>
      </c>
      <c r="GN1561" s="4">
        <v>408</v>
      </c>
      <c r="GO1561" s="4">
        <v>403</v>
      </c>
      <c r="GP1561" s="4">
        <v>398</v>
      </c>
      <c r="GQ1561" s="4">
        <v>390</v>
      </c>
      <c r="GR1561" s="4">
        <v>384</v>
      </c>
      <c r="GS1561" s="4">
        <v>379</v>
      </c>
      <c r="GT1561" s="4">
        <v>377</v>
      </c>
      <c r="GU1561" s="4">
        <v>375</v>
      </c>
      <c r="GV1561" s="4">
        <v>372</v>
      </c>
      <c r="GW1561" s="4">
        <v>369</v>
      </c>
      <c r="GX1561" s="4">
        <v>366</v>
      </c>
      <c r="GY1561" s="4">
        <v>363</v>
      </c>
      <c r="GZ1561" s="4">
        <v>360</v>
      </c>
      <c r="HA1561" s="4">
        <v>357</v>
      </c>
      <c r="HB1561" s="4">
        <v>354</v>
      </c>
      <c r="HC1561" s="4">
        <v>351</v>
      </c>
      <c r="HD1561" s="19">
        <v>146.3</v>
      </c>
      <c r="HE1561" s="19">
        <v>145.3</v>
      </c>
      <c r="HF1561" s="19">
        <v>144.3</v>
      </c>
      <c r="HG1561" s="19">
        <v>143.3</v>
      </c>
      <c r="HH1561" s="19">
        <v>142.3</v>
      </c>
      <c r="HI1561" s="19">
        <v>141.3</v>
      </c>
      <c r="HJ1561" s="19">
        <v>140.3</v>
      </c>
      <c r="HK1561" s="19">
        <v>104.5</v>
      </c>
      <c r="HL1561" s="19">
        <v>103.8</v>
      </c>
      <c r="HM1561" s="19">
        <v>68.7</v>
      </c>
      <c r="HN1561" s="19">
        <v>68</v>
      </c>
      <c r="HO1561" s="19">
        <v>67.2</v>
      </c>
      <c r="HP1561" s="19">
        <v>79.6</v>
      </c>
      <c r="HQ1561" s="19">
        <v>97.5</v>
      </c>
      <c r="HR1561" s="19">
        <v>128</v>
      </c>
      <c r="HS1561" s="19">
        <v>189.5</v>
      </c>
      <c r="HT1561" s="19">
        <v>125.7</v>
      </c>
      <c r="HU1561" s="19">
        <v>125</v>
      </c>
      <c r="HV1561" s="19">
        <v>124</v>
      </c>
      <c r="HW1561" s="19">
        <v>123</v>
      </c>
      <c r="HX1561" s="19">
        <v>122</v>
      </c>
      <c r="HY1561" s="19">
        <v>121</v>
      </c>
      <c r="HZ1561" s="19">
        <v>120</v>
      </c>
      <c r="IA1561" s="19">
        <v>119</v>
      </c>
      <c r="IB1561" s="19">
        <v>118</v>
      </c>
      <c r="IC1561" s="19">
        <v>117</v>
      </c>
    </row>
    <row r="1562">
      <c r="A1562" s="2" t="s">
        <v>5822</v>
      </c>
      <c r="B1562" s="2" t="s">
        <v>871</v>
      </c>
      <c r="C1562" s="2" t="s">
        <v>606</v>
      </c>
      <c r="D1562" s="2" t="s">
        <v>4227</v>
      </c>
      <c r="E1562" s="2" t="s">
        <v>1895</v>
      </c>
      <c r="F1562" s="2" t="s">
        <v>5804</v>
      </c>
      <c r="G1562" s="2" t="s">
        <v>5805</v>
      </c>
      <c r="H1562" s="2" t="s">
        <v>5806</v>
      </c>
      <c r="I1562" s="2" t="s">
        <v>5807</v>
      </c>
      <c r="J1562" s="2" t="s">
        <v>877</v>
      </c>
      <c r="K1562" s="2" t="s">
        <v>316</v>
      </c>
      <c r="L1562" s="3">
        <v>23.84</v>
      </c>
      <c r="M1562" s="3">
        <v>25.03</v>
      </c>
      <c r="N1562" s="3">
        <v>49.99</v>
      </c>
      <c r="O1562" s="2" t="s">
        <v>232</v>
      </c>
      <c r="P1562" s="2" t="s">
        <v>233</v>
      </c>
      <c r="Q1562" s="2" t="s">
        <v>234</v>
      </c>
      <c r="R1562" s="2" t="s">
        <v>235</v>
      </c>
      <c r="S1562" s="2" t="s">
        <v>5823</v>
      </c>
      <c r="T1562" s="2" t="s">
        <v>4127</v>
      </c>
      <c r="U1562" s="2" t="s">
        <v>278</v>
      </c>
      <c r="V1562" s="2" t="s">
        <v>238</v>
      </c>
      <c r="W1562" s="2" t="s">
        <v>682</v>
      </c>
      <c r="X1562" s="2" t="s">
        <v>235</v>
      </c>
      <c r="Y1562" s="2" t="s">
        <v>1485</v>
      </c>
      <c r="Z1562" s="4">
        <v>287</v>
      </c>
      <c r="AA1562" s="4">
        <f>=ROUNDDOWN(318.888888888889,0)</f>
      </c>
      <c r="AB1562" s="5">
        <v>0.9</v>
      </c>
      <c r="AC1562" s="2" t="s">
        <v>235</v>
      </c>
      <c r="AD1562" s="4"/>
      <c r="AE1562" s="4"/>
      <c r="AF1562" s="6">
        <v>64</v>
      </c>
      <c r="AG1562" s="6"/>
      <c r="AH1562" s="7">
        <v>1</v>
      </c>
      <c r="AI1562" s="4"/>
      <c r="AJ1562" s="4">
        <f>=ROUNDDOWN({0},0)</f>
      </c>
      <c r="AK1562" s="5"/>
      <c r="AL1562" s="2" t="s">
        <v>235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235</v>
      </c>
      <c r="AW1562" s="8" t="s">
        <v>235</v>
      </c>
      <c r="AX1562" s="4" t="s">
        <v>235</v>
      </c>
      <c r="AY1562" s="8" t="s">
        <v>235</v>
      </c>
      <c r="AZ1562" s="7" t="s">
        <v>235</v>
      </c>
      <c r="BA1562" s="7" t="s">
        <v>235</v>
      </c>
      <c r="BB1562" s="7"/>
      <c r="BC1562" s="4" t="s">
        <v>235</v>
      </c>
      <c r="BD1562" s="8" t="s">
        <v>235</v>
      </c>
      <c r="BE1562" s="4" t="s">
        <v>235</v>
      </c>
      <c r="BF1562" s="8" t="s">
        <v>235</v>
      </c>
      <c r="BG1562" s="7" t="s">
        <v>235</v>
      </c>
      <c r="BH1562" s="7" t="s">
        <v>235</v>
      </c>
      <c r="BI1562" s="7"/>
      <c r="BJ1562" s="4">
        <v>4</v>
      </c>
      <c r="BK1562" s="8">
        <v>114.39</v>
      </c>
      <c r="BL1562" s="2" t="s">
        <v>1810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5809</v>
      </c>
      <c r="BV1562" s="2" t="s">
        <v>243</v>
      </c>
      <c r="BW1562" s="2" t="s">
        <v>235</v>
      </c>
      <c r="BX1562" s="2" t="s">
        <v>619</v>
      </c>
      <c r="BY1562" s="2" t="s">
        <v>245</v>
      </c>
      <c r="BZ1562" s="2" t="s">
        <v>232</v>
      </c>
      <c r="CA1562" s="2" t="s">
        <v>1536</v>
      </c>
      <c r="CB1562" s="2" t="s">
        <v>235</v>
      </c>
      <c r="CC1562" s="2" t="s">
        <v>248</v>
      </c>
      <c r="CD1562" s="2" t="s">
        <v>248</v>
      </c>
      <c r="CE1562" s="2" t="s">
        <v>235</v>
      </c>
      <c r="CF1562" s="4">
        <v>119</v>
      </c>
      <c r="CG1562" s="4"/>
      <c r="CH1562" s="4"/>
      <c r="CI1562" s="4">
        <v>168</v>
      </c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>
        <v>287</v>
      </c>
      <c r="GE1562" s="4">
        <v>286</v>
      </c>
      <c r="GF1562" s="4">
        <v>285</v>
      </c>
      <c r="GG1562" s="4">
        <v>284</v>
      </c>
      <c r="GH1562" s="4">
        <v>283</v>
      </c>
      <c r="GI1562" s="4">
        <v>282</v>
      </c>
      <c r="GJ1562" s="4">
        <v>281</v>
      </c>
      <c r="GK1562" s="4">
        <v>280</v>
      </c>
      <c r="GL1562" s="4">
        <v>279</v>
      </c>
      <c r="GM1562" s="4">
        <v>278</v>
      </c>
      <c r="GN1562" s="4">
        <v>277</v>
      </c>
      <c r="GO1562" s="4">
        <v>275</v>
      </c>
      <c r="GP1562" s="4">
        <v>274</v>
      </c>
      <c r="GQ1562" s="4">
        <v>271</v>
      </c>
      <c r="GR1562" s="4">
        <v>269</v>
      </c>
      <c r="GS1562" s="4">
        <v>267</v>
      </c>
      <c r="GT1562" s="4">
        <v>266</v>
      </c>
      <c r="GU1562" s="4">
        <v>265</v>
      </c>
      <c r="GV1562" s="4">
        <v>264</v>
      </c>
      <c r="GW1562" s="4">
        <v>263</v>
      </c>
      <c r="GX1562" s="4">
        <v>262</v>
      </c>
      <c r="GY1562" s="4">
        <v>261</v>
      </c>
      <c r="GZ1562" s="4">
        <v>260</v>
      </c>
      <c r="HA1562" s="4">
        <v>259</v>
      </c>
      <c r="HB1562" s="4">
        <v>258</v>
      </c>
      <c r="HC1562" s="4">
        <v>257</v>
      </c>
      <c r="HD1562" s="19">
        <v>287</v>
      </c>
      <c r="HE1562" s="19">
        <v>286</v>
      </c>
      <c r="HF1562" s="19">
        <v>285</v>
      </c>
      <c r="HG1562" s="19">
        <v>284</v>
      </c>
      <c r="HH1562" s="19">
        <v>283</v>
      </c>
      <c r="HI1562" s="19">
        <v>282</v>
      </c>
      <c r="HJ1562" s="19">
        <v>281</v>
      </c>
      <c r="HK1562" s="19">
        <v>280</v>
      </c>
      <c r="HL1562" s="19">
        <v>279</v>
      </c>
      <c r="HM1562" s="19">
        <v>139</v>
      </c>
      <c r="HN1562" s="19">
        <v>138.5</v>
      </c>
      <c r="HO1562" s="19">
        <v>137.5</v>
      </c>
      <c r="HP1562" s="19">
        <v>137</v>
      </c>
      <c r="HQ1562" s="19">
        <v>135.5</v>
      </c>
      <c r="HR1562" s="19">
        <v>269</v>
      </c>
      <c r="HS1562" s="19">
        <v>267</v>
      </c>
      <c r="HT1562" s="19">
        <v>266</v>
      </c>
      <c r="HU1562" s="19">
        <v>265</v>
      </c>
      <c r="HV1562" s="19">
        <v>264</v>
      </c>
      <c r="HW1562" s="19">
        <v>263</v>
      </c>
      <c r="HX1562" s="19">
        <v>262</v>
      </c>
      <c r="HY1562" s="19">
        <v>261</v>
      </c>
      <c r="HZ1562" s="19">
        <v>260</v>
      </c>
      <c r="IA1562" s="19">
        <v>259</v>
      </c>
      <c r="IB1562" s="19">
        <v>258</v>
      </c>
      <c r="IC1562" s="19">
        <v>257</v>
      </c>
    </row>
    <row r="1563">
      <c r="A1563" s="2" t="s">
        <v>5824</v>
      </c>
      <c r="B1563" s="2" t="s">
        <v>871</v>
      </c>
      <c r="C1563" s="2" t="s">
        <v>606</v>
      </c>
      <c r="D1563" s="2" t="s">
        <v>4227</v>
      </c>
      <c r="E1563" s="2" t="s">
        <v>1895</v>
      </c>
      <c r="F1563" s="2" t="s">
        <v>5804</v>
      </c>
      <c r="G1563" s="2" t="s">
        <v>5805</v>
      </c>
      <c r="H1563" s="2" t="s">
        <v>5806</v>
      </c>
      <c r="I1563" s="2" t="s">
        <v>5807</v>
      </c>
      <c r="J1563" s="2" t="s">
        <v>365</v>
      </c>
      <c r="K1563" s="2" t="s">
        <v>316</v>
      </c>
      <c r="L1563" s="3">
        <v>29.49</v>
      </c>
      <c r="M1563" s="3">
        <v>30.96</v>
      </c>
      <c r="N1563" s="3">
        <v>64.99</v>
      </c>
      <c r="O1563" s="2" t="s">
        <v>232</v>
      </c>
      <c r="P1563" s="2" t="s">
        <v>233</v>
      </c>
      <c r="Q1563" s="2" t="s">
        <v>234</v>
      </c>
      <c r="R1563" s="2" t="s">
        <v>235</v>
      </c>
      <c r="S1563" s="2" t="s">
        <v>5823</v>
      </c>
      <c r="T1563" s="2" t="s">
        <v>4127</v>
      </c>
      <c r="U1563" s="2" t="s">
        <v>552</v>
      </c>
      <c r="V1563" s="2" t="s">
        <v>238</v>
      </c>
      <c r="W1563" s="2" t="s">
        <v>682</v>
      </c>
      <c r="X1563" s="2" t="s">
        <v>235</v>
      </c>
      <c r="Y1563" s="2" t="s">
        <v>976</v>
      </c>
      <c r="Z1563" s="4">
        <v>1251</v>
      </c>
      <c r="AA1563" s="4">
        <f>=ROUNDDOWN(1042.5,0)</f>
      </c>
      <c r="AB1563" s="5">
        <v>1.2</v>
      </c>
      <c r="AC1563" s="2" t="s">
        <v>235</v>
      </c>
      <c r="AD1563" s="4"/>
      <c r="AE1563" s="4"/>
      <c r="AF1563" s="6">
        <v>64</v>
      </c>
      <c r="AG1563" s="6"/>
      <c r="AH1563" s="7">
        <v>1</v>
      </c>
      <c r="AI1563" s="4"/>
      <c r="AJ1563" s="4">
        <f>=ROUNDDOWN({0},0)</f>
      </c>
      <c r="AK1563" s="5"/>
      <c r="AL1563" s="2" t="s">
        <v>235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235</v>
      </c>
      <c r="AW1563" s="8" t="s">
        <v>235</v>
      </c>
      <c r="AX1563" s="4" t="s">
        <v>235</v>
      </c>
      <c r="AY1563" s="8" t="s">
        <v>235</v>
      </c>
      <c r="AZ1563" s="7" t="s">
        <v>235</v>
      </c>
      <c r="BA1563" s="7" t="s">
        <v>235</v>
      </c>
      <c r="BB1563" s="7"/>
      <c r="BC1563" s="4" t="s">
        <v>235</v>
      </c>
      <c r="BD1563" s="8" t="s">
        <v>235</v>
      </c>
      <c r="BE1563" s="4" t="s">
        <v>235</v>
      </c>
      <c r="BF1563" s="8" t="s">
        <v>235</v>
      </c>
      <c r="BG1563" s="7" t="s">
        <v>235</v>
      </c>
      <c r="BH1563" s="7" t="s">
        <v>235</v>
      </c>
      <c r="BI1563" s="7"/>
      <c r="BJ1563" s="4">
        <v>4</v>
      </c>
      <c r="BK1563" s="8">
        <v>130.99</v>
      </c>
      <c r="BL1563" s="2" t="s">
        <v>1097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5809</v>
      </c>
      <c r="BV1563" s="2" t="s">
        <v>243</v>
      </c>
      <c r="BW1563" s="2" t="s">
        <v>235</v>
      </c>
      <c r="BX1563" s="2" t="s">
        <v>619</v>
      </c>
      <c r="BY1563" s="2" t="s">
        <v>245</v>
      </c>
      <c r="BZ1563" s="2" t="s">
        <v>232</v>
      </c>
      <c r="CA1563" s="2" t="s">
        <v>1536</v>
      </c>
      <c r="CB1563" s="2" t="s">
        <v>5825</v>
      </c>
      <c r="CC1563" s="2" t="s">
        <v>248</v>
      </c>
      <c r="CD1563" s="2" t="s">
        <v>248</v>
      </c>
      <c r="CE1563" s="2" t="s">
        <v>235</v>
      </c>
      <c r="CF1563" s="4">
        <v>599</v>
      </c>
      <c r="CG1563" s="4"/>
      <c r="CH1563" s="4"/>
      <c r="CI1563" s="4">
        <v>652</v>
      </c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>
        <v>1252</v>
      </c>
      <c r="GE1563" s="4">
        <v>1250</v>
      </c>
      <c r="GF1563" s="4">
        <v>1249</v>
      </c>
      <c r="GG1563" s="4">
        <v>1248</v>
      </c>
      <c r="GH1563" s="4">
        <v>1247</v>
      </c>
      <c r="GI1563" s="4">
        <v>1246</v>
      </c>
      <c r="GJ1563" s="4">
        <v>1245</v>
      </c>
      <c r="GK1563" s="4">
        <v>1244</v>
      </c>
      <c r="GL1563" s="4">
        <v>1243</v>
      </c>
      <c r="GM1563" s="4">
        <v>1242</v>
      </c>
      <c r="GN1563" s="4">
        <v>1241</v>
      </c>
      <c r="GO1563" s="4">
        <v>1239</v>
      </c>
      <c r="GP1563" s="4">
        <v>1237</v>
      </c>
      <c r="GQ1563" s="4">
        <v>1234</v>
      </c>
      <c r="GR1563" s="4">
        <v>1232</v>
      </c>
      <c r="GS1563" s="4">
        <v>1230</v>
      </c>
      <c r="GT1563" s="4">
        <v>1229</v>
      </c>
      <c r="GU1563" s="4">
        <v>1228</v>
      </c>
      <c r="GV1563" s="4">
        <v>1227</v>
      </c>
      <c r="GW1563" s="4">
        <v>1226</v>
      </c>
      <c r="GX1563" s="4">
        <v>1225</v>
      </c>
      <c r="GY1563" s="4">
        <v>1224</v>
      </c>
      <c r="GZ1563" s="4">
        <v>1223</v>
      </c>
      <c r="HA1563" s="4">
        <v>1222</v>
      </c>
      <c r="HB1563" s="4">
        <v>1221</v>
      </c>
      <c r="HC1563" s="4">
        <v>1220</v>
      </c>
      <c r="HD1563" s="19">
        <v>1252</v>
      </c>
      <c r="HE1563" s="19">
        <v>1250</v>
      </c>
      <c r="HF1563" s="19">
        <v>1249</v>
      </c>
      <c r="HG1563" s="19">
        <v>1248</v>
      </c>
      <c r="HH1563" s="19">
        <v>1247</v>
      </c>
      <c r="HI1563" s="19">
        <v>1246</v>
      </c>
      <c r="HJ1563" s="19">
        <v>1245</v>
      </c>
      <c r="HK1563" s="19">
        <v>1244</v>
      </c>
      <c r="HL1563" s="19">
        <v>621.5</v>
      </c>
      <c r="HM1563" s="19">
        <v>621</v>
      </c>
      <c r="HN1563" s="19">
        <v>620.5</v>
      </c>
      <c r="HO1563" s="19">
        <v>619.5</v>
      </c>
      <c r="HP1563" s="19">
        <v>618.5</v>
      </c>
      <c r="HQ1563" s="19">
        <v>617</v>
      </c>
      <c r="HR1563" s="19">
        <v>1232</v>
      </c>
      <c r="HS1563" s="19">
        <v>1230</v>
      </c>
      <c r="HT1563" s="19">
        <v>1229</v>
      </c>
      <c r="HU1563" s="19">
        <v>1228</v>
      </c>
      <c r="HV1563" s="19">
        <v>1227</v>
      </c>
      <c r="HW1563" s="19">
        <v>1226</v>
      </c>
      <c r="HX1563" s="19">
        <v>1225</v>
      </c>
      <c r="HY1563" s="19">
        <v>1224</v>
      </c>
      <c r="HZ1563" s="19">
        <v>1223</v>
      </c>
      <c r="IA1563" s="19">
        <v>1222</v>
      </c>
      <c r="IB1563" s="19">
        <v>1221</v>
      </c>
      <c r="IC1563" s="19">
        <v>1220</v>
      </c>
    </row>
    <row r="1564">
      <c r="A1564" s="2" t="s">
        <v>5826</v>
      </c>
      <c r="B1564" s="2" t="s">
        <v>871</v>
      </c>
      <c r="C1564" s="2" t="s">
        <v>606</v>
      </c>
      <c r="D1564" s="2" t="s">
        <v>4227</v>
      </c>
      <c r="E1564" s="2" t="s">
        <v>1895</v>
      </c>
      <c r="F1564" s="2" t="s">
        <v>5804</v>
      </c>
      <c r="G1564" s="2" t="s">
        <v>5805</v>
      </c>
      <c r="H1564" s="2" t="s">
        <v>5806</v>
      </c>
      <c r="I1564" s="2" t="s">
        <v>5807</v>
      </c>
      <c r="J1564" s="2" t="s">
        <v>372</v>
      </c>
      <c r="K1564" s="2" t="s">
        <v>316</v>
      </c>
      <c r="L1564" s="3">
        <v>32.29</v>
      </c>
      <c r="M1564" s="3">
        <v>33.9</v>
      </c>
      <c r="N1564" s="3">
        <v>74.99</v>
      </c>
      <c r="O1564" s="2" t="s">
        <v>232</v>
      </c>
      <c r="P1564" s="2" t="s">
        <v>233</v>
      </c>
      <c r="Q1564" s="2" t="s">
        <v>234</v>
      </c>
      <c r="R1564" s="2" t="s">
        <v>235</v>
      </c>
      <c r="S1564" s="2" t="s">
        <v>5823</v>
      </c>
      <c r="T1564" s="2" t="s">
        <v>4127</v>
      </c>
      <c r="U1564" s="2" t="s">
        <v>552</v>
      </c>
      <c r="V1564" s="2" t="s">
        <v>238</v>
      </c>
      <c r="W1564" s="2" t="s">
        <v>682</v>
      </c>
      <c r="X1564" s="2" t="s">
        <v>235</v>
      </c>
      <c r="Y1564" s="2" t="s">
        <v>976</v>
      </c>
      <c r="Z1564" s="4">
        <v>1169</v>
      </c>
      <c r="AA1564" s="4">
        <f>=ROUNDDOWN(365.3125,0)</f>
      </c>
      <c r="AB1564" s="5">
        <v>3.2</v>
      </c>
      <c r="AC1564" s="2" t="s">
        <v>235</v>
      </c>
      <c r="AD1564" s="4"/>
      <c r="AE1564" s="4"/>
      <c r="AF1564" s="6">
        <v>64</v>
      </c>
      <c r="AG1564" s="6"/>
      <c r="AH1564" s="7">
        <v>1</v>
      </c>
      <c r="AI1564" s="4"/>
      <c r="AJ1564" s="4">
        <f>=ROUNDDOWN({0},0)</f>
      </c>
      <c r="AK1564" s="5"/>
      <c r="AL1564" s="2" t="s">
        <v>235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235</v>
      </c>
      <c r="AW1564" s="8" t="s">
        <v>235</v>
      </c>
      <c r="AX1564" s="4" t="s">
        <v>235</v>
      </c>
      <c r="AY1564" s="8" t="s">
        <v>235</v>
      </c>
      <c r="AZ1564" s="7" t="s">
        <v>235</v>
      </c>
      <c r="BA1564" s="7" t="s">
        <v>235</v>
      </c>
      <c r="BB1564" s="7"/>
      <c r="BC1564" s="4" t="s">
        <v>235</v>
      </c>
      <c r="BD1564" s="8" t="s">
        <v>235</v>
      </c>
      <c r="BE1564" s="4" t="s">
        <v>235</v>
      </c>
      <c r="BF1564" s="8" t="s">
        <v>235</v>
      </c>
      <c r="BG1564" s="7" t="s">
        <v>235</v>
      </c>
      <c r="BH1564" s="7" t="s">
        <v>235</v>
      </c>
      <c r="BI1564" s="7"/>
      <c r="BJ1564" s="4">
        <v>2</v>
      </c>
      <c r="BK1564" s="8">
        <v>72.56</v>
      </c>
      <c r="BL1564" s="2" t="s">
        <v>2757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5809</v>
      </c>
      <c r="BV1564" s="2" t="s">
        <v>243</v>
      </c>
      <c r="BW1564" s="2" t="s">
        <v>235</v>
      </c>
      <c r="BX1564" s="2" t="s">
        <v>619</v>
      </c>
      <c r="BY1564" s="2" t="s">
        <v>245</v>
      </c>
      <c r="BZ1564" s="2" t="s">
        <v>232</v>
      </c>
      <c r="CA1564" s="2" t="s">
        <v>1536</v>
      </c>
      <c r="CB1564" s="2" t="s">
        <v>1426</v>
      </c>
      <c r="CC1564" s="2" t="s">
        <v>248</v>
      </c>
      <c r="CD1564" s="2" t="s">
        <v>248</v>
      </c>
      <c r="CE1564" s="2" t="s">
        <v>235</v>
      </c>
      <c r="CF1564" s="4">
        <v>538</v>
      </c>
      <c r="CG1564" s="4"/>
      <c r="CH1564" s="4"/>
      <c r="CI1564" s="4">
        <v>631</v>
      </c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>
        <v>1170</v>
      </c>
      <c r="GE1564" s="4">
        <v>1151</v>
      </c>
      <c r="GF1564" s="4">
        <v>1147</v>
      </c>
      <c r="GG1564" s="4">
        <v>1143</v>
      </c>
      <c r="GH1564" s="4">
        <v>1138</v>
      </c>
      <c r="GI1564" s="4">
        <v>1133</v>
      </c>
      <c r="GJ1564" s="4">
        <v>1125</v>
      </c>
      <c r="GK1564" s="4">
        <v>1119</v>
      </c>
      <c r="GL1564" s="4">
        <v>1113</v>
      </c>
      <c r="GM1564" s="4">
        <v>1110</v>
      </c>
      <c r="GN1564" s="4">
        <v>1106</v>
      </c>
      <c r="GO1564" s="4">
        <v>1101</v>
      </c>
      <c r="GP1564" s="4">
        <v>1096</v>
      </c>
      <c r="GQ1564" s="4">
        <v>1088</v>
      </c>
      <c r="GR1564" s="4">
        <v>1082</v>
      </c>
      <c r="GS1564" s="4">
        <v>1076</v>
      </c>
      <c r="GT1564" s="4">
        <v>1073</v>
      </c>
      <c r="GU1564" s="4">
        <v>1069</v>
      </c>
      <c r="GV1564" s="4">
        <v>1065</v>
      </c>
      <c r="GW1564" s="4">
        <v>1061</v>
      </c>
      <c r="GX1564" s="4">
        <v>1057</v>
      </c>
      <c r="GY1564" s="4">
        <v>1053</v>
      </c>
      <c r="GZ1564" s="4">
        <v>1049</v>
      </c>
      <c r="HA1564" s="4">
        <v>1045</v>
      </c>
      <c r="HB1564" s="4">
        <v>1041</v>
      </c>
      <c r="HC1564" s="4">
        <v>1037</v>
      </c>
      <c r="HD1564" s="19">
        <v>146.3</v>
      </c>
      <c r="HE1564" s="19">
        <v>287.8</v>
      </c>
      <c r="HF1564" s="19">
        <v>191.2</v>
      </c>
      <c r="HG1564" s="19">
        <v>190.5</v>
      </c>
      <c r="HH1564" s="19">
        <v>189.7</v>
      </c>
      <c r="HI1564" s="19">
        <v>188.8</v>
      </c>
      <c r="HJ1564" s="19">
        <v>225</v>
      </c>
      <c r="HK1564" s="19">
        <v>279.8</v>
      </c>
      <c r="HL1564" s="19">
        <v>278.3</v>
      </c>
      <c r="HM1564" s="19">
        <v>185</v>
      </c>
      <c r="HN1564" s="19">
        <v>184.3</v>
      </c>
      <c r="HO1564" s="19">
        <v>183.5</v>
      </c>
      <c r="HP1564" s="19">
        <v>182.7</v>
      </c>
      <c r="HQ1564" s="19">
        <v>217.6</v>
      </c>
      <c r="HR1564" s="19">
        <v>270.5</v>
      </c>
      <c r="HS1564" s="19">
        <v>269</v>
      </c>
      <c r="HT1564" s="19">
        <v>268.3</v>
      </c>
      <c r="HU1564" s="19">
        <v>267.3</v>
      </c>
      <c r="HV1564" s="19">
        <v>266.3</v>
      </c>
      <c r="HW1564" s="19">
        <v>265.3</v>
      </c>
      <c r="HX1564" s="19">
        <v>264.3</v>
      </c>
      <c r="HY1564" s="19">
        <v>263.3</v>
      </c>
      <c r="HZ1564" s="19">
        <v>262.3</v>
      </c>
      <c r="IA1564" s="19">
        <v>261.3</v>
      </c>
      <c r="IB1564" s="19">
        <v>260.3</v>
      </c>
      <c r="IC1564" s="19">
        <v>259.3</v>
      </c>
    </row>
    <row r="1565">
      <c r="A1565" s="2" t="s">
        <v>5827</v>
      </c>
      <c r="B1565" s="2" t="s">
        <v>871</v>
      </c>
      <c r="C1565" s="2" t="s">
        <v>853</v>
      </c>
      <c r="D1565" s="2" t="s">
        <v>361</v>
      </c>
      <c r="E1565" s="2" t="s">
        <v>924</v>
      </c>
      <c r="F1565" s="2" t="s">
        <v>5828</v>
      </c>
      <c r="G1565" s="2" t="s">
        <v>5829</v>
      </c>
      <c r="H1565" s="2" t="s">
        <v>5830</v>
      </c>
      <c r="I1565" s="2" t="s">
        <v>5831</v>
      </c>
      <c r="J1565" s="2" t="s">
        <v>877</v>
      </c>
      <c r="K1565" s="2" t="s">
        <v>861</v>
      </c>
      <c r="L1565" s="3">
        <v>36.68</v>
      </c>
      <c r="M1565" s="3">
        <v>38.51</v>
      </c>
      <c r="N1565" s="3">
        <v>79.99</v>
      </c>
      <c r="O1565" s="2" t="s">
        <v>407</v>
      </c>
      <c r="P1565" s="2" t="s">
        <v>408</v>
      </c>
      <c r="Q1565" s="2" t="s">
        <v>234</v>
      </c>
      <c r="R1565" s="2" t="s">
        <v>235</v>
      </c>
      <c r="S1565" s="2" t="s">
        <v>5832</v>
      </c>
      <c r="T1565" s="2" t="s">
        <v>2541</v>
      </c>
      <c r="U1565" s="2" t="s">
        <v>278</v>
      </c>
      <c r="V1565" s="2" t="s">
        <v>238</v>
      </c>
      <c r="W1565" s="2" t="s">
        <v>329</v>
      </c>
      <c r="X1565" s="2" t="s">
        <v>239</v>
      </c>
      <c r="Y1565" s="2" t="s">
        <v>2400</v>
      </c>
      <c r="Z1565" s="4">
        <v>17</v>
      </c>
      <c r="AA1565" s="4">
        <f>=ROUNDDOWN(17,0)</f>
      </c>
      <c r="AB1565" s="5">
        <v>1</v>
      </c>
      <c r="AC1565" s="2" t="s">
        <v>235</v>
      </c>
      <c r="AD1565" s="4"/>
      <c r="AE1565" s="4"/>
      <c r="AF1565" s="6">
        <v>66</v>
      </c>
      <c r="AG1565" s="6"/>
      <c r="AH1565" s="7">
        <v>1</v>
      </c>
      <c r="AI1565" s="4"/>
      <c r="AJ1565" s="4">
        <f>=ROUNDDOWN({0},0)</f>
      </c>
      <c r="AK1565" s="5"/>
      <c r="AL1565" s="2" t="s">
        <v>235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235</v>
      </c>
      <c r="AW1565" s="8" t="s">
        <v>235</v>
      </c>
      <c r="AX1565" s="4" t="s">
        <v>235</v>
      </c>
      <c r="AY1565" s="8" t="s">
        <v>235</v>
      </c>
      <c r="AZ1565" s="7" t="s">
        <v>235</v>
      </c>
      <c r="BA1565" s="7" t="s">
        <v>235</v>
      </c>
      <c r="BB1565" s="7"/>
      <c r="BC1565" s="4" t="s">
        <v>235</v>
      </c>
      <c r="BD1565" s="8" t="s">
        <v>235</v>
      </c>
      <c r="BE1565" s="4" t="s">
        <v>235</v>
      </c>
      <c r="BF1565" s="8" t="s">
        <v>235</v>
      </c>
      <c r="BG1565" s="7" t="s">
        <v>235</v>
      </c>
      <c r="BH1565" s="7" t="s">
        <v>235</v>
      </c>
      <c r="BI1565" s="7"/>
      <c r="BJ1565" s="4">
        <v>4</v>
      </c>
      <c r="BK1565" s="8">
        <v>168.49</v>
      </c>
      <c r="BL1565" s="2" t="s">
        <v>2172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5833</v>
      </c>
      <c r="BV1565" s="2" t="s">
        <v>243</v>
      </c>
      <c r="BW1565" s="2" t="s">
        <v>235</v>
      </c>
      <c r="BX1565" s="2" t="s">
        <v>414</v>
      </c>
      <c r="BY1565" s="2" t="s">
        <v>245</v>
      </c>
      <c r="BZ1565" s="2" t="s">
        <v>232</v>
      </c>
      <c r="CA1565" s="2" t="s">
        <v>1425</v>
      </c>
      <c r="CB1565" s="2" t="s">
        <v>941</v>
      </c>
      <c r="CC1565" s="2" t="s">
        <v>248</v>
      </c>
      <c r="CD1565" s="2" t="s">
        <v>248</v>
      </c>
      <c r="CE1565" s="2" t="s">
        <v>235</v>
      </c>
      <c r="CF1565" s="4">
        <v>17</v>
      </c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>
        <v>17</v>
      </c>
      <c r="GE1565" s="4">
        <v>16</v>
      </c>
      <c r="GF1565" s="4">
        <v>15</v>
      </c>
      <c r="GG1565" s="4">
        <v>14</v>
      </c>
      <c r="GH1565" s="4">
        <v>13</v>
      </c>
      <c r="GI1565" s="4">
        <v>13</v>
      </c>
      <c r="GJ1565" s="4">
        <v>11</v>
      </c>
      <c r="GK1565" s="4">
        <v>10</v>
      </c>
      <c r="GL1565" s="4">
        <v>9</v>
      </c>
      <c r="GM1565" s="4">
        <v>8</v>
      </c>
      <c r="GN1565" s="4">
        <v>7</v>
      </c>
      <c r="GO1565" s="4">
        <v>6</v>
      </c>
      <c r="GP1565" s="4">
        <v>4</v>
      </c>
      <c r="GQ1565" s="4">
        <v>2</v>
      </c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19">
        <v>17</v>
      </c>
      <c r="HE1565" s="19">
        <v>16</v>
      </c>
      <c r="HF1565" s="19">
        <v>15</v>
      </c>
      <c r="HG1565" s="19">
        <v>14</v>
      </c>
      <c r="HH1565" s="19">
        <v>13</v>
      </c>
      <c r="HI1565" s="19">
        <v>13</v>
      </c>
      <c r="HJ1565" s="19">
        <v>11</v>
      </c>
      <c r="HK1565" s="19">
        <v>10</v>
      </c>
      <c r="HL1565" s="19">
        <v>9</v>
      </c>
      <c r="HM1565" s="19">
        <v>4</v>
      </c>
      <c r="HN1565" s="19">
        <v>3.5</v>
      </c>
      <c r="HO1565" s="19">
        <v>2</v>
      </c>
      <c r="HP1565" s="19">
        <v>1.3</v>
      </c>
      <c r="HQ1565" s="19">
        <v>0.7</v>
      </c>
      <c r="HR1565" s="20">
        <v>0</v>
      </c>
      <c r="HS1565" s="20">
        <v>0</v>
      </c>
      <c r="HT1565" s="20">
        <v>0</v>
      </c>
      <c r="HU1565" s="20">
        <v>0</v>
      </c>
      <c r="HV1565" s="20">
        <v>0</v>
      </c>
      <c r="HW1565" s="20">
        <v>0</v>
      </c>
      <c r="HX1565" s="20">
        <v>0</v>
      </c>
      <c r="HY1565" s="20">
        <v>0</v>
      </c>
      <c r="HZ1565" s="20">
        <v>0</v>
      </c>
      <c r="IA1565" s="20">
        <v>0</v>
      </c>
      <c r="IB1565" s="20">
        <v>0</v>
      </c>
      <c r="IC1565" s="20">
        <v>0</v>
      </c>
    </row>
    <row r="1566">
      <c r="A1566" s="2" t="s">
        <v>5834</v>
      </c>
      <c r="B1566" s="2" t="s">
        <v>871</v>
      </c>
      <c r="C1566" s="2" t="s">
        <v>853</v>
      </c>
      <c r="D1566" s="2" t="s">
        <v>361</v>
      </c>
      <c r="E1566" s="2" t="s">
        <v>924</v>
      </c>
      <c r="F1566" s="2" t="s">
        <v>5828</v>
      </c>
      <c r="G1566" s="2" t="s">
        <v>5829</v>
      </c>
      <c r="H1566" s="2" t="s">
        <v>5830</v>
      </c>
      <c r="I1566" s="2" t="s">
        <v>5831</v>
      </c>
      <c r="J1566" s="2" t="s">
        <v>365</v>
      </c>
      <c r="K1566" s="2" t="s">
        <v>861</v>
      </c>
      <c r="L1566" s="3">
        <v>47.29</v>
      </c>
      <c r="M1566" s="3">
        <v>49.65</v>
      </c>
      <c r="N1566" s="3">
        <v>99.99</v>
      </c>
      <c r="O1566" s="2" t="s">
        <v>407</v>
      </c>
      <c r="P1566" s="2" t="s">
        <v>408</v>
      </c>
      <c r="Q1566" s="2" t="s">
        <v>234</v>
      </c>
      <c r="R1566" s="2" t="s">
        <v>235</v>
      </c>
      <c r="S1566" s="2" t="s">
        <v>5832</v>
      </c>
      <c r="T1566" s="2" t="s">
        <v>2541</v>
      </c>
      <c r="U1566" s="2" t="s">
        <v>552</v>
      </c>
      <c r="V1566" s="2" t="s">
        <v>238</v>
      </c>
      <c r="W1566" s="2" t="s">
        <v>329</v>
      </c>
      <c r="X1566" s="2" t="s">
        <v>239</v>
      </c>
      <c r="Y1566" s="2" t="s">
        <v>2400</v>
      </c>
      <c r="Z1566" s="4">
        <v>197</v>
      </c>
      <c r="AA1566" s="4">
        <f>=ROUNDDOWN(49.25,0)</f>
      </c>
      <c r="AB1566" s="5">
        <v>4</v>
      </c>
      <c r="AC1566" s="2" t="s">
        <v>235</v>
      </c>
      <c r="AD1566" s="4"/>
      <c r="AE1566" s="4"/>
      <c r="AF1566" s="6">
        <v>66</v>
      </c>
      <c r="AG1566" s="6"/>
      <c r="AH1566" s="7">
        <v>1</v>
      </c>
      <c r="AI1566" s="4"/>
      <c r="AJ1566" s="4">
        <f>=ROUNDDOWN({0},0)</f>
      </c>
      <c r="AK1566" s="5"/>
      <c r="AL1566" s="2" t="s">
        <v>235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235</v>
      </c>
      <c r="AW1566" s="8" t="s">
        <v>235</v>
      </c>
      <c r="AX1566" s="4" t="s">
        <v>235</v>
      </c>
      <c r="AY1566" s="8" t="s">
        <v>235</v>
      </c>
      <c r="AZ1566" s="7" t="s">
        <v>235</v>
      </c>
      <c r="BA1566" s="7" t="s">
        <v>235</v>
      </c>
      <c r="BB1566" s="7"/>
      <c r="BC1566" s="4" t="s">
        <v>235</v>
      </c>
      <c r="BD1566" s="8" t="s">
        <v>235</v>
      </c>
      <c r="BE1566" s="4" t="s">
        <v>235</v>
      </c>
      <c r="BF1566" s="8" t="s">
        <v>235</v>
      </c>
      <c r="BG1566" s="7" t="s">
        <v>235</v>
      </c>
      <c r="BH1566" s="7" t="s">
        <v>235</v>
      </c>
      <c r="BI1566" s="7"/>
      <c r="BJ1566" s="4">
        <v>4</v>
      </c>
      <c r="BK1566" s="8">
        <v>218.09</v>
      </c>
      <c r="BL1566" s="2" t="s">
        <v>396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5833</v>
      </c>
      <c r="BV1566" s="2" t="s">
        <v>243</v>
      </c>
      <c r="BW1566" s="2" t="s">
        <v>235</v>
      </c>
      <c r="BX1566" s="2" t="s">
        <v>414</v>
      </c>
      <c r="BY1566" s="2" t="s">
        <v>245</v>
      </c>
      <c r="BZ1566" s="2" t="s">
        <v>232</v>
      </c>
      <c r="CA1566" s="2" t="s">
        <v>1425</v>
      </c>
      <c r="CB1566" s="2" t="s">
        <v>1527</v>
      </c>
      <c r="CC1566" s="2" t="s">
        <v>248</v>
      </c>
      <c r="CD1566" s="2" t="s">
        <v>248</v>
      </c>
      <c r="CE1566" s="2" t="s">
        <v>235</v>
      </c>
      <c r="CF1566" s="4">
        <v>197</v>
      </c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>
        <v>198</v>
      </c>
      <c r="GE1566" s="4">
        <v>187</v>
      </c>
      <c r="GF1566" s="4">
        <v>183</v>
      </c>
      <c r="GG1566" s="4">
        <v>180</v>
      </c>
      <c r="GH1566" s="4">
        <v>177</v>
      </c>
      <c r="GI1566" s="4">
        <v>174</v>
      </c>
      <c r="GJ1566" s="4">
        <v>169</v>
      </c>
      <c r="GK1566" s="4">
        <v>162</v>
      </c>
      <c r="GL1566" s="4">
        <v>156</v>
      </c>
      <c r="GM1566" s="4">
        <v>151</v>
      </c>
      <c r="GN1566" s="4">
        <v>146</v>
      </c>
      <c r="GO1566" s="4">
        <v>141</v>
      </c>
      <c r="GP1566" s="4">
        <v>133</v>
      </c>
      <c r="GQ1566" s="4">
        <v>126</v>
      </c>
      <c r="GR1566" s="4">
        <v>109</v>
      </c>
      <c r="GS1566" s="4">
        <v>98</v>
      </c>
      <c r="GT1566" s="4">
        <v>87</v>
      </c>
      <c r="GU1566" s="4">
        <v>83</v>
      </c>
      <c r="GV1566" s="4">
        <v>80</v>
      </c>
      <c r="GW1566" s="4">
        <v>76</v>
      </c>
      <c r="GX1566" s="4">
        <v>73</v>
      </c>
      <c r="GY1566" s="4">
        <v>70</v>
      </c>
      <c r="GZ1566" s="4">
        <v>66</v>
      </c>
      <c r="HA1566" s="4">
        <v>63</v>
      </c>
      <c r="HB1566" s="4">
        <v>60</v>
      </c>
      <c r="HC1566" s="4">
        <v>56</v>
      </c>
      <c r="HD1566" s="19">
        <v>39.6</v>
      </c>
      <c r="HE1566" s="19">
        <v>62.3</v>
      </c>
      <c r="HF1566" s="19">
        <v>45.8</v>
      </c>
      <c r="HG1566" s="19">
        <v>45</v>
      </c>
      <c r="HH1566" s="19">
        <v>35.4</v>
      </c>
      <c r="HI1566" s="19">
        <v>29</v>
      </c>
      <c r="HJ1566" s="19">
        <v>28.2</v>
      </c>
      <c r="HK1566" s="19">
        <v>32.4</v>
      </c>
      <c r="HL1566" s="19">
        <v>26</v>
      </c>
      <c r="HM1566" s="19">
        <v>25.2</v>
      </c>
      <c r="HN1566" s="19">
        <v>16.2</v>
      </c>
      <c r="HO1566" s="19">
        <v>12.8</v>
      </c>
      <c r="HP1566" s="19">
        <v>11.1</v>
      </c>
      <c r="HQ1566" s="19">
        <v>11.5</v>
      </c>
      <c r="HR1566" s="19">
        <v>15.6</v>
      </c>
      <c r="HS1566" s="19">
        <v>16.3</v>
      </c>
      <c r="HT1566" s="19">
        <v>21.8</v>
      </c>
      <c r="HU1566" s="19">
        <v>27.7</v>
      </c>
      <c r="HV1566" s="19">
        <v>20</v>
      </c>
      <c r="HW1566" s="19">
        <v>25.3</v>
      </c>
      <c r="HX1566" s="19">
        <v>24.3</v>
      </c>
      <c r="HY1566" s="19">
        <v>17.5</v>
      </c>
      <c r="HZ1566" s="19">
        <v>22</v>
      </c>
      <c r="IA1566" s="19">
        <v>21</v>
      </c>
      <c r="IB1566" s="19">
        <v>20</v>
      </c>
      <c r="IC1566" s="19">
        <v>18.7</v>
      </c>
    </row>
    <row r="1567">
      <c r="A1567" s="2" t="s">
        <v>5835</v>
      </c>
      <c r="B1567" s="2" t="s">
        <v>871</v>
      </c>
      <c r="C1567" s="2" t="s">
        <v>853</v>
      </c>
      <c r="D1567" s="2" t="s">
        <v>361</v>
      </c>
      <c r="E1567" s="2" t="s">
        <v>924</v>
      </c>
      <c r="F1567" s="2" t="s">
        <v>5828</v>
      </c>
      <c r="G1567" s="2" t="s">
        <v>5829</v>
      </c>
      <c r="H1567" s="2" t="s">
        <v>5830</v>
      </c>
      <c r="I1567" s="2" t="s">
        <v>5831</v>
      </c>
      <c r="J1567" s="2" t="s">
        <v>372</v>
      </c>
      <c r="K1567" s="2" t="s">
        <v>861</v>
      </c>
      <c r="L1567" s="3">
        <v>52.68</v>
      </c>
      <c r="M1567" s="3">
        <v>55.31</v>
      </c>
      <c r="N1567" s="3">
        <v>114.99</v>
      </c>
      <c r="O1567" s="2" t="s">
        <v>407</v>
      </c>
      <c r="P1567" s="2" t="s">
        <v>408</v>
      </c>
      <c r="Q1567" s="2" t="s">
        <v>234</v>
      </c>
      <c r="R1567" s="2" t="s">
        <v>235</v>
      </c>
      <c r="S1567" s="2" t="s">
        <v>5832</v>
      </c>
      <c r="T1567" s="2" t="s">
        <v>2541</v>
      </c>
      <c r="U1567" s="2" t="s">
        <v>552</v>
      </c>
      <c r="V1567" s="2" t="s">
        <v>238</v>
      </c>
      <c r="W1567" s="2" t="s">
        <v>329</v>
      </c>
      <c r="X1567" s="2" t="s">
        <v>239</v>
      </c>
      <c r="Y1567" s="2" t="s">
        <v>2400</v>
      </c>
      <c r="Z1567" s="4">
        <v>141</v>
      </c>
      <c r="AA1567" s="4">
        <f>=ROUNDDOWN(47,0)</f>
      </c>
      <c r="AB1567" s="5">
        <v>3</v>
      </c>
      <c r="AC1567" s="2" t="s">
        <v>235</v>
      </c>
      <c r="AD1567" s="4"/>
      <c r="AE1567" s="4"/>
      <c r="AF1567" s="6">
        <v>66</v>
      </c>
      <c r="AG1567" s="6"/>
      <c r="AH1567" s="7">
        <v>1</v>
      </c>
      <c r="AI1567" s="4"/>
      <c r="AJ1567" s="4">
        <f>=ROUNDDOWN({0},0)</f>
      </c>
      <c r="AK1567" s="5"/>
      <c r="AL1567" s="2" t="s">
        <v>235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235</v>
      </c>
      <c r="AW1567" s="8" t="s">
        <v>235</v>
      </c>
      <c r="AX1567" s="4" t="s">
        <v>235</v>
      </c>
      <c r="AY1567" s="8" t="s">
        <v>235</v>
      </c>
      <c r="AZ1567" s="7" t="s">
        <v>235</v>
      </c>
      <c r="BA1567" s="7" t="s">
        <v>235</v>
      </c>
      <c r="BB1567" s="7"/>
      <c r="BC1567" s="4" t="s">
        <v>235</v>
      </c>
      <c r="BD1567" s="8" t="s">
        <v>235</v>
      </c>
      <c r="BE1567" s="4" t="s">
        <v>235</v>
      </c>
      <c r="BF1567" s="8" t="s">
        <v>235</v>
      </c>
      <c r="BG1567" s="7" t="s">
        <v>235</v>
      </c>
      <c r="BH1567" s="7" t="s">
        <v>235</v>
      </c>
      <c r="BI1567" s="7"/>
      <c r="BJ1567" s="4">
        <v>3</v>
      </c>
      <c r="BK1567" s="8">
        <v>183.15</v>
      </c>
      <c r="BL1567" s="2" t="s">
        <v>5836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5833</v>
      </c>
      <c r="BV1567" s="2" t="s">
        <v>243</v>
      </c>
      <c r="BW1567" s="2" t="s">
        <v>235</v>
      </c>
      <c r="BX1567" s="2" t="s">
        <v>414</v>
      </c>
      <c r="BY1567" s="2" t="s">
        <v>245</v>
      </c>
      <c r="BZ1567" s="2" t="s">
        <v>232</v>
      </c>
      <c r="CA1567" s="2" t="s">
        <v>1425</v>
      </c>
      <c r="CB1567" s="2" t="s">
        <v>1527</v>
      </c>
      <c r="CC1567" s="2" t="s">
        <v>248</v>
      </c>
      <c r="CD1567" s="2" t="s">
        <v>248</v>
      </c>
      <c r="CE1567" s="2" t="s">
        <v>235</v>
      </c>
      <c r="CF1567" s="4">
        <v>141</v>
      </c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>
        <v>141</v>
      </c>
      <c r="GE1567" s="4">
        <v>134</v>
      </c>
      <c r="GF1567" s="4">
        <v>132</v>
      </c>
      <c r="GG1567" s="4">
        <v>128</v>
      </c>
      <c r="GH1567" s="4">
        <v>125</v>
      </c>
      <c r="GI1567" s="4">
        <v>122</v>
      </c>
      <c r="GJ1567" s="4">
        <v>117</v>
      </c>
      <c r="GK1567" s="4">
        <v>110</v>
      </c>
      <c r="GL1567" s="4">
        <v>106</v>
      </c>
      <c r="GM1567" s="4">
        <v>101</v>
      </c>
      <c r="GN1567" s="4">
        <v>96</v>
      </c>
      <c r="GO1567" s="4">
        <v>92</v>
      </c>
      <c r="GP1567" s="4">
        <v>87</v>
      </c>
      <c r="GQ1567" s="4">
        <v>83</v>
      </c>
      <c r="GR1567" s="4">
        <v>74</v>
      </c>
      <c r="GS1567" s="4">
        <v>65</v>
      </c>
      <c r="GT1567" s="4">
        <v>60</v>
      </c>
      <c r="GU1567" s="4">
        <v>58</v>
      </c>
      <c r="GV1567" s="4">
        <v>56</v>
      </c>
      <c r="GW1567" s="4">
        <v>54</v>
      </c>
      <c r="GX1567" s="4">
        <v>52</v>
      </c>
      <c r="GY1567" s="4">
        <v>50</v>
      </c>
      <c r="GZ1567" s="4">
        <v>45</v>
      </c>
      <c r="HA1567" s="4">
        <v>43</v>
      </c>
      <c r="HB1567" s="4">
        <v>40</v>
      </c>
      <c r="HC1567" s="4">
        <v>38</v>
      </c>
      <c r="HD1567" s="19">
        <v>35.3</v>
      </c>
      <c r="HE1567" s="19">
        <v>44.7</v>
      </c>
      <c r="HF1567" s="19">
        <v>33</v>
      </c>
      <c r="HG1567" s="19">
        <v>32</v>
      </c>
      <c r="HH1567" s="19">
        <v>25</v>
      </c>
      <c r="HI1567" s="19">
        <v>24.4</v>
      </c>
      <c r="HJ1567" s="19">
        <v>23.4</v>
      </c>
      <c r="HK1567" s="19">
        <v>27.5</v>
      </c>
      <c r="HL1567" s="19">
        <v>21.2</v>
      </c>
      <c r="HM1567" s="19">
        <v>25.3</v>
      </c>
      <c r="HN1567" s="19">
        <v>16</v>
      </c>
      <c r="HO1567" s="19">
        <v>13.1</v>
      </c>
      <c r="HP1567" s="19">
        <v>12.4</v>
      </c>
      <c r="HQ1567" s="19">
        <v>13.8</v>
      </c>
      <c r="HR1567" s="19">
        <v>18.5</v>
      </c>
      <c r="HS1567" s="19">
        <v>21.7</v>
      </c>
      <c r="HT1567" s="19">
        <v>30</v>
      </c>
      <c r="HU1567" s="19">
        <v>29</v>
      </c>
      <c r="HV1567" s="19">
        <v>18.7</v>
      </c>
      <c r="HW1567" s="19">
        <v>18</v>
      </c>
      <c r="HX1567" s="19">
        <v>17.3</v>
      </c>
      <c r="HY1567" s="19">
        <v>16.7</v>
      </c>
      <c r="HZ1567" s="19">
        <v>22.5</v>
      </c>
      <c r="IA1567" s="19">
        <v>21.5</v>
      </c>
      <c r="IB1567" s="19">
        <v>20</v>
      </c>
      <c r="IC1567" s="19">
        <v>19</v>
      </c>
    </row>
    <row r="1568">
      <c r="A1568" s="2" t="s">
        <v>5837</v>
      </c>
      <c r="B1568" s="2" t="s">
        <v>871</v>
      </c>
      <c r="C1568" s="2" t="s">
        <v>853</v>
      </c>
      <c r="D1568" s="2" t="s">
        <v>361</v>
      </c>
      <c r="E1568" s="2" t="s">
        <v>924</v>
      </c>
      <c r="F1568" s="2" t="s">
        <v>5828</v>
      </c>
      <c r="G1568" s="2" t="s">
        <v>5829</v>
      </c>
      <c r="H1568" s="2" t="s">
        <v>5830</v>
      </c>
      <c r="I1568" s="2" t="s">
        <v>5831</v>
      </c>
      <c r="J1568" s="2" t="s">
        <v>877</v>
      </c>
      <c r="K1568" s="2" t="s">
        <v>506</v>
      </c>
      <c r="L1568" s="3">
        <v>36.68</v>
      </c>
      <c r="M1568" s="3">
        <v>38.51</v>
      </c>
      <c r="N1568" s="3">
        <v>79.99</v>
      </c>
      <c r="O1568" s="2" t="s">
        <v>407</v>
      </c>
      <c r="P1568" s="2" t="s">
        <v>408</v>
      </c>
      <c r="Q1568" s="2" t="s">
        <v>234</v>
      </c>
      <c r="R1568" s="2" t="s">
        <v>235</v>
      </c>
      <c r="S1568" s="2" t="s">
        <v>5838</v>
      </c>
      <c r="T1568" s="2" t="s">
        <v>2541</v>
      </c>
      <c r="U1568" s="2" t="s">
        <v>278</v>
      </c>
      <c r="V1568" s="2" t="s">
        <v>238</v>
      </c>
      <c r="W1568" s="2" t="s">
        <v>329</v>
      </c>
      <c r="X1568" s="2" t="s">
        <v>239</v>
      </c>
      <c r="Y1568" s="2" t="s">
        <v>4012</v>
      </c>
      <c r="Z1568" s="4">
        <v>259</v>
      </c>
      <c r="AA1568" s="4">
        <f>=ROUNDDOWN(99.6153846153846,0)</f>
      </c>
      <c r="AB1568" s="5">
        <v>2.6</v>
      </c>
      <c r="AC1568" s="2" t="s">
        <v>235</v>
      </c>
      <c r="AD1568" s="4"/>
      <c r="AE1568" s="4"/>
      <c r="AF1568" s="6">
        <v>64</v>
      </c>
      <c r="AG1568" s="6"/>
      <c r="AH1568" s="7">
        <v>1</v>
      </c>
      <c r="AI1568" s="4"/>
      <c r="AJ1568" s="4">
        <f>=ROUNDDOWN({0},0)</f>
      </c>
      <c r="AK1568" s="5"/>
      <c r="AL1568" s="2" t="s">
        <v>235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 t="s">
        <v>235</v>
      </c>
      <c r="BD1568" s="8" t="s">
        <v>235</v>
      </c>
      <c r="BE1568" s="4" t="s">
        <v>235</v>
      </c>
      <c r="BF1568" s="8" t="s">
        <v>235</v>
      </c>
      <c r="BG1568" s="7" t="s">
        <v>235</v>
      </c>
      <c r="BH1568" s="7" t="s">
        <v>235</v>
      </c>
      <c r="BI1568" s="7"/>
      <c r="BJ1568" s="4">
        <v>7</v>
      </c>
      <c r="BK1568" s="8">
        <v>291.46</v>
      </c>
      <c r="BL1568" s="2" t="s">
        <v>5839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5833</v>
      </c>
      <c r="BV1568" s="2" t="s">
        <v>243</v>
      </c>
      <c r="BW1568" s="2" t="s">
        <v>235</v>
      </c>
      <c r="BX1568" s="2" t="s">
        <v>414</v>
      </c>
      <c r="BY1568" s="2" t="s">
        <v>245</v>
      </c>
      <c r="BZ1568" s="2" t="s">
        <v>232</v>
      </c>
      <c r="CA1568" s="2" t="s">
        <v>1701</v>
      </c>
      <c r="CB1568" s="2" t="s">
        <v>2656</v>
      </c>
      <c r="CC1568" s="2" t="s">
        <v>248</v>
      </c>
      <c r="CD1568" s="2" t="s">
        <v>248</v>
      </c>
      <c r="CE1568" s="2" t="s">
        <v>235</v>
      </c>
      <c r="CF1568" s="4">
        <v>259</v>
      </c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>
        <v>260</v>
      </c>
      <c r="GE1568" s="4">
        <v>258</v>
      </c>
      <c r="GF1568" s="4">
        <v>256</v>
      </c>
      <c r="GG1568" s="4">
        <v>255</v>
      </c>
      <c r="GH1568" s="4">
        <v>254</v>
      </c>
      <c r="GI1568" s="4">
        <v>253</v>
      </c>
      <c r="GJ1568" s="4">
        <v>250</v>
      </c>
      <c r="GK1568" s="4">
        <v>249</v>
      </c>
      <c r="GL1568" s="4">
        <v>248</v>
      </c>
      <c r="GM1568" s="4">
        <v>247</v>
      </c>
      <c r="GN1568" s="4">
        <v>244</v>
      </c>
      <c r="GO1568" s="4">
        <v>241</v>
      </c>
      <c r="GP1568" s="4">
        <v>237</v>
      </c>
      <c r="GQ1568" s="4">
        <v>233</v>
      </c>
      <c r="GR1568" s="4">
        <v>224</v>
      </c>
      <c r="GS1568" s="4">
        <v>217</v>
      </c>
      <c r="GT1568" s="4">
        <v>210</v>
      </c>
      <c r="GU1568" s="4">
        <v>209</v>
      </c>
      <c r="GV1568" s="4">
        <v>207</v>
      </c>
      <c r="GW1568" s="4">
        <v>206</v>
      </c>
      <c r="GX1568" s="4">
        <v>205</v>
      </c>
      <c r="GY1568" s="4">
        <v>204</v>
      </c>
      <c r="GZ1568" s="4">
        <v>203</v>
      </c>
      <c r="HA1568" s="4">
        <v>202</v>
      </c>
      <c r="HB1568" s="4">
        <v>200</v>
      </c>
      <c r="HC1568" s="4">
        <v>198</v>
      </c>
      <c r="HD1568" s="19">
        <v>130</v>
      </c>
      <c r="HE1568" s="19">
        <v>258</v>
      </c>
      <c r="HF1568" s="19">
        <v>128</v>
      </c>
      <c r="HG1568" s="19">
        <v>127.5</v>
      </c>
      <c r="HH1568" s="19">
        <v>127</v>
      </c>
      <c r="HI1568" s="19">
        <v>126.5</v>
      </c>
      <c r="HJ1568" s="19">
        <v>125</v>
      </c>
      <c r="HK1568" s="19">
        <v>124.5</v>
      </c>
      <c r="HL1568" s="19">
        <v>82.7</v>
      </c>
      <c r="HM1568" s="19">
        <v>61.8</v>
      </c>
      <c r="HN1568" s="19">
        <v>48.8</v>
      </c>
      <c r="HO1568" s="19">
        <v>40.2</v>
      </c>
      <c r="HP1568" s="19">
        <v>33.9</v>
      </c>
      <c r="HQ1568" s="19">
        <v>38.8</v>
      </c>
      <c r="HR1568" s="19">
        <v>56</v>
      </c>
      <c r="HS1568" s="19">
        <v>72.3</v>
      </c>
      <c r="HT1568" s="19">
        <v>210</v>
      </c>
      <c r="HU1568" s="19">
        <v>209</v>
      </c>
      <c r="HV1568" s="19">
        <v>207</v>
      </c>
      <c r="HW1568" s="19">
        <v>206</v>
      </c>
      <c r="HX1568" s="19">
        <v>205</v>
      </c>
      <c r="HY1568" s="19">
        <v>102</v>
      </c>
      <c r="HZ1568" s="19">
        <v>101.5</v>
      </c>
      <c r="IA1568" s="19">
        <v>101</v>
      </c>
      <c r="IB1568" s="19">
        <v>200</v>
      </c>
      <c r="IC1568" s="19">
        <v>198</v>
      </c>
    </row>
    <row r="1569">
      <c r="A1569" s="2" t="s">
        <v>5840</v>
      </c>
      <c r="B1569" s="2" t="s">
        <v>871</v>
      </c>
      <c r="C1569" s="2" t="s">
        <v>853</v>
      </c>
      <c r="D1569" s="2" t="s">
        <v>361</v>
      </c>
      <c r="E1569" s="2" t="s">
        <v>924</v>
      </c>
      <c r="F1569" s="2" t="s">
        <v>5828</v>
      </c>
      <c r="G1569" s="2" t="s">
        <v>5829</v>
      </c>
      <c r="H1569" s="2" t="s">
        <v>5830</v>
      </c>
      <c r="I1569" s="2" t="s">
        <v>5831</v>
      </c>
      <c r="J1569" s="2" t="s">
        <v>877</v>
      </c>
      <c r="K1569" s="2" t="s">
        <v>338</v>
      </c>
      <c r="L1569" s="3">
        <v>36.68</v>
      </c>
      <c r="M1569" s="3">
        <v>38.51</v>
      </c>
      <c r="N1569" s="3">
        <v>79.99</v>
      </c>
      <c r="O1569" s="2" t="s">
        <v>407</v>
      </c>
      <c r="P1569" s="2" t="s">
        <v>408</v>
      </c>
      <c r="Q1569" s="2" t="s">
        <v>234</v>
      </c>
      <c r="R1569" s="2" t="s">
        <v>235</v>
      </c>
      <c r="S1569" s="2" t="s">
        <v>5841</v>
      </c>
      <c r="T1569" s="2" t="s">
        <v>2541</v>
      </c>
      <c r="U1569" s="2" t="s">
        <v>278</v>
      </c>
      <c r="V1569" s="2" t="s">
        <v>238</v>
      </c>
      <c r="W1569" s="2" t="s">
        <v>329</v>
      </c>
      <c r="X1569" s="2" t="s">
        <v>239</v>
      </c>
      <c r="Y1569" s="2" t="s">
        <v>2400</v>
      </c>
      <c r="Z1569" s="4">
        <v>20</v>
      </c>
      <c r="AA1569" s="4">
        <f>=ROUNDDOWN(20,0)</f>
      </c>
      <c r="AB1569" s="5">
        <v>1</v>
      </c>
      <c r="AC1569" s="2" t="s">
        <v>235</v>
      </c>
      <c r="AD1569" s="4"/>
      <c r="AE1569" s="4"/>
      <c r="AF1569" s="6">
        <v>66</v>
      </c>
      <c r="AG1569" s="6"/>
      <c r="AH1569" s="7">
        <v>1</v>
      </c>
      <c r="AI1569" s="4"/>
      <c r="AJ1569" s="4">
        <f>=ROUNDDOWN({0},0)</f>
      </c>
      <c r="AK1569" s="5"/>
      <c r="AL1569" s="2" t="s">
        <v>235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235</v>
      </c>
      <c r="AW1569" s="8" t="s">
        <v>235</v>
      </c>
      <c r="AX1569" s="4" t="s">
        <v>235</v>
      </c>
      <c r="AY1569" s="8" t="s">
        <v>235</v>
      </c>
      <c r="AZ1569" s="7" t="s">
        <v>235</v>
      </c>
      <c r="BA1569" s="7" t="s">
        <v>235</v>
      </c>
      <c r="BB1569" s="7"/>
      <c r="BC1569" s="4" t="s">
        <v>235</v>
      </c>
      <c r="BD1569" s="8" t="s">
        <v>235</v>
      </c>
      <c r="BE1569" s="4" t="s">
        <v>235</v>
      </c>
      <c r="BF1569" s="8" t="s">
        <v>235</v>
      </c>
      <c r="BG1569" s="7" t="s">
        <v>235</v>
      </c>
      <c r="BH1569" s="7" t="s">
        <v>235</v>
      </c>
      <c r="BI1569" s="7"/>
      <c r="BJ1569" s="4">
        <v>7</v>
      </c>
      <c r="BK1569" s="8">
        <v>293.51</v>
      </c>
      <c r="BL1569" s="2" t="s">
        <v>2128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5833</v>
      </c>
      <c r="BV1569" s="2" t="s">
        <v>243</v>
      </c>
      <c r="BW1569" s="2" t="s">
        <v>235</v>
      </c>
      <c r="BX1569" s="2" t="s">
        <v>414</v>
      </c>
      <c r="BY1569" s="2" t="s">
        <v>245</v>
      </c>
      <c r="BZ1569" s="2" t="s">
        <v>232</v>
      </c>
      <c r="CA1569" s="2" t="s">
        <v>1425</v>
      </c>
      <c r="CB1569" s="2" t="s">
        <v>235</v>
      </c>
      <c r="CC1569" s="2" t="s">
        <v>248</v>
      </c>
      <c r="CD1569" s="2" t="s">
        <v>248</v>
      </c>
      <c r="CE1569" s="2" t="s">
        <v>235</v>
      </c>
      <c r="CF1569" s="4">
        <v>20</v>
      </c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>
        <v>20</v>
      </c>
      <c r="GE1569" s="4">
        <v>19</v>
      </c>
      <c r="GF1569" s="4">
        <v>18</v>
      </c>
      <c r="GG1569" s="4">
        <v>17</v>
      </c>
      <c r="GH1569" s="4">
        <v>16</v>
      </c>
      <c r="GI1569" s="4">
        <v>16</v>
      </c>
      <c r="GJ1569" s="4">
        <v>14</v>
      </c>
      <c r="GK1569" s="4">
        <v>13</v>
      </c>
      <c r="GL1569" s="4">
        <v>12</v>
      </c>
      <c r="GM1569" s="4">
        <v>11</v>
      </c>
      <c r="GN1569" s="4">
        <v>10</v>
      </c>
      <c r="GO1569" s="4">
        <v>9</v>
      </c>
      <c r="GP1569" s="4">
        <v>7</v>
      </c>
      <c r="GQ1569" s="4">
        <v>5</v>
      </c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19">
        <v>20</v>
      </c>
      <c r="HE1569" s="19">
        <v>19</v>
      </c>
      <c r="HF1569" s="19">
        <v>18</v>
      </c>
      <c r="HG1569" s="19">
        <v>17</v>
      </c>
      <c r="HH1569" s="19">
        <v>16</v>
      </c>
      <c r="HI1569" s="19">
        <v>16</v>
      </c>
      <c r="HJ1569" s="19">
        <v>14</v>
      </c>
      <c r="HK1569" s="19">
        <v>13</v>
      </c>
      <c r="HL1569" s="19">
        <v>12</v>
      </c>
      <c r="HM1569" s="19">
        <v>5.5</v>
      </c>
      <c r="HN1569" s="19">
        <v>5</v>
      </c>
      <c r="HO1569" s="19">
        <v>3</v>
      </c>
      <c r="HP1569" s="19">
        <v>2.3</v>
      </c>
      <c r="HQ1569" s="19">
        <v>1.7</v>
      </c>
      <c r="HR1569" s="20">
        <v>0</v>
      </c>
      <c r="HS1569" s="20">
        <v>0</v>
      </c>
      <c r="HT1569" s="20">
        <v>0</v>
      </c>
      <c r="HU1569" s="20">
        <v>0</v>
      </c>
      <c r="HV1569" s="20">
        <v>0</v>
      </c>
      <c r="HW1569" s="20">
        <v>0</v>
      </c>
      <c r="HX1569" s="20">
        <v>0</v>
      </c>
      <c r="HY1569" s="20">
        <v>0</v>
      </c>
      <c r="HZ1569" s="20">
        <v>0</v>
      </c>
      <c r="IA1569" s="20">
        <v>0</v>
      </c>
      <c r="IB1569" s="20">
        <v>0</v>
      </c>
      <c r="IC1569" s="20">
        <v>0</v>
      </c>
    </row>
    <row r="1570">
      <c r="A1570" s="2" t="s">
        <v>5842</v>
      </c>
      <c r="B1570" s="2" t="s">
        <v>871</v>
      </c>
      <c r="C1570" s="2" t="s">
        <v>853</v>
      </c>
      <c r="D1570" s="2" t="s">
        <v>361</v>
      </c>
      <c r="E1570" s="2" t="s">
        <v>924</v>
      </c>
      <c r="F1570" s="2" t="s">
        <v>5828</v>
      </c>
      <c r="G1570" s="2" t="s">
        <v>5829</v>
      </c>
      <c r="H1570" s="2" t="s">
        <v>5830</v>
      </c>
      <c r="I1570" s="2" t="s">
        <v>5831</v>
      </c>
      <c r="J1570" s="2" t="s">
        <v>365</v>
      </c>
      <c r="K1570" s="2" t="s">
        <v>338</v>
      </c>
      <c r="L1570" s="3">
        <v>47.29</v>
      </c>
      <c r="M1570" s="3">
        <v>49.65</v>
      </c>
      <c r="N1570" s="3">
        <v>99.99</v>
      </c>
      <c r="O1570" s="2" t="s">
        <v>407</v>
      </c>
      <c r="P1570" s="2" t="s">
        <v>408</v>
      </c>
      <c r="Q1570" s="2" t="s">
        <v>234</v>
      </c>
      <c r="R1570" s="2" t="s">
        <v>235</v>
      </c>
      <c r="S1570" s="2" t="s">
        <v>5841</v>
      </c>
      <c r="T1570" s="2" t="s">
        <v>2541</v>
      </c>
      <c r="U1570" s="2" t="s">
        <v>552</v>
      </c>
      <c r="V1570" s="2" t="s">
        <v>238</v>
      </c>
      <c r="W1570" s="2" t="s">
        <v>329</v>
      </c>
      <c r="X1570" s="2" t="s">
        <v>239</v>
      </c>
      <c r="Y1570" s="2" t="s">
        <v>2400</v>
      </c>
      <c r="Z1570" s="4">
        <v>292</v>
      </c>
      <c r="AA1570" s="4">
        <f>=ROUNDDOWN(73,0)</f>
      </c>
      <c r="AB1570" s="5">
        <v>4</v>
      </c>
      <c r="AC1570" s="2" t="s">
        <v>235</v>
      </c>
      <c r="AD1570" s="4"/>
      <c r="AE1570" s="4"/>
      <c r="AF1570" s="6">
        <v>66</v>
      </c>
      <c r="AG1570" s="6"/>
      <c r="AH1570" s="7">
        <v>1</v>
      </c>
      <c r="AI1570" s="4"/>
      <c r="AJ1570" s="4">
        <f>=ROUNDDOWN({0},0)</f>
      </c>
      <c r="AK1570" s="5"/>
      <c r="AL1570" s="2" t="s">
        <v>235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235</v>
      </c>
      <c r="AW1570" s="8" t="s">
        <v>235</v>
      </c>
      <c r="AX1570" s="4" t="s">
        <v>235</v>
      </c>
      <c r="AY1570" s="8" t="s">
        <v>235</v>
      </c>
      <c r="AZ1570" s="7" t="s">
        <v>235</v>
      </c>
      <c r="BA1570" s="7" t="s">
        <v>235</v>
      </c>
      <c r="BB1570" s="7"/>
      <c r="BC1570" s="4" t="s">
        <v>235</v>
      </c>
      <c r="BD1570" s="8" t="s">
        <v>235</v>
      </c>
      <c r="BE1570" s="4" t="s">
        <v>235</v>
      </c>
      <c r="BF1570" s="8" t="s">
        <v>235</v>
      </c>
      <c r="BG1570" s="7" t="s">
        <v>235</v>
      </c>
      <c r="BH1570" s="7" t="s">
        <v>235</v>
      </c>
      <c r="BI1570" s="7"/>
      <c r="BJ1570" s="4">
        <v>8</v>
      </c>
      <c r="BK1570" s="8">
        <v>433.8</v>
      </c>
      <c r="BL1570" s="2" t="s">
        <v>5843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5833</v>
      </c>
      <c r="BV1570" s="2" t="s">
        <v>243</v>
      </c>
      <c r="BW1570" s="2" t="s">
        <v>235</v>
      </c>
      <c r="BX1570" s="2" t="s">
        <v>414</v>
      </c>
      <c r="BY1570" s="2" t="s">
        <v>245</v>
      </c>
      <c r="BZ1570" s="2" t="s">
        <v>232</v>
      </c>
      <c r="CA1570" s="2" t="s">
        <v>1425</v>
      </c>
      <c r="CB1570" s="2" t="s">
        <v>1376</v>
      </c>
      <c r="CC1570" s="2" t="s">
        <v>248</v>
      </c>
      <c r="CD1570" s="2" t="s">
        <v>248</v>
      </c>
      <c r="CE1570" s="2" t="s">
        <v>235</v>
      </c>
      <c r="CF1570" s="4">
        <v>292</v>
      </c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>
        <v>293</v>
      </c>
      <c r="GE1570" s="4">
        <v>288</v>
      </c>
      <c r="GF1570" s="4">
        <v>284</v>
      </c>
      <c r="GG1570" s="4">
        <v>282</v>
      </c>
      <c r="GH1570" s="4">
        <v>280</v>
      </c>
      <c r="GI1570" s="4">
        <v>278</v>
      </c>
      <c r="GJ1570" s="4">
        <v>274</v>
      </c>
      <c r="GK1570" s="4">
        <v>271</v>
      </c>
      <c r="GL1570" s="4">
        <v>267</v>
      </c>
      <c r="GM1570" s="4">
        <v>265</v>
      </c>
      <c r="GN1570" s="4">
        <v>260</v>
      </c>
      <c r="GO1570" s="4">
        <v>255</v>
      </c>
      <c r="GP1570" s="4">
        <v>245</v>
      </c>
      <c r="GQ1570" s="4">
        <v>237</v>
      </c>
      <c r="GR1570" s="4">
        <v>216</v>
      </c>
      <c r="GS1570" s="4">
        <v>203</v>
      </c>
      <c r="GT1570" s="4">
        <v>190</v>
      </c>
      <c r="GU1570" s="4">
        <v>186</v>
      </c>
      <c r="GV1570" s="4">
        <v>183</v>
      </c>
      <c r="GW1570" s="4">
        <v>179</v>
      </c>
      <c r="GX1570" s="4">
        <v>177</v>
      </c>
      <c r="GY1570" s="4">
        <v>174</v>
      </c>
      <c r="GZ1570" s="4">
        <v>170</v>
      </c>
      <c r="HA1570" s="4">
        <v>167</v>
      </c>
      <c r="HB1570" s="4">
        <v>164</v>
      </c>
      <c r="HC1570" s="4">
        <v>160</v>
      </c>
      <c r="HD1570" s="19">
        <v>97.7</v>
      </c>
      <c r="HE1570" s="19">
        <v>144</v>
      </c>
      <c r="HF1570" s="19">
        <v>142</v>
      </c>
      <c r="HG1570" s="19">
        <v>94</v>
      </c>
      <c r="HH1570" s="19">
        <v>93.3</v>
      </c>
      <c r="HI1570" s="19">
        <v>92.7</v>
      </c>
      <c r="HJ1570" s="19">
        <v>68.5</v>
      </c>
      <c r="HK1570" s="19">
        <v>67.8</v>
      </c>
      <c r="HL1570" s="19">
        <v>44.5</v>
      </c>
      <c r="HM1570" s="19">
        <v>37.9</v>
      </c>
      <c r="HN1570" s="19">
        <v>23.6</v>
      </c>
      <c r="HO1570" s="19">
        <v>19.6</v>
      </c>
      <c r="HP1570" s="19">
        <v>17.5</v>
      </c>
      <c r="HQ1570" s="19">
        <v>18.2</v>
      </c>
      <c r="HR1570" s="9"/>
      <c r="HS1570" s="19">
        <v>33.8</v>
      </c>
      <c r="HT1570" s="19">
        <v>63.3</v>
      </c>
      <c r="HU1570" s="19">
        <v>62</v>
      </c>
      <c r="HV1570" s="19">
        <v>61</v>
      </c>
      <c r="HW1570" s="19">
        <v>59.7</v>
      </c>
      <c r="HX1570" s="19">
        <v>59</v>
      </c>
      <c r="HY1570" s="19">
        <v>43.5</v>
      </c>
      <c r="HZ1570" s="19">
        <v>56.7</v>
      </c>
      <c r="IA1570" s="19">
        <v>55.7</v>
      </c>
      <c r="IB1570" s="19">
        <v>54.7</v>
      </c>
      <c r="IC1570" s="19">
        <v>53.3</v>
      </c>
    </row>
    <row r="1571">
      <c r="A1571" s="2" t="s">
        <v>5844</v>
      </c>
      <c r="B1571" s="2" t="s">
        <v>871</v>
      </c>
      <c r="C1571" s="2" t="s">
        <v>853</v>
      </c>
      <c r="D1571" s="2" t="s">
        <v>361</v>
      </c>
      <c r="E1571" s="2" t="s">
        <v>924</v>
      </c>
      <c r="F1571" s="2" t="s">
        <v>5828</v>
      </c>
      <c r="G1571" s="2" t="s">
        <v>5829</v>
      </c>
      <c r="H1571" s="2" t="s">
        <v>5830</v>
      </c>
      <c r="I1571" s="2" t="s">
        <v>5831</v>
      </c>
      <c r="J1571" s="2" t="s">
        <v>372</v>
      </c>
      <c r="K1571" s="2" t="s">
        <v>338</v>
      </c>
      <c r="L1571" s="3">
        <v>52.68</v>
      </c>
      <c r="M1571" s="3">
        <v>55.31</v>
      </c>
      <c r="N1571" s="3">
        <v>114.99</v>
      </c>
      <c r="O1571" s="2" t="s">
        <v>407</v>
      </c>
      <c r="P1571" s="2" t="s">
        <v>408</v>
      </c>
      <c r="Q1571" s="2" t="s">
        <v>234</v>
      </c>
      <c r="R1571" s="2" t="s">
        <v>235</v>
      </c>
      <c r="S1571" s="2" t="s">
        <v>5841</v>
      </c>
      <c r="T1571" s="2" t="s">
        <v>2541</v>
      </c>
      <c r="U1571" s="2" t="s">
        <v>552</v>
      </c>
      <c r="V1571" s="2" t="s">
        <v>238</v>
      </c>
      <c r="W1571" s="2" t="s">
        <v>329</v>
      </c>
      <c r="X1571" s="2" t="s">
        <v>239</v>
      </c>
      <c r="Y1571" s="2" t="s">
        <v>2400</v>
      </c>
      <c r="Z1571" s="4">
        <v>63</v>
      </c>
      <c r="AA1571" s="4">
        <f>=ROUNDDOWN(21,0)</f>
      </c>
      <c r="AB1571" s="5">
        <v>3</v>
      </c>
      <c r="AC1571" s="2" t="s">
        <v>235</v>
      </c>
      <c r="AD1571" s="4"/>
      <c r="AE1571" s="4"/>
      <c r="AF1571" s="6">
        <v>66</v>
      </c>
      <c r="AG1571" s="6"/>
      <c r="AH1571" s="7">
        <v>1</v>
      </c>
      <c r="AI1571" s="4"/>
      <c r="AJ1571" s="4">
        <f>=ROUNDDOWN({0},0)</f>
      </c>
      <c r="AK1571" s="5"/>
      <c r="AL1571" s="2" t="s">
        <v>235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235</v>
      </c>
      <c r="AW1571" s="8" t="s">
        <v>235</v>
      </c>
      <c r="AX1571" s="4" t="s">
        <v>235</v>
      </c>
      <c r="AY1571" s="8" t="s">
        <v>235</v>
      </c>
      <c r="AZ1571" s="7" t="s">
        <v>235</v>
      </c>
      <c r="BA1571" s="7" t="s">
        <v>235</v>
      </c>
      <c r="BB1571" s="7"/>
      <c r="BC1571" s="4" t="s">
        <v>235</v>
      </c>
      <c r="BD1571" s="8" t="s">
        <v>235</v>
      </c>
      <c r="BE1571" s="4" t="s">
        <v>235</v>
      </c>
      <c r="BF1571" s="8" t="s">
        <v>235</v>
      </c>
      <c r="BG1571" s="7" t="s">
        <v>235</v>
      </c>
      <c r="BH1571" s="7" t="s">
        <v>235</v>
      </c>
      <c r="BI1571" s="7"/>
      <c r="BJ1571" s="4">
        <v>8</v>
      </c>
      <c r="BK1571" s="8">
        <v>487.78</v>
      </c>
      <c r="BL1571" s="2" t="s">
        <v>5845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5833</v>
      </c>
      <c r="BV1571" s="2" t="s">
        <v>243</v>
      </c>
      <c r="BW1571" s="2" t="s">
        <v>235</v>
      </c>
      <c r="BX1571" s="2" t="s">
        <v>414</v>
      </c>
      <c r="BY1571" s="2" t="s">
        <v>245</v>
      </c>
      <c r="BZ1571" s="2" t="s">
        <v>232</v>
      </c>
      <c r="CA1571" s="2" t="s">
        <v>1425</v>
      </c>
      <c r="CB1571" s="2" t="s">
        <v>1426</v>
      </c>
      <c r="CC1571" s="2" t="s">
        <v>248</v>
      </c>
      <c r="CD1571" s="2" t="s">
        <v>248</v>
      </c>
      <c r="CE1571" s="2" t="s">
        <v>235</v>
      </c>
      <c r="CF1571" s="4">
        <v>63</v>
      </c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>
        <v>64</v>
      </c>
      <c r="GE1571" s="4">
        <v>59</v>
      </c>
      <c r="GF1571" s="4">
        <v>57</v>
      </c>
      <c r="GG1571" s="4">
        <v>53</v>
      </c>
      <c r="GH1571" s="4">
        <v>50</v>
      </c>
      <c r="GI1571" s="4">
        <v>47</v>
      </c>
      <c r="GJ1571" s="4">
        <v>42</v>
      </c>
      <c r="GK1571" s="4">
        <v>35</v>
      </c>
      <c r="GL1571" s="4">
        <v>31</v>
      </c>
      <c r="GM1571" s="4">
        <v>26</v>
      </c>
      <c r="GN1571" s="4">
        <v>21</v>
      </c>
      <c r="GO1571" s="4">
        <v>17</v>
      </c>
      <c r="GP1571" s="4">
        <v>12</v>
      </c>
      <c r="GQ1571" s="4">
        <v>8</v>
      </c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19">
        <v>16</v>
      </c>
      <c r="HE1571" s="19">
        <v>19.7</v>
      </c>
      <c r="HF1571" s="19">
        <v>14.3</v>
      </c>
      <c r="HG1571" s="19">
        <v>13.3</v>
      </c>
      <c r="HH1571" s="19">
        <v>10</v>
      </c>
      <c r="HI1571" s="19">
        <v>9.4</v>
      </c>
      <c r="HJ1571" s="19">
        <v>8.4</v>
      </c>
      <c r="HK1571" s="19">
        <v>8.8</v>
      </c>
      <c r="HL1571" s="19">
        <v>6.2</v>
      </c>
      <c r="HM1571" s="19">
        <v>6.5</v>
      </c>
      <c r="HN1571" s="19">
        <v>3.5</v>
      </c>
      <c r="HO1571" s="19">
        <v>2.8</v>
      </c>
      <c r="HP1571" s="19">
        <v>2</v>
      </c>
      <c r="HQ1571" s="19">
        <v>1.3</v>
      </c>
      <c r="HR1571" s="20">
        <v>0</v>
      </c>
      <c r="HS1571" s="20">
        <v>0</v>
      </c>
      <c r="HT1571" s="20">
        <v>0</v>
      </c>
      <c r="HU1571" s="20">
        <v>0</v>
      </c>
      <c r="HV1571" s="20">
        <v>0</v>
      </c>
      <c r="HW1571" s="20">
        <v>0</v>
      </c>
      <c r="HX1571" s="20">
        <v>0</v>
      </c>
      <c r="HY1571" s="20">
        <v>0</v>
      </c>
      <c r="HZ1571" s="20">
        <v>0</v>
      </c>
      <c r="IA1571" s="20">
        <v>0</v>
      </c>
      <c r="IB1571" s="20">
        <v>0</v>
      </c>
      <c r="IC1571" s="20">
        <v>0</v>
      </c>
    </row>
    <row r="1572">
      <c r="A1572" s="2" t="s">
        <v>5846</v>
      </c>
      <c r="B1572" s="2" t="s">
        <v>871</v>
      </c>
      <c r="C1572" s="2" t="s">
        <v>853</v>
      </c>
      <c r="D1572" s="2" t="s">
        <v>361</v>
      </c>
      <c r="E1572" s="2" t="s">
        <v>924</v>
      </c>
      <c r="F1572" s="2" t="s">
        <v>5828</v>
      </c>
      <c r="G1572" s="2" t="s">
        <v>5829</v>
      </c>
      <c r="H1572" s="2" t="s">
        <v>5830</v>
      </c>
      <c r="I1572" s="2" t="s">
        <v>5831</v>
      </c>
      <c r="J1572" s="2" t="s">
        <v>877</v>
      </c>
      <c r="K1572" s="2" t="s">
        <v>4557</v>
      </c>
      <c r="L1572" s="3">
        <v>36.68</v>
      </c>
      <c r="M1572" s="3">
        <v>38.51</v>
      </c>
      <c r="N1572" s="3">
        <v>79.99</v>
      </c>
      <c r="O1572" s="2" t="s">
        <v>407</v>
      </c>
      <c r="P1572" s="2" t="s">
        <v>408</v>
      </c>
      <c r="Q1572" s="2" t="s">
        <v>234</v>
      </c>
      <c r="R1572" s="2" t="s">
        <v>235</v>
      </c>
      <c r="S1572" s="2" t="s">
        <v>5847</v>
      </c>
      <c r="T1572" s="2" t="s">
        <v>2541</v>
      </c>
      <c r="U1572" s="2" t="s">
        <v>278</v>
      </c>
      <c r="V1572" s="2" t="s">
        <v>238</v>
      </c>
      <c r="W1572" s="2" t="s">
        <v>329</v>
      </c>
      <c r="X1572" s="2" t="s">
        <v>239</v>
      </c>
      <c r="Y1572" s="2" t="s">
        <v>4854</v>
      </c>
      <c r="Z1572" s="4">
        <v>192</v>
      </c>
      <c r="AA1572" s="4">
        <f>=ROUNDDOWN(80,0)</f>
      </c>
      <c r="AB1572" s="5">
        <v>2.4</v>
      </c>
      <c r="AC1572" s="2" t="s">
        <v>235</v>
      </c>
      <c r="AD1572" s="4"/>
      <c r="AE1572" s="4"/>
      <c r="AF1572" s="6">
        <v>64</v>
      </c>
      <c r="AG1572" s="6"/>
      <c r="AH1572" s="7">
        <v>1</v>
      </c>
      <c r="AI1572" s="4"/>
      <c r="AJ1572" s="4">
        <f>=ROUNDDOWN({0},0)</f>
      </c>
      <c r="AK1572" s="5"/>
      <c r="AL1572" s="2" t="s">
        <v>235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/>
      <c r="AW1572" s="8"/>
      <c r="AX1572" s="4"/>
      <c r="AY1572" s="8"/>
      <c r="AZ1572" s="7"/>
      <c r="BA1572" s="7"/>
      <c r="BB1572" s="7"/>
      <c r="BC1572" s="4" t="s">
        <v>235</v>
      </c>
      <c r="BD1572" s="8" t="s">
        <v>235</v>
      </c>
      <c r="BE1572" s="4" t="s">
        <v>235</v>
      </c>
      <c r="BF1572" s="8" t="s">
        <v>235</v>
      </c>
      <c r="BG1572" s="7" t="s">
        <v>235</v>
      </c>
      <c r="BH1572" s="7" t="s">
        <v>235</v>
      </c>
      <c r="BI1572" s="7"/>
      <c r="BJ1572" s="4">
        <v>6</v>
      </c>
      <c r="BK1572" s="8">
        <v>248.49</v>
      </c>
      <c r="BL1572" s="2" t="s">
        <v>5848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5833</v>
      </c>
      <c r="BV1572" s="2" t="s">
        <v>243</v>
      </c>
      <c r="BW1572" s="2" t="s">
        <v>235</v>
      </c>
      <c r="BX1572" s="2" t="s">
        <v>414</v>
      </c>
      <c r="BY1572" s="2" t="s">
        <v>245</v>
      </c>
      <c r="BZ1572" s="2" t="s">
        <v>232</v>
      </c>
      <c r="CA1572" s="2" t="s">
        <v>1701</v>
      </c>
      <c r="CB1572" s="2" t="s">
        <v>5533</v>
      </c>
      <c r="CC1572" s="2" t="s">
        <v>248</v>
      </c>
      <c r="CD1572" s="2" t="s">
        <v>248</v>
      </c>
      <c r="CE1572" s="2" t="s">
        <v>235</v>
      </c>
      <c r="CF1572" s="4">
        <v>192</v>
      </c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>
        <v>194</v>
      </c>
      <c r="GE1572" s="4">
        <v>191</v>
      </c>
      <c r="GF1572" s="4">
        <v>189</v>
      </c>
      <c r="GG1572" s="4">
        <v>188</v>
      </c>
      <c r="GH1572" s="4">
        <v>187</v>
      </c>
      <c r="GI1572" s="4">
        <v>186</v>
      </c>
      <c r="GJ1572" s="4">
        <v>183</v>
      </c>
      <c r="GK1572" s="4">
        <v>182</v>
      </c>
      <c r="GL1572" s="4">
        <v>181</v>
      </c>
      <c r="GM1572" s="4">
        <v>180</v>
      </c>
      <c r="GN1572" s="4">
        <v>177</v>
      </c>
      <c r="GO1572" s="4">
        <v>174</v>
      </c>
      <c r="GP1572" s="4">
        <v>170</v>
      </c>
      <c r="GQ1572" s="4">
        <v>166</v>
      </c>
      <c r="GR1572" s="4">
        <v>157</v>
      </c>
      <c r="GS1572" s="4">
        <v>150</v>
      </c>
      <c r="GT1572" s="4">
        <v>143</v>
      </c>
      <c r="GU1572" s="4">
        <v>142</v>
      </c>
      <c r="GV1572" s="4">
        <v>140</v>
      </c>
      <c r="GW1572" s="4">
        <v>139</v>
      </c>
      <c r="GX1572" s="4">
        <v>138</v>
      </c>
      <c r="GY1572" s="4">
        <v>137</v>
      </c>
      <c r="GZ1572" s="4">
        <v>136</v>
      </c>
      <c r="HA1572" s="4">
        <v>135</v>
      </c>
      <c r="HB1572" s="4">
        <v>133</v>
      </c>
      <c r="HC1572" s="4">
        <v>131</v>
      </c>
      <c r="HD1572" s="19">
        <v>97</v>
      </c>
      <c r="HE1572" s="19">
        <v>191</v>
      </c>
      <c r="HF1572" s="19">
        <v>94.5</v>
      </c>
      <c r="HG1572" s="19">
        <v>94</v>
      </c>
      <c r="HH1572" s="19">
        <v>93.5</v>
      </c>
      <c r="HI1572" s="19">
        <v>93</v>
      </c>
      <c r="HJ1572" s="19">
        <v>91.5</v>
      </c>
      <c r="HK1572" s="19">
        <v>91</v>
      </c>
      <c r="HL1572" s="19">
        <v>60.3</v>
      </c>
      <c r="HM1572" s="19">
        <v>45</v>
      </c>
      <c r="HN1572" s="19">
        <v>35.4</v>
      </c>
      <c r="HO1572" s="19">
        <v>29</v>
      </c>
      <c r="HP1572" s="19">
        <v>24.3</v>
      </c>
      <c r="HQ1572" s="19">
        <v>27.7</v>
      </c>
      <c r="HR1572" s="19">
        <v>39.3</v>
      </c>
      <c r="HS1572" s="19">
        <v>50</v>
      </c>
      <c r="HT1572" s="19">
        <v>143</v>
      </c>
      <c r="HU1572" s="19">
        <v>142</v>
      </c>
      <c r="HV1572" s="19">
        <v>140</v>
      </c>
      <c r="HW1572" s="19">
        <v>139</v>
      </c>
      <c r="HX1572" s="19">
        <v>138</v>
      </c>
      <c r="HY1572" s="19">
        <v>68.5</v>
      </c>
      <c r="HZ1572" s="19">
        <v>68</v>
      </c>
      <c r="IA1572" s="19">
        <v>67.5</v>
      </c>
      <c r="IB1572" s="19">
        <v>133</v>
      </c>
      <c r="IC1572" s="19">
        <v>131</v>
      </c>
    </row>
    <row r="1573">
      <c r="A1573" s="2" t="s">
        <v>5849</v>
      </c>
      <c r="B1573" s="2" t="s">
        <v>871</v>
      </c>
      <c r="C1573" s="2" t="s">
        <v>853</v>
      </c>
      <c r="D1573" s="2" t="s">
        <v>361</v>
      </c>
      <c r="E1573" s="2" t="s">
        <v>924</v>
      </c>
      <c r="F1573" s="2" t="s">
        <v>5828</v>
      </c>
      <c r="G1573" s="2" t="s">
        <v>5829</v>
      </c>
      <c r="H1573" s="2" t="s">
        <v>5830</v>
      </c>
      <c r="I1573" s="2" t="s">
        <v>5831</v>
      </c>
      <c r="J1573" s="2" t="s">
        <v>365</v>
      </c>
      <c r="K1573" s="2" t="s">
        <v>1575</v>
      </c>
      <c r="L1573" s="3">
        <v>47.29</v>
      </c>
      <c r="M1573" s="3">
        <v>49.65</v>
      </c>
      <c r="N1573" s="3">
        <v>99.99</v>
      </c>
      <c r="O1573" s="2" t="s">
        <v>407</v>
      </c>
      <c r="P1573" s="2" t="s">
        <v>408</v>
      </c>
      <c r="Q1573" s="2" t="s">
        <v>234</v>
      </c>
      <c r="R1573" s="2" t="s">
        <v>235</v>
      </c>
      <c r="S1573" s="2" t="s">
        <v>5850</v>
      </c>
      <c r="T1573" s="2" t="s">
        <v>2541</v>
      </c>
      <c r="U1573" s="2" t="s">
        <v>552</v>
      </c>
      <c r="V1573" s="2" t="s">
        <v>238</v>
      </c>
      <c r="W1573" s="2" t="s">
        <v>329</v>
      </c>
      <c r="X1573" s="2" t="s">
        <v>239</v>
      </c>
      <c r="Y1573" s="2" t="s">
        <v>4854</v>
      </c>
      <c r="Z1573" s="4">
        <v>489</v>
      </c>
      <c r="AA1573" s="4">
        <f>=ROUNDDOWN(195.6,0)</f>
      </c>
      <c r="AB1573" s="5">
        <v>2.5</v>
      </c>
      <c r="AC1573" s="2" t="s">
        <v>235</v>
      </c>
      <c r="AD1573" s="4"/>
      <c r="AE1573" s="4"/>
      <c r="AF1573" s="6">
        <v>64</v>
      </c>
      <c r="AG1573" s="6"/>
      <c r="AH1573" s="7">
        <v>1</v>
      </c>
      <c r="AI1573" s="4"/>
      <c r="AJ1573" s="4">
        <f>=ROUNDDOWN({0},0)</f>
      </c>
      <c r="AK1573" s="5"/>
      <c r="AL1573" s="2" t="s">
        <v>235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 t="s">
        <v>235</v>
      </c>
      <c r="BD1573" s="8" t="s">
        <v>235</v>
      </c>
      <c r="BE1573" s="4" t="s">
        <v>235</v>
      </c>
      <c r="BF1573" s="8" t="s">
        <v>235</v>
      </c>
      <c r="BG1573" s="7" t="s">
        <v>235</v>
      </c>
      <c r="BH1573" s="7" t="s">
        <v>235</v>
      </c>
      <c r="BI1573" s="7"/>
      <c r="BJ1573" s="4">
        <v>9</v>
      </c>
      <c r="BK1573" s="8">
        <v>484.65</v>
      </c>
      <c r="BL1573" s="2" t="s">
        <v>5851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5833</v>
      </c>
      <c r="BV1573" s="2" t="s">
        <v>243</v>
      </c>
      <c r="BW1573" s="2" t="s">
        <v>235</v>
      </c>
      <c r="BX1573" s="2" t="s">
        <v>414</v>
      </c>
      <c r="BY1573" s="2" t="s">
        <v>245</v>
      </c>
      <c r="BZ1573" s="2" t="s">
        <v>232</v>
      </c>
      <c r="CA1573" s="2" t="s">
        <v>1701</v>
      </c>
      <c r="CB1573" s="2" t="s">
        <v>2660</v>
      </c>
      <c r="CC1573" s="2" t="s">
        <v>248</v>
      </c>
      <c r="CD1573" s="2" t="s">
        <v>248</v>
      </c>
      <c r="CE1573" s="2" t="s">
        <v>235</v>
      </c>
      <c r="CF1573" s="4">
        <v>489</v>
      </c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>
        <v>489</v>
      </c>
      <c r="GE1573" s="4">
        <v>487</v>
      </c>
      <c r="GF1573" s="4">
        <v>485</v>
      </c>
      <c r="GG1573" s="4">
        <v>484</v>
      </c>
      <c r="GH1573" s="4">
        <v>483</v>
      </c>
      <c r="GI1573" s="4">
        <v>482</v>
      </c>
      <c r="GJ1573" s="4">
        <v>480</v>
      </c>
      <c r="GK1573" s="4">
        <v>479</v>
      </c>
      <c r="GL1573" s="4">
        <v>477</v>
      </c>
      <c r="GM1573" s="4">
        <v>476</v>
      </c>
      <c r="GN1573" s="4">
        <v>473</v>
      </c>
      <c r="GO1573" s="4">
        <v>470</v>
      </c>
      <c r="GP1573" s="4">
        <v>465</v>
      </c>
      <c r="GQ1573" s="4">
        <v>461</v>
      </c>
      <c r="GR1573" s="4">
        <v>450</v>
      </c>
      <c r="GS1573" s="4">
        <v>444</v>
      </c>
      <c r="GT1573" s="4">
        <v>437</v>
      </c>
      <c r="GU1573" s="4">
        <v>435</v>
      </c>
      <c r="GV1573" s="4">
        <v>434</v>
      </c>
      <c r="GW1573" s="4">
        <v>432</v>
      </c>
      <c r="GX1573" s="4">
        <v>431</v>
      </c>
      <c r="GY1573" s="4">
        <v>430</v>
      </c>
      <c r="GZ1573" s="4">
        <v>428</v>
      </c>
      <c r="HA1573" s="4">
        <v>427</v>
      </c>
      <c r="HB1573" s="4">
        <v>426</v>
      </c>
      <c r="HC1573" s="4">
        <v>424</v>
      </c>
      <c r="HD1573" s="19">
        <v>244.5</v>
      </c>
      <c r="HE1573" s="19">
        <v>487</v>
      </c>
      <c r="HF1573" s="19">
        <v>485</v>
      </c>
      <c r="HG1573" s="19">
        <v>484</v>
      </c>
      <c r="HH1573" s="19">
        <v>241.5</v>
      </c>
      <c r="HI1573" s="19">
        <v>241</v>
      </c>
      <c r="HJ1573" s="19">
        <v>240</v>
      </c>
      <c r="HK1573" s="19">
        <v>239.5</v>
      </c>
      <c r="HL1573" s="19">
        <v>159</v>
      </c>
      <c r="HM1573" s="19">
        <v>119</v>
      </c>
      <c r="HN1573" s="19">
        <v>78.8</v>
      </c>
      <c r="HO1573" s="19">
        <v>78.3</v>
      </c>
      <c r="HP1573" s="19">
        <v>66.4</v>
      </c>
      <c r="HQ1573" s="19">
        <v>76.8</v>
      </c>
      <c r="HR1573" s="19">
        <v>112.5</v>
      </c>
      <c r="HS1573" s="19">
        <v>148</v>
      </c>
      <c r="HT1573" s="19">
        <v>218.5</v>
      </c>
      <c r="HU1573" s="19">
        <v>435</v>
      </c>
      <c r="HV1573" s="19">
        <v>217</v>
      </c>
      <c r="HW1573" s="19">
        <v>432</v>
      </c>
      <c r="HX1573" s="19">
        <v>431</v>
      </c>
      <c r="HY1573" s="19">
        <v>215</v>
      </c>
      <c r="HZ1573" s="19">
        <v>428</v>
      </c>
      <c r="IA1573" s="19">
        <v>427</v>
      </c>
      <c r="IB1573" s="19">
        <v>426</v>
      </c>
      <c r="IC1573" s="19">
        <v>424</v>
      </c>
    </row>
    <row r="1574">
      <c r="A1574" s="2" t="s">
        <v>5852</v>
      </c>
      <c r="B1574" s="2" t="s">
        <v>852</v>
      </c>
      <c r="C1574" s="2" t="s">
        <v>1126</v>
      </c>
      <c r="D1574" s="2" t="s">
        <v>854</v>
      </c>
      <c r="E1574" s="2" t="s">
        <v>1005</v>
      </c>
      <c r="F1574" s="2" t="s">
        <v>1763</v>
      </c>
      <c r="G1574" s="2" t="s">
        <v>5853</v>
      </c>
      <c r="H1574" s="2" t="s">
        <v>5854</v>
      </c>
      <c r="I1574" s="2" t="s">
        <v>5855</v>
      </c>
      <c r="J1574" s="2" t="s">
        <v>3803</v>
      </c>
      <c r="K1574" s="2" t="s">
        <v>4079</v>
      </c>
      <c r="L1574" s="3">
        <v>33.33</v>
      </c>
      <c r="M1574" s="3">
        <v>35</v>
      </c>
      <c r="N1574" s="3">
        <v>79.99</v>
      </c>
      <c r="O1574" s="2" t="s">
        <v>232</v>
      </c>
      <c r="P1574" s="2" t="s">
        <v>233</v>
      </c>
      <c r="Q1574" s="2" t="s">
        <v>234</v>
      </c>
      <c r="R1574" s="2" t="s">
        <v>235</v>
      </c>
      <c r="S1574" s="2" t="s">
        <v>5856</v>
      </c>
      <c r="T1574" s="2" t="s">
        <v>235</v>
      </c>
      <c r="U1574" s="2" t="s">
        <v>278</v>
      </c>
      <c r="V1574" s="2" t="s">
        <v>1132</v>
      </c>
      <c r="W1574" s="2" t="s">
        <v>329</v>
      </c>
      <c r="X1574" s="2" t="s">
        <v>864</v>
      </c>
      <c r="Y1574" s="2" t="s">
        <v>5263</v>
      </c>
      <c r="Z1574" s="4">
        <v>168</v>
      </c>
      <c r="AA1574" s="4">
        <f>=ROUNDDOWN(42,0)</f>
      </c>
      <c r="AB1574" s="5">
        <v>4</v>
      </c>
      <c r="AC1574" s="2" t="s">
        <v>235</v>
      </c>
      <c r="AD1574" s="4"/>
      <c r="AE1574" s="4"/>
      <c r="AF1574" s="6">
        <v>68</v>
      </c>
      <c r="AG1574" s="6"/>
      <c r="AH1574" s="7">
        <v>1</v>
      </c>
      <c r="AI1574" s="4"/>
      <c r="AJ1574" s="4">
        <f>=ROUNDDOWN({0},0)</f>
      </c>
      <c r="AK1574" s="5"/>
      <c r="AL1574" s="2" t="s">
        <v>235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/>
      <c r="BD1574" s="8"/>
      <c r="BE1574" s="4"/>
      <c r="BF1574" s="8"/>
      <c r="BG1574" s="7"/>
      <c r="BH1574" s="7"/>
      <c r="BI1574" s="7"/>
      <c r="BJ1574" s="4">
        <v>16</v>
      </c>
      <c r="BK1574" s="8">
        <v>629.8</v>
      </c>
      <c r="BL1574" s="2" t="s">
        <v>5857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5858</v>
      </c>
      <c r="BV1574" s="2" t="s">
        <v>867</v>
      </c>
      <c r="BW1574" s="2" t="s">
        <v>235</v>
      </c>
      <c r="BX1574" s="2" t="s">
        <v>383</v>
      </c>
      <c r="BY1574" s="2" t="s">
        <v>245</v>
      </c>
      <c r="BZ1574" s="2" t="s">
        <v>232</v>
      </c>
      <c r="CA1574" s="2" t="s">
        <v>5859</v>
      </c>
      <c r="CB1574" s="2" t="s">
        <v>5860</v>
      </c>
      <c r="CC1574" s="2" t="s">
        <v>248</v>
      </c>
      <c r="CD1574" s="2" t="s">
        <v>248</v>
      </c>
      <c r="CE1574" s="2" t="s">
        <v>235</v>
      </c>
      <c r="CF1574" s="4">
        <v>168</v>
      </c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>
        <v>169</v>
      </c>
      <c r="GE1574" s="4">
        <v>165</v>
      </c>
      <c r="GF1574" s="4">
        <v>161</v>
      </c>
      <c r="GG1574" s="4">
        <v>156</v>
      </c>
      <c r="GH1574" s="4">
        <v>151</v>
      </c>
      <c r="GI1574" s="4">
        <v>146</v>
      </c>
      <c r="GJ1574" s="4">
        <v>141</v>
      </c>
      <c r="GK1574" s="4">
        <v>136</v>
      </c>
      <c r="GL1574" s="4">
        <v>131</v>
      </c>
      <c r="GM1574" s="4">
        <v>127</v>
      </c>
      <c r="GN1574" s="4">
        <v>122</v>
      </c>
      <c r="GO1574" s="4">
        <v>117</v>
      </c>
      <c r="GP1574" s="4">
        <v>112</v>
      </c>
      <c r="GQ1574" s="4">
        <v>107</v>
      </c>
      <c r="GR1574" s="4">
        <v>102</v>
      </c>
      <c r="GS1574" s="4">
        <v>97</v>
      </c>
      <c r="GT1574" s="4">
        <v>93</v>
      </c>
      <c r="GU1574" s="4">
        <v>89</v>
      </c>
      <c r="GV1574" s="4">
        <v>85</v>
      </c>
      <c r="GW1574" s="4">
        <v>81</v>
      </c>
      <c r="GX1574" s="4">
        <v>77</v>
      </c>
      <c r="GY1574" s="4">
        <v>73</v>
      </c>
      <c r="GZ1574" s="4">
        <v>69</v>
      </c>
      <c r="HA1574" s="4">
        <v>65</v>
      </c>
      <c r="HB1574" s="4">
        <v>61</v>
      </c>
      <c r="HC1574" s="4">
        <v>57</v>
      </c>
      <c r="HD1574" s="19">
        <v>42.3</v>
      </c>
      <c r="HE1574" s="19">
        <v>33</v>
      </c>
      <c r="HF1574" s="19">
        <v>32.2</v>
      </c>
      <c r="HG1574" s="19">
        <v>31.2</v>
      </c>
      <c r="HH1574" s="19">
        <v>30.2</v>
      </c>
      <c r="HI1574" s="19">
        <v>29.2</v>
      </c>
      <c r="HJ1574" s="19">
        <v>28.2</v>
      </c>
      <c r="HK1574" s="19">
        <v>27.2</v>
      </c>
      <c r="HL1574" s="19">
        <v>26.2</v>
      </c>
      <c r="HM1574" s="19">
        <v>25.4</v>
      </c>
      <c r="HN1574" s="19">
        <v>24.4</v>
      </c>
      <c r="HO1574" s="19">
        <v>23.4</v>
      </c>
      <c r="HP1574" s="19">
        <v>22.4</v>
      </c>
      <c r="HQ1574" s="19">
        <v>26.8</v>
      </c>
      <c r="HR1574" s="19">
        <v>25.5</v>
      </c>
      <c r="HS1574" s="19">
        <v>24.3</v>
      </c>
      <c r="HT1574" s="19">
        <v>23.3</v>
      </c>
      <c r="HU1574" s="19">
        <v>22.3</v>
      </c>
      <c r="HV1574" s="19">
        <v>21.3</v>
      </c>
      <c r="HW1574" s="19">
        <v>20.3</v>
      </c>
      <c r="HX1574" s="19">
        <v>19.3</v>
      </c>
      <c r="HY1574" s="19">
        <v>18.3</v>
      </c>
      <c r="HZ1574" s="19">
        <v>17.3</v>
      </c>
      <c r="IA1574" s="19">
        <v>16.3</v>
      </c>
      <c r="IB1574" s="19">
        <v>15.3</v>
      </c>
      <c r="IC1574" s="19">
        <v>14.3</v>
      </c>
    </row>
    <row r="1575">
      <c r="A1575" s="2" t="s">
        <v>5861</v>
      </c>
      <c r="B1575" s="2" t="s">
        <v>1071</v>
      </c>
      <c r="C1575" s="2" t="s">
        <v>893</v>
      </c>
      <c r="D1575" s="2" t="s">
        <v>5862</v>
      </c>
      <c r="E1575" s="2" t="s">
        <v>5863</v>
      </c>
      <c r="F1575" s="2" t="s">
        <v>5864</v>
      </c>
      <c r="G1575" s="2" t="s">
        <v>5864</v>
      </c>
      <c r="H1575" s="2" t="s">
        <v>5864</v>
      </c>
      <c r="I1575" s="2" t="s">
        <v>5865</v>
      </c>
      <c r="J1575" s="2" t="s">
        <v>5866</v>
      </c>
      <c r="K1575" s="2" t="s">
        <v>302</v>
      </c>
      <c r="L1575" s="3">
        <v>157.5</v>
      </c>
      <c r="M1575" s="3">
        <v>165.38</v>
      </c>
      <c r="N1575" s="3">
        <v>329</v>
      </c>
      <c r="O1575" s="2" t="s">
        <v>407</v>
      </c>
      <c r="P1575" s="2" t="s">
        <v>408</v>
      </c>
      <c r="Q1575" s="2" t="s">
        <v>234</v>
      </c>
      <c r="R1575" s="2" t="s">
        <v>235</v>
      </c>
      <c r="S1575" s="2" t="s">
        <v>235</v>
      </c>
      <c r="T1575" s="2" t="s">
        <v>235</v>
      </c>
      <c r="U1575" s="2" t="s">
        <v>807</v>
      </c>
      <c r="V1575" s="2" t="s">
        <v>808</v>
      </c>
      <c r="W1575" s="2" t="s">
        <v>682</v>
      </c>
      <c r="X1575" s="2" t="s">
        <v>239</v>
      </c>
      <c r="Y1575" s="2" t="s">
        <v>5867</v>
      </c>
      <c r="Z1575" s="4">
        <v>129</v>
      </c>
      <c r="AA1575" s="4">
        <f>=ROUNDDOWN(258,0)</f>
      </c>
      <c r="AB1575" s="5">
        <v>0.5</v>
      </c>
      <c r="AC1575" s="2" t="s">
        <v>235</v>
      </c>
      <c r="AD1575" s="4"/>
      <c r="AE1575" s="4"/>
      <c r="AF1575" s="6">
        <v>76</v>
      </c>
      <c r="AG1575" s="6"/>
      <c r="AH1575" s="7">
        <v>1</v>
      </c>
      <c r="AI1575" s="4"/>
      <c r="AJ1575" s="4">
        <f>=ROUNDDOWN({0},0)</f>
      </c>
      <c r="AK1575" s="5"/>
      <c r="AL1575" s="2" t="s">
        <v>235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235</v>
      </c>
      <c r="AW1575" s="8" t="s">
        <v>235</v>
      </c>
      <c r="AX1575" s="4" t="s">
        <v>235</v>
      </c>
      <c r="AY1575" s="8" t="s">
        <v>235</v>
      </c>
      <c r="AZ1575" s="7" t="s">
        <v>235</v>
      </c>
      <c r="BA1575" s="7" t="s">
        <v>235</v>
      </c>
      <c r="BB1575" s="7"/>
      <c r="BC1575" s="4" t="s">
        <v>235</v>
      </c>
      <c r="BD1575" s="8" t="s">
        <v>235</v>
      </c>
      <c r="BE1575" s="4" t="s">
        <v>235</v>
      </c>
      <c r="BF1575" s="8" t="s">
        <v>235</v>
      </c>
      <c r="BG1575" s="7" t="s">
        <v>235</v>
      </c>
      <c r="BH1575" s="7" t="s">
        <v>235</v>
      </c>
      <c r="BI1575" s="7"/>
      <c r="BJ1575" s="4">
        <v>3</v>
      </c>
      <c r="BK1575" s="8">
        <v>496.11</v>
      </c>
      <c r="BL1575" s="2" t="s">
        <v>900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5868</v>
      </c>
      <c r="BV1575" s="2" t="s">
        <v>1448</v>
      </c>
      <c r="BW1575" s="2" t="s">
        <v>235</v>
      </c>
      <c r="BX1575" s="2" t="s">
        <v>414</v>
      </c>
      <c r="BY1575" s="2" t="s">
        <v>245</v>
      </c>
      <c r="BZ1575" s="2" t="s">
        <v>232</v>
      </c>
      <c r="CA1575" s="2" t="s">
        <v>2140</v>
      </c>
      <c r="CB1575" s="2" t="s">
        <v>5580</v>
      </c>
      <c r="CC1575" s="2" t="s">
        <v>248</v>
      </c>
      <c r="CD1575" s="2" t="s">
        <v>248</v>
      </c>
      <c r="CE1575" s="2" t="s">
        <v>235</v>
      </c>
      <c r="CF1575" s="4"/>
      <c r="CG1575" s="4">
        <v>129</v>
      </c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>
        <v>129</v>
      </c>
      <c r="GE1575" s="4">
        <v>128</v>
      </c>
      <c r="GF1575" s="4">
        <v>127</v>
      </c>
      <c r="GG1575" s="4">
        <v>126</v>
      </c>
      <c r="GH1575" s="4">
        <v>125</v>
      </c>
      <c r="GI1575" s="4">
        <v>124</v>
      </c>
      <c r="GJ1575" s="4">
        <v>123</v>
      </c>
      <c r="GK1575" s="4">
        <v>122</v>
      </c>
      <c r="GL1575" s="4">
        <v>121</v>
      </c>
      <c r="GM1575" s="4">
        <v>120</v>
      </c>
      <c r="GN1575" s="4">
        <v>119</v>
      </c>
      <c r="GO1575" s="4">
        <v>118</v>
      </c>
      <c r="GP1575" s="4">
        <v>117</v>
      </c>
      <c r="GQ1575" s="4">
        <v>115</v>
      </c>
      <c r="GR1575" s="4">
        <v>113</v>
      </c>
      <c r="GS1575" s="4">
        <v>111</v>
      </c>
      <c r="GT1575" s="4">
        <v>110</v>
      </c>
      <c r="GU1575" s="4">
        <v>109</v>
      </c>
      <c r="GV1575" s="4">
        <v>108</v>
      </c>
      <c r="GW1575" s="4">
        <v>107</v>
      </c>
      <c r="GX1575" s="4">
        <v>106</v>
      </c>
      <c r="GY1575" s="4">
        <v>105</v>
      </c>
      <c r="GZ1575" s="4">
        <v>104</v>
      </c>
      <c r="HA1575" s="4">
        <v>103</v>
      </c>
      <c r="HB1575" s="4">
        <v>102</v>
      </c>
      <c r="HC1575" s="4">
        <v>101</v>
      </c>
      <c r="HD1575" s="19">
        <v>129</v>
      </c>
      <c r="HE1575" s="19">
        <v>128</v>
      </c>
      <c r="HF1575" s="19">
        <v>127</v>
      </c>
      <c r="HG1575" s="19">
        <v>126</v>
      </c>
      <c r="HH1575" s="19">
        <v>125</v>
      </c>
      <c r="HI1575" s="19">
        <v>124</v>
      </c>
      <c r="HJ1575" s="19">
        <v>123</v>
      </c>
      <c r="HK1575" s="19">
        <v>122</v>
      </c>
      <c r="HL1575" s="19">
        <v>121</v>
      </c>
      <c r="HM1575" s="19">
        <v>120</v>
      </c>
      <c r="HN1575" s="19">
        <v>59.5</v>
      </c>
      <c r="HO1575" s="19">
        <v>59</v>
      </c>
      <c r="HP1575" s="19">
        <v>58.5</v>
      </c>
      <c r="HQ1575" s="19">
        <v>57.5</v>
      </c>
      <c r="HR1575" s="19">
        <v>113</v>
      </c>
      <c r="HS1575" s="19">
        <v>111</v>
      </c>
      <c r="HT1575" s="19">
        <v>110</v>
      </c>
      <c r="HU1575" s="19">
        <v>109</v>
      </c>
      <c r="HV1575" s="19">
        <v>108</v>
      </c>
      <c r="HW1575" s="19">
        <v>107</v>
      </c>
      <c r="HX1575" s="19">
        <v>106</v>
      </c>
      <c r="HY1575" s="19">
        <v>105</v>
      </c>
      <c r="HZ1575" s="19">
        <v>104</v>
      </c>
      <c r="IA1575" s="19">
        <v>103</v>
      </c>
      <c r="IB1575" s="19">
        <v>102</v>
      </c>
      <c r="IC1575" s="19">
        <v>101</v>
      </c>
    </row>
    <row r="1576">
      <c r="A1576" s="2" t="s">
        <v>5869</v>
      </c>
      <c r="B1576" s="2" t="s">
        <v>1071</v>
      </c>
      <c r="C1576" s="2" t="s">
        <v>893</v>
      </c>
      <c r="D1576" s="2" t="s">
        <v>5862</v>
      </c>
      <c r="E1576" s="2" t="s">
        <v>5863</v>
      </c>
      <c r="F1576" s="2" t="s">
        <v>5864</v>
      </c>
      <c r="G1576" s="2" t="s">
        <v>5864</v>
      </c>
      <c r="H1576" s="2" t="s">
        <v>5864</v>
      </c>
      <c r="I1576" s="2" t="s">
        <v>5870</v>
      </c>
      <c r="J1576" s="2" t="s">
        <v>5871</v>
      </c>
      <c r="K1576" s="2" t="s">
        <v>302</v>
      </c>
      <c r="L1576" s="3">
        <v>166.5</v>
      </c>
      <c r="M1576" s="3">
        <v>174.83</v>
      </c>
      <c r="N1576" s="3">
        <v>349</v>
      </c>
      <c r="O1576" s="2" t="s">
        <v>485</v>
      </c>
      <c r="P1576" s="2" t="s">
        <v>408</v>
      </c>
      <c r="Q1576" s="2" t="s">
        <v>234</v>
      </c>
      <c r="R1576" s="2" t="s">
        <v>235</v>
      </c>
      <c r="S1576" s="2" t="s">
        <v>235</v>
      </c>
      <c r="T1576" s="2" t="s">
        <v>235</v>
      </c>
      <c r="U1576" s="2" t="s">
        <v>807</v>
      </c>
      <c r="V1576" s="2" t="s">
        <v>808</v>
      </c>
      <c r="W1576" s="2" t="s">
        <v>682</v>
      </c>
      <c r="X1576" s="2" t="s">
        <v>239</v>
      </c>
      <c r="Y1576" s="2" t="s">
        <v>5867</v>
      </c>
      <c r="Z1576" s="4"/>
      <c r="AA1576" s="4">
        <f>=ROUNDDOWN({0},0)</f>
      </c>
      <c r="AB1576" s="5">
        <v>1.4</v>
      </c>
      <c r="AC1576" s="2" t="s">
        <v>235</v>
      </c>
      <c r="AD1576" s="4"/>
      <c r="AE1576" s="4"/>
      <c r="AF1576" s="6">
        <v>76</v>
      </c>
      <c r="AG1576" s="6"/>
      <c r="AH1576" s="7">
        <v>0</v>
      </c>
      <c r="AI1576" s="4"/>
      <c r="AJ1576" s="4">
        <f>=ROUNDDOWN({0},0)</f>
      </c>
      <c r="AK1576" s="5"/>
      <c r="AL1576" s="2" t="s">
        <v>235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235</v>
      </c>
      <c r="AW1576" s="8" t="s">
        <v>235</v>
      </c>
      <c r="AX1576" s="4" t="s">
        <v>235</v>
      </c>
      <c r="AY1576" s="8" t="s">
        <v>235</v>
      </c>
      <c r="AZ1576" s="7" t="s">
        <v>235</v>
      </c>
      <c r="BA1576" s="7" t="s">
        <v>235</v>
      </c>
      <c r="BB1576" s="7"/>
      <c r="BC1576" s="4" t="s">
        <v>235</v>
      </c>
      <c r="BD1576" s="8" t="s">
        <v>235</v>
      </c>
      <c r="BE1576" s="4" t="s">
        <v>235</v>
      </c>
      <c r="BF1576" s="8" t="s">
        <v>235</v>
      </c>
      <c r="BG1576" s="7" t="s">
        <v>235</v>
      </c>
      <c r="BH1576" s="7" t="s">
        <v>235</v>
      </c>
      <c r="BI1576" s="7"/>
      <c r="BJ1576" s="4"/>
      <c r="BK1576" s="8"/>
      <c r="BL1576" s="2" t="s">
        <v>900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5872</v>
      </c>
      <c r="BV1576" s="2" t="s">
        <v>1424</v>
      </c>
      <c r="BW1576" s="2" t="s">
        <v>235</v>
      </c>
      <c r="BX1576" s="2" t="s">
        <v>414</v>
      </c>
      <c r="BY1576" s="2" t="s">
        <v>245</v>
      </c>
      <c r="BZ1576" s="2" t="s">
        <v>232</v>
      </c>
      <c r="CA1576" s="2" t="s">
        <v>2140</v>
      </c>
      <c r="CB1576" s="2" t="s">
        <v>1030</v>
      </c>
      <c r="CC1576" s="2" t="s">
        <v>248</v>
      </c>
      <c r="CD1576" s="2" t="s">
        <v>248</v>
      </c>
      <c r="CE1576" s="2" t="s">
        <v>235</v>
      </c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20">
        <v>0</v>
      </c>
      <c r="HE1576" s="20">
        <v>0</v>
      </c>
      <c r="HF1576" s="20">
        <v>0</v>
      </c>
      <c r="HG1576" s="20">
        <v>0</v>
      </c>
      <c r="HH1576" s="20">
        <v>0</v>
      </c>
      <c r="HI1576" s="20">
        <v>0</v>
      </c>
      <c r="HJ1576" s="20">
        <v>0</v>
      </c>
      <c r="HK1576" s="20">
        <v>0</v>
      </c>
      <c r="HL1576" s="20">
        <v>0</v>
      </c>
      <c r="HM1576" s="20">
        <v>0</v>
      </c>
      <c r="HN1576" s="20">
        <v>0</v>
      </c>
      <c r="HO1576" s="20">
        <v>0</v>
      </c>
      <c r="HP1576" s="20">
        <v>0</v>
      </c>
      <c r="HQ1576" s="20">
        <v>0</v>
      </c>
      <c r="HR1576" s="20">
        <v>0</v>
      </c>
      <c r="HS1576" s="20">
        <v>0</v>
      </c>
      <c r="HT1576" s="20">
        <v>0</v>
      </c>
      <c r="HU1576" s="20">
        <v>0</v>
      </c>
      <c r="HV1576" s="20">
        <v>0</v>
      </c>
      <c r="HW1576" s="20">
        <v>0</v>
      </c>
      <c r="HX1576" s="20">
        <v>0</v>
      </c>
      <c r="HY1576" s="20">
        <v>0</v>
      </c>
      <c r="HZ1576" s="20">
        <v>0</v>
      </c>
      <c r="IA1576" s="20">
        <v>0</v>
      </c>
      <c r="IB1576" s="20">
        <v>0</v>
      </c>
      <c r="IC1576" s="20">
        <v>0</v>
      </c>
    </row>
    <row r="1577">
      <c r="A1577" s="2" t="s">
        <v>5873</v>
      </c>
      <c r="B1577" s="2" t="s">
        <v>1071</v>
      </c>
      <c r="C1577" s="2" t="s">
        <v>893</v>
      </c>
      <c r="D1577" s="2" t="s">
        <v>5862</v>
      </c>
      <c r="E1577" s="2" t="s">
        <v>5874</v>
      </c>
      <c r="F1577" s="2" t="s">
        <v>5864</v>
      </c>
      <c r="G1577" s="2" t="s">
        <v>5864</v>
      </c>
      <c r="H1577" s="2" t="s">
        <v>5864</v>
      </c>
      <c r="I1577" s="2" t="s">
        <v>5875</v>
      </c>
      <c r="J1577" s="2" t="s">
        <v>5876</v>
      </c>
      <c r="K1577" s="2" t="s">
        <v>302</v>
      </c>
      <c r="L1577" s="3">
        <v>480.69</v>
      </c>
      <c r="M1577" s="3">
        <v>504.72</v>
      </c>
      <c r="N1577" s="3">
        <v>999</v>
      </c>
      <c r="O1577" s="2" t="s">
        <v>232</v>
      </c>
      <c r="P1577" s="2" t="s">
        <v>5877</v>
      </c>
      <c r="Q1577" s="2" t="s">
        <v>234</v>
      </c>
      <c r="R1577" s="2" t="s">
        <v>235</v>
      </c>
      <c r="S1577" s="2" t="s">
        <v>235</v>
      </c>
      <c r="T1577" s="2" t="s">
        <v>235</v>
      </c>
      <c r="U1577" s="2" t="s">
        <v>552</v>
      </c>
      <c r="V1577" s="2" t="s">
        <v>808</v>
      </c>
      <c r="W1577" s="2" t="s">
        <v>682</v>
      </c>
      <c r="X1577" s="2" t="s">
        <v>239</v>
      </c>
      <c r="Y1577" s="2" t="s">
        <v>5867</v>
      </c>
      <c r="Z1577" s="4"/>
      <c r="AA1577" s="4">
        <f>=ROUNDDOWN({0},0)</f>
      </c>
      <c r="AB1577" s="5"/>
      <c r="AC1577" s="2" t="s">
        <v>235</v>
      </c>
      <c r="AD1577" s="4"/>
      <c r="AE1577" s="4"/>
      <c r="AF1577" s="6"/>
      <c r="AG1577" s="6"/>
      <c r="AH1577" s="7"/>
      <c r="AI1577" s="4"/>
      <c r="AJ1577" s="4">
        <f>=ROUNDDOWN({0},0)</f>
      </c>
      <c r="AK1577" s="5"/>
      <c r="AL1577" s="2" t="s">
        <v>235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235</v>
      </c>
      <c r="AW1577" s="8" t="s">
        <v>235</v>
      </c>
      <c r="AX1577" s="4" t="s">
        <v>235</v>
      </c>
      <c r="AY1577" s="8" t="s">
        <v>235</v>
      </c>
      <c r="AZ1577" s="7" t="s">
        <v>235</v>
      </c>
      <c r="BA1577" s="7" t="s">
        <v>235</v>
      </c>
      <c r="BB1577" s="7" t="s">
        <v>235</v>
      </c>
      <c r="BC1577" s="4" t="s">
        <v>235</v>
      </c>
      <c r="BD1577" s="8" t="s">
        <v>235</v>
      </c>
      <c r="BE1577" s="4" t="s">
        <v>235</v>
      </c>
      <c r="BF1577" s="8" t="s">
        <v>235</v>
      </c>
      <c r="BG1577" s="7" t="s">
        <v>235</v>
      </c>
      <c r="BH1577" s="7" t="s">
        <v>235</v>
      </c>
      <c r="BI1577" s="7"/>
      <c r="BJ1577" s="4"/>
      <c r="BK1577" s="8"/>
      <c r="BL1577" s="2" t="s">
        <v>235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5878</v>
      </c>
      <c r="BV1577" s="2" t="s">
        <v>1448</v>
      </c>
      <c r="BW1577" s="2" t="s">
        <v>235</v>
      </c>
      <c r="BX1577" s="2" t="s">
        <v>244</v>
      </c>
      <c r="BY1577" s="2" t="s">
        <v>245</v>
      </c>
      <c r="BZ1577" s="2" t="s">
        <v>232</v>
      </c>
      <c r="CA1577" s="2" t="s">
        <v>1030</v>
      </c>
      <c r="CB1577" s="2" t="s">
        <v>235</v>
      </c>
      <c r="CC1577" s="2" t="s">
        <v>248</v>
      </c>
      <c r="CD1577" s="2" t="s">
        <v>248</v>
      </c>
      <c r="CE1577" s="2" t="s">
        <v>235</v>
      </c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9"/>
      <c r="HE1577" s="9"/>
      <c r="HF1577" s="9"/>
      <c r="HG1577" s="9"/>
      <c r="HH1577" s="9"/>
      <c r="HI1577" s="9"/>
      <c r="HJ1577" s="9"/>
      <c r="HK1577" s="9"/>
      <c r="HL1577" s="9"/>
      <c r="HM1577" s="9"/>
      <c r="HN1577" s="9"/>
      <c r="HO1577" s="9"/>
      <c r="HP1577" s="9"/>
      <c r="HQ1577" s="9"/>
      <c r="HR1577" s="9"/>
      <c r="HS1577" s="9"/>
      <c r="HT1577" s="9"/>
      <c r="HU1577" s="9"/>
      <c r="HV1577" s="9"/>
      <c r="HW1577" s="9"/>
      <c r="HX1577" s="9"/>
      <c r="HY1577" s="9"/>
      <c r="HZ1577" s="9"/>
      <c r="IA1577" s="9"/>
      <c r="IB1577" s="9"/>
      <c r="IC1577" s="9"/>
    </row>
    <row r="1578">
      <c r="A1578" s="2" t="s">
        <v>5879</v>
      </c>
      <c r="B1578" s="2" t="s">
        <v>1071</v>
      </c>
      <c r="C1578" s="2" t="s">
        <v>893</v>
      </c>
      <c r="D1578" s="2" t="s">
        <v>5862</v>
      </c>
      <c r="E1578" s="2" t="s">
        <v>5874</v>
      </c>
      <c r="F1578" s="2" t="s">
        <v>5864</v>
      </c>
      <c r="G1578" s="2" t="s">
        <v>5864</v>
      </c>
      <c r="H1578" s="2" t="s">
        <v>5864</v>
      </c>
      <c r="I1578" s="2" t="s">
        <v>5880</v>
      </c>
      <c r="J1578" s="2" t="s">
        <v>5876</v>
      </c>
      <c r="K1578" s="2" t="s">
        <v>302</v>
      </c>
      <c r="L1578" s="3">
        <v>442.76</v>
      </c>
      <c r="M1578" s="3">
        <v>464.9</v>
      </c>
      <c r="N1578" s="3">
        <v>929</v>
      </c>
      <c r="O1578" s="2" t="s">
        <v>232</v>
      </c>
      <c r="P1578" s="2" t="s">
        <v>5877</v>
      </c>
      <c r="Q1578" s="2" t="s">
        <v>234</v>
      </c>
      <c r="R1578" s="2" t="s">
        <v>235</v>
      </c>
      <c r="S1578" s="2" t="s">
        <v>235</v>
      </c>
      <c r="T1578" s="2" t="s">
        <v>235</v>
      </c>
      <c r="U1578" s="2" t="s">
        <v>552</v>
      </c>
      <c r="V1578" s="2" t="s">
        <v>808</v>
      </c>
      <c r="W1578" s="2" t="s">
        <v>682</v>
      </c>
      <c r="X1578" s="2" t="s">
        <v>239</v>
      </c>
      <c r="Y1578" s="2" t="s">
        <v>5867</v>
      </c>
      <c r="Z1578" s="4"/>
      <c r="AA1578" s="4">
        <f>=ROUNDDOWN({0},0)</f>
      </c>
      <c r="AB1578" s="5"/>
      <c r="AC1578" s="2" t="s">
        <v>235</v>
      </c>
      <c r="AD1578" s="4"/>
      <c r="AE1578" s="4"/>
      <c r="AF1578" s="6"/>
      <c r="AG1578" s="6"/>
      <c r="AH1578" s="7"/>
      <c r="AI1578" s="4"/>
      <c r="AJ1578" s="4">
        <f>=ROUNDDOWN({0},0)</f>
      </c>
      <c r="AK1578" s="5"/>
      <c r="AL1578" s="2" t="s">
        <v>235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235</v>
      </c>
      <c r="AW1578" s="8" t="s">
        <v>235</v>
      </c>
      <c r="AX1578" s="4" t="s">
        <v>235</v>
      </c>
      <c r="AY1578" s="8" t="s">
        <v>235</v>
      </c>
      <c r="AZ1578" s="7" t="s">
        <v>235</v>
      </c>
      <c r="BA1578" s="7" t="s">
        <v>235</v>
      </c>
      <c r="BB1578" s="7" t="s">
        <v>235</v>
      </c>
      <c r="BC1578" s="4" t="s">
        <v>235</v>
      </c>
      <c r="BD1578" s="8" t="s">
        <v>235</v>
      </c>
      <c r="BE1578" s="4" t="s">
        <v>235</v>
      </c>
      <c r="BF1578" s="8" t="s">
        <v>235</v>
      </c>
      <c r="BG1578" s="7" t="s">
        <v>235</v>
      </c>
      <c r="BH1578" s="7" t="s">
        <v>235</v>
      </c>
      <c r="BI1578" s="7"/>
      <c r="BJ1578" s="4"/>
      <c r="BK1578" s="8"/>
      <c r="BL1578" s="2" t="s">
        <v>235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5881</v>
      </c>
      <c r="BV1578" s="2" t="s">
        <v>1448</v>
      </c>
      <c r="BW1578" s="2" t="s">
        <v>235</v>
      </c>
      <c r="BX1578" s="2" t="s">
        <v>244</v>
      </c>
      <c r="BY1578" s="2" t="s">
        <v>245</v>
      </c>
      <c r="BZ1578" s="2" t="s">
        <v>232</v>
      </c>
      <c r="CA1578" s="2" t="s">
        <v>1030</v>
      </c>
      <c r="CB1578" s="2" t="s">
        <v>5882</v>
      </c>
      <c r="CC1578" s="2" t="s">
        <v>248</v>
      </c>
      <c r="CD1578" s="2" t="s">
        <v>248</v>
      </c>
      <c r="CE1578" s="2" t="s">
        <v>235</v>
      </c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9"/>
      <c r="HE1578" s="9"/>
      <c r="HF1578" s="9"/>
      <c r="HG1578" s="9"/>
      <c r="HH1578" s="9"/>
      <c r="HI1578" s="9"/>
      <c r="HJ1578" s="9"/>
      <c r="HK1578" s="9"/>
      <c r="HL1578" s="9"/>
      <c r="HM1578" s="9"/>
      <c r="HN1578" s="9"/>
      <c r="HO1578" s="9"/>
      <c r="HP1578" s="9"/>
      <c r="HQ1578" s="9"/>
      <c r="HR1578" s="9"/>
      <c r="HS1578" s="9"/>
      <c r="HT1578" s="9"/>
      <c r="HU1578" s="9"/>
      <c r="HV1578" s="9"/>
      <c r="HW1578" s="9"/>
      <c r="HX1578" s="9"/>
      <c r="HY1578" s="9"/>
      <c r="HZ1578" s="9"/>
      <c r="IA1578" s="9"/>
      <c r="IB1578" s="9"/>
      <c r="IC1578" s="9"/>
    </row>
    <row r="1579">
      <c r="A1579" s="2" t="s">
        <v>5883</v>
      </c>
      <c r="B1579" s="2" t="s">
        <v>1071</v>
      </c>
      <c r="C1579" s="2" t="s">
        <v>893</v>
      </c>
      <c r="D1579" s="2" t="s">
        <v>5862</v>
      </c>
      <c r="E1579" s="2" t="s">
        <v>5863</v>
      </c>
      <c r="F1579" s="2" t="s">
        <v>5864</v>
      </c>
      <c r="G1579" s="2" t="s">
        <v>5864</v>
      </c>
      <c r="H1579" s="2" t="s">
        <v>5864</v>
      </c>
      <c r="I1579" s="2" t="s">
        <v>5884</v>
      </c>
      <c r="J1579" s="2" t="s">
        <v>5885</v>
      </c>
      <c r="K1579" s="2" t="s">
        <v>302</v>
      </c>
      <c r="L1579" s="3">
        <v>118.8</v>
      </c>
      <c r="M1579" s="3">
        <v>124.74</v>
      </c>
      <c r="N1579" s="3">
        <v>249</v>
      </c>
      <c r="O1579" s="2" t="s">
        <v>485</v>
      </c>
      <c r="P1579" s="2" t="s">
        <v>408</v>
      </c>
      <c r="Q1579" s="2" t="s">
        <v>234</v>
      </c>
      <c r="R1579" s="2" t="s">
        <v>235</v>
      </c>
      <c r="S1579" s="2" t="s">
        <v>235</v>
      </c>
      <c r="T1579" s="2" t="s">
        <v>235</v>
      </c>
      <c r="U1579" s="2" t="s">
        <v>807</v>
      </c>
      <c r="V1579" s="2" t="s">
        <v>808</v>
      </c>
      <c r="W1579" s="2" t="s">
        <v>682</v>
      </c>
      <c r="X1579" s="2" t="s">
        <v>239</v>
      </c>
      <c r="Y1579" s="2" t="s">
        <v>5867</v>
      </c>
      <c r="Z1579" s="4">
        <v>9</v>
      </c>
      <c r="AA1579" s="4">
        <f>=ROUNDDOWN(22.5,0)</f>
      </c>
      <c r="AB1579" s="5">
        <v>0.4</v>
      </c>
      <c r="AC1579" s="2" t="s">
        <v>235</v>
      </c>
      <c r="AD1579" s="4"/>
      <c r="AE1579" s="4"/>
      <c r="AF1579" s="6">
        <v>76</v>
      </c>
      <c r="AG1579" s="6"/>
      <c r="AH1579" s="7">
        <v>1</v>
      </c>
      <c r="AI1579" s="4"/>
      <c r="AJ1579" s="4">
        <f>=ROUNDDOWN({0},0)</f>
      </c>
      <c r="AK1579" s="5"/>
      <c r="AL1579" s="2" t="s">
        <v>235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235</v>
      </c>
      <c r="AW1579" s="8" t="s">
        <v>235</v>
      </c>
      <c r="AX1579" s="4" t="s">
        <v>235</v>
      </c>
      <c r="AY1579" s="8" t="s">
        <v>235</v>
      </c>
      <c r="AZ1579" s="7" t="s">
        <v>235</v>
      </c>
      <c r="BA1579" s="7" t="s">
        <v>235</v>
      </c>
      <c r="BB1579" s="7"/>
      <c r="BC1579" s="4" t="s">
        <v>235</v>
      </c>
      <c r="BD1579" s="8" t="s">
        <v>235</v>
      </c>
      <c r="BE1579" s="4" t="s">
        <v>235</v>
      </c>
      <c r="BF1579" s="8" t="s">
        <v>235</v>
      </c>
      <c r="BG1579" s="7" t="s">
        <v>235</v>
      </c>
      <c r="BH1579" s="7" t="s">
        <v>235</v>
      </c>
      <c r="BI1579" s="7"/>
      <c r="BJ1579" s="4">
        <v>3</v>
      </c>
      <c r="BK1579" s="8">
        <v>400.5</v>
      </c>
      <c r="BL1579" s="2" t="s">
        <v>3639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5886</v>
      </c>
      <c r="BV1579" s="2" t="s">
        <v>1448</v>
      </c>
      <c r="BW1579" s="2" t="s">
        <v>235</v>
      </c>
      <c r="BX1579" s="2" t="s">
        <v>414</v>
      </c>
      <c r="BY1579" s="2" t="s">
        <v>245</v>
      </c>
      <c r="BZ1579" s="2" t="s">
        <v>232</v>
      </c>
      <c r="CA1579" s="2" t="s">
        <v>2140</v>
      </c>
      <c r="CB1579" s="2" t="s">
        <v>3956</v>
      </c>
      <c r="CC1579" s="2" t="s">
        <v>248</v>
      </c>
      <c r="CD1579" s="2" t="s">
        <v>248</v>
      </c>
      <c r="CE1579" s="2" t="s">
        <v>235</v>
      </c>
      <c r="CF1579" s="4"/>
      <c r="CG1579" s="4">
        <v>9</v>
      </c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>
        <v>9</v>
      </c>
      <c r="GE1579" s="4">
        <v>9</v>
      </c>
      <c r="GF1579" s="4">
        <v>9</v>
      </c>
      <c r="GG1579" s="4">
        <v>9</v>
      </c>
      <c r="GH1579" s="4">
        <v>9</v>
      </c>
      <c r="GI1579" s="4">
        <v>9</v>
      </c>
      <c r="GJ1579" s="4">
        <v>9</v>
      </c>
      <c r="GK1579" s="4">
        <v>9</v>
      </c>
      <c r="GL1579" s="4">
        <v>9</v>
      </c>
      <c r="GM1579" s="4">
        <v>9</v>
      </c>
      <c r="GN1579" s="4">
        <v>9</v>
      </c>
      <c r="GO1579" s="4">
        <v>9</v>
      </c>
      <c r="GP1579" s="4">
        <v>9</v>
      </c>
      <c r="GQ1579" s="4">
        <v>9</v>
      </c>
      <c r="GR1579" s="4">
        <v>9</v>
      </c>
      <c r="GS1579" s="4">
        <v>9</v>
      </c>
      <c r="GT1579" s="4">
        <v>9</v>
      </c>
      <c r="GU1579" s="4">
        <v>9</v>
      </c>
      <c r="GV1579" s="4">
        <v>9</v>
      </c>
      <c r="GW1579" s="4">
        <v>9</v>
      </c>
      <c r="GX1579" s="4">
        <v>9</v>
      </c>
      <c r="GY1579" s="4">
        <v>9</v>
      </c>
      <c r="GZ1579" s="4">
        <v>9</v>
      </c>
      <c r="HA1579" s="4">
        <v>9</v>
      </c>
      <c r="HB1579" s="4">
        <v>9</v>
      </c>
      <c r="HC1579" s="4">
        <v>9</v>
      </c>
      <c r="HD1579" s="9"/>
      <c r="HE1579" s="9"/>
      <c r="HF1579" s="9"/>
      <c r="HG1579" s="9"/>
      <c r="HH1579" s="9"/>
      <c r="HI1579" s="9"/>
      <c r="HJ1579" s="9"/>
      <c r="HK1579" s="9"/>
      <c r="HL1579" s="9"/>
      <c r="HM1579" s="9"/>
      <c r="HN1579" s="9"/>
      <c r="HO1579" s="9"/>
      <c r="HP1579" s="9"/>
      <c r="HQ1579" s="9"/>
      <c r="HR1579" s="9"/>
      <c r="HS1579" s="9"/>
      <c r="HT1579" s="9"/>
      <c r="HU1579" s="9"/>
      <c r="HV1579" s="9"/>
      <c r="HW1579" s="9"/>
      <c r="HX1579" s="9"/>
      <c r="HY1579" s="9"/>
      <c r="HZ1579" s="9"/>
      <c r="IA1579" s="9"/>
      <c r="IB1579" s="9"/>
      <c r="IC1579" s="9"/>
    </row>
    <row r="1580">
      <c r="A1580" s="2" t="s">
        <v>5887</v>
      </c>
      <c r="B1580" s="2" t="s">
        <v>1071</v>
      </c>
      <c r="C1580" s="2" t="s">
        <v>893</v>
      </c>
      <c r="D1580" s="2" t="s">
        <v>5862</v>
      </c>
      <c r="E1580" s="2" t="s">
        <v>5874</v>
      </c>
      <c r="F1580" s="2" t="s">
        <v>5864</v>
      </c>
      <c r="G1580" s="2" t="s">
        <v>5864</v>
      </c>
      <c r="H1580" s="2" t="s">
        <v>5864</v>
      </c>
      <c r="I1580" s="2" t="s">
        <v>5888</v>
      </c>
      <c r="J1580" s="2" t="s">
        <v>630</v>
      </c>
      <c r="K1580" s="2" t="s">
        <v>302</v>
      </c>
      <c r="L1580" s="3">
        <v>591.02</v>
      </c>
      <c r="M1580" s="3">
        <v>620.57</v>
      </c>
      <c r="N1580" s="3">
        <v>1239</v>
      </c>
      <c r="O1580" s="2" t="s">
        <v>232</v>
      </c>
      <c r="P1580" s="2" t="s">
        <v>5877</v>
      </c>
      <c r="Q1580" s="2" t="s">
        <v>234</v>
      </c>
      <c r="R1580" s="2" t="s">
        <v>235</v>
      </c>
      <c r="S1580" s="2" t="s">
        <v>235</v>
      </c>
      <c r="T1580" s="2" t="s">
        <v>235</v>
      </c>
      <c r="U1580" s="2" t="s">
        <v>264</v>
      </c>
      <c r="V1580" s="2" t="s">
        <v>808</v>
      </c>
      <c r="W1580" s="2" t="s">
        <v>682</v>
      </c>
      <c r="X1580" s="2" t="s">
        <v>239</v>
      </c>
      <c r="Y1580" s="2" t="s">
        <v>5867</v>
      </c>
      <c r="Z1580" s="4"/>
      <c r="AA1580" s="4">
        <f>=ROUNDDOWN({0},0)</f>
      </c>
      <c r="AB1580" s="5"/>
      <c r="AC1580" s="2" t="s">
        <v>235</v>
      </c>
      <c r="AD1580" s="4"/>
      <c r="AE1580" s="4"/>
      <c r="AF1580" s="6"/>
      <c r="AG1580" s="6"/>
      <c r="AH1580" s="7"/>
      <c r="AI1580" s="4"/>
      <c r="AJ1580" s="4">
        <f>=ROUNDDOWN({0},0)</f>
      </c>
      <c r="AK1580" s="5"/>
      <c r="AL1580" s="2" t="s">
        <v>235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235</v>
      </c>
      <c r="AW1580" s="8" t="s">
        <v>235</v>
      </c>
      <c r="AX1580" s="4" t="s">
        <v>235</v>
      </c>
      <c r="AY1580" s="8" t="s">
        <v>235</v>
      </c>
      <c r="AZ1580" s="7" t="s">
        <v>235</v>
      </c>
      <c r="BA1580" s="7" t="s">
        <v>235</v>
      </c>
      <c r="BB1580" s="7"/>
      <c r="BC1580" s="4" t="s">
        <v>235</v>
      </c>
      <c r="BD1580" s="8" t="s">
        <v>235</v>
      </c>
      <c r="BE1580" s="4" t="s">
        <v>235</v>
      </c>
      <c r="BF1580" s="8" t="s">
        <v>235</v>
      </c>
      <c r="BG1580" s="7" t="s">
        <v>235</v>
      </c>
      <c r="BH1580" s="7" t="s">
        <v>235</v>
      </c>
      <c r="BI1580" s="7"/>
      <c r="BJ1580" s="4"/>
      <c r="BK1580" s="8"/>
      <c r="BL1580" s="2" t="s">
        <v>235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5889</v>
      </c>
      <c r="BV1580" s="2" t="s">
        <v>1448</v>
      </c>
      <c r="BW1580" s="2" t="s">
        <v>235</v>
      </c>
      <c r="BX1580" s="2" t="s">
        <v>244</v>
      </c>
      <c r="BY1580" s="2" t="s">
        <v>245</v>
      </c>
      <c r="BZ1580" s="2" t="s">
        <v>232</v>
      </c>
      <c r="CA1580" s="2" t="s">
        <v>1030</v>
      </c>
      <c r="CB1580" s="2" t="s">
        <v>1228</v>
      </c>
      <c r="CC1580" s="2" t="s">
        <v>248</v>
      </c>
      <c r="CD1580" s="2" t="s">
        <v>248</v>
      </c>
      <c r="CE1580" s="2" t="s">
        <v>235</v>
      </c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9"/>
      <c r="HE1580" s="9"/>
      <c r="HF1580" s="9"/>
      <c r="HG1580" s="9"/>
      <c r="HH1580" s="9"/>
      <c r="HI1580" s="9"/>
      <c r="HJ1580" s="9"/>
      <c r="HK1580" s="9"/>
      <c r="HL1580" s="9"/>
      <c r="HM1580" s="9"/>
      <c r="HN1580" s="9"/>
      <c r="HO1580" s="9"/>
      <c r="HP1580" s="9"/>
      <c r="HQ1580" s="9"/>
      <c r="HR1580" s="9"/>
      <c r="HS1580" s="9"/>
      <c r="HT1580" s="9"/>
      <c r="HU1580" s="9"/>
      <c r="HV1580" s="9"/>
      <c r="HW1580" s="9"/>
      <c r="HX1580" s="9"/>
      <c r="HY1580" s="9"/>
      <c r="HZ1580" s="9"/>
      <c r="IA1580" s="9"/>
      <c r="IB1580" s="9"/>
      <c r="IC1580" s="9"/>
    </row>
    <row r="1581">
      <c r="A1581" s="2" t="s">
        <v>5890</v>
      </c>
      <c r="B1581" s="2" t="s">
        <v>1071</v>
      </c>
      <c r="C1581" s="2" t="s">
        <v>893</v>
      </c>
      <c r="D1581" s="2" t="s">
        <v>5862</v>
      </c>
      <c r="E1581" s="2" t="s">
        <v>5874</v>
      </c>
      <c r="F1581" s="2" t="s">
        <v>5864</v>
      </c>
      <c r="G1581" s="2" t="s">
        <v>5864</v>
      </c>
      <c r="H1581" s="2" t="s">
        <v>5864</v>
      </c>
      <c r="I1581" s="2" t="s">
        <v>5891</v>
      </c>
      <c r="J1581" s="2" t="s">
        <v>5892</v>
      </c>
      <c r="K1581" s="2" t="s">
        <v>302</v>
      </c>
      <c r="L1581" s="3">
        <v>326.34</v>
      </c>
      <c r="M1581" s="3">
        <v>342.66</v>
      </c>
      <c r="N1581" s="3">
        <v>689</v>
      </c>
      <c r="O1581" s="2" t="s">
        <v>232</v>
      </c>
      <c r="P1581" s="2" t="s">
        <v>5877</v>
      </c>
      <c r="Q1581" s="2" t="s">
        <v>234</v>
      </c>
      <c r="R1581" s="2" t="s">
        <v>235</v>
      </c>
      <c r="S1581" s="2" t="s">
        <v>235</v>
      </c>
      <c r="T1581" s="2" t="s">
        <v>235</v>
      </c>
      <c r="U1581" s="2" t="s">
        <v>278</v>
      </c>
      <c r="V1581" s="2" t="s">
        <v>808</v>
      </c>
      <c r="W1581" s="2" t="s">
        <v>682</v>
      </c>
      <c r="X1581" s="2" t="s">
        <v>239</v>
      </c>
      <c r="Y1581" s="2" t="s">
        <v>5867</v>
      </c>
      <c r="Z1581" s="4"/>
      <c r="AA1581" s="4">
        <f>=ROUNDDOWN({0},0)</f>
      </c>
      <c r="AB1581" s="5"/>
      <c r="AC1581" s="2" t="s">
        <v>235</v>
      </c>
      <c r="AD1581" s="4"/>
      <c r="AE1581" s="4"/>
      <c r="AF1581" s="6"/>
      <c r="AG1581" s="6"/>
      <c r="AH1581" s="7"/>
      <c r="AI1581" s="4"/>
      <c r="AJ1581" s="4">
        <f>=ROUNDDOWN({0},0)</f>
      </c>
      <c r="AK1581" s="5"/>
      <c r="AL1581" s="2" t="s">
        <v>235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235</v>
      </c>
      <c r="AW1581" s="8" t="s">
        <v>235</v>
      </c>
      <c r="AX1581" s="4" t="s">
        <v>235</v>
      </c>
      <c r="AY1581" s="8" t="s">
        <v>235</v>
      </c>
      <c r="AZ1581" s="7" t="s">
        <v>235</v>
      </c>
      <c r="BA1581" s="7" t="s">
        <v>235</v>
      </c>
      <c r="BB1581" s="7"/>
      <c r="BC1581" s="4" t="s">
        <v>235</v>
      </c>
      <c r="BD1581" s="8" t="s">
        <v>235</v>
      </c>
      <c r="BE1581" s="4" t="s">
        <v>235</v>
      </c>
      <c r="BF1581" s="8" t="s">
        <v>235</v>
      </c>
      <c r="BG1581" s="7" t="s">
        <v>235</v>
      </c>
      <c r="BH1581" s="7" t="s">
        <v>235</v>
      </c>
      <c r="BI1581" s="7"/>
      <c r="BJ1581" s="4"/>
      <c r="BK1581" s="8"/>
      <c r="BL1581" s="2" t="s">
        <v>235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5893</v>
      </c>
      <c r="BV1581" s="2" t="s">
        <v>1448</v>
      </c>
      <c r="BW1581" s="2" t="s">
        <v>235</v>
      </c>
      <c r="BX1581" s="2" t="s">
        <v>244</v>
      </c>
      <c r="BY1581" s="2" t="s">
        <v>245</v>
      </c>
      <c r="BZ1581" s="2" t="s">
        <v>232</v>
      </c>
      <c r="CA1581" s="2" t="s">
        <v>1030</v>
      </c>
      <c r="CB1581" s="2" t="s">
        <v>235</v>
      </c>
      <c r="CC1581" s="2" t="s">
        <v>248</v>
      </c>
      <c r="CD1581" s="2" t="s">
        <v>248</v>
      </c>
      <c r="CE1581" s="2" t="s">
        <v>235</v>
      </c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9"/>
      <c r="HE1581" s="9"/>
      <c r="HF1581" s="9"/>
      <c r="HG1581" s="9"/>
      <c r="HH1581" s="9"/>
      <c r="HI1581" s="9"/>
      <c r="HJ1581" s="9"/>
      <c r="HK1581" s="9"/>
      <c r="HL1581" s="9"/>
      <c r="HM1581" s="9"/>
      <c r="HN1581" s="9"/>
      <c r="HO1581" s="9"/>
      <c r="HP1581" s="9"/>
      <c r="HQ1581" s="9"/>
      <c r="HR1581" s="9"/>
      <c r="HS1581" s="9"/>
      <c r="HT1581" s="9"/>
      <c r="HU1581" s="9"/>
      <c r="HV1581" s="9"/>
      <c r="HW1581" s="9"/>
      <c r="HX1581" s="9"/>
      <c r="HY1581" s="9"/>
      <c r="HZ1581" s="9"/>
      <c r="IA1581" s="9"/>
      <c r="IB1581" s="9"/>
      <c r="IC1581" s="9"/>
    </row>
    <row r="1582">
      <c r="A1582" s="2" t="s">
        <v>5894</v>
      </c>
      <c r="B1582" s="2" t="s">
        <v>1071</v>
      </c>
      <c r="C1582" s="2" t="s">
        <v>893</v>
      </c>
      <c r="D1582" s="2" t="s">
        <v>5862</v>
      </c>
      <c r="E1582" s="2" t="s">
        <v>5874</v>
      </c>
      <c r="F1582" s="2" t="s">
        <v>5864</v>
      </c>
      <c r="G1582" s="2" t="s">
        <v>5864</v>
      </c>
      <c r="H1582" s="2" t="s">
        <v>5864</v>
      </c>
      <c r="I1582" s="2" t="s">
        <v>5895</v>
      </c>
      <c r="J1582" s="2" t="s">
        <v>5896</v>
      </c>
      <c r="K1582" s="2" t="s">
        <v>302</v>
      </c>
      <c r="L1582" s="3">
        <v>785.99</v>
      </c>
      <c r="M1582" s="3">
        <v>825.29</v>
      </c>
      <c r="N1582" s="3">
        <v>1649</v>
      </c>
      <c r="O1582" s="2" t="s">
        <v>232</v>
      </c>
      <c r="P1582" s="2" t="s">
        <v>5877</v>
      </c>
      <c r="Q1582" s="2" t="s">
        <v>234</v>
      </c>
      <c r="R1582" s="2" t="s">
        <v>235</v>
      </c>
      <c r="S1582" s="2" t="s">
        <v>235</v>
      </c>
      <c r="T1582" s="2" t="s">
        <v>235</v>
      </c>
      <c r="U1582" s="2" t="s">
        <v>282</v>
      </c>
      <c r="V1582" s="2" t="s">
        <v>808</v>
      </c>
      <c r="W1582" s="2" t="s">
        <v>682</v>
      </c>
      <c r="X1582" s="2" t="s">
        <v>239</v>
      </c>
      <c r="Y1582" s="2" t="s">
        <v>5867</v>
      </c>
      <c r="Z1582" s="4"/>
      <c r="AA1582" s="4">
        <f>=ROUNDDOWN({0},0)</f>
      </c>
      <c r="AB1582" s="5">
        <v>0.8</v>
      </c>
      <c r="AC1582" s="2" t="s">
        <v>235</v>
      </c>
      <c r="AD1582" s="4"/>
      <c r="AE1582" s="4"/>
      <c r="AF1582" s="6"/>
      <c r="AG1582" s="6"/>
      <c r="AH1582" s="7"/>
      <c r="AI1582" s="4"/>
      <c r="AJ1582" s="4">
        <f>=ROUNDDOWN({0},0)</f>
      </c>
      <c r="AK1582" s="5"/>
      <c r="AL1582" s="2" t="s">
        <v>235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235</v>
      </c>
      <c r="AW1582" s="8" t="s">
        <v>235</v>
      </c>
      <c r="AX1582" s="4" t="s">
        <v>235</v>
      </c>
      <c r="AY1582" s="8" t="s">
        <v>235</v>
      </c>
      <c r="AZ1582" s="7" t="s">
        <v>235</v>
      </c>
      <c r="BA1582" s="7" t="s">
        <v>235</v>
      </c>
      <c r="BB1582" s="7" t="s">
        <v>235</v>
      </c>
      <c r="BC1582" s="4" t="s">
        <v>235</v>
      </c>
      <c r="BD1582" s="8" t="s">
        <v>235</v>
      </c>
      <c r="BE1582" s="4" t="s">
        <v>235</v>
      </c>
      <c r="BF1582" s="8" t="s">
        <v>235</v>
      </c>
      <c r="BG1582" s="7" t="s">
        <v>235</v>
      </c>
      <c r="BH1582" s="7" t="s">
        <v>235</v>
      </c>
      <c r="BI1582" s="7"/>
      <c r="BJ1582" s="4"/>
      <c r="BK1582" s="8"/>
      <c r="BL1582" s="2" t="s">
        <v>235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5897</v>
      </c>
      <c r="BV1582" s="2" t="s">
        <v>1448</v>
      </c>
      <c r="BW1582" s="2" t="s">
        <v>235</v>
      </c>
      <c r="BX1582" s="2" t="s">
        <v>244</v>
      </c>
      <c r="BY1582" s="2" t="s">
        <v>245</v>
      </c>
      <c r="BZ1582" s="2" t="s">
        <v>232</v>
      </c>
      <c r="CA1582" s="2" t="s">
        <v>1030</v>
      </c>
      <c r="CB1582" s="2" t="s">
        <v>235</v>
      </c>
      <c r="CC1582" s="2" t="s">
        <v>248</v>
      </c>
      <c r="CD1582" s="2" t="s">
        <v>248</v>
      </c>
      <c r="CE1582" s="2" t="s">
        <v>235</v>
      </c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9"/>
      <c r="HE1582" s="9"/>
      <c r="HF1582" s="9"/>
      <c r="HG1582" s="9"/>
      <c r="HH1582" s="9"/>
      <c r="HI1582" s="9"/>
      <c r="HJ1582" s="9"/>
      <c r="HK1582" s="9"/>
      <c r="HL1582" s="9"/>
      <c r="HM1582" s="9"/>
      <c r="HN1582" s="9"/>
      <c r="HO1582" s="9"/>
      <c r="HP1582" s="9"/>
      <c r="HQ1582" s="9"/>
      <c r="HR1582" s="9"/>
      <c r="HS1582" s="9"/>
      <c r="HT1582" s="9"/>
      <c r="HU1582" s="9"/>
      <c r="HV1582" s="9"/>
      <c r="HW1582" s="9"/>
      <c r="HX1582" s="9"/>
      <c r="HY1582" s="9"/>
      <c r="HZ1582" s="9"/>
      <c r="IA1582" s="9"/>
      <c r="IB1582" s="9"/>
      <c r="IC1582" s="9"/>
    </row>
    <row r="1583">
      <c r="A1583" s="2" t="s">
        <v>5898</v>
      </c>
      <c r="B1583" s="2" t="s">
        <v>1071</v>
      </c>
      <c r="C1583" s="2" t="s">
        <v>893</v>
      </c>
      <c r="D1583" s="2" t="s">
        <v>5862</v>
      </c>
      <c r="E1583" s="2" t="s">
        <v>5874</v>
      </c>
      <c r="F1583" s="2" t="s">
        <v>5864</v>
      </c>
      <c r="G1583" s="2" t="s">
        <v>5864</v>
      </c>
      <c r="H1583" s="2" t="s">
        <v>5864</v>
      </c>
      <c r="I1583" s="2" t="s">
        <v>5899</v>
      </c>
      <c r="J1583" s="2" t="s">
        <v>5896</v>
      </c>
      <c r="K1583" s="2" t="s">
        <v>302</v>
      </c>
      <c r="L1583" s="3">
        <v>777.31</v>
      </c>
      <c r="M1583" s="3">
        <v>816.18</v>
      </c>
      <c r="N1583" s="3">
        <v>1629</v>
      </c>
      <c r="O1583" s="2" t="s">
        <v>232</v>
      </c>
      <c r="P1583" s="2" t="s">
        <v>5877</v>
      </c>
      <c r="Q1583" s="2" t="s">
        <v>234</v>
      </c>
      <c r="R1583" s="2" t="s">
        <v>235</v>
      </c>
      <c r="S1583" s="2" t="s">
        <v>235</v>
      </c>
      <c r="T1583" s="2" t="s">
        <v>235</v>
      </c>
      <c r="U1583" s="2" t="s">
        <v>282</v>
      </c>
      <c r="V1583" s="2" t="s">
        <v>808</v>
      </c>
      <c r="W1583" s="2" t="s">
        <v>682</v>
      </c>
      <c r="X1583" s="2" t="s">
        <v>239</v>
      </c>
      <c r="Y1583" s="2" t="s">
        <v>5867</v>
      </c>
      <c r="Z1583" s="4"/>
      <c r="AA1583" s="4">
        <f>=ROUNDDOWN({0},0)</f>
      </c>
      <c r="AB1583" s="5"/>
      <c r="AC1583" s="2" t="s">
        <v>235</v>
      </c>
      <c r="AD1583" s="4"/>
      <c r="AE1583" s="4"/>
      <c r="AF1583" s="6"/>
      <c r="AG1583" s="6"/>
      <c r="AH1583" s="7"/>
      <c r="AI1583" s="4"/>
      <c r="AJ1583" s="4">
        <f>=ROUNDDOWN({0},0)</f>
      </c>
      <c r="AK1583" s="5"/>
      <c r="AL1583" s="2" t="s">
        <v>235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235</v>
      </c>
      <c r="AW1583" s="8" t="s">
        <v>235</v>
      </c>
      <c r="AX1583" s="4" t="s">
        <v>235</v>
      </c>
      <c r="AY1583" s="8" t="s">
        <v>235</v>
      </c>
      <c r="AZ1583" s="7" t="s">
        <v>235</v>
      </c>
      <c r="BA1583" s="7" t="s">
        <v>235</v>
      </c>
      <c r="BB1583" s="7" t="s">
        <v>235</v>
      </c>
      <c r="BC1583" s="4" t="s">
        <v>235</v>
      </c>
      <c r="BD1583" s="8" t="s">
        <v>235</v>
      </c>
      <c r="BE1583" s="4" t="s">
        <v>235</v>
      </c>
      <c r="BF1583" s="8" t="s">
        <v>235</v>
      </c>
      <c r="BG1583" s="7" t="s">
        <v>235</v>
      </c>
      <c r="BH1583" s="7" t="s">
        <v>235</v>
      </c>
      <c r="BI1583" s="7"/>
      <c r="BJ1583" s="4"/>
      <c r="BK1583" s="8"/>
      <c r="BL1583" s="2" t="s">
        <v>235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5900</v>
      </c>
      <c r="BV1583" s="2" t="s">
        <v>1448</v>
      </c>
      <c r="BW1583" s="2" t="s">
        <v>235</v>
      </c>
      <c r="BX1583" s="2" t="s">
        <v>244</v>
      </c>
      <c r="BY1583" s="2" t="s">
        <v>245</v>
      </c>
      <c r="BZ1583" s="2" t="s">
        <v>232</v>
      </c>
      <c r="CA1583" s="2" t="s">
        <v>1030</v>
      </c>
      <c r="CB1583" s="2" t="s">
        <v>235</v>
      </c>
      <c r="CC1583" s="2" t="s">
        <v>248</v>
      </c>
      <c r="CD1583" s="2" t="s">
        <v>248</v>
      </c>
      <c r="CE1583" s="2" t="s">
        <v>235</v>
      </c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9"/>
      <c r="HE1583" s="9"/>
      <c r="HF1583" s="9"/>
      <c r="HG1583" s="9"/>
      <c r="HH1583" s="9"/>
      <c r="HI1583" s="9"/>
      <c r="HJ1583" s="9"/>
      <c r="HK1583" s="9"/>
      <c r="HL1583" s="9"/>
      <c r="HM1583" s="9"/>
      <c r="HN1583" s="9"/>
      <c r="HO1583" s="9"/>
      <c r="HP1583" s="9"/>
      <c r="HQ1583" s="9"/>
      <c r="HR1583" s="9"/>
      <c r="HS1583" s="9"/>
      <c r="HT1583" s="9"/>
      <c r="HU1583" s="9"/>
      <c r="HV1583" s="9"/>
      <c r="HW1583" s="9"/>
      <c r="HX1583" s="9"/>
      <c r="HY1583" s="9"/>
      <c r="HZ1583" s="9"/>
      <c r="IA1583" s="9"/>
      <c r="IB1583" s="9"/>
      <c r="IC1583" s="9"/>
    </row>
    <row r="1584">
      <c r="A1584" s="2" t="s">
        <v>5901</v>
      </c>
      <c r="B1584" s="2" t="s">
        <v>1071</v>
      </c>
      <c r="C1584" s="2" t="s">
        <v>893</v>
      </c>
      <c r="D1584" s="2" t="s">
        <v>5862</v>
      </c>
      <c r="E1584" s="2" t="s">
        <v>5863</v>
      </c>
      <c r="F1584" s="2" t="s">
        <v>5864</v>
      </c>
      <c r="G1584" s="2" t="s">
        <v>5864</v>
      </c>
      <c r="H1584" s="2" t="s">
        <v>5864</v>
      </c>
      <c r="I1584" s="2" t="s">
        <v>5865</v>
      </c>
      <c r="J1584" s="2" t="s">
        <v>5866</v>
      </c>
      <c r="K1584" s="2" t="s">
        <v>5902</v>
      </c>
      <c r="L1584" s="3">
        <v>157.5</v>
      </c>
      <c r="M1584" s="3">
        <v>165.38</v>
      </c>
      <c r="N1584" s="3">
        <v>329</v>
      </c>
      <c r="O1584" s="2" t="s">
        <v>407</v>
      </c>
      <c r="P1584" s="2" t="s">
        <v>408</v>
      </c>
      <c r="Q1584" s="2" t="s">
        <v>234</v>
      </c>
      <c r="R1584" s="2" t="s">
        <v>235</v>
      </c>
      <c r="S1584" s="2" t="s">
        <v>235</v>
      </c>
      <c r="T1584" s="2" t="s">
        <v>235</v>
      </c>
      <c r="U1584" s="2" t="s">
        <v>807</v>
      </c>
      <c r="V1584" s="2" t="s">
        <v>808</v>
      </c>
      <c r="W1584" s="2" t="s">
        <v>682</v>
      </c>
      <c r="X1584" s="2" t="s">
        <v>239</v>
      </c>
      <c r="Y1584" s="2" t="s">
        <v>5903</v>
      </c>
      <c r="Z1584" s="4">
        <v>19</v>
      </c>
      <c r="AA1584" s="4">
        <f>=ROUNDDOWN(23.75,0)</f>
      </c>
      <c r="AB1584" s="5">
        <v>0.8</v>
      </c>
      <c r="AC1584" s="2" t="s">
        <v>235</v>
      </c>
      <c r="AD1584" s="4"/>
      <c r="AE1584" s="4"/>
      <c r="AF1584" s="6">
        <v>76</v>
      </c>
      <c r="AG1584" s="6"/>
      <c r="AH1584" s="7">
        <v>1</v>
      </c>
      <c r="AI1584" s="4"/>
      <c r="AJ1584" s="4">
        <f>=ROUNDDOWN({0},0)</f>
      </c>
      <c r="AK1584" s="5"/>
      <c r="AL1584" s="2" t="s">
        <v>235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235</v>
      </c>
      <c r="AW1584" s="8" t="s">
        <v>235</v>
      </c>
      <c r="AX1584" s="4" t="s">
        <v>235</v>
      </c>
      <c r="AY1584" s="8" t="s">
        <v>235</v>
      </c>
      <c r="AZ1584" s="7" t="s">
        <v>235</v>
      </c>
      <c r="BA1584" s="7" t="s">
        <v>235</v>
      </c>
      <c r="BB1584" s="7"/>
      <c r="BC1584" s="4" t="s">
        <v>235</v>
      </c>
      <c r="BD1584" s="8" t="s">
        <v>235</v>
      </c>
      <c r="BE1584" s="4" t="s">
        <v>235</v>
      </c>
      <c r="BF1584" s="8" t="s">
        <v>235</v>
      </c>
      <c r="BG1584" s="7" t="s">
        <v>235</v>
      </c>
      <c r="BH1584" s="7" t="s">
        <v>235</v>
      </c>
      <c r="BI1584" s="7"/>
      <c r="BJ1584" s="4">
        <v>3</v>
      </c>
      <c r="BK1584" s="8">
        <v>441.53</v>
      </c>
      <c r="BL1584" s="2" t="s">
        <v>2031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5868</v>
      </c>
      <c r="BV1584" s="2" t="s">
        <v>1448</v>
      </c>
      <c r="BW1584" s="2" t="s">
        <v>235</v>
      </c>
      <c r="BX1584" s="2" t="s">
        <v>414</v>
      </c>
      <c r="BY1584" s="2" t="s">
        <v>245</v>
      </c>
      <c r="BZ1584" s="2" t="s">
        <v>232</v>
      </c>
      <c r="CA1584" s="2" t="s">
        <v>5904</v>
      </c>
      <c r="CB1584" s="2" t="s">
        <v>5905</v>
      </c>
      <c r="CC1584" s="2" t="s">
        <v>248</v>
      </c>
      <c r="CD1584" s="2" t="s">
        <v>248</v>
      </c>
      <c r="CE1584" s="2" t="s">
        <v>235</v>
      </c>
      <c r="CF1584" s="4"/>
      <c r="CG1584" s="4">
        <v>19</v>
      </c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>
        <v>19</v>
      </c>
      <c r="GE1584" s="4">
        <v>18</v>
      </c>
      <c r="GF1584" s="4">
        <v>17</v>
      </c>
      <c r="GG1584" s="4">
        <v>16</v>
      </c>
      <c r="GH1584" s="4">
        <v>15</v>
      </c>
      <c r="GI1584" s="4">
        <v>14</v>
      </c>
      <c r="GJ1584" s="4">
        <v>13</v>
      </c>
      <c r="GK1584" s="4">
        <v>12</v>
      </c>
      <c r="GL1584" s="4">
        <v>11</v>
      </c>
      <c r="GM1584" s="4">
        <v>10</v>
      </c>
      <c r="GN1584" s="4">
        <v>9</v>
      </c>
      <c r="GO1584" s="4">
        <v>8</v>
      </c>
      <c r="GP1584" s="4">
        <v>7</v>
      </c>
      <c r="GQ1584" s="4">
        <v>5</v>
      </c>
      <c r="GR1584" s="4">
        <v>3</v>
      </c>
      <c r="GS1584" s="4">
        <v>1</v>
      </c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19">
        <v>19</v>
      </c>
      <c r="HE1584" s="19">
        <v>18</v>
      </c>
      <c r="HF1584" s="19">
        <v>17</v>
      </c>
      <c r="HG1584" s="19">
        <v>16</v>
      </c>
      <c r="HH1584" s="19">
        <v>15</v>
      </c>
      <c r="HI1584" s="19">
        <v>14</v>
      </c>
      <c r="HJ1584" s="19">
        <v>13</v>
      </c>
      <c r="HK1584" s="19">
        <v>12</v>
      </c>
      <c r="HL1584" s="19">
        <v>11</v>
      </c>
      <c r="HM1584" s="19">
        <v>10</v>
      </c>
      <c r="HN1584" s="19">
        <v>4.5</v>
      </c>
      <c r="HO1584" s="19">
        <v>4</v>
      </c>
      <c r="HP1584" s="19">
        <v>3.5</v>
      </c>
      <c r="HQ1584" s="19">
        <v>2.5</v>
      </c>
      <c r="HR1584" s="19">
        <v>3</v>
      </c>
      <c r="HS1584" s="19">
        <v>1</v>
      </c>
      <c r="HT1584" s="20">
        <v>0</v>
      </c>
      <c r="HU1584" s="20">
        <v>0</v>
      </c>
      <c r="HV1584" s="20">
        <v>0</v>
      </c>
      <c r="HW1584" s="20">
        <v>0</v>
      </c>
      <c r="HX1584" s="20">
        <v>0</v>
      </c>
      <c r="HY1584" s="20">
        <v>0</v>
      </c>
      <c r="HZ1584" s="20">
        <v>0</v>
      </c>
      <c r="IA1584" s="20">
        <v>0</v>
      </c>
      <c r="IB1584" s="20">
        <v>0</v>
      </c>
      <c r="IC1584" s="20">
        <v>0</v>
      </c>
    </row>
    <row r="1585">
      <c r="A1585" s="2" t="s">
        <v>5906</v>
      </c>
      <c r="B1585" s="2" t="s">
        <v>1071</v>
      </c>
      <c r="C1585" s="2" t="s">
        <v>893</v>
      </c>
      <c r="D1585" s="2" t="s">
        <v>5862</v>
      </c>
      <c r="E1585" s="2" t="s">
        <v>5863</v>
      </c>
      <c r="F1585" s="2" t="s">
        <v>5864</v>
      </c>
      <c r="G1585" s="2" t="s">
        <v>5864</v>
      </c>
      <c r="H1585" s="2" t="s">
        <v>5864</v>
      </c>
      <c r="I1585" s="2" t="s">
        <v>5870</v>
      </c>
      <c r="J1585" s="2" t="s">
        <v>5871</v>
      </c>
      <c r="K1585" s="2" t="s">
        <v>5902</v>
      </c>
      <c r="L1585" s="3">
        <v>166.5</v>
      </c>
      <c r="M1585" s="3">
        <v>174.82</v>
      </c>
      <c r="N1585" s="3">
        <v>349</v>
      </c>
      <c r="O1585" s="2" t="s">
        <v>407</v>
      </c>
      <c r="P1585" s="2" t="s">
        <v>408</v>
      </c>
      <c r="Q1585" s="2" t="s">
        <v>234</v>
      </c>
      <c r="R1585" s="2" t="s">
        <v>235</v>
      </c>
      <c r="S1585" s="2" t="s">
        <v>235</v>
      </c>
      <c r="T1585" s="2" t="s">
        <v>235</v>
      </c>
      <c r="U1585" s="2" t="s">
        <v>807</v>
      </c>
      <c r="V1585" s="2" t="s">
        <v>808</v>
      </c>
      <c r="W1585" s="2" t="s">
        <v>682</v>
      </c>
      <c r="X1585" s="2" t="s">
        <v>239</v>
      </c>
      <c r="Y1585" s="2" t="s">
        <v>5903</v>
      </c>
      <c r="Z1585" s="4">
        <v>7</v>
      </c>
      <c r="AA1585" s="4">
        <f>=ROUNDDOWN(7.77777777777778,0)</f>
      </c>
      <c r="AB1585" s="5">
        <v>0.9</v>
      </c>
      <c r="AC1585" s="2" t="s">
        <v>235</v>
      </c>
      <c r="AD1585" s="4"/>
      <c r="AE1585" s="4"/>
      <c r="AF1585" s="6">
        <v>76</v>
      </c>
      <c r="AG1585" s="6"/>
      <c r="AH1585" s="7">
        <v>1</v>
      </c>
      <c r="AI1585" s="4"/>
      <c r="AJ1585" s="4">
        <f>=ROUNDDOWN({0},0)</f>
      </c>
      <c r="AK1585" s="5"/>
      <c r="AL1585" s="2" t="s">
        <v>235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235</v>
      </c>
      <c r="AW1585" s="8" t="s">
        <v>235</v>
      </c>
      <c r="AX1585" s="4" t="s">
        <v>235</v>
      </c>
      <c r="AY1585" s="8" t="s">
        <v>235</v>
      </c>
      <c r="AZ1585" s="7" t="s">
        <v>235</v>
      </c>
      <c r="BA1585" s="7" t="s">
        <v>235</v>
      </c>
      <c r="BB1585" s="7"/>
      <c r="BC1585" s="4" t="s">
        <v>235</v>
      </c>
      <c r="BD1585" s="8" t="s">
        <v>235</v>
      </c>
      <c r="BE1585" s="4" t="s">
        <v>235</v>
      </c>
      <c r="BF1585" s="8" t="s">
        <v>235</v>
      </c>
      <c r="BG1585" s="7" t="s">
        <v>235</v>
      </c>
      <c r="BH1585" s="7" t="s">
        <v>235</v>
      </c>
      <c r="BI1585" s="7"/>
      <c r="BJ1585" s="4">
        <v>1</v>
      </c>
      <c r="BK1585" s="8">
        <v>157.34</v>
      </c>
      <c r="BL1585" s="2" t="s">
        <v>900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5872</v>
      </c>
      <c r="BV1585" s="2" t="s">
        <v>1424</v>
      </c>
      <c r="BW1585" s="2" t="s">
        <v>235</v>
      </c>
      <c r="BX1585" s="2" t="s">
        <v>414</v>
      </c>
      <c r="BY1585" s="2" t="s">
        <v>245</v>
      </c>
      <c r="BZ1585" s="2" t="s">
        <v>232</v>
      </c>
      <c r="CA1585" s="2" t="s">
        <v>5904</v>
      </c>
      <c r="CB1585" s="2" t="s">
        <v>5907</v>
      </c>
      <c r="CC1585" s="2" t="s">
        <v>248</v>
      </c>
      <c r="CD1585" s="2" t="s">
        <v>248</v>
      </c>
      <c r="CE1585" s="2" t="s">
        <v>235</v>
      </c>
      <c r="CF1585" s="4"/>
      <c r="CG1585" s="4">
        <v>7</v>
      </c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>
        <v>7</v>
      </c>
      <c r="GE1585" s="4">
        <v>6</v>
      </c>
      <c r="GF1585" s="4">
        <v>5</v>
      </c>
      <c r="GG1585" s="4">
        <v>4</v>
      </c>
      <c r="GH1585" s="4">
        <v>3</v>
      </c>
      <c r="GI1585" s="4">
        <v>2</v>
      </c>
      <c r="GJ1585" s="4">
        <v>1</v>
      </c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19">
        <v>7</v>
      </c>
      <c r="HE1585" s="19">
        <v>6</v>
      </c>
      <c r="HF1585" s="19">
        <v>5</v>
      </c>
      <c r="HG1585" s="19">
        <v>4</v>
      </c>
      <c r="HH1585" s="19">
        <v>3</v>
      </c>
      <c r="HI1585" s="19">
        <v>2</v>
      </c>
      <c r="HJ1585" s="19">
        <v>1</v>
      </c>
      <c r="HK1585" s="20">
        <v>0</v>
      </c>
      <c r="HL1585" s="20">
        <v>0</v>
      </c>
      <c r="HM1585" s="20">
        <v>0</v>
      </c>
      <c r="HN1585" s="20">
        <v>0</v>
      </c>
      <c r="HO1585" s="20">
        <v>0</v>
      </c>
      <c r="HP1585" s="20">
        <v>0</v>
      </c>
      <c r="HQ1585" s="20">
        <v>0</v>
      </c>
      <c r="HR1585" s="20">
        <v>0</v>
      </c>
      <c r="HS1585" s="20">
        <v>0</v>
      </c>
      <c r="HT1585" s="20">
        <v>0</v>
      </c>
      <c r="HU1585" s="20">
        <v>0</v>
      </c>
      <c r="HV1585" s="20">
        <v>0</v>
      </c>
      <c r="HW1585" s="20">
        <v>0</v>
      </c>
      <c r="HX1585" s="20">
        <v>0</v>
      </c>
      <c r="HY1585" s="20">
        <v>0</v>
      </c>
      <c r="HZ1585" s="20">
        <v>0</v>
      </c>
      <c r="IA1585" s="20">
        <v>0</v>
      </c>
      <c r="IB1585" s="20">
        <v>0</v>
      </c>
      <c r="IC1585" s="20">
        <v>0</v>
      </c>
    </row>
    <row r="1586">
      <c r="A1586" s="2" t="s">
        <v>5908</v>
      </c>
      <c r="B1586" s="2" t="s">
        <v>1071</v>
      </c>
      <c r="C1586" s="2" t="s">
        <v>893</v>
      </c>
      <c r="D1586" s="2" t="s">
        <v>5862</v>
      </c>
      <c r="E1586" s="2" t="s">
        <v>5874</v>
      </c>
      <c r="F1586" s="2" t="s">
        <v>5864</v>
      </c>
      <c r="G1586" s="2" t="s">
        <v>5864</v>
      </c>
      <c r="H1586" s="2" t="s">
        <v>5864</v>
      </c>
      <c r="I1586" s="2" t="s">
        <v>5891</v>
      </c>
      <c r="J1586" s="2" t="s">
        <v>5909</v>
      </c>
      <c r="K1586" s="2" t="s">
        <v>5902</v>
      </c>
      <c r="L1586" s="3">
        <v>326.34</v>
      </c>
      <c r="M1586" s="3">
        <v>342.66</v>
      </c>
      <c r="N1586" s="3">
        <v>689</v>
      </c>
      <c r="O1586" s="2" t="s">
        <v>232</v>
      </c>
      <c r="P1586" s="2" t="s">
        <v>5877</v>
      </c>
      <c r="Q1586" s="2" t="s">
        <v>234</v>
      </c>
      <c r="R1586" s="2" t="s">
        <v>235</v>
      </c>
      <c r="S1586" s="2" t="s">
        <v>235</v>
      </c>
      <c r="T1586" s="2" t="s">
        <v>235</v>
      </c>
      <c r="U1586" s="2" t="s">
        <v>278</v>
      </c>
      <c r="V1586" s="2" t="s">
        <v>808</v>
      </c>
      <c r="W1586" s="2" t="s">
        <v>682</v>
      </c>
      <c r="X1586" s="2" t="s">
        <v>239</v>
      </c>
      <c r="Y1586" s="2" t="s">
        <v>5910</v>
      </c>
      <c r="Z1586" s="4">
        <v>3</v>
      </c>
      <c r="AA1586" s="4">
        <f>=ROUNDDOWN({0},0)</f>
      </c>
      <c r="AB1586" s="5"/>
      <c r="AC1586" s="2" t="s">
        <v>235</v>
      </c>
      <c r="AD1586" s="4"/>
      <c r="AE1586" s="4"/>
      <c r="AF1586" s="6"/>
      <c r="AG1586" s="6"/>
      <c r="AH1586" s="7">
        <v>1</v>
      </c>
      <c r="AI1586" s="4"/>
      <c r="AJ1586" s="4">
        <f>=ROUNDDOWN({0},0)</f>
      </c>
      <c r="AK1586" s="5"/>
      <c r="AL1586" s="2" t="s">
        <v>235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235</v>
      </c>
      <c r="AW1586" s="8" t="s">
        <v>235</v>
      </c>
      <c r="AX1586" s="4" t="s">
        <v>235</v>
      </c>
      <c r="AY1586" s="8" t="s">
        <v>235</v>
      </c>
      <c r="AZ1586" s="7" t="s">
        <v>235</v>
      </c>
      <c r="BA1586" s="7" t="s">
        <v>235</v>
      </c>
      <c r="BB1586" s="7"/>
      <c r="BC1586" s="4" t="s">
        <v>235</v>
      </c>
      <c r="BD1586" s="8" t="s">
        <v>235</v>
      </c>
      <c r="BE1586" s="4" t="s">
        <v>235</v>
      </c>
      <c r="BF1586" s="8" t="s">
        <v>235</v>
      </c>
      <c r="BG1586" s="7" t="s">
        <v>235</v>
      </c>
      <c r="BH1586" s="7" t="s">
        <v>235</v>
      </c>
      <c r="BI1586" s="7"/>
      <c r="BJ1586" s="4"/>
      <c r="BK1586" s="8"/>
      <c r="BL1586" s="2" t="s">
        <v>235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5893</v>
      </c>
      <c r="BV1586" s="2" t="s">
        <v>1448</v>
      </c>
      <c r="BW1586" s="2" t="s">
        <v>235</v>
      </c>
      <c r="BX1586" s="2" t="s">
        <v>244</v>
      </c>
      <c r="BY1586" s="2" t="s">
        <v>245</v>
      </c>
      <c r="BZ1586" s="2" t="s">
        <v>232</v>
      </c>
      <c r="CA1586" s="2" t="s">
        <v>1030</v>
      </c>
      <c r="CB1586" s="2" t="s">
        <v>235</v>
      </c>
      <c r="CC1586" s="2" t="s">
        <v>248</v>
      </c>
      <c r="CD1586" s="2" t="s">
        <v>248</v>
      </c>
      <c r="CE1586" s="2" t="s">
        <v>235</v>
      </c>
      <c r="CF1586" s="4"/>
      <c r="CG1586" s="4">
        <v>3</v>
      </c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9"/>
      <c r="HE1586" s="9"/>
      <c r="HF1586" s="9"/>
      <c r="HG1586" s="9"/>
      <c r="HH1586" s="9"/>
      <c r="HI1586" s="9"/>
      <c r="HJ1586" s="9"/>
      <c r="HK1586" s="9"/>
      <c r="HL1586" s="9"/>
      <c r="HM1586" s="9"/>
      <c r="HN1586" s="9"/>
      <c r="HO1586" s="9"/>
      <c r="HP1586" s="9"/>
      <c r="HQ1586" s="9"/>
      <c r="HR1586" s="9"/>
      <c r="HS1586" s="9"/>
      <c r="HT1586" s="9"/>
      <c r="HU1586" s="9"/>
      <c r="HV1586" s="9"/>
      <c r="HW1586" s="9"/>
      <c r="HX1586" s="9"/>
      <c r="HY1586" s="9"/>
      <c r="HZ1586" s="9"/>
      <c r="IA1586" s="9"/>
      <c r="IB1586" s="9"/>
      <c r="IC1586" s="9"/>
    </row>
    <row r="1587">
      <c r="A1587" s="2" t="s">
        <v>5911</v>
      </c>
      <c r="B1587" s="2" t="s">
        <v>1071</v>
      </c>
      <c r="C1587" s="2" t="s">
        <v>893</v>
      </c>
      <c r="D1587" s="2" t="s">
        <v>5862</v>
      </c>
      <c r="E1587" s="2" t="s">
        <v>5874</v>
      </c>
      <c r="F1587" s="2" t="s">
        <v>5864</v>
      </c>
      <c r="G1587" s="2" t="s">
        <v>5864</v>
      </c>
      <c r="H1587" s="2" t="s">
        <v>5864</v>
      </c>
      <c r="I1587" s="2" t="s">
        <v>5875</v>
      </c>
      <c r="J1587" s="2" t="s">
        <v>5876</v>
      </c>
      <c r="K1587" s="2" t="s">
        <v>5902</v>
      </c>
      <c r="L1587" s="3">
        <v>480.69</v>
      </c>
      <c r="M1587" s="3">
        <v>504.72</v>
      </c>
      <c r="N1587" s="3">
        <v>999</v>
      </c>
      <c r="O1587" s="2" t="s">
        <v>232</v>
      </c>
      <c r="P1587" s="2" t="s">
        <v>5877</v>
      </c>
      <c r="Q1587" s="2" t="s">
        <v>234</v>
      </c>
      <c r="R1587" s="2" t="s">
        <v>235</v>
      </c>
      <c r="S1587" s="2" t="s">
        <v>235</v>
      </c>
      <c r="T1587" s="2" t="s">
        <v>235</v>
      </c>
      <c r="U1587" s="2" t="s">
        <v>552</v>
      </c>
      <c r="V1587" s="2" t="s">
        <v>808</v>
      </c>
      <c r="W1587" s="2" t="s">
        <v>682</v>
      </c>
      <c r="X1587" s="2" t="s">
        <v>239</v>
      </c>
      <c r="Y1587" s="2" t="s">
        <v>5910</v>
      </c>
      <c r="Z1587" s="4">
        <v>3</v>
      </c>
      <c r="AA1587" s="4">
        <f>=ROUNDDOWN(30,0)</f>
      </c>
      <c r="AB1587" s="5">
        <v>0.1</v>
      </c>
      <c r="AC1587" s="2" t="s">
        <v>235</v>
      </c>
      <c r="AD1587" s="4"/>
      <c r="AE1587" s="4"/>
      <c r="AF1587" s="6"/>
      <c r="AG1587" s="6"/>
      <c r="AH1587" s="7">
        <v>1</v>
      </c>
      <c r="AI1587" s="4"/>
      <c r="AJ1587" s="4">
        <f>=ROUNDDOWN({0},0)</f>
      </c>
      <c r="AK1587" s="5"/>
      <c r="AL1587" s="2" t="s">
        <v>235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235</v>
      </c>
      <c r="AW1587" s="8" t="s">
        <v>235</v>
      </c>
      <c r="AX1587" s="4" t="s">
        <v>235</v>
      </c>
      <c r="AY1587" s="8" t="s">
        <v>235</v>
      </c>
      <c r="AZ1587" s="7" t="s">
        <v>235</v>
      </c>
      <c r="BA1587" s="7" t="s">
        <v>235</v>
      </c>
      <c r="BB1587" s="7" t="s">
        <v>235</v>
      </c>
      <c r="BC1587" s="4" t="s">
        <v>235</v>
      </c>
      <c r="BD1587" s="8" t="s">
        <v>235</v>
      </c>
      <c r="BE1587" s="4" t="s">
        <v>235</v>
      </c>
      <c r="BF1587" s="8" t="s">
        <v>235</v>
      </c>
      <c r="BG1587" s="7" t="s">
        <v>235</v>
      </c>
      <c r="BH1587" s="7" t="s">
        <v>235</v>
      </c>
      <c r="BI1587" s="7"/>
      <c r="BJ1587" s="4"/>
      <c r="BK1587" s="8"/>
      <c r="BL1587" s="2" t="s">
        <v>235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5878</v>
      </c>
      <c r="BV1587" s="2" t="s">
        <v>1448</v>
      </c>
      <c r="BW1587" s="2" t="s">
        <v>235</v>
      </c>
      <c r="BX1587" s="2" t="s">
        <v>244</v>
      </c>
      <c r="BY1587" s="2" t="s">
        <v>245</v>
      </c>
      <c r="BZ1587" s="2" t="s">
        <v>232</v>
      </c>
      <c r="CA1587" s="2" t="s">
        <v>1030</v>
      </c>
      <c r="CB1587" s="2" t="s">
        <v>2132</v>
      </c>
      <c r="CC1587" s="2" t="s">
        <v>248</v>
      </c>
      <c r="CD1587" s="2" t="s">
        <v>248</v>
      </c>
      <c r="CE1587" s="2" t="s">
        <v>235</v>
      </c>
      <c r="CF1587" s="4"/>
      <c r="CG1587" s="4">
        <v>3</v>
      </c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9"/>
      <c r="HE1587" s="9"/>
      <c r="HF1587" s="9"/>
      <c r="HG1587" s="9"/>
      <c r="HH1587" s="9"/>
      <c r="HI1587" s="9"/>
      <c r="HJ1587" s="9"/>
      <c r="HK1587" s="9"/>
      <c r="HL1587" s="9"/>
      <c r="HM1587" s="9"/>
      <c r="HN1587" s="9"/>
      <c r="HO1587" s="9"/>
      <c r="HP1587" s="9"/>
      <c r="HQ1587" s="9"/>
      <c r="HR1587" s="9"/>
      <c r="HS1587" s="9"/>
      <c r="HT1587" s="9"/>
      <c r="HU1587" s="9"/>
      <c r="HV1587" s="9"/>
      <c r="HW1587" s="9"/>
      <c r="HX1587" s="9"/>
      <c r="HY1587" s="9"/>
      <c r="HZ1587" s="9"/>
      <c r="IA1587" s="9"/>
      <c r="IB1587" s="9"/>
      <c r="IC1587" s="9"/>
    </row>
    <row r="1588">
      <c r="A1588" s="2" t="s">
        <v>5912</v>
      </c>
      <c r="B1588" s="2" t="s">
        <v>1071</v>
      </c>
      <c r="C1588" s="2" t="s">
        <v>893</v>
      </c>
      <c r="D1588" s="2" t="s">
        <v>5862</v>
      </c>
      <c r="E1588" s="2" t="s">
        <v>5874</v>
      </c>
      <c r="F1588" s="2" t="s">
        <v>5864</v>
      </c>
      <c r="G1588" s="2" t="s">
        <v>5864</v>
      </c>
      <c r="H1588" s="2" t="s">
        <v>5864</v>
      </c>
      <c r="I1588" s="2" t="s">
        <v>5880</v>
      </c>
      <c r="J1588" s="2" t="s">
        <v>5876</v>
      </c>
      <c r="K1588" s="2" t="s">
        <v>5902</v>
      </c>
      <c r="L1588" s="3">
        <v>442.76</v>
      </c>
      <c r="M1588" s="3">
        <v>464.9</v>
      </c>
      <c r="N1588" s="3">
        <v>929</v>
      </c>
      <c r="O1588" s="2" t="s">
        <v>232</v>
      </c>
      <c r="P1588" s="2" t="s">
        <v>5877</v>
      </c>
      <c r="Q1588" s="2" t="s">
        <v>234</v>
      </c>
      <c r="R1588" s="2" t="s">
        <v>235</v>
      </c>
      <c r="S1588" s="2" t="s">
        <v>235</v>
      </c>
      <c r="T1588" s="2" t="s">
        <v>235</v>
      </c>
      <c r="U1588" s="2" t="s">
        <v>552</v>
      </c>
      <c r="V1588" s="2" t="s">
        <v>808</v>
      </c>
      <c r="W1588" s="2" t="s">
        <v>682</v>
      </c>
      <c r="X1588" s="2" t="s">
        <v>239</v>
      </c>
      <c r="Y1588" s="2" t="s">
        <v>5910</v>
      </c>
      <c r="Z1588" s="4">
        <v>3</v>
      </c>
      <c r="AA1588" s="4">
        <f>=ROUNDDOWN({0},0)</f>
      </c>
      <c r="AB1588" s="5"/>
      <c r="AC1588" s="2" t="s">
        <v>235</v>
      </c>
      <c r="AD1588" s="4"/>
      <c r="AE1588" s="4"/>
      <c r="AF1588" s="6"/>
      <c r="AG1588" s="6"/>
      <c r="AH1588" s="7">
        <v>1</v>
      </c>
      <c r="AI1588" s="4"/>
      <c r="AJ1588" s="4">
        <f>=ROUNDDOWN({0},0)</f>
      </c>
      <c r="AK1588" s="5"/>
      <c r="AL1588" s="2" t="s">
        <v>235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235</v>
      </c>
      <c r="AW1588" s="8" t="s">
        <v>235</v>
      </c>
      <c r="AX1588" s="4" t="s">
        <v>235</v>
      </c>
      <c r="AY1588" s="8" t="s">
        <v>235</v>
      </c>
      <c r="AZ1588" s="7" t="s">
        <v>235</v>
      </c>
      <c r="BA1588" s="7" t="s">
        <v>235</v>
      </c>
      <c r="BB1588" s="7" t="s">
        <v>235</v>
      </c>
      <c r="BC1588" s="4" t="s">
        <v>235</v>
      </c>
      <c r="BD1588" s="8" t="s">
        <v>235</v>
      </c>
      <c r="BE1588" s="4" t="s">
        <v>235</v>
      </c>
      <c r="BF1588" s="8" t="s">
        <v>235</v>
      </c>
      <c r="BG1588" s="7" t="s">
        <v>235</v>
      </c>
      <c r="BH1588" s="7" t="s">
        <v>235</v>
      </c>
      <c r="BI1588" s="7"/>
      <c r="BJ1588" s="4"/>
      <c r="BK1588" s="8"/>
      <c r="BL1588" s="2" t="s">
        <v>235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5881</v>
      </c>
      <c r="BV1588" s="2" t="s">
        <v>1448</v>
      </c>
      <c r="BW1588" s="2" t="s">
        <v>235</v>
      </c>
      <c r="BX1588" s="2" t="s">
        <v>244</v>
      </c>
      <c r="BY1588" s="2" t="s">
        <v>245</v>
      </c>
      <c r="BZ1588" s="2" t="s">
        <v>232</v>
      </c>
      <c r="CA1588" s="2" t="s">
        <v>1030</v>
      </c>
      <c r="CB1588" s="2" t="s">
        <v>235</v>
      </c>
      <c r="CC1588" s="2" t="s">
        <v>248</v>
      </c>
      <c r="CD1588" s="2" t="s">
        <v>248</v>
      </c>
      <c r="CE1588" s="2" t="s">
        <v>235</v>
      </c>
      <c r="CF1588" s="4"/>
      <c r="CG1588" s="4">
        <v>3</v>
      </c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9"/>
      <c r="HE1588" s="9"/>
      <c r="HF1588" s="9"/>
      <c r="HG1588" s="9"/>
      <c r="HH1588" s="9"/>
      <c r="HI1588" s="9"/>
      <c r="HJ1588" s="9"/>
      <c r="HK1588" s="9"/>
      <c r="HL1588" s="9"/>
      <c r="HM1588" s="9"/>
      <c r="HN1588" s="9"/>
      <c r="HO1588" s="9"/>
      <c r="HP1588" s="9"/>
      <c r="HQ1588" s="9"/>
      <c r="HR1588" s="9"/>
      <c r="HS1588" s="9"/>
      <c r="HT1588" s="9"/>
      <c r="HU1588" s="9"/>
      <c r="HV1588" s="9"/>
      <c r="HW1588" s="9"/>
      <c r="HX1588" s="9"/>
      <c r="HY1588" s="9"/>
      <c r="HZ1588" s="9"/>
      <c r="IA1588" s="9"/>
      <c r="IB1588" s="9"/>
      <c r="IC1588" s="9"/>
    </row>
    <row r="1589">
      <c r="A1589" s="2" t="s">
        <v>5913</v>
      </c>
      <c r="B1589" s="2" t="s">
        <v>1071</v>
      </c>
      <c r="C1589" s="2" t="s">
        <v>893</v>
      </c>
      <c r="D1589" s="2" t="s">
        <v>5862</v>
      </c>
      <c r="E1589" s="2" t="s">
        <v>5874</v>
      </c>
      <c r="F1589" s="2" t="s">
        <v>5864</v>
      </c>
      <c r="G1589" s="2" t="s">
        <v>5864</v>
      </c>
      <c r="H1589" s="2" t="s">
        <v>5864</v>
      </c>
      <c r="I1589" s="2" t="s">
        <v>5888</v>
      </c>
      <c r="J1589" s="2" t="s">
        <v>630</v>
      </c>
      <c r="K1589" s="2" t="s">
        <v>5902</v>
      </c>
      <c r="L1589" s="3">
        <v>591.02</v>
      </c>
      <c r="M1589" s="3">
        <v>620.57</v>
      </c>
      <c r="N1589" s="3">
        <v>1239</v>
      </c>
      <c r="O1589" s="2" t="s">
        <v>232</v>
      </c>
      <c r="P1589" s="2" t="s">
        <v>5877</v>
      </c>
      <c r="Q1589" s="2" t="s">
        <v>234</v>
      </c>
      <c r="R1589" s="2" t="s">
        <v>235</v>
      </c>
      <c r="S1589" s="2" t="s">
        <v>235</v>
      </c>
      <c r="T1589" s="2" t="s">
        <v>235</v>
      </c>
      <c r="U1589" s="2" t="s">
        <v>264</v>
      </c>
      <c r="V1589" s="2" t="s">
        <v>808</v>
      </c>
      <c r="W1589" s="2" t="s">
        <v>682</v>
      </c>
      <c r="X1589" s="2" t="s">
        <v>239</v>
      </c>
      <c r="Y1589" s="2" t="s">
        <v>5910</v>
      </c>
      <c r="Z1589" s="4">
        <v>3</v>
      </c>
      <c r="AA1589" s="4">
        <f>=ROUNDDOWN(15,0)</f>
      </c>
      <c r="AB1589" s="5">
        <v>0.2</v>
      </c>
      <c r="AC1589" s="2" t="s">
        <v>235</v>
      </c>
      <c r="AD1589" s="4"/>
      <c r="AE1589" s="4"/>
      <c r="AF1589" s="6"/>
      <c r="AG1589" s="6"/>
      <c r="AH1589" s="7">
        <v>1</v>
      </c>
      <c r="AI1589" s="4"/>
      <c r="AJ1589" s="4">
        <f>=ROUNDDOWN({0},0)</f>
      </c>
      <c r="AK1589" s="5"/>
      <c r="AL1589" s="2" t="s">
        <v>235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235</v>
      </c>
      <c r="AW1589" s="8" t="s">
        <v>235</v>
      </c>
      <c r="AX1589" s="4" t="s">
        <v>235</v>
      </c>
      <c r="AY1589" s="8" t="s">
        <v>235</v>
      </c>
      <c r="AZ1589" s="7" t="s">
        <v>235</v>
      </c>
      <c r="BA1589" s="7" t="s">
        <v>235</v>
      </c>
      <c r="BB1589" s="7"/>
      <c r="BC1589" s="4" t="s">
        <v>235</v>
      </c>
      <c r="BD1589" s="8" t="s">
        <v>235</v>
      </c>
      <c r="BE1589" s="4" t="s">
        <v>235</v>
      </c>
      <c r="BF1589" s="8" t="s">
        <v>235</v>
      </c>
      <c r="BG1589" s="7" t="s">
        <v>235</v>
      </c>
      <c r="BH1589" s="7" t="s">
        <v>235</v>
      </c>
      <c r="BI1589" s="7"/>
      <c r="BJ1589" s="4">
        <v>1</v>
      </c>
      <c r="BK1589" s="8">
        <v>558.51</v>
      </c>
      <c r="BL1589" s="2" t="s">
        <v>900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5889</v>
      </c>
      <c r="BV1589" s="2" t="s">
        <v>1448</v>
      </c>
      <c r="BW1589" s="2" t="s">
        <v>235</v>
      </c>
      <c r="BX1589" s="2" t="s">
        <v>244</v>
      </c>
      <c r="BY1589" s="2" t="s">
        <v>245</v>
      </c>
      <c r="BZ1589" s="2" t="s">
        <v>232</v>
      </c>
      <c r="CA1589" s="2" t="s">
        <v>1030</v>
      </c>
      <c r="CB1589" s="2" t="s">
        <v>235</v>
      </c>
      <c r="CC1589" s="2" t="s">
        <v>248</v>
      </c>
      <c r="CD1589" s="2" t="s">
        <v>248</v>
      </c>
      <c r="CE1589" s="2" t="s">
        <v>235</v>
      </c>
      <c r="CF1589" s="4"/>
      <c r="CG1589" s="4">
        <v>3</v>
      </c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9"/>
      <c r="HE1589" s="9"/>
      <c r="HF1589" s="9"/>
      <c r="HG1589" s="9"/>
      <c r="HH1589" s="9"/>
      <c r="HI1589" s="9"/>
      <c r="HJ1589" s="9"/>
      <c r="HK1589" s="9"/>
      <c r="HL1589" s="9"/>
      <c r="HM1589" s="9"/>
      <c r="HN1589" s="9"/>
      <c r="HO1589" s="9"/>
      <c r="HP1589" s="9"/>
      <c r="HQ1589" s="9"/>
      <c r="HR1589" s="9"/>
      <c r="HS1589" s="9"/>
      <c r="HT1589" s="9"/>
      <c r="HU1589" s="9"/>
      <c r="HV1589" s="9"/>
      <c r="HW1589" s="9"/>
      <c r="HX1589" s="9"/>
      <c r="HY1589" s="9"/>
      <c r="HZ1589" s="9"/>
      <c r="IA1589" s="9"/>
      <c r="IB1589" s="9"/>
      <c r="IC1589" s="9"/>
    </row>
    <row r="1590">
      <c r="A1590" s="2" t="s">
        <v>5914</v>
      </c>
      <c r="B1590" s="2" t="s">
        <v>1071</v>
      </c>
      <c r="C1590" s="2" t="s">
        <v>893</v>
      </c>
      <c r="D1590" s="2" t="s">
        <v>5862</v>
      </c>
      <c r="E1590" s="2" t="s">
        <v>5874</v>
      </c>
      <c r="F1590" s="2" t="s">
        <v>5864</v>
      </c>
      <c r="G1590" s="2" t="s">
        <v>5864</v>
      </c>
      <c r="H1590" s="2" t="s">
        <v>5864</v>
      </c>
      <c r="I1590" s="2" t="s">
        <v>5895</v>
      </c>
      <c r="J1590" s="2" t="s">
        <v>5896</v>
      </c>
      <c r="K1590" s="2" t="s">
        <v>5902</v>
      </c>
      <c r="L1590" s="3">
        <v>785.99</v>
      </c>
      <c r="M1590" s="3">
        <v>825.29</v>
      </c>
      <c r="N1590" s="3">
        <v>1649</v>
      </c>
      <c r="O1590" s="2" t="s">
        <v>232</v>
      </c>
      <c r="P1590" s="2" t="s">
        <v>5877</v>
      </c>
      <c r="Q1590" s="2" t="s">
        <v>234</v>
      </c>
      <c r="R1590" s="2" t="s">
        <v>235</v>
      </c>
      <c r="S1590" s="2" t="s">
        <v>235</v>
      </c>
      <c r="T1590" s="2" t="s">
        <v>235</v>
      </c>
      <c r="U1590" s="2" t="s">
        <v>282</v>
      </c>
      <c r="V1590" s="2" t="s">
        <v>808</v>
      </c>
      <c r="W1590" s="2" t="s">
        <v>682</v>
      </c>
      <c r="X1590" s="2" t="s">
        <v>239</v>
      </c>
      <c r="Y1590" s="2" t="s">
        <v>5910</v>
      </c>
      <c r="Z1590" s="4">
        <v>2</v>
      </c>
      <c r="AA1590" s="4">
        <f>=ROUNDDOWN(10,0)</f>
      </c>
      <c r="AB1590" s="5">
        <v>0.2</v>
      </c>
      <c r="AC1590" s="2" t="s">
        <v>235</v>
      </c>
      <c r="AD1590" s="4"/>
      <c r="AE1590" s="4"/>
      <c r="AF1590" s="6"/>
      <c r="AG1590" s="6"/>
      <c r="AH1590" s="7">
        <v>0.2581</v>
      </c>
      <c r="AI1590" s="4"/>
      <c r="AJ1590" s="4">
        <f>=ROUNDDOWN({0},0)</f>
      </c>
      <c r="AK1590" s="5"/>
      <c r="AL1590" s="2" t="s">
        <v>235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235</v>
      </c>
      <c r="AW1590" s="8" t="s">
        <v>235</v>
      </c>
      <c r="AX1590" s="4" t="s">
        <v>235</v>
      </c>
      <c r="AY1590" s="8" t="s">
        <v>235</v>
      </c>
      <c r="AZ1590" s="7" t="s">
        <v>235</v>
      </c>
      <c r="BA1590" s="7" t="s">
        <v>235</v>
      </c>
      <c r="BB1590" s="7" t="s">
        <v>235</v>
      </c>
      <c r="BC1590" s="4" t="s">
        <v>235</v>
      </c>
      <c r="BD1590" s="8" t="s">
        <v>235</v>
      </c>
      <c r="BE1590" s="4" t="s">
        <v>235</v>
      </c>
      <c r="BF1590" s="8" t="s">
        <v>235</v>
      </c>
      <c r="BG1590" s="7" t="s">
        <v>235</v>
      </c>
      <c r="BH1590" s="7" t="s">
        <v>235</v>
      </c>
      <c r="BI1590" s="7"/>
      <c r="BJ1590" s="4"/>
      <c r="BK1590" s="8"/>
      <c r="BL1590" s="2" t="s">
        <v>235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5897</v>
      </c>
      <c r="BV1590" s="2" t="s">
        <v>1448</v>
      </c>
      <c r="BW1590" s="2" t="s">
        <v>235</v>
      </c>
      <c r="BX1590" s="2" t="s">
        <v>244</v>
      </c>
      <c r="BY1590" s="2" t="s">
        <v>245</v>
      </c>
      <c r="BZ1590" s="2" t="s">
        <v>232</v>
      </c>
      <c r="CA1590" s="2" t="s">
        <v>1030</v>
      </c>
      <c r="CB1590" s="2" t="s">
        <v>235</v>
      </c>
      <c r="CC1590" s="2" t="s">
        <v>248</v>
      </c>
      <c r="CD1590" s="2" t="s">
        <v>248</v>
      </c>
      <c r="CE1590" s="2" t="s">
        <v>235</v>
      </c>
      <c r="CF1590" s="4"/>
      <c r="CG1590" s="4">
        <v>2</v>
      </c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9"/>
      <c r="HE1590" s="9"/>
      <c r="HF1590" s="9"/>
      <c r="HG1590" s="9"/>
      <c r="HH1590" s="9"/>
      <c r="HI1590" s="9"/>
      <c r="HJ1590" s="9"/>
      <c r="HK1590" s="9"/>
      <c r="HL1590" s="9"/>
      <c r="HM1590" s="9"/>
      <c r="HN1590" s="9"/>
      <c r="HO1590" s="9"/>
      <c r="HP1590" s="9"/>
      <c r="HQ1590" s="9"/>
      <c r="HR1590" s="9"/>
      <c r="HS1590" s="9"/>
      <c r="HT1590" s="9"/>
      <c r="HU1590" s="9"/>
      <c r="HV1590" s="9"/>
      <c r="HW1590" s="9"/>
      <c r="HX1590" s="9"/>
      <c r="HY1590" s="9"/>
      <c r="HZ1590" s="9"/>
      <c r="IA1590" s="9"/>
      <c r="IB1590" s="9"/>
      <c r="IC1590" s="9"/>
    </row>
    <row r="1591">
      <c r="A1591" s="2" t="s">
        <v>5915</v>
      </c>
      <c r="B1591" s="2" t="s">
        <v>1071</v>
      </c>
      <c r="C1591" s="2" t="s">
        <v>893</v>
      </c>
      <c r="D1591" s="2" t="s">
        <v>5862</v>
      </c>
      <c r="E1591" s="2" t="s">
        <v>5874</v>
      </c>
      <c r="F1591" s="2" t="s">
        <v>5864</v>
      </c>
      <c r="G1591" s="2" t="s">
        <v>5864</v>
      </c>
      <c r="H1591" s="2" t="s">
        <v>5864</v>
      </c>
      <c r="I1591" s="2" t="s">
        <v>5899</v>
      </c>
      <c r="J1591" s="2" t="s">
        <v>5896</v>
      </c>
      <c r="K1591" s="2" t="s">
        <v>5902</v>
      </c>
      <c r="L1591" s="3">
        <v>777.31</v>
      </c>
      <c r="M1591" s="3">
        <v>816.18</v>
      </c>
      <c r="N1591" s="3">
        <v>1629</v>
      </c>
      <c r="O1591" s="2" t="s">
        <v>232</v>
      </c>
      <c r="P1591" s="2" t="s">
        <v>5877</v>
      </c>
      <c r="Q1591" s="2" t="s">
        <v>234</v>
      </c>
      <c r="R1591" s="2" t="s">
        <v>235</v>
      </c>
      <c r="S1591" s="2" t="s">
        <v>235</v>
      </c>
      <c r="T1591" s="2" t="s">
        <v>235</v>
      </c>
      <c r="U1591" s="2" t="s">
        <v>282</v>
      </c>
      <c r="V1591" s="2" t="s">
        <v>808</v>
      </c>
      <c r="W1591" s="2" t="s">
        <v>682</v>
      </c>
      <c r="X1591" s="2" t="s">
        <v>239</v>
      </c>
      <c r="Y1591" s="2" t="s">
        <v>5910</v>
      </c>
      <c r="Z1591" s="4">
        <v>3</v>
      </c>
      <c r="AA1591" s="4">
        <f>=ROUNDDOWN(30,0)</f>
      </c>
      <c r="AB1591" s="5">
        <v>0.1</v>
      </c>
      <c r="AC1591" s="2" t="s">
        <v>235</v>
      </c>
      <c r="AD1591" s="4"/>
      <c r="AE1591" s="4"/>
      <c r="AF1591" s="6"/>
      <c r="AG1591" s="6"/>
      <c r="AH1591" s="7">
        <v>1</v>
      </c>
      <c r="AI1591" s="4"/>
      <c r="AJ1591" s="4">
        <f>=ROUNDDOWN({0},0)</f>
      </c>
      <c r="AK1591" s="5"/>
      <c r="AL1591" s="2" t="s">
        <v>235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235</v>
      </c>
      <c r="AW1591" s="8" t="s">
        <v>235</v>
      </c>
      <c r="AX1591" s="4" t="s">
        <v>235</v>
      </c>
      <c r="AY1591" s="8" t="s">
        <v>235</v>
      </c>
      <c r="AZ1591" s="7" t="s">
        <v>235</v>
      </c>
      <c r="BA1591" s="7" t="s">
        <v>235</v>
      </c>
      <c r="BB1591" s="7" t="s">
        <v>235</v>
      </c>
      <c r="BC1591" s="4" t="s">
        <v>235</v>
      </c>
      <c r="BD1591" s="8" t="s">
        <v>235</v>
      </c>
      <c r="BE1591" s="4" t="s">
        <v>235</v>
      </c>
      <c r="BF1591" s="8" t="s">
        <v>235</v>
      </c>
      <c r="BG1591" s="7" t="s">
        <v>235</v>
      </c>
      <c r="BH1591" s="7" t="s">
        <v>235</v>
      </c>
      <c r="BI1591" s="7"/>
      <c r="BJ1591" s="4">
        <v>1</v>
      </c>
      <c r="BK1591" s="8">
        <v>816.18</v>
      </c>
      <c r="BL1591" s="2" t="s">
        <v>900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5900</v>
      </c>
      <c r="BV1591" s="2" t="s">
        <v>1448</v>
      </c>
      <c r="BW1591" s="2" t="s">
        <v>235</v>
      </c>
      <c r="BX1591" s="2" t="s">
        <v>244</v>
      </c>
      <c r="BY1591" s="2" t="s">
        <v>245</v>
      </c>
      <c r="BZ1591" s="2" t="s">
        <v>232</v>
      </c>
      <c r="CA1591" s="2" t="s">
        <v>1030</v>
      </c>
      <c r="CB1591" s="2" t="s">
        <v>934</v>
      </c>
      <c r="CC1591" s="2" t="s">
        <v>248</v>
      </c>
      <c r="CD1591" s="2" t="s">
        <v>248</v>
      </c>
      <c r="CE1591" s="2" t="s">
        <v>235</v>
      </c>
      <c r="CF1591" s="4"/>
      <c r="CG1591" s="4">
        <v>3</v>
      </c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9"/>
      <c r="HE1591" s="9"/>
      <c r="HF1591" s="9"/>
      <c r="HG1591" s="9"/>
      <c r="HH1591" s="9"/>
      <c r="HI1591" s="9"/>
      <c r="HJ1591" s="9"/>
      <c r="HK1591" s="9"/>
      <c r="HL1591" s="9"/>
      <c r="HM1591" s="9"/>
      <c r="HN1591" s="9"/>
      <c r="HO1591" s="9"/>
      <c r="HP1591" s="9"/>
      <c r="HQ1591" s="9"/>
      <c r="HR1591" s="9"/>
      <c r="HS1591" s="9"/>
      <c r="HT1591" s="9"/>
      <c r="HU1591" s="9"/>
      <c r="HV1591" s="9"/>
      <c r="HW1591" s="9"/>
      <c r="HX1591" s="9"/>
      <c r="HY1591" s="9"/>
      <c r="HZ1591" s="9"/>
      <c r="IA1591" s="9"/>
      <c r="IB1591" s="9"/>
      <c r="IC1591" s="9"/>
    </row>
    <row r="1592">
      <c r="A1592" s="2" t="s">
        <v>5916</v>
      </c>
      <c r="B1592" s="2" t="s">
        <v>871</v>
      </c>
      <c r="C1592" s="2" t="s">
        <v>324</v>
      </c>
      <c r="D1592" s="2" t="s">
        <v>361</v>
      </c>
      <c r="E1592" s="2" t="s">
        <v>872</v>
      </c>
      <c r="F1592" s="2" t="s">
        <v>5917</v>
      </c>
      <c r="G1592" s="2" t="s">
        <v>5202</v>
      </c>
      <c r="H1592" s="2" t="s">
        <v>5918</v>
      </c>
      <c r="I1592" s="2" t="s">
        <v>5919</v>
      </c>
      <c r="J1592" s="2" t="s">
        <v>365</v>
      </c>
      <c r="K1592" s="2" t="s">
        <v>889</v>
      </c>
      <c r="L1592" s="3">
        <v>42.85</v>
      </c>
      <c r="M1592" s="3">
        <v>45</v>
      </c>
      <c r="N1592" s="3">
        <v>89.99</v>
      </c>
      <c r="O1592" s="2" t="s">
        <v>232</v>
      </c>
      <c r="P1592" s="2" t="s">
        <v>262</v>
      </c>
      <c r="Q1592" s="2" t="s">
        <v>234</v>
      </c>
      <c r="R1592" s="2" t="s">
        <v>235</v>
      </c>
      <c r="S1592" s="2" t="s">
        <v>235</v>
      </c>
      <c r="T1592" s="2" t="s">
        <v>879</v>
      </c>
      <c r="U1592" s="2" t="s">
        <v>282</v>
      </c>
      <c r="V1592" s="2" t="s">
        <v>1843</v>
      </c>
      <c r="W1592" s="2" t="s">
        <v>881</v>
      </c>
      <c r="X1592" s="2" t="s">
        <v>329</v>
      </c>
      <c r="Y1592" s="2" t="s">
        <v>235</v>
      </c>
      <c r="Z1592" s="4"/>
      <c r="AA1592" s="4">
        <f>=ROUNDDOWN({0},0)</f>
      </c>
      <c r="AB1592" s="5"/>
      <c r="AC1592" s="2" t="s">
        <v>2985</v>
      </c>
      <c r="AD1592" s="4">
        <v>600</v>
      </c>
      <c r="AE1592" s="4">
        <v>600</v>
      </c>
      <c r="AF1592" s="6">
        <v>31</v>
      </c>
      <c r="AG1592" s="6"/>
      <c r="AH1592" s="7"/>
      <c r="AI1592" s="4"/>
      <c r="AJ1592" s="4">
        <f>=ROUNDDOWN({0},0)</f>
      </c>
      <c r="AK1592" s="5"/>
      <c r="AL1592" s="2" t="s">
        <v>235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235</v>
      </c>
      <c r="AW1592" s="8" t="s">
        <v>235</v>
      </c>
      <c r="AX1592" s="4" t="s">
        <v>235</v>
      </c>
      <c r="AY1592" s="8" t="s">
        <v>235</v>
      </c>
      <c r="AZ1592" s="7" t="s">
        <v>235</v>
      </c>
      <c r="BA1592" s="7" t="s">
        <v>235</v>
      </c>
      <c r="BB1592" s="7"/>
      <c r="BC1592" s="4" t="s">
        <v>235</v>
      </c>
      <c r="BD1592" s="8" t="s">
        <v>235</v>
      </c>
      <c r="BE1592" s="4" t="s">
        <v>235</v>
      </c>
      <c r="BF1592" s="8" t="s">
        <v>235</v>
      </c>
      <c r="BG1592" s="7" t="s">
        <v>235</v>
      </c>
      <c r="BH1592" s="7" t="s">
        <v>235</v>
      </c>
      <c r="BI1592" s="7"/>
      <c r="BJ1592" s="4"/>
      <c r="BK1592" s="8"/>
      <c r="BL1592" s="2" t="s">
        <v>235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330</v>
      </c>
      <c r="BV1592" s="2" t="s">
        <v>235</v>
      </c>
      <c r="BW1592" s="2" t="s">
        <v>235</v>
      </c>
      <c r="BX1592" s="2" t="s">
        <v>330</v>
      </c>
      <c r="BY1592" s="2" t="s">
        <v>331</v>
      </c>
      <c r="BZ1592" s="2" t="s">
        <v>232</v>
      </c>
      <c r="CA1592" s="2" t="s">
        <v>235</v>
      </c>
      <c r="CB1592" s="2" t="s">
        <v>235</v>
      </c>
      <c r="CC1592" s="2" t="s">
        <v>248</v>
      </c>
      <c r="CD1592" s="2" t="s">
        <v>248</v>
      </c>
      <c r="CE1592" s="2" t="s">
        <v>235</v>
      </c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>
        <v>600</v>
      </c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>
        <v>600</v>
      </c>
      <c r="GI1592" s="4">
        <v>599</v>
      </c>
      <c r="GJ1592" s="4">
        <v>596</v>
      </c>
      <c r="GK1592" s="4">
        <v>593</v>
      </c>
      <c r="GL1592" s="4">
        <v>588</v>
      </c>
      <c r="GM1592" s="4">
        <v>583</v>
      </c>
      <c r="GN1592" s="4">
        <v>575</v>
      </c>
      <c r="GO1592" s="4">
        <v>565</v>
      </c>
      <c r="GP1592" s="4">
        <v>544</v>
      </c>
      <c r="GQ1592" s="4">
        <v>505</v>
      </c>
      <c r="GR1592" s="4">
        <v>484</v>
      </c>
      <c r="GS1592" s="4">
        <v>466</v>
      </c>
      <c r="GT1592" s="4">
        <v>450</v>
      </c>
      <c r="GU1592" s="4">
        <v>437</v>
      </c>
      <c r="GV1592" s="4">
        <v>417</v>
      </c>
      <c r="GW1592" s="4">
        <v>399</v>
      </c>
      <c r="GX1592" s="4">
        <v>381</v>
      </c>
      <c r="GY1592" s="4">
        <v>363</v>
      </c>
      <c r="GZ1592" s="4">
        <v>345</v>
      </c>
      <c r="HA1592" s="4">
        <v>327</v>
      </c>
      <c r="HB1592" s="4">
        <v>309</v>
      </c>
      <c r="HC1592" s="4">
        <v>289</v>
      </c>
      <c r="HD1592" s="9"/>
      <c r="HE1592" s="9"/>
      <c r="HF1592" s="9"/>
      <c r="HG1592" s="9"/>
      <c r="HH1592" s="19">
        <v>200</v>
      </c>
      <c r="HI1592" s="19">
        <v>149.8</v>
      </c>
      <c r="HJ1592" s="19">
        <v>119.2</v>
      </c>
      <c r="HK1592" s="19">
        <v>84.7</v>
      </c>
      <c r="HL1592" s="19">
        <v>53.5</v>
      </c>
      <c r="HM1592" s="19">
        <v>29.2</v>
      </c>
      <c r="HN1592" s="19">
        <v>25</v>
      </c>
      <c r="HO1592" s="19">
        <v>22.6</v>
      </c>
      <c r="HP1592" s="19">
        <v>22.7</v>
      </c>
      <c r="HQ1592" s="19">
        <v>29.7</v>
      </c>
      <c r="HR1592" s="19">
        <v>28.5</v>
      </c>
      <c r="HS1592" s="19">
        <v>27.4</v>
      </c>
      <c r="HT1592" s="19">
        <v>26.5</v>
      </c>
      <c r="HU1592" s="19">
        <v>24.3</v>
      </c>
      <c r="HV1592" s="19">
        <v>23.2</v>
      </c>
      <c r="HW1592" s="19">
        <v>22.2</v>
      </c>
      <c r="HX1592" s="19">
        <v>21.2</v>
      </c>
      <c r="HY1592" s="19">
        <v>20.2</v>
      </c>
      <c r="HZ1592" s="19">
        <v>19.2</v>
      </c>
      <c r="IA1592" s="19">
        <v>18.2</v>
      </c>
      <c r="IB1592" s="19">
        <v>17.2</v>
      </c>
      <c r="IC1592" s="19">
        <v>16.1</v>
      </c>
    </row>
    <row r="1593">
      <c r="A1593" s="2" t="s">
        <v>5920</v>
      </c>
      <c r="B1593" s="2" t="s">
        <v>871</v>
      </c>
      <c r="C1593" s="2" t="s">
        <v>324</v>
      </c>
      <c r="D1593" s="2" t="s">
        <v>361</v>
      </c>
      <c r="E1593" s="2" t="s">
        <v>872</v>
      </c>
      <c r="F1593" s="2" t="s">
        <v>5917</v>
      </c>
      <c r="G1593" s="2" t="s">
        <v>5202</v>
      </c>
      <c r="H1593" s="2" t="s">
        <v>5918</v>
      </c>
      <c r="I1593" s="2" t="s">
        <v>5919</v>
      </c>
      <c r="J1593" s="2" t="s">
        <v>270</v>
      </c>
      <c r="K1593" s="2" t="s">
        <v>889</v>
      </c>
      <c r="L1593" s="3">
        <v>47.61</v>
      </c>
      <c r="M1593" s="3">
        <v>50</v>
      </c>
      <c r="N1593" s="3">
        <v>99.99</v>
      </c>
      <c r="O1593" s="2" t="s">
        <v>232</v>
      </c>
      <c r="P1593" s="2" t="s">
        <v>262</v>
      </c>
      <c r="Q1593" s="2" t="s">
        <v>234</v>
      </c>
      <c r="R1593" s="2" t="s">
        <v>235</v>
      </c>
      <c r="S1593" s="2" t="s">
        <v>235</v>
      </c>
      <c r="T1593" s="2" t="s">
        <v>879</v>
      </c>
      <c r="U1593" s="2" t="s">
        <v>282</v>
      </c>
      <c r="V1593" s="2" t="s">
        <v>1843</v>
      </c>
      <c r="W1593" s="2" t="s">
        <v>881</v>
      </c>
      <c r="X1593" s="2" t="s">
        <v>329</v>
      </c>
      <c r="Y1593" s="2" t="s">
        <v>235</v>
      </c>
      <c r="Z1593" s="4"/>
      <c r="AA1593" s="4">
        <f>=ROUNDDOWN({0},0)</f>
      </c>
      <c r="AB1593" s="5"/>
      <c r="AC1593" s="2" t="s">
        <v>2985</v>
      </c>
      <c r="AD1593" s="4">
        <v>400</v>
      </c>
      <c r="AE1593" s="4">
        <v>400</v>
      </c>
      <c r="AF1593" s="6">
        <v>31</v>
      </c>
      <c r="AG1593" s="6"/>
      <c r="AH1593" s="7"/>
      <c r="AI1593" s="4"/>
      <c r="AJ1593" s="4">
        <f>=ROUNDDOWN({0},0)</f>
      </c>
      <c r="AK1593" s="5"/>
      <c r="AL1593" s="2" t="s">
        <v>235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235</v>
      </c>
      <c r="AW1593" s="8" t="s">
        <v>235</v>
      </c>
      <c r="AX1593" s="4" t="s">
        <v>235</v>
      </c>
      <c r="AY1593" s="8" t="s">
        <v>235</v>
      </c>
      <c r="AZ1593" s="7" t="s">
        <v>235</v>
      </c>
      <c r="BA1593" s="7" t="s">
        <v>235</v>
      </c>
      <c r="BB1593" s="7"/>
      <c r="BC1593" s="4" t="s">
        <v>235</v>
      </c>
      <c r="BD1593" s="8" t="s">
        <v>235</v>
      </c>
      <c r="BE1593" s="4" t="s">
        <v>235</v>
      </c>
      <c r="BF1593" s="8" t="s">
        <v>235</v>
      </c>
      <c r="BG1593" s="7" t="s">
        <v>235</v>
      </c>
      <c r="BH1593" s="7" t="s">
        <v>235</v>
      </c>
      <c r="BI1593" s="7"/>
      <c r="BJ1593" s="4"/>
      <c r="BK1593" s="8"/>
      <c r="BL1593" s="2" t="s">
        <v>235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330</v>
      </c>
      <c r="BV1593" s="2" t="s">
        <v>235</v>
      </c>
      <c r="BW1593" s="2" t="s">
        <v>235</v>
      </c>
      <c r="BX1593" s="2" t="s">
        <v>330</v>
      </c>
      <c r="BY1593" s="2" t="s">
        <v>331</v>
      </c>
      <c r="BZ1593" s="2" t="s">
        <v>232</v>
      </c>
      <c r="CA1593" s="2" t="s">
        <v>235</v>
      </c>
      <c r="CB1593" s="2" t="s">
        <v>235</v>
      </c>
      <c r="CC1593" s="2" t="s">
        <v>248</v>
      </c>
      <c r="CD1593" s="2" t="s">
        <v>248</v>
      </c>
      <c r="CE1593" s="2" t="s">
        <v>235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>
        <v>400</v>
      </c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>
        <v>400</v>
      </c>
      <c r="GI1593" s="4">
        <v>399</v>
      </c>
      <c r="GJ1593" s="4">
        <v>397</v>
      </c>
      <c r="GK1593" s="4">
        <v>395</v>
      </c>
      <c r="GL1593" s="4">
        <v>392</v>
      </c>
      <c r="GM1593" s="4">
        <v>389</v>
      </c>
      <c r="GN1593" s="4">
        <v>384</v>
      </c>
      <c r="GO1593" s="4">
        <v>378</v>
      </c>
      <c r="GP1593" s="4">
        <v>364</v>
      </c>
      <c r="GQ1593" s="4">
        <v>338</v>
      </c>
      <c r="GR1593" s="4">
        <v>324</v>
      </c>
      <c r="GS1593" s="4">
        <v>312</v>
      </c>
      <c r="GT1593" s="4">
        <v>301</v>
      </c>
      <c r="GU1593" s="4">
        <v>293</v>
      </c>
      <c r="GV1593" s="4">
        <v>280</v>
      </c>
      <c r="GW1593" s="4">
        <v>268</v>
      </c>
      <c r="GX1593" s="4">
        <v>256</v>
      </c>
      <c r="GY1593" s="4">
        <v>244</v>
      </c>
      <c r="GZ1593" s="4">
        <v>232</v>
      </c>
      <c r="HA1593" s="4">
        <v>220</v>
      </c>
      <c r="HB1593" s="4">
        <v>208</v>
      </c>
      <c r="HC1593" s="4">
        <v>195</v>
      </c>
      <c r="HD1593" s="9"/>
      <c r="HE1593" s="9"/>
      <c r="HF1593" s="9"/>
      <c r="HG1593" s="9"/>
      <c r="HH1593" s="19">
        <v>200</v>
      </c>
      <c r="HI1593" s="19">
        <v>199.5</v>
      </c>
      <c r="HJ1593" s="19">
        <v>132.3</v>
      </c>
      <c r="HK1593" s="19">
        <v>98.8</v>
      </c>
      <c r="HL1593" s="19">
        <v>56</v>
      </c>
      <c r="HM1593" s="19">
        <v>29.9</v>
      </c>
      <c r="HN1593" s="19">
        <v>25.6</v>
      </c>
      <c r="HO1593" s="19">
        <v>23.6</v>
      </c>
      <c r="HP1593" s="19">
        <v>22.8</v>
      </c>
      <c r="HQ1593" s="19">
        <v>30.7</v>
      </c>
      <c r="HR1593" s="19">
        <v>29.5</v>
      </c>
      <c r="HS1593" s="19">
        <v>28.4</v>
      </c>
      <c r="HT1593" s="19">
        <v>27.4</v>
      </c>
      <c r="HU1593" s="19">
        <v>24.4</v>
      </c>
      <c r="HV1593" s="19">
        <v>23.3</v>
      </c>
      <c r="HW1593" s="19">
        <v>22.3</v>
      </c>
      <c r="HX1593" s="19">
        <v>21.3</v>
      </c>
      <c r="HY1593" s="19">
        <v>20.3</v>
      </c>
      <c r="HZ1593" s="19">
        <v>19.3</v>
      </c>
      <c r="IA1593" s="19">
        <v>18.3</v>
      </c>
      <c r="IB1593" s="19">
        <v>17.3</v>
      </c>
      <c r="IC1593" s="19">
        <v>16.3</v>
      </c>
    </row>
    <row r="1594">
      <c r="A1594" s="2" t="s">
        <v>5921</v>
      </c>
      <c r="B1594" s="2" t="s">
        <v>1529</v>
      </c>
      <c r="C1594" s="2" t="s">
        <v>1381</v>
      </c>
      <c r="D1594" s="2" t="s">
        <v>1539</v>
      </c>
      <c r="E1594" s="2" t="s">
        <v>1540</v>
      </c>
      <c r="F1594" s="2" t="s">
        <v>5922</v>
      </c>
      <c r="G1594" s="2" t="s">
        <v>5922</v>
      </c>
      <c r="H1594" s="2" t="s">
        <v>5922</v>
      </c>
      <c r="I1594" s="2" t="s">
        <v>1541</v>
      </c>
      <c r="J1594" s="2" t="s">
        <v>1542</v>
      </c>
      <c r="K1594" s="2" t="s">
        <v>612</v>
      </c>
      <c r="L1594" s="3">
        <v>28.56</v>
      </c>
      <c r="M1594" s="3">
        <v>29.99</v>
      </c>
      <c r="N1594" s="3">
        <v>79.99</v>
      </c>
      <c r="O1594" s="2" t="s">
        <v>232</v>
      </c>
      <c r="P1594" s="2" t="s">
        <v>1533</v>
      </c>
      <c r="Q1594" s="2" t="s">
        <v>234</v>
      </c>
      <c r="R1594" s="2" t="s">
        <v>235</v>
      </c>
      <c r="S1594" s="2" t="s">
        <v>235</v>
      </c>
      <c r="T1594" s="2" t="s">
        <v>235</v>
      </c>
      <c r="U1594" s="2" t="s">
        <v>807</v>
      </c>
      <c r="V1594" s="2" t="s">
        <v>238</v>
      </c>
      <c r="W1594" s="2" t="s">
        <v>235</v>
      </c>
      <c r="X1594" s="2" t="s">
        <v>235</v>
      </c>
      <c r="Y1594" s="2" t="s">
        <v>1534</v>
      </c>
      <c r="Z1594" s="4">
        <v>76</v>
      </c>
      <c r="AA1594" s="4">
        <f>=ROUNDDOWN({0},0)</f>
      </c>
      <c r="AB1594" s="5"/>
      <c r="AC1594" s="2" t="s">
        <v>235</v>
      </c>
      <c r="AD1594" s="4"/>
      <c r="AE1594" s="4"/>
      <c r="AF1594" s="6"/>
      <c r="AG1594" s="6"/>
      <c r="AH1594" s="7">
        <v>1</v>
      </c>
      <c r="AI1594" s="4"/>
      <c r="AJ1594" s="4">
        <f>=ROUNDDOWN({0},0)</f>
      </c>
      <c r="AK1594" s="5"/>
      <c r="AL1594" s="2" t="s">
        <v>235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235</v>
      </c>
      <c r="AW1594" s="8" t="s">
        <v>235</v>
      </c>
      <c r="AX1594" s="4" t="s">
        <v>235</v>
      </c>
      <c r="AY1594" s="8" t="s">
        <v>235</v>
      </c>
      <c r="AZ1594" s="7" t="s">
        <v>235</v>
      </c>
      <c r="BA1594" s="7" t="s">
        <v>235</v>
      </c>
      <c r="BB1594" s="7"/>
      <c r="BC1594" s="4" t="s">
        <v>235</v>
      </c>
      <c r="BD1594" s="8" t="s">
        <v>235</v>
      </c>
      <c r="BE1594" s="4" t="s">
        <v>235</v>
      </c>
      <c r="BF1594" s="8" t="s">
        <v>235</v>
      </c>
      <c r="BG1594" s="7" t="s">
        <v>235</v>
      </c>
      <c r="BH1594" s="7" t="s">
        <v>235</v>
      </c>
      <c r="BI1594" s="7"/>
      <c r="BJ1594" s="4"/>
      <c r="BK1594" s="8"/>
      <c r="BL1594" s="2" t="s">
        <v>235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5923</v>
      </c>
      <c r="BV1594" s="2" t="s">
        <v>243</v>
      </c>
      <c r="BW1594" s="2" t="s">
        <v>235</v>
      </c>
      <c r="BX1594" s="2" t="s">
        <v>244</v>
      </c>
      <c r="BY1594" s="2" t="s">
        <v>245</v>
      </c>
      <c r="BZ1594" s="2" t="s">
        <v>232</v>
      </c>
      <c r="CA1594" s="2" t="s">
        <v>941</v>
      </c>
      <c r="CB1594" s="2" t="s">
        <v>235</v>
      </c>
      <c r="CC1594" s="2" t="s">
        <v>248</v>
      </c>
      <c r="CD1594" s="2" t="s">
        <v>248</v>
      </c>
      <c r="CE1594" s="2" t="s">
        <v>235</v>
      </c>
      <c r="CF1594" s="4"/>
      <c r="CG1594" s="4">
        <v>37</v>
      </c>
      <c r="CH1594" s="4"/>
      <c r="CI1594" s="4">
        <v>39</v>
      </c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9"/>
      <c r="HE1594" s="9"/>
      <c r="HF1594" s="9"/>
      <c r="HG1594" s="9"/>
      <c r="HH1594" s="9"/>
      <c r="HI1594" s="9"/>
      <c r="HJ1594" s="9"/>
      <c r="HK1594" s="9"/>
      <c r="HL1594" s="9"/>
      <c r="HM1594" s="9"/>
      <c r="HN1594" s="9"/>
      <c r="HO1594" s="9"/>
      <c r="HP1594" s="9"/>
      <c r="HQ1594" s="9"/>
      <c r="HR1594" s="9"/>
      <c r="HS1594" s="9"/>
      <c r="HT1594" s="9"/>
      <c r="HU1594" s="9"/>
      <c r="HV1594" s="9"/>
      <c r="HW1594" s="9"/>
      <c r="HX1594" s="9"/>
      <c r="HY1594" s="9"/>
      <c r="HZ1594" s="9"/>
      <c r="IA1594" s="9"/>
      <c r="IB1594" s="9"/>
      <c r="IC1594" s="9"/>
    </row>
    <row r="1595">
      <c r="A1595" s="2" t="s">
        <v>5924</v>
      </c>
      <c r="B1595" s="2" t="s">
        <v>1529</v>
      </c>
      <c r="C1595" s="2" t="s">
        <v>1381</v>
      </c>
      <c r="D1595" s="2" t="s">
        <v>1086</v>
      </c>
      <c r="E1595" s="2" t="s">
        <v>4253</v>
      </c>
      <c r="F1595" s="2" t="s">
        <v>5922</v>
      </c>
      <c r="G1595" s="2" t="s">
        <v>5922</v>
      </c>
      <c r="H1595" s="2" t="s">
        <v>5922</v>
      </c>
      <c r="I1595" s="2" t="s">
        <v>1087</v>
      </c>
      <c r="J1595" s="2" t="s">
        <v>897</v>
      </c>
      <c r="K1595" s="2" t="s">
        <v>612</v>
      </c>
      <c r="L1595" s="3">
        <v>303.57</v>
      </c>
      <c r="M1595" s="3">
        <v>318.75</v>
      </c>
      <c r="N1595" s="3">
        <v>899</v>
      </c>
      <c r="O1595" s="2" t="s">
        <v>232</v>
      </c>
      <c r="P1595" s="2" t="s">
        <v>1533</v>
      </c>
      <c r="Q1595" s="2" t="s">
        <v>492</v>
      </c>
      <c r="R1595" s="2" t="s">
        <v>235</v>
      </c>
      <c r="S1595" s="2" t="s">
        <v>235</v>
      </c>
      <c r="T1595" s="2" t="s">
        <v>235</v>
      </c>
      <c r="U1595" s="2" t="s">
        <v>807</v>
      </c>
      <c r="V1595" s="2" t="s">
        <v>238</v>
      </c>
      <c r="W1595" s="2" t="s">
        <v>235</v>
      </c>
      <c r="X1595" s="2" t="s">
        <v>235</v>
      </c>
      <c r="Y1595" s="2" t="s">
        <v>5925</v>
      </c>
      <c r="Z1595" s="4">
        <v>32</v>
      </c>
      <c r="AA1595" s="4">
        <f>=ROUNDDOWN({0},0)</f>
      </c>
      <c r="AB1595" s="5"/>
      <c r="AC1595" s="2" t="s">
        <v>235</v>
      </c>
      <c r="AD1595" s="4"/>
      <c r="AE1595" s="4"/>
      <c r="AF1595" s="6"/>
      <c r="AG1595" s="6"/>
      <c r="AH1595" s="7">
        <v>1</v>
      </c>
      <c r="AI1595" s="4"/>
      <c r="AJ1595" s="4">
        <f>=ROUNDDOWN({0},0)</f>
      </c>
      <c r="AK1595" s="5"/>
      <c r="AL1595" s="2" t="s">
        <v>235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235</v>
      </c>
      <c r="AW1595" s="8" t="s">
        <v>235</v>
      </c>
      <c r="AX1595" s="4" t="s">
        <v>235</v>
      </c>
      <c r="AY1595" s="8" t="s">
        <v>235</v>
      </c>
      <c r="AZ1595" s="7" t="s">
        <v>235</v>
      </c>
      <c r="BA1595" s="7" t="s">
        <v>235</v>
      </c>
      <c r="BB1595" s="7"/>
      <c r="BC1595" s="4" t="s">
        <v>235</v>
      </c>
      <c r="BD1595" s="8" t="s">
        <v>235</v>
      </c>
      <c r="BE1595" s="4" t="s">
        <v>235</v>
      </c>
      <c r="BF1595" s="8" t="s">
        <v>235</v>
      </c>
      <c r="BG1595" s="7" t="s">
        <v>235</v>
      </c>
      <c r="BH1595" s="7" t="s">
        <v>235</v>
      </c>
      <c r="BI1595" s="7"/>
      <c r="BJ1595" s="4"/>
      <c r="BK1595" s="8"/>
      <c r="BL1595" s="2" t="s">
        <v>900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5926</v>
      </c>
      <c r="BV1595" s="2" t="s">
        <v>1424</v>
      </c>
      <c r="BW1595" s="2" t="s">
        <v>235</v>
      </c>
      <c r="BX1595" s="2" t="s">
        <v>244</v>
      </c>
      <c r="BY1595" s="2" t="s">
        <v>245</v>
      </c>
      <c r="BZ1595" s="2" t="s">
        <v>232</v>
      </c>
      <c r="CA1595" s="2" t="s">
        <v>4835</v>
      </c>
      <c r="CB1595" s="2" t="s">
        <v>235</v>
      </c>
      <c r="CC1595" s="2" t="s">
        <v>248</v>
      </c>
      <c r="CD1595" s="2" t="s">
        <v>248</v>
      </c>
      <c r="CE1595" s="2" t="s">
        <v>235</v>
      </c>
      <c r="CF1595" s="4"/>
      <c r="CG1595" s="4">
        <v>26</v>
      </c>
      <c r="CH1595" s="4"/>
      <c r="CI1595" s="4">
        <v>6</v>
      </c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9"/>
      <c r="HE1595" s="9"/>
      <c r="HF1595" s="9"/>
      <c r="HG1595" s="9"/>
      <c r="HH1595" s="9"/>
      <c r="HI1595" s="9"/>
      <c r="HJ1595" s="9"/>
      <c r="HK1595" s="9"/>
      <c r="HL1595" s="9"/>
      <c r="HM1595" s="9"/>
      <c r="HN1595" s="9"/>
      <c r="HO1595" s="9"/>
      <c r="HP1595" s="9"/>
      <c r="HQ1595" s="9"/>
      <c r="HR1595" s="9"/>
      <c r="HS1595" s="9"/>
      <c r="HT1595" s="9"/>
      <c r="HU1595" s="9"/>
      <c r="HV1595" s="9"/>
      <c r="HW1595" s="9"/>
      <c r="HX1595" s="9"/>
      <c r="HY1595" s="9"/>
      <c r="HZ1595" s="9"/>
      <c r="IA1595" s="9"/>
      <c r="IB1595" s="9"/>
      <c r="IC1595" s="9"/>
    </row>
    <row r="1596">
      <c r="A1596" s="2" t="s">
        <v>5927</v>
      </c>
      <c r="B1596" s="2" t="s">
        <v>1529</v>
      </c>
      <c r="C1596" s="2" t="s">
        <v>1381</v>
      </c>
      <c r="D1596" s="2" t="s">
        <v>1539</v>
      </c>
      <c r="E1596" s="2" t="s">
        <v>1540</v>
      </c>
      <c r="F1596" s="2" t="s">
        <v>5922</v>
      </c>
      <c r="G1596" s="2" t="s">
        <v>5922</v>
      </c>
      <c r="H1596" s="2" t="s">
        <v>5922</v>
      </c>
      <c r="I1596" s="2" t="s">
        <v>1541</v>
      </c>
      <c r="J1596" s="2" t="s">
        <v>1542</v>
      </c>
      <c r="K1596" s="2" t="s">
        <v>1238</v>
      </c>
      <c r="L1596" s="3">
        <v>28.56</v>
      </c>
      <c r="M1596" s="3">
        <v>29.99</v>
      </c>
      <c r="N1596" s="3">
        <v>79.99</v>
      </c>
      <c r="O1596" s="2" t="s">
        <v>232</v>
      </c>
      <c r="P1596" s="2" t="s">
        <v>1533</v>
      </c>
      <c r="Q1596" s="2" t="s">
        <v>234</v>
      </c>
      <c r="R1596" s="2" t="s">
        <v>235</v>
      </c>
      <c r="S1596" s="2" t="s">
        <v>235</v>
      </c>
      <c r="T1596" s="2" t="s">
        <v>235</v>
      </c>
      <c r="U1596" s="2" t="s">
        <v>807</v>
      </c>
      <c r="V1596" s="2" t="s">
        <v>238</v>
      </c>
      <c r="W1596" s="2" t="s">
        <v>235</v>
      </c>
      <c r="X1596" s="2" t="s">
        <v>235</v>
      </c>
      <c r="Y1596" s="2" t="s">
        <v>1534</v>
      </c>
      <c r="Z1596" s="4">
        <v>6</v>
      </c>
      <c r="AA1596" s="4">
        <f>=ROUNDDOWN(4,0)</f>
      </c>
      <c r="AB1596" s="5">
        <v>1.5</v>
      </c>
      <c r="AC1596" s="2" t="s">
        <v>235</v>
      </c>
      <c r="AD1596" s="4"/>
      <c r="AE1596" s="4"/>
      <c r="AF1596" s="6"/>
      <c r="AG1596" s="6"/>
      <c r="AH1596" s="7">
        <v>0.871</v>
      </c>
      <c r="AI1596" s="4"/>
      <c r="AJ1596" s="4">
        <f>=ROUNDDOWN({0},0)</f>
      </c>
      <c r="AK1596" s="5"/>
      <c r="AL1596" s="2" t="s">
        <v>235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235</v>
      </c>
      <c r="AW1596" s="8" t="s">
        <v>235</v>
      </c>
      <c r="AX1596" s="4" t="s">
        <v>235</v>
      </c>
      <c r="AY1596" s="8" t="s">
        <v>235</v>
      </c>
      <c r="AZ1596" s="7" t="s">
        <v>235</v>
      </c>
      <c r="BA1596" s="7" t="s">
        <v>235</v>
      </c>
      <c r="BB1596" s="7"/>
      <c r="BC1596" s="4" t="s">
        <v>235</v>
      </c>
      <c r="BD1596" s="8" t="s">
        <v>235</v>
      </c>
      <c r="BE1596" s="4" t="s">
        <v>235</v>
      </c>
      <c r="BF1596" s="8" t="s">
        <v>235</v>
      </c>
      <c r="BG1596" s="7" t="s">
        <v>235</v>
      </c>
      <c r="BH1596" s="7" t="s">
        <v>235</v>
      </c>
      <c r="BI1596" s="7"/>
      <c r="BJ1596" s="4">
        <v>11</v>
      </c>
      <c r="BK1596" s="8"/>
      <c r="BL1596" s="2" t="s">
        <v>900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5923</v>
      </c>
      <c r="BV1596" s="2" t="s">
        <v>243</v>
      </c>
      <c r="BW1596" s="2" t="s">
        <v>235</v>
      </c>
      <c r="BX1596" s="2" t="s">
        <v>244</v>
      </c>
      <c r="BY1596" s="2" t="s">
        <v>245</v>
      </c>
      <c r="BZ1596" s="2" t="s">
        <v>232</v>
      </c>
      <c r="CA1596" s="2" t="s">
        <v>941</v>
      </c>
      <c r="CB1596" s="2" t="s">
        <v>235</v>
      </c>
      <c r="CC1596" s="2" t="s">
        <v>248</v>
      </c>
      <c r="CD1596" s="2" t="s">
        <v>248</v>
      </c>
      <c r="CE1596" s="2" t="s">
        <v>235</v>
      </c>
      <c r="CF1596" s="4"/>
      <c r="CG1596" s="4">
        <v>4</v>
      </c>
      <c r="CH1596" s="4"/>
      <c r="CI1596" s="4">
        <v>2</v>
      </c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9"/>
      <c r="HE1596" s="9"/>
      <c r="HF1596" s="9"/>
      <c r="HG1596" s="9"/>
      <c r="HH1596" s="9"/>
      <c r="HI1596" s="9"/>
      <c r="HJ1596" s="9"/>
      <c r="HK1596" s="9"/>
      <c r="HL1596" s="9"/>
      <c r="HM1596" s="9"/>
      <c r="HN1596" s="9"/>
      <c r="HO1596" s="9"/>
      <c r="HP1596" s="9"/>
      <c r="HQ1596" s="9"/>
      <c r="HR1596" s="9"/>
      <c r="HS1596" s="9"/>
      <c r="HT1596" s="9"/>
      <c r="HU1596" s="9"/>
      <c r="HV1596" s="9"/>
      <c r="HW1596" s="9"/>
      <c r="HX1596" s="9"/>
      <c r="HY1596" s="9"/>
      <c r="HZ1596" s="9"/>
      <c r="IA1596" s="9"/>
      <c r="IB1596" s="9"/>
      <c r="IC1596" s="9"/>
    </row>
    <row r="1597">
      <c r="A1597" s="2" t="s">
        <v>5928</v>
      </c>
      <c r="B1597" s="2" t="s">
        <v>1529</v>
      </c>
      <c r="C1597" s="2" t="s">
        <v>1381</v>
      </c>
      <c r="D1597" s="2" t="s">
        <v>1086</v>
      </c>
      <c r="E1597" s="2" t="s">
        <v>4253</v>
      </c>
      <c r="F1597" s="2" t="s">
        <v>5922</v>
      </c>
      <c r="G1597" s="2" t="s">
        <v>5922</v>
      </c>
      <c r="H1597" s="2" t="s">
        <v>5922</v>
      </c>
      <c r="I1597" s="2" t="s">
        <v>1087</v>
      </c>
      <c r="J1597" s="2" t="s">
        <v>897</v>
      </c>
      <c r="K1597" s="2" t="s">
        <v>1238</v>
      </c>
      <c r="L1597" s="3">
        <v>303.57</v>
      </c>
      <c r="M1597" s="3">
        <v>318.75</v>
      </c>
      <c r="N1597" s="3">
        <v>899</v>
      </c>
      <c r="O1597" s="2" t="s">
        <v>232</v>
      </c>
      <c r="P1597" s="2" t="s">
        <v>1533</v>
      </c>
      <c r="Q1597" s="2" t="s">
        <v>492</v>
      </c>
      <c r="R1597" s="2" t="s">
        <v>235</v>
      </c>
      <c r="S1597" s="2" t="s">
        <v>235</v>
      </c>
      <c r="T1597" s="2" t="s">
        <v>235</v>
      </c>
      <c r="U1597" s="2" t="s">
        <v>807</v>
      </c>
      <c r="V1597" s="2" t="s">
        <v>238</v>
      </c>
      <c r="W1597" s="2" t="s">
        <v>235</v>
      </c>
      <c r="X1597" s="2" t="s">
        <v>235</v>
      </c>
      <c r="Y1597" s="2" t="s">
        <v>5925</v>
      </c>
      <c r="Z1597" s="4">
        <v>35</v>
      </c>
      <c r="AA1597" s="4">
        <f>=ROUNDDOWN(18.4210526315789,0)</f>
      </c>
      <c r="AB1597" s="5">
        <v>1.9</v>
      </c>
      <c r="AC1597" s="2" t="s">
        <v>235</v>
      </c>
      <c r="AD1597" s="4"/>
      <c r="AE1597" s="4"/>
      <c r="AF1597" s="6"/>
      <c r="AG1597" s="6"/>
      <c r="AH1597" s="7">
        <v>0.6129</v>
      </c>
      <c r="AI1597" s="4"/>
      <c r="AJ1597" s="4">
        <f>=ROUNDDOWN({0},0)</f>
      </c>
      <c r="AK1597" s="5"/>
      <c r="AL1597" s="2" t="s">
        <v>235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235</v>
      </c>
      <c r="AW1597" s="8" t="s">
        <v>235</v>
      </c>
      <c r="AX1597" s="4" t="s">
        <v>235</v>
      </c>
      <c r="AY1597" s="8" t="s">
        <v>235</v>
      </c>
      <c r="AZ1597" s="7" t="s">
        <v>235</v>
      </c>
      <c r="BA1597" s="7" t="s">
        <v>235</v>
      </c>
      <c r="BB1597" s="7"/>
      <c r="BC1597" s="4" t="s">
        <v>235</v>
      </c>
      <c r="BD1597" s="8" t="s">
        <v>235</v>
      </c>
      <c r="BE1597" s="4" t="s">
        <v>235</v>
      </c>
      <c r="BF1597" s="8" t="s">
        <v>235</v>
      </c>
      <c r="BG1597" s="7" t="s">
        <v>235</v>
      </c>
      <c r="BH1597" s="7" t="s">
        <v>235</v>
      </c>
      <c r="BI1597" s="7"/>
      <c r="BJ1597" s="4">
        <v>17</v>
      </c>
      <c r="BK1597" s="8">
        <v>5211.53</v>
      </c>
      <c r="BL1597" s="2" t="s">
        <v>900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5926</v>
      </c>
      <c r="BV1597" s="2" t="s">
        <v>1424</v>
      </c>
      <c r="BW1597" s="2" t="s">
        <v>235</v>
      </c>
      <c r="BX1597" s="2" t="s">
        <v>244</v>
      </c>
      <c r="BY1597" s="2" t="s">
        <v>245</v>
      </c>
      <c r="BZ1597" s="2" t="s">
        <v>232</v>
      </c>
      <c r="CA1597" s="2" t="s">
        <v>4835</v>
      </c>
      <c r="CB1597" s="2" t="s">
        <v>235</v>
      </c>
      <c r="CC1597" s="2" t="s">
        <v>248</v>
      </c>
      <c r="CD1597" s="2" t="s">
        <v>248</v>
      </c>
      <c r="CE1597" s="2" t="s">
        <v>235</v>
      </c>
      <c r="CF1597" s="4"/>
      <c r="CG1597" s="4"/>
      <c r="CH1597" s="4"/>
      <c r="CI1597" s="4">
        <v>35</v>
      </c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9"/>
      <c r="HE1597" s="9"/>
      <c r="HF1597" s="9"/>
      <c r="HG1597" s="9"/>
      <c r="HH1597" s="9"/>
      <c r="HI1597" s="9"/>
      <c r="HJ1597" s="9"/>
      <c r="HK1597" s="9"/>
      <c r="HL1597" s="9"/>
      <c r="HM1597" s="9"/>
      <c r="HN1597" s="9"/>
      <c r="HO1597" s="9"/>
      <c r="HP1597" s="9"/>
      <c r="HQ1597" s="9"/>
      <c r="HR1597" s="9"/>
      <c r="HS1597" s="9"/>
      <c r="HT1597" s="9"/>
      <c r="HU1597" s="9"/>
      <c r="HV1597" s="9"/>
      <c r="HW1597" s="9"/>
      <c r="HX1597" s="9"/>
      <c r="HY1597" s="9"/>
      <c r="HZ1597" s="9"/>
      <c r="IA1597" s="9"/>
      <c r="IB1597" s="9"/>
      <c r="IC1597" s="9"/>
    </row>
    <row r="1598">
      <c r="A1598" s="2" t="s">
        <v>5929</v>
      </c>
      <c r="B1598" s="2" t="s">
        <v>1529</v>
      </c>
      <c r="C1598" s="2" t="s">
        <v>1381</v>
      </c>
      <c r="D1598" s="2" t="s">
        <v>1539</v>
      </c>
      <c r="E1598" s="2" t="s">
        <v>1540</v>
      </c>
      <c r="F1598" s="2" t="s">
        <v>5922</v>
      </c>
      <c r="G1598" s="2" t="s">
        <v>5922</v>
      </c>
      <c r="H1598" s="2" t="s">
        <v>5922</v>
      </c>
      <c r="I1598" s="2" t="s">
        <v>4465</v>
      </c>
      <c r="J1598" s="2" t="s">
        <v>1542</v>
      </c>
      <c r="K1598" s="2" t="s">
        <v>4469</v>
      </c>
      <c r="L1598" s="3">
        <v>28.56</v>
      </c>
      <c r="M1598" s="3">
        <v>29.99</v>
      </c>
      <c r="N1598" s="3">
        <v>79.99</v>
      </c>
      <c r="O1598" s="2" t="s">
        <v>232</v>
      </c>
      <c r="P1598" s="2" t="s">
        <v>1533</v>
      </c>
      <c r="Q1598" s="2" t="s">
        <v>234</v>
      </c>
      <c r="R1598" s="2" t="s">
        <v>235</v>
      </c>
      <c r="S1598" s="2" t="s">
        <v>235</v>
      </c>
      <c r="T1598" s="2" t="s">
        <v>235</v>
      </c>
      <c r="U1598" s="2" t="s">
        <v>807</v>
      </c>
      <c r="V1598" s="2" t="s">
        <v>238</v>
      </c>
      <c r="W1598" s="2" t="s">
        <v>235</v>
      </c>
      <c r="X1598" s="2" t="s">
        <v>235</v>
      </c>
      <c r="Y1598" s="2" t="s">
        <v>2279</v>
      </c>
      <c r="Z1598" s="4">
        <v>42</v>
      </c>
      <c r="AA1598" s="4">
        <f>=ROUNDDOWN(70,0)</f>
      </c>
      <c r="AB1598" s="5">
        <v>0.6</v>
      </c>
      <c r="AC1598" s="2" t="s">
        <v>235</v>
      </c>
      <c r="AD1598" s="4"/>
      <c r="AE1598" s="4"/>
      <c r="AF1598" s="6"/>
      <c r="AG1598" s="6"/>
      <c r="AH1598" s="7">
        <v>1</v>
      </c>
      <c r="AI1598" s="4"/>
      <c r="AJ1598" s="4">
        <f>=ROUNDDOWN({0},0)</f>
      </c>
      <c r="AK1598" s="5"/>
      <c r="AL1598" s="2" t="s">
        <v>235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235</v>
      </c>
      <c r="AW1598" s="8" t="s">
        <v>235</v>
      </c>
      <c r="AX1598" s="4" t="s">
        <v>235</v>
      </c>
      <c r="AY1598" s="8" t="s">
        <v>235</v>
      </c>
      <c r="AZ1598" s="7" t="s">
        <v>235</v>
      </c>
      <c r="BA1598" s="7" t="s">
        <v>235</v>
      </c>
      <c r="BB1598" s="7"/>
      <c r="BC1598" s="4" t="s">
        <v>235</v>
      </c>
      <c r="BD1598" s="8" t="s">
        <v>235</v>
      </c>
      <c r="BE1598" s="4" t="s">
        <v>235</v>
      </c>
      <c r="BF1598" s="8" t="s">
        <v>235</v>
      </c>
      <c r="BG1598" s="7" t="s">
        <v>235</v>
      </c>
      <c r="BH1598" s="7" t="s">
        <v>235</v>
      </c>
      <c r="BI1598" s="7"/>
      <c r="BJ1598" s="4">
        <v>3</v>
      </c>
      <c r="BK1598" s="8"/>
      <c r="BL1598" s="2" t="s">
        <v>900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5923</v>
      </c>
      <c r="BV1598" s="2" t="s">
        <v>243</v>
      </c>
      <c r="BW1598" s="2" t="s">
        <v>235</v>
      </c>
      <c r="BX1598" s="2" t="s">
        <v>244</v>
      </c>
      <c r="BY1598" s="2" t="s">
        <v>245</v>
      </c>
      <c r="BZ1598" s="2" t="s">
        <v>232</v>
      </c>
      <c r="CA1598" s="2" t="s">
        <v>941</v>
      </c>
      <c r="CB1598" s="2" t="s">
        <v>235</v>
      </c>
      <c r="CC1598" s="2" t="s">
        <v>248</v>
      </c>
      <c r="CD1598" s="2" t="s">
        <v>248</v>
      </c>
      <c r="CE1598" s="2" t="s">
        <v>235</v>
      </c>
      <c r="CF1598" s="4"/>
      <c r="CG1598" s="4">
        <v>19</v>
      </c>
      <c r="CH1598" s="4"/>
      <c r="CI1598" s="4">
        <v>23</v>
      </c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9"/>
      <c r="HE1598" s="9"/>
      <c r="HF1598" s="9"/>
      <c r="HG1598" s="9"/>
      <c r="HH1598" s="9"/>
      <c r="HI1598" s="9"/>
      <c r="HJ1598" s="9"/>
      <c r="HK1598" s="9"/>
      <c r="HL1598" s="9"/>
      <c r="HM1598" s="9"/>
      <c r="HN1598" s="9"/>
      <c r="HO1598" s="9"/>
      <c r="HP1598" s="9"/>
      <c r="HQ1598" s="9"/>
      <c r="HR1598" s="9"/>
      <c r="HS1598" s="9"/>
      <c r="HT1598" s="9"/>
      <c r="HU1598" s="9"/>
      <c r="HV1598" s="9"/>
      <c r="HW1598" s="9"/>
      <c r="HX1598" s="9"/>
      <c r="HY1598" s="9"/>
      <c r="HZ1598" s="9"/>
      <c r="IA1598" s="9"/>
      <c r="IB1598" s="9"/>
      <c r="IC1598" s="9"/>
    </row>
    <row r="1599">
      <c r="A1599" s="2" t="s">
        <v>5930</v>
      </c>
      <c r="B1599" s="2" t="s">
        <v>1529</v>
      </c>
      <c r="C1599" s="2" t="s">
        <v>1381</v>
      </c>
      <c r="D1599" s="2" t="s">
        <v>1086</v>
      </c>
      <c r="E1599" s="2" t="s">
        <v>4253</v>
      </c>
      <c r="F1599" s="2" t="s">
        <v>5922</v>
      </c>
      <c r="G1599" s="2" t="s">
        <v>5922</v>
      </c>
      <c r="H1599" s="2" t="s">
        <v>5922</v>
      </c>
      <c r="I1599" s="2" t="s">
        <v>1087</v>
      </c>
      <c r="J1599" s="2" t="s">
        <v>897</v>
      </c>
      <c r="K1599" s="2" t="s">
        <v>4469</v>
      </c>
      <c r="L1599" s="3">
        <v>303.57</v>
      </c>
      <c r="M1599" s="3">
        <v>318.75</v>
      </c>
      <c r="N1599" s="3">
        <v>899</v>
      </c>
      <c r="O1599" s="2" t="s">
        <v>232</v>
      </c>
      <c r="P1599" s="2" t="s">
        <v>1533</v>
      </c>
      <c r="Q1599" s="2" t="s">
        <v>492</v>
      </c>
      <c r="R1599" s="2" t="s">
        <v>235</v>
      </c>
      <c r="S1599" s="2" t="s">
        <v>235</v>
      </c>
      <c r="T1599" s="2" t="s">
        <v>235</v>
      </c>
      <c r="U1599" s="2" t="s">
        <v>807</v>
      </c>
      <c r="V1599" s="2" t="s">
        <v>238</v>
      </c>
      <c r="W1599" s="2" t="s">
        <v>235</v>
      </c>
      <c r="X1599" s="2" t="s">
        <v>235</v>
      </c>
      <c r="Y1599" s="2" t="s">
        <v>5925</v>
      </c>
      <c r="Z1599" s="4">
        <v>19</v>
      </c>
      <c r="AA1599" s="4">
        <f>=ROUNDDOWN(31.6666666666667,0)</f>
      </c>
      <c r="AB1599" s="5">
        <v>0.6</v>
      </c>
      <c r="AC1599" s="2" t="s">
        <v>235</v>
      </c>
      <c r="AD1599" s="4"/>
      <c r="AE1599" s="4"/>
      <c r="AF1599" s="6"/>
      <c r="AG1599" s="6"/>
      <c r="AH1599" s="7">
        <v>1</v>
      </c>
      <c r="AI1599" s="4"/>
      <c r="AJ1599" s="4">
        <f>=ROUNDDOWN({0},0)</f>
      </c>
      <c r="AK1599" s="5"/>
      <c r="AL1599" s="2" t="s">
        <v>235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235</v>
      </c>
      <c r="AW1599" s="8" t="s">
        <v>235</v>
      </c>
      <c r="AX1599" s="4" t="s">
        <v>235</v>
      </c>
      <c r="AY1599" s="8" t="s">
        <v>235</v>
      </c>
      <c r="AZ1599" s="7" t="s">
        <v>235</v>
      </c>
      <c r="BA1599" s="7" t="s">
        <v>235</v>
      </c>
      <c r="BB1599" s="7"/>
      <c r="BC1599" s="4" t="s">
        <v>235</v>
      </c>
      <c r="BD1599" s="8" t="s">
        <v>235</v>
      </c>
      <c r="BE1599" s="4" t="s">
        <v>235</v>
      </c>
      <c r="BF1599" s="8" t="s">
        <v>235</v>
      </c>
      <c r="BG1599" s="7" t="s">
        <v>235</v>
      </c>
      <c r="BH1599" s="7" t="s">
        <v>235</v>
      </c>
      <c r="BI1599" s="7"/>
      <c r="BJ1599" s="4">
        <v>2</v>
      </c>
      <c r="BK1599" s="8">
        <v>545.06</v>
      </c>
      <c r="BL1599" s="2" t="s">
        <v>900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5931</v>
      </c>
      <c r="BV1599" s="2" t="s">
        <v>1424</v>
      </c>
      <c r="BW1599" s="2" t="s">
        <v>235</v>
      </c>
      <c r="BX1599" s="2" t="s">
        <v>244</v>
      </c>
      <c r="BY1599" s="2" t="s">
        <v>245</v>
      </c>
      <c r="BZ1599" s="2" t="s">
        <v>232</v>
      </c>
      <c r="CA1599" s="2" t="s">
        <v>1536</v>
      </c>
      <c r="CB1599" s="2" t="s">
        <v>235</v>
      </c>
      <c r="CC1599" s="2" t="s">
        <v>248</v>
      </c>
      <c r="CD1599" s="2" t="s">
        <v>248</v>
      </c>
      <c r="CE1599" s="2" t="s">
        <v>235</v>
      </c>
      <c r="CF1599" s="4"/>
      <c r="CG1599" s="4">
        <v>11</v>
      </c>
      <c r="CH1599" s="4"/>
      <c r="CI1599" s="4">
        <v>8</v>
      </c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9"/>
      <c r="HE1599" s="9"/>
      <c r="HF1599" s="9"/>
      <c r="HG1599" s="9"/>
      <c r="HH1599" s="9"/>
      <c r="HI1599" s="9"/>
      <c r="HJ1599" s="9"/>
      <c r="HK1599" s="9"/>
      <c r="HL1599" s="9"/>
      <c r="HM1599" s="9"/>
      <c r="HN1599" s="9"/>
      <c r="HO1599" s="9"/>
      <c r="HP1599" s="9"/>
      <c r="HQ1599" s="9"/>
      <c r="HR1599" s="9"/>
      <c r="HS1599" s="9"/>
      <c r="HT1599" s="9"/>
      <c r="HU1599" s="9"/>
      <c r="HV1599" s="9"/>
      <c r="HW1599" s="9"/>
      <c r="HX1599" s="9"/>
      <c r="HY1599" s="9"/>
      <c r="HZ1599" s="9"/>
      <c r="IA1599" s="9"/>
      <c r="IB1599" s="9"/>
      <c r="IC1599" s="9"/>
    </row>
    <row r="1600">
      <c r="A1600" s="2" t="s">
        <v>5932</v>
      </c>
      <c r="B1600" s="2" t="s">
        <v>255</v>
      </c>
      <c r="C1600" s="2" t="s">
        <v>330</v>
      </c>
      <c r="D1600" s="2" t="s">
        <v>361</v>
      </c>
      <c r="E1600" s="2" t="s">
        <v>872</v>
      </c>
      <c r="F1600" s="2" t="s">
        <v>5933</v>
      </c>
      <c r="G1600" s="2" t="s">
        <v>5933</v>
      </c>
      <c r="H1600" s="2" t="s">
        <v>5933</v>
      </c>
      <c r="I1600" s="2" t="s">
        <v>5934</v>
      </c>
      <c r="J1600" s="2" t="s">
        <v>250</v>
      </c>
      <c r="K1600" s="2" t="s">
        <v>5935</v>
      </c>
      <c r="L1600" s="3">
        <v>103.64</v>
      </c>
      <c r="M1600" s="3">
        <v>108.82</v>
      </c>
      <c r="N1600" s="3">
        <v>259.1</v>
      </c>
      <c r="O1600" s="2" t="s">
        <v>232</v>
      </c>
      <c r="P1600" s="2" t="s">
        <v>262</v>
      </c>
      <c r="Q1600" s="2" t="s">
        <v>234</v>
      </c>
      <c r="R1600" s="2" t="s">
        <v>235</v>
      </c>
      <c r="S1600" s="2" t="s">
        <v>235</v>
      </c>
      <c r="T1600" s="2" t="s">
        <v>1298</v>
      </c>
      <c r="U1600" s="2" t="s">
        <v>614</v>
      </c>
      <c r="V1600" s="2" t="s">
        <v>420</v>
      </c>
      <c r="W1600" s="2" t="s">
        <v>882</v>
      </c>
      <c r="X1600" s="2" t="s">
        <v>882</v>
      </c>
      <c r="Y1600" s="2" t="s">
        <v>235</v>
      </c>
      <c r="Z1600" s="4"/>
      <c r="AA1600" s="4">
        <f>=ROUNDDOWN({0},0)</f>
      </c>
      <c r="AB1600" s="5"/>
      <c r="AC1600" s="2" t="s">
        <v>574</v>
      </c>
      <c r="AD1600" s="4">
        <v>43</v>
      </c>
      <c r="AE1600" s="4">
        <v>43</v>
      </c>
      <c r="AF1600" s="6">
        <v>65</v>
      </c>
      <c r="AG1600" s="6"/>
      <c r="AH1600" s="7"/>
      <c r="AI1600" s="4"/>
      <c r="AJ1600" s="4">
        <f>=ROUNDDOWN({0},0)</f>
      </c>
      <c r="AK1600" s="5"/>
      <c r="AL1600" s="2" t="s">
        <v>235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235</v>
      </c>
      <c r="AW1600" s="8" t="s">
        <v>235</v>
      </c>
      <c r="AX1600" s="4" t="s">
        <v>235</v>
      </c>
      <c r="AY1600" s="8" t="s">
        <v>235</v>
      </c>
      <c r="AZ1600" s="7" t="s">
        <v>235</v>
      </c>
      <c r="BA1600" s="7" t="s">
        <v>235</v>
      </c>
      <c r="BB1600" s="7"/>
      <c r="BC1600" s="4" t="s">
        <v>235</v>
      </c>
      <c r="BD1600" s="8" t="s">
        <v>235</v>
      </c>
      <c r="BE1600" s="4" t="s">
        <v>235</v>
      </c>
      <c r="BF1600" s="8" t="s">
        <v>235</v>
      </c>
      <c r="BG1600" s="7" t="s">
        <v>235</v>
      </c>
      <c r="BH1600" s="7" t="s">
        <v>235</v>
      </c>
      <c r="BI1600" s="7"/>
      <c r="BJ1600" s="4"/>
      <c r="BK1600" s="8"/>
      <c r="BL1600" s="2" t="s">
        <v>235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330</v>
      </c>
      <c r="BV1600" s="2" t="s">
        <v>235</v>
      </c>
      <c r="BW1600" s="2" t="s">
        <v>235</v>
      </c>
      <c r="BX1600" s="2" t="s">
        <v>330</v>
      </c>
      <c r="BY1600" s="2" t="s">
        <v>331</v>
      </c>
      <c r="BZ1600" s="2" t="s">
        <v>232</v>
      </c>
      <c r="CA1600" s="2" t="s">
        <v>235</v>
      </c>
      <c r="CB1600" s="2" t="s">
        <v>235</v>
      </c>
      <c r="CC1600" s="2" t="s">
        <v>248</v>
      </c>
      <c r="CD1600" s="2" t="s">
        <v>248</v>
      </c>
      <c r="CE1600" s="2" t="s">
        <v>235</v>
      </c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>
        <v>43</v>
      </c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>
        <v>43</v>
      </c>
      <c r="GN1600" s="4">
        <v>33</v>
      </c>
      <c r="GO1600" s="4">
        <v>28</v>
      </c>
      <c r="GP1600" s="4">
        <v>25</v>
      </c>
      <c r="GQ1600" s="4">
        <v>22</v>
      </c>
      <c r="GR1600" s="4">
        <v>19</v>
      </c>
      <c r="GS1600" s="4">
        <v>17</v>
      </c>
      <c r="GT1600" s="4">
        <v>14</v>
      </c>
      <c r="GU1600" s="4">
        <v>12</v>
      </c>
      <c r="GV1600" s="4">
        <v>10</v>
      </c>
      <c r="GW1600" s="4">
        <v>73</v>
      </c>
      <c r="GX1600" s="4">
        <v>71</v>
      </c>
      <c r="GY1600" s="4">
        <v>69</v>
      </c>
      <c r="GZ1600" s="4">
        <v>66</v>
      </c>
      <c r="HA1600" s="4">
        <v>64</v>
      </c>
      <c r="HB1600" s="4">
        <v>62</v>
      </c>
      <c r="HC1600" s="4">
        <v>59</v>
      </c>
      <c r="HD1600" s="9"/>
      <c r="HE1600" s="9"/>
      <c r="HF1600" s="9"/>
      <c r="HG1600" s="9"/>
      <c r="HH1600" s="9"/>
      <c r="HI1600" s="9"/>
      <c r="HJ1600" s="9"/>
      <c r="HK1600" s="9"/>
      <c r="HL1600" s="9"/>
      <c r="HM1600" s="19">
        <v>8.6</v>
      </c>
      <c r="HN1600" s="19">
        <v>8.3</v>
      </c>
      <c r="HO1600" s="19">
        <v>9.3</v>
      </c>
      <c r="HP1600" s="19">
        <v>8.3</v>
      </c>
      <c r="HQ1600" s="19">
        <v>11</v>
      </c>
      <c r="HR1600" s="19">
        <v>9.5</v>
      </c>
      <c r="HS1600" s="19">
        <v>8.5</v>
      </c>
      <c r="HT1600" s="19">
        <v>7</v>
      </c>
      <c r="HU1600" s="19">
        <v>6</v>
      </c>
      <c r="HV1600" s="19">
        <v>5</v>
      </c>
      <c r="HW1600" s="19">
        <v>36.5</v>
      </c>
      <c r="HX1600" s="19">
        <v>35.5</v>
      </c>
      <c r="HY1600" s="19">
        <v>34.5</v>
      </c>
      <c r="HZ1600" s="19">
        <v>33</v>
      </c>
      <c r="IA1600" s="19">
        <v>32</v>
      </c>
      <c r="IB1600" s="19">
        <v>31</v>
      </c>
      <c r="IC1600" s="19">
        <v>29.5</v>
      </c>
    </row>
    <row r="1601">
      <c r="A1601" s="2" t="s">
        <v>5936</v>
      </c>
      <c r="B1601" s="2" t="s">
        <v>255</v>
      </c>
      <c r="C1601" s="2" t="s">
        <v>330</v>
      </c>
      <c r="D1601" s="2" t="s">
        <v>906</v>
      </c>
      <c r="E1601" s="2" t="s">
        <v>1301</v>
      </c>
      <c r="F1601" s="2" t="s">
        <v>5933</v>
      </c>
      <c r="G1601" s="2" t="s">
        <v>5933</v>
      </c>
      <c r="H1601" s="2" t="s">
        <v>5933</v>
      </c>
      <c r="I1601" s="2" t="s">
        <v>5937</v>
      </c>
      <c r="J1601" s="2" t="s">
        <v>365</v>
      </c>
      <c r="K1601" s="2" t="s">
        <v>5935</v>
      </c>
      <c r="L1601" s="3">
        <v>90.91</v>
      </c>
      <c r="M1601" s="3">
        <v>95.46</v>
      </c>
      <c r="N1601" s="3">
        <v>227.28</v>
      </c>
      <c r="O1601" s="2" t="s">
        <v>232</v>
      </c>
      <c r="P1601" s="2" t="s">
        <v>262</v>
      </c>
      <c r="Q1601" s="2" t="s">
        <v>234</v>
      </c>
      <c r="R1601" s="2" t="s">
        <v>235</v>
      </c>
      <c r="S1601" s="2" t="s">
        <v>235</v>
      </c>
      <c r="T1601" s="2" t="s">
        <v>1298</v>
      </c>
      <c r="U1601" s="2" t="s">
        <v>282</v>
      </c>
      <c r="V1601" s="2" t="s">
        <v>420</v>
      </c>
      <c r="W1601" s="2" t="s">
        <v>882</v>
      </c>
      <c r="X1601" s="2" t="s">
        <v>882</v>
      </c>
      <c r="Y1601" s="2" t="s">
        <v>235</v>
      </c>
      <c r="Z1601" s="4"/>
      <c r="AA1601" s="4">
        <f>=ROUNDDOWN({0},0)</f>
      </c>
      <c r="AB1601" s="5"/>
      <c r="AC1601" s="2" t="s">
        <v>574</v>
      </c>
      <c r="AD1601" s="4">
        <v>24</v>
      </c>
      <c r="AE1601" s="4">
        <v>24</v>
      </c>
      <c r="AF1601" s="6">
        <v>65</v>
      </c>
      <c r="AG1601" s="6"/>
      <c r="AH1601" s="7"/>
      <c r="AI1601" s="4"/>
      <c r="AJ1601" s="4">
        <f>=ROUNDDOWN({0},0)</f>
      </c>
      <c r="AK1601" s="5"/>
      <c r="AL1601" s="2" t="s">
        <v>235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235</v>
      </c>
      <c r="AW1601" s="8" t="s">
        <v>235</v>
      </c>
      <c r="AX1601" s="4" t="s">
        <v>235</v>
      </c>
      <c r="AY1601" s="8" t="s">
        <v>235</v>
      </c>
      <c r="AZ1601" s="7" t="s">
        <v>235</v>
      </c>
      <c r="BA1601" s="7" t="s">
        <v>235</v>
      </c>
      <c r="BB1601" s="7"/>
      <c r="BC1601" s="4" t="s">
        <v>235</v>
      </c>
      <c r="BD1601" s="8" t="s">
        <v>235</v>
      </c>
      <c r="BE1601" s="4" t="s">
        <v>235</v>
      </c>
      <c r="BF1601" s="8" t="s">
        <v>235</v>
      </c>
      <c r="BG1601" s="7" t="s">
        <v>235</v>
      </c>
      <c r="BH1601" s="7" t="s">
        <v>235</v>
      </c>
      <c r="BI1601" s="7"/>
      <c r="BJ1601" s="4"/>
      <c r="BK1601" s="8"/>
      <c r="BL1601" s="2" t="s">
        <v>235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330</v>
      </c>
      <c r="BV1601" s="2" t="s">
        <v>235</v>
      </c>
      <c r="BW1601" s="2" t="s">
        <v>235</v>
      </c>
      <c r="BX1601" s="2" t="s">
        <v>330</v>
      </c>
      <c r="BY1601" s="2" t="s">
        <v>331</v>
      </c>
      <c r="BZ1601" s="2" t="s">
        <v>232</v>
      </c>
      <c r="CA1601" s="2" t="s">
        <v>235</v>
      </c>
      <c r="CB1601" s="2" t="s">
        <v>235</v>
      </c>
      <c r="CC1601" s="2" t="s">
        <v>248</v>
      </c>
      <c r="CD1601" s="2" t="s">
        <v>248</v>
      </c>
      <c r="CE1601" s="2" t="s">
        <v>235</v>
      </c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>
        <v>24</v>
      </c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>
        <v>24</v>
      </c>
      <c r="GN1601" s="4">
        <v>23</v>
      </c>
      <c r="GO1601" s="4">
        <v>22</v>
      </c>
      <c r="GP1601" s="4">
        <v>21</v>
      </c>
      <c r="GQ1601" s="4">
        <v>19</v>
      </c>
      <c r="GR1601" s="4">
        <v>17</v>
      </c>
      <c r="GS1601" s="4">
        <v>15</v>
      </c>
      <c r="GT1601" s="4">
        <v>14</v>
      </c>
      <c r="GU1601" s="4">
        <v>13</v>
      </c>
      <c r="GV1601" s="4">
        <v>12</v>
      </c>
      <c r="GW1601" s="4">
        <v>26</v>
      </c>
      <c r="GX1601" s="4">
        <v>25</v>
      </c>
      <c r="GY1601" s="4">
        <v>25</v>
      </c>
      <c r="GZ1601" s="4">
        <v>24</v>
      </c>
      <c r="HA1601" s="4">
        <v>23</v>
      </c>
      <c r="HB1601" s="4">
        <v>22</v>
      </c>
      <c r="HC1601" s="4">
        <v>21</v>
      </c>
      <c r="HD1601" s="9"/>
      <c r="HE1601" s="9"/>
      <c r="HF1601" s="9"/>
      <c r="HG1601" s="9"/>
      <c r="HH1601" s="9"/>
      <c r="HI1601" s="9"/>
      <c r="HJ1601" s="9"/>
      <c r="HK1601" s="9"/>
      <c r="HL1601" s="9"/>
      <c r="HM1601" s="19">
        <v>24</v>
      </c>
      <c r="HN1601" s="19">
        <v>11.5</v>
      </c>
      <c r="HO1601" s="19">
        <v>11</v>
      </c>
      <c r="HP1601" s="19">
        <v>10.5</v>
      </c>
      <c r="HQ1601" s="19">
        <v>9.5</v>
      </c>
      <c r="HR1601" s="19">
        <v>17</v>
      </c>
      <c r="HS1601" s="19">
        <v>15</v>
      </c>
      <c r="HT1601" s="19">
        <v>14</v>
      </c>
      <c r="HU1601" s="19">
        <v>13</v>
      </c>
      <c r="HV1601" s="19">
        <v>12</v>
      </c>
      <c r="HW1601" s="19">
        <v>26</v>
      </c>
      <c r="HX1601" s="19">
        <v>25</v>
      </c>
      <c r="HY1601" s="19">
        <v>25</v>
      </c>
      <c r="HZ1601" s="19">
        <v>24</v>
      </c>
      <c r="IA1601" s="19">
        <v>23</v>
      </c>
      <c r="IB1601" s="19">
        <v>22</v>
      </c>
      <c r="IC1601" s="19">
        <v>21</v>
      </c>
    </row>
    <row r="1602">
      <c r="A1602" s="2" t="s">
        <v>5938</v>
      </c>
      <c r="B1602" s="2" t="s">
        <v>255</v>
      </c>
      <c r="C1602" s="2" t="s">
        <v>330</v>
      </c>
      <c r="D1602" s="2" t="s">
        <v>361</v>
      </c>
      <c r="E1602" s="2" t="s">
        <v>872</v>
      </c>
      <c r="F1602" s="2" t="s">
        <v>5933</v>
      </c>
      <c r="G1602" s="2" t="s">
        <v>5933</v>
      </c>
      <c r="H1602" s="2" t="s">
        <v>5933</v>
      </c>
      <c r="I1602" s="2" t="s">
        <v>5934</v>
      </c>
      <c r="J1602" s="2" t="s">
        <v>261</v>
      </c>
      <c r="K1602" s="2" t="s">
        <v>5935</v>
      </c>
      <c r="L1602" s="3">
        <v>114.55</v>
      </c>
      <c r="M1602" s="3">
        <v>120.28</v>
      </c>
      <c r="N1602" s="3">
        <v>286.38</v>
      </c>
      <c r="O1602" s="2" t="s">
        <v>232</v>
      </c>
      <c r="P1602" s="2" t="s">
        <v>262</v>
      </c>
      <c r="Q1602" s="2" t="s">
        <v>234</v>
      </c>
      <c r="R1602" s="2" t="s">
        <v>235</v>
      </c>
      <c r="S1602" s="2" t="s">
        <v>235</v>
      </c>
      <c r="T1602" s="2" t="s">
        <v>1298</v>
      </c>
      <c r="U1602" s="2" t="s">
        <v>614</v>
      </c>
      <c r="V1602" s="2" t="s">
        <v>420</v>
      </c>
      <c r="W1602" s="2" t="s">
        <v>882</v>
      </c>
      <c r="X1602" s="2" t="s">
        <v>882</v>
      </c>
      <c r="Y1602" s="2" t="s">
        <v>235</v>
      </c>
      <c r="Z1602" s="4"/>
      <c r="AA1602" s="4">
        <f>=ROUNDDOWN({0},0)</f>
      </c>
      <c r="AB1602" s="5"/>
      <c r="AC1602" s="2" t="s">
        <v>574</v>
      </c>
      <c r="AD1602" s="4">
        <v>182</v>
      </c>
      <c r="AE1602" s="4">
        <v>182</v>
      </c>
      <c r="AF1602" s="6">
        <v>65</v>
      </c>
      <c r="AG1602" s="6"/>
      <c r="AH1602" s="7"/>
      <c r="AI1602" s="4"/>
      <c r="AJ1602" s="4">
        <f>=ROUNDDOWN({0},0)</f>
      </c>
      <c r="AK1602" s="5"/>
      <c r="AL1602" s="2" t="s">
        <v>235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235</v>
      </c>
      <c r="AW1602" s="8" t="s">
        <v>235</v>
      </c>
      <c r="AX1602" s="4" t="s">
        <v>235</v>
      </c>
      <c r="AY1602" s="8" t="s">
        <v>235</v>
      </c>
      <c r="AZ1602" s="7" t="s">
        <v>235</v>
      </c>
      <c r="BA1602" s="7" t="s">
        <v>235</v>
      </c>
      <c r="BB1602" s="7"/>
      <c r="BC1602" s="4" t="s">
        <v>235</v>
      </c>
      <c r="BD1602" s="8" t="s">
        <v>235</v>
      </c>
      <c r="BE1602" s="4" t="s">
        <v>235</v>
      </c>
      <c r="BF1602" s="8" t="s">
        <v>235</v>
      </c>
      <c r="BG1602" s="7" t="s">
        <v>235</v>
      </c>
      <c r="BH1602" s="7" t="s">
        <v>235</v>
      </c>
      <c r="BI1602" s="7"/>
      <c r="BJ1602" s="4"/>
      <c r="BK1602" s="8"/>
      <c r="BL1602" s="2" t="s">
        <v>235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330</v>
      </c>
      <c r="BV1602" s="2" t="s">
        <v>235</v>
      </c>
      <c r="BW1602" s="2" t="s">
        <v>235</v>
      </c>
      <c r="BX1602" s="2" t="s">
        <v>330</v>
      </c>
      <c r="BY1602" s="2" t="s">
        <v>331</v>
      </c>
      <c r="BZ1602" s="2" t="s">
        <v>232</v>
      </c>
      <c r="CA1602" s="2" t="s">
        <v>235</v>
      </c>
      <c r="CB1602" s="2" t="s">
        <v>235</v>
      </c>
      <c r="CC1602" s="2" t="s">
        <v>248</v>
      </c>
      <c r="CD1602" s="2" t="s">
        <v>248</v>
      </c>
      <c r="CE1602" s="2" t="s">
        <v>235</v>
      </c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>
        <v>182</v>
      </c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>
        <v>182</v>
      </c>
      <c r="GN1602" s="4">
        <v>162</v>
      </c>
      <c r="GO1602" s="4">
        <v>153</v>
      </c>
      <c r="GP1602" s="4">
        <v>138</v>
      </c>
      <c r="GQ1602" s="4">
        <v>126</v>
      </c>
      <c r="GR1602" s="4">
        <v>111</v>
      </c>
      <c r="GS1602" s="4">
        <v>96</v>
      </c>
      <c r="GT1602" s="4">
        <v>87</v>
      </c>
      <c r="GU1602" s="4">
        <v>81</v>
      </c>
      <c r="GV1602" s="4">
        <v>68</v>
      </c>
      <c r="GW1602" s="4">
        <v>225</v>
      </c>
      <c r="GX1602" s="4">
        <v>219</v>
      </c>
      <c r="GY1602" s="4">
        <v>215</v>
      </c>
      <c r="GZ1602" s="4">
        <v>201</v>
      </c>
      <c r="HA1602" s="4">
        <v>195</v>
      </c>
      <c r="HB1602" s="4">
        <v>187</v>
      </c>
      <c r="HC1602" s="4">
        <v>179</v>
      </c>
      <c r="HD1602" s="9"/>
      <c r="HE1602" s="9"/>
      <c r="HF1602" s="9"/>
      <c r="HG1602" s="9"/>
      <c r="HH1602" s="9"/>
      <c r="HI1602" s="9"/>
      <c r="HJ1602" s="9"/>
      <c r="HK1602" s="9"/>
      <c r="HL1602" s="9"/>
      <c r="HM1602" s="19">
        <v>13</v>
      </c>
      <c r="HN1602" s="19">
        <v>12.5</v>
      </c>
      <c r="HO1602" s="19">
        <v>10.9</v>
      </c>
      <c r="HP1602" s="19">
        <v>10.6</v>
      </c>
      <c r="HQ1602" s="19">
        <v>11.5</v>
      </c>
      <c r="HR1602" s="19">
        <v>10.1</v>
      </c>
      <c r="HS1602" s="19">
        <v>10.7</v>
      </c>
      <c r="HT1602" s="19">
        <v>10.9</v>
      </c>
      <c r="HU1602" s="19">
        <v>10.1</v>
      </c>
      <c r="HV1602" s="19">
        <v>8.5</v>
      </c>
      <c r="HW1602" s="19">
        <v>28.1</v>
      </c>
      <c r="HX1602" s="19">
        <v>27.4</v>
      </c>
      <c r="HY1602" s="19">
        <v>23.9</v>
      </c>
      <c r="HZ1602" s="19">
        <v>25.1</v>
      </c>
      <c r="IA1602" s="19">
        <v>19.5</v>
      </c>
      <c r="IB1602" s="19">
        <v>18.7</v>
      </c>
      <c r="IC1602" s="19">
        <v>17.9</v>
      </c>
    </row>
    <row r="1603">
      <c r="A1603" s="2" t="s">
        <v>5939</v>
      </c>
      <c r="B1603" s="2" t="s">
        <v>255</v>
      </c>
      <c r="C1603" s="2" t="s">
        <v>330</v>
      </c>
      <c r="D1603" s="2" t="s">
        <v>361</v>
      </c>
      <c r="E1603" s="2" t="s">
        <v>872</v>
      </c>
      <c r="F1603" s="2" t="s">
        <v>5933</v>
      </c>
      <c r="G1603" s="2" t="s">
        <v>5933</v>
      </c>
      <c r="H1603" s="2" t="s">
        <v>5933</v>
      </c>
      <c r="I1603" s="2" t="s">
        <v>5934</v>
      </c>
      <c r="J1603" s="2" t="s">
        <v>270</v>
      </c>
      <c r="K1603" s="2" t="s">
        <v>5935</v>
      </c>
      <c r="L1603" s="3">
        <v>125.45</v>
      </c>
      <c r="M1603" s="3">
        <v>131.72</v>
      </c>
      <c r="N1603" s="3">
        <v>313.63</v>
      </c>
      <c r="O1603" s="2" t="s">
        <v>232</v>
      </c>
      <c r="P1603" s="2" t="s">
        <v>262</v>
      </c>
      <c r="Q1603" s="2" t="s">
        <v>234</v>
      </c>
      <c r="R1603" s="2" t="s">
        <v>235</v>
      </c>
      <c r="S1603" s="2" t="s">
        <v>235</v>
      </c>
      <c r="T1603" s="2" t="s">
        <v>1298</v>
      </c>
      <c r="U1603" s="2" t="s">
        <v>614</v>
      </c>
      <c r="V1603" s="2" t="s">
        <v>420</v>
      </c>
      <c r="W1603" s="2" t="s">
        <v>882</v>
      </c>
      <c r="X1603" s="2" t="s">
        <v>882</v>
      </c>
      <c r="Y1603" s="2" t="s">
        <v>235</v>
      </c>
      <c r="Z1603" s="4"/>
      <c r="AA1603" s="4">
        <f>=ROUNDDOWN({0},0)</f>
      </c>
      <c r="AB1603" s="5"/>
      <c r="AC1603" s="2" t="s">
        <v>574</v>
      </c>
      <c r="AD1603" s="4">
        <v>243</v>
      </c>
      <c r="AE1603" s="4">
        <v>243</v>
      </c>
      <c r="AF1603" s="6">
        <v>65</v>
      </c>
      <c r="AG1603" s="6"/>
      <c r="AH1603" s="7"/>
      <c r="AI1603" s="4"/>
      <c r="AJ1603" s="4">
        <f>=ROUNDDOWN({0},0)</f>
      </c>
      <c r="AK1603" s="5"/>
      <c r="AL1603" s="2" t="s">
        <v>235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235</v>
      </c>
      <c r="AW1603" s="8" t="s">
        <v>235</v>
      </c>
      <c r="AX1603" s="4" t="s">
        <v>235</v>
      </c>
      <c r="AY1603" s="8" t="s">
        <v>235</v>
      </c>
      <c r="AZ1603" s="7" t="s">
        <v>235</v>
      </c>
      <c r="BA1603" s="7" t="s">
        <v>235</v>
      </c>
      <c r="BB1603" s="7"/>
      <c r="BC1603" s="4" t="s">
        <v>235</v>
      </c>
      <c r="BD1603" s="8" t="s">
        <v>235</v>
      </c>
      <c r="BE1603" s="4" t="s">
        <v>235</v>
      </c>
      <c r="BF1603" s="8" t="s">
        <v>235</v>
      </c>
      <c r="BG1603" s="7" t="s">
        <v>235</v>
      </c>
      <c r="BH1603" s="7" t="s">
        <v>235</v>
      </c>
      <c r="BI1603" s="7"/>
      <c r="BJ1603" s="4"/>
      <c r="BK1603" s="8"/>
      <c r="BL1603" s="2" t="s">
        <v>235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330</v>
      </c>
      <c r="BV1603" s="2" t="s">
        <v>235</v>
      </c>
      <c r="BW1603" s="2" t="s">
        <v>235</v>
      </c>
      <c r="BX1603" s="2" t="s">
        <v>330</v>
      </c>
      <c r="BY1603" s="2" t="s">
        <v>331</v>
      </c>
      <c r="BZ1603" s="2" t="s">
        <v>232</v>
      </c>
      <c r="CA1603" s="2" t="s">
        <v>235</v>
      </c>
      <c r="CB1603" s="2" t="s">
        <v>235</v>
      </c>
      <c r="CC1603" s="2" t="s">
        <v>248</v>
      </c>
      <c r="CD1603" s="2" t="s">
        <v>248</v>
      </c>
      <c r="CE1603" s="2" t="s">
        <v>235</v>
      </c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>
        <v>243</v>
      </c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>
        <v>243</v>
      </c>
      <c r="GN1603" s="4">
        <v>225</v>
      </c>
      <c r="GO1603" s="4">
        <v>214</v>
      </c>
      <c r="GP1603" s="4">
        <v>206</v>
      </c>
      <c r="GQ1603" s="4">
        <v>194</v>
      </c>
      <c r="GR1603" s="4">
        <v>174</v>
      </c>
      <c r="GS1603" s="4">
        <v>157</v>
      </c>
      <c r="GT1603" s="4">
        <v>147</v>
      </c>
      <c r="GU1603" s="4">
        <v>140</v>
      </c>
      <c r="GV1603" s="4">
        <v>126</v>
      </c>
      <c r="GW1603" s="4">
        <v>284</v>
      </c>
      <c r="GX1603" s="4">
        <v>275</v>
      </c>
      <c r="GY1603" s="4">
        <v>267</v>
      </c>
      <c r="GZ1603" s="4">
        <v>259</v>
      </c>
      <c r="HA1603" s="4">
        <v>251</v>
      </c>
      <c r="HB1603" s="4">
        <v>241</v>
      </c>
      <c r="HC1603" s="4">
        <v>229</v>
      </c>
      <c r="HD1603" s="9"/>
      <c r="HE1603" s="9"/>
      <c r="HF1603" s="9"/>
      <c r="HG1603" s="9"/>
      <c r="HH1603" s="9"/>
      <c r="HI1603" s="9"/>
      <c r="HJ1603" s="9"/>
      <c r="HK1603" s="9"/>
      <c r="HL1603" s="9"/>
      <c r="HM1603" s="19">
        <v>20.3</v>
      </c>
      <c r="HN1603" s="19">
        <v>17.3</v>
      </c>
      <c r="HO1603" s="19">
        <v>15.3</v>
      </c>
      <c r="HP1603" s="19">
        <v>13.7</v>
      </c>
      <c r="HQ1603" s="19">
        <v>13.9</v>
      </c>
      <c r="HR1603" s="19">
        <v>14.5</v>
      </c>
      <c r="HS1603" s="19">
        <v>15.7</v>
      </c>
      <c r="HT1603" s="19">
        <v>14.7</v>
      </c>
      <c r="HU1603" s="19">
        <v>14</v>
      </c>
      <c r="HV1603" s="19">
        <v>14</v>
      </c>
      <c r="HW1603" s="19">
        <v>35.5</v>
      </c>
      <c r="HX1603" s="19">
        <v>34.4</v>
      </c>
      <c r="HY1603" s="19">
        <v>26.7</v>
      </c>
      <c r="HZ1603" s="19">
        <v>25.9</v>
      </c>
      <c r="IA1603" s="19">
        <v>25.1</v>
      </c>
      <c r="IB1603" s="19">
        <v>21.9</v>
      </c>
      <c r="IC1603" s="19">
        <v>20.8</v>
      </c>
    </row>
    <row r="1604">
      <c r="A1604" s="2" t="s">
        <v>5940</v>
      </c>
      <c r="B1604" s="2" t="s">
        <v>255</v>
      </c>
      <c r="C1604" s="2" t="s">
        <v>330</v>
      </c>
      <c r="D1604" s="2" t="s">
        <v>906</v>
      </c>
      <c r="E1604" s="2" t="s">
        <v>1301</v>
      </c>
      <c r="F1604" s="2" t="s">
        <v>5933</v>
      </c>
      <c r="G1604" s="2" t="s">
        <v>5933</v>
      </c>
      <c r="H1604" s="2" t="s">
        <v>5933</v>
      </c>
      <c r="I1604" s="2" t="s">
        <v>5937</v>
      </c>
      <c r="J1604" s="2" t="s">
        <v>372</v>
      </c>
      <c r="K1604" s="2" t="s">
        <v>5935</v>
      </c>
      <c r="L1604" s="3">
        <v>102.27</v>
      </c>
      <c r="M1604" s="3">
        <v>107.38</v>
      </c>
      <c r="N1604" s="3">
        <v>255.68</v>
      </c>
      <c r="O1604" s="2" t="s">
        <v>232</v>
      </c>
      <c r="P1604" s="2" t="s">
        <v>262</v>
      </c>
      <c r="Q1604" s="2" t="s">
        <v>234</v>
      </c>
      <c r="R1604" s="2" t="s">
        <v>235</v>
      </c>
      <c r="S1604" s="2" t="s">
        <v>235</v>
      </c>
      <c r="T1604" s="2" t="s">
        <v>1298</v>
      </c>
      <c r="U1604" s="2" t="s">
        <v>282</v>
      </c>
      <c r="V1604" s="2" t="s">
        <v>420</v>
      </c>
      <c r="W1604" s="2" t="s">
        <v>882</v>
      </c>
      <c r="X1604" s="2" t="s">
        <v>882</v>
      </c>
      <c r="Y1604" s="2" t="s">
        <v>235</v>
      </c>
      <c r="Z1604" s="4"/>
      <c r="AA1604" s="4">
        <f>=ROUNDDOWN({0},0)</f>
      </c>
      <c r="AB1604" s="5"/>
      <c r="AC1604" s="2" t="s">
        <v>574</v>
      </c>
      <c r="AD1604" s="4">
        <v>29</v>
      </c>
      <c r="AE1604" s="4">
        <v>29</v>
      </c>
      <c r="AF1604" s="6">
        <v>65</v>
      </c>
      <c r="AG1604" s="6"/>
      <c r="AH1604" s="7"/>
      <c r="AI1604" s="4"/>
      <c r="AJ1604" s="4">
        <f>=ROUNDDOWN({0},0)</f>
      </c>
      <c r="AK1604" s="5"/>
      <c r="AL1604" s="2" t="s">
        <v>235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235</v>
      </c>
      <c r="AW1604" s="8" t="s">
        <v>235</v>
      </c>
      <c r="AX1604" s="4" t="s">
        <v>235</v>
      </c>
      <c r="AY1604" s="8" t="s">
        <v>235</v>
      </c>
      <c r="AZ1604" s="7" t="s">
        <v>235</v>
      </c>
      <c r="BA1604" s="7" t="s">
        <v>235</v>
      </c>
      <c r="BB1604" s="7"/>
      <c r="BC1604" s="4" t="s">
        <v>235</v>
      </c>
      <c r="BD1604" s="8" t="s">
        <v>235</v>
      </c>
      <c r="BE1604" s="4" t="s">
        <v>235</v>
      </c>
      <c r="BF1604" s="8" t="s">
        <v>235</v>
      </c>
      <c r="BG1604" s="7" t="s">
        <v>235</v>
      </c>
      <c r="BH1604" s="7" t="s">
        <v>235</v>
      </c>
      <c r="BI1604" s="7"/>
      <c r="BJ1604" s="4"/>
      <c r="BK1604" s="8"/>
      <c r="BL1604" s="2" t="s">
        <v>235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330</v>
      </c>
      <c r="BV1604" s="2" t="s">
        <v>235</v>
      </c>
      <c r="BW1604" s="2" t="s">
        <v>235</v>
      </c>
      <c r="BX1604" s="2" t="s">
        <v>330</v>
      </c>
      <c r="BY1604" s="2" t="s">
        <v>331</v>
      </c>
      <c r="BZ1604" s="2" t="s">
        <v>232</v>
      </c>
      <c r="CA1604" s="2" t="s">
        <v>235</v>
      </c>
      <c r="CB1604" s="2" t="s">
        <v>235</v>
      </c>
      <c r="CC1604" s="2" t="s">
        <v>248</v>
      </c>
      <c r="CD1604" s="2" t="s">
        <v>248</v>
      </c>
      <c r="CE1604" s="2" t="s">
        <v>235</v>
      </c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>
        <v>29</v>
      </c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>
        <v>29</v>
      </c>
      <c r="GN1604" s="4">
        <v>28</v>
      </c>
      <c r="GO1604" s="4">
        <v>27</v>
      </c>
      <c r="GP1604" s="4">
        <v>25</v>
      </c>
      <c r="GQ1604" s="4">
        <v>24</v>
      </c>
      <c r="GR1604" s="4">
        <v>22</v>
      </c>
      <c r="GS1604" s="4">
        <v>21</v>
      </c>
      <c r="GT1604" s="4">
        <v>20</v>
      </c>
      <c r="GU1604" s="4">
        <v>19</v>
      </c>
      <c r="GV1604" s="4">
        <v>18</v>
      </c>
      <c r="GW1604" s="4">
        <v>28</v>
      </c>
      <c r="GX1604" s="4">
        <v>27</v>
      </c>
      <c r="GY1604" s="4">
        <v>26</v>
      </c>
      <c r="GZ1604" s="4">
        <v>25</v>
      </c>
      <c r="HA1604" s="4">
        <v>24</v>
      </c>
      <c r="HB1604" s="4">
        <v>24</v>
      </c>
      <c r="HC1604" s="4">
        <v>23</v>
      </c>
      <c r="HD1604" s="9"/>
      <c r="HE1604" s="9"/>
      <c r="HF1604" s="9"/>
      <c r="HG1604" s="9"/>
      <c r="HH1604" s="9"/>
      <c r="HI1604" s="9"/>
      <c r="HJ1604" s="9"/>
      <c r="HK1604" s="9"/>
      <c r="HL1604" s="9"/>
      <c r="HM1604" s="19">
        <v>29</v>
      </c>
      <c r="HN1604" s="19">
        <v>14</v>
      </c>
      <c r="HO1604" s="19">
        <v>13.5</v>
      </c>
      <c r="HP1604" s="19">
        <v>25</v>
      </c>
      <c r="HQ1604" s="19">
        <v>24</v>
      </c>
      <c r="HR1604" s="19">
        <v>22</v>
      </c>
      <c r="HS1604" s="19">
        <v>21</v>
      </c>
      <c r="HT1604" s="19">
        <v>20</v>
      </c>
      <c r="HU1604" s="19">
        <v>19</v>
      </c>
      <c r="HV1604" s="19">
        <v>18</v>
      </c>
      <c r="HW1604" s="19">
        <v>28</v>
      </c>
      <c r="HX1604" s="19">
        <v>27</v>
      </c>
      <c r="HY1604" s="19">
        <v>26</v>
      </c>
      <c r="HZ1604" s="20">
        <v>0</v>
      </c>
      <c r="IA1604" s="9"/>
      <c r="IB1604" s="19">
        <v>24</v>
      </c>
      <c r="IC1604" s="19">
        <v>23</v>
      </c>
    </row>
    <row r="1605">
      <c r="A1605" s="2" t="s">
        <v>5941</v>
      </c>
      <c r="B1605" s="2" t="s">
        <v>255</v>
      </c>
      <c r="C1605" s="2" t="s">
        <v>330</v>
      </c>
      <c r="D1605" s="2" t="s">
        <v>361</v>
      </c>
      <c r="E1605" s="2" t="s">
        <v>872</v>
      </c>
      <c r="F1605" s="2" t="s">
        <v>5933</v>
      </c>
      <c r="G1605" s="2" t="s">
        <v>5933</v>
      </c>
      <c r="H1605" s="2" t="s">
        <v>5933</v>
      </c>
      <c r="I1605" s="2" t="s">
        <v>5934</v>
      </c>
      <c r="J1605" s="2" t="s">
        <v>272</v>
      </c>
      <c r="K1605" s="2" t="s">
        <v>5935</v>
      </c>
      <c r="L1605" s="3">
        <v>125.45</v>
      </c>
      <c r="M1605" s="3">
        <v>131.72</v>
      </c>
      <c r="N1605" s="3">
        <v>313.63</v>
      </c>
      <c r="O1605" s="2" t="s">
        <v>232</v>
      </c>
      <c r="P1605" s="2" t="s">
        <v>262</v>
      </c>
      <c r="Q1605" s="2" t="s">
        <v>234</v>
      </c>
      <c r="R1605" s="2" t="s">
        <v>235</v>
      </c>
      <c r="S1605" s="2" t="s">
        <v>235</v>
      </c>
      <c r="T1605" s="2" t="s">
        <v>1298</v>
      </c>
      <c r="U1605" s="2" t="s">
        <v>614</v>
      </c>
      <c r="V1605" s="2" t="s">
        <v>420</v>
      </c>
      <c r="W1605" s="2" t="s">
        <v>882</v>
      </c>
      <c r="X1605" s="2" t="s">
        <v>882</v>
      </c>
      <c r="Y1605" s="2" t="s">
        <v>235</v>
      </c>
      <c r="Z1605" s="4"/>
      <c r="AA1605" s="4">
        <f>=ROUNDDOWN({0},0)</f>
      </c>
      <c r="AB1605" s="5"/>
      <c r="AC1605" s="2" t="s">
        <v>574</v>
      </c>
      <c r="AD1605" s="4">
        <v>79</v>
      </c>
      <c r="AE1605" s="4">
        <v>79</v>
      </c>
      <c r="AF1605" s="6">
        <v>65</v>
      </c>
      <c r="AG1605" s="6"/>
      <c r="AH1605" s="7"/>
      <c r="AI1605" s="4"/>
      <c r="AJ1605" s="4">
        <f>=ROUNDDOWN({0},0)</f>
      </c>
      <c r="AK1605" s="5"/>
      <c r="AL1605" s="2" t="s">
        <v>235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235</v>
      </c>
      <c r="AW1605" s="8" t="s">
        <v>235</v>
      </c>
      <c r="AX1605" s="4" t="s">
        <v>235</v>
      </c>
      <c r="AY1605" s="8" t="s">
        <v>235</v>
      </c>
      <c r="AZ1605" s="7" t="s">
        <v>235</v>
      </c>
      <c r="BA1605" s="7" t="s">
        <v>235</v>
      </c>
      <c r="BB1605" s="7"/>
      <c r="BC1605" s="4" t="s">
        <v>235</v>
      </c>
      <c r="BD1605" s="8" t="s">
        <v>235</v>
      </c>
      <c r="BE1605" s="4" t="s">
        <v>235</v>
      </c>
      <c r="BF1605" s="8" t="s">
        <v>235</v>
      </c>
      <c r="BG1605" s="7" t="s">
        <v>235</v>
      </c>
      <c r="BH1605" s="7" t="s">
        <v>235</v>
      </c>
      <c r="BI1605" s="7"/>
      <c r="BJ1605" s="4"/>
      <c r="BK1605" s="8"/>
      <c r="BL1605" s="2" t="s">
        <v>235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330</v>
      </c>
      <c r="BV1605" s="2" t="s">
        <v>235</v>
      </c>
      <c r="BW1605" s="2" t="s">
        <v>235</v>
      </c>
      <c r="BX1605" s="2" t="s">
        <v>330</v>
      </c>
      <c r="BY1605" s="2" t="s">
        <v>331</v>
      </c>
      <c r="BZ1605" s="2" t="s">
        <v>232</v>
      </c>
      <c r="CA1605" s="2" t="s">
        <v>235</v>
      </c>
      <c r="CB1605" s="2" t="s">
        <v>235</v>
      </c>
      <c r="CC1605" s="2" t="s">
        <v>248</v>
      </c>
      <c r="CD1605" s="2" t="s">
        <v>248</v>
      </c>
      <c r="CE1605" s="2" t="s">
        <v>235</v>
      </c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>
        <v>79</v>
      </c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>
        <v>79</v>
      </c>
      <c r="GN1605" s="4">
        <v>74</v>
      </c>
      <c r="GO1605" s="4">
        <v>70</v>
      </c>
      <c r="GP1605" s="4">
        <v>64</v>
      </c>
      <c r="GQ1605" s="4">
        <v>59</v>
      </c>
      <c r="GR1605" s="4">
        <v>53</v>
      </c>
      <c r="GS1605" s="4">
        <v>51</v>
      </c>
      <c r="GT1605" s="4">
        <v>46</v>
      </c>
      <c r="GU1605" s="4">
        <v>44</v>
      </c>
      <c r="GV1605" s="4">
        <v>38</v>
      </c>
      <c r="GW1605" s="4">
        <v>120</v>
      </c>
      <c r="GX1605" s="4">
        <v>118</v>
      </c>
      <c r="GY1605" s="4">
        <v>113</v>
      </c>
      <c r="GZ1605" s="4">
        <v>110</v>
      </c>
      <c r="HA1605" s="4">
        <v>104</v>
      </c>
      <c r="HB1605" s="4">
        <v>100</v>
      </c>
      <c r="HC1605" s="4">
        <v>94</v>
      </c>
      <c r="HD1605" s="9"/>
      <c r="HE1605" s="9"/>
      <c r="HF1605" s="9"/>
      <c r="HG1605" s="9"/>
      <c r="HH1605" s="9"/>
      <c r="HI1605" s="9"/>
      <c r="HJ1605" s="9"/>
      <c r="HK1605" s="9"/>
      <c r="HL1605" s="9"/>
      <c r="HM1605" s="19">
        <v>15.8</v>
      </c>
      <c r="HN1605" s="19">
        <v>14.8</v>
      </c>
      <c r="HO1605" s="19">
        <v>14</v>
      </c>
      <c r="HP1605" s="19">
        <v>16</v>
      </c>
      <c r="HQ1605" s="19">
        <v>14.8</v>
      </c>
      <c r="HR1605" s="19">
        <v>13.3</v>
      </c>
      <c r="HS1605" s="19">
        <v>12.8</v>
      </c>
      <c r="HT1605" s="19">
        <v>11.5</v>
      </c>
      <c r="HU1605" s="19">
        <v>11</v>
      </c>
      <c r="HV1605" s="19">
        <v>9.5</v>
      </c>
      <c r="HW1605" s="19">
        <v>30</v>
      </c>
      <c r="HX1605" s="19">
        <v>29.5</v>
      </c>
      <c r="HY1605" s="19">
        <v>22.6</v>
      </c>
      <c r="HZ1605" s="19">
        <v>22</v>
      </c>
      <c r="IA1605" s="19">
        <v>26</v>
      </c>
      <c r="IB1605" s="19">
        <v>16.7</v>
      </c>
      <c r="IC1605" s="19">
        <v>18.8</v>
      </c>
    </row>
    <row r="1606">
      <c r="A1606" s="2" t="s">
        <v>5942</v>
      </c>
      <c r="B1606" s="2" t="s">
        <v>817</v>
      </c>
      <c r="C1606" s="2" t="s">
        <v>324</v>
      </c>
      <c r="D1606" s="2" t="s">
        <v>818</v>
      </c>
      <c r="E1606" s="2" t="s">
        <v>1689</v>
      </c>
      <c r="F1606" s="2" t="s">
        <v>5943</v>
      </c>
      <c r="G1606" s="2" t="s">
        <v>5943</v>
      </c>
      <c r="H1606" s="2" t="s">
        <v>5943</v>
      </c>
      <c r="I1606" s="2" t="s">
        <v>5944</v>
      </c>
      <c r="J1606" s="2" t="s">
        <v>806</v>
      </c>
      <c r="K1606" s="2" t="s">
        <v>378</v>
      </c>
      <c r="L1606" s="3">
        <v>61.71</v>
      </c>
      <c r="M1606" s="3">
        <v>64.8</v>
      </c>
      <c r="N1606" s="3">
        <v>127.49</v>
      </c>
      <c r="O1606" s="2" t="s">
        <v>407</v>
      </c>
      <c r="P1606" s="2" t="s">
        <v>624</v>
      </c>
      <c r="Q1606" s="2" t="s">
        <v>234</v>
      </c>
      <c r="R1606" s="2" t="s">
        <v>235</v>
      </c>
      <c r="S1606" s="2" t="s">
        <v>5945</v>
      </c>
      <c r="T1606" s="2" t="s">
        <v>235</v>
      </c>
      <c r="U1606" s="2" t="s">
        <v>278</v>
      </c>
      <c r="V1606" s="2" t="s">
        <v>824</v>
      </c>
      <c r="W1606" s="2" t="s">
        <v>682</v>
      </c>
      <c r="X1606" s="2" t="s">
        <v>329</v>
      </c>
      <c r="Y1606" s="2" t="s">
        <v>825</v>
      </c>
      <c r="Z1606" s="4">
        <v>54</v>
      </c>
      <c r="AA1606" s="4">
        <f>=ROUNDDOWN(12.8571428571429,0)</f>
      </c>
      <c r="AB1606" s="5">
        <v>4.2</v>
      </c>
      <c r="AC1606" s="2" t="s">
        <v>235</v>
      </c>
      <c r="AD1606" s="4"/>
      <c r="AE1606" s="4"/>
      <c r="AF1606" s="6">
        <v>61</v>
      </c>
      <c r="AG1606" s="6"/>
      <c r="AH1606" s="7">
        <v>1</v>
      </c>
      <c r="AI1606" s="4"/>
      <c r="AJ1606" s="4">
        <f>=ROUNDDOWN({0},0)</f>
      </c>
      <c r="AK1606" s="5"/>
      <c r="AL1606" s="2" t="s">
        <v>235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/>
      <c r="BD1606" s="8"/>
      <c r="BE1606" s="4"/>
      <c r="BF1606" s="8"/>
      <c r="BG1606" s="7"/>
      <c r="BH1606" s="7"/>
      <c r="BI1606" s="7"/>
      <c r="BJ1606" s="4">
        <v>15</v>
      </c>
      <c r="BK1606" s="8">
        <v>1085.63</v>
      </c>
      <c r="BL1606" s="2" t="s">
        <v>5946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5947</v>
      </c>
      <c r="BV1606" s="2" t="s">
        <v>828</v>
      </c>
      <c r="BW1606" s="2" t="s">
        <v>235</v>
      </c>
      <c r="BX1606" s="2" t="s">
        <v>414</v>
      </c>
      <c r="BY1606" s="2" t="s">
        <v>245</v>
      </c>
      <c r="BZ1606" s="2" t="s">
        <v>232</v>
      </c>
      <c r="CA1606" s="2" t="s">
        <v>829</v>
      </c>
      <c r="CB1606" s="2" t="s">
        <v>5948</v>
      </c>
      <c r="CC1606" s="2" t="s">
        <v>248</v>
      </c>
      <c r="CD1606" s="2" t="s">
        <v>248</v>
      </c>
      <c r="CE1606" s="2" t="s">
        <v>235</v>
      </c>
      <c r="CF1606" s="4"/>
      <c r="CG1606" s="4">
        <v>54</v>
      </c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>
        <v>59</v>
      </c>
      <c r="GE1606" s="4">
        <v>45</v>
      </c>
      <c r="GF1606" s="4">
        <v>40</v>
      </c>
      <c r="GG1606" s="4">
        <v>35</v>
      </c>
      <c r="GH1606" s="4">
        <v>30</v>
      </c>
      <c r="GI1606" s="4">
        <v>25</v>
      </c>
      <c r="GJ1606" s="4">
        <v>20</v>
      </c>
      <c r="GK1606" s="4">
        <v>15</v>
      </c>
      <c r="GL1606" s="4">
        <v>10</v>
      </c>
      <c r="GM1606" s="4">
        <v>5</v>
      </c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19">
        <v>8.4</v>
      </c>
      <c r="HE1606" s="19">
        <v>9</v>
      </c>
      <c r="HF1606" s="19">
        <v>8</v>
      </c>
      <c r="HG1606" s="19">
        <v>7</v>
      </c>
      <c r="HH1606" s="19">
        <v>6</v>
      </c>
      <c r="HI1606" s="19">
        <v>5</v>
      </c>
      <c r="HJ1606" s="19">
        <v>4</v>
      </c>
      <c r="HK1606" s="19">
        <v>3</v>
      </c>
      <c r="HL1606" s="19">
        <v>2.5</v>
      </c>
      <c r="HM1606" s="19">
        <v>1.3</v>
      </c>
      <c r="HN1606" s="20">
        <v>0</v>
      </c>
      <c r="HO1606" s="20">
        <v>0</v>
      </c>
      <c r="HP1606" s="20">
        <v>0</v>
      </c>
      <c r="HQ1606" s="20">
        <v>0</v>
      </c>
      <c r="HR1606" s="20">
        <v>0</v>
      </c>
      <c r="HS1606" s="20">
        <v>0</v>
      </c>
      <c r="HT1606" s="20">
        <v>0</v>
      </c>
      <c r="HU1606" s="20">
        <v>0</v>
      </c>
      <c r="HV1606" s="20">
        <v>0</v>
      </c>
      <c r="HW1606" s="20">
        <v>0</v>
      </c>
      <c r="HX1606" s="20">
        <v>0</v>
      </c>
      <c r="HY1606" s="20">
        <v>0</v>
      </c>
      <c r="HZ1606" s="20">
        <v>0</v>
      </c>
      <c r="IA1606" s="20">
        <v>0</v>
      </c>
      <c r="IB1606" s="20">
        <v>0</v>
      </c>
      <c r="IC1606" s="20">
        <v>0</v>
      </c>
    </row>
    <row r="1607">
      <c r="A1607" s="2" t="s">
        <v>5949</v>
      </c>
      <c r="B1607" s="2" t="s">
        <v>871</v>
      </c>
      <c r="C1607" s="2" t="s">
        <v>360</v>
      </c>
      <c r="D1607" s="2" t="s">
        <v>361</v>
      </c>
      <c r="E1607" s="2" t="s">
        <v>872</v>
      </c>
      <c r="F1607" s="2" t="s">
        <v>5950</v>
      </c>
      <c r="G1607" s="2" t="s">
        <v>5950</v>
      </c>
      <c r="H1607" s="2" t="s">
        <v>5950</v>
      </c>
      <c r="I1607" s="2" t="s">
        <v>5951</v>
      </c>
      <c r="J1607" s="2" t="s">
        <v>372</v>
      </c>
      <c r="K1607" s="2" t="s">
        <v>231</v>
      </c>
      <c r="L1607" s="3">
        <v>175</v>
      </c>
      <c r="M1607" s="3">
        <v>183.75</v>
      </c>
      <c r="N1607" s="3">
        <v>349.99</v>
      </c>
      <c r="O1607" s="2" t="s">
        <v>232</v>
      </c>
      <c r="P1607" s="2" t="s">
        <v>233</v>
      </c>
      <c r="Q1607" s="2" t="s">
        <v>234</v>
      </c>
      <c r="R1607" s="2" t="s">
        <v>235</v>
      </c>
      <c r="S1607" s="2" t="s">
        <v>5952</v>
      </c>
      <c r="T1607" s="2" t="s">
        <v>1298</v>
      </c>
      <c r="U1607" s="2" t="s">
        <v>3619</v>
      </c>
      <c r="V1607" s="2" t="s">
        <v>420</v>
      </c>
      <c r="W1607" s="2" t="s">
        <v>1029</v>
      </c>
      <c r="X1607" s="2" t="s">
        <v>1354</v>
      </c>
      <c r="Y1607" s="2" t="s">
        <v>3807</v>
      </c>
      <c r="Z1607" s="4">
        <v>2</v>
      </c>
      <c r="AA1607" s="4">
        <f>=ROUNDDOWN(0.333333333333333,0)</f>
      </c>
      <c r="AB1607" s="5">
        <v>6</v>
      </c>
      <c r="AC1607" s="2" t="s">
        <v>235</v>
      </c>
      <c r="AD1607" s="4"/>
      <c r="AE1607" s="4"/>
      <c r="AF1607" s="6">
        <v>75</v>
      </c>
      <c r="AG1607" s="6"/>
      <c r="AH1607" s="7">
        <v>0.129</v>
      </c>
      <c r="AI1607" s="4"/>
      <c r="AJ1607" s="4">
        <f>=ROUNDDOWN({0},0)</f>
      </c>
      <c r="AK1607" s="5"/>
      <c r="AL1607" s="2" t="s">
        <v>235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/>
      <c r="BD1607" s="8"/>
      <c r="BE1607" s="4"/>
      <c r="BF1607" s="8"/>
      <c r="BG1607" s="7"/>
      <c r="BH1607" s="7"/>
      <c r="BI1607" s="7"/>
      <c r="BJ1607" s="4">
        <v>8</v>
      </c>
      <c r="BK1607" s="8">
        <v>1599.01</v>
      </c>
      <c r="BL1607" s="2" t="s">
        <v>5953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5954</v>
      </c>
      <c r="BV1607" s="2" t="s">
        <v>243</v>
      </c>
      <c r="BW1607" s="2" t="s">
        <v>235</v>
      </c>
      <c r="BX1607" s="2" t="s">
        <v>244</v>
      </c>
      <c r="BY1607" s="2" t="s">
        <v>245</v>
      </c>
      <c r="BZ1607" s="2" t="s">
        <v>232</v>
      </c>
      <c r="CA1607" s="2" t="s">
        <v>1526</v>
      </c>
      <c r="CB1607" s="2" t="s">
        <v>3007</v>
      </c>
      <c r="CC1607" s="2" t="s">
        <v>492</v>
      </c>
      <c r="CD1607" s="2" t="s">
        <v>248</v>
      </c>
      <c r="CE1607" s="2" t="s">
        <v>235</v>
      </c>
      <c r="CF1607" s="4">
        <v>2</v>
      </c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>
        <v>2</v>
      </c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>
        <v>325</v>
      </c>
      <c r="HA1607" s="4">
        <v>319</v>
      </c>
      <c r="HB1607" s="4">
        <v>313</v>
      </c>
      <c r="HC1607" s="4">
        <v>306</v>
      </c>
      <c r="HD1607" s="19">
        <v>0.3</v>
      </c>
      <c r="HE1607" s="20">
        <v>0</v>
      </c>
      <c r="HF1607" s="20">
        <v>0</v>
      </c>
      <c r="HG1607" s="20">
        <v>0</v>
      </c>
      <c r="HH1607" s="20">
        <v>0</v>
      </c>
      <c r="HI1607" s="20">
        <v>0</v>
      </c>
      <c r="HJ1607" s="20">
        <v>0</v>
      </c>
      <c r="HK1607" s="20">
        <v>0</v>
      </c>
      <c r="HL1607" s="20">
        <v>0</v>
      </c>
      <c r="HM1607" s="20">
        <v>0</v>
      </c>
      <c r="HN1607" s="20">
        <v>0</v>
      </c>
      <c r="HO1607" s="20">
        <v>0</v>
      </c>
      <c r="HP1607" s="20">
        <v>0</v>
      </c>
      <c r="HQ1607" s="20">
        <v>0</v>
      </c>
      <c r="HR1607" s="20">
        <v>0</v>
      </c>
      <c r="HS1607" s="20">
        <v>0</v>
      </c>
      <c r="HT1607" s="20">
        <v>0</v>
      </c>
      <c r="HU1607" s="20">
        <v>0</v>
      </c>
      <c r="HV1607" s="20">
        <v>0</v>
      </c>
      <c r="HW1607" s="20">
        <v>0</v>
      </c>
      <c r="HX1607" s="20">
        <v>0</v>
      </c>
      <c r="HY1607" s="20">
        <v>0</v>
      </c>
      <c r="HZ1607" s="19">
        <v>54.2</v>
      </c>
      <c r="IA1607" s="19">
        <v>53.2</v>
      </c>
      <c r="IB1607" s="19">
        <v>52.2</v>
      </c>
      <c r="IC1607" s="19">
        <v>51</v>
      </c>
    </row>
    <row r="1608">
      <c r="A1608" s="2" t="s">
        <v>5955</v>
      </c>
      <c r="B1608" s="2" t="s">
        <v>1139</v>
      </c>
      <c r="C1608" s="2" t="s">
        <v>853</v>
      </c>
      <c r="D1608" s="2" t="s">
        <v>5956</v>
      </c>
      <c r="E1608" s="2" t="s">
        <v>608</v>
      </c>
      <c r="F1608" s="2" t="s">
        <v>5957</v>
      </c>
      <c r="G1608" s="2" t="s">
        <v>5958</v>
      </c>
      <c r="H1608" s="2" t="s">
        <v>5959</v>
      </c>
      <c r="I1608" s="2" t="s">
        <v>5960</v>
      </c>
      <c r="J1608" s="2" t="s">
        <v>611</v>
      </c>
      <c r="K1608" s="2" t="s">
        <v>292</v>
      </c>
      <c r="L1608" s="3">
        <v>26.4</v>
      </c>
      <c r="M1608" s="3">
        <v>27.72</v>
      </c>
      <c r="N1608" s="3">
        <v>54.99</v>
      </c>
      <c r="O1608" s="2" t="s">
        <v>232</v>
      </c>
      <c r="P1608" s="2" t="s">
        <v>1282</v>
      </c>
      <c r="Q1608" s="2" t="s">
        <v>234</v>
      </c>
      <c r="R1608" s="2" t="s">
        <v>235</v>
      </c>
      <c r="S1608" s="2" t="s">
        <v>5961</v>
      </c>
      <c r="T1608" s="2" t="s">
        <v>235</v>
      </c>
      <c r="U1608" s="2" t="s">
        <v>235</v>
      </c>
      <c r="V1608" s="2" t="s">
        <v>2391</v>
      </c>
      <c r="W1608" s="2" t="s">
        <v>239</v>
      </c>
      <c r="X1608" s="2" t="s">
        <v>235</v>
      </c>
      <c r="Y1608" s="2" t="s">
        <v>240</v>
      </c>
      <c r="Z1608" s="4">
        <v>820</v>
      </c>
      <c r="AA1608" s="4">
        <f>=ROUNDDOWN(256.25,0)</f>
      </c>
      <c r="AB1608" s="5">
        <v>3.2</v>
      </c>
      <c r="AC1608" s="2" t="s">
        <v>235</v>
      </c>
      <c r="AD1608" s="4"/>
      <c r="AE1608" s="4"/>
      <c r="AF1608" s="6">
        <v>81</v>
      </c>
      <c r="AG1608" s="6"/>
      <c r="AH1608" s="7">
        <v>1</v>
      </c>
      <c r="AI1608" s="4"/>
      <c r="AJ1608" s="4">
        <f>=ROUNDDOWN({0},0)</f>
      </c>
      <c r="AK1608" s="5"/>
      <c r="AL1608" s="2" t="s">
        <v>235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/>
      <c r="BD1608" s="8"/>
      <c r="BE1608" s="4"/>
      <c r="BF1608" s="8"/>
      <c r="BG1608" s="7"/>
      <c r="BH1608" s="7"/>
      <c r="BI1608" s="7"/>
      <c r="BJ1608" s="4">
        <v>14</v>
      </c>
      <c r="BK1608" s="8">
        <v>406.38</v>
      </c>
      <c r="BL1608" s="2" t="s">
        <v>5962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5963</v>
      </c>
      <c r="BV1608" s="2" t="s">
        <v>618</v>
      </c>
      <c r="BW1608" s="2" t="s">
        <v>235</v>
      </c>
      <c r="BX1608" s="2" t="s">
        <v>244</v>
      </c>
      <c r="BY1608" s="2" t="s">
        <v>245</v>
      </c>
      <c r="BZ1608" s="2" t="s">
        <v>232</v>
      </c>
      <c r="CA1608" s="2" t="s">
        <v>252</v>
      </c>
      <c r="CB1608" s="2" t="s">
        <v>5964</v>
      </c>
      <c r="CC1608" s="2" t="s">
        <v>248</v>
      </c>
      <c r="CD1608" s="2" t="s">
        <v>248</v>
      </c>
      <c r="CE1608" s="2" t="s">
        <v>235</v>
      </c>
      <c r="CF1608" s="4">
        <v>820</v>
      </c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>
        <v>824</v>
      </c>
      <c r="GE1608" s="4">
        <v>805</v>
      </c>
      <c r="GF1608" s="4">
        <v>802</v>
      </c>
      <c r="GG1608" s="4">
        <v>799</v>
      </c>
      <c r="GH1608" s="4">
        <v>796</v>
      </c>
      <c r="GI1608" s="4">
        <v>792</v>
      </c>
      <c r="GJ1608" s="4">
        <v>786</v>
      </c>
      <c r="GK1608" s="4">
        <v>781</v>
      </c>
      <c r="GL1608" s="4">
        <v>777</v>
      </c>
      <c r="GM1608" s="4">
        <v>773</v>
      </c>
      <c r="GN1608" s="4">
        <v>770</v>
      </c>
      <c r="GO1608" s="4">
        <v>767</v>
      </c>
      <c r="GP1608" s="4">
        <v>763</v>
      </c>
      <c r="GQ1608" s="4">
        <v>759</v>
      </c>
      <c r="GR1608" s="4">
        <v>755</v>
      </c>
      <c r="GS1608" s="4">
        <v>751</v>
      </c>
      <c r="GT1608" s="4">
        <v>747</v>
      </c>
      <c r="GU1608" s="4">
        <v>744</v>
      </c>
      <c r="GV1608" s="4">
        <v>741</v>
      </c>
      <c r="GW1608" s="4">
        <v>738</v>
      </c>
      <c r="GX1608" s="4">
        <v>735</v>
      </c>
      <c r="GY1608" s="4">
        <v>732</v>
      </c>
      <c r="GZ1608" s="4">
        <v>729</v>
      </c>
      <c r="HA1608" s="4">
        <v>726</v>
      </c>
      <c r="HB1608" s="4">
        <v>723</v>
      </c>
      <c r="HC1608" s="4">
        <v>720</v>
      </c>
      <c r="HD1608" s="19">
        <v>117.7</v>
      </c>
      <c r="HE1608" s="19">
        <v>268.3</v>
      </c>
      <c r="HF1608" s="19">
        <v>200.5</v>
      </c>
      <c r="HG1608" s="19">
        <v>199.8</v>
      </c>
      <c r="HH1608" s="19">
        <v>159.2</v>
      </c>
      <c r="HI1608" s="19">
        <v>158.4</v>
      </c>
      <c r="HJ1608" s="19">
        <v>196.5</v>
      </c>
      <c r="HK1608" s="19">
        <v>195.3</v>
      </c>
      <c r="HL1608" s="19">
        <v>194.3</v>
      </c>
      <c r="HM1608" s="19">
        <v>193.3</v>
      </c>
      <c r="HN1608" s="19">
        <v>192.5</v>
      </c>
      <c r="HO1608" s="19">
        <v>191.8</v>
      </c>
      <c r="HP1608" s="19">
        <v>190.8</v>
      </c>
      <c r="HQ1608" s="19">
        <v>189.8</v>
      </c>
      <c r="HR1608" s="19">
        <v>188.8</v>
      </c>
      <c r="HS1608" s="19">
        <v>250.3</v>
      </c>
      <c r="HT1608" s="19">
        <v>249</v>
      </c>
      <c r="HU1608" s="19">
        <v>248</v>
      </c>
      <c r="HV1608" s="19">
        <v>247</v>
      </c>
      <c r="HW1608" s="19">
        <v>246</v>
      </c>
      <c r="HX1608" s="19">
        <v>245</v>
      </c>
      <c r="HY1608" s="19">
        <v>244</v>
      </c>
      <c r="HZ1608" s="19">
        <v>243</v>
      </c>
      <c r="IA1608" s="19">
        <v>242</v>
      </c>
      <c r="IB1608" s="19">
        <v>241</v>
      </c>
      <c r="IC1608" s="19">
        <v>240</v>
      </c>
    </row>
    <row r="1609">
      <c r="A1609" s="2" t="s">
        <v>5965</v>
      </c>
      <c r="B1609" s="2" t="s">
        <v>871</v>
      </c>
      <c r="C1609" s="2" t="s">
        <v>853</v>
      </c>
      <c r="D1609" s="2" t="s">
        <v>906</v>
      </c>
      <c r="E1609" s="2" t="s">
        <v>907</v>
      </c>
      <c r="F1609" s="2" t="s">
        <v>5966</v>
      </c>
      <c r="G1609" s="2" t="s">
        <v>3801</v>
      </c>
      <c r="H1609" s="2" t="s">
        <v>5967</v>
      </c>
      <c r="I1609" s="2" t="s">
        <v>5968</v>
      </c>
      <c r="J1609" s="2" t="s">
        <v>877</v>
      </c>
      <c r="K1609" s="2" t="s">
        <v>4036</v>
      </c>
      <c r="L1609" s="3">
        <v>23.8</v>
      </c>
      <c r="M1609" s="3">
        <v>24.99</v>
      </c>
      <c r="N1609" s="3">
        <v>49.99</v>
      </c>
      <c r="O1609" s="2" t="s">
        <v>485</v>
      </c>
      <c r="P1609" s="2" t="s">
        <v>408</v>
      </c>
      <c r="Q1609" s="2" t="s">
        <v>234</v>
      </c>
      <c r="R1609" s="2" t="s">
        <v>235</v>
      </c>
      <c r="S1609" s="2" t="s">
        <v>5969</v>
      </c>
      <c r="T1609" s="2" t="s">
        <v>912</v>
      </c>
      <c r="U1609" s="2" t="s">
        <v>278</v>
      </c>
      <c r="V1609" s="2" t="s">
        <v>238</v>
      </c>
      <c r="W1609" s="2" t="s">
        <v>329</v>
      </c>
      <c r="X1609" s="2" t="s">
        <v>1053</v>
      </c>
      <c r="Y1609" s="2" t="s">
        <v>5970</v>
      </c>
      <c r="Z1609" s="4">
        <v>105</v>
      </c>
      <c r="AA1609" s="4">
        <f>=ROUNDDOWN(262.5,0)</f>
      </c>
      <c r="AB1609" s="5">
        <v>0.4</v>
      </c>
      <c r="AC1609" s="2" t="s">
        <v>235</v>
      </c>
      <c r="AD1609" s="4"/>
      <c r="AE1609" s="4"/>
      <c r="AF1609" s="6">
        <v>64</v>
      </c>
      <c r="AG1609" s="6"/>
      <c r="AH1609" s="7">
        <v>1</v>
      </c>
      <c r="AI1609" s="4"/>
      <c r="AJ1609" s="4">
        <f>=ROUNDDOWN({0},0)</f>
      </c>
      <c r="AK1609" s="5"/>
      <c r="AL1609" s="2" t="s">
        <v>235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 t="s">
        <v>235</v>
      </c>
      <c r="BD1609" s="8" t="s">
        <v>235</v>
      </c>
      <c r="BE1609" s="4" t="s">
        <v>235</v>
      </c>
      <c r="BF1609" s="8" t="s">
        <v>235</v>
      </c>
      <c r="BG1609" s="7" t="s">
        <v>235</v>
      </c>
      <c r="BH1609" s="7" t="s">
        <v>235</v>
      </c>
      <c r="BI1609" s="7"/>
      <c r="BJ1609" s="4">
        <v>1</v>
      </c>
      <c r="BK1609" s="8">
        <v>26.24</v>
      </c>
      <c r="BL1609" s="2" t="s">
        <v>1097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5971</v>
      </c>
      <c r="BV1609" s="2" t="s">
        <v>243</v>
      </c>
      <c r="BW1609" s="2" t="s">
        <v>235</v>
      </c>
      <c r="BX1609" s="2" t="s">
        <v>414</v>
      </c>
      <c r="BY1609" s="2" t="s">
        <v>245</v>
      </c>
      <c r="BZ1609" s="2" t="s">
        <v>232</v>
      </c>
      <c r="CA1609" s="2" t="s">
        <v>5972</v>
      </c>
      <c r="CB1609" s="2" t="s">
        <v>5973</v>
      </c>
      <c r="CC1609" s="2" t="s">
        <v>248</v>
      </c>
      <c r="CD1609" s="2" t="s">
        <v>248</v>
      </c>
      <c r="CE1609" s="2" t="s">
        <v>235</v>
      </c>
      <c r="CF1609" s="4">
        <v>105</v>
      </c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>
        <v>105</v>
      </c>
      <c r="GE1609" s="4">
        <v>105</v>
      </c>
      <c r="GF1609" s="4">
        <v>105</v>
      </c>
      <c r="GG1609" s="4">
        <v>105</v>
      </c>
      <c r="GH1609" s="4">
        <v>105</v>
      </c>
      <c r="GI1609" s="4">
        <v>105</v>
      </c>
      <c r="GJ1609" s="4">
        <v>105</v>
      </c>
      <c r="GK1609" s="4">
        <v>105</v>
      </c>
      <c r="GL1609" s="4">
        <v>105</v>
      </c>
      <c r="GM1609" s="4">
        <v>105</v>
      </c>
      <c r="GN1609" s="4">
        <v>105</v>
      </c>
      <c r="GO1609" s="4">
        <v>105</v>
      </c>
      <c r="GP1609" s="4">
        <v>105</v>
      </c>
      <c r="GQ1609" s="4">
        <v>105</v>
      </c>
      <c r="GR1609" s="4">
        <v>105</v>
      </c>
      <c r="GS1609" s="4">
        <v>105</v>
      </c>
      <c r="GT1609" s="4">
        <v>105</v>
      </c>
      <c r="GU1609" s="4">
        <v>105</v>
      </c>
      <c r="GV1609" s="4">
        <v>105</v>
      </c>
      <c r="GW1609" s="4">
        <v>105</v>
      </c>
      <c r="GX1609" s="4">
        <v>105</v>
      </c>
      <c r="GY1609" s="4">
        <v>105</v>
      </c>
      <c r="GZ1609" s="4">
        <v>105</v>
      </c>
      <c r="HA1609" s="4">
        <v>105</v>
      </c>
      <c r="HB1609" s="4">
        <v>105</v>
      </c>
      <c r="HC1609" s="4">
        <v>105</v>
      </c>
      <c r="HD1609" s="9"/>
      <c r="HE1609" s="9"/>
      <c r="HF1609" s="9"/>
      <c r="HG1609" s="9"/>
      <c r="HH1609" s="9"/>
      <c r="HI1609" s="9"/>
      <c r="HJ1609" s="9"/>
      <c r="HK1609" s="9"/>
      <c r="HL1609" s="9"/>
      <c r="HM1609" s="9"/>
      <c r="HN1609" s="9"/>
      <c r="HO1609" s="9"/>
      <c r="HP1609" s="9"/>
      <c r="HQ1609" s="9"/>
      <c r="HR1609" s="9"/>
      <c r="HS1609" s="9"/>
      <c r="HT1609" s="9"/>
      <c r="HU1609" s="9"/>
      <c r="HV1609" s="9"/>
      <c r="HW1609" s="9"/>
      <c r="HX1609" s="9"/>
      <c r="HY1609" s="9"/>
      <c r="HZ1609" s="9"/>
      <c r="IA1609" s="9"/>
      <c r="IB1609" s="9"/>
      <c r="IC1609" s="9"/>
    </row>
    <row r="1610">
      <c r="A1610" s="2" t="s">
        <v>5974</v>
      </c>
      <c r="B1610" s="2" t="s">
        <v>871</v>
      </c>
      <c r="C1610" s="2" t="s">
        <v>853</v>
      </c>
      <c r="D1610" s="2" t="s">
        <v>361</v>
      </c>
      <c r="E1610" s="2" t="s">
        <v>924</v>
      </c>
      <c r="F1610" s="2" t="s">
        <v>5966</v>
      </c>
      <c r="G1610" s="2" t="s">
        <v>3801</v>
      </c>
      <c r="H1610" s="2" t="s">
        <v>5967</v>
      </c>
      <c r="I1610" s="2" t="s">
        <v>5975</v>
      </c>
      <c r="J1610" s="2" t="s">
        <v>877</v>
      </c>
      <c r="K1610" s="2" t="s">
        <v>5976</v>
      </c>
      <c r="L1610" s="3">
        <v>30.95</v>
      </c>
      <c r="M1610" s="3">
        <v>32.5</v>
      </c>
      <c r="N1610" s="3">
        <v>64.99</v>
      </c>
      <c r="O1610" s="2" t="s">
        <v>485</v>
      </c>
      <c r="P1610" s="2" t="s">
        <v>408</v>
      </c>
      <c r="Q1610" s="2" t="s">
        <v>234</v>
      </c>
      <c r="R1610" s="2" t="s">
        <v>235</v>
      </c>
      <c r="S1610" s="2" t="s">
        <v>5977</v>
      </c>
      <c r="T1610" s="2" t="s">
        <v>912</v>
      </c>
      <c r="U1610" s="2" t="s">
        <v>278</v>
      </c>
      <c r="V1610" s="2" t="s">
        <v>238</v>
      </c>
      <c r="W1610" s="2" t="s">
        <v>329</v>
      </c>
      <c r="X1610" s="2" t="s">
        <v>1053</v>
      </c>
      <c r="Y1610" s="2" t="s">
        <v>5970</v>
      </c>
      <c r="Z1610" s="4">
        <v>114</v>
      </c>
      <c r="AA1610" s="4">
        <f>=ROUNDDOWN(57,0)</f>
      </c>
      <c r="AB1610" s="5">
        <v>2</v>
      </c>
      <c r="AC1610" s="2" t="s">
        <v>235</v>
      </c>
      <c r="AD1610" s="4"/>
      <c r="AE1610" s="4"/>
      <c r="AF1610" s="6">
        <v>64</v>
      </c>
      <c r="AG1610" s="6"/>
      <c r="AH1610" s="7">
        <v>1</v>
      </c>
      <c r="AI1610" s="4"/>
      <c r="AJ1610" s="4">
        <f>=ROUNDDOWN({0},0)</f>
      </c>
      <c r="AK1610" s="5"/>
      <c r="AL1610" s="2" t="s">
        <v>235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235</v>
      </c>
      <c r="AW1610" s="8" t="s">
        <v>235</v>
      </c>
      <c r="AX1610" s="4" t="s">
        <v>235</v>
      </c>
      <c r="AY1610" s="8" t="s">
        <v>235</v>
      </c>
      <c r="AZ1610" s="7" t="s">
        <v>235</v>
      </c>
      <c r="BA1610" s="7" t="s">
        <v>235</v>
      </c>
      <c r="BB1610" s="7" t="s">
        <v>235</v>
      </c>
      <c r="BC1610" s="4" t="s">
        <v>235</v>
      </c>
      <c r="BD1610" s="8" t="s">
        <v>235</v>
      </c>
      <c r="BE1610" s="4" t="s">
        <v>235</v>
      </c>
      <c r="BF1610" s="8" t="s">
        <v>235</v>
      </c>
      <c r="BG1610" s="7" t="s">
        <v>235</v>
      </c>
      <c r="BH1610" s="7" t="s">
        <v>235</v>
      </c>
      <c r="BI1610" s="7"/>
      <c r="BJ1610" s="4">
        <v>8</v>
      </c>
      <c r="BK1610" s="8">
        <v>264.55</v>
      </c>
      <c r="BL1610" s="2" t="s">
        <v>5978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5979</v>
      </c>
      <c r="BV1610" s="2" t="s">
        <v>243</v>
      </c>
      <c r="BW1610" s="2" t="s">
        <v>235</v>
      </c>
      <c r="BX1610" s="2" t="s">
        <v>414</v>
      </c>
      <c r="BY1610" s="2" t="s">
        <v>245</v>
      </c>
      <c r="BZ1610" s="2" t="s">
        <v>232</v>
      </c>
      <c r="CA1610" s="2" t="s">
        <v>5972</v>
      </c>
      <c r="CB1610" s="2" t="s">
        <v>2584</v>
      </c>
      <c r="CC1610" s="2" t="s">
        <v>248</v>
      </c>
      <c r="CD1610" s="2" t="s">
        <v>248</v>
      </c>
      <c r="CE1610" s="2" t="s">
        <v>235</v>
      </c>
      <c r="CF1610" s="4">
        <v>114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>
        <v>114</v>
      </c>
      <c r="GE1610" s="4">
        <v>105</v>
      </c>
      <c r="GF1610" s="4">
        <v>103</v>
      </c>
      <c r="GG1610" s="4">
        <v>101</v>
      </c>
      <c r="GH1610" s="4">
        <v>99</v>
      </c>
      <c r="GI1610" s="4">
        <v>97</v>
      </c>
      <c r="GJ1610" s="4">
        <v>95</v>
      </c>
      <c r="GK1610" s="4">
        <v>93</v>
      </c>
      <c r="GL1610" s="4">
        <v>91</v>
      </c>
      <c r="GM1610" s="4">
        <v>89</v>
      </c>
      <c r="GN1610" s="4">
        <v>87</v>
      </c>
      <c r="GO1610" s="4">
        <v>85</v>
      </c>
      <c r="GP1610" s="4">
        <v>83</v>
      </c>
      <c r="GQ1610" s="4">
        <v>81</v>
      </c>
      <c r="GR1610" s="4">
        <v>79</v>
      </c>
      <c r="GS1610" s="4">
        <v>77</v>
      </c>
      <c r="GT1610" s="4">
        <v>75</v>
      </c>
      <c r="GU1610" s="4">
        <v>73</v>
      </c>
      <c r="GV1610" s="4">
        <v>71</v>
      </c>
      <c r="GW1610" s="4">
        <v>69</v>
      </c>
      <c r="GX1610" s="4">
        <v>67</v>
      </c>
      <c r="GY1610" s="4">
        <v>65</v>
      </c>
      <c r="GZ1610" s="4">
        <v>63</v>
      </c>
      <c r="HA1610" s="4">
        <v>61</v>
      </c>
      <c r="HB1610" s="4">
        <v>59</v>
      </c>
      <c r="HC1610" s="4">
        <v>57</v>
      </c>
      <c r="HD1610" s="19">
        <v>28.5</v>
      </c>
      <c r="HE1610" s="19">
        <v>52.5</v>
      </c>
      <c r="HF1610" s="19">
        <v>51.5</v>
      </c>
      <c r="HG1610" s="19">
        <v>50.5</v>
      </c>
      <c r="HH1610" s="19">
        <v>49.5</v>
      </c>
      <c r="HI1610" s="19">
        <v>48.5</v>
      </c>
      <c r="HJ1610" s="19">
        <v>47.5</v>
      </c>
      <c r="HK1610" s="19">
        <v>46.5</v>
      </c>
      <c r="HL1610" s="19">
        <v>45.5</v>
      </c>
      <c r="HM1610" s="19">
        <v>44.5</v>
      </c>
      <c r="HN1610" s="19">
        <v>43.5</v>
      </c>
      <c r="HO1610" s="19">
        <v>42.5</v>
      </c>
      <c r="HP1610" s="19">
        <v>41.5</v>
      </c>
      <c r="HQ1610" s="19">
        <v>40.5</v>
      </c>
      <c r="HR1610" s="19">
        <v>39.5</v>
      </c>
      <c r="HS1610" s="19">
        <v>38.5</v>
      </c>
      <c r="HT1610" s="19">
        <v>37.5</v>
      </c>
      <c r="HU1610" s="19">
        <v>36.5</v>
      </c>
      <c r="HV1610" s="19">
        <v>35.5</v>
      </c>
      <c r="HW1610" s="19">
        <v>34.5</v>
      </c>
      <c r="HX1610" s="19">
        <v>33.5</v>
      </c>
      <c r="HY1610" s="19">
        <v>32.5</v>
      </c>
      <c r="HZ1610" s="19">
        <v>31.5</v>
      </c>
      <c r="IA1610" s="19">
        <v>30.5</v>
      </c>
      <c r="IB1610" s="19">
        <v>29.5</v>
      </c>
      <c r="IC1610" s="19">
        <v>28.5</v>
      </c>
    </row>
    <row r="1611">
      <c r="A1611" s="2" t="s">
        <v>5980</v>
      </c>
      <c r="B1611" s="2" t="s">
        <v>871</v>
      </c>
      <c r="C1611" s="2" t="s">
        <v>853</v>
      </c>
      <c r="D1611" s="2" t="s">
        <v>906</v>
      </c>
      <c r="E1611" s="2" t="s">
        <v>907</v>
      </c>
      <c r="F1611" s="2" t="s">
        <v>5966</v>
      </c>
      <c r="G1611" s="2" t="s">
        <v>3801</v>
      </c>
      <c r="H1611" s="2" t="s">
        <v>5967</v>
      </c>
      <c r="I1611" s="2" t="s">
        <v>5968</v>
      </c>
      <c r="J1611" s="2" t="s">
        <v>877</v>
      </c>
      <c r="K1611" s="2" t="s">
        <v>5976</v>
      </c>
      <c r="L1611" s="3">
        <v>23.8</v>
      </c>
      <c r="M1611" s="3">
        <v>24.99</v>
      </c>
      <c r="N1611" s="3">
        <v>49.99</v>
      </c>
      <c r="O1611" s="2" t="s">
        <v>485</v>
      </c>
      <c r="P1611" s="2" t="s">
        <v>408</v>
      </c>
      <c r="Q1611" s="2" t="s">
        <v>234</v>
      </c>
      <c r="R1611" s="2" t="s">
        <v>235</v>
      </c>
      <c r="S1611" s="2" t="s">
        <v>5977</v>
      </c>
      <c r="T1611" s="2" t="s">
        <v>912</v>
      </c>
      <c r="U1611" s="2" t="s">
        <v>278</v>
      </c>
      <c r="V1611" s="2" t="s">
        <v>238</v>
      </c>
      <c r="W1611" s="2" t="s">
        <v>329</v>
      </c>
      <c r="X1611" s="2" t="s">
        <v>1053</v>
      </c>
      <c r="Y1611" s="2" t="s">
        <v>5970</v>
      </c>
      <c r="Z1611" s="4">
        <v>1</v>
      </c>
      <c r="AA1611" s="4">
        <f>=ROUNDDOWN(0.833333333333333,0)</f>
      </c>
      <c r="AB1611" s="5">
        <v>1.2</v>
      </c>
      <c r="AC1611" s="2" t="s">
        <v>235</v>
      </c>
      <c r="AD1611" s="4"/>
      <c r="AE1611" s="4"/>
      <c r="AF1611" s="6">
        <v>64</v>
      </c>
      <c r="AG1611" s="6"/>
      <c r="AH1611" s="7">
        <v>1</v>
      </c>
      <c r="AI1611" s="4"/>
      <c r="AJ1611" s="4">
        <f>=ROUNDDOWN({0},0)</f>
      </c>
      <c r="AK1611" s="5"/>
      <c r="AL1611" s="2" t="s">
        <v>235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235</v>
      </c>
      <c r="AW1611" s="8" t="s">
        <v>235</v>
      </c>
      <c r="AX1611" s="4" t="s">
        <v>235</v>
      </c>
      <c r="AY1611" s="8" t="s">
        <v>235</v>
      </c>
      <c r="AZ1611" s="7" t="s">
        <v>235</v>
      </c>
      <c r="BA1611" s="7" t="s">
        <v>235</v>
      </c>
      <c r="BB1611" s="7" t="s">
        <v>235</v>
      </c>
      <c r="BC1611" s="4" t="s">
        <v>235</v>
      </c>
      <c r="BD1611" s="8" t="s">
        <v>235</v>
      </c>
      <c r="BE1611" s="4" t="s">
        <v>235</v>
      </c>
      <c r="BF1611" s="8" t="s">
        <v>235</v>
      </c>
      <c r="BG1611" s="7" t="s">
        <v>235</v>
      </c>
      <c r="BH1611" s="7" t="s">
        <v>235</v>
      </c>
      <c r="BI1611" s="7"/>
      <c r="BJ1611" s="4">
        <v>9</v>
      </c>
      <c r="BK1611" s="8">
        <v>199.88</v>
      </c>
      <c r="BL1611" s="2" t="s">
        <v>3300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5971</v>
      </c>
      <c r="BV1611" s="2" t="s">
        <v>243</v>
      </c>
      <c r="BW1611" s="2" t="s">
        <v>235</v>
      </c>
      <c r="BX1611" s="2" t="s">
        <v>414</v>
      </c>
      <c r="BY1611" s="2" t="s">
        <v>245</v>
      </c>
      <c r="BZ1611" s="2" t="s">
        <v>232</v>
      </c>
      <c r="CA1611" s="2" t="s">
        <v>5972</v>
      </c>
      <c r="CB1611" s="2" t="s">
        <v>1629</v>
      </c>
      <c r="CC1611" s="2" t="s">
        <v>248</v>
      </c>
      <c r="CD1611" s="2" t="s">
        <v>248</v>
      </c>
      <c r="CE1611" s="2" t="s">
        <v>235</v>
      </c>
      <c r="CF1611" s="4">
        <v>1</v>
      </c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>
        <v>79</v>
      </c>
      <c r="GE1611" s="4">
        <v>75</v>
      </c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19">
        <v>3.6</v>
      </c>
      <c r="HE1611" s="19">
        <v>3.6</v>
      </c>
      <c r="HF1611" s="20">
        <v>0</v>
      </c>
      <c r="HG1611" s="20">
        <v>0</v>
      </c>
      <c r="HH1611" s="20">
        <v>0</v>
      </c>
      <c r="HI1611" s="20">
        <v>0</v>
      </c>
      <c r="HJ1611" s="20">
        <v>0</v>
      </c>
      <c r="HK1611" s="20">
        <v>0</v>
      </c>
      <c r="HL1611" s="20">
        <v>0</v>
      </c>
      <c r="HM1611" s="20">
        <v>0</v>
      </c>
      <c r="HN1611" s="20">
        <v>0</v>
      </c>
      <c r="HO1611" s="20">
        <v>0</v>
      </c>
      <c r="HP1611" s="20">
        <v>0</v>
      </c>
      <c r="HQ1611" s="20">
        <v>0</v>
      </c>
      <c r="HR1611" s="20">
        <v>0</v>
      </c>
      <c r="HS1611" s="20">
        <v>0</v>
      </c>
      <c r="HT1611" s="20">
        <v>0</v>
      </c>
      <c r="HU1611" s="20">
        <v>0</v>
      </c>
      <c r="HV1611" s="20">
        <v>0</v>
      </c>
      <c r="HW1611" s="20">
        <v>0</v>
      </c>
      <c r="HX1611" s="20">
        <v>0</v>
      </c>
      <c r="HY1611" s="20">
        <v>0</v>
      </c>
      <c r="HZ1611" s="20">
        <v>0</v>
      </c>
      <c r="IA1611" s="20">
        <v>0</v>
      </c>
      <c r="IB1611" s="20">
        <v>0</v>
      </c>
      <c r="IC1611" s="20">
        <v>0</v>
      </c>
    </row>
    <row r="1612">
      <c r="A1612" s="2" t="s">
        <v>5981</v>
      </c>
      <c r="B1612" s="2" t="s">
        <v>871</v>
      </c>
      <c r="C1612" s="2" t="s">
        <v>853</v>
      </c>
      <c r="D1612" s="2" t="s">
        <v>1452</v>
      </c>
      <c r="E1612" s="2" t="s">
        <v>1453</v>
      </c>
      <c r="F1612" s="2" t="s">
        <v>5982</v>
      </c>
      <c r="G1612" s="2" t="s">
        <v>5983</v>
      </c>
      <c r="H1612" s="2" t="s">
        <v>5984</v>
      </c>
      <c r="I1612" s="2" t="s">
        <v>5985</v>
      </c>
      <c r="J1612" s="2" t="s">
        <v>877</v>
      </c>
      <c r="K1612" s="2" t="s">
        <v>889</v>
      </c>
      <c r="L1612" s="3">
        <v>33.33</v>
      </c>
      <c r="M1612" s="3">
        <v>35</v>
      </c>
      <c r="N1612" s="3">
        <v>69.99</v>
      </c>
      <c r="O1612" s="2" t="s">
        <v>232</v>
      </c>
      <c r="P1612" s="2" t="s">
        <v>878</v>
      </c>
      <c r="Q1612" s="2" t="s">
        <v>234</v>
      </c>
      <c r="R1612" s="2" t="s">
        <v>235</v>
      </c>
      <c r="S1612" s="2" t="s">
        <v>235</v>
      </c>
      <c r="T1612" s="2" t="s">
        <v>879</v>
      </c>
      <c r="U1612" s="2" t="s">
        <v>552</v>
      </c>
      <c r="V1612" s="2" t="s">
        <v>808</v>
      </c>
      <c r="W1612" s="2" t="s">
        <v>882</v>
      </c>
      <c r="X1612" s="2" t="s">
        <v>235</v>
      </c>
      <c r="Y1612" s="2" t="s">
        <v>235</v>
      </c>
      <c r="Z1612" s="4"/>
      <c r="AA1612" s="4">
        <f>=ROUNDDOWN({0},0)</f>
      </c>
      <c r="AB1612" s="5"/>
      <c r="AC1612" s="2" t="s">
        <v>181</v>
      </c>
      <c r="AD1612" s="4">
        <v>530</v>
      </c>
      <c r="AE1612" s="4">
        <v>530</v>
      </c>
      <c r="AF1612" s="6">
        <v>78</v>
      </c>
      <c r="AG1612" s="6"/>
      <c r="AH1612" s="7"/>
      <c r="AI1612" s="4"/>
      <c r="AJ1612" s="4">
        <f>=ROUNDDOWN({0},0)</f>
      </c>
      <c r="AK1612" s="5"/>
      <c r="AL1612" s="2" t="s">
        <v>235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235</v>
      </c>
      <c r="AW1612" s="8" t="s">
        <v>235</v>
      </c>
      <c r="AX1612" s="4" t="s">
        <v>235</v>
      </c>
      <c r="AY1612" s="8" t="s">
        <v>235</v>
      </c>
      <c r="AZ1612" s="7" t="s">
        <v>235</v>
      </c>
      <c r="BA1612" s="7" t="s">
        <v>235</v>
      </c>
      <c r="BB1612" s="7"/>
      <c r="BC1612" s="4" t="s">
        <v>235</v>
      </c>
      <c r="BD1612" s="8" t="s">
        <v>235</v>
      </c>
      <c r="BE1612" s="4" t="s">
        <v>235</v>
      </c>
      <c r="BF1612" s="8" t="s">
        <v>235</v>
      </c>
      <c r="BG1612" s="7" t="s">
        <v>235</v>
      </c>
      <c r="BH1612" s="7" t="s">
        <v>235</v>
      </c>
      <c r="BI1612" s="7"/>
      <c r="BJ1612" s="4"/>
      <c r="BK1612" s="8"/>
      <c r="BL1612" s="2" t="s">
        <v>235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330</v>
      </c>
      <c r="BV1612" s="2" t="s">
        <v>235</v>
      </c>
      <c r="BW1612" s="2" t="s">
        <v>235</v>
      </c>
      <c r="BX1612" s="2" t="s">
        <v>330</v>
      </c>
      <c r="BY1612" s="2" t="s">
        <v>331</v>
      </c>
      <c r="BZ1612" s="2" t="s">
        <v>232</v>
      </c>
      <c r="CA1612" s="2" t="s">
        <v>235</v>
      </c>
      <c r="CB1612" s="2" t="s">
        <v>235</v>
      </c>
      <c r="CC1612" s="2" t="s">
        <v>248</v>
      </c>
      <c r="CD1612" s="2" t="s">
        <v>248</v>
      </c>
      <c r="CE1612" s="2" t="s">
        <v>235</v>
      </c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>
        <v>530</v>
      </c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>
        <v>530</v>
      </c>
      <c r="GO1612" s="4">
        <v>529</v>
      </c>
      <c r="GP1612" s="4">
        <v>527</v>
      </c>
      <c r="GQ1612" s="4">
        <v>522</v>
      </c>
      <c r="GR1612" s="4">
        <v>518</v>
      </c>
      <c r="GS1612" s="4">
        <v>513</v>
      </c>
      <c r="GT1612" s="4">
        <v>509</v>
      </c>
      <c r="GU1612" s="4">
        <v>506</v>
      </c>
      <c r="GV1612" s="4">
        <v>498</v>
      </c>
      <c r="GW1612" s="4">
        <v>491</v>
      </c>
      <c r="GX1612" s="4">
        <v>484</v>
      </c>
      <c r="GY1612" s="4">
        <v>477</v>
      </c>
      <c r="GZ1612" s="4">
        <v>466</v>
      </c>
      <c r="HA1612" s="4">
        <v>455</v>
      </c>
      <c r="HB1612" s="4">
        <v>441</v>
      </c>
      <c r="HC1612" s="4">
        <v>426</v>
      </c>
      <c r="HD1612" s="9"/>
      <c r="HE1612" s="9"/>
      <c r="HF1612" s="9"/>
      <c r="HG1612" s="9"/>
      <c r="HH1612" s="9"/>
      <c r="HI1612" s="9"/>
      <c r="HJ1612" s="9"/>
      <c r="HK1612" s="9"/>
      <c r="HL1612" s="9"/>
      <c r="HM1612" s="9"/>
      <c r="HN1612" s="19">
        <v>176.7</v>
      </c>
      <c r="HO1612" s="19">
        <v>132.3</v>
      </c>
      <c r="HP1612" s="19">
        <v>131.8</v>
      </c>
      <c r="HQ1612" s="19">
        <v>130.5</v>
      </c>
      <c r="HR1612" s="19">
        <v>103.6</v>
      </c>
      <c r="HS1612" s="19">
        <v>85.5</v>
      </c>
      <c r="HT1612" s="19">
        <v>84.8</v>
      </c>
      <c r="HU1612" s="19">
        <v>72.3</v>
      </c>
      <c r="HV1612" s="19">
        <v>62.3</v>
      </c>
      <c r="HW1612" s="19">
        <v>54.6</v>
      </c>
      <c r="HX1612" s="19">
        <v>44</v>
      </c>
      <c r="HY1612" s="19">
        <v>36.7</v>
      </c>
      <c r="HZ1612" s="19">
        <v>33.3</v>
      </c>
      <c r="IA1612" s="19">
        <v>32.5</v>
      </c>
      <c r="IB1612" s="19">
        <v>29.4</v>
      </c>
      <c r="IC1612" s="19">
        <v>28.4</v>
      </c>
    </row>
    <row r="1613">
      <c r="A1613" s="2" t="s">
        <v>5986</v>
      </c>
      <c r="B1613" s="2" t="s">
        <v>871</v>
      </c>
      <c r="C1613" s="2" t="s">
        <v>853</v>
      </c>
      <c r="D1613" s="2" t="s">
        <v>1452</v>
      </c>
      <c r="E1613" s="2" t="s">
        <v>1453</v>
      </c>
      <c r="F1613" s="2" t="s">
        <v>5982</v>
      </c>
      <c r="G1613" s="2" t="s">
        <v>5983</v>
      </c>
      <c r="H1613" s="2" t="s">
        <v>5984</v>
      </c>
      <c r="I1613" s="2" t="s">
        <v>5987</v>
      </c>
      <c r="J1613" s="2" t="s">
        <v>365</v>
      </c>
      <c r="K1613" s="2" t="s">
        <v>889</v>
      </c>
      <c r="L1613" s="3">
        <v>38.09</v>
      </c>
      <c r="M1613" s="3">
        <v>39.99</v>
      </c>
      <c r="N1613" s="3">
        <v>79.99</v>
      </c>
      <c r="O1613" s="2" t="s">
        <v>232</v>
      </c>
      <c r="P1613" s="2" t="s">
        <v>878</v>
      </c>
      <c r="Q1613" s="2" t="s">
        <v>234</v>
      </c>
      <c r="R1613" s="2" t="s">
        <v>235</v>
      </c>
      <c r="S1613" s="2" t="s">
        <v>235</v>
      </c>
      <c r="T1613" s="2" t="s">
        <v>879</v>
      </c>
      <c r="U1613" s="2" t="s">
        <v>264</v>
      </c>
      <c r="V1613" s="2" t="s">
        <v>808</v>
      </c>
      <c r="W1613" s="2" t="s">
        <v>882</v>
      </c>
      <c r="X1613" s="2" t="s">
        <v>235</v>
      </c>
      <c r="Y1613" s="2" t="s">
        <v>235</v>
      </c>
      <c r="Z1613" s="4"/>
      <c r="AA1613" s="4">
        <f>=ROUNDDOWN({0},0)</f>
      </c>
      <c r="AB1613" s="5"/>
      <c r="AC1613" s="2" t="s">
        <v>181</v>
      </c>
      <c r="AD1613" s="4">
        <v>810</v>
      </c>
      <c r="AE1613" s="4">
        <v>810</v>
      </c>
      <c r="AF1613" s="6">
        <v>78</v>
      </c>
      <c r="AG1613" s="6"/>
      <c r="AH1613" s="7"/>
      <c r="AI1613" s="4"/>
      <c r="AJ1613" s="4">
        <f>=ROUNDDOWN({0},0)</f>
      </c>
      <c r="AK1613" s="5"/>
      <c r="AL1613" s="2" t="s">
        <v>235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235</v>
      </c>
      <c r="AW1613" s="8" t="s">
        <v>235</v>
      </c>
      <c r="AX1613" s="4" t="s">
        <v>235</v>
      </c>
      <c r="AY1613" s="8" t="s">
        <v>235</v>
      </c>
      <c r="AZ1613" s="7" t="s">
        <v>235</v>
      </c>
      <c r="BA1613" s="7" t="s">
        <v>235</v>
      </c>
      <c r="BB1613" s="7"/>
      <c r="BC1613" s="4" t="s">
        <v>235</v>
      </c>
      <c r="BD1613" s="8" t="s">
        <v>235</v>
      </c>
      <c r="BE1613" s="4" t="s">
        <v>235</v>
      </c>
      <c r="BF1613" s="8" t="s">
        <v>235</v>
      </c>
      <c r="BG1613" s="7" t="s">
        <v>235</v>
      </c>
      <c r="BH1613" s="7" t="s">
        <v>235</v>
      </c>
      <c r="BI1613" s="7"/>
      <c r="BJ1613" s="4"/>
      <c r="BK1613" s="8"/>
      <c r="BL1613" s="2" t="s">
        <v>235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330</v>
      </c>
      <c r="BV1613" s="2" t="s">
        <v>235</v>
      </c>
      <c r="BW1613" s="2" t="s">
        <v>235</v>
      </c>
      <c r="BX1613" s="2" t="s">
        <v>330</v>
      </c>
      <c r="BY1613" s="2" t="s">
        <v>331</v>
      </c>
      <c r="BZ1613" s="2" t="s">
        <v>232</v>
      </c>
      <c r="CA1613" s="2" t="s">
        <v>235</v>
      </c>
      <c r="CB1613" s="2" t="s">
        <v>235</v>
      </c>
      <c r="CC1613" s="2" t="s">
        <v>248</v>
      </c>
      <c r="CD1613" s="2" t="s">
        <v>248</v>
      </c>
      <c r="CE1613" s="2" t="s">
        <v>235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>
        <v>810</v>
      </c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>
        <v>810</v>
      </c>
      <c r="GO1613" s="4">
        <v>808</v>
      </c>
      <c r="GP1613" s="4">
        <v>804</v>
      </c>
      <c r="GQ1613" s="4">
        <v>795</v>
      </c>
      <c r="GR1613" s="4">
        <v>790</v>
      </c>
      <c r="GS1613" s="4">
        <v>784</v>
      </c>
      <c r="GT1613" s="4">
        <v>779</v>
      </c>
      <c r="GU1613" s="4">
        <v>776</v>
      </c>
      <c r="GV1613" s="4">
        <v>763</v>
      </c>
      <c r="GW1613" s="4">
        <v>751</v>
      </c>
      <c r="GX1613" s="4">
        <v>739</v>
      </c>
      <c r="GY1613" s="4">
        <v>727</v>
      </c>
      <c r="GZ1613" s="4">
        <v>710</v>
      </c>
      <c r="HA1613" s="4">
        <v>693</v>
      </c>
      <c r="HB1613" s="4">
        <v>671</v>
      </c>
      <c r="HC1613" s="4">
        <v>647</v>
      </c>
      <c r="HD1613" s="9"/>
      <c r="HE1613" s="9"/>
      <c r="HF1613" s="9"/>
      <c r="HG1613" s="9"/>
      <c r="HH1613" s="9"/>
      <c r="HI1613" s="9"/>
      <c r="HJ1613" s="9"/>
      <c r="HK1613" s="9"/>
      <c r="HL1613" s="9"/>
      <c r="HM1613" s="9"/>
      <c r="HN1613" s="19">
        <v>162</v>
      </c>
      <c r="HO1613" s="19">
        <v>134.7</v>
      </c>
      <c r="HP1613" s="19">
        <v>134</v>
      </c>
      <c r="HQ1613" s="19">
        <v>159</v>
      </c>
      <c r="HR1613" s="19">
        <v>112.9</v>
      </c>
      <c r="HS1613" s="19">
        <v>98</v>
      </c>
      <c r="HT1613" s="19">
        <v>77.9</v>
      </c>
      <c r="HU1613" s="19">
        <v>64.7</v>
      </c>
      <c r="HV1613" s="19">
        <v>58.7</v>
      </c>
      <c r="HW1613" s="19">
        <v>53.6</v>
      </c>
      <c r="HX1613" s="19">
        <v>43.5</v>
      </c>
      <c r="HY1613" s="19">
        <v>36.4</v>
      </c>
      <c r="HZ1613" s="19">
        <v>33.8</v>
      </c>
      <c r="IA1613" s="19">
        <v>31.5</v>
      </c>
      <c r="IB1613" s="19">
        <v>29.2</v>
      </c>
      <c r="IC1613" s="19">
        <v>28.1</v>
      </c>
    </row>
    <row r="1614">
      <c r="A1614" s="2" t="s">
        <v>5988</v>
      </c>
      <c r="B1614" s="2" t="s">
        <v>800</v>
      </c>
      <c r="C1614" s="2" t="s">
        <v>943</v>
      </c>
      <c r="D1614" s="2" t="s">
        <v>960</v>
      </c>
      <c r="E1614" s="2" t="s">
        <v>961</v>
      </c>
      <c r="F1614" s="2" t="s">
        <v>5989</v>
      </c>
      <c r="G1614" s="2" t="s">
        <v>5989</v>
      </c>
      <c r="H1614" s="2" t="s">
        <v>5989</v>
      </c>
      <c r="I1614" s="2" t="s">
        <v>5298</v>
      </c>
      <c r="J1614" s="2" t="s">
        <v>897</v>
      </c>
      <c r="K1614" s="2" t="s">
        <v>889</v>
      </c>
      <c r="L1614" s="3">
        <v>34</v>
      </c>
      <c r="M1614" s="3">
        <v>35.7</v>
      </c>
      <c r="N1614" s="3">
        <v>69.99</v>
      </c>
      <c r="O1614" s="2" t="s">
        <v>232</v>
      </c>
      <c r="P1614" s="2" t="s">
        <v>233</v>
      </c>
      <c r="Q1614" s="2" t="s">
        <v>234</v>
      </c>
      <c r="R1614" s="2" t="s">
        <v>235</v>
      </c>
      <c r="S1614" s="2" t="s">
        <v>235</v>
      </c>
      <c r="T1614" s="2" t="s">
        <v>235</v>
      </c>
      <c r="U1614" s="2" t="s">
        <v>807</v>
      </c>
      <c r="V1614" s="2" t="s">
        <v>808</v>
      </c>
      <c r="W1614" s="2" t="s">
        <v>1157</v>
      </c>
      <c r="X1614" s="2" t="s">
        <v>239</v>
      </c>
      <c r="Y1614" s="2" t="s">
        <v>3678</v>
      </c>
      <c r="Z1614" s="4"/>
      <c r="AA1614" s="4">
        <f>=ROUNDDOWN({0},0)</f>
      </c>
      <c r="AB1614" s="5">
        <v>5</v>
      </c>
      <c r="AC1614" s="2" t="s">
        <v>185</v>
      </c>
      <c r="AD1614" s="4">
        <v>100</v>
      </c>
      <c r="AE1614" s="4">
        <v>100</v>
      </c>
      <c r="AF1614" s="6">
        <v>64</v>
      </c>
      <c r="AG1614" s="6"/>
      <c r="AH1614" s="7">
        <v>0</v>
      </c>
      <c r="AI1614" s="4"/>
      <c r="AJ1614" s="4">
        <f>=ROUNDDOWN({0},0)</f>
      </c>
      <c r="AK1614" s="5"/>
      <c r="AL1614" s="2" t="s">
        <v>235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1</v>
      </c>
      <c r="BK1614" s="8">
        <v>35.7</v>
      </c>
      <c r="BL1614" s="2" t="s">
        <v>811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5990</v>
      </c>
      <c r="BV1614" s="2" t="s">
        <v>813</v>
      </c>
      <c r="BW1614" s="2" t="s">
        <v>235</v>
      </c>
      <c r="BX1614" s="2" t="s">
        <v>244</v>
      </c>
      <c r="BY1614" s="2" t="s">
        <v>245</v>
      </c>
      <c r="BZ1614" s="2" t="s">
        <v>232</v>
      </c>
      <c r="CA1614" s="2" t="s">
        <v>615</v>
      </c>
      <c r="CB1614" s="2" t="s">
        <v>2341</v>
      </c>
      <c r="CC1614" s="2" t="s">
        <v>248</v>
      </c>
      <c r="CD1614" s="2" t="s">
        <v>248</v>
      </c>
      <c r="CE1614" s="2" t="s">
        <v>235</v>
      </c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>
        <v>100</v>
      </c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>
        <v>100</v>
      </c>
      <c r="GP1614" s="4">
        <v>87</v>
      </c>
      <c r="GQ1614" s="4">
        <v>81</v>
      </c>
      <c r="GR1614" s="4">
        <v>76</v>
      </c>
      <c r="GS1614" s="4">
        <v>70</v>
      </c>
      <c r="GT1614" s="4">
        <v>65</v>
      </c>
      <c r="GU1614" s="4">
        <v>60</v>
      </c>
      <c r="GV1614" s="4">
        <v>55</v>
      </c>
      <c r="GW1614" s="4">
        <v>50</v>
      </c>
      <c r="GX1614" s="4">
        <v>45</v>
      </c>
      <c r="GY1614" s="4">
        <v>40</v>
      </c>
      <c r="GZ1614" s="4">
        <v>35</v>
      </c>
      <c r="HA1614" s="4">
        <v>30</v>
      </c>
      <c r="HB1614" s="4">
        <v>25</v>
      </c>
      <c r="HC1614" s="4">
        <v>19</v>
      </c>
      <c r="HD1614" s="20">
        <v>0</v>
      </c>
      <c r="HE1614" s="20">
        <v>0</v>
      </c>
      <c r="HF1614" s="20">
        <v>0</v>
      </c>
      <c r="HG1614" s="20">
        <v>0</v>
      </c>
      <c r="HH1614" s="20">
        <v>0</v>
      </c>
      <c r="HI1614" s="20">
        <v>0</v>
      </c>
      <c r="HJ1614" s="20">
        <v>0</v>
      </c>
      <c r="HK1614" s="20">
        <v>0</v>
      </c>
      <c r="HL1614" s="20">
        <v>0</v>
      </c>
      <c r="HM1614" s="20">
        <v>0</v>
      </c>
      <c r="HN1614" s="20">
        <v>0</v>
      </c>
      <c r="HO1614" s="19">
        <v>12.5</v>
      </c>
      <c r="HP1614" s="19">
        <v>14.5</v>
      </c>
      <c r="HQ1614" s="19">
        <v>16.2</v>
      </c>
      <c r="HR1614" s="19">
        <v>15.2</v>
      </c>
      <c r="HS1614" s="19">
        <v>14</v>
      </c>
      <c r="HT1614" s="19">
        <v>13</v>
      </c>
      <c r="HU1614" s="19">
        <v>12</v>
      </c>
      <c r="HV1614" s="19">
        <v>11</v>
      </c>
      <c r="HW1614" s="19">
        <v>10</v>
      </c>
      <c r="HX1614" s="19">
        <v>9</v>
      </c>
      <c r="HY1614" s="19">
        <v>8</v>
      </c>
      <c r="HZ1614" s="19">
        <v>7</v>
      </c>
      <c r="IA1614" s="19">
        <v>6</v>
      </c>
      <c r="IB1614" s="19">
        <v>5</v>
      </c>
      <c r="IC1614" s="19">
        <v>3.8</v>
      </c>
    </row>
    <row r="1615">
      <c r="A1615" s="2" t="s">
        <v>5991</v>
      </c>
      <c r="B1615" s="2" t="s">
        <v>1071</v>
      </c>
      <c r="C1615" s="2" t="s">
        <v>893</v>
      </c>
      <c r="D1615" s="2" t="s">
        <v>1086</v>
      </c>
      <c r="E1615" s="2" t="s">
        <v>1868</v>
      </c>
      <c r="F1615" s="2" t="s">
        <v>5992</v>
      </c>
      <c r="G1615" s="2" t="s">
        <v>5992</v>
      </c>
      <c r="H1615" s="2" t="s">
        <v>5992</v>
      </c>
      <c r="I1615" s="2" t="s">
        <v>5993</v>
      </c>
      <c r="J1615" s="2" t="s">
        <v>5892</v>
      </c>
      <c r="K1615" s="2" t="s">
        <v>612</v>
      </c>
      <c r="L1615" s="3">
        <v>353.78</v>
      </c>
      <c r="M1615" s="3">
        <v>371.47</v>
      </c>
      <c r="N1615" s="3">
        <v>739</v>
      </c>
      <c r="O1615" s="2" t="s">
        <v>232</v>
      </c>
      <c r="P1615" s="2" t="s">
        <v>5877</v>
      </c>
      <c r="Q1615" s="2" t="s">
        <v>234</v>
      </c>
      <c r="R1615" s="2" t="s">
        <v>235</v>
      </c>
      <c r="S1615" s="2" t="s">
        <v>235</v>
      </c>
      <c r="T1615" s="2" t="s">
        <v>235</v>
      </c>
      <c r="U1615" s="2" t="s">
        <v>278</v>
      </c>
      <c r="V1615" s="2" t="s">
        <v>238</v>
      </c>
      <c r="W1615" s="2" t="s">
        <v>809</v>
      </c>
      <c r="X1615" s="2" t="s">
        <v>235</v>
      </c>
      <c r="Y1615" s="2" t="s">
        <v>3131</v>
      </c>
      <c r="Z1615" s="4">
        <v>28</v>
      </c>
      <c r="AA1615" s="4">
        <f>=ROUNDDOWN({0},0)</f>
      </c>
      <c r="AB1615" s="5"/>
      <c r="AC1615" s="2" t="s">
        <v>5994</v>
      </c>
      <c r="AD1615" s="4">
        <v>39</v>
      </c>
      <c r="AE1615" s="4">
        <v>116</v>
      </c>
      <c r="AF1615" s="6"/>
      <c r="AG1615" s="6"/>
      <c r="AH1615" s="7">
        <v>1</v>
      </c>
      <c r="AI1615" s="4"/>
      <c r="AJ1615" s="4">
        <f>=ROUNDDOWN({0},0)</f>
      </c>
      <c r="AK1615" s="5"/>
      <c r="AL1615" s="2" t="s">
        <v>235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235</v>
      </c>
      <c r="BD1615" s="8" t="s">
        <v>235</v>
      </c>
      <c r="BE1615" s="4" t="s">
        <v>235</v>
      </c>
      <c r="BF1615" s="8" t="s">
        <v>235</v>
      </c>
      <c r="BG1615" s="7" t="s">
        <v>235</v>
      </c>
      <c r="BH1615" s="7" t="s">
        <v>235</v>
      </c>
      <c r="BI1615" s="7"/>
      <c r="BJ1615" s="4"/>
      <c r="BK1615" s="8"/>
      <c r="BL1615" s="2" t="s">
        <v>235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5995</v>
      </c>
      <c r="BV1615" s="2" t="s">
        <v>1424</v>
      </c>
      <c r="BW1615" s="2" t="s">
        <v>235</v>
      </c>
      <c r="BX1615" s="2" t="s">
        <v>685</v>
      </c>
      <c r="BY1615" s="2" t="s">
        <v>245</v>
      </c>
      <c r="BZ1615" s="2" t="s">
        <v>232</v>
      </c>
      <c r="CA1615" s="2" t="s">
        <v>3956</v>
      </c>
      <c r="CB1615" s="2" t="s">
        <v>2121</v>
      </c>
      <c r="CC1615" s="2" t="s">
        <v>248</v>
      </c>
      <c r="CD1615" s="2" t="s">
        <v>248</v>
      </c>
      <c r="CE1615" s="2" t="s">
        <v>235</v>
      </c>
      <c r="CF1615" s="4"/>
      <c r="CG1615" s="4">
        <v>28</v>
      </c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>
        <v>39</v>
      </c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>
        <v>77</v>
      </c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9"/>
      <c r="HE1615" s="9"/>
      <c r="HF1615" s="9"/>
      <c r="HG1615" s="9"/>
      <c r="HH1615" s="9"/>
      <c r="HI1615" s="9"/>
      <c r="HJ1615" s="9"/>
      <c r="HK1615" s="9"/>
      <c r="HL1615" s="9"/>
      <c r="HM1615" s="9"/>
      <c r="HN1615" s="9"/>
      <c r="HO1615" s="9"/>
      <c r="HP1615" s="9"/>
      <c r="HQ1615" s="9"/>
      <c r="HR1615" s="9"/>
      <c r="HS1615" s="9"/>
      <c r="HT1615" s="9"/>
      <c r="HU1615" s="9"/>
      <c r="HV1615" s="9"/>
      <c r="HW1615" s="9"/>
      <c r="HX1615" s="9"/>
      <c r="HY1615" s="9"/>
      <c r="HZ1615" s="9"/>
      <c r="IA1615" s="9"/>
      <c r="IB1615" s="9"/>
      <c r="IC1615" s="9"/>
    </row>
    <row r="1616">
      <c r="A1616" s="2" t="s">
        <v>5996</v>
      </c>
      <c r="B1616" s="2" t="s">
        <v>1071</v>
      </c>
      <c r="C1616" s="2" t="s">
        <v>893</v>
      </c>
      <c r="D1616" s="2" t="s">
        <v>1086</v>
      </c>
      <c r="E1616" s="2" t="s">
        <v>1868</v>
      </c>
      <c r="F1616" s="2" t="s">
        <v>5992</v>
      </c>
      <c r="G1616" s="2" t="s">
        <v>5992</v>
      </c>
      <c r="H1616" s="2" t="s">
        <v>5992</v>
      </c>
      <c r="I1616" s="2" t="s">
        <v>5993</v>
      </c>
      <c r="J1616" s="2" t="s">
        <v>5892</v>
      </c>
      <c r="K1616" s="2" t="s">
        <v>338</v>
      </c>
      <c r="L1616" s="3">
        <v>353.78</v>
      </c>
      <c r="M1616" s="3">
        <v>371.47</v>
      </c>
      <c r="N1616" s="3">
        <v>739</v>
      </c>
      <c r="O1616" s="2" t="s">
        <v>232</v>
      </c>
      <c r="P1616" s="2" t="s">
        <v>5877</v>
      </c>
      <c r="Q1616" s="2" t="s">
        <v>234</v>
      </c>
      <c r="R1616" s="2" t="s">
        <v>235</v>
      </c>
      <c r="S1616" s="2" t="s">
        <v>235</v>
      </c>
      <c r="T1616" s="2" t="s">
        <v>235</v>
      </c>
      <c r="U1616" s="2" t="s">
        <v>278</v>
      </c>
      <c r="V1616" s="2" t="s">
        <v>238</v>
      </c>
      <c r="W1616" s="2" t="s">
        <v>809</v>
      </c>
      <c r="X1616" s="2" t="s">
        <v>235</v>
      </c>
      <c r="Y1616" s="2" t="s">
        <v>5997</v>
      </c>
      <c r="Z1616" s="4">
        <v>104</v>
      </c>
      <c r="AA1616" s="4">
        <f>=ROUNDDOWN({0},0)</f>
      </c>
      <c r="AB1616" s="5"/>
      <c r="AC1616" s="2" t="s">
        <v>184</v>
      </c>
      <c r="AD1616" s="4">
        <v>25</v>
      </c>
      <c r="AE1616" s="4">
        <v>115</v>
      </c>
      <c r="AF1616" s="6"/>
      <c r="AG1616" s="6"/>
      <c r="AH1616" s="7">
        <v>1</v>
      </c>
      <c r="AI1616" s="4"/>
      <c r="AJ1616" s="4">
        <f>=ROUNDDOWN({0},0)</f>
      </c>
      <c r="AK1616" s="5"/>
      <c r="AL1616" s="2" t="s">
        <v>235</v>
      </c>
      <c r="AM1616" s="4"/>
      <c r="AN1616" s="4"/>
      <c r="AO1616" s="7">
        <v>1</v>
      </c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235</v>
      </c>
      <c r="BD1616" s="8" t="s">
        <v>235</v>
      </c>
      <c r="BE1616" s="4" t="s">
        <v>235</v>
      </c>
      <c r="BF1616" s="8" t="s">
        <v>235</v>
      </c>
      <c r="BG1616" s="7" t="s">
        <v>235</v>
      </c>
      <c r="BH1616" s="7" t="s">
        <v>235</v>
      </c>
      <c r="BI1616" s="7"/>
      <c r="BJ1616" s="4"/>
      <c r="BK1616" s="8"/>
      <c r="BL1616" s="2" t="s">
        <v>235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5995</v>
      </c>
      <c r="BV1616" s="2" t="s">
        <v>1424</v>
      </c>
      <c r="BW1616" s="2" t="s">
        <v>235</v>
      </c>
      <c r="BX1616" s="2" t="s">
        <v>685</v>
      </c>
      <c r="BY1616" s="2" t="s">
        <v>245</v>
      </c>
      <c r="BZ1616" s="2" t="s">
        <v>232</v>
      </c>
      <c r="CA1616" s="2" t="s">
        <v>3956</v>
      </c>
      <c r="CB1616" s="2" t="s">
        <v>2837</v>
      </c>
      <c r="CC1616" s="2" t="s">
        <v>248</v>
      </c>
      <c r="CD1616" s="2" t="s">
        <v>248</v>
      </c>
      <c r="CE1616" s="2" t="s">
        <v>235</v>
      </c>
      <c r="CF1616" s="4"/>
      <c r="CG1616" s="4">
        <v>61</v>
      </c>
      <c r="CH1616" s="4"/>
      <c r="CI1616" s="4">
        <v>43</v>
      </c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>
        <v>25</v>
      </c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>
        <v>90</v>
      </c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9"/>
      <c r="HE1616" s="9"/>
      <c r="HF1616" s="9"/>
      <c r="HG1616" s="9"/>
      <c r="HH1616" s="9"/>
      <c r="HI1616" s="9"/>
      <c r="HJ1616" s="9"/>
      <c r="HK1616" s="9"/>
      <c r="HL1616" s="9"/>
      <c r="HM1616" s="9"/>
      <c r="HN1616" s="9"/>
      <c r="HO1616" s="9"/>
      <c r="HP1616" s="9"/>
      <c r="HQ1616" s="9"/>
      <c r="HR1616" s="9"/>
      <c r="HS1616" s="9"/>
      <c r="HT1616" s="9"/>
      <c r="HU1616" s="9"/>
      <c r="HV1616" s="9"/>
      <c r="HW1616" s="9"/>
      <c r="HX1616" s="9"/>
      <c r="HY1616" s="9"/>
      <c r="HZ1616" s="9"/>
      <c r="IA1616" s="9"/>
      <c r="IB1616" s="9"/>
      <c r="IC1616" s="9"/>
    </row>
    <row r="1617">
      <c r="A1617" s="2" t="s">
        <v>5998</v>
      </c>
      <c r="B1617" s="2" t="s">
        <v>1071</v>
      </c>
      <c r="C1617" s="2" t="s">
        <v>893</v>
      </c>
      <c r="D1617" s="2" t="s">
        <v>1086</v>
      </c>
      <c r="E1617" s="2" t="s">
        <v>1868</v>
      </c>
      <c r="F1617" s="2" t="s">
        <v>5992</v>
      </c>
      <c r="G1617" s="2" t="s">
        <v>5992</v>
      </c>
      <c r="H1617" s="2" t="s">
        <v>5992</v>
      </c>
      <c r="I1617" s="2" t="s">
        <v>5993</v>
      </c>
      <c r="J1617" s="2" t="s">
        <v>5892</v>
      </c>
      <c r="K1617" s="2" t="s">
        <v>1667</v>
      </c>
      <c r="L1617" s="3">
        <v>353.78</v>
      </c>
      <c r="M1617" s="3">
        <v>371.47</v>
      </c>
      <c r="N1617" s="3">
        <v>739</v>
      </c>
      <c r="O1617" s="2" t="s">
        <v>232</v>
      </c>
      <c r="P1617" s="2" t="s">
        <v>5877</v>
      </c>
      <c r="Q1617" s="2" t="s">
        <v>234</v>
      </c>
      <c r="R1617" s="2" t="s">
        <v>235</v>
      </c>
      <c r="S1617" s="2" t="s">
        <v>235</v>
      </c>
      <c r="T1617" s="2" t="s">
        <v>235</v>
      </c>
      <c r="U1617" s="2" t="s">
        <v>278</v>
      </c>
      <c r="V1617" s="2" t="s">
        <v>238</v>
      </c>
      <c r="W1617" s="2" t="s">
        <v>809</v>
      </c>
      <c r="X1617" s="2" t="s">
        <v>235</v>
      </c>
      <c r="Y1617" s="2" t="s">
        <v>5999</v>
      </c>
      <c r="Z1617" s="4">
        <v>53</v>
      </c>
      <c r="AA1617" s="4">
        <f>=ROUNDDOWN(265,0)</f>
      </c>
      <c r="AB1617" s="5">
        <v>0.2</v>
      </c>
      <c r="AC1617" s="2" t="s">
        <v>5027</v>
      </c>
      <c r="AD1617" s="4">
        <v>20</v>
      </c>
      <c r="AE1617" s="4">
        <v>146</v>
      </c>
      <c r="AF1617" s="6"/>
      <c r="AG1617" s="6"/>
      <c r="AH1617" s="7">
        <v>1</v>
      </c>
      <c r="AI1617" s="4"/>
      <c r="AJ1617" s="4">
        <f>=ROUNDDOWN({0},0)</f>
      </c>
      <c r="AK1617" s="5"/>
      <c r="AL1617" s="2" t="s">
        <v>235</v>
      </c>
      <c r="AM1617" s="4"/>
      <c r="AN1617" s="4"/>
      <c r="AO1617" s="7">
        <v>1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235</v>
      </c>
      <c r="BD1617" s="8" t="s">
        <v>235</v>
      </c>
      <c r="BE1617" s="4" t="s">
        <v>235</v>
      </c>
      <c r="BF1617" s="8" t="s">
        <v>235</v>
      </c>
      <c r="BG1617" s="7" t="s">
        <v>235</v>
      </c>
      <c r="BH1617" s="7" t="s">
        <v>235</v>
      </c>
      <c r="BI1617" s="7"/>
      <c r="BJ1617" s="4"/>
      <c r="BK1617" s="8"/>
      <c r="BL1617" s="2" t="s">
        <v>235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5995</v>
      </c>
      <c r="BV1617" s="2" t="s">
        <v>1424</v>
      </c>
      <c r="BW1617" s="2" t="s">
        <v>235</v>
      </c>
      <c r="BX1617" s="2" t="s">
        <v>685</v>
      </c>
      <c r="BY1617" s="2" t="s">
        <v>245</v>
      </c>
      <c r="BZ1617" s="2" t="s">
        <v>232</v>
      </c>
      <c r="CA1617" s="2" t="s">
        <v>3956</v>
      </c>
      <c r="CB1617" s="2" t="s">
        <v>3705</v>
      </c>
      <c r="CC1617" s="2" t="s">
        <v>248</v>
      </c>
      <c r="CD1617" s="2" t="s">
        <v>248</v>
      </c>
      <c r="CE1617" s="2" t="s">
        <v>235</v>
      </c>
      <c r="CF1617" s="4"/>
      <c r="CG1617" s="4">
        <v>38</v>
      </c>
      <c r="CH1617" s="4"/>
      <c r="CI1617" s="4">
        <v>15</v>
      </c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>
        <v>20</v>
      </c>
      <c r="EM1617" s="4"/>
      <c r="EN1617" s="4"/>
      <c r="EO1617" s="4"/>
      <c r="EP1617" s="4"/>
      <c r="EQ1617" s="4"/>
      <c r="ER1617" s="4"/>
      <c r="ES1617" s="4">
        <v>67</v>
      </c>
      <c r="ET1617" s="4"/>
      <c r="EU1617" s="4"/>
      <c r="EV1617" s="4"/>
      <c r="EW1617" s="4"/>
      <c r="EX1617" s="4"/>
      <c r="EY1617" s="4"/>
      <c r="EZ1617" s="4">
        <v>34</v>
      </c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>
        <v>25</v>
      </c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9"/>
      <c r="HE1617" s="9"/>
      <c r="HF1617" s="9"/>
      <c r="HG1617" s="9"/>
      <c r="HH1617" s="9"/>
      <c r="HI1617" s="9"/>
      <c r="HJ1617" s="9"/>
      <c r="HK1617" s="9"/>
      <c r="HL1617" s="9"/>
      <c r="HM1617" s="9"/>
      <c r="HN1617" s="9"/>
      <c r="HO1617" s="9"/>
      <c r="HP1617" s="9"/>
      <c r="HQ1617" s="9"/>
      <c r="HR1617" s="9"/>
      <c r="HS1617" s="9"/>
      <c r="HT1617" s="9"/>
      <c r="HU1617" s="9"/>
      <c r="HV1617" s="9"/>
      <c r="HW1617" s="9"/>
      <c r="HX1617" s="9"/>
      <c r="HY1617" s="9"/>
      <c r="HZ1617" s="9"/>
      <c r="IA1617" s="9"/>
      <c r="IB1617" s="9"/>
      <c r="IC1617" s="9"/>
    </row>
    <row r="1618">
      <c r="A1618" s="2" t="s">
        <v>6000</v>
      </c>
      <c r="B1618" s="2" t="s">
        <v>1071</v>
      </c>
      <c r="C1618" s="2" t="s">
        <v>893</v>
      </c>
      <c r="D1618" s="2" t="s">
        <v>1086</v>
      </c>
      <c r="E1618" s="2" t="s">
        <v>1868</v>
      </c>
      <c r="F1618" s="2" t="s">
        <v>5992</v>
      </c>
      <c r="G1618" s="2" t="s">
        <v>5992</v>
      </c>
      <c r="H1618" s="2" t="s">
        <v>5992</v>
      </c>
      <c r="I1618" s="2" t="s">
        <v>5993</v>
      </c>
      <c r="J1618" s="2" t="s">
        <v>5892</v>
      </c>
      <c r="K1618" s="2" t="s">
        <v>1546</v>
      </c>
      <c r="L1618" s="3">
        <v>353.78</v>
      </c>
      <c r="M1618" s="3">
        <v>371.47</v>
      </c>
      <c r="N1618" s="3">
        <v>739</v>
      </c>
      <c r="O1618" s="2" t="s">
        <v>232</v>
      </c>
      <c r="P1618" s="2" t="s">
        <v>5877</v>
      </c>
      <c r="Q1618" s="2" t="s">
        <v>234</v>
      </c>
      <c r="R1618" s="2" t="s">
        <v>235</v>
      </c>
      <c r="S1618" s="2" t="s">
        <v>235</v>
      </c>
      <c r="T1618" s="2" t="s">
        <v>235</v>
      </c>
      <c r="U1618" s="2" t="s">
        <v>278</v>
      </c>
      <c r="V1618" s="2" t="s">
        <v>238</v>
      </c>
      <c r="W1618" s="2" t="s">
        <v>809</v>
      </c>
      <c r="X1618" s="2" t="s">
        <v>235</v>
      </c>
      <c r="Y1618" s="2" t="s">
        <v>5997</v>
      </c>
      <c r="Z1618" s="4">
        <v>132</v>
      </c>
      <c r="AA1618" s="4">
        <f>=ROUNDDOWN(660,0)</f>
      </c>
      <c r="AB1618" s="5">
        <v>0.2</v>
      </c>
      <c r="AC1618" s="2" t="s">
        <v>235</v>
      </c>
      <c r="AD1618" s="4"/>
      <c r="AE1618" s="4"/>
      <c r="AF1618" s="6"/>
      <c r="AG1618" s="6"/>
      <c r="AH1618" s="7">
        <v>1</v>
      </c>
      <c r="AI1618" s="4"/>
      <c r="AJ1618" s="4">
        <f>=ROUNDDOWN({0},0)</f>
      </c>
      <c r="AK1618" s="5"/>
      <c r="AL1618" s="2" t="s">
        <v>235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 t="s">
        <v>235</v>
      </c>
      <c r="BD1618" s="8" t="s">
        <v>235</v>
      </c>
      <c r="BE1618" s="4" t="s">
        <v>235</v>
      </c>
      <c r="BF1618" s="8" t="s">
        <v>235</v>
      </c>
      <c r="BG1618" s="7" t="s">
        <v>235</v>
      </c>
      <c r="BH1618" s="7" t="s">
        <v>235</v>
      </c>
      <c r="BI1618" s="7"/>
      <c r="BJ1618" s="4"/>
      <c r="BK1618" s="8"/>
      <c r="BL1618" s="2" t="s">
        <v>235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5995</v>
      </c>
      <c r="BV1618" s="2" t="s">
        <v>1424</v>
      </c>
      <c r="BW1618" s="2" t="s">
        <v>235</v>
      </c>
      <c r="BX1618" s="2" t="s">
        <v>685</v>
      </c>
      <c r="BY1618" s="2" t="s">
        <v>245</v>
      </c>
      <c r="BZ1618" s="2" t="s">
        <v>232</v>
      </c>
      <c r="CA1618" s="2" t="s">
        <v>3956</v>
      </c>
      <c r="CB1618" s="2" t="s">
        <v>941</v>
      </c>
      <c r="CC1618" s="2" t="s">
        <v>248</v>
      </c>
      <c r="CD1618" s="2" t="s">
        <v>248</v>
      </c>
      <c r="CE1618" s="2" t="s">
        <v>235</v>
      </c>
      <c r="CF1618" s="4"/>
      <c r="CG1618" s="4">
        <v>109</v>
      </c>
      <c r="CH1618" s="4"/>
      <c r="CI1618" s="4">
        <v>23</v>
      </c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9"/>
      <c r="HE1618" s="9"/>
      <c r="HF1618" s="9"/>
      <c r="HG1618" s="9"/>
      <c r="HH1618" s="9"/>
      <c r="HI1618" s="9"/>
      <c r="HJ1618" s="9"/>
      <c r="HK1618" s="9"/>
      <c r="HL1618" s="9"/>
      <c r="HM1618" s="9"/>
      <c r="HN1618" s="9"/>
      <c r="HO1618" s="9"/>
      <c r="HP1618" s="9"/>
      <c r="HQ1618" s="9"/>
      <c r="HR1618" s="9"/>
      <c r="HS1618" s="9"/>
      <c r="HT1618" s="9"/>
      <c r="HU1618" s="9"/>
      <c r="HV1618" s="9"/>
      <c r="HW1618" s="9"/>
      <c r="HX1618" s="9"/>
      <c r="HY1618" s="9"/>
      <c r="HZ1618" s="9"/>
      <c r="IA1618" s="9"/>
      <c r="IB1618" s="9"/>
      <c r="IC1618" s="9"/>
    </row>
    <row r="1619">
      <c r="A1619" s="2" t="s">
        <v>6001</v>
      </c>
      <c r="B1619" s="2" t="s">
        <v>800</v>
      </c>
      <c r="C1619" s="2" t="s">
        <v>943</v>
      </c>
      <c r="D1619" s="2" t="s">
        <v>960</v>
      </c>
      <c r="E1619" s="2" t="s">
        <v>961</v>
      </c>
      <c r="F1619" s="2" t="s">
        <v>6002</v>
      </c>
      <c r="G1619" s="2" t="s">
        <v>6002</v>
      </c>
      <c r="H1619" s="2" t="s">
        <v>6002</v>
      </c>
      <c r="I1619" s="2" t="s">
        <v>2365</v>
      </c>
      <c r="J1619" s="2" t="s">
        <v>897</v>
      </c>
      <c r="K1619" s="2" t="s">
        <v>378</v>
      </c>
      <c r="L1619" s="3">
        <v>26.78</v>
      </c>
      <c r="M1619" s="3">
        <v>28.12</v>
      </c>
      <c r="N1619" s="3">
        <v>59.99</v>
      </c>
      <c r="O1619" s="2" t="s">
        <v>232</v>
      </c>
      <c r="P1619" s="2" t="s">
        <v>233</v>
      </c>
      <c r="Q1619" s="2" t="s">
        <v>234</v>
      </c>
      <c r="R1619" s="2" t="s">
        <v>235</v>
      </c>
      <c r="S1619" s="2" t="s">
        <v>235</v>
      </c>
      <c r="T1619" s="2" t="s">
        <v>235</v>
      </c>
      <c r="U1619" s="2" t="s">
        <v>807</v>
      </c>
      <c r="V1619" s="2" t="s">
        <v>808</v>
      </c>
      <c r="W1619" s="2" t="s">
        <v>682</v>
      </c>
      <c r="X1619" s="2" t="s">
        <v>235</v>
      </c>
      <c r="Y1619" s="2" t="s">
        <v>6003</v>
      </c>
      <c r="Z1619" s="4">
        <v>66</v>
      </c>
      <c r="AA1619" s="4">
        <f>=ROUNDDOWN(22,0)</f>
      </c>
      <c r="AB1619" s="5">
        <v>3</v>
      </c>
      <c r="AC1619" s="2" t="s">
        <v>235</v>
      </c>
      <c r="AD1619" s="4"/>
      <c r="AE1619" s="4"/>
      <c r="AF1619" s="6">
        <v>64</v>
      </c>
      <c r="AG1619" s="6"/>
      <c r="AH1619" s="7">
        <v>1</v>
      </c>
      <c r="AI1619" s="4"/>
      <c r="AJ1619" s="4">
        <f>=ROUNDDOWN({0},0)</f>
      </c>
      <c r="AK1619" s="5"/>
      <c r="AL1619" s="2" t="s">
        <v>235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/>
      <c r="BD1619" s="8"/>
      <c r="BE1619" s="4"/>
      <c r="BF1619" s="8"/>
      <c r="BG1619" s="7"/>
      <c r="BH1619" s="7"/>
      <c r="BI1619" s="7"/>
      <c r="BJ1619" s="4">
        <v>15</v>
      </c>
      <c r="BK1619" s="8">
        <v>419.63</v>
      </c>
      <c r="BL1619" s="2" t="s">
        <v>6004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6005</v>
      </c>
      <c r="BV1619" s="2" t="s">
        <v>813</v>
      </c>
      <c r="BW1619" s="2" t="s">
        <v>235</v>
      </c>
      <c r="BX1619" s="2" t="s">
        <v>244</v>
      </c>
      <c r="BY1619" s="2" t="s">
        <v>245</v>
      </c>
      <c r="BZ1619" s="2" t="s">
        <v>232</v>
      </c>
      <c r="CA1619" s="2" t="s">
        <v>6006</v>
      </c>
      <c r="CB1619" s="2" t="s">
        <v>6007</v>
      </c>
      <c r="CC1619" s="2" t="s">
        <v>248</v>
      </c>
      <c r="CD1619" s="2" t="s">
        <v>248</v>
      </c>
      <c r="CE1619" s="2" t="s">
        <v>235</v>
      </c>
      <c r="CF1619" s="4"/>
      <c r="CG1619" s="4">
        <v>66</v>
      </c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>
        <v>67</v>
      </c>
      <c r="GE1619" s="4">
        <v>57</v>
      </c>
      <c r="GF1619" s="4">
        <v>54</v>
      </c>
      <c r="GG1619" s="4">
        <v>51</v>
      </c>
      <c r="GH1619" s="4">
        <v>48</v>
      </c>
      <c r="GI1619" s="4">
        <v>45</v>
      </c>
      <c r="GJ1619" s="4">
        <v>42</v>
      </c>
      <c r="GK1619" s="4">
        <v>39</v>
      </c>
      <c r="GL1619" s="4">
        <v>36</v>
      </c>
      <c r="GM1619" s="4">
        <v>33</v>
      </c>
      <c r="GN1619" s="4">
        <v>30</v>
      </c>
      <c r="GO1619" s="4">
        <v>27</v>
      </c>
      <c r="GP1619" s="4">
        <v>23</v>
      </c>
      <c r="GQ1619" s="4">
        <v>20</v>
      </c>
      <c r="GR1619" s="4">
        <v>17</v>
      </c>
      <c r="GS1619" s="4">
        <v>13</v>
      </c>
      <c r="GT1619" s="4">
        <v>10</v>
      </c>
      <c r="GU1619" s="4">
        <v>7</v>
      </c>
      <c r="GV1619" s="4">
        <v>102</v>
      </c>
      <c r="GW1619" s="4">
        <v>99</v>
      </c>
      <c r="GX1619" s="4">
        <v>96</v>
      </c>
      <c r="GY1619" s="4">
        <v>93</v>
      </c>
      <c r="GZ1619" s="4">
        <v>90</v>
      </c>
      <c r="HA1619" s="4">
        <v>87</v>
      </c>
      <c r="HB1619" s="4">
        <v>84</v>
      </c>
      <c r="HC1619" s="4">
        <v>81</v>
      </c>
      <c r="HD1619" s="19">
        <v>13.4</v>
      </c>
      <c r="HE1619" s="19">
        <v>19</v>
      </c>
      <c r="HF1619" s="19">
        <v>18</v>
      </c>
      <c r="HG1619" s="19">
        <v>17</v>
      </c>
      <c r="HH1619" s="19">
        <v>16</v>
      </c>
      <c r="HI1619" s="19">
        <v>15</v>
      </c>
      <c r="HJ1619" s="19">
        <v>14</v>
      </c>
      <c r="HK1619" s="19">
        <v>13</v>
      </c>
      <c r="HL1619" s="19">
        <v>12</v>
      </c>
      <c r="HM1619" s="19">
        <v>11</v>
      </c>
      <c r="HN1619" s="19">
        <v>10</v>
      </c>
      <c r="HO1619" s="19">
        <v>6.8</v>
      </c>
      <c r="HP1619" s="19">
        <v>7.7</v>
      </c>
      <c r="HQ1619" s="19">
        <v>6.7</v>
      </c>
      <c r="HR1619" s="19">
        <v>5.7</v>
      </c>
      <c r="HS1619" s="19">
        <v>4.3</v>
      </c>
      <c r="HT1619" s="19">
        <v>3.3</v>
      </c>
      <c r="HU1619" s="19">
        <v>2.3</v>
      </c>
      <c r="HV1619" s="19">
        <v>34</v>
      </c>
      <c r="HW1619" s="19">
        <v>33</v>
      </c>
      <c r="HX1619" s="19">
        <v>32</v>
      </c>
      <c r="HY1619" s="19">
        <v>31</v>
      </c>
      <c r="HZ1619" s="19">
        <v>30</v>
      </c>
      <c r="IA1619" s="19">
        <v>29</v>
      </c>
      <c r="IB1619" s="19">
        <v>28</v>
      </c>
      <c r="IC1619" s="19">
        <v>27</v>
      </c>
    </row>
    <row r="1620">
      <c r="A1620" s="2" t="s">
        <v>6008</v>
      </c>
      <c r="B1620" s="2" t="s">
        <v>255</v>
      </c>
      <c r="C1620" s="2" t="s">
        <v>2023</v>
      </c>
      <c r="D1620" s="2" t="s">
        <v>906</v>
      </c>
      <c r="E1620" s="2" t="s">
        <v>907</v>
      </c>
      <c r="F1620" s="2" t="s">
        <v>6009</v>
      </c>
      <c r="G1620" s="2" t="s">
        <v>6009</v>
      </c>
      <c r="H1620" s="2" t="s">
        <v>6009</v>
      </c>
      <c r="I1620" s="2" t="s">
        <v>6010</v>
      </c>
      <c r="J1620" s="2" t="s">
        <v>365</v>
      </c>
      <c r="K1620" s="2" t="s">
        <v>2386</v>
      </c>
      <c r="L1620" s="3">
        <v>68</v>
      </c>
      <c r="M1620" s="3">
        <v>71.4</v>
      </c>
      <c r="N1620" s="3">
        <v>129.99</v>
      </c>
      <c r="O1620" s="2" t="s">
        <v>232</v>
      </c>
      <c r="P1620" s="2" t="s">
        <v>878</v>
      </c>
      <c r="Q1620" s="2" t="s">
        <v>234</v>
      </c>
      <c r="R1620" s="2" t="s">
        <v>235</v>
      </c>
      <c r="S1620" s="2" t="s">
        <v>235</v>
      </c>
      <c r="T1620" s="2" t="s">
        <v>263</v>
      </c>
      <c r="U1620" s="2" t="s">
        <v>552</v>
      </c>
      <c r="V1620" s="2" t="s">
        <v>238</v>
      </c>
      <c r="W1620" s="2" t="s">
        <v>235</v>
      </c>
      <c r="X1620" s="2" t="s">
        <v>235</v>
      </c>
      <c r="Y1620" s="2" t="s">
        <v>6011</v>
      </c>
      <c r="Z1620" s="4">
        <v>220</v>
      </c>
      <c r="AA1620" s="4">
        <f>=ROUNDDOWN(440,0)</f>
      </c>
      <c r="AB1620" s="5">
        <v>0.5</v>
      </c>
      <c r="AC1620" s="2" t="s">
        <v>235</v>
      </c>
      <c r="AD1620" s="4"/>
      <c r="AE1620" s="4"/>
      <c r="AF1620" s="6">
        <v>69</v>
      </c>
      <c r="AG1620" s="6"/>
      <c r="AH1620" s="7">
        <v>1</v>
      </c>
      <c r="AI1620" s="4"/>
      <c r="AJ1620" s="4">
        <f>=ROUNDDOWN({0},0)</f>
      </c>
      <c r="AK1620" s="5"/>
      <c r="AL1620" s="2" t="s">
        <v>235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235</v>
      </c>
      <c r="AW1620" s="8" t="s">
        <v>235</v>
      </c>
      <c r="AX1620" s="4" t="s">
        <v>235</v>
      </c>
      <c r="AY1620" s="8" t="s">
        <v>235</v>
      </c>
      <c r="AZ1620" s="7" t="s">
        <v>235</v>
      </c>
      <c r="BA1620" s="7" t="s">
        <v>235</v>
      </c>
      <c r="BB1620" s="7"/>
      <c r="BC1620" s="4" t="s">
        <v>235</v>
      </c>
      <c r="BD1620" s="8" t="s">
        <v>235</v>
      </c>
      <c r="BE1620" s="4" t="s">
        <v>235</v>
      </c>
      <c r="BF1620" s="8" t="s">
        <v>235</v>
      </c>
      <c r="BG1620" s="7" t="s">
        <v>235</v>
      </c>
      <c r="BH1620" s="7" t="s">
        <v>235</v>
      </c>
      <c r="BI1620" s="7"/>
      <c r="BJ1620" s="4">
        <v>2</v>
      </c>
      <c r="BK1620" s="8">
        <v>156</v>
      </c>
      <c r="BL1620" s="2" t="s">
        <v>900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6012</v>
      </c>
      <c r="BV1620" s="2" t="s">
        <v>235</v>
      </c>
      <c r="BW1620" s="2" t="s">
        <v>235</v>
      </c>
      <c r="BX1620" s="2" t="s">
        <v>244</v>
      </c>
      <c r="BY1620" s="2" t="s">
        <v>245</v>
      </c>
      <c r="BZ1620" s="2" t="s">
        <v>232</v>
      </c>
      <c r="CA1620" s="2" t="s">
        <v>235</v>
      </c>
      <c r="CB1620" s="2" t="s">
        <v>235</v>
      </c>
      <c r="CC1620" s="2" t="s">
        <v>248</v>
      </c>
      <c r="CD1620" s="2" t="s">
        <v>248</v>
      </c>
      <c r="CE1620" s="2" t="s">
        <v>235</v>
      </c>
      <c r="CF1620" s="4">
        <v>220</v>
      </c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>
        <v>220</v>
      </c>
      <c r="GE1620" s="4">
        <v>219</v>
      </c>
      <c r="GF1620" s="4">
        <v>218</v>
      </c>
      <c r="GG1620" s="4">
        <v>217</v>
      </c>
      <c r="GH1620" s="4">
        <v>216</v>
      </c>
      <c r="GI1620" s="4">
        <v>215</v>
      </c>
      <c r="GJ1620" s="4">
        <v>213</v>
      </c>
      <c r="GK1620" s="4">
        <v>211</v>
      </c>
      <c r="GL1620" s="4">
        <v>210</v>
      </c>
      <c r="GM1620" s="4">
        <v>209</v>
      </c>
      <c r="GN1620" s="4">
        <v>208</v>
      </c>
      <c r="GO1620" s="4">
        <v>207</v>
      </c>
      <c r="GP1620" s="4">
        <v>206</v>
      </c>
      <c r="GQ1620" s="4">
        <v>205</v>
      </c>
      <c r="GR1620" s="4">
        <v>203</v>
      </c>
      <c r="GS1620" s="4">
        <v>202</v>
      </c>
      <c r="GT1620" s="4">
        <v>201</v>
      </c>
      <c r="GU1620" s="4">
        <v>200</v>
      </c>
      <c r="GV1620" s="4">
        <v>199</v>
      </c>
      <c r="GW1620" s="4">
        <v>198</v>
      </c>
      <c r="GX1620" s="4">
        <v>197</v>
      </c>
      <c r="GY1620" s="4">
        <v>196</v>
      </c>
      <c r="GZ1620" s="4">
        <v>195</v>
      </c>
      <c r="HA1620" s="4">
        <v>194</v>
      </c>
      <c r="HB1620" s="4">
        <v>193</v>
      </c>
      <c r="HC1620" s="4">
        <v>192</v>
      </c>
      <c r="HD1620" s="19">
        <v>220</v>
      </c>
      <c r="HE1620" s="19">
        <v>219</v>
      </c>
      <c r="HF1620" s="19">
        <v>218</v>
      </c>
      <c r="HG1620" s="19">
        <v>108.5</v>
      </c>
      <c r="HH1620" s="19">
        <v>108</v>
      </c>
      <c r="HI1620" s="19">
        <v>107.5</v>
      </c>
      <c r="HJ1620" s="19">
        <v>213</v>
      </c>
      <c r="HK1620" s="19">
        <v>211</v>
      </c>
      <c r="HL1620" s="19">
        <v>210</v>
      </c>
      <c r="HM1620" s="19">
        <v>209</v>
      </c>
      <c r="HN1620" s="19">
        <v>208</v>
      </c>
      <c r="HO1620" s="19">
        <v>207</v>
      </c>
      <c r="HP1620" s="19">
        <v>206</v>
      </c>
      <c r="HQ1620" s="19">
        <v>205</v>
      </c>
      <c r="HR1620" s="19">
        <v>203</v>
      </c>
      <c r="HS1620" s="19">
        <v>202</v>
      </c>
      <c r="HT1620" s="19">
        <v>201</v>
      </c>
      <c r="HU1620" s="19">
        <v>200</v>
      </c>
      <c r="HV1620" s="19">
        <v>199</v>
      </c>
      <c r="HW1620" s="19">
        <v>198</v>
      </c>
      <c r="HX1620" s="19">
        <v>197</v>
      </c>
      <c r="HY1620" s="19">
        <v>196</v>
      </c>
      <c r="HZ1620" s="19">
        <v>195</v>
      </c>
      <c r="IA1620" s="19">
        <v>194</v>
      </c>
      <c r="IB1620" s="19">
        <v>193</v>
      </c>
      <c r="IC1620" s="19">
        <v>192</v>
      </c>
    </row>
    <row r="1621">
      <c r="A1621" s="2" t="s">
        <v>6013</v>
      </c>
      <c r="B1621" s="2" t="s">
        <v>255</v>
      </c>
      <c r="C1621" s="2" t="s">
        <v>2023</v>
      </c>
      <c r="D1621" s="2" t="s">
        <v>361</v>
      </c>
      <c r="E1621" s="2" t="s">
        <v>872</v>
      </c>
      <c r="F1621" s="2" t="s">
        <v>6009</v>
      </c>
      <c r="G1621" s="2" t="s">
        <v>6009</v>
      </c>
      <c r="H1621" s="2" t="s">
        <v>6009</v>
      </c>
      <c r="I1621" s="2" t="s">
        <v>6014</v>
      </c>
      <c r="J1621" s="2" t="s">
        <v>261</v>
      </c>
      <c r="K1621" s="2" t="s">
        <v>2386</v>
      </c>
      <c r="L1621" s="3">
        <v>96</v>
      </c>
      <c r="M1621" s="3">
        <v>100.8</v>
      </c>
      <c r="N1621" s="3">
        <v>189.99</v>
      </c>
      <c r="O1621" s="2" t="s">
        <v>232</v>
      </c>
      <c r="P1621" s="2" t="s">
        <v>878</v>
      </c>
      <c r="Q1621" s="2" t="s">
        <v>234</v>
      </c>
      <c r="R1621" s="2" t="s">
        <v>235</v>
      </c>
      <c r="S1621" s="2" t="s">
        <v>235</v>
      </c>
      <c r="T1621" s="2" t="s">
        <v>263</v>
      </c>
      <c r="U1621" s="2" t="s">
        <v>264</v>
      </c>
      <c r="V1621" s="2" t="s">
        <v>238</v>
      </c>
      <c r="W1621" s="2" t="s">
        <v>235</v>
      </c>
      <c r="X1621" s="2" t="s">
        <v>235</v>
      </c>
      <c r="Y1621" s="2" t="s">
        <v>1187</v>
      </c>
      <c r="Z1621" s="4">
        <v>365</v>
      </c>
      <c r="AA1621" s="4">
        <f>=ROUNDDOWN(912.5,0)</f>
      </c>
      <c r="AB1621" s="5">
        <v>0.4</v>
      </c>
      <c r="AC1621" s="2" t="s">
        <v>235</v>
      </c>
      <c r="AD1621" s="4"/>
      <c r="AE1621" s="4"/>
      <c r="AF1621" s="6">
        <v>69</v>
      </c>
      <c r="AG1621" s="6"/>
      <c r="AH1621" s="7">
        <v>1</v>
      </c>
      <c r="AI1621" s="4"/>
      <c r="AJ1621" s="4">
        <f>=ROUNDDOWN({0},0)</f>
      </c>
      <c r="AK1621" s="5"/>
      <c r="AL1621" s="2" t="s">
        <v>235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235</v>
      </c>
      <c r="AW1621" s="8" t="s">
        <v>235</v>
      </c>
      <c r="AX1621" s="4" t="s">
        <v>235</v>
      </c>
      <c r="AY1621" s="8" t="s">
        <v>235</v>
      </c>
      <c r="AZ1621" s="7" t="s">
        <v>235</v>
      </c>
      <c r="BA1621" s="7" t="s">
        <v>235</v>
      </c>
      <c r="BB1621" s="7"/>
      <c r="BC1621" s="4" t="s">
        <v>235</v>
      </c>
      <c r="BD1621" s="8" t="s">
        <v>235</v>
      </c>
      <c r="BE1621" s="4" t="s">
        <v>235</v>
      </c>
      <c r="BF1621" s="8" t="s">
        <v>235</v>
      </c>
      <c r="BG1621" s="7" t="s">
        <v>235</v>
      </c>
      <c r="BH1621" s="7" t="s">
        <v>235</v>
      </c>
      <c r="BI1621" s="7"/>
      <c r="BJ1621" s="4">
        <v>1</v>
      </c>
      <c r="BK1621" s="8">
        <v>114</v>
      </c>
      <c r="BL1621" s="2" t="s">
        <v>900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6015</v>
      </c>
      <c r="BV1621" s="2" t="s">
        <v>235</v>
      </c>
      <c r="BW1621" s="2" t="s">
        <v>235</v>
      </c>
      <c r="BX1621" s="2" t="s">
        <v>244</v>
      </c>
      <c r="BY1621" s="2" t="s">
        <v>245</v>
      </c>
      <c r="BZ1621" s="2" t="s">
        <v>232</v>
      </c>
      <c r="CA1621" s="2" t="s">
        <v>235</v>
      </c>
      <c r="CB1621" s="2" t="s">
        <v>235</v>
      </c>
      <c r="CC1621" s="2" t="s">
        <v>248</v>
      </c>
      <c r="CD1621" s="2" t="s">
        <v>248</v>
      </c>
      <c r="CE1621" s="2" t="s">
        <v>235</v>
      </c>
      <c r="CF1621" s="4">
        <v>365</v>
      </c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>
        <v>365</v>
      </c>
      <c r="GE1621" s="4">
        <v>365</v>
      </c>
      <c r="GF1621" s="4">
        <v>365</v>
      </c>
      <c r="GG1621" s="4">
        <v>365</v>
      </c>
      <c r="GH1621" s="4">
        <v>365</v>
      </c>
      <c r="GI1621" s="4">
        <v>365</v>
      </c>
      <c r="GJ1621" s="4">
        <v>365</v>
      </c>
      <c r="GK1621" s="4">
        <v>365</v>
      </c>
      <c r="GL1621" s="4">
        <v>365</v>
      </c>
      <c r="GM1621" s="4">
        <v>365</v>
      </c>
      <c r="GN1621" s="4">
        <v>365</v>
      </c>
      <c r="GO1621" s="4">
        <v>365</v>
      </c>
      <c r="GP1621" s="4">
        <v>365</v>
      </c>
      <c r="GQ1621" s="4">
        <v>365</v>
      </c>
      <c r="GR1621" s="4">
        <v>365</v>
      </c>
      <c r="GS1621" s="4">
        <v>365</v>
      </c>
      <c r="GT1621" s="4">
        <v>365</v>
      </c>
      <c r="GU1621" s="4">
        <v>365</v>
      </c>
      <c r="GV1621" s="4">
        <v>365</v>
      </c>
      <c r="GW1621" s="4">
        <v>365</v>
      </c>
      <c r="GX1621" s="4">
        <v>365</v>
      </c>
      <c r="GY1621" s="4">
        <v>365</v>
      </c>
      <c r="GZ1621" s="4">
        <v>365</v>
      </c>
      <c r="HA1621" s="4">
        <v>365</v>
      </c>
      <c r="HB1621" s="4">
        <v>365</v>
      </c>
      <c r="HC1621" s="4">
        <v>365</v>
      </c>
      <c r="HD1621" s="9"/>
      <c r="HE1621" s="9"/>
      <c r="HF1621" s="9"/>
      <c r="HG1621" s="9"/>
      <c r="HH1621" s="9"/>
      <c r="HI1621" s="9"/>
      <c r="HJ1621" s="9"/>
      <c r="HK1621" s="9"/>
      <c r="HL1621" s="9"/>
      <c r="HM1621" s="9"/>
      <c r="HN1621" s="9"/>
      <c r="HO1621" s="9"/>
      <c r="HP1621" s="9"/>
      <c r="HQ1621" s="9"/>
      <c r="HR1621" s="9"/>
      <c r="HS1621" s="9"/>
      <c r="HT1621" s="9"/>
      <c r="HU1621" s="9"/>
      <c r="HV1621" s="9"/>
      <c r="HW1621" s="9"/>
      <c r="HX1621" s="9"/>
      <c r="HY1621" s="9"/>
      <c r="HZ1621" s="9"/>
      <c r="IA1621" s="9"/>
      <c r="IB1621" s="9"/>
      <c r="IC1621" s="9"/>
    </row>
    <row r="1622">
      <c r="A1622" s="2" t="s">
        <v>6016</v>
      </c>
      <c r="B1622" s="2" t="s">
        <v>255</v>
      </c>
      <c r="C1622" s="2" t="s">
        <v>2023</v>
      </c>
      <c r="D1622" s="2" t="s">
        <v>906</v>
      </c>
      <c r="E1622" s="2" t="s">
        <v>907</v>
      </c>
      <c r="F1622" s="2" t="s">
        <v>6009</v>
      </c>
      <c r="G1622" s="2" t="s">
        <v>6009</v>
      </c>
      <c r="H1622" s="2" t="s">
        <v>6009</v>
      </c>
      <c r="I1622" s="2" t="s">
        <v>6010</v>
      </c>
      <c r="J1622" s="2" t="s">
        <v>372</v>
      </c>
      <c r="K1622" s="2" t="s">
        <v>2386</v>
      </c>
      <c r="L1622" s="3">
        <v>76</v>
      </c>
      <c r="M1622" s="3">
        <v>79.8</v>
      </c>
      <c r="N1622" s="3">
        <v>149.99</v>
      </c>
      <c r="O1622" s="2" t="s">
        <v>232</v>
      </c>
      <c r="P1622" s="2" t="s">
        <v>878</v>
      </c>
      <c r="Q1622" s="2" t="s">
        <v>234</v>
      </c>
      <c r="R1622" s="2" t="s">
        <v>235</v>
      </c>
      <c r="S1622" s="2" t="s">
        <v>235</v>
      </c>
      <c r="T1622" s="2" t="s">
        <v>263</v>
      </c>
      <c r="U1622" s="2" t="s">
        <v>552</v>
      </c>
      <c r="V1622" s="2" t="s">
        <v>238</v>
      </c>
      <c r="W1622" s="2" t="s">
        <v>235</v>
      </c>
      <c r="X1622" s="2" t="s">
        <v>235</v>
      </c>
      <c r="Y1622" s="2" t="s">
        <v>6011</v>
      </c>
      <c r="Z1622" s="4">
        <v>248</v>
      </c>
      <c r="AA1622" s="4">
        <f>=ROUNDDOWN(130.526315789474,0)</f>
      </c>
      <c r="AB1622" s="5">
        <v>1.9</v>
      </c>
      <c r="AC1622" s="2" t="s">
        <v>235</v>
      </c>
      <c r="AD1622" s="4"/>
      <c r="AE1622" s="4"/>
      <c r="AF1622" s="6">
        <v>69</v>
      </c>
      <c r="AG1622" s="6"/>
      <c r="AH1622" s="7">
        <v>1</v>
      </c>
      <c r="AI1622" s="4"/>
      <c r="AJ1622" s="4">
        <f>=ROUNDDOWN({0},0)</f>
      </c>
      <c r="AK1622" s="5"/>
      <c r="AL1622" s="2" t="s">
        <v>235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235</v>
      </c>
      <c r="AW1622" s="8" t="s">
        <v>235</v>
      </c>
      <c r="AX1622" s="4" t="s">
        <v>235</v>
      </c>
      <c r="AY1622" s="8" t="s">
        <v>235</v>
      </c>
      <c r="AZ1622" s="7" t="s">
        <v>235</v>
      </c>
      <c r="BA1622" s="7" t="s">
        <v>235</v>
      </c>
      <c r="BB1622" s="7"/>
      <c r="BC1622" s="4" t="s">
        <v>235</v>
      </c>
      <c r="BD1622" s="8" t="s">
        <v>235</v>
      </c>
      <c r="BE1622" s="4" t="s">
        <v>235</v>
      </c>
      <c r="BF1622" s="8" t="s">
        <v>235</v>
      </c>
      <c r="BG1622" s="7" t="s">
        <v>235</v>
      </c>
      <c r="BH1622" s="7" t="s">
        <v>235</v>
      </c>
      <c r="BI1622" s="7"/>
      <c r="BJ1622" s="4">
        <v>14</v>
      </c>
      <c r="BK1622" s="8">
        <v>1161</v>
      </c>
      <c r="BL1622" s="2" t="s">
        <v>900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6012</v>
      </c>
      <c r="BV1622" s="2" t="s">
        <v>235</v>
      </c>
      <c r="BW1622" s="2" t="s">
        <v>235</v>
      </c>
      <c r="BX1622" s="2" t="s">
        <v>244</v>
      </c>
      <c r="BY1622" s="2" t="s">
        <v>245</v>
      </c>
      <c r="BZ1622" s="2" t="s">
        <v>232</v>
      </c>
      <c r="CA1622" s="2" t="s">
        <v>235</v>
      </c>
      <c r="CB1622" s="2" t="s">
        <v>235</v>
      </c>
      <c r="CC1622" s="2" t="s">
        <v>248</v>
      </c>
      <c r="CD1622" s="2" t="s">
        <v>248</v>
      </c>
      <c r="CE1622" s="2" t="s">
        <v>235</v>
      </c>
      <c r="CF1622" s="4">
        <v>248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>
        <v>248</v>
      </c>
      <c r="GE1622" s="4">
        <v>245</v>
      </c>
      <c r="GF1622" s="4">
        <v>245</v>
      </c>
      <c r="GG1622" s="4">
        <v>243</v>
      </c>
      <c r="GH1622" s="4">
        <v>242</v>
      </c>
      <c r="GI1622" s="4">
        <v>241</v>
      </c>
      <c r="GJ1622" s="4">
        <v>238</v>
      </c>
      <c r="GK1622" s="4">
        <v>236</v>
      </c>
      <c r="GL1622" s="4">
        <v>234</v>
      </c>
      <c r="GM1622" s="4">
        <v>230</v>
      </c>
      <c r="GN1622" s="4">
        <v>229</v>
      </c>
      <c r="GO1622" s="4">
        <v>227</v>
      </c>
      <c r="GP1622" s="4">
        <v>226</v>
      </c>
      <c r="GQ1622" s="4">
        <v>223</v>
      </c>
      <c r="GR1622" s="4">
        <v>219</v>
      </c>
      <c r="GS1622" s="4">
        <v>218</v>
      </c>
      <c r="GT1622" s="4">
        <v>216</v>
      </c>
      <c r="GU1622" s="4">
        <v>216</v>
      </c>
      <c r="GV1622" s="4">
        <v>215</v>
      </c>
      <c r="GW1622" s="4">
        <v>212</v>
      </c>
      <c r="GX1622" s="4">
        <v>210</v>
      </c>
      <c r="GY1622" s="4">
        <v>209</v>
      </c>
      <c r="GZ1622" s="4">
        <v>207</v>
      </c>
      <c r="HA1622" s="4">
        <v>205</v>
      </c>
      <c r="HB1622" s="4">
        <v>201</v>
      </c>
      <c r="HC1622" s="4">
        <v>199</v>
      </c>
      <c r="HD1622" s="19">
        <v>124</v>
      </c>
      <c r="HE1622" s="19">
        <v>245</v>
      </c>
      <c r="HF1622" s="19">
        <v>122.5</v>
      </c>
      <c r="HG1622" s="19">
        <v>121.5</v>
      </c>
      <c r="HH1622" s="19">
        <v>121</v>
      </c>
      <c r="HI1622" s="19">
        <v>80.3</v>
      </c>
      <c r="HJ1622" s="19">
        <v>119</v>
      </c>
      <c r="HK1622" s="19">
        <v>118</v>
      </c>
      <c r="HL1622" s="19">
        <v>117</v>
      </c>
      <c r="HM1622" s="19">
        <v>115</v>
      </c>
      <c r="HN1622" s="19">
        <v>114.5</v>
      </c>
      <c r="HO1622" s="19">
        <v>113.5</v>
      </c>
      <c r="HP1622" s="19">
        <v>113</v>
      </c>
      <c r="HQ1622" s="19">
        <v>111.5</v>
      </c>
      <c r="HR1622" s="19">
        <v>219</v>
      </c>
      <c r="HS1622" s="19">
        <v>109</v>
      </c>
      <c r="HT1622" s="19">
        <v>108</v>
      </c>
      <c r="HU1622" s="19">
        <v>108</v>
      </c>
      <c r="HV1622" s="19">
        <v>107.5</v>
      </c>
      <c r="HW1622" s="19">
        <v>106</v>
      </c>
      <c r="HX1622" s="19">
        <v>105</v>
      </c>
      <c r="HY1622" s="19">
        <v>104.5</v>
      </c>
      <c r="HZ1622" s="19">
        <v>103.5</v>
      </c>
      <c r="IA1622" s="19">
        <v>68.3</v>
      </c>
      <c r="IB1622" s="19">
        <v>100.5</v>
      </c>
      <c r="IC1622" s="19">
        <v>99.5</v>
      </c>
    </row>
    <row r="1623">
      <c r="A1623" s="2" t="s">
        <v>6017</v>
      </c>
      <c r="B1623" s="2" t="s">
        <v>255</v>
      </c>
      <c r="C1623" s="2" t="s">
        <v>2023</v>
      </c>
      <c r="D1623" s="2" t="s">
        <v>361</v>
      </c>
      <c r="E1623" s="2" t="s">
        <v>872</v>
      </c>
      <c r="F1623" s="2" t="s">
        <v>6009</v>
      </c>
      <c r="G1623" s="2" t="s">
        <v>6009</v>
      </c>
      <c r="H1623" s="2" t="s">
        <v>6009</v>
      </c>
      <c r="I1623" s="2" t="s">
        <v>6014</v>
      </c>
      <c r="J1623" s="2" t="s">
        <v>272</v>
      </c>
      <c r="K1623" s="2" t="s">
        <v>2386</v>
      </c>
      <c r="L1623" s="3">
        <v>104</v>
      </c>
      <c r="M1623" s="3">
        <v>109.2</v>
      </c>
      <c r="N1623" s="3">
        <v>209.99</v>
      </c>
      <c r="O1623" s="2" t="s">
        <v>232</v>
      </c>
      <c r="P1623" s="2" t="s">
        <v>878</v>
      </c>
      <c r="Q1623" s="2" t="s">
        <v>234</v>
      </c>
      <c r="R1623" s="2" t="s">
        <v>235</v>
      </c>
      <c r="S1623" s="2" t="s">
        <v>235</v>
      </c>
      <c r="T1623" s="2" t="s">
        <v>263</v>
      </c>
      <c r="U1623" s="2" t="s">
        <v>264</v>
      </c>
      <c r="V1623" s="2" t="s">
        <v>238</v>
      </c>
      <c r="W1623" s="2" t="s">
        <v>235</v>
      </c>
      <c r="X1623" s="2" t="s">
        <v>235</v>
      </c>
      <c r="Y1623" s="2" t="s">
        <v>6011</v>
      </c>
      <c r="Z1623" s="4">
        <v>138</v>
      </c>
      <c r="AA1623" s="4">
        <f>=ROUNDDOWN(460,0)</f>
      </c>
      <c r="AB1623" s="5">
        <v>0.3</v>
      </c>
      <c r="AC1623" s="2" t="s">
        <v>235</v>
      </c>
      <c r="AD1623" s="4"/>
      <c r="AE1623" s="4"/>
      <c r="AF1623" s="6">
        <v>69</v>
      </c>
      <c r="AG1623" s="6"/>
      <c r="AH1623" s="7">
        <v>1</v>
      </c>
      <c r="AI1623" s="4"/>
      <c r="AJ1623" s="4">
        <f>=ROUNDDOWN({0},0)</f>
      </c>
      <c r="AK1623" s="5"/>
      <c r="AL1623" s="2" t="s">
        <v>235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235</v>
      </c>
      <c r="AW1623" s="8" t="s">
        <v>235</v>
      </c>
      <c r="AX1623" s="4" t="s">
        <v>235</v>
      </c>
      <c r="AY1623" s="8" t="s">
        <v>235</v>
      </c>
      <c r="AZ1623" s="7" t="s">
        <v>235</v>
      </c>
      <c r="BA1623" s="7" t="s">
        <v>235</v>
      </c>
      <c r="BB1623" s="7"/>
      <c r="BC1623" s="4" t="s">
        <v>235</v>
      </c>
      <c r="BD1623" s="8" t="s">
        <v>235</v>
      </c>
      <c r="BE1623" s="4" t="s">
        <v>235</v>
      </c>
      <c r="BF1623" s="8" t="s">
        <v>235</v>
      </c>
      <c r="BG1623" s="7" t="s">
        <v>235</v>
      </c>
      <c r="BH1623" s="7" t="s">
        <v>235</v>
      </c>
      <c r="BI1623" s="7"/>
      <c r="BJ1623" s="4">
        <v>1</v>
      </c>
      <c r="BK1623" s="8">
        <v>117.94</v>
      </c>
      <c r="BL1623" s="2" t="s">
        <v>1461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6015</v>
      </c>
      <c r="BV1623" s="2" t="s">
        <v>235</v>
      </c>
      <c r="BW1623" s="2" t="s">
        <v>235</v>
      </c>
      <c r="BX1623" s="2" t="s">
        <v>244</v>
      </c>
      <c r="BY1623" s="2" t="s">
        <v>245</v>
      </c>
      <c r="BZ1623" s="2" t="s">
        <v>232</v>
      </c>
      <c r="CA1623" s="2" t="s">
        <v>235</v>
      </c>
      <c r="CB1623" s="2" t="s">
        <v>235</v>
      </c>
      <c r="CC1623" s="2" t="s">
        <v>248</v>
      </c>
      <c r="CD1623" s="2" t="s">
        <v>248</v>
      </c>
      <c r="CE1623" s="2" t="s">
        <v>235</v>
      </c>
      <c r="CF1623" s="4">
        <v>138</v>
      </c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>
        <v>138</v>
      </c>
      <c r="GE1623" s="4">
        <v>138</v>
      </c>
      <c r="GF1623" s="4">
        <v>138</v>
      </c>
      <c r="GG1623" s="4">
        <v>138</v>
      </c>
      <c r="GH1623" s="4">
        <v>138</v>
      </c>
      <c r="GI1623" s="4">
        <v>138</v>
      </c>
      <c r="GJ1623" s="4">
        <v>138</v>
      </c>
      <c r="GK1623" s="4">
        <v>138</v>
      </c>
      <c r="GL1623" s="4">
        <v>138</v>
      </c>
      <c r="GM1623" s="4">
        <v>138</v>
      </c>
      <c r="GN1623" s="4">
        <v>138</v>
      </c>
      <c r="GO1623" s="4">
        <v>138</v>
      </c>
      <c r="GP1623" s="4">
        <v>138</v>
      </c>
      <c r="GQ1623" s="4">
        <v>138</v>
      </c>
      <c r="GR1623" s="4">
        <v>138</v>
      </c>
      <c r="GS1623" s="4">
        <v>138</v>
      </c>
      <c r="GT1623" s="4">
        <v>138</v>
      </c>
      <c r="GU1623" s="4">
        <v>138</v>
      </c>
      <c r="GV1623" s="4">
        <v>138</v>
      </c>
      <c r="GW1623" s="4">
        <v>138</v>
      </c>
      <c r="GX1623" s="4">
        <v>138</v>
      </c>
      <c r="GY1623" s="4">
        <v>138</v>
      </c>
      <c r="GZ1623" s="4">
        <v>138</v>
      </c>
      <c r="HA1623" s="4">
        <v>138</v>
      </c>
      <c r="HB1623" s="4">
        <v>138</v>
      </c>
      <c r="HC1623" s="4">
        <v>138</v>
      </c>
      <c r="HD1623" s="9"/>
      <c r="HE1623" s="9"/>
      <c r="HF1623" s="9"/>
      <c r="HG1623" s="9"/>
      <c r="HH1623" s="9"/>
      <c r="HI1623" s="9"/>
      <c r="HJ1623" s="9"/>
      <c r="HK1623" s="9"/>
      <c r="HL1623" s="9"/>
      <c r="HM1623" s="9"/>
      <c r="HN1623" s="9"/>
      <c r="HO1623" s="9"/>
      <c r="HP1623" s="9"/>
      <c r="HQ1623" s="9"/>
      <c r="HR1623" s="9"/>
      <c r="HS1623" s="9"/>
      <c r="HT1623" s="9"/>
      <c r="HU1623" s="9"/>
      <c r="HV1623" s="9"/>
      <c r="HW1623" s="9"/>
      <c r="HX1623" s="9"/>
      <c r="HY1623" s="9"/>
      <c r="HZ1623" s="9"/>
      <c r="IA1623" s="9"/>
      <c r="IB1623" s="9"/>
      <c r="IC1623" s="9"/>
    </row>
    <row r="1624">
      <c r="A1624" s="2" t="s">
        <v>6018</v>
      </c>
      <c r="B1624" s="2" t="s">
        <v>905</v>
      </c>
      <c r="C1624" s="2" t="s">
        <v>678</v>
      </c>
      <c r="D1624" s="2" t="s">
        <v>2650</v>
      </c>
      <c r="E1624" s="2" t="s">
        <v>2651</v>
      </c>
      <c r="F1624" s="2" t="s">
        <v>6019</v>
      </c>
      <c r="G1624" s="2" t="s">
        <v>6019</v>
      </c>
      <c r="H1624" s="2" t="s">
        <v>6019</v>
      </c>
      <c r="I1624" s="2" t="s">
        <v>2653</v>
      </c>
      <c r="J1624" s="2" t="s">
        <v>394</v>
      </c>
      <c r="K1624" s="2" t="s">
        <v>316</v>
      </c>
      <c r="L1624" s="3">
        <v>38.09</v>
      </c>
      <c r="M1624" s="3">
        <v>40</v>
      </c>
      <c r="N1624" s="3">
        <v>79.99</v>
      </c>
      <c r="O1624" s="2" t="s">
        <v>232</v>
      </c>
      <c r="P1624" s="2" t="s">
        <v>878</v>
      </c>
      <c r="Q1624" s="2" t="s">
        <v>234</v>
      </c>
      <c r="R1624" s="2" t="s">
        <v>235</v>
      </c>
      <c r="S1624" s="2" t="s">
        <v>235</v>
      </c>
      <c r="T1624" s="2" t="s">
        <v>879</v>
      </c>
      <c r="U1624" s="2" t="s">
        <v>807</v>
      </c>
      <c r="V1624" s="2" t="s">
        <v>238</v>
      </c>
      <c r="W1624" s="2" t="s">
        <v>682</v>
      </c>
      <c r="X1624" s="2" t="s">
        <v>235</v>
      </c>
      <c r="Y1624" s="2" t="s">
        <v>235</v>
      </c>
      <c r="Z1624" s="4"/>
      <c r="AA1624" s="4">
        <f>=ROUNDDOWN({0},0)</f>
      </c>
      <c r="AB1624" s="5"/>
      <c r="AC1624" s="2" t="s">
        <v>167</v>
      </c>
      <c r="AD1624" s="4">
        <v>350</v>
      </c>
      <c r="AE1624" s="4">
        <v>350</v>
      </c>
      <c r="AF1624" s="6">
        <v>65</v>
      </c>
      <c r="AG1624" s="6"/>
      <c r="AH1624" s="7"/>
      <c r="AI1624" s="4"/>
      <c r="AJ1624" s="4">
        <f>=ROUNDDOWN({0},0)</f>
      </c>
      <c r="AK1624" s="5"/>
      <c r="AL1624" s="2" t="s">
        <v>235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235</v>
      </c>
      <c r="AW1624" s="8" t="s">
        <v>235</v>
      </c>
      <c r="AX1624" s="4" t="s">
        <v>235</v>
      </c>
      <c r="AY1624" s="8" t="s">
        <v>235</v>
      </c>
      <c r="AZ1624" s="7" t="s">
        <v>235</v>
      </c>
      <c r="BA1624" s="7" t="s">
        <v>235</v>
      </c>
      <c r="BB1624" s="7"/>
      <c r="BC1624" s="4" t="s">
        <v>235</v>
      </c>
      <c r="BD1624" s="8" t="s">
        <v>235</v>
      </c>
      <c r="BE1624" s="4" t="s">
        <v>235</v>
      </c>
      <c r="BF1624" s="8" t="s">
        <v>235</v>
      </c>
      <c r="BG1624" s="7" t="s">
        <v>235</v>
      </c>
      <c r="BH1624" s="7" t="s">
        <v>235</v>
      </c>
      <c r="BI1624" s="7"/>
      <c r="BJ1624" s="4"/>
      <c r="BK1624" s="8"/>
      <c r="BL1624" s="2" t="s">
        <v>235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330</v>
      </c>
      <c r="BV1624" s="2" t="s">
        <v>235</v>
      </c>
      <c r="BW1624" s="2" t="s">
        <v>235</v>
      </c>
      <c r="BX1624" s="2" t="s">
        <v>330</v>
      </c>
      <c r="BY1624" s="2" t="s">
        <v>331</v>
      </c>
      <c r="BZ1624" s="2" t="s">
        <v>232</v>
      </c>
      <c r="CA1624" s="2" t="s">
        <v>235</v>
      </c>
      <c r="CB1624" s="2" t="s">
        <v>235</v>
      </c>
      <c r="CC1624" s="2" t="s">
        <v>248</v>
      </c>
      <c r="CD1624" s="2" t="s">
        <v>248</v>
      </c>
      <c r="CE1624" s="2" t="s">
        <v>235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>
        <v>350</v>
      </c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>
        <v>350</v>
      </c>
      <c r="GL1624" s="4">
        <v>350</v>
      </c>
      <c r="GM1624" s="4">
        <v>350</v>
      </c>
      <c r="GN1624" s="4">
        <v>350</v>
      </c>
      <c r="GO1624" s="4">
        <v>350</v>
      </c>
      <c r="GP1624" s="4">
        <v>350</v>
      </c>
      <c r="GQ1624" s="4">
        <v>350</v>
      </c>
      <c r="GR1624" s="4">
        <v>350</v>
      </c>
      <c r="GS1624" s="4">
        <v>350</v>
      </c>
      <c r="GT1624" s="4">
        <v>350</v>
      </c>
      <c r="GU1624" s="4">
        <v>350</v>
      </c>
      <c r="GV1624" s="4">
        <v>350</v>
      </c>
      <c r="GW1624" s="4">
        <v>350</v>
      </c>
      <c r="GX1624" s="4">
        <v>350</v>
      </c>
      <c r="GY1624" s="4">
        <v>350</v>
      </c>
      <c r="GZ1624" s="4">
        <v>350</v>
      </c>
      <c r="HA1624" s="4">
        <v>350</v>
      </c>
      <c r="HB1624" s="4">
        <v>350</v>
      </c>
      <c r="HC1624" s="4">
        <v>350</v>
      </c>
      <c r="HD1624" s="9"/>
      <c r="HE1624" s="9"/>
      <c r="HF1624" s="9"/>
      <c r="HG1624" s="9"/>
      <c r="HH1624" s="9"/>
      <c r="HI1624" s="9"/>
      <c r="HJ1624" s="9"/>
      <c r="HK1624" s="9"/>
      <c r="HL1624" s="9"/>
      <c r="HM1624" s="9"/>
      <c r="HN1624" s="9"/>
      <c r="HO1624" s="9"/>
      <c r="HP1624" s="9"/>
      <c r="HQ1624" s="9"/>
      <c r="HR1624" s="9"/>
      <c r="HS1624" s="9"/>
      <c r="HT1624" s="9"/>
      <c r="HU1624" s="9"/>
      <c r="HV1624" s="9"/>
      <c r="HW1624" s="9"/>
      <c r="HX1624" s="9"/>
      <c r="HY1624" s="9"/>
      <c r="HZ1624" s="9"/>
      <c r="IA1624" s="9"/>
      <c r="IB1624" s="9"/>
      <c r="IC1624" s="9"/>
    </row>
    <row r="1625">
      <c r="A1625" s="2" t="s">
        <v>6020</v>
      </c>
      <c r="B1625" s="2" t="s">
        <v>905</v>
      </c>
      <c r="C1625" s="2" t="s">
        <v>678</v>
      </c>
      <c r="D1625" s="2" t="s">
        <v>2650</v>
      </c>
      <c r="E1625" s="2" t="s">
        <v>2651</v>
      </c>
      <c r="F1625" s="2" t="s">
        <v>6019</v>
      </c>
      <c r="G1625" s="2" t="s">
        <v>6019</v>
      </c>
      <c r="H1625" s="2" t="s">
        <v>6019</v>
      </c>
      <c r="I1625" s="2" t="s">
        <v>2653</v>
      </c>
      <c r="J1625" s="2" t="s">
        <v>230</v>
      </c>
      <c r="K1625" s="2" t="s">
        <v>316</v>
      </c>
      <c r="L1625" s="3">
        <v>38.09</v>
      </c>
      <c r="M1625" s="3">
        <v>40</v>
      </c>
      <c r="N1625" s="3">
        <v>79.99</v>
      </c>
      <c r="O1625" s="2" t="s">
        <v>232</v>
      </c>
      <c r="P1625" s="2" t="s">
        <v>878</v>
      </c>
      <c r="Q1625" s="2" t="s">
        <v>234</v>
      </c>
      <c r="R1625" s="2" t="s">
        <v>235</v>
      </c>
      <c r="S1625" s="2" t="s">
        <v>235</v>
      </c>
      <c r="T1625" s="2" t="s">
        <v>879</v>
      </c>
      <c r="U1625" s="2" t="s">
        <v>807</v>
      </c>
      <c r="V1625" s="2" t="s">
        <v>238</v>
      </c>
      <c r="W1625" s="2" t="s">
        <v>682</v>
      </c>
      <c r="X1625" s="2" t="s">
        <v>235</v>
      </c>
      <c r="Y1625" s="2" t="s">
        <v>235</v>
      </c>
      <c r="Z1625" s="4"/>
      <c r="AA1625" s="4">
        <f>=ROUNDDOWN({0},0)</f>
      </c>
      <c r="AB1625" s="5"/>
      <c r="AC1625" s="2" t="s">
        <v>167</v>
      </c>
      <c r="AD1625" s="4">
        <v>740</v>
      </c>
      <c r="AE1625" s="4">
        <v>740</v>
      </c>
      <c r="AF1625" s="6">
        <v>65</v>
      </c>
      <c r="AG1625" s="6"/>
      <c r="AH1625" s="7"/>
      <c r="AI1625" s="4"/>
      <c r="AJ1625" s="4">
        <f>=ROUNDDOWN({0},0)</f>
      </c>
      <c r="AK1625" s="5"/>
      <c r="AL1625" s="2" t="s">
        <v>235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235</v>
      </c>
      <c r="AW1625" s="8" t="s">
        <v>235</v>
      </c>
      <c r="AX1625" s="4" t="s">
        <v>235</v>
      </c>
      <c r="AY1625" s="8" t="s">
        <v>235</v>
      </c>
      <c r="AZ1625" s="7" t="s">
        <v>235</v>
      </c>
      <c r="BA1625" s="7" t="s">
        <v>235</v>
      </c>
      <c r="BB1625" s="7"/>
      <c r="BC1625" s="4" t="s">
        <v>235</v>
      </c>
      <c r="BD1625" s="8" t="s">
        <v>235</v>
      </c>
      <c r="BE1625" s="4" t="s">
        <v>235</v>
      </c>
      <c r="BF1625" s="8" t="s">
        <v>235</v>
      </c>
      <c r="BG1625" s="7" t="s">
        <v>235</v>
      </c>
      <c r="BH1625" s="7" t="s">
        <v>235</v>
      </c>
      <c r="BI1625" s="7"/>
      <c r="BJ1625" s="4"/>
      <c r="BK1625" s="8"/>
      <c r="BL1625" s="2" t="s">
        <v>235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330</v>
      </c>
      <c r="BV1625" s="2" t="s">
        <v>235</v>
      </c>
      <c r="BW1625" s="2" t="s">
        <v>235</v>
      </c>
      <c r="BX1625" s="2" t="s">
        <v>330</v>
      </c>
      <c r="BY1625" s="2" t="s">
        <v>331</v>
      </c>
      <c r="BZ1625" s="2" t="s">
        <v>232</v>
      </c>
      <c r="CA1625" s="2" t="s">
        <v>235</v>
      </c>
      <c r="CB1625" s="2" t="s">
        <v>235</v>
      </c>
      <c r="CC1625" s="2" t="s">
        <v>248</v>
      </c>
      <c r="CD1625" s="2" t="s">
        <v>248</v>
      </c>
      <c r="CE1625" s="2" t="s">
        <v>235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>
        <v>740</v>
      </c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>
        <v>740</v>
      </c>
      <c r="GL1625" s="4">
        <v>740</v>
      </c>
      <c r="GM1625" s="4">
        <v>740</v>
      </c>
      <c r="GN1625" s="4">
        <v>740</v>
      </c>
      <c r="GO1625" s="4">
        <v>740</v>
      </c>
      <c r="GP1625" s="4">
        <v>740</v>
      </c>
      <c r="GQ1625" s="4">
        <v>740</v>
      </c>
      <c r="GR1625" s="4">
        <v>740</v>
      </c>
      <c r="GS1625" s="4">
        <v>740</v>
      </c>
      <c r="GT1625" s="4">
        <v>740</v>
      </c>
      <c r="GU1625" s="4">
        <v>740</v>
      </c>
      <c r="GV1625" s="4">
        <v>740</v>
      </c>
      <c r="GW1625" s="4">
        <v>740</v>
      </c>
      <c r="GX1625" s="4">
        <v>740</v>
      </c>
      <c r="GY1625" s="4">
        <v>740</v>
      </c>
      <c r="GZ1625" s="4">
        <v>740</v>
      </c>
      <c r="HA1625" s="4">
        <v>740</v>
      </c>
      <c r="HB1625" s="4">
        <v>740</v>
      </c>
      <c r="HC1625" s="4">
        <v>740</v>
      </c>
      <c r="HD1625" s="9"/>
      <c r="HE1625" s="9"/>
      <c r="HF1625" s="9"/>
      <c r="HG1625" s="9"/>
      <c r="HH1625" s="9"/>
      <c r="HI1625" s="9"/>
      <c r="HJ1625" s="9"/>
      <c r="HK1625" s="9"/>
      <c r="HL1625" s="9"/>
      <c r="HM1625" s="9"/>
      <c r="HN1625" s="9"/>
      <c r="HO1625" s="9"/>
      <c r="HP1625" s="9"/>
      <c r="HQ1625" s="9"/>
      <c r="HR1625" s="9"/>
      <c r="HS1625" s="9"/>
      <c r="HT1625" s="9"/>
      <c r="HU1625" s="9"/>
      <c r="HV1625" s="9"/>
      <c r="HW1625" s="9"/>
      <c r="HX1625" s="9"/>
      <c r="HY1625" s="9"/>
      <c r="HZ1625" s="9"/>
      <c r="IA1625" s="9"/>
      <c r="IB1625" s="9"/>
      <c r="IC1625" s="9"/>
    </row>
    <row r="1626">
      <c r="A1626" s="2" t="s">
        <v>6021</v>
      </c>
      <c r="B1626" s="2" t="s">
        <v>905</v>
      </c>
      <c r="C1626" s="2" t="s">
        <v>678</v>
      </c>
      <c r="D1626" s="2" t="s">
        <v>2650</v>
      </c>
      <c r="E1626" s="2" t="s">
        <v>2651</v>
      </c>
      <c r="F1626" s="2" t="s">
        <v>6019</v>
      </c>
      <c r="G1626" s="2" t="s">
        <v>6019</v>
      </c>
      <c r="H1626" s="2" t="s">
        <v>6019</v>
      </c>
      <c r="I1626" s="2" t="s">
        <v>2653</v>
      </c>
      <c r="J1626" s="2" t="s">
        <v>250</v>
      </c>
      <c r="K1626" s="2" t="s">
        <v>316</v>
      </c>
      <c r="L1626" s="3">
        <v>42.85</v>
      </c>
      <c r="M1626" s="3">
        <v>45</v>
      </c>
      <c r="N1626" s="3">
        <v>89.99</v>
      </c>
      <c r="O1626" s="2" t="s">
        <v>232</v>
      </c>
      <c r="P1626" s="2" t="s">
        <v>878</v>
      </c>
      <c r="Q1626" s="2" t="s">
        <v>234</v>
      </c>
      <c r="R1626" s="2" t="s">
        <v>235</v>
      </c>
      <c r="S1626" s="2" t="s">
        <v>235</v>
      </c>
      <c r="T1626" s="2" t="s">
        <v>879</v>
      </c>
      <c r="U1626" s="2" t="s">
        <v>807</v>
      </c>
      <c r="V1626" s="2" t="s">
        <v>238</v>
      </c>
      <c r="W1626" s="2" t="s">
        <v>682</v>
      </c>
      <c r="X1626" s="2" t="s">
        <v>235</v>
      </c>
      <c r="Y1626" s="2" t="s">
        <v>235</v>
      </c>
      <c r="Z1626" s="4"/>
      <c r="AA1626" s="4">
        <f>=ROUNDDOWN({0},0)</f>
      </c>
      <c r="AB1626" s="5"/>
      <c r="AC1626" s="2" t="s">
        <v>167</v>
      </c>
      <c r="AD1626" s="4">
        <v>1030</v>
      </c>
      <c r="AE1626" s="4">
        <v>1030</v>
      </c>
      <c r="AF1626" s="6">
        <v>65</v>
      </c>
      <c r="AG1626" s="6"/>
      <c r="AH1626" s="7"/>
      <c r="AI1626" s="4"/>
      <c r="AJ1626" s="4">
        <f>=ROUNDDOWN({0},0)</f>
      </c>
      <c r="AK1626" s="5"/>
      <c r="AL1626" s="2" t="s">
        <v>235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235</v>
      </c>
      <c r="AW1626" s="8" t="s">
        <v>235</v>
      </c>
      <c r="AX1626" s="4" t="s">
        <v>235</v>
      </c>
      <c r="AY1626" s="8" t="s">
        <v>235</v>
      </c>
      <c r="AZ1626" s="7" t="s">
        <v>235</v>
      </c>
      <c r="BA1626" s="7" t="s">
        <v>235</v>
      </c>
      <c r="BB1626" s="7"/>
      <c r="BC1626" s="4" t="s">
        <v>235</v>
      </c>
      <c r="BD1626" s="8" t="s">
        <v>235</v>
      </c>
      <c r="BE1626" s="4" t="s">
        <v>235</v>
      </c>
      <c r="BF1626" s="8" t="s">
        <v>235</v>
      </c>
      <c r="BG1626" s="7" t="s">
        <v>235</v>
      </c>
      <c r="BH1626" s="7" t="s">
        <v>235</v>
      </c>
      <c r="BI1626" s="7"/>
      <c r="BJ1626" s="4"/>
      <c r="BK1626" s="8"/>
      <c r="BL1626" s="2" t="s">
        <v>235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330</v>
      </c>
      <c r="BV1626" s="2" t="s">
        <v>235</v>
      </c>
      <c r="BW1626" s="2" t="s">
        <v>235</v>
      </c>
      <c r="BX1626" s="2" t="s">
        <v>330</v>
      </c>
      <c r="BY1626" s="2" t="s">
        <v>331</v>
      </c>
      <c r="BZ1626" s="2" t="s">
        <v>232</v>
      </c>
      <c r="CA1626" s="2" t="s">
        <v>235</v>
      </c>
      <c r="CB1626" s="2" t="s">
        <v>235</v>
      </c>
      <c r="CC1626" s="2" t="s">
        <v>248</v>
      </c>
      <c r="CD1626" s="2" t="s">
        <v>248</v>
      </c>
      <c r="CE1626" s="2" t="s">
        <v>235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>
        <v>1030</v>
      </c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>
        <v>1030</v>
      </c>
      <c r="GL1626" s="4">
        <v>1030</v>
      </c>
      <c r="GM1626" s="4">
        <v>1030</v>
      </c>
      <c r="GN1626" s="4">
        <v>1030</v>
      </c>
      <c r="GO1626" s="4">
        <v>1030</v>
      </c>
      <c r="GP1626" s="4">
        <v>1030</v>
      </c>
      <c r="GQ1626" s="4">
        <v>1030</v>
      </c>
      <c r="GR1626" s="4">
        <v>1030</v>
      </c>
      <c r="GS1626" s="4">
        <v>1030</v>
      </c>
      <c r="GT1626" s="4">
        <v>1030</v>
      </c>
      <c r="GU1626" s="4">
        <v>1030</v>
      </c>
      <c r="GV1626" s="4">
        <v>1030</v>
      </c>
      <c r="GW1626" s="4">
        <v>1030</v>
      </c>
      <c r="GX1626" s="4">
        <v>1030</v>
      </c>
      <c r="GY1626" s="4">
        <v>1030</v>
      </c>
      <c r="GZ1626" s="4">
        <v>1030</v>
      </c>
      <c r="HA1626" s="4">
        <v>1030</v>
      </c>
      <c r="HB1626" s="4">
        <v>1030</v>
      </c>
      <c r="HC1626" s="4">
        <v>1030</v>
      </c>
      <c r="HD1626" s="9"/>
      <c r="HE1626" s="9"/>
      <c r="HF1626" s="9"/>
      <c r="HG1626" s="9"/>
      <c r="HH1626" s="9"/>
      <c r="HI1626" s="9"/>
      <c r="HJ1626" s="9"/>
      <c r="HK1626" s="9"/>
      <c r="HL1626" s="9"/>
      <c r="HM1626" s="9"/>
      <c r="HN1626" s="9"/>
      <c r="HO1626" s="9"/>
      <c r="HP1626" s="9"/>
      <c r="HQ1626" s="9"/>
      <c r="HR1626" s="9"/>
      <c r="HS1626" s="9"/>
      <c r="HT1626" s="9"/>
      <c r="HU1626" s="9"/>
      <c r="HV1626" s="9"/>
      <c r="HW1626" s="9"/>
      <c r="HX1626" s="9"/>
      <c r="HY1626" s="9"/>
      <c r="HZ1626" s="9"/>
      <c r="IA1626" s="9"/>
      <c r="IB1626" s="9"/>
      <c r="IC1626" s="9"/>
    </row>
    <row r="1627">
      <c r="A1627" s="2" t="s">
        <v>6022</v>
      </c>
      <c r="B1627" s="2" t="s">
        <v>905</v>
      </c>
      <c r="C1627" s="2" t="s">
        <v>678</v>
      </c>
      <c r="D1627" s="2" t="s">
        <v>2650</v>
      </c>
      <c r="E1627" s="2" t="s">
        <v>2651</v>
      </c>
      <c r="F1627" s="2" t="s">
        <v>6019</v>
      </c>
      <c r="G1627" s="2" t="s">
        <v>6019</v>
      </c>
      <c r="H1627" s="2" t="s">
        <v>6019</v>
      </c>
      <c r="I1627" s="2" t="s">
        <v>2653</v>
      </c>
      <c r="J1627" s="2" t="s">
        <v>261</v>
      </c>
      <c r="K1627" s="2" t="s">
        <v>316</v>
      </c>
      <c r="L1627" s="3">
        <v>61.9</v>
      </c>
      <c r="M1627" s="3">
        <v>65</v>
      </c>
      <c r="N1627" s="3">
        <v>129.99</v>
      </c>
      <c r="O1627" s="2" t="s">
        <v>232</v>
      </c>
      <c r="P1627" s="2" t="s">
        <v>878</v>
      </c>
      <c r="Q1627" s="2" t="s">
        <v>234</v>
      </c>
      <c r="R1627" s="2" t="s">
        <v>235</v>
      </c>
      <c r="S1627" s="2" t="s">
        <v>235</v>
      </c>
      <c r="T1627" s="2" t="s">
        <v>879</v>
      </c>
      <c r="U1627" s="2" t="s">
        <v>807</v>
      </c>
      <c r="V1627" s="2" t="s">
        <v>238</v>
      </c>
      <c r="W1627" s="2" t="s">
        <v>682</v>
      </c>
      <c r="X1627" s="2" t="s">
        <v>235</v>
      </c>
      <c r="Y1627" s="2" t="s">
        <v>235</v>
      </c>
      <c r="Z1627" s="4"/>
      <c r="AA1627" s="4">
        <f>=ROUNDDOWN({0},0)</f>
      </c>
      <c r="AB1627" s="5"/>
      <c r="AC1627" s="2" t="s">
        <v>167</v>
      </c>
      <c r="AD1627" s="4">
        <v>1200</v>
      </c>
      <c r="AE1627" s="4">
        <v>1200</v>
      </c>
      <c r="AF1627" s="6">
        <v>65</v>
      </c>
      <c r="AG1627" s="6"/>
      <c r="AH1627" s="7"/>
      <c r="AI1627" s="4"/>
      <c r="AJ1627" s="4">
        <f>=ROUNDDOWN({0},0)</f>
      </c>
      <c r="AK1627" s="5"/>
      <c r="AL1627" s="2" t="s">
        <v>235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235</v>
      </c>
      <c r="AW1627" s="8" t="s">
        <v>235</v>
      </c>
      <c r="AX1627" s="4" t="s">
        <v>235</v>
      </c>
      <c r="AY1627" s="8" t="s">
        <v>235</v>
      </c>
      <c r="AZ1627" s="7" t="s">
        <v>235</v>
      </c>
      <c r="BA1627" s="7" t="s">
        <v>235</v>
      </c>
      <c r="BB1627" s="7"/>
      <c r="BC1627" s="4" t="s">
        <v>235</v>
      </c>
      <c r="BD1627" s="8" t="s">
        <v>235</v>
      </c>
      <c r="BE1627" s="4" t="s">
        <v>235</v>
      </c>
      <c r="BF1627" s="8" t="s">
        <v>235</v>
      </c>
      <c r="BG1627" s="7" t="s">
        <v>235</v>
      </c>
      <c r="BH1627" s="7" t="s">
        <v>235</v>
      </c>
      <c r="BI1627" s="7"/>
      <c r="BJ1627" s="4"/>
      <c r="BK1627" s="8"/>
      <c r="BL1627" s="2" t="s">
        <v>235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330</v>
      </c>
      <c r="BV1627" s="2" t="s">
        <v>235</v>
      </c>
      <c r="BW1627" s="2" t="s">
        <v>235</v>
      </c>
      <c r="BX1627" s="2" t="s">
        <v>330</v>
      </c>
      <c r="BY1627" s="2" t="s">
        <v>331</v>
      </c>
      <c r="BZ1627" s="2" t="s">
        <v>232</v>
      </c>
      <c r="CA1627" s="2" t="s">
        <v>235</v>
      </c>
      <c r="CB1627" s="2" t="s">
        <v>235</v>
      </c>
      <c r="CC1627" s="2" t="s">
        <v>248</v>
      </c>
      <c r="CD1627" s="2" t="s">
        <v>248</v>
      </c>
      <c r="CE1627" s="2" t="s">
        <v>235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>
        <v>1200</v>
      </c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>
        <v>1200</v>
      </c>
      <c r="GL1627" s="4">
        <v>1200</v>
      </c>
      <c r="GM1627" s="4">
        <v>1200</v>
      </c>
      <c r="GN1627" s="4">
        <v>1200</v>
      </c>
      <c r="GO1627" s="4">
        <v>1200</v>
      </c>
      <c r="GP1627" s="4">
        <v>1200</v>
      </c>
      <c r="GQ1627" s="4">
        <v>1200</v>
      </c>
      <c r="GR1627" s="4">
        <v>1200</v>
      </c>
      <c r="GS1627" s="4">
        <v>1200</v>
      </c>
      <c r="GT1627" s="4">
        <v>1200</v>
      </c>
      <c r="GU1627" s="4">
        <v>1200</v>
      </c>
      <c r="GV1627" s="4">
        <v>1200</v>
      </c>
      <c r="GW1627" s="4">
        <v>1200</v>
      </c>
      <c r="GX1627" s="4">
        <v>1200</v>
      </c>
      <c r="GY1627" s="4">
        <v>1200</v>
      </c>
      <c r="GZ1627" s="4">
        <v>1200</v>
      </c>
      <c r="HA1627" s="4">
        <v>1200</v>
      </c>
      <c r="HB1627" s="4">
        <v>1200</v>
      </c>
      <c r="HC1627" s="4">
        <v>1200</v>
      </c>
      <c r="HD1627" s="9"/>
      <c r="HE1627" s="9"/>
      <c r="HF1627" s="9"/>
      <c r="HG1627" s="9"/>
      <c r="HH1627" s="9"/>
      <c r="HI1627" s="9"/>
      <c r="HJ1627" s="9"/>
      <c r="HK1627" s="9"/>
      <c r="HL1627" s="9"/>
      <c r="HM1627" s="9"/>
      <c r="HN1627" s="9"/>
      <c r="HO1627" s="9"/>
      <c r="HP1627" s="9"/>
      <c r="HQ1627" s="9"/>
      <c r="HR1627" s="9"/>
      <c r="HS1627" s="9"/>
      <c r="HT1627" s="9"/>
      <c r="HU1627" s="9"/>
      <c r="HV1627" s="9"/>
      <c r="HW1627" s="9"/>
      <c r="HX1627" s="9"/>
      <c r="HY1627" s="9"/>
      <c r="HZ1627" s="9"/>
      <c r="IA1627" s="9"/>
      <c r="IB1627" s="9"/>
      <c r="IC1627" s="9"/>
    </row>
    <row r="1628">
      <c r="A1628" s="2" t="s">
        <v>6023</v>
      </c>
      <c r="B1628" s="2" t="s">
        <v>905</v>
      </c>
      <c r="C1628" s="2" t="s">
        <v>678</v>
      </c>
      <c r="D1628" s="2" t="s">
        <v>2650</v>
      </c>
      <c r="E1628" s="2" t="s">
        <v>2651</v>
      </c>
      <c r="F1628" s="2" t="s">
        <v>6019</v>
      </c>
      <c r="G1628" s="2" t="s">
        <v>6019</v>
      </c>
      <c r="H1628" s="2" t="s">
        <v>6019</v>
      </c>
      <c r="I1628" s="2" t="s">
        <v>2653</v>
      </c>
      <c r="J1628" s="2" t="s">
        <v>270</v>
      </c>
      <c r="K1628" s="2" t="s">
        <v>316</v>
      </c>
      <c r="L1628" s="3">
        <v>66.66</v>
      </c>
      <c r="M1628" s="3">
        <v>70</v>
      </c>
      <c r="N1628" s="3">
        <v>139.99</v>
      </c>
      <c r="O1628" s="2" t="s">
        <v>232</v>
      </c>
      <c r="P1628" s="2" t="s">
        <v>878</v>
      </c>
      <c r="Q1628" s="2" t="s">
        <v>234</v>
      </c>
      <c r="R1628" s="2" t="s">
        <v>235</v>
      </c>
      <c r="S1628" s="2" t="s">
        <v>235</v>
      </c>
      <c r="T1628" s="2" t="s">
        <v>879</v>
      </c>
      <c r="U1628" s="2" t="s">
        <v>807</v>
      </c>
      <c r="V1628" s="2" t="s">
        <v>238</v>
      </c>
      <c r="W1628" s="2" t="s">
        <v>682</v>
      </c>
      <c r="X1628" s="2" t="s">
        <v>235</v>
      </c>
      <c r="Y1628" s="2" t="s">
        <v>235</v>
      </c>
      <c r="Z1628" s="4"/>
      <c r="AA1628" s="4">
        <f>=ROUNDDOWN({0},0)</f>
      </c>
      <c r="AB1628" s="5"/>
      <c r="AC1628" s="2" t="s">
        <v>167</v>
      </c>
      <c r="AD1628" s="4">
        <v>1000</v>
      </c>
      <c r="AE1628" s="4">
        <v>1000</v>
      </c>
      <c r="AF1628" s="6">
        <v>65</v>
      </c>
      <c r="AG1628" s="6"/>
      <c r="AH1628" s="7"/>
      <c r="AI1628" s="4"/>
      <c r="AJ1628" s="4">
        <f>=ROUNDDOWN({0},0)</f>
      </c>
      <c r="AK1628" s="5"/>
      <c r="AL1628" s="2" t="s">
        <v>235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235</v>
      </c>
      <c r="AW1628" s="8" t="s">
        <v>235</v>
      </c>
      <c r="AX1628" s="4" t="s">
        <v>235</v>
      </c>
      <c r="AY1628" s="8" t="s">
        <v>235</v>
      </c>
      <c r="AZ1628" s="7" t="s">
        <v>235</v>
      </c>
      <c r="BA1628" s="7" t="s">
        <v>235</v>
      </c>
      <c r="BB1628" s="7"/>
      <c r="BC1628" s="4" t="s">
        <v>235</v>
      </c>
      <c r="BD1628" s="8" t="s">
        <v>235</v>
      </c>
      <c r="BE1628" s="4" t="s">
        <v>235</v>
      </c>
      <c r="BF1628" s="8" t="s">
        <v>235</v>
      </c>
      <c r="BG1628" s="7" t="s">
        <v>235</v>
      </c>
      <c r="BH1628" s="7" t="s">
        <v>235</v>
      </c>
      <c r="BI1628" s="7"/>
      <c r="BJ1628" s="4"/>
      <c r="BK1628" s="8"/>
      <c r="BL1628" s="2" t="s">
        <v>235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330</v>
      </c>
      <c r="BV1628" s="2" t="s">
        <v>235</v>
      </c>
      <c r="BW1628" s="2" t="s">
        <v>235</v>
      </c>
      <c r="BX1628" s="2" t="s">
        <v>330</v>
      </c>
      <c r="BY1628" s="2" t="s">
        <v>331</v>
      </c>
      <c r="BZ1628" s="2" t="s">
        <v>232</v>
      </c>
      <c r="CA1628" s="2" t="s">
        <v>235</v>
      </c>
      <c r="CB1628" s="2" t="s">
        <v>235</v>
      </c>
      <c r="CC1628" s="2" t="s">
        <v>248</v>
      </c>
      <c r="CD1628" s="2" t="s">
        <v>248</v>
      </c>
      <c r="CE1628" s="2" t="s">
        <v>235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>
        <v>1000</v>
      </c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>
        <v>1000</v>
      </c>
      <c r="GL1628" s="4">
        <v>1000</v>
      </c>
      <c r="GM1628" s="4">
        <v>1000</v>
      </c>
      <c r="GN1628" s="4">
        <v>1000</v>
      </c>
      <c r="GO1628" s="4">
        <v>1000</v>
      </c>
      <c r="GP1628" s="4">
        <v>1000</v>
      </c>
      <c r="GQ1628" s="4">
        <v>1000</v>
      </c>
      <c r="GR1628" s="4">
        <v>1000</v>
      </c>
      <c r="GS1628" s="4">
        <v>1000</v>
      </c>
      <c r="GT1628" s="4">
        <v>1000</v>
      </c>
      <c r="GU1628" s="4">
        <v>1000</v>
      </c>
      <c r="GV1628" s="4">
        <v>1000</v>
      </c>
      <c r="GW1628" s="4">
        <v>1000</v>
      </c>
      <c r="GX1628" s="4">
        <v>1000</v>
      </c>
      <c r="GY1628" s="4">
        <v>1000</v>
      </c>
      <c r="GZ1628" s="4">
        <v>1000</v>
      </c>
      <c r="HA1628" s="4">
        <v>1000</v>
      </c>
      <c r="HB1628" s="4">
        <v>1000</v>
      </c>
      <c r="HC1628" s="4">
        <v>1000</v>
      </c>
      <c r="HD1628" s="9"/>
      <c r="HE1628" s="9"/>
      <c r="HF1628" s="9"/>
      <c r="HG1628" s="9"/>
      <c r="HH1628" s="9"/>
      <c r="HI1628" s="9"/>
      <c r="HJ1628" s="9"/>
      <c r="HK1628" s="9"/>
      <c r="HL1628" s="9"/>
      <c r="HM1628" s="9"/>
      <c r="HN1628" s="9"/>
      <c r="HO1628" s="9"/>
      <c r="HP1628" s="9"/>
      <c r="HQ1628" s="9"/>
      <c r="HR1628" s="9"/>
      <c r="HS1628" s="9"/>
      <c r="HT1628" s="9"/>
      <c r="HU1628" s="20">
        <v>0</v>
      </c>
      <c r="HV1628" s="9"/>
      <c r="HW1628" s="9"/>
      <c r="HX1628" s="9"/>
      <c r="HY1628" s="9"/>
      <c r="HZ1628" s="9"/>
      <c r="IA1628" s="9"/>
      <c r="IB1628" s="9"/>
      <c r="IC1628" s="9"/>
    </row>
    <row r="1629">
      <c r="A1629" s="2" t="s">
        <v>6024</v>
      </c>
      <c r="B1629" s="2" t="s">
        <v>905</v>
      </c>
      <c r="C1629" s="2" t="s">
        <v>678</v>
      </c>
      <c r="D1629" s="2" t="s">
        <v>2650</v>
      </c>
      <c r="E1629" s="2" t="s">
        <v>2651</v>
      </c>
      <c r="F1629" s="2" t="s">
        <v>6019</v>
      </c>
      <c r="G1629" s="2" t="s">
        <v>6019</v>
      </c>
      <c r="H1629" s="2" t="s">
        <v>6019</v>
      </c>
      <c r="I1629" s="2" t="s">
        <v>2653</v>
      </c>
      <c r="J1629" s="2" t="s">
        <v>272</v>
      </c>
      <c r="K1629" s="2" t="s">
        <v>316</v>
      </c>
      <c r="L1629" s="3">
        <v>66.66</v>
      </c>
      <c r="M1629" s="3">
        <v>70</v>
      </c>
      <c r="N1629" s="3">
        <v>139.99</v>
      </c>
      <c r="O1629" s="2" t="s">
        <v>232</v>
      </c>
      <c r="P1629" s="2" t="s">
        <v>878</v>
      </c>
      <c r="Q1629" s="2" t="s">
        <v>234</v>
      </c>
      <c r="R1629" s="2" t="s">
        <v>235</v>
      </c>
      <c r="S1629" s="2" t="s">
        <v>235</v>
      </c>
      <c r="T1629" s="2" t="s">
        <v>879</v>
      </c>
      <c r="U1629" s="2" t="s">
        <v>807</v>
      </c>
      <c r="V1629" s="2" t="s">
        <v>238</v>
      </c>
      <c r="W1629" s="2" t="s">
        <v>682</v>
      </c>
      <c r="X1629" s="2" t="s">
        <v>235</v>
      </c>
      <c r="Y1629" s="2" t="s">
        <v>235</v>
      </c>
      <c r="Z1629" s="4"/>
      <c r="AA1629" s="4">
        <f>=ROUNDDOWN({0},0)</f>
      </c>
      <c r="AB1629" s="5"/>
      <c r="AC1629" s="2" t="s">
        <v>167</v>
      </c>
      <c r="AD1629" s="4">
        <v>370</v>
      </c>
      <c r="AE1629" s="4">
        <v>370</v>
      </c>
      <c r="AF1629" s="6">
        <v>65</v>
      </c>
      <c r="AG1629" s="6"/>
      <c r="AH1629" s="7"/>
      <c r="AI1629" s="4"/>
      <c r="AJ1629" s="4">
        <f>=ROUNDDOWN({0},0)</f>
      </c>
      <c r="AK1629" s="5"/>
      <c r="AL1629" s="2" t="s">
        <v>235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235</v>
      </c>
      <c r="AW1629" s="8" t="s">
        <v>235</v>
      </c>
      <c r="AX1629" s="4" t="s">
        <v>235</v>
      </c>
      <c r="AY1629" s="8" t="s">
        <v>235</v>
      </c>
      <c r="AZ1629" s="7" t="s">
        <v>235</v>
      </c>
      <c r="BA1629" s="7" t="s">
        <v>235</v>
      </c>
      <c r="BB1629" s="7"/>
      <c r="BC1629" s="4" t="s">
        <v>235</v>
      </c>
      <c r="BD1629" s="8" t="s">
        <v>235</v>
      </c>
      <c r="BE1629" s="4" t="s">
        <v>235</v>
      </c>
      <c r="BF1629" s="8" t="s">
        <v>235</v>
      </c>
      <c r="BG1629" s="7" t="s">
        <v>235</v>
      </c>
      <c r="BH1629" s="7" t="s">
        <v>235</v>
      </c>
      <c r="BI1629" s="7"/>
      <c r="BJ1629" s="4"/>
      <c r="BK1629" s="8"/>
      <c r="BL1629" s="2" t="s">
        <v>235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330</v>
      </c>
      <c r="BV1629" s="2" t="s">
        <v>235</v>
      </c>
      <c r="BW1629" s="2" t="s">
        <v>235</v>
      </c>
      <c r="BX1629" s="2" t="s">
        <v>330</v>
      </c>
      <c r="BY1629" s="2" t="s">
        <v>331</v>
      </c>
      <c r="BZ1629" s="2" t="s">
        <v>232</v>
      </c>
      <c r="CA1629" s="2" t="s">
        <v>235</v>
      </c>
      <c r="CB1629" s="2" t="s">
        <v>235</v>
      </c>
      <c r="CC1629" s="2" t="s">
        <v>248</v>
      </c>
      <c r="CD1629" s="2" t="s">
        <v>248</v>
      </c>
      <c r="CE1629" s="2" t="s">
        <v>235</v>
      </c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>
        <v>370</v>
      </c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>
        <v>370</v>
      </c>
      <c r="GL1629" s="4">
        <v>370</v>
      </c>
      <c r="GM1629" s="4">
        <v>370</v>
      </c>
      <c r="GN1629" s="4">
        <v>370</v>
      </c>
      <c r="GO1629" s="4">
        <v>370</v>
      </c>
      <c r="GP1629" s="4">
        <v>370</v>
      </c>
      <c r="GQ1629" s="4">
        <v>370</v>
      </c>
      <c r="GR1629" s="4">
        <v>370</v>
      </c>
      <c r="GS1629" s="4">
        <v>370</v>
      </c>
      <c r="GT1629" s="4">
        <v>370</v>
      </c>
      <c r="GU1629" s="4">
        <v>370</v>
      </c>
      <c r="GV1629" s="4">
        <v>370</v>
      </c>
      <c r="GW1629" s="4">
        <v>370</v>
      </c>
      <c r="GX1629" s="4">
        <v>370</v>
      </c>
      <c r="GY1629" s="4">
        <v>370</v>
      </c>
      <c r="GZ1629" s="4">
        <v>370</v>
      </c>
      <c r="HA1629" s="4">
        <v>370</v>
      </c>
      <c r="HB1629" s="4">
        <v>370</v>
      </c>
      <c r="HC1629" s="4">
        <v>370</v>
      </c>
      <c r="HD1629" s="9"/>
      <c r="HE1629" s="9"/>
      <c r="HF1629" s="9"/>
      <c r="HG1629" s="9"/>
      <c r="HH1629" s="9"/>
      <c r="HI1629" s="9"/>
      <c r="HJ1629" s="9"/>
      <c r="HK1629" s="9"/>
      <c r="HL1629" s="9"/>
      <c r="HM1629" s="9"/>
      <c r="HN1629" s="9"/>
      <c r="HO1629" s="9"/>
      <c r="HP1629" s="9"/>
      <c r="HQ1629" s="9"/>
      <c r="HR1629" s="9"/>
      <c r="HS1629" s="9"/>
      <c r="HT1629" s="9"/>
      <c r="HU1629" s="9"/>
      <c r="HV1629" s="9"/>
      <c r="HW1629" s="9"/>
      <c r="HX1629" s="9"/>
      <c r="HY1629" s="9"/>
      <c r="HZ1629" s="9"/>
      <c r="IA1629" s="9"/>
      <c r="IB1629" s="9"/>
      <c r="IC1629" s="9"/>
    </row>
    <row r="1630">
      <c r="A1630" s="2" t="s">
        <v>6025</v>
      </c>
      <c r="B1630" s="2" t="s">
        <v>1139</v>
      </c>
      <c r="C1630" s="2" t="s">
        <v>6026</v>
      </c>
      <c r="D1630" s="2" t="s">
        <v>1140</v>
      </c>
      <c r="E1630" s="2" t="s">
        <v>1141</v>
      </c>
      <c r="F1630" s="2" t="s">
        <v>6027</v>
      </c>
      <c r="G1630" s="2" t="s">
        <v>6027</v>
      </c>
      <c r="H1630" s="2" t="s">
        <v>6027</v>
      </c>
      <c r="I1630" s="2" t="s">
        <v>6028</v>
      </c>
      <c r="J1630" s="2" t="s">
        <v>1146</v>
      </c>
      <c r="K1630" s="2" t="s">
        <v>1062</v>
      </c>
      <c r="L1630" s="3">
        <v>16.49</v>
      </c>
      <c r="M1630" s="3">
        <v>17.31</v>
      </c>
      <c r="N1630" s="3">
        <v>36.99</v>
      </c>
      <c r="O1630" s="2" t="s">
        <v>232</v>
      </c>
      <c r="P1630" s="2" t="s">
        <v>878</v>
      </c>
      <c r="Q1630" s="2" t="s">
        <v>234</v>
      </c>
      <c r="R1630" s="2" t="s">
        <v>235</v>
      </c>
      <c r="S1630" s="2" t="s">
        <v>235</v>
      </c>
      <c r="T1630" s="2" t="s">
        <v>263</v>
      </c>
      <c r="U1630" s="2" t="s">
        <v>807</v>
      </c>
      <c r="V1630" s="2" t="s">
        <v>880</v>
      </c>
      <c r="W1630" s="2" t="s">
        <v>882</v>
      </c>
      <c r="X1630" s="2" t="s">
        <v>235</v>
      </c>
      <c r="Y1630" s="2" t="s">
        <v>235</v>
      </c>
      <c r="Z1630" s="4"/>
      <c r="AA1630" s="4">
        <f>=ROUNDDOWN({0},0)</f>
      </c>
      <c r="AB1630" s="5"/>
      <c r="AC1630" s="2" t="s">
        <v>2835</v>
      </c>
      <c r="AD1630" s="4">
        <v>228</v>
      </c>
      <c r="AE1630" s="4">
        <v>228</v>
      </c>
      <c r="AF1630" s="6">
        <v>78</v>
      </c>
      <c r="AG1630" s="6"/>
      <c r="AH1630" s="7"/>
      <c r="AI1630" s="4"/>
      <c r="AJ1630" s="4">
        <f>=ROUNDDOWN({0},0)</f>
      </c>
      <c r="AK1630" s="5"/>
      <c r="AL1630" s="2" t="s">
        <v>235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235</v>
      </c>
      <c r="AW1630" s="8" t="s">
        <v>235</v>
      </c>
      <c r="AX1630" s="4" t="s">
        <v>235</v>
      </c>
      <c r="AY1630" s="8" t="s">
        <v>235</v>
      </c>
      <c r="AZ1630" s="7" t="s">
        <v>235</v>
      </c>
      <c r="BA1630" s="7" t="s">
        <v>235</v>
      </c>
      <c r="BB1630" s="7"/>
      <c r="BC1630" s="4" t="s">
        <v>235</v>
      </c>
      <c r="BD1630" s="8" t="s">
        <v>235</v>
      </c>
      <c r="BE1630" s="4" t="s">
        <v>235</v>
      </c>
      <c r="BF1630" s="8" t="s">
        <v>235</v>
      </c>
      <c r="BG1630" s="7" t="s">
        <v>235</v>
      </c>
      <c r="BH1630" s="7" t="s">
        <v>235</v>
      </c>
      <c r="BI1630" s="7"/>
      <c r="BJ1630" s="4"/>
      <c r="BK1630" s="8"/>
      <c r="BL1630" s="2" t="s">
        <v>235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330</v>
      </c>
      <c r="BV1630" s="2" t="s">
        <v>235</v>
      </c>
      <c r="BW1630" s="2" t="s">
        <v>235</v>
      </c>
      <c r="BX1630" s="2" t="s">
        <v>330</v>
      </c>
      <c r="BY1630" s="2" t="s">
        <v>331</v>
      </c>
      <c r="BZ1630" s="2" t="s">
        <v>232</v>
      </c>
      <c r="CA1630" s="2" t="s">
        <v>235</v>
      </c>
      <c r="CB1630" s="2" t="s">
        <v>235</v>
      </c>
      <c r="CC1630" s="2" t="s">
        <v>248</v>
      </c>
      <c r="CD1630" s="2" t="s">
        <v>248</v>
      </c>
      <c r="CE1630" s="2" t="s">
        <v>235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>
        <v>228</v>
      </c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>
        <v>228</v>
      </c>
      <c r="GI1630" s="4">
        <v>228</v>
      </c>
      <c r="GJ1630" s="4">
        <v>228</v>
      </c>
      <c r="GK1630" s="4">
        <v>220</v>
      </c>
      <c r="GL1630" s="4">
        <v>213</v>
      </c>
      <c r="GM1630" s="4">
        <v>204</v>
      </c>
      <c r="GN1630" s="4">
        <v>197</v>
      </c>
      <c r="GO1630" s="4">
        <v>189</v>
      </c>
      <c r="GP1630" s="4">
        <v>180</v>
      </c>
      <c r="GQ1630" s="4">
        <v>171</v>
      </c>
      <c r="GR1630" s="4">
        <v>159</v>
      </c>
      <c r="GS1630" s="4">
        <v>142</v>
      </c>
      <c r="GT1630" s="4">
        <v>127</v>
      </c>
      <c r="GU1630" s="4">
        <v>117</v>
      </c>
      <c r="GV1630" s="4">
        <v>107</v>
      </c>
      <c r="GW1630" s="4">
        <v>95</v>
      </c>
      <c r="GX1630" s="4">
        <v>83</v>
      </c>
      <c r="GY1630" s="4">
        <v>334</v>
      </c>
      <c r="GZ1630" s="4">
        <v>319</v>
      </c>
      <c r="HA1630" s="4">
        <v>304</v>
      </c>
      <c r="HB1630" s="4">
        <v>289</v>
      </c>
      <c r="HC1630" s="4">
        <v>274</v>
      </c>
      <c r="HD1630" s="9"/>
      <c r="HE1630" s="9"/>
      <c r="HF1630" s="9"/>
      <c r="HG1630" s="9"/>
      <c r="HH1630" s="19">
        <v>57</v>
      </c>
      <c r="HI1630" s="19">
        <v>38</v>
      </c>
      <c r="HJ1630" s="19">
        <v>28.5</v>
      </c>
      <c r="HK1630" s="19">
        <v>27.5</v>
      </c>
      <c r="HL1630" s="19">
        <v>26.6</v>
      </c>
      <c r="HM1630" s="19">
        <v>25.5</v>
      </c>
      <c r="HN1630" s="19">
        <v>19.7</v>
      </c>
      <c r="HO1630" s="19">
        <v>15.8</v>
      </c>
      <c r="HP1630" s="19">
        <v>13.8</v>
      </c>
      <c r="HQ1630" s="19">
        <v>12.2</v>
      </c>
      <c r="HR1630" s="19">
        <v>12.2</v>
      </c>
      <c r="HS1630" s="19">
        <v>11.8</v>
      </c>
      <c r="HT1630" s="19">
        <v>11.5</v>
      </c>
      <c r="HU1630" s="19">
        <v>9.8</v>
      </c>
      <c r="HV1630" s="19">
        <v>8.2</v>
      </c>
      <c r="HW1630" s="19">
        <v>6.8</v>
      </c>
      <c r="HX1630" s="19">
        <v>5.9</v>
      </c>
      <c r="HY1630" s="19">
        <v>22.3</v>
      </c>
      <c r="HZ1630" s="19">
        <v>21.3</v>
      </c>
      <c r="IA1630" s="19">
        <v>20.3</v>
      </c>
      <c r="IB1630" s="19">
        <v>19.3</v>
      </c>
      <c r="IC1630" s="19">
        <v>17.1</v>
      </c>
    </row>
    <row r="1631">
      <c r="A1631" s="2" t="s">
        <v>6029</v>
      </c>
      <c r="B1631" s="2" t="s">
        <v>1139</v>
      </c>
      <c r="C1631" s="2" t="s">
        <v>6026</v>
      </c>
      <c r="D1631" s="2" t="s">
        <v>1140</v>
      </c>
      <c r="E1631" s="2" t="s">
        <v>1141</v>
      </c>
      <c r="F1631" s="2" t="s">
        <v>6027</v>
      </c>
      <c r="G1631" s="2" t="s">
        <v>6027</v>
      </c>
      <c r="H1631" s="2" t="s">
        <v>6027</v>
      </c>
      <c r="I1631" s="2" t="s">
        <v>6028</v>
      </c>
      <c r="J1631" s="2" t="s">
        <v>1165</v>
      </c>
      <c r="K1631" s="2" t="s">
        <v>1062</v>
      </c>
      <c r="L1631" s="3">
        <v>14.71</v>
      </c>
      <c r="M1631" s="3">
        <v>15.45</v>
      </c>
      <c r="N1631" s="3">
        <v>32.99</v>
      </c>
      <c r="O1631" s="2" t="s">
        <v>232</v>
      </c>
      <c r="P1631" s="2" t="s">
        <v>878</v>
      </c>
      <c r="Q1631" s="2" t="s">
        <v>234</v>
      </c>
      <c r="R1631" s="2" t="s">
        <v>235</v>
      </c>
      <c r="S1631" s="2" t="s">
        <v>235</v>
      </c>
      <c r="T1631" s="2" t="s">
        <v>263</v>
      </c>
      <c r="U1631" s="2" t="s">
        <v>807</v>
      </c>
      <c r="V1631" s="2" t="s">
        <v>880</v>
      </c>
      <c r="W1631" s="2" t="s">
        <v>882</v>
      </c>
      <c r="X1631" s="2" t="s">
        <v>235</v>
      </c>
      <c r="Y1631" s="2" t="s">
        <v>235</v>
      </c>
      <c r="Z1631" s="4"/>
      <c r="AA1631" s="4">
        <f>=ROUNDDOWN({0},0)</f>
      </c>
      <c r="AB1631" s="5"/>
      <c r="AC1631" s="2" t="s">
        <v>2835</v>
      </c>
      <c r="AD1631" s="4">
        <v>756</v>
      </c>
      <c r="AE1631" s="4">
        <v>756</v>
      </c>
      <c r="AF1631" s="6">
        <v>78</v>
      </c>
      <c r="AG1631" s="6"/>
      <c r="AH1631" s="7"/>
      <c r="AI1631" s="4"/>
      <c r="AJ1631" s="4">
        <f>=ROUNDDOWN({0},0)</f>
      </c>
      <c r="AK1631" s="5"/>
      <c r="AL1631" s="2" t="s">
        <v>235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235</v>
      </c>
      <c r="AW1631" s="8" t="s">
        <v>235</v>
      </c>
      <c r="AX1631" s="4" t="s">
        <v>235</v>
      </c>
      <c r="AY1631" s="8" t="s">
        <v>235</v>
      </c>
      <c r="AZ1631" s="7" t="s">
        <v>235</v>
      </c>
      <c r="BA1631" s="7" t="s">
        <v>235</v>
      </c>
      <c r="BB1631" s="7"/>
      <c r="BC1631" s="4" t="s">
        <v>235</v>
      </c>
      <c r="BD1631" s="8" t="s">
        <v>235</v>
      </c>
      <c r="BE1631" s="4" t="s">
        <v>235</v>
      </c>
      <c r="BF1631" s="8" t="s">
        <v>235</v>
      </c>
      <c r="BG1631" s="7" t="s">
        <v>235</v>
      </c>
      <c r="BH1631" s="7" t="s">
        <v>235</v>
      </c>
      <c r="BI1631" s="7"/>
      <c r="BJ1631" s="4"/>
      <c r="BK1631" s="8"/>
      <c r="BL1631" s="2" t="s">
        <v>235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330</v>
      </c>
      <c r="BV1631" s="2" t="s">
        <v>235</v>
      </c>
      <c r="BW1631" s="2" t="s">
        <v>235</v>
      </c>
      <c r="BX1631" s="2" t="s">
        <v>330</v>
      </c>
      <c r="BY1631" s="2" t="s">
        <v>331</v>
      </c>
      <c r="BZ1631" s="2" t="s">
        <v>232</v>
      </c>
      <c r="CA1631" s="2" t="s">
        <v>235</v>
      </c>
      <c r="CB1631" s="2" t="s">
        <v>235</v>
      </c>
      <c r="CC1631" s="2" t="s">
        <v>248</v>
      </c>
      <c r="CD1631" s="2" t="s">
        <v>248</v>
      </c>
      <c r="CE1631" s="2" t="s">
        <v>235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>
        <v>756</v>
      </c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>
        <v>756</v>
      </c>
      <c r="GI1631" s="4">
        <v>756</v>
      </c>
      <c r="GJ1631" s="4">
        <v>756</v>
      </c>
      <c r="GK1631" s="4">
        <v>731</v>
      </c>
      <c r="GL1631" s="4">
        <v>711</v>
      </c>
      <c r="GM1631" s="4">
        <v>682</v>
      </c>
      <c r="GN1631" s="4">
        <v>660</v>
      </c>
      <c r="GO1631" s="4">
        <v>634</v>
      </c>
      <c r="GP1631" s="4">
        <v>607</v>
      </c>
      <c r="GQ1631" s="4">
        <v>578</v>
      </c>
      <c r="GR1631" s="4">
        <v>540</v>
      </c>
      <c r="GS1631" s="4">
        <v>484</v>
      </c>
      <c r="GT1631" s="4">
        <v>435</v>
      </c>
      <c r="GU1631" s="4">
        <v>402</v>
      </c>
      <c r="GV1631" s="4">
        <v>369</v>
      </c>
      <c r="GW1631" s="4">
        <v>330</v>
      </c>
      <c r="GX1631" s="4">
        <v>291</v>
      </c>
      <c r="GY1631" s="4">
        <v>1111</v>
      </c>
      <c r="GZ1631" s="4">
        <v>1061</v>
      </c>
      <c r="HA1631" s="4">
        <v>1011</v>
      </c>
      <c r="HB1631" s="4">
        <v>961</v>
      </c>
      <c r="HC1631" s="4">
        <v>911</v>
      </c>
      <c r="HD1631" s="9"/>
      <c r="HE1631" s="9"/>
      <c r="HF1631" s="9"/>
      <c r="HG1631" s="9"/>
      <c r="HH1631" s="19">
        <v>68.7</v>
      </c>
      <c r="HI1631" s="19">
        <v>42</v>
      </c>
      <c r="HJ1631" s="19">
        <v>31.5</v>
      </c>
      <c r="HK1631" s="19">
        <v>30.5</v>
      </c>
      <c r="HL1631" s="19">
        <v>27.3</v>
      </c>
      <c r="HM1631" s="19">
        <v>26.2</v>
      </c>
      <c r="HN1631" s="19">
        <v>22</v>
      </c>
      <c r="HO1631" s="19">
        <v>16.7</v>
      </c>
      <c r="HP1631" s="19">
        <v>14.1</v>
      </c>
      <c r="HQ1631" s="19">
        <v>13.1</v>
      </c>
      <c r="HR1631" s="19">
        <v>12.6</v>
      </c>
      <c r="HS1631" s="19">
        <v>12.7</v>
      </c>
      <c r="HT1631" s="19">
        <v>12.1</v>
      </c>
      <c r="HU1631" s="19">
        <v>10.6</v>
      </c>
      <c r="HV1631" s="19">
        <v>8.8</v>
      </c>
      <c r="HW1631" s="19">
        <v>7.5</v>
      </c>
      <c r="HX1631" s="19">
        <v>6.2</v>
      </c>
      <c r="HY1631" s="19">
        <v>22.2</v>
      </c>
      <c r="HZ1631" s="19">
        <v>21.2</v>
      </c>
      <c r="IA1631" s="19">
        <v>20.2</v>
      </c>
      <c r="IB1631" s="19">
        <v>19.2</v>
      </c>
      <c r="IC1631" s="19">
        <v>17.9</v>
      </c>
    </row>
    <row r="1632">
      <c r="A1632" s="2" t="s">
        <v>6030</v>
      </c>
      <c r="B1632" s="2" t="s">
        <v>224</v>
      </c>
      <c r="C1632" s="2" t="s">
        <v>1036</v>
      </c>
      <c r="D1632" s="2" t="s">
        <v>361</v>
      </c>
      <c r="E1632" s="2" t="s">
        <v>1037</v>
      </c>
      <c r="F1632" s="2" t="s">
        <v>6031</v>
      </c>
      <c r="G1632" s="2" t="s">
        <v>6032</v>
      </c>
      <c r="H1632" s="2" t="s">
        <v>6032</v>
      </c>
      <c r="I1632" s="2" t="s">
        <v>6033</v>
      </c>
      <c r="J1632" s="2" t="s">
        <v>877</v>
      </c>
      <c r="K1632" s="2" t="s">
        <v>316</v>
      </c>
      <c r="L1632" s="3">
        <v>41.59</v>
      </c>
      <c r="M1632" s="3">
        <v>43.67</v>
      </c>
      <c r="N1632" s="3">
        <v>79.99</v>
      </c>
      <c r="O1632" s="2" t="s">
        <v>485</v>
      </c>
      <c r="P1632" s="2" t="s">
        <v>408</v>
      </c>
      <c r="Q1632" s="2" t="s">
        <v>234</v>
      </c>
      <c r="R1632" s="2" t="s">
        <v>235</v>
      </c>
      <c r="S1632" s="2" t="s">
        <v>6034</v>
      </c>
      <c r="T1632" s="2" t="s">
        <v>263</v>
      </c>
      <c r="U1632" s="2" t="s">
        <v>235</v>
      </c>
      <c r="V1632" s="2" t="s">
        <v>238</v>
      </c>
      <c r="W1632" s="2" t="s">
        <v>239</v>
      </c>
      <c r="X1632" s="2" t="s">
        <v>235</v>
      </c>
      <c r="Y1632" s="2" t="s">
        <v>240</v>
      </c>
      <c r="Z1632" s="4"/>
      <c r="AA1632" s="4">
        <f>=ROUNDDOWN({0},0)</f>
      </c>
      <c r="AB1632" s="5">
        <v>1</v>
      </c>
      <c r="AC1632" s="2" t="s">
        <v>235</v>
      </c>
      <c r="AD1632" s="4"/>
      <c r="AE1632" s="4"/>
      <c r="AF1632" s="6">
        <v>65</v>
      </c>
      <c r="AG1632" s="6"/>
      <c r="AH1632" s="7">
        <v>0</v>
      </c>
      <c r="AI1632" s="4"/>
      <c r="AJ1632" s="4">
        <f>=ROUNDDOWN({0},0)</f>
      </c>
      <c r="AK1632" s="5"/>
      <c r="AL1632" s="2" t="s">
        <v>235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235</v>
      </c>
      <c r="AW1632" s="8" t="s">
        <v>235</v>
      </c>
      <c r="AX1632" s="4" t="s">
        <v>235</v>
      </c>
      <c r="AY1632" s="8" t="s">
        <v>235</v>
      </c>
      <c r="AZ1632" s="7" t="s">
        <v>235</v>
      </c>
      <c r="BA1632" s="7" t="s">
        <v>235</v>
      </c>
      <c r="BB1632" s="7"/>
      <c r="BC1632" s="4" t="s">
        <v>235</v>
      </c>
      <c r="BD1632" s="8" t="s">
        <v>235</v>
      </c>
      <c r="BE1632" s="4" t="s">
        <v>235</v>
      </c>
      <c r="BF1632" s="8" t="s">
        <v>235</v>
      </c>
      <c r="BG1632" s="7" t="s">
        <v>235</v>
      </c>
      <c r="BH1632" s="7" t="s">
        <v>235</v>
      </c>
      <c r="BI1632" s="7"/>
      <c r="BJ1632" s="4"/>
      <c r="BK1632" s="8"/>
      <c r="BL1632" s="2" t="s">
        <v>6035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6036</v>
      </c>
      <c r="BV1632" s="2" t="s">
        <v>243</v>
      </c>
      <c r="BW1632" s="2" t="s">
        <v>235</v>
      </c>
      <c r="BX1632" s="2" t="s">
        <v>414</v>
      </c>
      <c r="BY1632" s="2" t="s">
        <v>245</v>
      </c>
      <c r="BZ1632" s="2" t="s">
        <v>232</v>
      </c>
      <c r="CA1632" s="2" t="s">
        <v>252</v>
      </c>
      <c r="CB1632" s="2" t="s">
        <v>6037</v>
      </c>
      <c r="CC1632" s="2" t="s">
        <v>248</v>
      </c>
      <c r="CD1632" s="2" t="s">
        <v>248</v>
      </c>
      <c r="CE1632" s="2" t="s">
        <v>235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20">
        <v>0</v>
      </c>
      <c r="HE1632" s="20">
        <v>0</v>
      </c>
      <c r="HF1632" s="20">
        <v>0</v>
      </c>
      <c r="HG1632" s="20">
        <v>0</v>
      </c>
      <c r="HH1632" s="20">
        <v>0</v>
      </c>
      <c r="HI1632" s="20">
        <v>0</v>
      </c>
      <c r="HJ1632" s="20">
        <v>0</v>
      </c>
      <c r="HK1632" s="20">
        <v>0</v>
      </c>
      <c r="HL1632" s="20">
        <v>0</v>
      </c>
      <c r="HM1632" s="20">
        <v>0</v>
      </c>
      <c r="HN1632" s="20">
        <v>0</v>
      </c>
      <c r="HO1632" s="20">
        <v>0</v>
      </c>
      <c r="HP1632" s="20">
        <v>0</v>
      </c>
      <c r="HQ1632" s="20">
        <v>0</v>
      </c>
      <c r="HR1632" s="20">
        <v>0</v>
      </c>
      <c r="HS1632" s="20">
        <v>0</v>
      </c>
      <c r="HT1632" s="20">
        <v>0</v>
      </c>
      <c r="HU1632" s="20">
        <v>0</v>
      </c>
      <c r="HV1632" s="20">
        <v>0</v>
      </c>
      <c r="HW1632" s="20">
        <v>0</v>
      </c>
      <c r="HX1632" s="20">
        <v>0</v>
      </c>
      <c r="HY1632" s="20">
        <v>0</v>
      </c>
      <c r="HZ1632" s="20">
        <v>0</v>
      </c>
      <c r="IA1632" s="20">
        <v>0</v>
      </c>
      <c r="IB1632" s="20">
        <v>0</v>
      </c>
      <c r="IC1632" s="20">
        <v>0</v>
      </c>
    </row>
    <row r="1633">
      <c r="A1633" s="2" t="s">
        <v>6038</v>
      </c>
      <c r="B1633" s="2" t="s">
        <v>224</v>
      </c>
      <c r="C1633" s="2" t="s">
        <v>1036</v>
      </c>
      <c r="D1633" s="2" t="s">
        <v>361</v>
      </c>
      <c r="E1633" s="2" t="s">
        <v>1037</v>
      </c>
      <c r="F1633" s="2" t="s">
        <v>6031</v>
      </c>
      <c r="G1633" s="2" t="s">
        <v>6032</v>
      </c>
      <c r="H1633" s="2" t="s">
        <v>6032</v>
      </c>
      <c r="I1633" s="2" t="s">
        <v>6033</v>
      </c>
      <c r="J1633" s="2" t="s">
        <v>365</v>
      </c>
      <c r="K1633" s="2" t="s">
        <v>316</v>
      </c>
      <c r="L1633" s="3">
        <v>57.19</v>
      </c>
      <c r="M1633" s="3">
        <v>60.05</v>
      </c>
      <c r="N1633" s="3">
        <v>109.99</v>
      </c>
      <c r="O1633" s="2" t="s">
        <v>485</v>
      </c>
      <c r="P1633" s="2" t="s">
        <v>408</v>
      </c>
      <c r="Q1633" s="2" t="s">
        <v>234</v>
      </c>
      <c r="R1633" s="2" t="s">
        <v>235</v>
      </c>
      <c r="S1633" s="2" t="s">
        <v>6034</v>
      </c>
      <c r="T1633" s="2" t="s">
        <v>263</v>
      </c>
      <c r="U1633" s="2" t="s">
        <v>235</v>
      </c>
      <c r="V1633" s="2" t="s">
        <v>238</v>
      </c>
      <c r="W1633" s="2" t="s">
        <v>239</v>
      </c>
      <c r="X1633" s="2" t="s">
        <v>235</v>
      </c>
      <c r="Y1633" s="2" t="s">
        <v>240</v>
      </c>
      <c r="Z1633" s="4"/>
      <c r="AA1633" s="4">
        <f>=ROUNDDOWN({0},0)</f>
      </c>
      <c r="AB1633" s="5">
        <v>2.1</v>
      </c>
      <c r="AC1633" s="2" t="s">
        <v>235</v>
      </c>
      <c r="AD1633" s="4"/>
      <c r="AE1633" s="4"/>
      <c r="AF1633" s="6">
        <v>65</v>
      </c>
      <c r="AG1633" s="6"/>
      <c r="AH1633" s="7">
        <v>0</v>
      </c>
      <c r="AI1633" s="4"/>
      <c r="AJ1633" s="4">
        <f>=ROUNDDOWN({0},0)</f>
      </c>
      <c r="AK1633" s="5"/>
      <c r="AL1633" s="2" t="s">
        <v>235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235</v>
      </c>
      <c r="AW1633" s="8" t="s">
        <v>235</v>
      </c>
      <c r="AX1633" s="4" t="s">
        <v>235</v>
      </c>
      <c r="AY1633" s="8" t="s">
        <v>235</v>
      </c>
      <c r="AZ1633" s="7" t="s">
        <v>235</v>
      </c>
      <c r="BA1633" s="7" t="s">
        <v>235</v>
      </c>
      <c r="BB1633" s="7"/>
      <c r="BC1633" s="4" t="s">
        <v>235</v>
      </c>
      <c r="BD1633" s="8" t="s">
        <v>235</v>
      </c>
      <c r="BE1633" s="4" t="s">
        <v>235</v>
      </c>
      <c r="BF1633" s="8" t="s">
        <v>235</v>
      </c>
      <c r="BG1633" s="7" t="s">
        <v>235</v>
      </c>
      <c r="BH1633" s="7" t="s">
        <v>235</v>
      </c>
      <c r="BI1633" s="7"/>
      <c r="BJ1633" s="4"/>
      <c r="BK1633" s="8"/>
      <c r="BL1633" s="2" t="s">
        <v>6039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6036</v>
      </c>
      <c r="BV1633" s="2" t="s">
        <v>243</v>
      </c>
      <c r="BW1633" s="2" t="s">
        <v>235</v>
      </c>
      <c r="BX1633" s="2" t="s">
        <v>414</v>
      </c>
      <c r="BY1633" s="2" t="s">
        <v>245</v>
      </c>
      <c r="BZ1633" s="2" t="s">
        <v>232</v>
      </c>
      <c r="CA1633" s="2" t="s">
        <v>252</v>
      </c>
      <c r="CB1633" s="2" t="s">
        <v>1285</v>
      </c>
      <c r="CC1633" s="2" t="s">
        <v>248</v>
      </c>
      <c r="CD1633" s="2" t="s">
        <v>248</v>
      </c>
      <c r="CE1633" s="2" t="s">
        <v>235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20">
        <v>0</v>
      </c>
      <c r="HE1633" s="20">
        <v>0</v>
      </c>
      <c r="HF1633" s="20">
        <v>0</v>
      </c>
      <c r="HG1633" s="20">
        <v>0</v>
      </c>
      <c r="HH1633" s="20">
        <v>0</v>
      </c>
      <c r="HI1633" s="20">
        <v>0</v>
      </c>
      <c r="HJ1633" s="20">
        <v>0</v>
      </c>
      <c r="HK1633" s="20">
        <v>0</v>
      </c>
      <c r="HL1633" s="20">
        <v>0</v>
      </c>
      <c r="HM1633" s="20">
        <v>0</v>
      </c>
      <c r="HN1633" s="20">
        <v>0</v>
      </c>
      <c r="HO1633" s="20">
        <v>0</v>
      </c>
      <c r="HP1633" s="20">
        <v>0</v>
      </c>
      <c r="HQ1633" s="20">
        <v>0</v>
      </c>
      <c r="HR1633" s="20">
        <v>0</v>
      </c>
      <c r="HS1633" s="20">
        <v>0</v>
      </c>
      <c r="HT1633" s="20">
        <v>0</v>
      </c>
      <c r="HU1633" s="20">
        <v>0</v>
      </c>
      <c r="HV1633" s="20">
        <v>0</v>
      </c>
      <c r="HW1633" s="20">
        <v>0</v>
      </c>
      <c r="HX1633" s="20">
        <v>0</v>
      </c>
      <c r="HY1633" s="20">
        <v>0</v>
      </c>
      <c r="HZ1633" s="20">
        <v>0</v>
      </c>
      <c r="IA1633" s="20">
        <v>0</v>
      </c>
      <c r="IB1633" s="20">
        <v>0</v>
      </c>
      <c r="IC1633" s="20">
        <v>0</v>
      </c>
    </row>
    <row r="1634">
      <c r="A1634" s="2" t="s">
        <v>6040</v>
      </c>
      <c r="B1634" s="2" t="s">
        <v>224</v>
      </c>
      <c r="C1634" s="2" t="s">
        <v>1036</v>
      </c>
      <c r="D1634" s="2" t="s">
        <v>361</v>
      </c>
      <c r="E1634" s="2" t="s">
        <v>1037</v>
      </c>
      <c r="F1634" s="2" t="s">
        <v>6031</v>
      </c>
      <c r="G1634" s="2" t="s">
        <v>6032</v>
      </c>
      <c r="H1634" s="2" t="s">
        <v>6032</v>
      </c>
      <c r="I1634" s="2" t="s">
        <v>6033</v>
      </c>
      <c r="J1634" s="2" t="s">
        <v>372</v>
      </c>
      <c r="K1634" s="2" t="s">
        <v>316</v>
      </c>
      <c r="L1634" s="3">
        <v>67.59</v>
      </c>
      <c r="M1634" s="3">
        <v>70.97</v>
      </c>
      <c r="N1634" s="3">
        <v>129.99</v>
      </c>
      <c r="O1634" s="2" t="s">
        <v>485</v>
      </c>
      <c r="P1634" s="2" t="s">
        <v>408</v>
      </c>
      <c r="Q1634" s="2" t="s">
        <v>234</v>
      </c>
      <c r="R1634" s="2" t="s">
        <v>235</v>
      </c>
      <c r="S1634" s="2" t="s">
        <v>6034</v>
      </c>
      <c r="T1634" s="2" t="s">
        <v>263</v>
      </c>
      <c r="U1634" s="2" t="s">
        <v>235</v>
      </c>
      <c r="V1634" s="2" t="s">
        <v>238</v>
      </c>
      <c r="W1634" s="2" t="s">
        <v>239</v>
      </c>
      <c r="X1634" s="2" t="s">
        <v>235</v>
      </c>
      <c r="Y1634" s="2" t="s">
        <v>240</v>
      </c>
      <c r="Z1634" s="4"/>
      <c r="AA1634" s="4">
        <f>=ROUNDDOWN({0},0)</f>
      </c>
      <c r="AB1634" s="5">
        <v>4.6</v>
      </c>
      <c r="AC1634" s="2" t="s">
        <v>235</v>
      </c>
      <c r="AD1634" s="4"/>
      <c r="AE1634" s="4"/>
      <c r="AF1634" s="6">
        <v>65</v>
      </c>
      <c r="AG1634" s="6"/>
      <c r="AH1634" s="7">
        <v>0</v>
      </c>
      <c r="AI1634" s="4"/>
      <c r="AJ1634" s="4">
        <f>=ROUNDDOWN({0},0)</f>
      </c>
      <c r="AK1634" s="5"/>
      <c r="AL1634" s="2" t="s">
        <v>235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235</v>
      </c>
      <c r="AW1634" s="8" t="s">
        <v>235</v>
      </c>
      <c r="AX1634" s="4" t="s">
        <v>235</v>
      </c>
      <c r="AY1634" s="8" t="s">
        <v>235</v>
      </c>
      <c r="AZ1634" s="7" t="s">
        <v>235</v>
      </c>
      <c r="BA1634" s="7" t="s">
        <v>235</v>
      </c>
      <c r="BB1634" s="7"/>
      <c r="BC1634" s="4" t="s">
        <v>235</v>
      </c>
      <c r="BD1634" s="8" t="s">
        <v>235</v>
      </c>
      <c r="BE1634" s="4" t="s">
        <v>235</v>
      </c>
      <c r="BF1634" s="8" t="s">
        <v>235</v>
      </c>
      <c r="BG1634" s="7" t="s">
        <v>235</v>
      </c>
      <c r="BH1634" s="7" t="s">
        <v>235</v>
      </c>
      <c r="BI1634" s="7"/>
      <c r="BJ1634" s="4"/>
      <c r="BK1634" s="8"/>
      <c r="BL1634" s="2" t="s">
        <v>6041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6036</v>
      </c>
      <c r="BV1634" s="2" t="s">
        <v>243</v>
      </c>
      <c r="BW1634" s="2" t="s">
        <v>235</v>
      </c>
      <c r="BX1634" s="2" t="s">
        <v>414</v>
      </c>
      <c r="BY1634" s="2" t="s">
        <v>245</v>
      </c>
      <c r="BZ1634" s="2" t="s">
        <v>232</v>
      </c>
      <c r="CA1634" s="2" t="s">
        <v>252</v>
      </c>
      <c r="CB1634" s="2" t="s">
        <v>5604</v>
      </c>
      <c r="CC1634" s="2" t="s">
        <v>248</v>
      </c>
      <c r="CD1634" s="2" t="s">
        <v>248</v>
      </c>
      <c r="CE1634" s="2" t="s">
        <v>235</v>
      </c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20">
        <v>0</v>
      </c>
      <c r="HE1634" s="20">
        <v>0</v>
      </c>
      <c r="HF1634" s="20">
        <v>0</v>
      </c>
      <c r="HG1634" s="20">
        <v>0</v>
      </c>
      <c r="HH1634" s="20">
        <v>0</v>
      </c>
      <c r="HI1634" s="20">
        <v>0</v>
      </c>
      <c r="HJ1634" s="20">
        <v>0</v>
      </c>
      <c r="HK1634" s="20">
        <v>0</v>
      </c>
      <c r="HL1634" s="20">
        <v>0</v>
      </c>
      <c r="HM1634" s="20">
        <v>0</v>
      </c>
      <c r="HN1634" s="20">
        <v>0</v>
      </c>
      <c r="HO1634" s="20">
        <v>0</v>
      </c>
      <c r="HP1634" s="20">
        <v>0</v>
      </c>
      <c r="HQ1634" s="20">
        <v>0</v>
      </c>
      <c r="HR1634" s="20">
        <v>0</v>
      </c>
      <c r="HS1634" s="20">
        <v>0</v>
      </c>
      <c r="HT1634" s="20">
        <v>0</v>
      </c>
      <c r="HU1634" s="20">
        <v>0</v>
      </c>
      <c r="HV1634" s="20">
        <v>0</v>
      </c>
      <c r="HW1634" s="20">
        <v>0</v>
      </c>
      <c r="HX1634" s="20">
        <v>0</v>
      </c>
      <c r="HY1634" s="20">
        <v>0</v>
      </c>
      <c r="HZ1634" s="20">
        <v>0</v>
      </c>
      <c r="IA1634" s="20">
        <v>0</v>
      </c>
      <c r="IB1634" s="20">
        <v>0</v>
      </c>
      <c r="IC1634" s="20">
        <v>0</v>
      </c>
    </row>
    <row r="1635">
      <c r="A1635" s="2" t="s">
        <v>6042</v>
      </c>
      <c r="B1635" s="2" t="s">
        <v>605</v>
      </c>
      <c r="C1635" s="2" t="s">
        <v>893</v>
      </c>
      <c r="D1635" s="2" t="s">
        <v>607</v>
      </c>
      <c r="E1635" s="2" t="s">
        <v>608</v>
      </c>
      <c r="F1635" s="2" t="s">
        <v>1390</v>
      </c>
      <c r="G1635" s="2" t="s">
        <v>6043</v>
      </c>
      <c r="H1635" s="2" t="s">
        <v>6044</v>
      </c>
      <c r="I1635" s="2" t="s">
        <v>6045</v>
      </c>
      <c r="J1635" s="2" t="s">
        <v>611</v>
      </c>
      <c r="K1635" s="2" t="s">
        <v>338</v>
      </c>
      <c r="L1635" s="3">
        <v>26.65</v>
      </c>
      <c r="M1635" s="3">
        <v>27.98</v>
      </c>
      <c r="N1635" s="3">
        <v>59.99</v>
      </c>
      <c r="O1635" s="2" t="s">
        <v>485</v>
      </c>
      <c r="P1635" s="2" t="s">
        <v>408</v>
      </c>
      <c r="Q1635" s="2" t="s">
        <v>234</v>
      </c>
      <c r="R1635" s="2" t="s">
        <v>235</v>
      </c>
      <c r="S1635" s="2" t="s">
        <v>6046</v>
      </c>
      <c r="T1635" s="2" t="s">
        <v>263</v>
      </c>
      <c r="U1635" s="2" t="s">
        <v>614</v>
      </c>
      <c r="V1635" s="2" t="s">
        <v>238</v>
      </c>
      <c r="W1635" s="2" t="s">
        <v>1681</v>
      </c>
      <c r="X1635" s="2" t="s">
        <v>239</v>
      </c>
      <c r="Y1635" s="2" t="s">
        <v>750</v>
      </c>
      <c r="Z1635" s="4">
        <v>73</v>
      </c>
      <c r="AA1635" s="4">
        <f>=ROUNDDOWN(18.25,0)</f>
      </c>
      <c r="AB1635" s="5">
        <v>4</v>
      </c>
      <c r="AC1635" s="2" t="s">
        <v>235</v>
      </c>
      <c r="AD1635" s="4"/>
      <c r="AE1635" s="4"/>
      <c r="AF1635" s="6">
        <v>75</v>
      </c>
      <c r="AG1635" s="6"/>
      <c r="AH1635" s="7">
        <v>1</v>
      </c>
      <c r="AI1635" s="4"/>
      <c r="AJ1635" s="4">
        <f>=ROUNDDOWN({0},0)</f>
      </c>
      <c r="AK1635" s="5"/>
      <c r="AL1635" s="2" t="s">
        <v>235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 t="s">
        <v>235</v>
      </c>
      <c r="BD1635" s="8" t="s">
        <v>235</v>
      </c>
      <c r="BE1635" s="4" t="s">
        <v>235</v>
      </c>
      <c r="BF1635" s="8" t="s">
        <v>235</v>
      </c>
      <c r="BG1635" s="7" t="s">
        <v>235</v>
      </c>
      <c r="BH1635" s="7" t="s">
        <v>235</v>
      </c>
      <c r="BI1635" s="7"/>
      <c r="BJ1635" s="4">
        <v>17</v>
      </c>
      <c r="BK1635" s="8">
        <v>426.92</v>
      </c>
      <c r="BL1635" s="2" t="s">
        <v>6047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6048</v>
      </c>
      <c r="BV1635" s="2" t="s">
        <v>618</v>
      </c>
      <c r="BW1635" s="2" t="s">
        <v>235</v>
      </c>
      <c r="BX1635" s="2" t="s">
        <v>414</v>
      </c>
      <c r="BY1635" s="2" t="s">
        <v>245</v>
      </c>
      <c r="BZ1635" s="2" t="s">
        <v>232</v>
      </c>
      <c r="CA1635" s="2" t="s">
        <v>1799</v>
      </c>
      <c r="CB1635" s="2" t="s">
        <v>6049</v>
      </c>
      <c r="CC1635" s="2" t="s">
        <v>248</v>
      </c>
      <c r="CD1635" s="2" t="s">
        <v>248</v>
      </c>
      <c r="CE1635" s="2" t="s">
        <v>235</v>
      </c>
      <c r="CF1635" s="4">
        <v>73</v>
      </c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>
        <v>75</v>
      </c>
      <c r="GE1635" s="4">
        <v>61</v>
      </c>
      <c r="GF1635" s="4">
        <v>58</v>
      </c>
      <c r="GG1635" s="4">
        <v>55</v>
      </c>
      <c r="GH1635" s="4">
        <v>52</v>
      </c>
      <c r="GI1635" s="4">
        <v>49</v>
      </c>
      <c r="GJ1635" s="4">
        <v>44</v>
      </c>
      <c r="GK1635" s="4">
        <v>39</v>
      </c>
      <c r="GL1635" s="4">
        <v>35</v>
      </c>
      <c r="GM1635" s="4">
        <v>31</v>
      </c>
      <c r="GN1635" s="4">
        <v>27</v>
      </c>
      <c r="GO1635" s="4">
        <v>23</v>
      </c>
      <c r="GP1635" s="4">
        <v>17</v>
      </c>
      <c r="GQ1635" s="4">
        <v>9</v>
      </c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19">
        <v>12.5</v>
      </c>
      <c r="HE1635" s="19">
        <v>20.3</v>
      </c>
      <c r="HF1635" s="19">
        <v>14.5</v>
      </c>
      <c r="HG1635" s="19">
        <v>13.8</v>
      </c>
      <c r="HH1635" s="19">
        <v>13</v>
      </c>
      <c r="HI1635" s="19">
        <v>12.3</v>
      </c>
      <c r="HJ1635" s="19">
        <v>11</v>
      </c>
      <c r="HK1635" s="19">
        <v>9.8</v>
      </c>
      <c r="HL1635" s="19">
        <v>8.8</v>
      </c>
      <c r="HM1635" s="19">
        <v>5.2</v>
      </c>
      <c r="HN1635" s="19">
        <v>3.9</v>
      </c>
      <c r="HO1635" s="19">
        <v>3.3</v>
      </c>
      <c r="HP1635" s="19">
        <v>2.8</v>
      </c>
      <c r="HQ1635" s="19">
        <v>1.8</v>
      </c>
      <c r="HR1635" s="20">
        <v>0</v>
      </c>
      <c r="HS1635" s="20">
        <v>0</v>
      </c>
      <c r="HT1635" s="20">
        <v>0</v>
      </c>
      <c r="HU1635" s="20">
        <v>0</v>
      </c>
      <c r="HV1635" s="20">
        <v>0</v>
      </c>
      <c r="HW1635" s="20">
        <v>0</v>
      </c>
      <c r="HX1635" s="20">
        <v>0</v>
      </c>
      <c r="HY1635" s="20">
        <v>0</v>
      </c>
      <c r="HZ1635" s="20">
        <v>0</v>
      </c>
      <c r="IA1635" s="20">
        <v>0</v>
      </c>
      <c r="IB1635" s="20">
        <v>0</v>
      </c>
      <c r="IC1635" s="20">
        <v>0</v>
      </c>
    </row>
    <row r="1636">
      <c r="A1636" s="2" t="s">
        <v>6050</v>
      </c>
      <c r="B1636" s="2" t="s">
        <v>817</v>
      </c>
      <c r="C1636" s="2" t="s">
        <v>893</v>
      </c>
      <c r="D1636" s="2" t="s">
        <v>1519</v>
      </c>
      <c r="E1636" s="2" t="s">
        <v>1520</v>
      </c>
      <c r="F1636" s="2" t="s">
        <v>1390</v>
      </c>
      <c r="G1636" s="2" t="s">
        <v>1390</v>
      </c>
      <c r="H1636" s="2" t="s">
        <v>1390</v>
      </c>
      <c r="I1636" s="2" t="s">
        <v>6051</v>
      </c>
      <c r="J1636" s="2" t="s">
        <v>6052</v>
      </c>
      <c r="K1636" s="2" t="s">
        <v>1169</v>
      </c>
      <c r="L1636" s="3">
        <v>69.33</v>
      </c>
      <c r="M1636" s="3">
        <v>72.8</v>
      </c>
      <c r="N1636" s="3">
        <v>139.99</v>
      </c>
      <c r="O1636" s="2" t="s">
        <v>232</v>
      </c>
      <c r="P1636" s="2" t="s">
        <v>5026</v>
      </c>
      <c r="Q1636" s="2" t="s">
        <v>234</v>
      </c>
      <c r="R1636" s="2" t="s">
        <v>235</v>
      </c>
      <c r="S1636" s="2" t="s">
        <v>235</v>
      </c>
      <c r="T1636" s="2" t="s">
        <v>235</v>
      </c>
      <c r="U1636" s="2" t="s">
        <v>235</v>
      </c>
      <c r="V1636" s="2" t="s">
        <v>330</v>
      </c>
      <c r="W1636" s="2" t="s">
        <v>239</v>
      </c>
      <c r="X1636" s="2" t="s">
        <v>410</v>
      </c>
      <c r="Y1636" s="2" t="s">
        <v>235</v>
      </c>
      <c r="Z1636" s="4"/>
      <c r="AA1636" s="4">
        <f>=ROUNDDOWN({0},0)</f>
      </c>
      <c r="AB1636" s="5"/>
      <c r="AC1636" s="2" t="s">
        <v>160</v>
      </c>
      <c r="AD1636" s="4">
        <v>130</v>
      </c>
      <c r="AE1636" s="4">
        <v>130</v>
      </c>
      <c r="AF1636" s="6"/>
      <c r="AG1636" s="6"/>
      <c r="AH1636" s="7"/>
      <c r="AI1636" s="4"/>
      <c r="AJ1636" s="4">
        <f>=ROUNDDOWN({0},0)</f>
      </c>
      <c r="AK1636" s="5"/>
      <c r="AL1636" s="2" t="s">
        <v>235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235</v>
      </c>
      <c r="AW1636" s="8" t="s">
        <v>235</v>
      </c>
      <c r="AX1636" s="4" t="s">
        <v>235</v>
      </c>
      <c r="AY1636" s="8" t="s">
        <v>235</v>
      </c>
      <c r="AZ1636" s="7" t="s">
        <v>235</v>
      </c>
      <c r="BA1636" s="7" t="s">
        <v>235</v>
      </c>
      <c r="BB1636" s="7"/>
      <c r="BC1636" s="4" t="s">
        <v>235</v>
      </c>
      <c r="BD1636" s="8" t="s">
        <v>235</v>
      </c>
      <c r="BE1636" s="4" t="s">
        <v>235</v>
      </c>
      <c r="BF1636" s="8" t="s">
        <v>235</v>
      </c>
      <c r="BG1636" s="7" t="s">
        <v>235</v>
      </c>
      <c r="BH1636" s="7" t="s">
        <v>235</v>
      </c>
      <c r="BI1636" s="7"/>
      <c r="BJ1636" s="4"/>
      <c r="BK1636" s="8"/>
      <c r="BL1636" s="2" t="s">
        <v>235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330</v>
      </c>
      <c r="BV1636" s="2" t="s">
        <v>235</v>
      </c>
      <c r="BW1636" s="2" t="s">
        <v>235</v>
      </c>
      <c r="BX1636" s="2" t="s">
        <v>330</v>
      </c>
      <c r="BY1636" s="2" t="s">
        <v>331</v>
      </c>
      <c r="BZ1636" s="2" t="s">
        <v>232</v>
      </c>
      <c r="CA1636" s="2" t="s">
        <v>235</v>
      </c>
      <c r="CB1636" s="2" t="s">
        <v>235</v>
      </c>
      <c r="CC1636" s="2" t="s">
        <v>248</v>
      </c>
      <c r="CD1636" s="2" t="s">
        <v>248</v>
      </c>
      <c r="CE1636" s="2" t="s">
        <v>235</v>
      </c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>
        <v>130</v>
      </c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9"/>
      <c r="HE1636" s="9"/>
      <c r="HF1636" s="9"/>
      <c r="HG1636" s="9"/>
      <c r="HH1636" s="9"/>
      <c r="HI1636" s="9"/>
      <c r="HJ1636" s="9"/>
      <c r="HK1636" s="9"/>
      <c r="HL1636" s="9"/>
      <c r="HM1636" s="9"/>
      <c r="HN1636" s="9"/>
      <c r="HO1636" s="9"/>
      <c r="HP1636" s="9"/>
      <c r="HQ1636" s="9"/>
      <c r="HR1636" s="9"/>
      <c r="HS1636" s="9"/>
      <c r="HT1636" s="9"/>
      <c r="HU1636" s="9"/>
      <c r="HV1636" s="9"/>
      <c r="HW1636" s="9"/>
      <c r="HX1636" s="9"/>
      <c r="HY1636" s="9"/>
      <c r="HZ1636" s="9"/>
      <c r="IA1636" s="9"/>
      <c r="IB1636" s="9"/>
      <c r="IC1636" s="9"/>
    </row>
    <row r="1637">
      <c r="A1637" s="2" t="s">
        <v>6053</v>
      </c>
      <c r="B1637" s="2" t="s">
        <v>817</v>
      </c>
      <c r="C1637" s="2" t="s">
        <v>893</v>
      </c>
      <c r="D1637" s="2" t="s">
        <v>1519</v>
      </c>
      <c r="E1637" s="2" t="s">
        <v>1520</v>
      </c>
      <c r="F1637" s="2" t="s">
        <v>1390</v>
      </c>
      <c r="G1637" s="2" t="s">
        <v>1390</v>
      </c>
      <c r="H1637" s="2" t="s">
        <v>1390</v>
      </c>
      <c r="I1637" s="2" t="s">
        <v>6054</v>
      </c>
      <c r="J1637" s="2" t="s">
        <v>6055</v>
      </c>
      <c r="K1637" s="2" t="s">
        <v>1169</v>
      </c>
      <c r="L1637" s="3">
        <v>59.52</v>
      </c>
      <c r="M1637" s="3">
        <v>62.5</v>
      </c>
      <c r="N1637" s="3">
        <v>124.99</v>
      </c>
      <c r="O1637" s="2" t="s">
        <v>232</v>
      </c>
      <c r="P1637" s="2" t="s">
        <v>5026</v>
      </c>
      <c r="Q1637" s="2" t="s">
        <v>234</v>
      </c>
      <c r="R1637" s="2" t="s">
        <v>235</v>
      </c>
      <c r="S1637" s="2" t="s">
        <v>235</v>
      </c>
      <c r="T1637" s="2" t="s">
        <v>235</v>
      </c>
      <c r="U1637" s="2" t="s">
        <v>235</v>
      </c>
      <c r="V1637" s="2" t="s">
        <v>330</v>
      </c>
      <c r="W1637" s="2" t="s">
        <v>239</v>
      </c>
      <c r="X1637" s="2" t="s">
        <v>410</v>
      </c>
      <c r="Y1637" s="2" t="s">
        <v>235</v>
      </c>
      <c r="Z1637" s="4"/>
      <c r="AA1637" s="4">
        <f>=ROUNDDOWN({0},0)</f>
      </c>
      <c r="AB1637" s="5"/>
      <c r="AC1637" s="2" t="s">
        <v>160</v>
      </c>
      <c r="AD1637" s="4">
        <v>130</v>
      </c>
      <c r="AE1637" s="4">
        <v>130</v>
      </c>
      <c r="AF1637" s="6"/>
      <c r="AG1637" s="6"/>
      <c r="AH1637" s="7"/>
      <c r="AI1637" s="4"/>
      <c r="AJ1637" s="4">
        <f>=ROUNDDOWN({0},0)</f>
      </c>
      <c r="AK1637" s="5"/>
      <c r="AL1637" s="2" t="s">
        <v>235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235</v>
      </c>
      <c r="AW1637" s="8" t="s">
        <v>235</v>
      </c>
      <c r="AX1637" s="4" t="s">
        <v>235</v>
      </c>
      <c r="AY1637" s="8" t="s">
        <v>235</v>
      </c>
      <c r="AZ1637" s="7" t="s">
        <v>235</v>
      </c>
      <c r="BA1637" s="7" t="s">
        <v>235</v>
      </c>
      <c r="BB1637" s="7"/>
      <c r="BC1637" s="4" t="s">
        <v>235</v>
      </c>
      <c r="BD1637" s="8" t="s">
        <v>235</v>
      </c>
      <c r="BE1637" s="4" t="s">
        <v>235</v>
      </c>
      <c r="BF1637" s="8" t="s">
        <v>235</v>
      </c>
      <c r="BG1637" s="7" t="s">
        <v>235</v>
      </c>
      <c r="BH1637" s="7" t="s">
        <v>235</v>
      </c>
      <c r="BI1637" s="7"/>
      <c r="BJ1637" s="4"/>
      <c r="BK1637" s="8"/>
      <c r="BL1637" s="2" t="s">
        <v>235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330</v>
      </c>
      <c r="BV1637" s="2" t="s">
        <v>235</v>
      </c>
      <c r="BW1637" s="2" t="s">
        <v>235</v>
      </c>
      <c r="BX1637" s="2" t="s">
        <v>330</v>
      </c>
      <c r="BY1637" s="2" t="s">
        <v>331</v>
      </c>
      <c r="BZ1637" s="2" t="s">
        <v>232</v>
      </c>
      <c r="CA1637" s="2" t="s">
        <v>235</v>
      </c>
      <c r="CB1637" s="2" t="s">
        <v>235</v>
      </c>
      <c r="CC1637" s="2" t="s">
        <v>248</v>
      </c>
      <c r="CD1637" s="2" t="s">
        <v>248</v>
      </c>
      <c r="CE1637" s="2" t="s">
        <v>235</v>
      </c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>
        <v>130</v>
      </c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9"/>
      <c r="HE1637" s="9"/>
      <c r="HF1637" s="9"/>
      <c r="HG1637" s="9"/>
      <c r="HH1637" s="9"/>
      <c r="HI1637" s="9"/>
      <c r="HJ1637" s="9"/>
      <c r="HK1637" s="9"/>
      <c r="HL1637" s="9"/>
      <c r="HM1637" s="9"/>
      <c r="HN1637" s="9"/>
      <c r="HO1637" s="9"/>
      <c r="HP1637" s="9"/>
      <c r="HQ1637" s="9"/>
      <c r="HR1637" s="9"/>
      <c r="HS1637" s="9"/>
      <c r="HT1637" s="9"/>
      <c r="HU1637" s="9"/>
      <c r="HV1637" s="9"/>
      <c r="HW1637" s="9"/>
      <c r="HX1637" s="9"/>
      <c r="HY1637" s="9"/>
      <c r="HZ1637" s="9"/>
      <c r="IA1637" s="9"/>
      <c r="IB1637" s="9"/>
      <c r="IC1637" s="9"/>
    </row>
    <row r="1638">
      <c r="A1638" s="2" t="s">
        <v>6056</v>
      </c>
      <c r="B1638" s="2" t="s">
        <v>1071</v>
      </c>
      <c r="C1638" s="2" t="s">
        <v>893</v>
      </c>
      <c r="D1638" s="2" t="s">
        <v>1086</v>
      </c>
      <c r="E1638" s="2" t="s">
        <v>1868</v>
      </c>
      <c r="F1638" s="2" t="s">
        <v>6057</v>
      </c>
      <c r="G1638" s="2" t="s">
        <v>6057</v>
      </c>
      <c r="H1638" s="2" t="s">
        <v>6057</v>
      </c>
      <c r="I1638" s="2" t="s">
        <v>6058</v>
      </c>
      <c r="J1638" s="2" t="s">
        <v>5892</v>
      </c>
      <c r="K1638" s="2" t="s">
        <v>6059</v>
      </c>
      <c r="L1638" s="3">
        <v>316.54</v>
      </c>
      <c r="M1638" s="3">
        <v>332.37</v>
      </c>
      <c r="N1638" s="3">
        <v>659</v>
      </c>
      <c r="O1638" s="2" t="s">
        <v>232</v>
      </c>
      <c r="P1638" s="2" t="s">
        <v>5877</v>
      </c>
      <c r="Q1638" s="2" t="s">
        <v>234</v>
      </c>
      <c r="R1638" s="2" t="s">
        <v>235</v>
      </c>
      <c r="S1638" s="2" t="s">
        <v>235</v>
      </c>
      <c r="T1638" s="2" t="s">
        <v>235</v>
      </c>
      <c r="U1638" s="2" t="s">
        <v>278</v>
      </c>
      <c r="V1638" s="2" t="s">
        <v>238</v>
      </c>
      <c r="W1638" s="2" t="s">
        <v>809</v>
      </c>
      <c r="X1638" s="2" t="s">
        <v>682</v>
      </c>
      <c r="Y1638" s="2" t="s">
        <v>6060</v>
      </c>
      <c r="Z1638" s="4">
        <v>52</v>
      </c>
      <c r="AA1638" s="4">
        <f>=ROUNDDOWN({0},0)</f>
      </c>
      <c r="AB1638" s="5"/>
      <c r="AC1638" s="2" t="s">
        <v>235</v>
      </c>
      <c r="AD1638" s="4"/>
      <c r="AE1638" s="4"/>
      <c r="AF1638" s="6"/>
      <c r="AG1638" s="6"/>
      <c r="AH1638" s="7">
        <v>1</v>
      </c>
      <c r="AI1638" s="4"/>
      <c r="AJ1638" s="4">
        <f>=ROUNDDOWN({0},0)</f>
      </c>
      <c r="AK1638" s="5"/>
      <c r="AL1638" s="2" t="s">
        <v>235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/>
      <c r="BD1638" s="8"/>
      <c r="BE1638" s="4"/>
      <c r="BF1638" s="8"/>
      <c r="BG1638" s="7"/>
      <c r="BH1638" s="7"/>
      <c r="BI1638" s="7"/>
      <c r="BJ1638" s="4"/>
      <c r="BK1638" s="8"/>
      <c r="BL1638" s="2" t="s">
        <v>1461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6061</v>
      </c>
      <c r="BV1638" s="2" t="s">
        <v>1424</v>
      </c>
      <c r="BW1638" s="2" t="s">
        <v>235</v>
      </c>
      <c r="BX1638" s="2" t="s">
        <v>685</v>
      </c>
      <c r="BY1638" s="2" t="s">
        <v>245</v>
      </c>
      <c r="BZ1638" s="2" t="s">
        <v>232</v>
      </c>
      <c r="CA1638" s="2" t="s">
        <v>6062</v>
      </c>
      <c r="CB1638" s="2" t="s">
        <v>2822</v>
      </c>
      <c r="CC1638" s="2" t="s">
        <v>248</v>
      </c>
      <c r="CD1638" s="2" t="s">
        <v>248</v>
      </c>
      <c r="CE1638" s="2" t="s">
        <v>235</v>
      </c>
      <c r="CF1638" s="4"/>
      <c r="CG1638" s="4">
        <v>20</v>
      </c>
      <c r="CH1638" s="4"/>
      <c r="CI1638" s="4">
        <v>32</v>
      </c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9"/>
      <c r="HE1638" s="9"/>
      <c r="HF1638" s="9"/>
      <c r="HG1638" s="9"/>
      <c r="HH1638" s="9"/>
      <c r="HI1638" s="9"/>
      <c r="HJ1638" s="9"/>
      <c r="HK1638" s="9"/>
      <c r="HL1638" s="9"/>
      <c r="HM1638" s="9"/>
      <c r="HN1638" s="9"/>
      <c r="HO1638" s="9"/>
      <c r="HP1638" s="9"/>
      <c r="HQ1638" s="9"/>
      <c r="HR1638" s="9"/>
      <c r="HS1638" s="9"/>
      <c r="HT1638" s="9"/>
      <c r="HU1638" s="9"/>
      <c r="HV1638" s="9"/>
      <c r="HW1638" s="9"/>
      <c r="HX1638" s="9"/>
      <c r="HY1638" s="9"/>
      <c r="HZ1638" s="9"/>
      <c r="IA1638" s="9"/>
      <c r="IB1638" s="9"/>
      <c r="IC1638" s="9"/>
    </row>
    <row r="1639">
      <c r="A1639" s="2" t="s">
        <v>6063</v>
      </c>
      <c r="B1639" s="2" t="s">
        <v>323</v>
      </c>
      <c r="C1639" s="2" t="s">
        <v>853</v>
      </c>
      <c r="D1639" s="2" t="s">
        <v>257</v>
      </c>
      <c r="E1639" s="2" t="s">
        <v>258</v>
      </c>
      <c r="F1639" s="2" t="s">
        <v>2919</v>
      </c>
      <c r="G1639" s="2" t="s">
        <v>2919</v>
      </c>
      <c r="H1639" s="2" t="s">
        <v>2919</v>
      </c>
      <c r="I1639" s="2" t="s">
        <v>6064</v>
      </c>
      <c r="J1639" s="2" t="s">
        <v>230</v>
      </c>
      <c r="K1639" s="2" t="s">
        <v>6065</v>
      </c>
      <c r="L1639" s="3">
        <v>12.6</v>
      </c>
      <c r="M1639" s="3">
        <v>13.23</v>
      </c>
      <c r="N1639" s="3">
        <v>27.99</v>
      </c>
      <c r="O1639" s="2" t="s">
        <v>485</v>
      </c>
      <c r="P1639" s="2" t="s">
        <v>408</v>
      </c>
      <c r="Q1639" s="2" t="s">
        <v>234</v>
      </c>
      <c r="R1639" s="2" t="s">
        <v>235</v>
      </c>
      <c r="S1639" s="2" t="s">
        <v>6066</v>
      </c>
      <c r="T1639" s="2" t="s">
        <v>501</v>
      </c>
      <c r="U1639" s="2" t="s">
        <v>235</v>
      </c>
      <c r="V1639" s="2" t="s">
        <v>2919</v>
      </c>
      <c r="W1639" s="2" t="s">
        <v>239</v>
      </c>
      <c r="X1639" s="2" t="s">
        <v>235</v>
      </c>
      <c r="Y1639" s="2" t="s">
        <v>6067</v>
      </c>
      <c r="Z1639" s="4">
        <v>183</v>
      </c>
      <c r="AA1639" s="4">
        <f>=ROUNDDOWN(140.769230769231,0)</f>
      </c>
      <c r="AB1639" s="5">
        <v>1.3</v>
      </c>
      <c r="AC1639" s="2" t="s">
        <v>235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235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235</v>
      </c>
      <c r="AW1639" s="8" t="s">
        <v>235</v>
      </c>
      <c r="AX1639" s="4" t="s">
        <v>235</v>
      </c>
      <c r="AY1639" s="8" t="s">
        <v>235</v>
      </c>
      <c r="AZ1639" s="7" t="s">
        <v>235</v>
      </c>
      <c r="BA1639" s="7" t="s">
        <v>235</v>
      </c>
      <c r="BB1639" s="7"/>
      <c r="BC1639" s="4" t="s">
        <v>235</v>
      </c>
      <c r="BD1639" s="8" t="s">
        <v>235</v>
      </c>
      <c r="BE1639" s="4" t="s">
        <v>235</v>
      </c>
      <c r="BF1639" s="8" t="s">
        <v>235</v>
      </c>
      <c r="BG1639" s="7" t="s">
        <v>235</v>
      </c>
      <c r="BH1639" s="7" t="s">
        <v>235</v>
      </c>
      <c r="BI1639" s="7"/>
      <c r="BJ1639" s="4">
        <v>2</v>
      </c>
      <c r="BK1639" s="8">
        <v>27.9</v>
      </c>
      <c r="BL1639" s="2" t="s">
        <v>4328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6068</v>
      </c>
      <c r="BV1639" s="2" t="s">
        <v>243</v>
      </c>
      <c r="BW1639" s="2" t="s">
        <v>235</v>
      </c>
      <c r="BX1639" s="2" t="s">
        <v>414</v>
      </c>
      <c r="BY1639" s="2" t="s">
        <v>245</v>
      </c>
      <c r="BZ1639" s="2" t="s">
        <v>232</v>
      </c>
      <c r="CA1639" s="2" t="s">
        <v>5671</v>
      </c>
      <c r="CB1639" s="2" t="s">
        <v>3182</v>
      </c>
      <c r="CC1639" s="2" t="s">
        <v>248</v>
      </c>
      <c r="CD1639" s="2" t="s">
        <v>248</v>
      </c>
      <c r="CE1639" s="2" t="s">
        <v>235</v>
      </c>
      <c r="CF1639" s="4">
        <v>183</v>
      </c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>
        <v>183</v>
      </c>
      <c r="GE1639" s="4">
        <v>182</v>
      </c>
      <c r="GF1639" s="4">
        <v>181</v>
      </c>
      <c r="GG1639" s="4">
        <v>180</v>
      </c>
      <c r="GH1639" s="4">
        <v>179</v>
      </c>
      <c r="GI1639" s="4">
        <v>178</v>
      </c>
      <c r="GJ1639" s="4">
        <v>177</v>
      </c>
      <c r="GK1639" s="4">
        <v>176</v>
      </c>
      <c r="GL1639" s="4">
        <v>175</v>
      </c>
      <c r="GM1639" s="4">
        <v>174</v>
      </c>
      <c r="GN1639" s="4">
        <v>173</v>
      </c>
      <c r="GO1639" s="4">
        <v>172</v>
      </c>
      <c r="GP1639" s="4">
        <v>170</v>
      </c>
      <c r="GQ1639" s="4">
        <v>168</v>
      </c>
      <c r="GR1639" s="4">
        <v>166</v>
      </c>
      <c r="GS1639" s="4">
        <v>165</v>
      </c>
      <c r="GT1639" s="4">
        <v>164</v>
      </c>
      <c r="GU1639" s="4">
        <v>163</v>
      </c>
      <c r="GV1639" s="4">
        <v>162</v>
      </c>
      <c r="GW1639" s="4">
        <v>161</v>
      </c>
      <c r="GX1639" s="4">
        <v>160</v>
      </c>
      <c r="GY1639" s="4">
        <v>159</v>
      </c>
      <c r="GZ1639" s="4">
        <v>158</v>
      </c>
      <c r="HA1639" s="4">
        <v>157</v>
      </c>
      <c r="HB1639" s="4">
        <v>156</v>
      </c>
      <c r="HC1639" s="4">
        <v>155</v>
      </c>
      <c r="HD1639" s="19">
        <v>183</v>
      </c>
      <c r="HE1639" s="19">
        <v>182</v>
      </c>
      <c r="HF1639" s="19">
        <v>181</v>
      </c>
      <c r="HG1639" s="19">
        <v>180</v>
      </c>
      <c r="HH1639" s="19">
        <v>179</v>
      </c>
      <c r="HI1639" s="19">
        <v>178</v>
      </c>
      <c r="HJ1639" s="19">
        <v>177</v>
      </c>
      <c r="HK1639" s="19">
        <v>176</v>
      </c>
      <c r="HL1639" s="19">
        <v>175</v>
      </c>
      <c r="HM1639" s="19">
        <v>87</v>
      </c>
      <c r="HN1639" s="19">
        <v>86.5</v>
      </c>
      <c r="HO1639" s="19">
        <v>86</v>
      </c>
      <c r="HP1639" s="19">
        <v>85</v>
      </c>
      <c r="HQ1639" s="19">
        <v>168</v>
      </c>
      <c r="HR1639" s="19">
        <v>166</v>
      </c>
      <c r="HS1639" s="19">
        <v>165</v>
      </c>
      <c r="HT1639" s="19">
        <v>164</v>
      </c>
      <c r="HU1639" s="19">
        <v>163</v>
      </c>
      <c r="HV1639" s="19">
        <v>162</v>
      </c>
      <c r="HW1639" s="19">
        <v>161</v>
      </c>
      <c r="HX1639" s="19">
        <v>160</v>
      </c>
      <c r="HY1639" s="19">
        <v>159</v>
      </c>
      <c r="HZ1639" s="19">
        <v>158</v>
      </c>
      <c r="IA1639" s="19">
        <v>157</v>
      </c>
      <c r="IB1639" s="19">
        <v>156</v>
      </c>
      <c r="IC1639" s="19">
        <v>155</v>
      </c>
    </row>
    <row r="1640">
      <c r="A1640" s="2" t="s">
        <v>6069</v>
      </c>
      <c r="B1640" s="2" t="s">
        <v>323</v>
      </c>
      <c r="C1640" s="2" t="s">
        <v>853</v>
      </c>
      <c r="D1640" s="2" t="s">
        <v>257</v>
      </c>
      <c r="E1640" s="2" t="s">
        <v>258</v>
      </c>
      <c r="F1640" s="2" t="s">
        <v>2919</v>
      </c>
      <c r="G1640" s="2" t="s">
        <v>2919</v>
      </c>
      <c r="H1640" s="2" t="s">
        <v>2919</v>
      </c>
      <c r="I1640" s="2" t="s">
        <v>6064</v>
      </c>
      <c r="J1640" s="2" t="s">
        <v>250</v>
      </c>
      <c r="K1640" s="2" t="s">
        <v>6065</v>
      </c>
      <c r="L1640" s="3">
        <v>13.95</v>
      </c>
      <c r="M1640" s="3">
        <v>14.65</v>
      </c>
      <c r="N1640" s="3">
        <v>30.99</v>
      </c>
      <c r="O1640" s="2" t="s">
        <v>407</v>
      </c>
      <c r="P1640" s="2" t="s">
        <v>408</v>
      </c>
      <c r="Q1640" s="2" t="s">
        <v>234</v>
      </c>
      <c r="R1640" s="2" t="s">
        <v>235</v>
      </c>
      <c r="S1640" s="2" t="s">
        <v>6066</v>
      </c>
      <c r="T1640" s="2" t="s">
        <v>501</v>
      </c>
      <c r="U1640" s="2" t="s">
        <v>235</v>
      </c>
      <c r="V1640" s="2" t="s">
        <v>2919</v>
      </c>
      <c r="W1640" s="2" t="s">
        <v>239</v>
      </c>
      <c r="X1640" s="2" t="s">
        <v>235</v>
      </c>
      <c r="Y1640" s="2" t="s">
        <v>6067</v>
      </c>
      <c r="Z1640" s="4">
        <v>348</v>
      </c>
      <c r="AA1640" s="4">
        <f>=ROUNDDOWN(497.142857142857,0)</f>
      </c>
      <c r="AB1640" s="5">
        <v>0.7</v>
      </c>
      <c r="AC1640" s="2" t="s">
        <v>235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235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235</v>
      </c>
      <c r="AW1640" s="8" t="s">
        <v>235</v>
      </c>
      <c r="AX1640" s="4" t="s">
        <v>235</v>
      </c>
      <c r="AY1640" s="8" t="s">
        <v>235</v>
      </c>
      <c r="AZ1640" s="7" t="s">
        <v>235</v>
      </c>
      <c r="BA1640" s="7" t="s">
        <v>235</v>
      </c>
      <c r="BB1640" s="7"/>
      <c r="BC1640" s="4" t="s">
        <v>235</v>
      </c>
      <c r="BD1640" s="8" t="s">
        <v>235</v>
      </c>
      <c r="BE1640" s="4" t="s">
        <v>235</v>
      </c>
      <c r="BF1640" s="8" t="s">
        <v>235</v>
      </c>
      <c r="BG1640" s="7" t="s">
        <v>235</v>
      </c>
      <c r="BH1640" s="7" t="s">
        <v>235</v>
      </c>
      <c r="BI1640" s="7"/>
      <c r="BJ1640" s="4">
        <v>3</v>
      </c>
      <c r="BK1640" s="8">
        <v>42.56</v>
      </c>
      <c r="BL1640" s="2" t="s">
        <v>1259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6068</v>
      </c>
      <c r="BV1640" s="2" t="s">
        <v>243</v>
      </c>
      <c r="BW1640" s="2" t="s">
        <v>235</v>
      </c>
      <c r="BX1640" s="2" t="s">
        <v>414</v>
      </c>
      <c r="BY1640" s="2" t="s">
        <v>245</v>
      </c>
      <c r="BZ1640" s="2" t="s">
        <v>232</v>
      </c>
      <c r="CA1640" s="2" t="s">
        <v>5671</v>
      </c>
      <c r="CB1640" s="2" t="s">
        <v>6070</v>
      </c>
      <c r="CC1640" s="2" t="s">
        <v>248</v>
      </c>
      <c r="CD1640" s="2" t="s">
        <v>248</v>
      </c>
      <c r="CE1640" s="2" t="s">
        <v>235</v>
      </c>
      <c r="CF1640" s="4">
        <v>348</v>
      </c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>
        <v>349</v>
      </c>
      <c r="GE1640" s="4">
        <v>347</v>
      </c>
      <c r="GF1640" s="4">
        <v>346</v>
      </c>
      <c r="GG1640" s="4">
        <v>345</v>
      </c>
      <c r="GH1640" s="4">
        <v>344</v>
      </c>
      <c r="GI1640" s="4">
        <v>343</v>
      </c>
      <c r="GJ1640" s="4">
        <v>342</v>
      </c>
      <c r="GK1640" s="4">
        <v>341</v>
      </c>
      <c r="GL1640" s="4">
        <v>340</v>
      </c>
      <c r="GM1640" s="4">
        <v>339</v>
      </c>
      <c r="GN1640" s="4">
        <v>338</v>
      </c>
      <c r="GO1640" s="4">
        <v>336</v>
      </c>
      <c r="GP1640" s="4">
        <v>334</v>
      </c>
      <c r="GQ1640" s="4">
        <v>330</v>
      </c>
      <c r="GR1640" s="4">
        <v>326</v>
      </c>
      <c r="GS1640" s="4">
        <v>324</v>
      </c>
      <c r="GT1640" s="4">
        <v>323</v>
      </c>
      <c r="GU1640" s="4">
        <v>322</v>
      </c>
      <c r="GV1640" s="4">
        <v>321</v>
      </c>
      <c r="GW1640" s="4">
        <v>320</v>
      </c>
      <c r="GX1640" s="4">
        <v>319</v>
      </c>
      <c r="GY1640" s="4">
        <v>318</v>
      </c>
      <c r="GZ1640" s="4">
        <v>317</v>
      </c>
      <c r="HA1640" s="4">
        <v>316</v>
      </c>
      <c r="HB1640" s="4">
        <v>315</v>
      </c>
      <c r="HC1640" s="4">
        <v>314</v>
      </c>
      <c r="HD1640" s="19">
        <v>349</v>
      </c>
      <c r="HE1640" s="19">
        <v>347</v>
      </c>
      <c r="HF1640" s="19">
        <v>346</v>
      </c>
      <c r="HG1640" s="19">
        <v>345</v>
      </c>
      <c r="HH1640" s="19">
        <v>344</v>
      </c>
      <c r="HI1640" s="19">
        <v>343</v>
      </c>
      <c r="HJ1640" s="19">
        <v>342</v>
      </c>
      <c r="HK1640" s="19">
        <v>341</v>
      </c>
      <c r="HL1640" s="19">
        <v>170</v>
      </c>
      <c r="HM1640" s="19">
        <v>169.5</v>
      </c>
      <c r="HN1640" s="19">
        <v>112.7</v>
      </c>
      <c r="HO1640" s="19">
        <v>112</v>
      </c>
      <c r="HP1640" s="19">
        <v>111.3</v>
      </c>
      <c r="HQ1640" s="19">
        <v>165</v>
      </c>
      <c r="HR1640" s="19">
        <v>326</v>
      </c>
      <c r="HS1640" s="19">
        <v>324</v>
      </c>
      <c r="HT1640" s="19">
        <v>323</v>
      </c>
      <c r="HU1640" s="19">
        <v>322</v>
      </c>
      <c r="HV1640" s="19">
        <v>321</v>
      </c>
      <c r="HW1640" s="19">
        <v>320</v>
      </c>
      <c r="HX1640" s="19">
        <v>319</v>
      </c>
      <c r="HY1640" s="19">
        <v>318</v>
      </c>
      <c r="HZ1640" s="19">
        <v>317</v>
      </c>
      <c r="IA1640" s="19">
        <v>316</v>
      </c>
      <c r="IB1640" s="19">
        <v>315</v>
      </c>
      <c r="IC1640" s="19">
        <v>314</v>
      </c>
    </row>
    <row r="1641">
      <c r="A1641" s="2" t="s">
        <v>6071</v>
      </c>
      <c r="B1641" s="2" t="s">
        <v>323</v>
      </c>
      <c r="C1641" s="2" t="s">
        <v>853</v>
      </c>
      <c r="D1641" s="2" t="s">
        <v>257</v>
      </c>
      <c r="E1641" s="2" t="s">
        <v>258</v>
      </c>
      <c r="F1641" s="2" t="s">
        <v>2919</v>
      </c>
      <c r="G1641" s="2" t="s">
        <v>2919</v>
      </c>
      <c r="H1641" s="2" t="s">
        <v>2919</v>
      </c>
      <c r="I1641" s="2" t="s">
        <v>6064</v>
      </c>
      <c r="J1641" s="2" t="s">
        <v>261</v>
      </c>
      <c r="K1641" s="2" t="s">
        <v>6065</v>
      </c>
      <c r="L1641" s="3">
        <v>14.85</v>
      </c>
      <c r="M1641" s="3">
        <v>15.59</v>
      </c>
      <c r="N1641" s="3">
        <v>32.99</v>
      </c>
      <c r="O1641" s="2" t="s">
        <v>407</v>
      </c>
      <c r="P1641" s="2" t="s">
        <v>408</v>
      </c>
      <c r="Q1641" s="2" t="s">
        <v>234</v>
      </c>
      <c r="R1641" s="2" t="s">
        <v>235</v>
      </c>
      <c r="S1641" s="2" t="s">
        <v>6066</v>
      </c>
      <c r="T1641" s="2" t="s">
        <v>501</v>
      </c>
      <c r="U1641" s="2" t="s">
        <v>235</v>
      </c>
      <c r="V1641" s="2" t="s">
        <v>2919</v>
      </c>
      <c r="W1641" s="2" t="s">
        <v>239</v>
      </c>
      <c r="X1641" s="2" t="s">
        <v>235</v>
      </c>
      <c r="Y1641" s="2" t="s">
        <v>6067</v>
      </c>
      <c r="Z1641" s="4">
        <v>36</v>
      </c>
      <c r="AA1641" s="4">
        <f>=ROUNDDOWN(18.9473684210526,0)</f>
      </c>
      <c r="AB1641" s="5">
        <v>1.9</v>
      </c>
      <c r="AC1641" s="2" t="s">
        <v>235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235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235</v>
      </c>
      <c r="AW1641" s="8" t="s">
        <v>235</v>
      </c>
      <c r="AX1641" s="4" t="s">
        <v>235</v>
      </c>
      <c r="AY1641" s="8" t="s">
        <v>235</v>
      </c>
      <c r="AZ1641" s="7" t="s">
        <v>235</v>
      </c>
      <c r="BA1641" s="7" t="s">
        <v>235</v>
      </c>
      <c r="BB1641" s="7"/>
      <c r="BC1641" s="4" t="s">
        <v>235</v>
      </c>
      <c r="BD1641" s="8" t="s">
        <v>235</v>
      </c>
      <c r="BE1641" s="4" t="s">
        <v>235</v>
      </c>
      <c r="BF1641" s="8" t="s">
        <v>235</v>
      </c>
      <c r="BG1641" s="7" t="s">
        <v>235</v>
      </c>
      <c r="BH1641" s="7" t="s">
        <v>235</v>
      </c>
      <c r="BI1641" s="7"/>
      <c r="BJ1641" s="4">
        <v>10</v>
      </c>
      <c r="BK1641" s="8">
        <v>152.98</v>
      </c>
      <c r="BL1641" s="2" t="s">
        <v>2820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6068</v>
      </c>
      <c r="BV1641" s="2" t="s">
        <v>243</v>
      </c>
      <c r="BW1641" s="2" t="s">
        <v>235</v>
      </c>
      <c r="BX1641" s="2" t="s">
        <v>414</v>
      </c>
      <c r="BY1641" s="2" t="s">
        <v>245</v>
      </c>
      <c r="BZ1641" s="2" t="s">
        <v>232</v>
      </c>
      <c r="CA1641" s="2" t="s">
        <v>5671</v>
      </c>
      <c r="CB1641" s="2" t="s">
        <v>6072</v>
      </c>
      <c r="CC1641" s="2" t="s">
        <v>248</v>
      </c>
      <c r="CD1641" s="2" t="s">
        <v>248</v>
      </c>
      <c r="CE1641" s="2" t="s">
        <v>235</v>
      </c>
      <c r="CF1641" s="4">
        <v>36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>
        <v>37</v>
      </c>
      <c r="GE1641" s="4">
        <v>36</v>
      </c>
      <c r="GF1641" s="4">
        <v>32</v>
      </c>
      <c r="GG1641" s="4">
        <v>31</v>
      </c>
      <c r="GH1641" s="4">
        <v>30</v>
      </c>
      <c r="GI1641" s="4">
        <v>29</v>
      </c>
      <c r="GJ1641" s="4">
        <v>28</v>
      </c>
      <c r="GK1641" s="4">
        <v>25</v>
      </c>
      <c r="GL1641" s="4">
        <v>21</v>
      </c>
      <c r="GM1641" s="4">
        <v>18</v>
      </c>
      <c r="GN1641" s="4">
        <v>16</v>
      </c>
      <c r="GO1641" s="4">
        <v>13</v>
      </c>
      <c r="GP1641" s="4">
        <v>11</v>
      </c>
      <c r="GQ1641" s="4">
        <v>7</v>
      </c>
      <c r="GR1641" s="4">
        <v>3</v>
      </c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19">
        <v>18.5</v>
      </c>
      <c r="HE1641" s="19">
        <v>18</v>
      </c>
      <c r="HF1641" s="19">
        <v>32</v>
      </c>
      <c r="HG1641" s="19">
        <v>15.5</v>
      </c>
      <c r="HH1641" s="19">
        <v>15</v>
      </c>
      <c r="HI1641" s="19">
        <v>9.7</v>
      </c>
      <c r="HJ1641" s="19">
        <v>9.3</v>
      </c>
      <c r="HK1641" s="19">
        <v>8.3</v>
      </c>
      <c r="HL1641" s="19">
        <v>10.5</v>
      </c>
      <c r="HM1641" s="19">
        <v>6</v>
      </c>
      <c r="HN1641" s="19">
        <v>5.3</v>
      </c>
      <c r="HO1641" s="19">
        <v>4.3</v>
      </c>
      <c r="HP1641" s="19">
        <v>3.7</v>
      </c>
      <c r="HQ1641" s="19">
        <v>3.5</v>
      </c>
      <c r="HR1641" s="19">
        <v>1.5</v>
      </c>
      <c r="HS1641" s="20">
        <v>0</v>
      </c>
      <c r="HT1641" s="20">
        <v>0</v>
      </c>
      <c r="HU1641" s="20">
        <v>0</v>
      </c>
      <c r="HV1641" s="20">
        <v>0</v>
      </c>
      <c r="HW1641" s="20">
        <v>0</v>
      </c>
      <c r="HX1641" s="20">
        <v>0</v>
      </c>
      <c r="HY1641" s="20">
        <v>0</v>
      </c>
      <c r="HZ1641" s="20">
        <v>0</v>
      </c>
      <c r="IA1641" s="20">
        <v>0</v>
      </c>
      <c r="IB1641" s="20">
        <v>0</v>
      </c>
      <c r="IC1641" s="20">
        <v>0</v>
      </c>
    </row>
    <row r="1642">
      <c r="A1642" s="2" t="s">
        <v>6073</v>
      </c>
      <c r="B1642" s="2" t="s">
        <v>323</v>
      </c>
      <c r="C1642" s="2" t="s">
        <v>853</v>
      </c>
      <c r="D1642" s="2" t="s">
        <v>257</v>
      </c>
      <c r="E1642" s="2" t="s">
        <v>258</v>
      </c>
      <c r="F1642" s="2" t="s">
        <v>2919</v>
      </c>
      <c r="G1642" s="2" t="s">
        <v>2919</v>
      </c>
      <c r="H1642" s="2" t="s">
        <v>2919</v>
      </c>
      <c r="I1642" s="2" t="s">
        <v>6064</v>
      </c>
      <c r="J1642" s="2" t="s">
        <v>6074</v>
      </c>
      <c r="K1642" s="2" t="s">
        <v>6075</v>
      </c>
      <c r="L1642" s="3">
        <v>14.05</v>
      </c>
      <c r="M1642" s="3">
        <v>14.75</v>
      </c>
      <c r="N1642" s="3">
        <v>29.99</v>
      </c>
      <c r="O1642" s="2" t="s">
        <v>232</v>
      </c>
      <c r="P1642" s="2" t="s">
        <v>233</v>
      </c>
      <c r="Q1642" s="2" t="s">
        <v>234</v>
      </c>
      <c r="R1642" s="2" t="s">
        <v>235</v>
      </c>
      <c r="S1642" s="2" t="s">
        <v>6076</v>
      </c>
      <c r="T1642" s="2" t="s">
        <v>501</v>
      </c>
      <c r="U1642" s="2" t="s">
        <v>552</v>
      </c>
      <c r="V1642" s="2" t="s">
        <v>2919</v>
      </c>
      <c r="W1642" s="2" t="s">
        <v>239</v>
      </c>
      <c r="X1642" s="2" t="s">
        <v>235</v>
      </c>
      <c r="Y1642" s="2" t="s">
        <v>6067</v>
      </c>
      <c r="Z1642" s="4">
        <v>230</v>
      </c>
      <c r="AA1642" s="4">
        <f>=ROUNDDOWN(230,0)</f>
      </c>
      <c r="AB1642" s="5">
        <v>1</v>
      </c>
      <c r="AC1642" s="2" t="s">
        <v>235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235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235</v>
      </c>
      <c r="BD1642" s="8" t="s">
        <v>235</v>
      </c>
      <c r="BE1642" s="4" t="s">
        <v>235</v>
      </c>
      <c r="BF1642" s="8" t="s">
        <v>235</v>
      </c>
      <c r="BG1642" s="7" t="s">
        <v>235</v>
      </c>
      <c r="BH1642" s="7" t="s">
        <v>235</v>
      </c>
      <c r="BI1642" s="7"/>
      <c r="BJ1642" s="4">
        <v>2</v>
      </c>
      <c r="BK1642" s="8">
        <v>29.44</v>
      </c>
      <c r="BL1642" s="2" t="s">
        <v>1625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6068</v>
      </c>
      <c r="BV1642" s="2" t="s">
        <v>243</v>
      </c>
      <c r="BW1642" s="2" t="s">
        <v>235</v>
      </c>
      <c r="BX1642" s="2" t="s">
        <v>244</v>
      </c>
      <c r="BY1642" s="2" t="s">
        <v>245</v>
      </c>
      <c r="BZ1642" s="2" t="s">
        <v>232</v>
      </c>
      <c r="CA1642" s="2" t="s">
        <v>5671</v>
      </c>
      <c r="CB1642" s="2" t="s">
        <v>6077</v>
      </c>
      <c r="CC1642" s="2" t="s">
        <v>248</v>
      </c>
      <c r="CD1642" s="2" t="s">
        <v>248</v>
      </c>
      <c r="CE1642" s="2" t="s">
        <v>235</v>
      </c>
      <c r="CF1642" s="4">
        <v>230</v>
      </c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>
        <v>230</v>
      </c>
      <c r="GE1642" s="4">
        <v>229</v>
      </c>
      <c r="GF1642" s="4">
        <v>228</v>
      </c>
      <c r="GG1642" s="4">
        <v>227</v>
      </c>
      <c r="GH1642" s="4">
        <v>226</v>
      </c>
      <c r="GI1642" s="4">
        <v>225</v>
      </c>
      <c r="GJ1642" s="4">
        <v>224</v>
      </c>
      <c r="GK1642" s="4">
        <v>223</v>
      </c>
      <c r="GL1642" s="4">
        <v>222</v>
      </c>
      <c r="GM1642" s="4">
        <v>221</v>
      </c>
      <c r="GN1642" s="4">
        <v>220</v>
      </c>
      <c r="GO1642" s="4">
        <v>219</v>
      </c>
      <c r="GP1642" s="4">
        <v>217</v>
      </c>
      <c r="GQ1642" s="4">
        <v>216</v>
      </c>
      <c r="GR1642" s="4">
        <v>215</v>
      </c>
      <c r="GS1642" s="4">
        <v>214</v>
      </c>
      <c r="GT1642" s="4">
        <v>213</v>
      </c>
      <c r="GU1642" s="4">
        <v>212</v>
      </c>
      <c r="GV1642" s="4">
        <v>211</v>
      </c>
      <c r="GW1642" s="4">
        <v>210</v>
      </c>
      <c r="GX1642" s="4">
        <v>209</v>
      </c>
      <c r="GY1642" s="4">
        <v>208</v>
      </c>
      <c r="GZ1642" s="4">
        <v>207</v>
      </c>
      <c r="HA1642" s="4">
        <v>206</v>
      </c>
      <c r="HB1642" s="4">
        <v>205</v>
      </c>
      <c r="HC1642" s="4">
        <v>204</v>
      </c>
      <c r="HD1642" s="19">
        <v>230</v>
      </c>
      <c r="HE1642" s="19">
        <v>229</v>
      </c>
      <c r="HF1642" s="19">
        <v>228</v>
      </c>
      <c r="HG1642" s="19">
        <v>227</v>
      </c>
      <c r="HH1642" s="19">
        <v>226</v>
      </c>
      <c r="HI1642" s="19">
        <v>225</v>
      </c>
      <c r="HJ1642" s="19">
        <v>224</v>
      </c>
      <c r="HK1642" s="19">
        <v>223</v>
      </c>
      <c r="HL1642" s="19">
        <v>222</v>
      </c>
      <c r="HM1642" s="19">
        <v>221</v>
      </c>
      <c r="HN1642" s="19">
        <v>220</v>
      </c>
      <c r="HO1642" s="19">
        <v>219</v>
      </c>
      <c r="HP1642" s="19">
        <v>217</v>
      </c>
      <c r="HQ1642" s="19">
        <v>216</v>
      </c>
      <c r="HR1642" s="19">
        <v>215</v>
      </c>
      <c r="HS1642" s="19">
        <v>214</v>
      </c>
      <c r="HT1642" s="19">
        <v>213</v>
      </c>
      <c r="HU1642" s="19">
        <v>212</v>
      </c>
      <c r="HV1642" s="19">
        <v>211</v>
      </c>
      <c r="HW1642" s="19">
        <v>210</v>
      </c>
      <c r="HX1642" s="19">
        <v>209</v>
      </c>
      <c r="HY1642" s="19">
        <v>208</v>
      </c>
      <c r="HZ1642" s="19">
        <v>207</v>
      </c>
      <c r="IA1642" s="19">
        <v>206</v>
      </c>
      <c r="IB1642" s="19">
        <v>205</v>
      </c>
      <c r="IC1642" s="19">
        <v>204</v>
      </c>
    </row>
    <row r="1643">
      <c r="A1643" s="2" t="s">
        <v>6078</v>
      </c>
      <c r="B1643" s="2" t="s">
        <v>605</v>
      </c>
      <c r="C1643" s="2" t="s">
        <v>678</v>
      </c>
      <c r="D1643" s="2" t="s">
        <v>607</v>
      </c>
      <c r="E1643" s="2" t="s">
        <v>608</v>
      </c>
      <c r="F1643" s="2" t="s">
        <v>6079</v>
      </c>
      <c r="G1643" s="2" t="s">
        <v>6079</v>
      </c>
      <c r="H1643" s="2" t="s">
        <v>6079</v>
      </c>
      <c r="I1643" s="2" t="s">
        <v>6080</v>
      </c>
      <c r="J1643" s="2" t="s">
        <v>611</v>
      </c>
      <c r="K1643" s="2" t="s">
        <v>338</v>
      </c>
      <c r="L1643" s="3">
        <v>36.5</v>
      </c>
      <c r="M1643" s="3">
        <v>38.33</v>
      </c>
      <c r="N1643" s="3">
        <v>79.99</v>
      </c>
      <c r="O1643" s="2" t="s">
        <v>407</v>
      </c>
      <c r="P1643" s="2" t="s">
        <v>408</v>
      </c>
      <c r="Q1643" s="2" t="s">
        <v>234</v>
      </c>
      <c r="R1643" s="2" t="s">
        <v>235</v>
      </c>
      <c r="S1643" s="2" t="s">
        <v>6081</v>
      </c>
      <c r="T1643" s="2" t="s">
        <v>263</v>
      </c>
      <c r="U1643" s="2" t="s">
        <v>614</v>
      </c>
      <c r="V1643" s="2" t="s">
        <v>238</v>
      </c>
      <c r="W1643" s="2" t="s">
        <v>329</v>
      </c>
      <c r="X1643" s="2" t="s">
        <v>235</v>
      </c>
      <c r="Y1643" s="2" t="s">
        <v>6082</v>
      </c>
      <c r="Z1643" s="4">
        <v>218</v>
      </c>
      <c r="AA1643" s="4">
        <f>=ROUNDDOWN(24.2222222222222,0)</f>
      </c>
      <c r="AB1643" s="5">
        <v>9</v>
      </c>
      <c r="AC1643" s="2" t="s">
        <v>235</v>
      </c>
      <c r="AD1643" s="4"/>
      <c r="AE1643" s="4"/>
      <c r="AF1643" s="6">
        <v>78</v>
      </c>
      <c r="AG1643" s="6"/>
      <c r="AH1643" s="7">
        <v>1</v>
      </c>
      <c r="AI1643" s="4"/>
      <c r="AJ1643" s="4">
        <f>=ROUNDDOWN({0},0)</f>
      </c>
      <c r="AK1643" s="5"/>
      <c r="AL1643" s="2" t="s">
        <v>235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/>
      <c r="BD1643" s="8"/>
      <c r="BE1643" s="4"/>
      <c r="BF1643" s="8"/>
      <c r="BG1643" s="7"/>
      <c r="BH1643" s="7"/>
      <c r="BI1643" s="7"/>
      <c r="BJ1643" s="4">
        <v>15</v>
      </c>
      <c r="BK1643" s="8">
        <v>596.37</v>
      </c>
      <c r="BL1643" s="2" t="s">
        <v>6083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6084</v>
      </c>
      <c r="BV1643" s="2" t="s">
        <v>618</v>
      </c>
      <c r="BW1643" s="2" t="s">
        <v>235</v>
      </c>
      <c r="BX1643" s="2" t="s">
        <v>414</v>
      </c>
      <c r="BY1643" s="2" t="s">
        <v>245</v>
      </c>
      <c r="BZ1643" s="2" t="s">
        <v>232</v>
      </c>
      <c r="CA1643" s="2" t="s">
        <v>1905</v>
      </c>
      <c r="CB1643" s="2" t="s">
        <v>429</v>
      </c>
      <c r="CC1643" s="2" t="s">
        <v>248</v>
      </c>
      <c r="CD1643" s="2" t="s">
        <v>248</v>
      </c>
      <c r="CE1643" s="2" t="s">
        <v>235</v>
      </c>
      <c r="CF1643" s="4">
        <v>218</v>
      </c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>
        <v>226</v>
      </c>
      <c r="GE1643" s="4">
        <v>204</v>
      </c>
      <c r="GF1643" s="4">
        <v>197</v>
      </c>
      <c r="GG1643" s="4">
        <v>190</v>
      </c>
      <c r="GH1643" s="4">
        <v>183</v>
      </c>
      <c r="GI1643" s="4">
        <v>176</v>
      </c>
      <c r="GJ1643" s="4">
        <v>167</v>
      </c>
      <c r="GK1643" s="4">
        <v>158</v>
      </c>
      <c r="GL1643" s="4">
        <v>150</v>
      </c>
      <c r="GM1643" s="4">
        <v>142</v>
      </c>
      <c r="GN1643" s="4">
        <v>134</v>
      </c>
      <c r="GO1643" s="4">
        <v>124</v>
      </c>
      <c r="GP1643" s="4">
        <v>109</v>
      </c>
      <c r="GQ1643" s="4">
        <v>90</v>
      </c>
      <c r="GR1643" s="4">
        <v>69</v>
      </c>
      <c r="GS1643" s="4">
        <v>54</v>
      </c>
      <c r="GT1643" s="4">
        <v>42</v>
      </c>
      <c r="GU1643" s="4">
        <v>35</v>
      </c>
      <c r="GV1643" s="4">
        <v>28</v>
      </c>
      <c r="GW1643" s="4">
        <v>21</v>
      </c>
      <c r="GX1643" s="4">
        <v>14</v>
      </c>
      <c r="GY1643" s="4">
        <v>7</v>
      </c>
      <c r="GZ1643" s="4"/>
      <c r="HA1643" s="4"/>
      <c r="HB1643" s="4"/>
      <c r="HC1643" s="4"/>
      <c r="HD1643" s="19">
        <v>20.5</v>
      </c>
      <c r="HE1643" s="19">
        <v>29.1</v>
      </c>
      <c r="HF1643" s="19">
        <v>24.6</v>
      </c>
      <c r="HG1643" s="19">
        <v>23.8</v>
      </c>
      <c r="HH1643" s="19">
        <v>22.9</v>
      </c>
      <c r="HI1643" s="19">
        <v>22</v>
      </c>
      <c r="HJ1643" s="19">
        <v>20.9</v>
      </c>
      <c r="HK1643" s="19">
        <v>19.8</v>
      </c>
      <c r="HL1643" s="19">
        <v>15</v>
      </c>
      <c r="HM1643" s="19">
        <v>10.9</v>
      </c>
      <c r="HN1643" s="19">
        <v>8.4</v>
      </c>
      <c r="HO1643" s="19">
        <v>6.9</v>
      </c>
      <c r="HP1643" s="19">
        <v>6.4</v>
      </c>
      <c r="HQ1643" s="19">
        <v>6.4</v>
      </c>
      <c r="HR1643" s="19">
        <v>6.9</v>
      </c>
      <c r="HS1643" s="19">
        <v>6.8</v>
      </c>
      <c r="HT1643" s="19">
        <v>6</v>
      </c>
      <c r="HU1643" s="19">
        <v>5</v>
      </c>
      <c r="HV1643" s="19">
        <v>3.5</v>
      </c>
      <c r="HW1643" s="19">
        <v>2.6</v>
      </c>
      <c r="HX1643" s="19">
        <v>1.8</v>
      </c>
      <c r="HY1643" s="19">
        <v>0.8</v>
      </c>
      <c r="HZ1643" s="20">
        <v>0</v>
      </c>
      <c r="IA1643" s="20">
        <v>0</v>
      </c>
      <c r="IB1643" s="20">
        <v>0</v>
      </c>
      <c r="IC1643" s="20">
        <v>0</v>
      </c>
    </row>
    <row r="1644">
      <c r="A1644" s="2" t="s">
        <v>6085</v>
      </c>
      <c r="B1644" s="2" t="s">
        <v>605</v>
      </c>
      <c r="C1644" s="2" t="s">
        <v>482</v>
      </c>
      <c r="D1644" s="2" t="s">
        <v>607</v>
      </c>
      <c r="E1644" s="2" t="s">
        <v>608</v>
      </c>
      <c r="F1644" s="2" t="s">
        <v>6086</v>
      </c>
      <c r="G1644" s="2" t="s">
        <v>6086</v>
      </c>
      <c r="H1644" s="2" t="s">
        <v>6086</v>
      </c>
      <c r="I1644" s="2" t="s">
        <v>6087</v>
      </c>
      <c r="J1644" s="2" t="s">
        <v>611</v>
      </c>
      <c r="K1644" s="2" t="s">
        <v>1238</v>
      </c>
      <c r="L1644" s="3">
        <v>23.09</v>
      </c>
      <c r="M1644" s="3">
        <v>24.24</v>
      </c>
      <c r="N1644" s="3">
        <v>54.99</v>
      </c>
      <c r="O1644" s="2" t="s">
        <v>232</v>
      </c>
      <c r="P1644" s="2" t="s">
        <v>233</v>
      </c>
      <c r="Q1644" s="2" t="s">
        <v>234</v>
      </c>
      <c r="R1644" s="2" t="s">
        <v>235</v>
      </c>
      <c r="S1644" s="2" t="s">
        <v>6088</v>
      </c>
      <c r="T1644" s="2" t="s">
        <v>263</v>
      </c>
      <c r="U1644" s="2" t="s">
        <v>614</v>
      </c>
      <c r="V1644" s="2" t="s">
        <v>238</v>
      </c>
      <c r="W1644" s="2" t="s">
        <v>239</v>
      </c>
      <c r="X1644" s="2" t="s">
        <v>682</v>
      </c>
      <c r="Y1644" s="2" t="s">
        <v>5948</v>
      </c>
      <c r="Z1644" s="4">
        <v>360</v>
      </c>
      <c r="AA1644" s="4">
        <f>=ROUNDDOWN(18.4615384615385,0)</f>
      </c>
      <c r="AB1644" s="5">
        <v>19.5</v>
      </c>
      <c r="AC1644" s="2" t="s">
        <v>6089</v>
      </c>
      <c r="AD1644" s="4">
        <v>570</v>
      </c>
      <c r="AE1644" s="4">
        <v>570</v>
      </c>
      <c r="AF1644" s="6">
        <v>81</v>
      </c>
      <c r="AG1644" s="6"/>
      <c r="AH1644" s="7">
        <v>1</v>
      </c>
      <c r="AI1644" s="4"/>
      <c r="AJ1644" s="4">
        <f>=ROUNDDOWN({0},0)</f>
      </c>
      <c r="AK1644" s="5"/>
      <c r="AL1644" s="2" t="s">
        <v>235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235</v>
      </c>
      <c r="BD1644" s="8" t="s">
        <v>235</v>
      </c>
      <c r="BE1644" s="4" t="s">
        <v>235</v>
      </c>
      <c r="BF1644" s="8" t="s">
        <v>235</v>
      </c>
      <c r="BG1644" s="7" t="s">
        <v>235</v>
      </c>
      <c r="BH1644" s="7" t="s">
        <v>235</v>
      </c>
      <c r="BI1644" s="7"/>
      <c r="BJ1644" s="4">
        <v>78</v>
      </c>
      <c r="BK1644" s="8">
        <v>1943.72</v>
      </c>
      <c r="BL1644" s="2" t="s">
        <v>6090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6091</v>
      </c>
      <c r="BV1644" s="2" t="s">
        <v>618</v>
      </c>
      <c r="BW1644" s="2" t="s">
        <v>235</v>
      </c>
      <c r="BX1644" s="2" t="s">
        <v>244</v>
      </c>
      <c r="BY1644" s="2" t="s">
        <v>245</v>
      </c>
      <c r="BZ1644" s="2" t="s">
        <v>232</v>
      </c>
      <c r="CA1644" s="2" t="s">
        <v>5018</v>
      </c>
      <c r="CB1644" s="2" t="s">
        <v>1725</v>
      </c>
      <c r="CC1644" s="2" t="s">
        <v>248</v>
      </c>
      <c r="CD1644" s="2" t="s">
        <v>248</v>
      </c>
      <c r="CE1644" s="2" t="s">
        <v>235</v>
      </c>
      <c r="CF1644" s="4">
        <v>360</v>
      </c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>
        <v>570</v>
      </c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>
        <v>369</v>
      </c>
      <c r="GE1644" s="4">
        <v>341</v>
      </c>
      <c r="GF1644" s="4">
        <v>325</v>
      </c>
      <c r="GG1644" s="4">
        <v>309</v>
      </c>
      <c r="GH1644" s="4">
        <v>293</v>
      </c>
      <c r="GI1644" s="4">
        <v>277</v>
      </c>
      <c r="GJ1644" s="4">
        <v>259</v>
      </c>
      <c r="GK1644" s="4">
        <v>241</v>
      </c>
      <c r="GL1644" s="4">
        <v>223</v>
      </c>
      <c r="GM1644" s="4">
        <v>205</v>
      </c>
      <c r="GN1644" s="4">
        <v>187</v>
      </c>
      <c r="GO1644" s="4">
        <v>165</v>
      </c>
      <c r="GP1644" s="4">
        <v>131</v>
      </c>
      <c r="GQ1644" s="4">
        <v>657</v>
      </c>
      <c r="GR1644" s="4">
        <v>607</v>
      </c>
      <c r="GS1644" s="4">
        <v>571</v>
      </c>
      <c r="GT1644" s="4">
        <v>543</v>
      </c>
      <c r="GU1644" s="4">
        <v>527</v>
      </c>
      <c r="GV1644" s="4">
        <v>511</v>
      </c>
      <c r="GW1644" s="4">
        <v>495</v>
      </c>
      <c r="GX1644" s="4">
        <v>479</v>
      </c>
      <c r="GY1644" s="4">
        <v>463</v>
      </c>
      <c r="GZ1644" s="4">
        <v>443</v>
      </c>
      <c r="HA1644" s="4">
        <v>423</v>
      </c>
      <c r="HB1644" s="4">
        <v>403</v>
      </c>
      <c r="HC1644" s="4">
        <v>383</v>
      </c>
      <c r="HD1644" s="19">
        <v>19.4</v>
      </c>
      <c r="HE1644" s="19">
        <v>21.3</v>
      </c>
      <c r="HF1644" s="19">
        <v>20.3</v>
      </c>
      <c r="HG1644" s="19">
        <v>18.2</v>
      </c>
      <c r="HH1644" s="19">
        <v>16.3</v>
      </c>
      <c r="HI1644" s="19">
        <v>15.4</v>
      </c>
      <c r="HJ1644" s="19">
        <v>14.4</v>
      </c>
      <c r="HK1644" s="19">
        <v>12.7</v>
      </c>
      <c r="HL1644" s="19">
        <v>9.7</v>
      </c>
      <c r="HM1644" s="19">
        <v>6.8</v>
      </c>
      <c r="HN1644" s="19">
        <v>4.9</v>
      </c>
      <c r="HO1644" s="19">
        <v>4</v>
      </c>
      <c r="HP1644" s="19">
        <v>3.3</v>
      </c>
      <c r="HQ1644" s="19">
        <v>20.5</v>
      </c>
      <c r="HR1644" s="19">
        <v>25.3</v>
      </c>
      <c r="HS1644" s="19">
        <v>30.1</v>
      </c>
      <c r="HT1644" s="19">
        <v>33.9</v>
      </c>
      <c r="HU1644" s="19">
        <v>32.9</v>
      </c>
      <c r="HV1644" s="19">
        <v>30.1</v>
      </c>
      <c r="HW1644" s="19">
        <v>27.5</v>
      </c>
      <c r="HX1644" s="19">
        <v>25.2</v>
      </c>
      <c r="HY1644" s="19">
        <v>23.2</v>
      </c>
      <c r="HZ1644" s="19">
        <v>22.2</v>
      </c>
      <c r="IA1644" s="19">
        <v>21.2</v>
      </c>
      <c r="IB1644" s="19">
        <v>20.2</v>
      </c>
      <c r="IC1644" s="19">
        <v>19.2</v>
      </c>
    </row>
    <row r="1645">
      <c r="A1645" s="2" t="s">
        <v>6092</v>
      </c>
      <c r="B1645" s="2" t="s">
        <v>605</v>
      </c>
      <c r="C1645" s="2" t="s">
        <v>482</v>
      </c>
      <c r="D1645" s="2" t="s">
        <v>607</v>
      </c>
      <c r="E1645" s="2" t="s">
        <v>608</v>
      </c>
      <c r="F1645" s="2" t="s">
        <v>6086</v>
      </c>
      <c r="G1645" s="2" t="s">
        <v>6086</v>
      </c>
      <c r="H1645" s="2" t="s">
        <v>6086</v>
      </c>
      <c r="I1645" s="2" t="s">
        <v>6087</v>
      </c>
      <c r="J1645" s="2" t="s">
        <v>611</v>
      </c>
      <c r="K1645" s="2" t="s">
        <v>1169</v>
      </c>
      <c r="L1645" s="3">
        <v>23.09</v>
      </c>
      <c r="M1645" s="3">
        <v>24.24</v>
      </c>
      <c r="N1645" s="3">
        <v>54.99</v>
      </c>
      <c r="O1645" s="2" t="s">
        <v>232</v>
      </c>
      <c r="P1645" s="2" t="s">
        <v>233</v>
      </c>
      <c r="Q1645" s="2" t="s">
        <v>234</v>
      </c>
      <c r="R1645" s="2" t="s">
        <v>235</v>
      </c>
      <c r="S1645" s="2" t="s">
        <v>6093</v>
      </c>
      <c r="T1645" s="2" t="s">
        <v>263</v>
      </c>
      <c r="U1645" s="2" t="s">
        <v>614</v>
      </c>
      <c r="V1645" s="2" t="s">
        <v>238</v>
      </c>
      <c r="W1645" s="2" t="s">
        <v>239</v>
      </c>
      <c r="X1645" s="2" t="s">
        <v>682</v>
      </c>
      <c r="Y1645" s="2" t="s">
        <v>5948</v>
      </c>
      <c r="Z1645" s="4">
        <v>287</v>
      </c>
      <c r="AA1645" s="4">
        <f>=ROUNDDOWN(41,0)</f>
      </c>
      <c r="AB1645" s="5">
        <v>7</v>
      </c>
      <c r="AC1645" s="2" t="s">
        <v>235</v>
      </c>
      <c r="AD1645" s="4"/>
      <c r="AE1645" s="4"/>
      <c r="AF1645" s="6">
        <v>81</v>
      </c>
      <c r="AG1645" s="6"/>
      <c r="AH1645" s="7">
        <v>1</v>
      </c>
      <c r="AI1645" s="4"/>
      <c r="AJ1645" s="4">
        <f>=ROUNDDOWN({0},0)</f>
      </c>
      <c r="AK1645" s="5"/>
      <c r="AL1645" s="2" t="s">
        <v>235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235</v>
      </c>
      <c r="BD1645" s="8" t="s">
        <v>235</v>
      </c>
      <c r="BE1645" s="4" t="s">
        <v>235</v>
      </c>
      <c r="BF1645" s="8" t="s">
        <v>235</v>
      </c>
      <c r="BG1645" s="7" t="s">
        <v>235</v>
      </c>
      <c r="BH1645" s="7" t="s">
        <v>235</v>
      </c>
      <c r="BI1645" s="7"/>
      <c r="BJ1645" s="4">
        <v>50</v>
      </c>
      <c r="BK1645" s="8">
        <v>1252.17</v>
      </c>
      <c r="BL1645" s="2" t="s">
        <v>6094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6091</v>
      </c>
      <c r="BV1645" s="2" t="s">
        <v>618</v>
      </c>
      <c r="BW1645" s="2" t="s">
        <v>235</v>
      </c>
      <c r="BX1645" s="2" t="s">
        <v>244</v>
      </c>
      <c r="BY1645" s="2" t="s">
        <v>245</v>
      </c>
      <c r="BZ1645" s="2" t="s">
        <v>232</v>
      </c>
      <c r="CA1645" s="2" t="s">
        <v>5018</v>
      </c>
      <c r="CB1645" s="2" t="s">
        <v>5012</v>
      </c>
      <c r="CC1645" s="2" t="s">
        <v>248</v>
      </c>
      <c r="CD1645" s="2" t="s">
        <v>248</v>
      </c>
      <c r="CE1645" s="2" t="s">
        <v>235</v>
      </c>
      <c r="CF1645" s="4">
        <v>287</v>
      </c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>
        <v>294</v>
      </c>
      <c r="GE1645" s="4">
        <v>280</v>
      </c>
      <c r="GF1645" s="4">
        <v>274</v>
      </c>
      <c r="GG1645" s="4">
        <v>268</v>
      </c>
      <c r="GH1645" s="4">
        <v>262</v>
      </c>
      <c r="GI1645" s="4">
        <v>256</v>
      </c>
      <c r="GJ1645" s="4">
        <v>250</v>
      </c>
      <c r="GK1645" s="4">
        <v>244</v>
      </c>
      <c r="GL1645" s="4">
        <v>238</v>
      </c>
      <c r="GM1645" s="4">
        <v>232</v>
      </c>
      <c r="GN1645" s="4">
        <v>226</v>
      </c>
      <c r="GO1645" s="4">
        <v>218</v>
      </c>
      <c r="GP1645" s="4">
        <v>206</v>
      </c>
      <c r="GQ1645" s="4">
        <v>191</v>
      </c>
      <c r="GR1645" s="4">
        <v>173</v>
      </c>
      <c r="GS1645" s="4">
        <v>160</v>
      </c>
      <c r="GT1645" s="4">
        <v>150</v>
      </c>
      <c r="GU1645" s="4">
        <v>144</v>
      </c>
      <c r="GV1645" s="4">
        <v>138</v>
      </c>
      <c r="GW1645" s="4">
        <v>132</v>
      </c>
      <c r="GX1645" s="4">
        <v>126</v>
      </c>
      <c r="GY1645" s="4">
        <v>120</v>
      </c>
      <c r="GZ1645" s="4">
        <v>113</v>
      </c>
      <c r="HA1645" s="4">
        <v>106</v>
      </c>
      <c r="HB1645" s="4">
        <v>99</v>
      </c>
      <c r="HC1645" s="4">
        <v>92</v>
      </c>
      <c r="HD1645" s="19">
        <v>36.8</v>
      </c>
      <c r="HE1645" s="19">
        <v>46.7</v>
      </c>
      <c r="HF1645" s="19">
        <v>45.7</v>
      </c>
      <c r="HG1645" s="19">
        <v>44.7</v>
      </c>
      <c r="HH1645" s="19">
        <v>43.7</v>
      </c>
      <c r="HI1645" s="19">
        <v>42.7</v>
      </c>
      <c r="HJ1645" s="19">
        <v>41.7</v>
      </c>
      <c r="HK1645" s="19">
        <v>40.7</v>
      </c>
      <c r="HL1645" s="19">
        <v>29.8</v>
      </c>
      <c r="HM1645" s="19">
        <v>23.2</v>
      </c>
      <c r="HN1645" s="19">
        <v>17.4</v>
      </c>
      <c r="HO1645" s="19">
        <v>15.6</v>
      </c>
      <c r="HP1645" s="19">
        <v>14.7</v>
      </c>
      <c r="HQ1645" s="19">
        <v>15.9</v>
      </c>
      <c r="HR1645" s="19">
        <v>19.2</v>
      </c>
      <c r="HS1645" s="19">
        <v>22.9</v>
      </c>
      <c r="HT1645" s="19">
        <v>25</v>
      </c>
      <c r="HU1645" s="19">
        <v>24</v>
      </c>
      <c r="HV1645" s="19">
        <v>23</v>
      </c>
      <c r="HW1645" s="19">
        <v>22</v>
      </c>
      <c r="HX1645" s="19">
        <v>18</v>
      </c>
      <c r="HY1645" s="19">
        <v>17.1</v>
      </c>
      <c r="HZ1645" s="19">
        <v>16.1</v>
      </c>
      <c r="IA1645" s="19">
        <v>15.1</v>
      </c>
      <c r="IB1645" s="19">
        <v>14.1</v>
      </c>
      <c r="IC1645" s="19">
        <v>13.1</v>
      </c>
    </row>
    <row r="1646">
      <c r="A1646" s="2" t="s">
        <v>6095</v>
      </c>
      <c r="B1646" s="2" t="s">
        <v>871</v>
      </c>
      <c r="C1646" s="2" t="s">
        <v>360</v>
      </c>
      <c r="D1646" s="2" t="s">
        <v>361</v>
      </c>
      <c r="E1646" s="2" t="s">
        <v>872</v>
      </c>
      <c r="F1646" s="2" t="s">
        <v>6096</v>
      </c>
      <c r="G1646" s="2" t="s">
        <v>6096</v>
      </c>
      <c r="H1646" s="2" t="s">
        <v>6096</v>
      </c>
      <c r="I1646" s="2" t="s">
        <v>6097</v>
      </c>
      <c r="J1646" s="2" t="s">
        <v>365</v>
      </c>
      <c r="K1646" s="2" t="s">
        <v>338</v>
      </c>
      <c r="L1646" s="3">
        <v>150</v>
      </c>
      <c r="M1646" s="3">
        <v>157.5</v>
      </c>
      <c r="N1646" s="3">
        <v>299.99</v>
      </c>
      <c r="O1646" s="2" t="s">
        <v>407</v>
      </c>
      <c r="P1646" s="2" t="s">
        <v>408</v>
      </c>
      <c r="Q1646" s="2" t="s">
        <v>234</v>
      </c>
      <c r="R1646" s="2" t="s">
        <v>235</v>
      </c>
      <c r="S1646" s="2" t="s">
        <v>6098</v>
      </c>
      <c r="T1646" s="2" t="s">
        <v>1298</v>
      </c>
      <c r="U1646" s="2" t="s">
        <v>785</v>
      </c>
      <c r="V1646" s="2" t="s">
        <v>420</v>
      </c>
      <c r="W1646" s="2" t="s">
        <v>682</v>
      </c>
      <c r="X1646" s="2" t="s">
        <v>235</v>
      </c>
      <c r="Y1646" s="2" t="s">
        <v>4012</v>
      </c>
      <c r="Z1646" s="4">
        <v>72</v>
      </c>
      <c r="AA1646" s="4">
        <f>=ROUNDDOWN(180,0)</f>
      </c>
      <c r="AB1646" s="5">
        <v>0.4</v>
      </c>
      <c r="AC1646" s="2" t="s">
        <v>235</v>
      </c>
      <c r="AD1646" s="4"/>
      <c r="AE1646" s="4"/>
      <c r="AF1646" s="6">
        <v>67</v>
      </c>
      <c r="AG1646" s="6"/>
      <c r="AH1646" s="7">
        <v>1</v>
      </c>
      <c r="AI1646" s="4"/>
      <c r="AJ1646" s="4">
        <f>=ROUNDDOWN({0},0)</f>
      </c>
      <c r="AK1646" s="5"/>
      <c r="AL1646" s="2" t="s">
        <v>235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>
        <v>2</v>
      </c>
      <c r="BK1646" s="8">
        <v>309.39</v>
      </c>
      <c r="BL1646" s="2" t="s">
        <v>6099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6100</v>
      </c>
      <c r="BV1646" s="2" t="s">
        <v>243</v>
      </c>
      <c r="BW1646" s="2" t="s">
        <v>235</v>
      </c>
      <c r="BX1646" s="2" t="s">
        <v>414</v>
      </c>
      <c r="BY1646" s="2" t="s">
        <v>245</v>
      </c>
      <c r="BZ1646" s="2" t="s">
        <v>232</v>
      </c>
      <c r="CA1646" s="2" t="s">
        <v>2743</v>
      </c>
      <c r="CB1646" s="2" t="s">
        <v>1376</v>
      </c>
      <c r="CC1646" s="2" t="s">
        <v>248</v>
      </c>
      <c r="CD1646" s="2" t="s">
        <v>248</v>
      </c>
      <c r="CE1646" s="2" t="s">
        <v>235</v>
      </c>
      <c r="CF1646" s="4">
        <v>72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>
        <v>72</v>
      </c>
      <c r="GE1646" s="4">
        <v>72</v>
      </c>
      <c r="GF1646" s="4">
        <v>72</v>
      </c>
      <c r="GG1646" s="4">
        <v>72</v>
      </c>
      <c r="GH1646" s="4">
        <v>72</v>
      </c>
      <c r="GI1646" s="4">
        <v>72</v>
      </c>
      <c r="GJ1646" s="4">
        <v>72</v>
      </c>
      <c r="GK1646" s="4">
        <v>72</v>
      </c>
      <c r="GL1646" s="4">
        <v>72</v>
      </c>
      <c r="GM1646" s="4">
        <v>72</v>
      </c>
      <c r="GN1646" s="4">
        <v>72</v>
      </c>
      <c r="GO1646" s="4">
        <v>72</v>
      </c>
      <c r="GP1646" s="4">
        <v>72</v>
      </c>
      <c r="GQ1646" s="4">
        <v>72</v>
      </c>
      <c r="GR1646" s="4">
        <v>72</v>
      </c>
      <c r="GS1646" s="4">
        <v>72</v>
      </c>
      <c r="GT1646" s="4">
        <v>72</v>
      </c>
      <c r="GU1646" s="4">
        <v>72</v>
      </c>
      <c r="GV1646" s="4">
        <v>72</v>
      </c>
      <c r="GW1646" s="4">
        <v>72</v>
      </c>
      <c r="GX1646" s="4">
        <v>72</v>
      </c>
      <c r="GY1646" s="4">
        <v>72</v>
      </c>
      <c r="GZ1646" s="4">
        <v>72</v>
      </c>
      <c r="HA1646" s="4">
        <v>72</v>
      </c>
      <c r="HB1646" s="4">
        <v>72</v>
      </c>
      <c r="HC1646" s="4">
        <v>72</v>
      </c>
      <c r="HD1646" s="9"/>
      <c r="HE1646" s="9"/>
      <c r="HF1646" s="9"/>
      <c r="HG1646" s="9"/>
      <c r="HH1646" s="9"/>
      <c r="HI1646" s="9"/>
      <c r="HJ1646" s="9"/>
      <c r="HK1646" s="9"/>
      <c r="HL1646" s="9"/>
      <c r="HM1646" s="9"/>
      <c r="HN1646" s="9"/>
      <c r="HO1646" s="9"/>
      <c r="HP1646" s="9"/>
      <c r="HQ1646" s="9"/>
      <c r="HR1646" s="9"/>
      <c r="HS1646" s="9"/>
      <c r="HT1646" s="9"/>
      <c r="HU1646" s="9"/>
      <c r="HV1646" s="9"/>
      <c r="HW1646" s="9"/>
      <c r="HX1646" s="9"/>
      <c r="HY1646" s="9"/>
      <c r="HZ1646" s="9"/>
      <c r="IA1646" s="9"/>
      <c r="IB1646" s="9"/>
      <c r="IC1646" s="9"/>
    </row>
    <row r="1647">
      <c r="A1647" s="2" t="s">
        <v>6101</v>
      </c>
      <c r="B1647" s="2" t="s">
        <v>871</v>
      </c>
      <c r="C1647" s="2" t="s">
        <v>853</v>
      </c>
      <c r="D1647" s="2" t="s">
        <v>361</v>
      </c>
      <c r="E1647" s="2" t="s">
        <v>872</v>
      </c>
      <c r="F1647" s="2" t="s">
        <v>6102</v>
      </c>
      <c r="G1647" s="2" t="s">
        <v>5798</v>
      </c>
      <c r="H1647" s="2" t="s">
        <v>1584</v>
      </c>
      <c r="I1647" s="2" t="s">
        <v>6103</v>
      </c>
      <c r="J1647" s="2" t="s">
        <v>877</v>
      </c>
      <c r="K1647" s="2" t="s">
        <v>287</v>
      </c>
      <c r="L1647" s="3">
        <v>26.72</v>
      </c>
      <c r="M1647" s="3">
        <v>28.06</v>
      </c>
      <c r="N1647" s="3">
        <v>54.99</v>
      </c>
      <c r="O1647" s="2" t="s">
        <v>407</v>
      </c>
      <c r="P1647" s="2" t="s">
        <v>408</v>
      </c>
      <c r="Q1647" s="2" t="s">
        <v>234</v>
      </c>
      <c r="R1647" s="2" t="s">
        <v>235</v>
      </c>
      <c r="S1647" s="2" t="s">
        <v>6104</v>
      </c>
      <c r="T1647" s="2" t="s">
        <v>879</v>
      </c>
      <c r="U1647" s="2" t="s">
        <v>552</v>
      </c>
      <c r="V1647" s="2" t="s">
        <v>238</v>
      </c>
      <c r="W1647" s="2" t="s">
        <v>682</v>
      </c>
      <c r="X1647" s="2" t="s">
        <v>239</v>
      </c>
      <c r="Y1647" s="2" t="s">
        <v>5580</v>
      </c>
      <c r="Z1647" s="4">
        <v>156</v>
      </c>
      <c r="AA1647" s="4">
        <f>=ROUNDDOWN(78,0)</f>
      </c>
      <c r="AB1647" s="5">
        <v>2</v>
      </c>
      <c r="AC1647" s="2" t="s">
        <v>235</v>
      </c>
      <c r="AD1647" s="4"/>
      <c r="AE1647" s="4"/>
      <c r="AF1647" s="6">
        <v>64</v>
      </c>
      <c r="AG1647" s="6"/>
      <c r="AH1647" s="7">
        <v>1</v>
      </c>
      <c r="AI1647" s="4"/>
      <c r="AJ1647" s="4">
        <f>=ROUNDDOWN({0},0)</f>
      </c>
      <c r="AK1647" s="5"/>
      <c r="AL1647" s="2" t="s">
        <v>235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/>
      <c r="BD1647" s="8"/>
      <c r="BE1647" s="4"/>
      <c r="BF1647" s="8"/>
      <c r="BG1647" s="7"/>
      <c r="BH1647" s="7"/>
      <c r="BI1647" s="7"/>
      <c r="BJ1647" s="4">
        <v>9</v>
      </c>
      <c r="BK1647" s="8">
        <v>275.63</v>
      </c>
      <c r="BL1647" s="2" t="s">
        <v>6105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6106</v>
      </c>
      <c r="BV1647" s="2" t="s">
        <v>243</v>
      </c>
      <c r="BW1647" s="2" t="s">
        <v>235</v>
      </c>
      <c r="BX1647" s="2" t="s">
        <v>414</v>
      </c>
      <c r="BY1647" s="2" t="s">
        <v>245</v>
      </c>
      <c r="BZ1647" s="2" t="s">
        <v>232</v>
      </c>
      <c r="CA1647" s="2" t="s">
        <v>2298</v>
      </c>
      <c r="CB1647" s="2" t="s">
        <v>6107</v>
      </c>
      <c r="CC1647" s="2" t="s">
        <v>248</v>
      </c>
      <c r="CD1647" s="2" t="s">
        <v>248</v>
      </c>
      <c r="CE1647" s="2" t="s">
        <v>235</v>
      </c>
      <c r="CF1647" s="4">
        <v>156</v>
      </c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>
        <v>156</v>
      </c>
      <c r="GE1647" s="4">
        <v>154</v>
      </c>
      <c r="GF1647" s="4">
        <v>152</v>
      </c>
      <c r="GG1647" s="4">
        <v>150</v>
      </c>
      <c r="GH1647" s="4">
        <v>148</v>
      </c>
      <c r="GI1647" s="4">
        <v>146</v>
      </c>
      <c r="GJ1647" s="4">
        <v>144</v>
      </c>
      <c r="GK1647" s="4">
        <v>142</v>
      </c>
      <c r="GL1647" s="4">
        <v>140</v>
      </c>
      <c r="GM1647" s="4">
        <v>138</v>
      </c>
      <c r="GN1647" s="4">
        <v>136</v>
      </c>
      <c r="GO1647" s="4">
        <v>133</v>
      </c>
      <c r="GP1647" s="4">
        <v>130</v>
      </c>
      <c r="GQ1647" s="4">
        <v>127</v>
      </c>
      <c r="GR1647" s="4">
        <v>122</v>
      </c>
      <c r="GS1647" s="4">
        <v>118</v>
      </c>
      <c r="GT1647" s="4">
        <v>115</v>
      </c>
      <c r="GU1647" s="4">
        <v>113</v>
      </c>
      <c r="GV1647" s="4">
        <v>111</v>
      </c>
      <c r="GW1647" s="4">
        <v>109</v>
      </c>
      <c r="GX1647" s="4">
        <v>107</v>
      </c>
      <c r="GY1647" s="4">
        <v>105</v>
      </c>
      <c r="GZ1647" s="4">
        <v>103</v>
      </c>
      <c r="HA1647" s="4">
        <v>101</v>
      </c>
      <c r="HB1647" s="4">
        <v>99</v>
      </c>
      <c r="HC1647" s="4">
        <v>97</v>
      </c>
      <c r="HD1647" s="19">
        <v>78</v>
      </c>
      <c r="HE1647" s="19">
        <v>77</v>
      </c>
      <c r="HF1647" s="19">
        <v>76</v>
      </c>
      <c r="HG1647" s="19">
        <v>75</v>
      </c>
      <c r="HH1647" s="19">
        <v>74</v>
      </c>
      <c r="HI1647" s="19">
        <v>73</v>
      </c>
      <c r="HJ1647" s="19">
        <v>72</v>
      </c>
      <c r="HK1647" s="19">
        <v>71</v>
      </c>
      <c r="HL1647" s="19">
        <v>70</v>
      </c>
      <c r="HM1647" s="19">
        <v>46</v>
      </c>
      <c r="HN1647" s="19">
        <v>34</v>
      </c>
      <c r="HO1647" s="19">
        <v>33.3</v>
      </c>
      <c r="HP1647" s="19">
        <v>32.5</v>
      </c>
      <c r="HQ1647" s="19">
        <v>31.8</v>
      </c>
      <c r="HR1647" s="19">
        <v>40.7</v>
      </c>
      <c r="HS1647" s="19">
        <v>59</v>
      </c>
      <c r="HT1647" s="19">
        <v>57.5</v>
      </c>
      <c r="HU1647" s="19">
        <v>56.5</v>
      </c>
      <c r="HV1647" s="19">
        <v>55.5</v>
      </c>
      <c r="HW1647" s="19">
        <v>54.5</v>
      </c>
      <c r="HX1647" s="19">
        <v>53.5</v>
      </c>
      <c r="HY1647" s="19">
        <v>52.5</v>
      </c>
      <c r="HZ1647" s="19">
        <v>51.5</v>
      </c>
      <c r="IA1647" s="19">
        <v>50.5</v>
      </c>
      <c r="IB1647" s="19">
        <v>49.5</v>
      </c>
      <c r="IC1647" s="19">
        <v>48.5</v>
      </c>
    </row>
    <row r="1648">
      <c r="A1648" s="2" t="s">
        <v>6108</v>
      </c>
      <c r="B1648" s="2" t="s">
        <v>871</v>
      </c>
      <c r="C1648" s="2" t="s">
        <v>324</v>
      </c>
      <c r="D1648" s="2" t="s">
        <v>361</v>
      </c>
      <c r="E1648" s="2" t="s">
        <v>872</v>
      </c>
      <c r="F1648" s="2" t="s">
        <v>6109</v>
      </c>
      <c r="G1648" s="2" t="s">
        <v>1179</v>
      </c>
      <c r="H1648" s="2" t="s">
        <v>6110</v>
      </c>
      <c r="I1648" s="2" t="s">
        <v>6111</v>
      </c>
      <c r="J1648" s="2" t="s">
        <v>272</v>
      </c>
      <c r="K1648" s="2" t="s">
        <v>2386</v>
      </c>
      <c r="L1648" s="3">
        <v>68.57</v>
      </c>
      <c r="M1648" s="3">
        <v>72</v>
      </c>
      <c r="N1648" s="3">
        <v>149.99</v>
      </c>
      <c r="O1648" s="2" t="s">
        <v>232</v>
      </c>
      <c r="P1648" s="2" t="s">
        <v>878</v>
      </c>
      <c r="Q1648" s="2" t="s">
        <v>234</v>
      </c>
      <c r="R1648" s="2" t="s">
        <v>235</v>
      </c>
      <c r="S1648" s="2" t="s">
        <v>235</v>
      </c>
      <c r="T1648" s="2" t="s">
        <v>263</v>
      </c>
      <c r="U1648" s="2" t="s">
        <v>785</v>
      </c>
      <c r="V1648" s="2" t="s">
        <v>880</v>
      </c>
      <c r="W1648" s="2" t="s">
        <v>881</v>
      </c>
      <c r="X1648" s="2" t="s">
        <v>882</v>
      </c>
      <c r="Y1648" s="2" t="s">
        <v>6112</v>
      </c>
      <c r="Z1648" s="4">
        <v>85</v>
      </c>
      <c r="AA1648" s="4">
        <f>=ROUNDDOWN(17,0)</f>
      </c>
      <c r="AB1648" s="5">
        <v>5</v>
      </c>
      <c r="AC1648" s="2" t="s">
        <v>235</v>
      </c>
      <c r="AD1648" s="4"/>
      <c r="AE1648" s="4"/>
      <c r="AF1648" s="6">
        <v>78</v>
      </c>
      <c r="AG1648" s="6"/>
      <c r="AH1648" s="7">
        <v>1</v>
      </c>
      <c r="AI1648" s="4"/>
      <c r="AJ1648" s="4">
        <f>=ROUNDDOWN({0},0)</f>
      </c>
      <c r="AK1648" s="5"/>
      <c r="AL1648" s="2" t="s">
        <v>235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/>
      <c r="BD1648" s="8"/>
      <c r="BE1648" s="4"/>
      <c r="BF1648" s="8"/>
      <c r="BG1648" s="7"/>
      <c r="BH1648" s="7"/>
      <c r="BI1648" s="7"/>
      <c r="BJ1648" s="4">
        <v>9</v>
      </c>
      <c r="BK1648" s="8">
        <v>714.24</v>
      </c>
      <c r="BL1648" s="2" t="s">
        <v>4328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6113</v>
      </c>
      <c r="BV1648" s="2" t="s">
        <v>235</v>
      </c>
      <c r="BW1648" s="2" t="s">
        <v>235</v>
      </c>
      <c r="BX1648" s="2" t="s">
        <v>244</v>
      </c>
      <c r="BY1648" s="2" t="s">
        <v>245</v>
      </c>
      <c r="BZ1648" s="2" t="s">
        <v>232</v>
      </c>
      <c r="CA1648" s="2" t="s">
        <v>235</v>
      </c>
      <c r="CB1648" s="2" t="s">
        <v>235</v>
      </c>
      <c r="CC1648" s="2" t="s">
        <v>248</v>
      </c>
      <c r="CD1648" s="2" t="s">
        <v>248</v>
      </c>
      <c r="CE1648" s="2" t="s">
        <v>235</v>
      </c>
      <c r="CF1648" s="4">
        <v>85</v>
      </c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>
        <v>86</v>
      </c>
      <c r="GE1648" s="4">
        <v>80</v>
      </c>
      <c r="GF1648" s="4">
        <v>78</v>
      </c>
      <c r="GG1648" s="4">
        <v>75</v>
      </c>
      <c r="GH1648" s="4">
        <v>70</v>
      </c>
      <c r="GI1648" s="4">
        <v>66</v>
      </c>
      <c r="GJ1648" s="4">
        <v>60</v>
      </c>
      <c r="GK1648" s="4">
        <v>55</v>
      </c>
      <c r="GL1648" s="4">
        <v>50</v>
      </c>
      <c r="GM1648" s="4">
        <v>46</v>
      </c>
      <c r="GN1648" s="4">
        <v>44</v>
      </c>
      <c r="GO1648" s="4">
        <v>39</v>
      </c>
      <c r="GP1648" s="4">
        <v>33</v>
      </c>
      <c r="GQ1648" s="4">
        <v>28</v>
      </c>
      <c r="GR1648" s="4">
        <v>20</v>
      </c>
      <c r="GS1648" s="4">
        <v>15</v>
      </c>
      <c r="GT1648" s="4">
        <v>11</v>
      </c>
      <c r="GU1648" s="4">
        <v>9</v>
      </c>
      <c r="GV1648" s="4">
        <v>4</v>
      </c>
      <c r="GW1648" s="4"/>
      <c r="GX1648" s="4"/>
      <c r="GY1648" s="4">
        <v>159</v>
      </c>
      <c r="GZ1648" s="4">
        <v>150</v>
      </c>
      <c r="HA1648" s="4">
        <v>146</v>
      </c>
      <c r="HB1648" s="4">
        <v>140</v>
      </c>
      <c r="HC1648" s="4">
        <v>134</v>
      </c>
      <c r="HD1648" s="19">
        <v>21.5</v>
      </c>
      <c r="HE1648" s="19">
        <v>20</v>
      </c>
      <c r="HF1648" s="19">
        <v>19.5</v>
      </c>
      <c r="HG1648" s="19">
        <v>15</v>
      </c>
      <c r="HH1648" s="19">
        <v>14</v>
      </c>
      <c r="HI1648" s="19">
        <v>13.2</v>
      </c>
      <c r="HJ1648" s="19">
        <v>15</v>
      </c>
      <c r="HK1648" s="19">
        <v>13.8</v>
      </c>
      <c r="HL1648" s="19">
        <v>12.5</v>
      </c>
      <c r="HM1648" s="19">
        <v>11.5</v>
      </c>
      <c r="HN1648" s="19">
        <v>7.3</v>
      </c>
      <c r="HO1648" s="19">
        <v>6.5</v>
      </c>
      <c r="HP1648" s="19">
        <v>5.5</v>
      </c>
      <c r="HQ1648" s="19">
        <v>5.6</v>
      </c>
      <c r="HR1648" s="19">
        <v>5</v>
      </c>
      <c r="HS1648" s="19">
        <v>3.8</v>
      </c>
      <c r="HT1648" s="19">
        <v>2.8</v>
      </c>
      <c r="HU1648" s="19">
        <v>2.3</v>
      </c>
      <c r="HV1648" s="19">
        <v>0.8</v>
      </c>
      <c r="HW1648" s="20">
        <v>0</v>
      </c>
      <c r="HX1648" s="20">
        <v>0</v>
      </c>
      <c r="HY1648" s="19">
        <v>26.5</v>
      </c>
      <c r="HZ1648" s="19">
        <v>30</v>
      </c>
      <c r="IA1648" s="19">
        <v>24.3</v>
      </c>
      <c r="IB1648" s="19">
        <v>23.3</v>
      </c>
      <c r="IC1648" s="19">
        <v>26.8</v>
      </c>
    </row>
    <row r="1649">
      <c r="A1649" s="2" t="s">
        <v>6114</v>
      </c>
      <c r="B1649" s="2" t="s">
        <v>800</v>
      </c>
      <c r="C1649" s="2" t="s">
        <v>801</v>
      </c>
      <c r="D1649" s="2" t="s">
        <v>802</v>
      </c>
      <c r="E1649" s="2" t="s">
        <v>803</v>
      </c>
      <c r="F1649" s="2" t="s">
        <v>6115</v>
      </c>
      <c r="G1649" s="2" t="s">
        <v>6115</v>
      </c>
      <c r="H1649" s="2" t="s">
        <v>6115</v>
      </c>
      <c r="I1649" s="2" t="s">
        <v>6116</v>
      </c>
      <c r="J1649" s="2" t="s">
        <v>897</v>
      </c>
      <c r="K1649" s="2" t="s">
        <v>964</v>
      </c>
      <c r="L1649" s="3">
        <v>180</v>
      </c>
      <c r="M1649" s="3">
        <v>189</v>
      </c>
      <c r="N1649" s="3">
        <v>379.99</v>
      </c>
      <c r="O1649" s="2" t="s">
        <v>232</v>
      </c>
      <c r="P1649" s="2" t="s">
        <v>408</v>
      </c>
      <c r="Q1649" s="2" t="s">
        <v>234</v>
      </c>
      <c r="R1649" s="2" t="s">
        <v>235</v>
      </c>
      <c r="S1649" s="2" t="s">
        <v>235</v>
      </c>
      <c r="T1649" s="2" t="s">
        <v>235</v>
      </c>
      <c r="U1649" s="2" t="s">
        <v>807</v>
      </c>
      <c r="V1649" s="2" t="s">
        <v>808</v>
      </c>
      <c r="W1649" s="2" t="s">
        <v>682</v>
      </c>
      <c r="X1649" s="2" t="s">
        <v>1157</v>
      </c>
      <c r="Y1649" s="2" t="s">
        <v>2845</v>
      </c>
      <c r="Z1649" s="4">
        <v>103</v>
      </c>
      <c r="AA1649" s="4">
        <f>=ROUNDDOWN(103,0)</f>
      </c>
      <c r="AB1649" s="5">
        <v>1</v>
      </c>
      <c r="AC1649" s="2" t="s">
        <v>235</v>
      </c>
      <c r="AD1649" s="4"/>
      <c r="AE1649" s="4"/>
      <c r="AF1649" s="6">
        <v>72</v>
      </c>
      <c r="AG1649" s="6"/>
      <c r="AH1649" s="7">
        <v>1</v>
      </c>
      <c r="AI1649" s="4"/>
      <c r="AJ1649" s="4">
        <f>=ROUNDDOWN({0},0)</f>
      </c>
      <c r="AK1649" s="5"/>
      <c r="AL1649" s="2" t="s">
        <v>235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/>
      <c r="BD1649" s="8"/>
      <c r="BE1649" s="4"/>
      <c r="BF1649" s="8"/>
      <c r="BG1649" s="7"/>
      <c r="BH1649" s="7"/>
      <c r="BI1649" s="7"/>
      <c r="BJ1649" s="4">
        <v>1</v>
      </c>
      <c r="BK1649" s="8">
        <v>211.68</v>
      </c>
      <c r="BL1649" s="2" t="s">
        <v>1122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6117</v>
      </c>
      <c r="BV1649" s="2" t="s">
        <v>813</v>
      </c>
      <c r="BW1649" s="2" t="s">
        <v>235</v>
      </c>
      <c r="BX1649" s="2" t="s">
        <v>414</v>
      </c>
      <c r="BY1649" s="2" t="s">
        <v>245</v>
      </c>
      <c r="BZ1649" s="2" t="s">
        <v>232</v>
      </c>
      <c r="CA1649" s="2" t="s">
        <v>6118</v>
      </c>
      <c r="CB1649" s="2" t="s">
        <v>1629</v>
      </c>
      <c r="CC1649" s="2" t="s">
        <v>248</v>
      </c>
      <c r="CD1649" s="2" t="s">
        <v>248</v>
      </c>
      <c r="CE1649" s="2" t="s">
        <v>235</v>
      </c>
      <c r="CF1649" s="4"/>
      <c r="CG1649" s="4">
        <v>103</v>
      </c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>
        <v>103</v>
      </c>
      <c r="GE1649" s="4">
        <v>102</v>
      </c>
      <c r="GF1649" s="4">
        <v>101</v>
      </c>
      <c r="GG1649" s="4">
        <v>100</v>
      </c>
      <c r="GH1649" s="4">
        <v>99</v>
      </c>
      <c r="GI1649" s="4">
        <v>98</v>
      </c>
      <c r="GJ1649" s="4">
        <v>97</v>
      </c>
      <c r="GK1649" s="4">
        <v>96</v>
      </c>
      <c r="GL1649" s="4">
        <v>95</v>
      </c>
      <c r="GM1649" s="4">
        <v>94</v>
      </c>
      <c r="GN1649" s="4">
        <v>93</v>
      </c>
      <c r="GO1649" s="4">
        <v>92</v>
      </c>
      <c r="GP1649" s="4">
        <v>91</v>
      </c>
      <c r="GQ1649" s="4">
        <v>90</v>
      </c>
      <c r="GR1649" s="4">
        <v>89</v>
      </c>
      <c r="GS1649" s="4">
        <v>88</v>
      </c>
      <c r="GT1649" s="4">
        <v>87</v>
      </c>
      <c r="GU1649" s="4">
        <v>86</v>
      </c>
      <c r="GV1649" s="4">
        <v>85</v>
      </c>
      <c r="GW1649" s="4">
        <v>84</v>
      </c>
      <c r="GX1649" s="4">
        <v>83</v>
      </c>
      <c r="GY1649" s="4">
        <v>82</v>
      </c>
      <c r="GZ1649" s="4">
        <v>81</v>
      </c>
      <c r="HA1649" s="4">
        <v>80</v>
      </c>
      <c r="HB1649" s="4">
        <v>79</v>
      </c>
      <c r="HC1649" s="4">
        <v>78</v>
      </c>
      <c r="HD1649" s="19">
        <v>103</v>
      </c>
      <c r="HE1649" s="19">
        <v>102</v>
      </c>
      <c r="HF1649" s="19">
        <v>101</v>
      </c>
      <c r="HG1649" s="19">
        <v>100</v>
      </c>
      <c r="HH1649" s="19">
        <v>99</v>
      </c>
      <c r="HI1649" s="19">
        <v>98</v>
      </c>
      <c r="HJ1649" s="19">
        <v>97</v>
      </c>
      <c r="HK1649" s="19">
        <v>96</v>
      </c>
      <c r="HL1649" s="19">
        <v>95</v>
      </c>
      <c r="HM1649" s="19">
        <v>94</v>
      </c>
      <c r="HN1649" s="19">
        <v>93</v>
      </c>
      <c r="HO1649" s="19">
        <v>92</v>
      </c>
      <c r="HP1649" s="19">
        <v>91</v>
      </c>
      <c r="HQ1649" s="19">
        <v>90</v>
      </c>
      <c r="HR1649" s="19">
        <v>89</v>
      </c>
      <c r="HS1649" s="19">
        <v>88</v>
      </c>
      <c r="HT1649" s="19">
        <v>87</v>
      </c>
      <c r="HU1649" s="19">
        <v>86</v>
      </c>
      <c r="HV1649" s="19">
        <v>85</v>
      </c>
      <c r="HW1649" s="19">
        <v>84</v>
      </c>
      <c r="HX1649" s="19">
        <v>83</v>
      </c>
      <c r="HY1649" s="19">
        <v>82</v>
      </c>
      <c r="HZ1649" s="19">
        <v>81</v>
      </c>
      <c r="IA1649" s="19">
        <v>80</v>
      </c>
      <c r="IB1649" s="19">
        <v>79</v>
      </c>
      <c r="IC1649" s="19">
        <v>78</v>
      </c>
    </row>
    <row r="1650">
      <c r="A1650" s="2" t="s">
        <v>6119</v>
      </c>
      <c r="B1650" s="2" t="s">
        <v>800</v>
      </c>
      <c r="C1650" s="2" t="s">
        <v>893</v>
      </c>
      <c r="D1650" s="2" t="s">
        <v>894</v>
      </c>
      <c r="E1650" s="2" t="s">
        <v>895</v>
      </c>
      <c r="F1650" s="2" t="s">
        <v>5106</v>
      </c>
      <c r="G1650" s="2" t="s">
        <v>5106</v>
      </c>
      <c r="H1650" s="2" t="s">
        <v>5106</v>
      </c>
      <c r="I1650" s="2" t="s">
        <v>6120</v>
      </c>
      <c r="J1650" s="2" t="s">
        <v>897</v>
      </c>
      <c r="K1650" s="2" t="s">
        <v>6121</v>
      </c>
      <c r="L1650" s="3">
        <v>24.8</v>
      </c>
      <c r="M1650" s="3">
        <v>26.04</v>
      </c>
      <c r="N1650" s="3">
        <v>49.99</v>
      </c>
      <c r="O1650" s="2" t="s">
        <v>485</v>
      </c>
      <c r="P1650" s="2" t="s">
        <v>408</v>
      </c>
      <c r="Q1650" s="2" t="s">
        <v>234</v>
      </c>
      <c r="R1650" s="2" t="s">
        <v>235</v>
      </c>
      <c r="S1650" s="2" t="s">
        <v>235</v>
      </c>
      <c r="T1650" s="2" t="s">
        <v>235</v>
      </c>
      <c r="U1650" s="2" t="s">
        <v>807</v>
      </c>
      <c r="V1650" s="2" t="s">
        <v>808</v>
      </c>
      <c r="W1650" s="2" t="s">
        <v>682</v>
      </c>
      <c r="X1650" s="2" t="s">
        <v>1362</v>
      </c>
      <c r="Y1650" s="2" t="s">
        <v>1363</v>
      </c>
      <c r="Z1650" s="4">
        <v>78</v>
      </c>
      <c r="AA1650" s="4">
        <f>=ROUNDDOWN(260,0)</f>
      </c>
      <c r="AB1650" s="5">
        <v>0.3</v>
      </c>
      <c r="AC1650" s="2" t="s">
        <v>235</v>
      </c>
      <c r="AD1650" s="4"/>
      <c r="AE1650" s="4"/>
      <c r="AF1650" s="6">
        <v>63</v>
      </c>
      <c r="AG1650" s="6"/>
      <c r="AH1650" s="7">
        <v>1</v>
      </c>
      <c r="AI1650" s="4"/>
      <c r="AJ1650" s="4">
        <f>=ROUNDDOWN({0},0)</f>
      </c>
      <c r="AK1650" s="5"/>
      <c r="AL1650" s="2" t="s">
        <v>235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/>
      <c r="BD1650" s="8"/>
      <c r="BE1650" s="4"/>
      <c r="BF1650" s="8"/>
      <c r="BG1650" s="7"/>
      <c r="BH1650" s="7"/>
      <c r="BI1650" s="7"/>
      <c r="BJ1650" s="4"/>
      <c r="BK1650" s="8"/>
      <c r="BL1650" s="2" t="s">
        <v>235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6122</v>
      </c>
      <c r="BV1650" s="2" t="s">
        <v>813</v>
      </c>
      <c r="BW1650" s="2" t="s">
        <v>235</v>
      </c>
      <c r="BX1650" s="2" t="s">
        <v>414</v>
      </c>
      <c r="BY1650" s="2" t="s">
        <v>245</v>
      </c>
      <c r="BZ1650" s="2" t="s">
        <v>232</v>
      </c>
      <c r="CA1650" s="2" t="s">
        <v>1366</v>
      </c>
      <c r="CB1650" s="2" t="s">
        <v>6123</v>
      </c>
      <c r="CC1650" s="2" t="s">
        <v>248</v>
      </c>
      <c r="CD1650" s="2" t="s">
        <v>248</v>
      </c>
      <c r="CE1650" s="2" t="s">
        <v>235</v>
      </c>
      <c r="CF1650" s="4"/>
      <c r="CG1650" s="4">
        <v>78</v>
      </c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>
        <v>78</v>
      </c>
      <c r="GE1650" s="4">
        <v>78</v>
      </c>
      <c r="GF1650" s="4">
        <v>78</v>
      </c>
      <c r="GG1650" s="4">
        <v>78</v>
      </c>
      <c r="GH1650" s="4">
        <v>78</v>
      </c>
      <c r="GI1650" s="4">
        <v>78</v>
      </c>
      <c r="GJ1650" s="4">
        <v>78</v>
      </c>
      <c r="GK1650" s="4">
        <v>78</v>
      </c>
      <c r="GL1650" s="4">
        <v>78</v>
      </c>
      <c r="GM1650" s="4">
        <v>78</v>
      </c>
      <c r="GN1650" s="4">
        <v>78</v>
      </c>
      <c r="GO1650" s="4">
        <v>78</v>
      </c>
      <c r="GP1650" s="4">
        <v>78</v>
      </c>
      <c r="GQ1650" s="4">
        <v>78</v>
      </c>
      <c r="GR1650" s="4">
        <v>78</v>
      </c>
      <c r="GS1650" s="4">
        <v>78</v>
      </c>
      <c r="GT1650" s="4">
        <v>78</v>
      </c>
      <c r="GU1650" s="4">
        <v>78</v>
      </c>
      <c r="GV1650" s="4">
        <v>78</v>
      </c>
      <c r="GW1650" s="4">
        <v>78</v>
      </c>
      <c r="GX1650" s="4">
        <v>78</v>
      </c>
      <c r="GY1650" s="4">
        <v>78</v>
      </c>
      <c r="GZ1650" s="4">
        <v>78</v>
      </c>
      <c r="HA1650" s="4">
        <v>78</v>
      </c>
      <c r="HB1650" s="4">
        <v>78</v>
      </c>
      <c r="HC1650" s="4">
        <v>78</v>
      </c>
      <c r="HD1650" s="9"/>
      <c r="HE1650" s="9"/>
      <c r="HF1650" s="9"/>
      <c r="HG1650" s="9"/>
      <c r="HH1650" s="9"/>
      <c r="HI1650" s="9"/>
      <c r="HJ1650" s="9"/>
      <c r="HK1650" s="9"/>
      <c r="HL1650" s="9"/>
      <c r="HM1650" s="9"/>
      <c r="HN1650" s="9"/>
      <c r="HO1650" s="9"/>
      <c r="HP1650" s="9"/>
      <c r="HQ1650" s="9"/>
      <c r="HR1650" s="9"/>
      <c r="HS1650" s="9"/>
      <c r="HT1650" s="9"/>
      <c r="HU1650" s="9"/>
      <c r="HV1650" s="9"/>
      <c r="HW1650" s="9"/>
      <c r="HX1650" s="9"/>
      <c r="HY1650" s="9"/>
      <c r="HZ1650" s="9"/>
      <c r="IA1650" s="9"/>
      <c r="IB1650" s="9"/>
      <c r="IC1650" s="9"/>
    </row>
    <row r="1651">
      <c r="A1651" s="2" t="s">
        <v>6124</v>
      </c>
      <c r="B1651" s="2" t="s">
        <v>905</v>
      </c>
      <c r="C1651" s="2" t="s">
        <v>980</v>
      </c>
      <c r="D1651" s="2" t="s">
        <v>361</v>
      </c>
      <c r="E1651" s="2" t="s">
        <v>872</v>
      </c>
      <c r="F1651" s="2" t="s">
        <v>6125</v>
      </c>
      <c r="G1651" s="2" t="s">
        <v>6125</v>
      </c>
      <c r="H1651" s="2" t="s">
        <v>6125</v>
      </c>
      <c r="I1651" s="2" t="s">
        <v>5016</v>
      </c>
      <c r="J1651" s="2" t="s">
        <v>394</v>
      </c>
      <c r="K1651" s="2" t="s">
        <v>292</v>
      </c>
      <c r="L1651" s="3">
        <v>43.9</v>
      </c>
      <c r="M1651" s="3">
        <v>46.1</v>
      </c>
      <c r="N1651" s="3">
        <v>91.99</v>
      </c>
      <c r="O1651" s="2" t="s">
        <v>232</v>
      </c>
      <c r="P1651" s="2" t="s">
        <v>408</v>
      </c>
      <c r="Q1651" s="2" t="s">
        <v>234</v>
      </c>
      <c r="R1651" s="2" t="s">
        <v>235</v>
      </c>
      <c r="S1651" s="2" t="s">
        <v>6126</v>
      </c>
      <c r="T1651" s="2" t="s">
        <v>2295</v>
      </c>
      <c r="U1651" s="2" t="s">
        <v>552</v>
      </c>
      <c r="V1651" s="2" t="s">
        <v>238</v>
      </c>
      <c r="W1651" s="2" t="s">
        <v>1596</v>
      </c>
      <c r="X1651" s="2" t="s">
        <v>671</v>
      </c>
      <c r="Y1651" s="2" t="s">
        <v>6127</v>
      </c>
      <c r="Z1651" s="4"/>
      <c r="AA1651" s="4">
        <f>=ROUNDDOWN({0},0)</f>
      </c>
      <c r="AB1651" s="5">
        <v>2</v>
      </c>
      <c r="AC1651" s="2" t="s">
        <v>235</v>
      </c>
      <c r="AD1651" s="4"/>
      <c r="AE1651" s="4"/>
      <c r="AF1651" s="6">
        <v>65</v>
      </c>
      <c r="AG1651" s="6"/>
      <c r="AH1651" s="7">
        <v>0</v>
      </c>
      <c r="AI1651" s="4"/>
      <c r="AJ1651" s="4">
        <f>=ROUNDDOWN({0},0)</f>
      </c>
      <c r="AK1651" s="5"/>
      <c r="AL1651" s="2" t="s">
        <v>235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235</v>
      </c>
      <c r="BD1651" s="8" t="s">
        <v>235</v>
      </c>
      <c r="BE1651" s="4" t="s">
        <v>235</v>
      </c>
      <c r="BF1651" s="8" t="s">
        <v>235</v>
      </c>
      <c r="BG1651" s="7" t="s">
        <v>235</v>
      </c>
      <c r="BH1651" s="7" t="s">
        <v>235</v>
      </c>
      <c r="BI1651" s="7"/>
      <c r="BJ1651" s="4"/>
      <c r="BK1651" s="8"/>
      <c r="BL1651" s="2" t="s">
        <v>6128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6129</v>
      </c>
      <c r="BV1651" s="2" t="s">
        <v>243</v>
      </c>
      <c r="BW1651" s="2" t="s">
        <v>235</v>
      </c>
      <c r="BX1651" s="2" t="s">
        <v>414</v>
      </c>
      <c r="BY1651" s="2" t="s">
        <v>245</v>
      </c>
      <c r="BZ1651" s="2" t="s">
        <v>232</v>
      </c>
      <c r="CA1651" s="2" t="s">
        <v>6130</v>
      </c>
      <c r="CB1651" s="2" t="s">
        <v>4993</v>
      </c>
      <c r="CC1651" s="2" t="s">
        <v>248</v>
      </c>
      <c r="CD1651" s="2" t="s">
        <v>248</v>
      </c>
      <c r="CE1651" s="2" t="s">
        <v>235</v>
      </c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20">
        <v>0</v>
      </c>
      <c r="HE1651" s="20">
        <v>0</v>
      </c>
      <c r="HF1651" s="20">
        <v>0</v>
      </c>
      <c r="HG1651" s="20">
        <v>0</v>
      </c>
      <c r="HH1651" s="20">
        <v>0</v>
      </c>
      <c r="HI1651" s="20">
        <v>0</v>
      </c>
      <c r="HJ1651" s="20">
        <v>0</v>
      </c>
      <c r="HK1651" s="20">
        <v>0</v>
      </c>
      <c r="HL1651" s="20">
        <v>0</v>
      </c>
      <c r="HM1651" s="20">
        <v>0</v>
      </c>
      <c r="HN1651" s="20">
        <v>0</v>
      </c>
      <c r="HO1651" s="20">
        <v>0</v>
      </c>
      <c r="HP1651" s="20">
        <v>0</v>
      </c>
      <c r="HQ1651" s="20">
        <v>0</v>
      </c>
      <c r="HR1651" s="20">
        <v>0</v>
      </c>
      <c r="HS1651" s="20">
        <v>0</v>
      </c>
      <c r="HT1651" s="20">
        <v>0</v>
      </c>
      <c r="HU1651" s="20">
        <v>0</v>
      </c>
      <c r="HV1651" s="20">
        <v>0</v>
      </c>
      <c r="HW1651" s="9"/>
      <c r="HX1651" s="9"/>
      <c r="HY1651" s="9"/>
      <c r="HZ1651" s="9"/>
      <c r="IA1651" s="9"/>
      <c r="IB1651" s="9"/>
      <c r="IC1651" s="9"/>
    </row>
    <row r="1652">
      <c r="A1652" s="2" t="s">
        <v>6131</v>
      </c>
      <c r="B1652" s="2" t="s">
        <v>905</v>
      </c>
      <c r="C1652" s="2" t="s">
        <v>980</v>
      </c>
      <c r="D1652" s="2" t="s">
        <v>361</v>
      </c>
      <c r="E1652" s="2" t="s">
        <v>872</v>
      </c>
      <c r="F1652" s="2" t="s">
        <v>6125</v>
      </c>
      <c r="G1652" s="2" t="s">
        <v>6125</v>
      </c>
      <c r="H1652" s="2" t="s">
        <v>6125</v>
      </c>
      <c r="I1652" s="2" t="s">
        <v>5016</v>
      </c>
      <c r="J1652" s="2" t="s">
        <v>365</v>
      </c>
      <c r="K1652" s="2" t="s">
        <v>600</v>
      </c>
      <c r="L1652" s="3">
        <v>56.45</v>
      </c>
      <c r="M1652" s="3">
        <v>59.27</v>
      </c>
      <c r="N1652" s="3">
        <v>118.99</v>
      </c>
      <c r="O1652" s="2" t="s">
        <v>232</v>
      </c>
      <c r="P1652" s="2" t="s">
        <v>408</v>
      </c>
      <c r="Q1652" s="2" t="s">
        <v>234</v>
      </c>
      <c r="R1652" s="2" t="s">
        <v>235</v>
      </c>
      <c r="S1652" s="2" t="s">
        <v>6132</v>
      </c>
      <c r="T1652" s="2" t="s">
        <v>2295</v>
      </c>
      <c r="U1652" s="2" t="s">
        <v>264</v>
      </c>
      <c r="V1652" s="2" t="s">
        <v>238</v>
      </c>
      <c r="W1652" s="2" t="s">
        <v>1596</v>
      </c>
      <c r="X1652" s="2" t="s">
        <v>671</v>
      </c>
      <c r="Y1652" s="2" t="s">
        <v>6127</v>
      </c>
      <c r="Z1652" s="4"/>
      <c r="AA1652" s="4">
        <f>=ROUNDDOWN({0},0)</f>
      </c>
      <c r="AB1652" s="5">
        <v>6</v>
      </c>
      <c r="AC1652" s="2" t="s">
        <v>235</v>
      </c>
      <c r="AD1652" s="4"/>
      <c r="AE1652" s="4"/>
      <c r="AF1652" s="6">
        <v>65</v>
      </c>
      <c r="AG1652" s="6"/>
      <c r="AH1652" s="7">
        <v>0</v>
      </c>
      <c r="AI1652" s="4"/>
      <c r="AJ1652" s="4">
        <f>=ROUNDDOWN({0},0)</f>
      </c>
      <c r="AK1652" s="5"/>
      <c r="AL1652" s="2" t="s">
        <v>235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235</v>
      </c>
      <c r="BD1652" s="8" t="s">
        <v>235</v>
      </c>
      <c r="BE1652" s="4" t="s">
        <v>235</v>
      </c>
      <c r="BF1652" s="8" t="s">
        <v>235</v>
      </c>
      <c r="BG1652" s="7" t="s">
        <v>235</v>
      </c>
      <c r="BH1652" s="7" t="s">
        <v>235</v>
      </c>
      <c r="BI1652" s="7"/>
      <c r="BJ1652" s="4"/>
      <c r="BK1652" s="8"/>
      <c r="BL1652" s="2" t="s">
        <v>5611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6129</v>
      </c>
      <c r="BV1652" s="2" t="s">
        <v>243</v>
      </c>
      <c r="BW1652" s="2" t="s">
        <v>235</v>
      </c>
      <c r="BX1652" s="2" t="s">
        <v>414</v>
      </c>
      <c r="BY1652" s="2" t="s">
        <v>245</v>
      </c>
      <c r="BZ1652" s="2" t="s">
        <v>232</v>
      </c>
      <c r="CA1652" s="2" t="s">
        <v>6130</v>
      </c>
      <c r="CB1652" s="2" t="s">
        <v>1022</v>
      </c>
      <c r="CC1652" s="2" t="s">
        <v>248</v>
      </c>
      <c r="CD1652" s="2" t="s">
        <v>248</v>
      </c>
      <c r="CE1652" s="2" t="s">
        <v>235</v>
      </c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20">
        <v>0</v>
      </c>
      <c r="HE1652" s="20">
        <v>0</v>
      </c>
      <c r="HF1652" s="20">
        <v>0</v>
      </c>
      <c r="HG1652" s="20">
        <v>0</v>
      </c>
      <c r="HH1652" s="20">
        <v>0</v>
      </c>
      <c r="HI1652" s="20">
        <v>0</v>
      </c>
      <c r="HJ1652" s="20">
        <v>0</v>
      </c>
      <c r="HK1652" s="20">
        <v>0</v>
      </c>
      <c r="HL1652" s="20">
        <v>0</v>
      </c>
      <c r="HM1652" s="20">
        <v>0</v>
      </c>
      <c r="HN1652" s="20">
        <v>0</v>
      </c>
      <c r="HO1652" s="20">
        <v>0</v>
      </c>
      <c r="HP1652" s="20">
        <v>0</v>
      </c>
      <c r="HQ1652" s="20">
        <v>0</v>
      </c>
      <c r="HR1652" s="20">
        <v>0</v>
      </c>
      <c r="HS1652" s="20">
        <v>0</v>
      </c>
      <c r="HT1652" s="20">
        <v>0</v>
      </c>
      <c r="HU1652" s="20">
        <v>0</v>
      </c>
      <c r="HV1652" s="20">
        <v>0</v>
      </c>
      <c r="HW1652" s="20">
        <v>0</v>
      </c>
      <c r="HX1652" s="20">
        <v>0</v>
      </c>
      <c r="HY1652" s="20">
        <v>0</v>
      </c>
      <c r="HZ1652" s="20">
        <v>0</v>
      </c>
      <c r="IA1652" s="20">
        <v>0</v>
      </c>
      <c r="IB1652" s="20">
        <v>0</v>
      </c>
      <c r="IC1652" s="20">
        <v>0</v>
      </c>
    </row>
    <row r="1653">
      <c r="A1653" s="2" t="s">
        <v>6133</v>
      </c>
      <c r="B1653" s="2" t="s">
        <v>871</v>
      </c>
      <c r="C1653" s="2" t="s">
        <v>324</v>
      </c>
      <c r="D1653" s="2" t="s">
        <v>361</v>
      </c>
      <c r="E1653" s="2" t="s">
        <v>924</v>
      </c>
      <c r="F1653" s="2" t="s">
        <v>6134</v>
      </c>
      <c r="G1653" s="2" t="s">
        <v>6135</v>
      </c>
      <c r="H1653" s="2" t="s">
        <v>6136</v>
      </c>
      <c r="I1653" s="2" t="s">
        <v>6137</v>
      </c>
      <c r="J1653" s="2" t="s">
        <v>365</v>
      </c>
      <c r="K1653" s="2" t="s">
        <v>295</v>
      </c>
      <c r="L1653" s="3">
        <v>54.03</v>
      </c>
      <c r="M1653" s="3">
        <v>56.73</v>
      </c>
      <c r="N1653" s="3">
        <v>114.99</v>
      </c>
      <c r="O1653" s="2" t="s">
        <v>407</v>
      </c>
      <c r="P1653" s="2" t="s">
        <v>408</v>
      </c>
      <c r="Q1653" s="2" t="s">
        <v>234</v>
      </c>
      <c r="R1653" s="2" t="s">
        <v>235</v>
      </c>
      <c r="S1653" s="2" t="s">
        <v>6138</v>
      </c>
      <c r="T1653" s="2" t="s">
        <v>4853</v>
      </c>
      <c r="U1653" s="2" t="s">
        <v>552</v>
      </c>
      <c r="V1653" s="2" t="s">
        <v>1394</v>
      </c>
      <c r="W1653" s="2" t="s">
        <v>881</v>
      </c>
      <c r="X1653" s="2" t="s">
        <v>2060</v>
      </c>
      <c r="Y1653" s="2" t="s">
        <v>6139</v>
      </c>
      <c r="Z1653" s="4">
        <v>164</v>
      </c>
      <c r="AA1653" s="4">
        <f>=ROUNDDOWN(27.3333333333333,0)</f>
      </c>
      <c r="AB1653" s="5">
        <v>6</v>
      </c>
      <c r="AC1653" s="2" t="s">
        <v>235</v>
      </c>
      <c r="AD1653" s="4"/>
      <c r="AE1653" s="4"/>
      <c r="AF1653" s="6">
        <v>64</v>
      </c>
      <c r="AG1653" s="6"/>
      <c r="AH1653" s="7">
        <v>1</v>
      </c>
      <c r="AI1653" s="4"/>
      <c r="AJ1653" s="4">
        <f>=ROUNDDOWN({0},0)</f>
      </c>
      <c r="AK1653" s="5"/>
      <c r="AL1653" s="2" t="s">
        <v>235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235</v>
      </c>
      <c r="AW1653" s="8" t="s">
        <v>235</v>
      </c>
      <c r="AX1653" s="4" t="s">
        <v>235</v>
      </c>
      <c r="AY1653" s="8" t="s">
        <v>235</v>
      </c>
      <c r="AZ1653" s="7" t="s">
        <v>235</v>
      </c>
      <c r="BA1653" s="7" t="s">
        <v>235</v>
      </c>
      <c r="BB1653" s="7"/>
      <c r="BC1653" s="4" t="s">
        <v>235</v>
      </c>
      <c r="BD1653" s="8" t="s">
        <v>235</v>
      </c>
      <c r="BE1653" s="4" t="s">
        <v>235</v>
      </c>
      <c r="BF1653" s="8" t="s">
        <v>235</v>
      </c>
      <c r="BG1653" s="7" t="s">
        <v>235</v>
      </c>
      <c r="BH1653" s="7" t="s">
        <v>235</v>
      </c>
      <c r="BI1653" s="7"/>
      <c r="BJ1653" s="4">
        <v>15</v>
      </c>
      <c r="BK1653" s="8">
        <v>938.97</v>
      </c>
      <c r="BL1653" s="2" t="s">
        <v>683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6140</v>
      </c>
      <c r="BV1653" s="2" t="s">
        <v>243</v>
      </c>
      <c r="BW1653" s="2" t="s">
        <v>235</v>
      </c>
      <c r="BX1653" s="2" t="s">
        <v>414</v>
      </c>
      <c r="BY1653" s="2" t="s">
        <v>245</v>
      </c>
      <c r="BZ1653" s="2" t="s">
        <v>232</v>
      </c>
      <c r="CA1653" s="2" t="s">
        <v>2296</v>
      </c>
      <c r="CB1653" s="2" t="s">
        <v>2400</v>
      </c>
      <c r="CC1653" s="2" t="s">
        <v>248</v>
      </c>
      <c r="CD1653" s="2" t="s">
        <v>248</v>
      </c>
      <c r="CE1653" s="2" t="s">
        <v>235</v>
      </c>
      <c r="CF1653" s="4">
        <v>164</v>
      </c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>
        <v>164</v>
      </c>
      <c r="GE1653" s="4">
        <v>150</v>
      </c>
      <c r="GF1653" s="4">
        <v>144</v>
      </c>
      <c r="GG1653" s="4">
        <v>138</v>
      </c>
      <c r="GH1653" s="4">
        <v>131</v>
      </c>
      <c r="GI1653" s="4">
        <v>124</v>
      </c>
      <c r="GJ1653" s="4">
        <v>115</v>
      </c>
      <c r="GK1653" s="4">
        <v>107</v>
      </c>
      <c r="GL1653" s="4">
        <v>99</v>
      </c>
      <c r="GM1653" s="4">
        <v>92</v>
      </c>
      <c r="GN1653" s="4">
        <v>85</v>
      </c>
      <c r="GO1653" s="4">
        <v>76</v>
      </c>
      <c r="GP1653" s="4">
        <v>66</v>
      </c>
      <c r="GQ1653" s="4">
        <v>49</v>
      </c>
      <c r="GR1653" s="4">
        <v>39</v>
      </c>
      <c r="GS1653" s="4">
        <v>30</v>
      </c>
      <c r="GT1653" s="4">
        <v>24</v>
      </c>
      <c r="GU1653" s="4">
        <v>19</v>
      </c>
      <c r="GV1653" s="4">
        <v>12</v>
      </c>
      <c r="GW1653" s="4">
        <v>6</v>
      </c>
      <c r="GX1653" s="4"/>
      <c r="GY1653" s="4"/>
      <c r="GZ1653" s="4"/>
      <c r="HA1653" s="4"/>
      <c r="HB1653" s="4"/>
      <c r="HC1653" s="4"/>
      <c r="HD1653" s="19">
        <v>20.5</v>
      </c>
      <c r="HE1653" s="19">
        <v>25</v>
      </c>
      <c r="HF1653" s="19">
        <v>20.6</v>
      </c>
      <c r="HG1653" s="19">
        <v>17.3</v>
      </c>
      <c r="HH1653" s="19">
        <v>16.4</v>
      </c>
      <c r="HI1653" s="19">
        <v>15.5</v>
      </c>
      <c r="HJ1653" s="19">
        <v>14.4</v>
      </c>
      <c r="HK1653" s="19">
        <v>13.4</v>
      </c>
      <c r="HL1653" s="19">
        <v>12.4</v>
      </c>
      <c r="HM1653" s="19">
        <v>8.4</v>
      </c>
      <c r="HN1653" s="19">
        <v>7.1</v>
      </c>
      <c r="HO1653" s="19">
        <v>6.3</v>
      </c>
      <c r="HP1653" s="19">
        <v>6.6</v>
      </c>
      <c r="HQ1653" s="19">
        <v>6.1</v>
      </c>
      <c r="HR1653" s="19">
        <v>5.6</v>
      </c>
      <c r="HS1653" s="19">
        <v>5</v>
      </c>
      <c r="HT1653" s="19">
        <v>4</v>
      </c>
      <c r="HU1653" s="19">
        <v>3.2</v>
      </c>
      <c r="HV1653" s="19">
        <v>2</v>
      </c>
      <c r="HW1653" s="19">
        <v>1</v>
      </c>
      <c r="HX1653" s="20">
        <v>0</v>
      </c>
      <c r="HY1653" s="20">
        <v>0</v>
      </c>
      <c r="HZ1653" s="20">
        <v>0</v>
      </c>
      <c r="IA1653" s="20">
        <v>0</v>
      </c>
      <c r="IB1653" s="20">
        <v>0</v>
      </c>
      <c r="IC1653" s="20">
        <v>0</v>
      </c>
    </row>
    <row r="1654">
      <c r="A1654" s="2" t="s">
        <v>6141</v>
      </c>
      <c r="B1654" s="2" t="s">
        <v>871</v>
      </c>
      <c r="C1654" s="2" t="s">
        <v>324</v>
      </c>
      <c r="D1654" s="2" t="s">
        <v>361</v>
      </c>
      <c r="E1654" s="2" t="s">
        <v>924</v>
      </c>
      <c r="F1654" s="2" t="s">
        <v>6134</v>
      </c>
      <c r="G1654" s="2" t="s">
        <v>6135</v>
      </c>
      <c r="H1654" s="2" t="s">
        <v>6136</v>
      </c>
      <c r="I1654" s="2" t="s">
        <v>6137</v>
      </c>
      <c r="J1654" s="2" t="s">
        <v>372</v>
      </c>
      <c r="K1654" s="2" t="s">
        <v>295</v>
      </c>
      <c r="L1654" s="3">
        <v>64.43</v>
      </c>
      <c r="M1654" s="3">
        <v>67.65</v>
      </c>
      <c r="N1654" s="3">
        <v>139.99</v>
      </c>
      <c r="O1654" s="2" t="s">
        <v>407</v>
      </c>
      <c r="P1654" s="2" t="s">
        <v>408</v>
      </c>
      <c r="Q1654" s="2" t="s">
        <v>234</v>
      </c>
      <c r="R1654" s="2" t="s">
        <v>235</v>
      </c>
      <c r="S1654" s="2" t="s">
        <v>6138</v>
      </c>
      <c r="T1654" s="2" t="s">
        <v>4853</v>
      </c>
      <c r="U1654" s="2" t="s">
        <v>552</v>
      </c>
      <c r="V1654" s="2" t="s">
        <v>1394</v>
      </c>
      <c r="W1654" s="2" t="s">
        <v>881</v>
      </c>
      <c r="X1654" s="2" t="s">
        <v>2060</v>
      </c>
      <c r="Y1654" s="2" t="s">
        <v>6139</v>
      </c>
      <c r="Z1654" s="4">
        <v>213</v>
      </c>
      <c r="AA1654" s="4">
        <f>=ROUNDDOWN(35.5,0)</f>
      </c>
      <c r="AB1654" s="5">
        <v>6</v>
      </c>
      <c r="AC1654" s="2" t="s">
        <v>235</v>
      </c>
      <c r="AD1654" s="4"/>
      <c r="AE1654" s="4"/>
      <c r="AF1654" s="6">
        <v>64</v>
      </c>
      <c r="AG1654" s="6"/>
      <c r="AH1654" s="7">
        <v>1</v>
      </c>
      <c r="AI1654" s="4"/>
      <c r="AJ1654" s="4">
        <f>=ROUNDDOWN({0},0)</f>
      </c>
      <c r="AK1654" s="5"/>
      <c r="AL1654" s="2" t="s">
        <v>235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235</v>
      </c>
      <c r="AW1654" s="8" t="s">
        <v>235</v>
      </c>
      <c r="AX1654" s="4" t="s">
        <v>235</v>
      </c>
      <c r="AY1654" s="8" t="s">
        <v>235</v>
      </c>
      <c r="AZ1654" s="7" t="s">
        <v>235</v>
      </c>
      <c r="BA1654" s="7" t="s">
        <v>235</v>
      </c>
      <c r="BB1654" s="7"/>
      <c r="BC1654" s="4" t="s">
        <v>235</v>
      </c>
      <c r="BD1654" s="8" t="s">
        <v>235</v>
      </c>
      <c r="BE1654" s="4" t="s">
        <v>235</v>
      </c>
      <c r="BF1654" s="8" t="s">
        <v>235</v>
      </c>
      <c r="BG1654" s="7" t="s">
        <v>235</v>
      </c>
      <c r="BH1654" s="7" t="s">
        <v>235</v>
      </c>
      <c r="BI1654" s="7"/>
      <c r="BJ1654" s="4">
        <v>5</v>
      </c>
      <c r="BK1654" s="8">
        <v>377.03</v>
      </c>
      <c r="BL1654" s="2" t="s">
        <v>2017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6140</v>
      </c>
      <c r="BV1654" s="2" t="s">
        <v>243</v>
      </c>
      <c r="BW1654" s="2" t="s">
        <v>235</v>
      </c>
      <c r="BX1654" s="2" t="s">
        <v>414</v>
      </c>
      <c r="BY1654" s="2" t="s">
        <v>245</v>
      </c>
      <c r="BZ1654" s="2" t="s">
        <v>232</v>
      </c>
      <c r="CA1654" s="2" t="s">
        <v>415</v>
      </c>
      <c r="CB1654" s="2" t="s">
        <v>6142</v>
      </c>
      <c r="CC1654" s="2" t="s">
        <v>248</v>
      </c>
      <c r="CD1654" s="2" t="s">
        <v>248</v>
      </c>
      <c r="CE1654" s="2" t="s">
        <v>235</v>
      </c>
      <c r="CF1654" s="4">
        <v>213</v>
      </c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>
        <v>215</v>
      </c>
      <c r="GE1654" s="4">
        <v>199</v>
      </c>
      <c r="GF1654" s="4">
        <v>193</v>
      </c>
      <c r="GG1654" s="4">
        <v>187</v>
      </c>
      <c r="GH1654" s="4">
        <v>180</v>
      </c>
      <c r="GI1654" s="4">
        <v>173</v>
      </c>
      <c r="GJ1654" s="4">
        <v>164</v>
      </c>
      <c r="GK1654" s="4">
        <v>156</v>
      </c>
      <c r="GL1654" s="4">
        <v>148</v>
      </c>
      <c r="GM1654" s="4">
        <v>141</v>
      </c>
      <c r="GN1654" s="4">
        <v>134</v>
      </c>
      <c r="GO1654" s="4">
        <v>125</v>
      </c>
      <c r="GP1654" s="4">
        <v>115</v>
      </c>
      <c r="GQ1654" s="4">
        <v>98</v>
      </c>
      <c r="GR1654" s="4">
        <v>88</v>
      </c>
      <c r="GS1654" s="4">
        <v>79</v>
      </c>
      <c r="GT1654" s="4">
        <v>73</v>
      </c>
      <c r="GU1654" s="4">
        <v>68</v>
      </c>
      <c r="GV1654" s="4">
        <v>61</v>
      </c>
      <c r="GW1654" s="4">
        <v>55</v>
      </c>
      <c r="GX1654" s="4">
        <v>49</v>
      </c>
      <c r="GY1654" s="4">
        <v>43</v>
      </c>
      <c r="GZ1654" s="4">
        <v>37</v>
      </c>
      <c r="HA1654" s="4">
        <v>31</v>
      </c>
      <c r="HB1654" s="4">
        <v>25</v>
      </c>
      <c r="HC1654" s="4">
        <v>18</v>
      </c>
      <c r="HD1654" s="19">
        <v>23.9</v>
      </c>
      <c r="HE1654" s="19">
        <v>33.2</v>
      </c>
      <c r="HF1654" s="19">
        <v>27.6</v>
      </c>
      <c r="HG1654" s="19">
        <v>23.4</v>
      </c>
      <c r="HH1654" s="19">
        <v>22.5</v>
      </c>
      <c r="HI1654" s="19">
        <v>21.6</v>
      </c>
      <c r="HJ1654" s="19">
        <v>20.5</v>
      </c>
      <c r="HK1654" s="19">
        <v>19.5</v>
      </c>
      <c r="HL1654" s="19">
        <v>18.5</v>
      </c>
      <c r="HM1654" s="19">
        <v>12.8</v>
      </c>
      <c r="HN1654" s="19">
        <v>11.2</v>
      </c>
      <c r="HO1654" s="19">
        <v>10.4</v>
      </c>
      <c r="HP1654" s="19">
        <v>11.5</v>
      </c>
      <c r="HQ1654" s="19">
        <v>12.3</v>
      </c>
      <c r="HR1654" s="19">
        <v>12.6</v>
      </c>
      <c r="HS1654" s="19">
        <v>13.2</v>
      </c>
      <c r="HT1654" s="19">
        <v>12.2</v>
      </c>
      <c r="HU1654" s="19">
        <v>11.3</v>
      </c>
      <c r="HV1654" s="19">
        <v>10.2</v>
      </c>
      <c r="HW1654" s="19">
        <v>9.2</v>
      </c>
      <c r="HX1654" s="19">
        <v>8.2</v>
      </c>
      <c r="HY1654" s="19">
        <v>7.2</v>
      </c>
      <c r="HZ1654" s="19">
        <v>6.2</v>
      </c>
      <c r="IA1654" s="19">
        <v>5.2</v>
      </c>
      <c r="IB1654" s="19">
        <v>4.2</v>
      </c>
      <c r="IC1654" s="19">
        <v>3</v>
      </c>
    </row>
    <row r="1655">
      <c r="A1655" s="2" t="s">
        <v>6143</v>
      </c>
      <c r="B1655" s="2" t="s">
        <v>1529</v>
      </c>
      <c r="C1655" s="2" t="s">
        <v>1381</v>
      </c>
      <c r="D1655" s="2" t="s">
        <v>4374</v>
      </c>
      <c r="E1655" s="2" t="s">
        <v>4375</v>
      </c>
      <c r="F1655" s="2" t="s">
        <v>6144</v>
      </c>
      <c r="G1655" s="2" t="s">
        <v>6144</v>
      </c>
      <c r="H1655" s="2" t="s">
        <v>6144</v>
      </c>
      <c r="I1655" s="2" t="s">
        <v>4375</v>
      </c>
      <c r="J1655" s="2" t="s">
        <v>897</v>
      </c>
      <c r="K1655" s="2" t="s">
        <v>843</v>
      </c>
      <c r="L1655" s="3">
        <v>385</v>
      </c>
      <c r="M1655" s="3">
        <v>404.25</v>
      </c>
      <c r="N1655" s="3">
        <v>999</v>
      </c>
      <c r="O1655" s="2" t="s">
        <v>232</v>
      </c>
      <c r="P1655" s="2" t="s">
        <v>1533</v>
      </c>
      <c r="Q1655" s="2" t="s">
        <v>234</v>
      </c>
      <c r="R1655" s="2" t="s">
        <v>235</v>
      </c>
      <c r="S1655" s="2" t="s">
        <v>235</v>
      </c>
      <c r="T1655" s="2" t="s">
        <v>235</v>
      </c>
      <c r="U1655" s="2" t="s">
        <v>807</v>
      </c>
      <c r="V1655" s="2" t="s">
        <v>238</v>
      </c>
      <c r="W1655" s="2" t="s">
        <v>235</v>
      </c>
      <c r="X1655" s="2" t="s">
        <v>235</v>
      </c>
      <c r="Y1655" s="2" t="s">
        <v>4783</v>
      </c>
      <c r="Z1655" s="4">
        <v>3</v>
      </c>
      <c r="AA1655" s="4">
        <f>=ROUNDDOWN(1.875,0)</f>
      </c>
      <c r="AB1655" s="5">
        <v>1.6</v>
      </c>
      <c r="AC1655" s="2" t="s">
        <v>235</v>
      </c>
      <c r="AD1655" s="4"/>
      <c r="AE1655" s="4"/>
      <c r="AF1655" s="6"/>
      <c r="AG1655" s="6"/>
      <c r="AH1655" s="7">
        <v>1</v>
      </c>
      <c r="AI1655" s="4"/>
      <c r="AJ1655" s="4">
        <f>=ROUNDDOWN({0},0)</f>
      </c>
      <c r="AK1655" s="5"/>
      <c r="AL1655" s="2" t="s">
        <v>235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235</v>
      </c>
      <c r="AW1655" s="8" t="s">
        <v>235</v>
      </c>
      <c r="AX1655" s="4" t="s">
        <v>235</v>
      </c>
      <c r="AY1655" s="8" t="s">
        <v>235</v>
      </c>
      <c r="AZ1655" s="7" t="s">
        <v>235</v>
      </c>
      <c r="BA1655" s="7" t="s">
        <v>235</v>
      </c>
      <c r="BB1655" s="7" t="s">
        <v>235</v>
      </c>
      <c r="BC1655" s="4" t="s">
        <v>235</v>
      </c>
      <c r="BD1655" s="8" t="s">
        <v>235</v>
      </c>
      <c r="BE1655" s="4" t="s">
        <v>235</v>
      </c>
      <c r="BF1655" s="8" t="s">
        <v>235</v>
      </c>
      <c r="BG1655" s="7" t="s">
        <v>235</v>
      </c>
      <c r="BH1655" s="7" t="s">
        <v>235</v>
      </c>
      <c r="BI1655" s="7"/>
      <c r="BJ1655" s="4">
        <v>6</v>
      </c>
      <c r="BK1655" s="8">
        <v>2609.38</v>
      </c>
      <c r="BL1655" s="2" t="s">
        <v>900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6145</v>
      </c>
      <c r="BV1655" s="2" t="s">
        <v>1488</v>
      </c>
      <c r="BW1655" s="2" t="s">
        <v>235</v>
      </c>
      <c r="BX1655" s="2" t="s">
        <v>244</v>
      </c>
      <c r="BY1655" s="2" t="s">
        <v>245</v>
      </c>
      <c r="BZ1655" s="2" t="s">
        <v>232</v>
      </c>
      <c r="CA1655" s="2" t="s">
        <v>3474</v>
      </c>
      <c r="CB1655" s="2" t="s">
        <v>6146</v>
      </c>
      <c r="CC1655" s="2" t="s">
        <v>248</v>
      </c>
      <c r="CD1655" s="2" t="s">
        <v>248</v>
      </c>
      <c r="CE1655" s="2" t="s">
        <v>235</v>
      </c>
      <c r="CF1655" s="4"/>
      <c r="CG1655" s="4">
        <v>3</v>
      </c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9"/>
      <c r="HE1655" s="9"/>
      <c r="HF1655" s="9"/>
      <c r="HG1655" s="9"/>
      <c r="HH1655" s="9"/>
      <c r="HI1655" s="9"/>
      <c r="HJ1655" s="9"/>
      <c r="HK1655" s="9"/>
      <c r="HL1655" s="9"/>
      <c r="HM1655" s="9"/>
      <c r="HN1655" s="9"/>
      <c r="HO1655" s="9"/>
      <c r="HP1655" s="9"/>
      <c r="HQ1655" s="9"/>
      <c r="HR1655" s="9"/>
      <c r="HS1655" s="9"/>
      <c r="HT1655" s="9"/>
      <c r="HU1655" s="9"/>
      <c r="HV1655" s="9"/>
      <c r="HW1655" s="9"/>
      <c r="HX1655" s="9"/>
      <c r="HY1655" s="9"/>
      <c r="HZ1655" s="9"/>
      <c r="IA1655" s="9"/>
      <c r="IB1655" s="9"/>
      <c r="IC1655" s="9"/>
    </row>
    <row r="1656">
      <c r="A1656" s="2" t="s">
        <v>6147</v>
      </c>
      <c r="B1656" s="2" t="s">
        <v>1529</v>
      </c>
      <c r="C1656" s="2" t="s">
        <v>1381</v>
      </c>
      <c r="D1656" s="2" t="s">
        <v>4819</v>
      </c>
      <c r="E1656" s="2" t="s">
        <v>6148</v>
      </c>
      <c r="F1656" s="2" t="s">
        <v>6144</v>
      </c>
      <c r="G1656" s="2" t="s">
        <v>6144</v>
      </c>
      <c r="H1656" s="2" t="s">
        <v>6144</v>
      </c>
      <c r="I1656" s="2" t="s">
        <v>6149</v>
      </c>
      <c r="J1656" s="2" t="s">
        <v>897</v>
      </c>
      <c r="K1656" s="2" t="s">
        <v>843</v>
      </c>
      <c r="L1656" s="3">
        <v>113.57</v>
      </c>
      <c r="M1656" s="3">
        <v>119.25</v>
      </c>
      <c r="N1656" s="3">
        <v>299</v>
      </c>
      <c r="O1656" s="2" t="s">
        <v>232</v>
      </c>
      <c r="P1656" s="2" t="s">
        <v>1533</v>
      </c>
      <c r="Q1656" s="2" t="s">
        <v>234</v>
      </c>
      <c r="R1656" s="2" t="s">
        <v>235</v>
      </c>
      <c r="S1656" s="2" t="s">
        <v>235</v>
      </c>
      <c r="T1656" s="2" t="s">
        <v>235</v>
      </c>
      <c r="U1656" s="2" t="s">
        <v>807</v>
      </c>
      <c r="V1656" s="2" t="s">
        <v>238</v>
      </c>
      <c r="W1656" s="2" t="s">
        <v>235</v>
      </c>
      <c r="X1656" s="2" t="s">
        <v>235</v>
      </c>
      <c r="Y1656" s="2" t="s">
        <v>4783</v>
      </c>
      <c r="Z1656" s="4"/>
      <c r="AA1656" s="4">
        <f>=ROUNDDOWN({0},0)</f>
      </c>
      <c r="AB1656" s="5"/>
      <c r="AC1656" s="2" t="s">
        <v>235</v>
      </c>
      <c r="AD1656" s="4"/>
      <c r="AE1656" s="4"/>
      <c r="AF1656" s="6"/>
      <c r="AG1656" s="6"/>
      <c r="AH1656" s="7">
        <v>0</v>
      </c>
      <c r="AI1656" s="4"/>
      <c r="AJ1656" s="4">
        <f>=ROUNDDOWN({0},0)</f>
      </c>
      <c r="AK1656" s="5"/>
      <c r="AL1656" s="2" t="s">
        <v>235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235</v>
      </c>
      <c r="AW1656" s="8" t="s">
        <v>235</v>
      </c>
      <c r="AX1656" s="4" t="s">
        <v>235</v>
      </c>
      <c r="AY1656" s="8" t="s">
        <v>235</v>
      </c>
      <c r="AZ1656" s="7" t="s">
        <v>235</v>
      </c>
      <c r="BA1656" s="7" t="s">
        <v>235</v>
      </c>
      <c r="BB1656" s="7" t="s">
        <v>235</v>
      </c>
      <c r="BC1656" s="4" t="s">
        <v>235</v>
      </c>
      <c r="BD1656" s="8" t="s">
        <v>235</v>
      </c>
      <c r="BE1656" s="4" t="s">
        <v>235</v>
      </c>
      <c r="BF1656" s="8" t="s">
        <v>235</v>
      </c>
      <c r="BG1656" s="7" t="s">
        <v>235</v>
      </c>
      <c r="BH1656" s="7" t="s">
        <v>235</v>
      </c>
      <c r="BI1656" s="7"/>
      <c r="BJ1656" s="4"/>
      <c r="BK1656" s="8"/>
      <c r="BL1656" s="2" t="s">
        <v>235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6150</v>
      </c>
      <c r="BV1656" s="2" t="s">
        <v>4384</v>
      </c>
      <c r="BW1656" s="2" t="s">
        <v>235</v>
      </c>
      <c r="BX1656" s="2" t="s">
        <v>244</v>
      </c>
      <c r="BY1656" s="2" t="s">
        <v>245</v>
      </c>
      <c r="BZ1656" s="2" t="s">
        <v>232</v>
      </c>
      <c r="CA1656" s="2" t="s">
        <v>3474</v>
      </c>
      <c r="CB1656" s="2" t="s">
        <v>6151</v>
      </c>
      <c r="CC1656" s="2" t="s">
        <v>248</v>
      </c>
      <c r="CD1656" s="2" t="s">
        <v>248</v>
      </c>
      <c r="CE1656" s="2" t="s">
        <v>235</v>
      </c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9"/>
      <c r="HE1656" s="9"/>
      <c r="HF1656" s="9"/>
      <c r="HG1656" s="9"/>
      <c r="HH1656" s="9"/>
      <c r="HI1656" s="9"/>
      <c r="HJ1656" s="9"/>
      <c r="HK1656" s="9"/>
      <c r="HL1656" s="9"/>
      <c r="HM1656" s="9"/>
      <c r="HN1656" s="9"/>
      <c r="HO1656" s="9"/>
      <c r="HP1656" s="9"/>
      <c r="HQ1656" s="9"/>
      <c r="HR1656" s="9"/>
      <c r="HS1656" s="9"/>
      <c r="HT1656" s="9"/>
      <c r="HU1656" s="9"/>
      <c r="HV1656" s="9"/>
      <c r="HW1656" s="9"/>
      <c r="HX1656" s="9"/>
      <c r="HY1656" s="9"/>
      <c r="HZ1656" s="9"/>
      <c r="IA1656" s="9"/>
      <c r="IB1656" s="9"/>
      <c r="IC1656" s="9"/>
    </row>
    <row r="1657">
      <c r="A1657" s="2" t="s">
        <v>6152</v>
      </c>
      <c r="B1657" s="2" t="s">
        <v>323</v>
      </c>
      <c r="C1657" s="2" t="s">
        <v>678</v>
      </c>
      <c r="D1657" s="2" t="s">
        <v>257</v>
      </c>
      <c r="E1657" s="2" t="s">
        <v>258</v>
      </c>
      <c r="F1657" s="2" t="s">
        <v>6153</v>
      </c>
      <c r="G1657" s="2" t="s">
        <v>6153</v>
      </c>
      <c r="H1657" s="2" t="s">
        <v>6153</v>
      </c>
      <c r="I1657" s="2" t="s">
        <v>6154</v>
      </c>
      <c r="J1657" s="2" t="s">
        <v>272</v>
      </c>
      <c r="K1657" s="2" t="s">
        <v>3154</v>
      </c>
      <c r="L1657" s="3">
        <v>28.68</v>
      </c>
      <c r="M1657" s="3">
        <v>30.11</v>
      </c>
      <c r="N1657" s="3">
        <v>62.99</v>
      </c>
      <c r="O1657" s="2" t="s">
        <v>232</v>
      </c>
      <c r="P1657" s="2" t="s">
        <v>233</v>
      </c>
      <c r="Q1657" s="2" t="s">
        <v>234</v>
      </c>
      <c r="R1657" s="2" t="s">
        <v>235</v>
      </c>
      <c r="S1657" s="2" t="s">
        <v>6155</v>
      </c>
      <c r="T1657" s="2" t="s">
        <v>2908</v>
      </c>
      <c r="U1657" s="2" t="s">
        <v>264</v>
      </c>
      <c r="V1657" s="2" t="s">
        <v>420</v>
      </c>
      <c r="W1657" s="2" t="s">
        <v>239</v>
      </c>
      <c r="X1657" s="2" t="s">
        <v>682</v>
      </c>
      <c r="Y1657" s="2" t="s">
        <v>3231</v>
      </c>
      <c r="Z1657" s="4">
        <v>125</v>
      </c>
      <c r="AA1657" s="4">
        <f>=ROUNDDOWN(13.8888888888889,0)</f>
      </c>
      <c r="AB1657" s="5">
        <v>9</v>
      </c>
      <c r="AC1657" s="2" t="s">
        <v>235</v>
      </c>
      <c r="AD1657" s="4"/>
      <c r="AE1657" s="4"/>
      <c r="AF1657" s="6">
        <v>77</v>
      </c>
      <c r="AG1657" s="6"/>
      <c r="AH1657" s="7">
        <v>1</v>
      </c>
      <c r="AI1657" s="4"/>
      <c r="AJ1657" s="4">
        <f>=ROUNDDOWN({0},0)</f>
      </c>
      <c r="AK1657" s="5"/>
      <c r="AL1657" s="2" t="s">
        <v>235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 t="s">
        <v>235</v>
      </c>
      <c r="BD1657" s="8" t="s">
        <v>235</v>
      </c>
      <c r="BE1657" s="4" t="s">
        <v>235</v>
      </c>
      <c r="BF1657" s="8" t="s">
        <v>235</v>
      </c>
      <c r="BG1657" s="7" t="s">
        <v>235</v>
      </c>
      <c r="BH1657" s="7" t="s">
        <v>235</v>
      </c>
      <c r="BI1657" s="7"/>
      <c r="BJ1657" s="4">
        <v>4</v>
      </c>
      <c r="BK1657" s="8">
        <v>132.17</v>
      </c>
      <c r="BL1657" s="2" t="s">
        <v>3232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6156</v>
      </c>
      <c r="BV1657" s="2" t="s">
        <v>243</v>
      </c>
      <c r="BW1657" s="2" t="s">
        <v>235</v>
      </c>
      <c r="BX1657" s="2" t="s">
        <v>244</v>
      </c>
      <c r="BY1657" s="2" t="s">
        <v>245</v>
      </c>
      <c r="BZ1657" s="2" t="s">
        <v>232</v>
      </c>
      <c r="CA1657" s="2" t="s">
        <v>6157</v>
      </c>
      <c r="CB1657" s="2" t="s">
        <v>5860</v>
      </c>
      <c r="CC1657" s="2" t="s">
        <v>248</v>
      </c>
      <c r="CD1657" s="2" t="s">
        <v>248</v>
      </c>
      <c r="CE1657" s="2" t="s">
        <v>235</v>
      </c>
      <c r="CF1657" s="4">
        <v>125</v>
      </c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>
        <v>129</v>
      </c>
      <c r="GE1657" s="4">
        <v>123</v>
      </c>
      <c r="GF1657" s="4">
        <v>118</v>
      </c>
      <c r="GG1657" s="4">
        <v>112</v>
      </c>
      <c r="GH1657" s="4">
        <v>105</v>
      </c>
      <c r="GI1657" s="4">
        <v>93</v>
      </c>
      <c r="GJ1657" s="4">
        <v>75</v>
      </c>
      <c r="GK1657" s="4">
        <v>63</v>
      </c>
      <c r="GL1657" s="4">
        <v>51</v>
      </c>
      <c r="GM1657" s="4">
        <v>41</v>
      </c>
      <c r="GN1657" s="4">
        <v>28</v>
      </c>
      <c r="GO1657" s="4">
        <v>13</v>
      </c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19">
        <v>21.5</v>
      </c>
      <c r="HE1657" s="19">
        <v>15.4</v>
      </c>
      <c r="HF1657" s="19">
        <v>10.7</v>
      </c>
      <c r="HG1657" s="19">
        <v>9.3</v>
      </c>
      <c r="HH1657" s="19">
        <v>7.5</v>
      </c>
      <c r="HI1657" s="19">
        <v>7.2</v>
      </c>
      <c r="HJ1657" s="19">
        <v>6.3</v>
      </c>
      <c r="HK1657" s="19">
        <v>5.3</v>
      </c>
      <c r="HL1657" s="19">
        <v>3.6</v>
      </c>
      <c r="HM1657" s="19">
        <v>2</v>
      </c>
      <c r="HN1657" s="19">
        <v>1.3</v>
      </c>
      <c r="HO1657" s="19">
        <v>0.6</v>
      </c>
      <c r="HP1657" s="20">
        <v>0</v>
      </c>
      <c r="HQ1657" s="20">
        <v>0</v>
      </c>
      <c r="HR1657" s="20">
        <v>0</v>
      </c>
      <c r="HS1657" s="20">
        <v>0</v>
      </c>
      <c r="HT1657" s="20">
        <v>0</v>
      </c>
      <c r="HU1657" s="20">
        <v>0</v>
      </c>
      <c r="HV1657" s="20">
        <v>0</v>
      </c>
      <c r="HW1657" s="20">
        <v>0</v>
      </c>
      <c r="HX1657" s="20">
        <v>0</v>
      </c>
      <c r="HY1657" s="20">
        <v>0</v>
      </c>
      <c r="HZ1657" s="20">
        <v>0</v>
      </c>
      <c r="IA1657" s="20">
        <v>0</v>
      </c>
      <c r="IB1657" s="20">
        <v>0</v>
      </c>
      <c r="IC1657" s="20">
        <v>0</v>
      </c>
    </row>
    <row r="1658">
      <c r="A1658" s="2" t="s">
        <v>6158</v>
      </c>
      <c r="B1658" s="2" t="s">
        <v>323</v>
      </c>
      <c r="C1658" s="2" t="s">
        <v>678</v>
      </c>
      <c r="D1658" s="2" t="s">
        <v>257</v>
      </c>
      <c r="E1658" s="2" t="s">
        <v>258</v>
      </c>
      <c r="F1658" s="2" t="s">
        <v>6153</v>
      </c>
      <c r="G1658" s="2" t="s">
        <v>6153</v>
      </c>
      <c r="H1658" s="2" t="s">
        <v>6153</v>
      </c>
      <c r="I1658" s="2" t="s">
        <v>6154</v>
      </c>
      <c r="J1658" s="2" t="s">
        <v>250</v>
      </c>
      <c r="K1658" s="2" t="s">
        <v>3161</v>
      </c>
      <c r="L1658" s="3">
        <v>22</v>
      </c>
      <c r="M1658" s="3">
        <v>23.1</v>
      </c>
      <c r="N1658" s="3">
        <v>47.99</v>
      </c>
      <c r="O1658" s="2" t="s">
        <v>232</v>
      </c>
      <c r="P1658" s="2" t="s">
        <v>233</v>
      </c>
      <c r="Q1658" s="2" t="s">
        <v>234</v>
      </c>
      <c r="R1658" s="2" t="s">
        <v>235</v>
      </c>
      <c r="S1658" s="2" t="s">
        <v>6159</v>
      </c>
      <c r="T1658" s="2" t="s">
        <v>2908</v>
      </c>
      <c r="U1658" s="2" t="s">
        <v>264</v>
      </c>
      <c r="V1658" s="2" t="s">
        <v>2919</v>
      </c>
      <c r="W1658" s="2" t="s">
        <v>239</v>
      </c>
      <c r="X1658" s="2" t="s">
        <v>682</v>
      </c>
      <c r="Y1658" s="2" t="s">
        <v>2953</v>
      </c>
      <c r="Z1658" s="4">
        <v>339</v>
      </c>
      <c r="AA1658" s="4">
        <f>=ROUNDDOWN(48.4285714285714,0)</f>
      </c>
      <c r="AB1658" s="5">
        <v>7</v>
      </c>
      <c r="AC1658" s="2" t="s">
        <v>235</v>
      </c>
      <c r="AD1658" s="4"/>
      <c r="AE1658" s="4"/>
      <c r="AF1658" s="6">
        <v>77</v>
      </c>
      <c r="AG1658" s="6"/>
      <c r="AH1658" s="7">
        <v>1</v>
      </c>
      <c r="AI1658" s="4"/>
      <c r="AJ1658" s="4">
        <f>=ROUNDDOWN({0},0)</f>
      </c>
      <c r="AK1658" s="5"/>
      <c r="AL1658" s="2" t="s">
        <v>235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235</v>
      </c>
      <c r="AW1658" s="8" t="s">
        <v>235</v>
      </c>
      <c r="AX1658" s="4" t="s">
        <v>235</v>
      </c>
      <c r="AY1658" s="8" t="s">
        <v>235</v>
      </c>
      <c r="AZ1658" s="7" t="s">
        <v>235</v>
      </c>
      <c r="BA1658" s="7" t="s">
        <v>235</v>
      </c>
      <c r="BB1658" s="7"/>
      <c r="BC1658" s="4" t="s">
        <v>235</v>
      </c>
      <c r="BD1658" s="8" t="s">
        <v>235</v>
      </c>
      <c r="BE1658" s="4" t="s">
        <v>235</v>
      </c>
      <c r="BF1658" s="8" t="s">
        <v>235</v>
      </c>
      <c r="BG1658" s="7" t="s">
        <v>235</v>
      </c>
      <c r="BH1658" s="7" t="s">
        <v>235</v>
      </c>
      <c r="BI1658" s="7"/>
      <c r="BJ1658" s="4">
        <v>5</v>
      </c>
      <c r="BK1658" s="8">
        <v>128.48</v>
      </c>
      <c r="BL1658" s="2" t="s">
        <v>3724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6156</v>
      </c>
      <c r="BV1658" s="2" t="s">
        <v>243</v>
      </c>
      <c r="BW1658" s="2" t="s">
        <v>235</v>
      </c>
      <c r="BX1658" s="2" t="s">
        <v>244</v>
      </c>
      <c r="BY1658" s="2" t="s">
        <v>245</v>
      </c>
      <c r="BZ1658" s="2" t="s">
        <v>232</v>
      </c>
      <c r="CA1658" s="2" t="s">
        <v>1198</v>
      </c>
      <c r="CB1658" s="2" t="s">
        <v>2901</v>
      </c>
      <c r="CC1658" s="2" t="s">
        <v>248</v>
      </c>
      <c r="CD1658" s="2" t="s">
        <v>248</v>
      </c>
      <c r="CE1658" s="2" t="s">
        <v>235</v>
      </c>
      <c r="CF1658" s="4">
        <v>339</v>
      </c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>
        <v>340</v>
      </c>
      <c r="GE1658" s="4">
        <v>331</v>
      </c>
      <c r="GF1658" s="4">
        <v>326</v>
      </c>
      <c r="GG1658" s="4">
        <v>320</v>
      </c>
      <c r="GH1658" s="4">
        <v>313</v>
      </c>
      <c r="GI1658" s="4">
        <v>302</v>
      </c>
      <c r="GJ1658" s="4">
        <v>285</v>
      </c>
      <c r="GK1658" s="4">
        <v>274</v>
      </c>
      <c r="GL1658" s="4">
        <v>263</v>
      </c>
      <c r="GM1658" s="4">
        <v>254</v>
      </c>
      <c r="GN1658" s="4">
        <v>243</v>
      </c>
      <c r="GO1658" s="4">
        <v>230</v>
      </c>
      <c r="GP1658" s="4">
        <v>212</v>
      </c>
      <c r="GQ1658" s="4">
        <v>179</v>
      </c>
      <c r="GR1658" s="4">
        <v>163</v>
      </c>
      <c r="GS1658" s="4">
        <v>148</v>
      </c>
      <c r="GT1658" s="4">
        <v>138</v>
      </c>
      <c r="GU1658" s="4">
        <v>130</v>
      </c>
      <c r="GV1658" s="4">
        <v>122</v>
      </c>
      <c r="GW1658" s="4">
        <v>116</v>
      </c>
      <c r="GX1658" s="4">
        <v>111</v>
      </c>
      <c r="GY1658" s="4">
        <v>107</v>
      </c>
      <c r="GZ1658" s="4">
        <v>103</v>
      </c>
      <c r="HA1658" s="4">
        <v>99</v>
      </c>
      <c r="HB1658" s="4">
        <v>95</v>
      </c>
      <c r="HC1658" s="4">
        <v>91</v>
      </c>
      <c r="HD1658" s="19">
        <v>48.6</v>
      </c>
      <c r="HE1658" s="19">
        <v>47.3</v>
      </c>
      <c r="HF1658" s="19">
        <v>32.6</v>
      </c>
      <c r="HG1658" s="19">
        <v>26.7</v>
      </c>
      <c r="HH1658" s="19">
        <v>26.1</v>
      </c>
      <c r="HI1658" s="19">
        <v>25.2</v>
      </c>
      <c r="HJ1658" s="19">
        <v>28.5</v>
      </c>
      <c r="HK1658" s="19">
        <v>24.9</v>
      </c>
      <c r="HL1658" s="19">
        <v>20.2</v>
      </c>
      <c r="HM1658" s="19">
        <v>13.4</v>
      </c>
      <c r="HN1658" s="19">
        <v>12.2</v>
      </c>
      <c r="HO1658" s="19">
        <v>11.5</v>
      </c>
      <c r="HP1658" s="19">
        <v>11.8</v>
      </c>
      <c r="HQ1658" s="19">
        <v>14.9</v>
      </c>
      <c r="HR1658" s="19">
        <v>16.3</v>
      </c>
      <c r="HS1658" s="19">
        <v>18.5</v>
      </c>
      <c r="HT1658" s="19">
        <v>19.7</v>
      </c>
      <c r="HU1658" s="19">
        <v>21.7</v>
      </c>
      <c r="HV1658" s="19">
        <v>24.4</v>
      </c>
      <c r="HW1658" s="19">
        <v>29</v>
      </c>
      <c r="HX1658" s="19">
        <v>27.8</v>
      </c>
      <c r="HY1658" s="19">
        <v>26.8</v>
      </c>
      <c r="HZ1658" s="19">
        <v>25.8</v>
      </c>
      <c r="IA1658" s="19">
        <v>24.8</v>
      </c>
      <c r="IB1658" s="19">
        <v>31.7</v>
      </c>
      <c r="IC1658" s="19">
        <v>45.5</v>
      </c>
    </row>
    <row r="1659">
      <c r="A1659" s="2" t="s">
        <v>6160</v>
      </c>
      <c r="B1659" s="2" t="s">
        <v>323</v>
      </c>
      <c r="C1659" s="2" t="s">
        <v>678</v>
      </c>
      <c r="D1659" s="2" t="s">
        <v>257</v>
      </c>
      <c r="E1659" s="2" t="s">
        <v>258</v>
      </c>
      <c r="F1659" s="2" t="s">
        <v>6153</v>
      </c>
      <c r="G1659" s="2" t="s">
        <v>6153</v>
      </c>
      <c r="H1659" s="2" t="s">
        <v>6153</v>
      </c>
      <c r="I1659" s="2" t="s">
        <v>6154</v>
      </c>
      <c r="J1659" s="2" t="s">
        <v>270</v>
      </c>
      <c r="K1659" s="2" t="s">
        <v>3161</v>
      </c>
      <c r="L1659" s="3">
        <v>28.68</v>
      </c>
      <c r="M1659" s="3">
        <v>30.11</v>
      </c>
      <c r="N1659" s="3">
        <v>62.99</v>
      </c>
      <c r="O1659" s="2" t="s">
        <v>232</v>
      </c>
      <c r="P1659" s="2" t="s">
        <v>233</v>
      </c>
      <c r="Q1659" s="2" t="s">
        <v>234</v>
      </c>
      <c r="R1659" s="2" t="s">
        <v>235</v>
      </c>
      <c r="S1659" s="2" t="s">
        <v>6159</v>
      </c>
      <c r="T1659" s="2" t="s">
        <v>2908</v>
      </c>
      <c r="U1659" s="2" t="s">
        <v>264</v>
      </c>
      <c r="V1659" s="2" t="s">
        <v>2919</v>
      </c>
      <c r="W1659" s="2" t="s">
        <v>239</v>
      </c>
      <c r="X1659" s="2" t="s">
        <v>682</v>
      </c>
      <c r="Y1659" s="2" t="s">
        <v>2953</v>
      </c>
      <c r="Z1659" s="4">
        <v>94</v>
      </c>
      <c r="AA1659" s="4">
        <f>=ROUNDDOWN(23.5,0)</f>
      </c>
      <c r="AB1659" s="5">
        <v>4</v>
      </c>
      <c r="AC1659" s="2" t="s">
        <v>235</v>
      </c>
      <c r="AD1659" s="4"/>
      <c r="AE1659" s="4"/>
      <c r="AF1659" s="6">
        <v>77</v>
      </c>
      <c r="AG1659" s="6"/>
      <c r="AH1659" s="7">
        <v>1</v>
      </c>
      <c r="AI1659" s="4"/>
      <c r="AJ1659" s="4">
        <f>=ROUNDDOWN({0},0)</f>
      </c>
      <c r="AK1659" s="5"/>
      <c r="AL1659" s="2" t="s">
        <v>235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235</v>
      </c>
      <c r="AW1659" s="8" t="s">
        <v>235</v>
      </c>
      <c r="AX1659" s="4" t="s">
        <v>235</v>
      </c>
      <c r="AY1659" s="8" t="s">
        <v>235</v>
      </c>
      <c r="AZ1659" s="7" t="s">
        <v>235</v>
      </c>
      <c r="BA1659" s="7" t="s">
        <v>235</v>
      </c>
      <c r="BB1659" s="7"/>
      <c r="BC1659" s="4" t="s">
        <v>235</v>
      </c>
      <c r="BD1659" s="8" t="s">
        <v>235</v>
      </c>
      <c r="BE1659" s="4" t="s">
        <v>235</v>
      </c>
      <c r="BF1659" s="8" t="s">
        <v>235</v>
      </c>
      <c r="BG1659" s="7" t="s">
        <v>235</v>
      </c>
      <c r="BH1659" s="7" t="s">
        <v>235</v>
      </c>
      <c r="BI1659" s="7"/>
      <c r="BJ1659" s="4">
        <v>6</v>
      </c>
      <c r="BK1659" s="8">
        <v>206.79</v>
      </c>
      <c r="BL1659" s="2" t="s">
        <v>2757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6156</v>
      </c>
      <c r="BV1659" s="2" t="s">
        <v>243</v>
      </c>
      <c r="BW1659" s="2" t="s">
        <v>235</v>
      </c>
      <c r="BX1659" s="2" t="s">
        <v>244</v>
      </c>
      <c r="BY1659" s="2" t="s">
        <v>245</v>
      </c>
      <c r="BZ1659" s="2" t="s">
        <v>232</v>
      </c>
      <c r="CA1659" s="2" t="s">
        <v>1198</v>
      </c>
      <c r="CB1659" s="2" t="s">
        <v>5243</v>
      </c>
      <c r="CC1659" s="2" t="s">
        <v>248</v>
      </c>
      <c r="CD1659" s="2" t="s">
        <v>248</v>
      </c>
      <c r="CE1659" s="2" t="s">
        <v>235</v>
      </c>
      <c r="CF1659" s="4">
        <v>94</v>
      </c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>
        <v>96</v>
      </c>
      <c r="GE1659" s="4">
        <v>92</v>
      </c>
      <c r="GF1659" s="4">
        <v>90</v>
      </c>
      <c r="GG1659" s="4">
        <v>87</v>
      </c>
      <c r="GH1659" s="4">
        <v>83</v>
      </c>
      <c r="GI1659" s="4">
        <v>73</v>
      </c>
      <c r="GJ1659" s="4">
        <v>60</v>
      </c>
      <c r="GK1659" s="4">
        <v>50</v>
      </c>
      <c r="GL1659" s="4">
        <v>40</v>
      </c>
      <c r="GM1659" s="4">
        <v>31</v>
      </c>
      <c r="GN1659" s="4">
        <v>19</v>
      </c>
      <c r="GO1659" s="4">
        <v>4</v>
      </c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19">
        <v>32</v>
      </c>
      <c r="HE1659" s="19">
        <v>18.4</v>
      </c>
      <c r="HF1659" s="19">
        <v>11.3</v>
      </c>
      <c r="HG1659" s="19">
        <v>9.7</v>
      </c>
      <c r="HH1659" s="19">
        <v>7.5</v>
      </c>
      <c r="HI1659" s="19">
        <v>7.3</v>
      </c>
      <c r="HJ1659" s="19">
        <v>6</v>
      </c>
      <c r="HK1659" s="19">
        <v>4.2</v>
      </c>
      <c r="HL1659" s="19">
        <v>2.9</v>
      </c>
      <c r="HM1659" s="19">
        <v>1.3</v>
      </c>
      <c r="HN1659" s="19">
        <v>0.8</v>
      </c>
      <c r="HO1659" s="19">
        <v>0.2</v>
      </c>
      <c r="HP1659" s="20">
        <v>0</v>
      </c>
      <c r="HQ1659" s="20">
        <v>0</v>
      </c>
      <c r="HR1659" s="20">
        <v>0</v>
      </c>
      <c r="HS1659" s="20">
        <v>0</v>
      </c>
      <c r="HT1659" s="20">
        <v>0</v>
      </c>
      <c r="HU1659" s="20">
        <v>0</v>
      </c>
      <c r="HV1659" s="20">
        <v>0</v>
      </c>
      <c r="HW1659" s="20">
        <v>0</v>
      </c>
      <c r="HX1659" s="20">
        <v>0</v>
      </c>
      <c r="HY1659" s="20">
        <v>0</v>
      </c>
      <c r="HZ1659" s="20">
        <v>0</v>
      </c>
      <c r="IA1659" s="20">
        <v>0</v>
      </c>
      <c r="IB1659" s="20">
        <v>0</v>
      </c>
      <c r="IC1659" s="20">
        <v>0</v>
      </c>
    </row>
    <row r="1660">
      <c r="A1660" s="2" t="s">
        <v>6161</v>
      </c>
      <c r="B1660" s="2" t="s">
        <v>323</v>
      </c>
      <c r="C1660" s="2" t="s">
        <v>678</v>
      </c>
      <c r="D1660" s="2" t="s">
        <v>257</v>
      </c>
      <c r="E1660" s="2" t="s">
        <v>258</v>
      </c>
      <c r="F1660" s="2" t="s">
        <v>6153</v>
      </c>
      <c r="G1660" s="2" t="s">
        <v>6153</v>
      </c>
      <c r="H1660" s="2" t="s">
        <v>6153</v>
      </c>
      <c r="I1660" s="2" t="s">
        <v>6154</v>
      </c>
      <c r="J1660" s="2" t="s">
        <v>270</v>
      </c>
      <c r="K1660" s="2" t="s">
        <v>6162</v>
      </c>
      <c r="L1660" s="3">
        <v>28.68</v>
      </c>
      <c r="M1660" s="3">
        <v>30.11</v>
      </c>
      <c r="N1660" s="3">
        <v>62.99</v>
      </c>
      <c r="O1660" s="2" t="s">
        <v>232</v>
      </c>
      <c r="P1660" s="2" t="s">
        <v>408</v>
      </c>
      <c r="Q1660" s="2" t="s">
        <v>234</v>
      </c>
      <c r="R1660" s="2" t="s">
        <v>235</v>
      </c>
      <c r="S1660" s="2" t="s">
        <v>6163</v>
      </c>
      <c r="T1660" s="2" t="s">
        <v>2908</v>
      </c>
      <c r="U1660" s="2" t="s">
        <v>264</v>
      </c>
      <c r="V1660" s="2" t="s">
        <v>2182</v>
      </c>
      <c r="W1660" s="2" t="s">
        <v>239</v>
      </c>
      <c r="X1660" s="2" t="s">
        <v>682</v>
      </c>
      <c r="Y1660" s="2" t="s">
        <v>6164</v>
      </c>
      <c r="Z1660" s="4">
        <v>213</v>
      </c>
      <c r="AA1660" s="4">
        <f>=ROUNDDOWN(23.6666666666667,0)</f>
      </c>
      <c r="AB1660" s="5">
        <v>9</v>
      </c>
      <c r="AC1660" s="2" t="s">
        <v>235</v>
      </c>
      <c r="AD1660" s="4"/>
      <c r="AE1660" s="4"/>
      <c r="AF1660" s="6">
        <v>73</v>
      </c>
      <c r="AG1660" s="6"/>
      <c r="AH1660" s="7">
        <v>1</v>
      </c>
      <c r="AI1660" s="4"/>
      <c r="AJ1660" s="4">
        <f>=ROUNDDOWN({0},0)</f>
      </c>
      <c r="AK1660" s="5"/>
      <c r="AL1660" s="2" t="s">
        <v>235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235</v>
      </c>
      <c r="AW1660" s="8" t="s">
        <v>235</v>
      </c>
      <c r="AX1660" s="4" t="s">
        <v>235</v>
      </c>
      <c r="AY1660" s="8" t="s">
        <v>235</v>
      </c>
      <c r="AZ1660" s="7" t="s">
        <v>235</v>
      </c>
      <c r="BA1660" s="7" t="s">
        <v>235</v>
      </c>
      <c r="BB1660" s="7"/>
      <c r="BC1660" s="4" t="s">
        <v>235</v>
      </c>
      <c r="BD1660" s="8" t="s">
        <v>235</v>
      </c>
      <c r="BE1660" s="4" t="s">
        <v>235</v>
      </c>
      <c r="BF1660" s="8" t="s">
        <v>235</v>
      </c>
      <c r="BG1660" s="7" t="s">
        <v>235</v>
      </c>
      <c r="BH1660" s="7" t="s">
        <v>235</v>
      </c>
      <c r="BI1660" s="7"/>
      <c r="BJ1660" s="4">
        <v>10</v>
      </c>
      <c r="BK1660" s="8">
        <v>335.65</v>
      </c>
      <c r="BL1660" s="2" t="s">
        <v>3477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6156</v>
      </c>
      <c r="BV1660" s="2" t="s">
        <v>243</v>
      </c>
      <c r="BW1660" s="2" t="s">
        <v>235</v>
      </c>
      <c r="BX1660" s="2" t="s">
        <v>244</v>
      </c>
      <c r="BY1660" s="2" t="s">
        <v>245</v>
      </c>
      <c r="BZ1660" s="2" t="s">
        <v>232</v>
      </c>
      <c r="CA1660" s="2" t="s">
        <v>6165</v>
      </c>
      <c r="CB1660" s="2" t="s">
        <v>6166</v>
      </c>
      <c r="CC1660" s="2" t="s">
        <v>248</v>
      </c>
      <c r="CD1660" s="2" t="s">
        <v>248</v>
      </c>
      <c r="CE1660" s="2" t="s">
        <v>235</v>
      </c>
      <c r="CF1660" s="4">
        <v>213</v>
      </c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>
        <v>215</v>
      </c>
      <c r="GE1660" s="4">
        <v>201</v>
      </c>
      <c r="GF1660" s="4">
        <v>196</v>
      </c>
      <c r="GG1660" s="4">
        <v>190</v>
      </c>
      <c r="GH1660" s="4">
        <v>184</v>
      </c>
      <c r="GI1660" s="4">
        <v>174</v>
      </c>
      <c r="GJ1660" s="4">
        <v>161</v>
      </c>
      <c r="GK1660" s="4">
        <v>151</v>
      </c>
      <c r="GL1660" s="4">
        <v>141</v>
      </c>
      <c r="GM1660" s="4">
        <v>132</v>
      </c>
      <c r="GN1660" s="4">
        <v>120</v>
      </c>
      <c r="GO1660" s="4">
        <v>105</v>
      </c>
      <c r="GP1660" s="4">
        <v>82</v>
      </c>
      <c r="GQ1660" s="4">
        <v>38</v>
      </c>
      <c r="GR1660" s="4">
        <v>17</v>
      </c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19">
        <v>26.9</v>
      </c>
      <c r="HE1660" s="19">
        <v>28.7</v>
      </c>
      <c r="HF1660" s="19">
        <v>21.8</v>
      </c>
      <c r="HG1660" s="19">
        <v>19</v>
      </c>
      <c r="HH1660" s="19">
        <v>16.7</v>
      </c>
      <c r="HI1660" s="19">
        <v>17.4</v>
      </c>
      <c r="HJ1660" s="19">
        <v>16.1</v>
      </c>
      <c r="HK1660" s="19">
        <v>12.6</v>
      </c>
      <c r="HL1660" s="19">
        <v>9.4</v>
      </c>
      <c r="HM1660" s="19">
        <v>5.5</v>
      </c>
      <c r="HN1660" s="19">
        <v>4.6</v>
      </c>
      <c r="HO1660" s="19">
        <v>3.9</v>
      </c>
      <c r="HP1660" s="19">
        <v>3.4</v>
      </c>
      <c r="HQ1660" s="19">
        <v>2.4</v>
      </c>
      <c r="HR1660" s="19">
        <v>1.3</v>
      </c>
      <c r="HS1660" s="20">
        <v>0</v>
      </c>
      <c r="HT1660" s="20">
        <v>0</v>
      </c>
      <c r="HU1660" s="20">
        <v>0</v>
      </c>
      <c r="HV1660" s="20">
        <v>0</v>
      </c>
      <c r="HW1660" s="20">
        <v>0</v>
      </c>
      <c r="HX1660" s="20">
        <v>0</v>
      </c>
      <c r="HY1660" s="20">
        <v>0</v>
      </c>
      <c r="HZ1660" s="20">
        <v>0</v>
      </c>
      <c r="IA1660" s="20">
        <v>0</v>
      </c>
      <c r="IB1660" s="20">
        <v>0</v>
      </c>
      <c r="IC1660" s="20">
        <v>0</v>
      </c>
    </row>
    <row r="1661">
      <c r="A1661" s="2" t="s">
        <v>6167</v>
      </c>
      <c r="B1661" s="2" t="s">
        <v>323</v>
      </c>
      <c r="C1661" s="2" t="s">
        <v>678</v>
      </c>
      <c r="D1661" s="2" t="s">
        <v>257</v>
      </c>
      <c r="E1661" s="2" t="s">
        <v>258</v>
      </c>
      <c r="F1661" s="2" t="s">
        <v>6153</v>
      </c>
      <c r="G1661" s="2" t="s">
        <v>6153</v>
      </c>
      <c r="H1661" s="2" t="s">
        <v>6153</v>
      </c>
      <c r="I1661" s="2" t="s">
        <v>6154</v>
      </c>
      <c r="J1661" s="2" t="s">
        <v>272</v>
      </c>
      <c r="K1661" s="2" t="s">
        <v>6162</v>
      </c>
      <c r="L1661" s="3">
        <v>28.68</v>
      </c>
      <c r="M1661" s="3">
        <v>30.11</v>
      </c>
      <c r="N1661" s="3">
        <v>62.99</v>
      </c>
      <c r="O1661" s="2" t="s">
        <v>232</v>
      </c>
      <c r="P1661" s="2" t="s">
        <v>408</v>
      </c>
      <c r="Q1661" s="2" t="s">
        <v>234</v>
      </c>
      <c r="R1661" s="2" t="s">
        <v>235</v>
      </c>
      <c r="S1661" s="2" t="s">
        <v>6163</v>
      </c>
      <c r="T1661" s="2" t="s">
        <v>2908</v>
      </c>
      <c r="U1661" s="2" t="s">
        <v>264</v>
      </c>
      <c r="V1661" s="2" t="s">
        <v>2182</v>
      </c>
      <c r="W1661" s="2" t="s">
        <v>239</v>
      </c>
      <c r="X1661" s="2" t="s">
        <v>682</v>
      </c>
      <c r="Y1661" s="2" t="s">
        <v>6164</v>
      </c>
      <c r="Z1661" s="4">
        <v>67</v>
      </c>
      <c r="AA1661" s="4">
        <f>=ROUNDDOWN(11.1666666666667,0)</f>
      </c>
      <c r="AB1661" s="5">
        <v>6</v>
      </c>
      <c r="AC1661" s="2" t="s">
        <v>235</v>
      </c>
      <c r="AD1661" s="4"/>
      <c r="AE1661" s="4"/>
      <c r="AF1661" s="6">
        <v>73</v>
      </c>
      <c r="AG1661" s="6"/>
      <c r="AH1661" s="7">
        <v>1</v>
      </c>
      <c r="AI1661" s="4"/>
      <c r="AJ1661" s="4">
        <f>=ROUNDDOWN({0},0)</f>
      </c>
      <c r="AK1661" s="5"/>
      <c r="AL1661" s="2" t="s">
        <v>235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235</v>
      </c>
      <c r="AW1661" s="8" t="s">
        <v>235</v>
      </c>
      <c r="AX1661" s="4" t="s">
        <v>235</v>
      </c>
      <c r="AY1661" s="8" t="s">
        <v>235</v>
      </c>
      <c r="AZ1661" s="7" t="s">
        <v>235</v>
      </c>
      <c r="BA1661" s="7" t="s">
        <v>235</v>
      </c>
      <c r="BB1661" s="7"/>
      <c r="BC1661" s="4" t="s">
        <v>235</v>
      </c>
      <c r="BD1661" s="8" t="s">
        <v>235</v>
      </c>
      <c r="BE1661" s="4" t="s">
        <v>235</v>
      </c>
      <c r="BF1661" s="8" t="s">
        <v>235</v>
      </c>
      <c r="BG1661" s="7" t="s">
        <v>235</v>
      </c>
      <c r="BH1661" s="7" t="s">
        <v>235</v>
      </c>
      <c r="BI1661" s="7"/>
      <c r="BJ1661" s="4">
        <v>2</v>
      </c>
      <c r="BK1661" s="8">
        <v>67.58</v>
      </c>
      <c r="BL1661" s="2" t="s">
        <v>2757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6156</v>
      </c>
      <c r="BV1661" s="2" t="s">
        <v>243</v>
      </c>
      <c r="BW1661" s="2" t="s">
        <v>235</v>
      </c>
      <c r="BX1661" s="2" t="s">
        <v>244</v>
      </c>
      <c r="BY1661" s="2" t="s">
        <v>245</v>
      </c>
      <c r="BZ1661" s="2" t="s">
        <v>232</v>
      </c>
      <c r="CA1661" s="2" t="s">
        <v>6165</v>
      </c>
      <c r="CB1661" s="2" t="s">
        <v>6168</v>
      </c>
      <c r="CC1661" s="2" t="s">
        <v>248</v>
      </c>
      <c r="CD1661" s="2" t="s">
        <v>248</v>
      </c>
      <c r="CE1661" s="2" t="s">
        <v>235</v>
      </c>
      <c r="CF1661" s="4">
        <v>67</v>
      </c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>
        <v>67</v>
      </c>
      <c r="GE1661" s="4">
        <v>56</v>
      </c>
      <c r="GF1661" s="4">
        <v>52</v>
      </c>
      <c r="GG1661" s="4">
        <v>47</v>
      </c>
      <c r="GH1661" s="4">
        <v>42</v>
      </c>
      <c r="GI1661" s="4">
        <v>34</v>
      </c>
      <c r="GJ1661" s="4">
        <v>23</v>
      </c>
      <c r="GK1661" s="4">
        <v>15</v>
      </c>
      <c r="GL1661" s="4">
        <v>7</v>
      </c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19">
        <v>11.2</v>
      </c>
      <c r="HE1661" s="19">
        <v>9.3</v>
      </c>
      <c r="HF1661" s="19">
        <v>7.4</v>
      </c>
      <c r="HG1661" s="19">
        <v>5.9</v>
      </c>
      <c r="HH1661" s="19">
        <v>4.7</v>
      </c>
      <c r="HI1661" s="19">
        <v>4.3</v>
      </c>
      <c r="HJ1661" s="19">
        <v>2.9</v>
      </c>
      <c r="HK1661" s="19">
        <v>1.9</v>
      </c>
      <c r="HL1661" s="19">
        <v>0.7</v>
      </c>
      <c r="HM1661" s="20">
        <v>0</v>
      </c>
      <c r="HN1661" s="20">
        <v>0</v>
      </c>
      <c r="HO1661" s="20">
        <v>0</v>
      </c>
      <c r="HP1661" s="20">
        <v>0</v>
      </c>
      <c r="HQ1661" s="20">
        <v>0</v>
      </c>
      <c r="HR1661" s="20">
        <v>0</v>
      </c>
      <c r="HS1661" s="20">
        <v>0</v>
      </c>
      <c r="HT1661" s="20">
        <v>0</v>
      </c>
      <c r="HU1661" s="20">
        <v>0</v>
      </c>
      <c r="HV1661" s="20">
        <v>0</v>
      </c>
      <c r="HW1661" s="20">
        <v>0</v>
      </c>
      <c r="HX1661" s="20">
        <v>0</v>
      </c>
      <c r="HY1661" s="20">
        <v>0</v>
      </c>
      <c r="HZ1661" s="20">
        <v>0</v>
      </c>
      <c r="IA1661" s="20">
        <v>0</v>
      </c>
      <c r="IB1661" s="20">
        <v>0</v>
      </c>
      <c r="IC1661" s="20">
        <v>0</v>
      </c>
    </row>
    <row r="1662">
      <c r="A1662" s="2" t="s">
        <v>6169</v>
      </c>
      <c r="B1662" s="2" t="s">
        <v>323</v>
      </c>
      <c r="C1662" s="2" t="s">
        <v>678</v>
      </c>
      <c r="D1662" s="2" t="s">
        <v>257</v>
      </c>
      <c r="E1662" s="2" t="s">
        <v>258</v>
      </c>
      <c r="F1662" s="2" t="s">
        <v>6153</v>
      </c>
      <c r="G1662" s="2" t="s">
        <v>6153</v>
      </c>
      <c r="H1662" s="2" t="s">
        <v>6153</v>
      </c>
      <c r="I1662" s="2" t="s">
        <v>6154</v>
      </c>
      <c r="J1662" s="2" t="s">
        <v>272</v>
      </c>
      <c r="K1662" s="2" t="s">
        <v>3308</v>
      </c>
      <c r="L1662" s="3">
        <v>28.68</v>
      </c>
      <c r="M1662" s="3">
        <v>30.11</v>
      </c>
      <c r="N1662" s="3">
        <v>62.99</v>
      </c>
      <c r="O1662" s="2" t="s">
        <v>232</v>
      </c>
      <c r="P1662" s="2" t="s">
        <v>233</v>
      </c>
      <c r="Q1662" s="2" t="s">
        <v>234</v>
      </c>
      <c r="R1662" s="2" t="s">
        <v>235</v>
      </c>
      <c r="S1662" s="2" t="s">
        <v>6170</v>
      </c>
      <c r="T1662" s="2" t="s">
        <v>2908</v>
      </c>
      <c r="U1662" s="2" t="s">
        <v>264</v>
      </c>
      <c r="V1662" s="2" t="s">
        <v>2182</v>
      </c>
      <c r="W1662" s="2" t="s">
        <v>239</v>
      </c>
      <c r="X1662" s="2" t="s">
        <v>682</v>
      </c>
      <c r="Y1662" s="2" t="s">
        <v>6164</v>
      </c>
      <c r="Z1662" s="4">
        <v>114</v>
      </c>
      <c r="AA1662" s="4">
        <f>=ROUNDDOWN(19,0)</f>
      </c>
      <c r="AB1662" s="5">
        <v>6</v>
      </c>
      <c r="AC1662" s="2" t="s">
        <v>235</v>
      </c>
      <c r="AD1662" s="4"/>
      <c r="AE1662" s="4"/>
      <c r="AF1662" s="6">
        <v>77</v>
      </c>
      <c r="AG1662" s="6"/>
      <c r="AH1662" s="7">
        <v>1</v>
      </c>
      <c r="AI1662" s="4"/>
      <c r="AJ1662" s="4">
        <f>=ROUNDDOWN({0},0)</f>
      </c>
      <c r="AK1662" s="5"/>
      <c r="AL1662" s="2" t="s">
        <v>235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 t="s">
        <v>235</v>
      </c>
      <c r="BD1662" s="8" t="s">
        <v>235</v>
      </c>
      <c r="BE1662" s="4" t="s">
        <v>235</v>
      </c>
      <c r="BF1662" s="8" t="s">
        <v>235</v>
      </c>
      <c r="BG1662" s="7" t="s">
        <v>235</v>
      </c>
      <c r="BH1662" s="7" t="s">
        <v>235</v>
      </c>
      <c r="BI1662" s="7"/>
      <c r="BJ1662" s="4">
        <v>10</v>
      </c>
      <c r="BK1662" s="8">
        <v>325.76</v>
      </c>
      <c r="BL1662" s="2" t="s">
        <v>1346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6156</v>
      </c>
      <c r="BV1662" s="2" t="s">
        <v>243</v>
      </c>
      <c r="BW1662" s="2" t="s">
        <v>235</v>
      </c>
      <c r="BX1662" s="2" t="s">
        <v>244</v>
      </c>
      <c r="BY1662" s="2" t="s">
        <v>245</v>
      </c>
      <c r="BZ1662" s="2" t="s">
        <v>232</v>
      </c>
      <c r="CA1662" s="2" t="s">
        <v>6165</v>
      </c>
      <c r="CB1662" s="2" t="s">
        <v>6171</v>
      </c>
      <c r="CC1662" s="2" t="s">
        <v>248</v>
      </c>
      <c r="CD1662" s="2" t="s">
        <v>248</v>
      </c>
      <c r="CE1662" s="2" t="s">
        <v>235</v>
      </c>
      <c r="CF1662" s="4">
        <v>114</v>
      </c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>
        <v>115</v>
      </c>
      <c r="GE1662" s="4">
        <v>104</v>
      </c>
      <c r="GF1662" s="4">
        <v>100</v>
      </c>
      <c r="GG1662" s="4">
        <v>94</v>
      </c>
      <c r="GH1662" s="4">
        <v>89</v>
      </c>
      <c r="GI1662" s="4">
        <v>81</v>
      </c>
      <c r="GJ1662" s="4">
        <v>70</v>
      </c>
      <c r="GK1662" s="4">
        <v>62</v>
      </c>
      <c r="GL1662" s="4">
        <v>54</v>
      </c>
      <c r="GM1662" s="4">
        <v>47</v>
      </c>
      <c r="GN1662" s="4">
        <v>38</v>
      </c>
      <c r="GO1662" s="4">
        <v>27</v>
      </c>
      <c r="GP1662" s="4">
        <v>10</v>
      </c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19">
        <v>19.2</v>
      </c>
      <c r="HE1662" s="19">
        <v>17.3</v>
      </c>
      <c r="HF1662" s="19">
        <v>12.5</v>
      </c>
      <c r="HG1662" s="19">
        <v>11.8</v>
      </c>
      <c r="HH1662" s="19">
        <v>9.9</v>
      </c>
      <c r="HI1662" s="19">
        <v>10.1</v>
      </c>
      <c r="HJ1662" s="19">
        <v>8.8</v>
      </c>
      <c r="HK1662" s="19">
        <v>6.9</v>
      </c>
      <c r="HL1662" s="19">
        <v>4.9</v>
      </c>
      <c r="HM1662" s="19">
        <v>2.8</v>
      </c>
      <c r="HN1662" s="19">
        <v>2.1</v>
      </c>
      <c r="HO1662" s="19">
        <v>1.4</v>
      </c>
      <c r="HP1662" s="19">
        <v>0.6</v>
      </c>
      <c r="HQ1662" s="20">
        <v>0</v>
      </c>
      <c r="HR1662" s="20">
        <v>0</v>
      </c>
      <c r="HS1662" s="20">
        <v>0</v>
      </c>
      <c r="HT1662" s="20">
        <v>0</v>
      </c>
      <c r="HU1662" s="20">
        <v>0</v>
      </c>
      <c r="HV1662" s="20">
        <v>0</v>
      </c>
      <c r="HW1662" s="20">
        <v>0</v>
      </c>
      <c r="HX1662" s="20">
        <v>0</v>
      </c>
      <c r="HY1662" s="20">
        <v>0</v>
      </c>
      <c r="HZ1662" s="20">
        <v>0</v>
      </c>
      <c r="IA1662" s="20">
        <v>0</v>
      </c>
      <c r="IB1662" s="20">
        <v>0</v>
      </c>
      <c r="IC1662" s="20">
        <v>0</v>
      </c>
    </row>
    <row r="1663">
      <c r="A1663" s="2" t="s">
        <v>6172</v>
      </c>
      <c r="B1663" s="2" t="s">
        <v>323</v>
      </c>
      <c r="C1663" s="2" t="s">
        <v>678</v>
      </c>
      <c r="D1663" s="2" t="s">
        <v>257</v>
      </c>
      <c r="E1663" s="2" t="s">
        <v>258</v>
      </c>
      <c r="F1663" s="2" t="s">
        <v>6153</v>
      </c>
      <c r="G1663" s="2" t="s">
        <v>6153</v>
      </c>
      <c r="H1663" s="2" t="s">
        <v>6153</v>
      </c>
      <c r="I1663" s="2" t="s">
        <v>6154</v>
      </c>
      <c r="J1663" s="2" t="s">
        <v>261</v>
      </c>
      <c r="K1663" s="2" t="s">
        <v>3324</v>
      </c>
      <c r="L1663" s="3">
        <v>25.85</v>
      </c>
      <c r="M1663" s="3">
        <v>27.14</v>
      </c>
      <c r="N1663" s="3">
        <v>55.99</v>
      </c>
      <c r="O1663" s="2" t="s">
        <v>232</v>
      </c>
      <c r="P1663" s="2" t="s">
        <v>408</v>
      </c>
      <c r="Q1663" s="2" t="s">
        <v>234</v>
      </c>
      <c r="R1663" s="2" t="s">
        <v>235</v>
      </c>
      <c r="S1663" s="2" t="s">
        <v>6173</v>
      </c>
      <c r="T1663" s="2" t="s">
        <v>2908</v>
      </c>
      <c r="U1663" s="2" t="s">
        <v>264</v>
      </c>
      <c r="V1663" s="2" t="s">
        <v>238</v>
      </c>
      <c r="W1663" s="2" t="s">
        <v>239</v>
      </c>
      <c r="X1663" s="2" t="s">
        <v>682</v>
      </c>
      <c r="Y1663" s="2" t="s">
        <v>6164</v>
      </c>
      <c r="Z1663" s="4">
        <v>492</v>
      </c>
      <c r="AA1663" s="4">
        <f>=ROUNDDOWN(25.8947368421053,0)</f>
      </c>
      <c r="AB1663" s="5">
        <v>19</v>
      </c>
      <c r="AC1663" s="2" t="s">
        <v>235</v>
      </c>
      <c r="AD1663" s="4"/>
      <c r="AE1663" s="4"/>
      <c r="AF1663" s="6">
        <v>73</v>
      </c>
      <c r="AG1663" s="6"/>
      <c r="AH1663" s="7">
        <v>1</v>
      </c>
      <c r="AI1663" s="4"/>
      <c r="AJ1663" s="4">
        <f>=ROUNDDOWN({0},0)</f>
      </c>
      <c r="AK1663" s="5"/>
      <c r="AL1663" s="2" t="s">
        <v>235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235</v>
      </c>
      <c r="AW1663" s="8" t="s">
        <v>235</v>
      </c>
      <c r="AX1663" s="4" t="s">
        <v>235</v>
      </c>
      <c r="AY1663" s="8" t="s">
        <v>235</v>
      </c>
      <c r="AZ1663" s="7" t="s">
        <v>235</v>
      </c>
      <c r="BA1663" s="7" t="s">
        <v>235</v>
      </c>
      <c r="BB1663" s="7"/>
      <c r="BC1663" s="4" t="s">
        <v>235</v>
      </c>
      <c r="BD1663" s="8" t="s">
        <v>235</v>
      </c>
      <c r="BE1663" s="4" t="s">
        <v>235</v>
      </c>
      <c r="BF1663" s="8" t="s">
        <v>235</v>
      </c>
      <c r="BG1663" s="7" t="s">
        <v>235</v>
      </c>
      <c r="BH1663" s="7" t="s">
        <v>235</v>
      </c>
      <c r="BI1663" s="7"/>
      <c r="BJ1663" s="4">
        <v>53</v>
      </c>
      <c r="BK1663" s="8">
        <v>1588.8</v>
      </c>
      <c r="BL1663" s="2" t="s">
        <v>6174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6156</v>
      </c>
      <c r="BV1663" s="2" t="s">
        <v>243</v>
      </c>
      <c r="BW1663" s="2" t="s">
        <v>235</v>
      </c>
      <c r="BX1663" s="2" t="s">
        <v>244</v>
      </c>
      <c r="BY1663" s="2" t="s">
        <v>245</v>
      </c>
      <c r="BZ1663" s="2" t="s">
        <v>232</v>
      </c>
      <c r="CA1663" s="2" t="s">
        <v>6165</v>
      </c>
      <c r="CB1663" s="2" t="s">
        <v>6175</v>
      </c>
      <c r="CC1663" s="2" t="s">
        <v>248</v>
      </c>
      <c r="CD1663" s="2" t="s">
        <v>248</v>
      </c>
      <c r="CE1663" s="2" t="s">
        <v>235</v>
      </c>
      <c r="CF1663" s="4">
        <v>492</v>
      </c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>
        <v>501</v>
      </c>
      <c r="GE1663" s="4">
        <v>481</v>
      </c>
      <c r="GF1663" s="4">
        <v>471</v>
      </c>
      <c r="GG1663" s="4">
        <v>460</v>
      </c>
      <c r="GH1663" s="4">
        <v>449</v>
      </c>
      <c r="GI1663" s="4">
        <v>429</v>
      </c>
      <c r="GJ1663" s="4">
        <v>406</v>
      </c>
      <c r="GK1663" s="4">
        <v>386</v>
      </c>
      <c r="GL1663" s="4">
        <v>366</v>
      </c>
      <c r="GM1663" s="4">
        <v>347</v>
      </c>
      <c r="GN1663" s="4">
        <v>319</v>
      </c>
      <c r="GO1663" s="4">
        <v>284</v>
      </c>
      <c r="GP1663" s="4">
        <v>230</v>
      </c>
      <c r="GQ1663" s="4">
        <v>124</v>
      </c>
      <c r="GR1663" s="4">
        <v>74</v>
      </c>
      <c r="GS1663" s="4">
        <v>25</v>
      </c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19">
        <v>38.5</v>
      </c>
      <c r="HE1663" s="19">
        <v>37</v>
      </c>
      <c r="HF1663" s="19">
        <v>29.4</v>
      </c>
      <c r="HG1663" s="19">
        <v>25.6</v>
      </c>
      <c r="HH1663" s="19">
        <v>21.4</v>
      </c>
      <c r="HI1663" s="19">
        <v>21.5</v>
      </c>
      <c r="HJ1663" s="19">
        <v>18.5</v>
      </c>
      <c r="HK1663" s="19">
        <v>14.8</v>
      </c>
      <c r="HL1663" s="19">
        <v>10.8</v>
      </c>
      <c r="HM1663" s="19">
        <v>6.2</v>
      </c>
      <c r="HN1663" s="19">
        <v>5.2</v>
      </c>
      <c r="HO1663" s="19">
        <v>4.4</v>
      </c>
      <c r="HP1663" s="19">
        <v>3.9</v>
      </c>
      <c r="HQ1663" s="19">
        <v>3.3</v>
      </c>
      <c r="HR1663" s="19">
        <v>2.4</v>
      </c>
      <c r="HS1663" s="19">
        <v>1.1</v>
      </c>
      <c r="HT1663" s="20">
        <v>0</v>
      </c>
      <c r="HU1663" s="20">
        <v>0</v>
      </c>
      <c r="HV1663" s="20">
        <v>0</v>
      </c>
      <c r="HW1663" s="20">
        <v>0</v>
      </c>
      <c r="HX1663" s="20">
        <v>0</v>
      </c>
      <c r="HY1663" s="20">
        <v>0</v>
      </c>
      <c r="HZ1663" s="20">
        <v>0</v>
      </c>
      <c r="IA1663" s="20">
        <v>0</v>
      </c>
      <c r="IB1663" s="20">
        <v>0</v>
      </c>
      <c r="IC1663" s="20">
        <v>0</v>
      </c>
    </row>
    <row r="1664">
      <c r="A1664" s="2" t="s">
        <v>6176</v>
      </c>
      <c r="B1664" s="2" t="s">
        <v>323</v>
      </c>
      <c r="C1664" s="2" t="s">
        <v>678</v>
      </c>
      <c r="D1664" s="2" t="s">
        <v>257</v>
      </c>
      <c r="E1664" s="2" t="s">
        <v>258</v>
      </c>
      <c r="F1664" s="2" t="s">
        <v>6153</v>
      </c>
      <c r="G1664" s="2" t="s">
        <v>6153</v>
      </c>
      <c r="H1664" s="2" t="s">
        <v>6153</v>
      </c>
      <c r="I1664" s="2" t="s">
        <v>6154</v>
      </c>
      <c r="J1664" s="2" t="s">
        <v>270</v>
      </c>
      <c r="K1664" s="2" t="s">
        <v>3324</v>
      </c>
      <c r="L1664" s="3">
        <v>28.68</v>
      </c>
      <c r="M1664" s="3">
        <v>30.11</v>
      </c>
      <c r="N1664" s="3">
        <v>62.99</v>
      </c>
      <c r="O1664" s="2" t="s">
        <v>232</v>
      </c>
      <c r="P1664" s="2" t="s">
        <v>408</v>
      </c>
      <c r="Q1664" s="2" t="s">
        <v>234</v>
      </c>
      <c r="R1664" s="2" t="s">
        <v>235</v>
      </c>
      <c r="S1664" s="2" t="s">
        <v>6173</v>
      </c>
      <c r="T1664" s="2" t="s">
        <v>2908</v>
      </c>
      <c r="U1664" s="2" t="s">
        <v>264</v>
      </c>
      <c r="V1664" s="2" t="s">
        <v>238</v>
      </c>
      <c r="W1664" s="2" t="s">
        <v>239</v>
      </c>
      <c r="X1664" s="2" t="s">
        <v>682</v>
      </c>
      <c r="Y1664" s="2" t="s">
        <v>6164</v>
      </c>
      <c r="Z1664" s="4">
        <v>137</v>
      </c>
      <c r="AA1664" s="4">
        <f>=ROUNDDOWN(13.7,0)</f>
      </c>
      <c r="AB1664" s="5">
        <v>10</v>
      </c>
      <c r="AC1664" s="2" t="s">
        <v>235</v>
      </c>
      <c r="AD1664" s="4"/>
      <c r="AE1664" s="4"/>
      <c r="AF1664" s="6">
        <v>73</v>
      </c>
      <c r="AG1664" s="6"/>
      <c r="AH1664" s="7">
        <v>1</v>
      </c>
      <c r="AI1664" s="4"/>
      <c r="AJ1664" s="4">
        <f>=ROUNDDOWN({0},0)</f>
      </c>
      <c r="AK1664" s="5"/>
      <c r="AL1664" s="2" t="s">
        <v>235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235</v>
      </c>
      <c r="AW1664" s="8" t="s">
        <v>235</v>
      </c>
      <c r="AX1664" s="4" t="s">
        <v>235</v>
      </c>
      <c r="AY1664" s="8" t="s">
        <v>235</v>
      </c>
      <c r="AZ1664" s="7" t="s">
        <v>235</v>
      </c>
      <c r="BA1664" s="7" t="s">
        <v>235</v>
      </c>
      <c r="BB1664" s="7"/>
      <c r="BC1664" s="4" t="s">
        <v>235</v>
      </c>
      <c r="BD1664" s="8" t="s">
        <v>235</v>
      </c>
      <c r="BE1664" s="4" t="s">
        <v>235</v>
      </c>
      <c r="BF1664" s="8" t="s">
        <v>235</v>
      </c>
      <c r="BG1664" s="7" t="s">
        <v>235</v>
      </c>
      <c r="BH1664" s="7" t="s">
        <v>235</v>
      </c>
      <c r="BI1664" s="7"/>
      <c r="BJ1664" s="4">
        <v>65</v>
      </c>
      <c r="BK1664" s="8">
        <v>2183.03</v>
      </c>
      <c r="BL1664" s="2" t="s">
        <v>6177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6156</v>
      </c>
      <c r="BV1664" s="2" t="s">
        <v>243</v>
      </c>
      <c r="BW1664" s="2" t="s">
        <v>235</v>
      </c>
      <c r="BX1664" s="2" t="s">
        <v>244</v>
      </c>
      <c r="BY1664" s="2" t="s">
        <v>245</v>
      </c>
      <c r="BZ1664" s="2" t="s">
        <v>232</v>
      </c>
      <c r="CA1664" s="2" t="s">
        <v>6165</v>
      </c>
      <c r="CB1664" s="2" t="s">
        <v>6178</v>
      </c>
      <c r="CC1664" s="2" t="s">
        <v>248</v>
      </c>
      <c r="CD1664" s="2" t="s">
        <v>248</v>
      </c>
      <c r="CE1664" s="2" t="s">
        <v>235</v>
      </c>
      <c r="CF1664" s="4">
        <v>137</v>
      </c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>
        <v>138</v>
      </c>
      <c r="GE1664" s="4">
        <v>124</v>
      </c>
      <c r="GF1664" s="4">
        <v>118</v>
      </c>
      <c r="GG1664" s="4">
        <v>111</v>
      </c>
      <c r="GH1664" s="4">
        <v>104</v>
      </c>
      <c r="GI1664" s="4">
        <v>92</v>
      </c>
      <c r="GJ1664" s="4">
        <v>77</v>
      </c>
      <c r="GK1664" s="4">
        <v>65</v>
      </c>
      <c r="GL1664" s="4">
        <v>53</v>
      </c>
      <c r="GM1664" s="4">
        <v>42</v>
      </c>
      <c r="GN1664" s="4">
        <v>27</v>
      </c>
      <c r="GO1664" s="4">
        <v>8</v>
      </c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19">
        <v>17.3</v>
      </c>
      <c r="HE1664" s="19">
        <v>15.5</v>
      </c>
      <c r="HF1664" s="19">
        <v>11.8</v>
      </c>
      <c r="HG1664" s="19">
        <v>9.3</v>
      </c>
      <c r="HH1664" s="19">
        <v>8</v>
      </c>
      <c r="HI1664" s="19">
        <v>7.7</v>
      </c>
      <c r="HJ1664" s="19">
        <v>6.4</v>
      </c>
      <c r="HK1664" s="19">
        <v>4.6</v>
      </c>
      <c r="HL1664" s="19">
        <v>2.9</v>
      </c>
      <c r="HM1664" s="19">
        <v>1.4</v>
      </c>
      <c r="HN1664" s="19">
        <v>0.8</v>
      </c>
      <c r="HO1664" s="19">
        <v>0.2</v>
      </c>
      <c r="HP1664" s="20">
        <v>0</v>
      </c>
      <c r="HQ1664" s="20">
        <v>0</v>
      </c>
      <c r="HR1664" s="20">
        <v>0</v>
      </c>
      <c r="HS1664" s="20">
        <v>0</v>
      </c>
      <c r="HT1664" s="20">
        <v>0</v>
      </c>
      <c r="HU1664" s="20">
        <v>0</v>
      </c>
      <c r="HV1664" s="20">
        <v>0</v>
      </c>
      <c r="HW1664" s="20">
        <v>0</v>
      </c>
      <c r="HX1664" s="20">
        <v>0</v>
      </c>
      <c r="HY1664" s="20">
        <v>0</v>
      </c>
      <c r="HZ1664" s="20">
        <v>0</v>
      </c>
      <c r="IA1664" s="20">
        <v>0</v>
      </c>
      <c r="IB1664" s="20">
        <v>0</v>
      </c>
      <c r="IC1664" s="20">
        <v>0</v>
      </c>
    </row>
    <row r="1665">
      <c r="A1665" s="2" t="s">
        <v>6179</v>
      </c>
      <c r="B1665" s="2" t="s">
        <v>323</v>
      </c>
      <c r="C1665" s="2" t="s">
        <v>678</v>
      </c>
      <c r="D1665" s="2" t="s">
        <v>257</v>
      </c>
      <c r="E1665" s="2" t="s">
        <v>258</v>
      </c>
      <c r="F1665" s="2" t="s">
        <v>6153</v>
      </c>
      <c r="G1665" s="2" t="s">
        <v>6153</v>
      </c>
      <c r="H1665" s="2" t="s">
        <v>6153</v>
      </c>
      <c r="I1665" s="2" t="s">
        <v>6154</v>
      </c>
      <c r="J1665" s="2" t="s">
        <v>272</v>
      </c>
      <c r="K1665" s="2" t="s">
        <v>3324</v>
      </c>
      <c r="L1665" s="3">
        <v>28.68</v>
      </c>
      <c r="M1665" s="3">
        <v>30.11</v>
      </c>
      <c r="N1665" s="3">
        <v>62.99</v>
      </c>
      <c r="O1665" s="2" t="s">
        <v>232</v>
      </c>
      <c r="P1665" s="2" t="s">
        <v>408</v>
      </c>
      <c r="Q1665" s="2" t="s">
        <v>234</v>
      </c>
      <c r="R1665" s="2" t="s">
        <v>235</v>
      </c>
      <c r="S1665" s="2" t="s">
        <v>6173</v>
      </c>
      <c r="T1665" s="2" t="s">
        <v>2908</v>
      </c>
      <c r="U1665" s="2" t="s">
        <v>264</v>
      </c>
      <c r="V1665" s="2" t="s">
        <v>238</v>
      </c>
      <c r="W1665" s="2" t="s">
        <v>239</v>
      </c>
      <c r="X1665" s="2" t="s">
        <v>682</v>
      </c>
      <c r="Y1665" s="2" t="s">
        <v>6164</v>
      </c>
      <c r="Z1665" s="4">
        <v>7</v>
      </c>
      <c r="AA1665" s="4">
        <f>=ROUNDDOWN(1.4,0)</f>
      </c>
      <c r="AB1665" s="5">
        <v>5</v>
      </c>
      <c r="AC1665" s="2" t="s">
        <v>235</v>
      </c>
      <c r="AD1665" s="4"/>
      <c r="AE1665" s="4"/>
      <c r="AF1665" s="6">
        <v>73</v>
      </c>
      <c r="AG1665" s="6"/>
      <c r="AH1665" s="7">
        <v>1</v>
      </c>
      <c r="AI1665" s="4"/>
      <c r="AJ1665" s="4">
        <f>=ROUNDDOWN({0},0)</f>
      </c>
      <c r="AK1665" s="5"/>
      <c r="AL1665" s="2" t="s">
        <v>235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235</v>
      </c>
      <c r="AW1665" s="8" t="s">
        <v>235</v>
      </c>
      <c r="AX1665" s="4" t="s">
        <v>235</v>
      </c>
      <c r="AY1665" s="8" t="s">
        <v>235</v>
      </c>
      <c r="AZ1665" s="7" t="s">
        <v>235</v>
      </c>
      <c r="BA1665" s="7" t="s">
        <v>235</v>
      </c>
      <c r="BB1665" s="7"/>
      <c r="BC1665" s="4" t="s">
        <v>235</v>
      </c>
      <c r="BD1665" s="8" t="s">
        <v>235</v>
      </c>
      <c r="BE1665" s="4" t="s">
        <v>235</v>
      </c>
      <c r="BF1665" s="8" t="s">
        <v>235</v>
      </c>
      <c r="BG1665" s="7" t="s">
        <v>235</v>
      </c>
      <c r="BH1665" s="7" t="s">
        <v>235</v>
      </c>
      <c r="BI1665" s="7"/>
      <c r="BJ1665" s="4">
        <v>9</v>
      </c>
      <c r="BK1665" s="8">
        <v>319.87</v>
      </c>
      <c r="BL1665" s="2" t="s">
        <v>6180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6156</v>
      </c>
      <c r="BV1665" s="2" t="s">
        <v>243</v>
      </c>
      <c r="BW1665" s="2" t="s">
        <v>235</v>
      </c>
      <c r="BX1665" s="2" t="s">
        <v>244</v>
      </c>
      <c r="BY1665" s="2" t="s">
        <v>245</v>
      </c>
      <c r="BZ1665" s="2" t="s">
        <v>232</v>
      </c>
      <c r="CA1665" s="2" t="s">
        <v>6165</v>
      </c>
      <c r="CB1665" s="2" t="s">
        <v>6181</v>
      </c>
      <c r="CC1665" s="2" t="s">
        <v>248</v>
      </c>
      <c r="CD1665" s="2" t="s">
        <v>248</v>
      </c>
      <c r="CE1665" s="2" t="s">
        <v>235</v>
      </c>
      <c r="CF1665" s="4">
        <v>7</v>
      </c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>
        <v>8</v>
      </c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19">
        <v>2</v>
      </c>
      <c r="HE1665" s="20">
        <v>0</v>
      </c>
      <c r="HF1665" s="20">
        <v>0</v>
      </c>
      <c r="HG1665" s="20">
        <v>0</v>
      </c>
      <c r="HH1665" s="20">
        <v>0</v>
      </c>
      <c r="HI1665" s="20">
        <v>0</v>
      </c>
      <c r="HJ1665" s="20">
        <v>0</v>
      </c>
      <c r="HK1665" s="20">
        <v>0</v>
      </c>
      <c r="HL1665" s="20">
        <v>0</v>
      </c>
      <c r="HM1665" s="20">
        <v>0</v>
      </c>
      <c r="HN1665" s="20">
        <v>0</v>
      </c>
      <c r="HO1665" s="20">
        <v>0</v>
      </c>
      <c r="HP1665" s="20">
        <v>0</v>
      </c>
      <c r="HQ1665" s="20">
        <v>0</v>
      </c>
      <c r="HR1665" s="20">
        <v>0</v>
      </c>
      <c r="HS1665" s="20">
        <v>0</v>
      </c>
      <c r="HT1665" s="20">
        <v>0</v>
      </c>
      <c r="HU1665" s="20">
        <v>0</v>
      </c>
      <c r="HV1665" s="20">
        <v>0</v>
      </c>
      <c r="HW1665" s="20">
        <v>0</v>
      </c>
      <c r="HX1665" s="20">
        <v>0</v>
      </c>
      <c r="HY1665" s="20">
        <v>0</v>
      </c>
      <c r="HZ1665" s="20">
        <v>0</v>
      </c>
      <c r="IA1665" s="20">
        <v>0</v>
      </c>
      <c r="IB1665" s="20">
        <v>0</v>
      </c>
      <c r="IC1665" s="20">
        <v>0</v>
      </c>
    </row>
    <row r="1666">
      <c r="A1666" s="2" t="s">
        <v>6182</v>
      </c>
      <c r="B1666" s="2" t="s">
        <v>323</v>
      </c>
      <c r="C1666" s="2" t="s">
        <v>678</v>
      </c>
      <c r="D1666" s="2" t="s">
        <v>257</v>
      </c>
      <c r="E1666" s="2" t="s">
        <v>258</v>
      </c>
      <c r="F1666" s="2" t="s">
        <v>6153</v>
      </c>
      <c r="G1666" s="2" t="s">
        <v>6153</v>
      </c>
      <c r="H1666" s="2" t="s">
        <v>6153</v>
      </c>
      <c r="I1666" s="2" t="s">
        <v>6154</v>
      </c>
      <c r="J1666" s="2" t="s">
        <v>250</v>
      </c>
      <c r="K1666" s="2" t="s">
        <v>6183</v>
      </c>
      <c r="L1666" s="3">
        <v>22</v>
      </c>
      <c r="M1666" s="3">
        <v>23.1</v>
      </c>
      <c r="N1666" s="3">
        <v>47.99</v>
      </c>
      <c r="O1666" s="2" t="s">
        <v>232</v>
      </c>
      <c r="P1666" s="2" t="s">
        <v>408</v>
      </c>
      <c r="Q1666" s="2" t="s">
        <v>234</v>
      </c>
      <c r="R1666" s="2" t="s">
        <v>235</v>
      </c>
      <c r="S1666" s="2" t="s">
        <v>6184</v>
      </c>
      <c r="T1666" s="2" t="s">
        <v>2908</v>
      </c>
      <c r="U1666" s="2" t="s">
        <v>264</v>
      </c>
      <c r="V1666" s="2" t="s">
        <v>880</v>
      </c>
      <c r="W1666" s="2" t="s">
        <v>239</v>
      </c>
      <c r="X1666" s="2" t="s">
        <v>682</v>
      </c>
      <c r="Y1666" s="2" t="s">
        <v>2953</v>
      </c>
      <c r="Z1666" s="4">
        <v>330</v>
      </c>
      <c r="AA1666" s="4">
        <f>=ROUNDDOWN(9.375,0)</f>
      </c>
      <c r="AB1666" s="5">
        <v>35.2</v>
      </c>
      <c r="AC1666" s="2" t="s">
        <v>235</v>
      </c>
      <c r="AD1666" s="4"/>
      <c r="AE1666" s="4"/>
      <c r="AF1666" s="6">
        <v>77</v>
      </c>
      <c r="AG1666" s="6"/>
      <c r="AH1666" s="7">
        <v>1</v>
      </c>
      <c r="AI1666" s="4"/>
      <c r="AJ1666" s="4">
        <f>=ROUNDDOWN({0},0)</f>
      </c>
      <c r="AK1666" s="5"/>
      <c r="AL1666" s="2" t="s">
        <v>235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235</v>
      </c>
      <c r="AW1666" s="8" t="s">
        <v>235</v>
      </c>
      <c r="AX1666" s="4" t="s">
        <v>235</v>
      </c>
      <c r="AY1666" s="8" t="s">
        <v>235</v>
      </c>
      <c r="AZ1666" s="7" t="s">
        <v>235</v>
      </c>
      <c r="BA1666" s="7" t="s">
        <v>235</v>
      </c>
      <c r="BB1666" s="7"/>
      <c r="BC1666" s="4" t="s">
        <v>235</v>
      </c>
      <c r="BD1666" s="8" t="s">
        <v>235</v>
      </c>
      <c r="BE1666" s="4" t="s">
        <v>235</v>
      </c>
      <c r="BF1666" s="8" t="s">
        <v>235</v>
      </c>
      <c r="BG1666" s="7" t="s">
        <v>235</v>
      </c>
      <c r="BH1666" s="7" t="s">
        <v>235</v>
      </c>
      <c r="BI1666" s="7"/>
      <c r="BJ1666" s="4">
        <v>62</v>
      </c>
      <c r="BK1666" s="8">
        <v>1537.29</v>
      </c>
      <c r="BL1666" s="2" t="s">
        <v>2894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6156</v>
      </c>
      <c r="BV1666" s="2" t="s">
        <v>243</v>
      </c>
      <c r="BW1666" s="2" t="s">
        <v>235</v>
      </c>
      <c r="BX1666" s="2" t="s">
        <v>244</v>
      </c>
      <c r="BY1666" s="2" t="s">
        <v>245</v>
      </c>
      <c r="BZ1666" s="2" t="s">
        <v>232</v>
      </c>
      <c r="CA1666" s="2" t="s">
        <v>1198</v>
      </c>
      <c r="CB1666" s="2" t="s">
        <v>2901</v>
      </c>
      <c r="CC1666" s="2" t="s">
        <v>248</v>
      </c>
      <c r="CD1666" s="2" t="s">
        <v>248</v>
      </c>
      <c r="CE1666" s="2" t="s">
        <v>235</v>
      </c>
      <c r="CF1666" s="4">
        <v>330</v>
      </c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>
        <v>330</v>
      </c>
      <c r="GE1666" s="4">
        <v>290</v>
      </c>
      <c r="GF1666" s="4">
        <v>277</v>
      </c>
      <c r="GG1666" s="4">
        <v>263</v>
      </c>
      <c r="GH1666" s="4">
        <v>249</v>
      </c>
      <c r="GI1666" s="4">
        <v>242</v>
      </c>
      <c r="GJ1666" s="4">
        <v>232</v>
      </c>
      <c r="GK1666" s="4">
        <v>225</v>
      </c>
      <c r="GL1666" s="4">
        <v>218</v>
      </c>
      <c r="GM1666" s="4">
        <v>212</v>
      </c>
      <c r="GN1666" s="4">
        <v>205</v>
      </c>
      <c r="GO1666" s="4">
        <v>196</v>
      </c>
      <c r="GP1666" s="4">
        <v>183</v>
      </c>
      <c r="GQ1666" s="4">
        <v>157</v>
      </c>
      <c r="GR1666" s="4">
        <v>144</v>
      </c>
      <c r="GS1666" s="4">
        <v>126</v>
      </c>
      <c r="GT1666" s="4">
        <v>112</v>
      </c>
      <c r="GU1666" s="4">
        <v>100</v>
      </c>
      <c r="GV1666" s="4">
        <v>88</v>
      </c>
      <c r="GW1666" s="4">
        <v>79</v>
      </c>
      <c r="GX1666" s="4">
        <v>71</v>
      </c>
      <c r="GY1666" s="4">
        <v>64</v>
      </c>
      <c r="GZ1666" s="4">
        <v>45</v>
      </c>
      <c r="HA1666" s="4">
        <v>26</v>
      </c>
      <c r="HB1666" s="4">
        <v>7</v>
      </c>
      <c r="HC1666" s="4"/>
      <c r="HD1666" s="19">
        <v>16.5</v>
      </c>
      <c r="HE1666" s="19">
        <v>24.2</v>
      </c>
      <c r="HF1666" s="19">
        <v>25.2</v>
      </c>
      <c r="HG1666" s="19">
        <v>26.3</v>
      </c>
      <c r="HH1666" s="19">
        <v>31.1</v>
      </c>
      <c r="HI1666" s="19">
        <v>30.3</v>
      </c>
      <c r="HJ1666" s="19">
        <v>33.1</v>
      </c>
      <c r="HK1666" s="19">
        <v>32.1</v>
      </c>
      <c r="HL1666" s="19">
        <v>24.2</v>
      </c>
      <c r="HM1666" s="19">
        <v>15.1</v>
      </c>
      <c r="HN1666" s="19">
        <v>13.7</v>
      </c>
      <c r="HO1666" s="19">
        <v>10.9</v>
      </c>
      <c r="HP1666" s="19">
        <v>10.2</v>
      </c>
      <c r="HQ1666" s="19">
        <v>11.2</v>
      </c>
      <c r="HR1666" s="19">
        <v>10.3</v>
      </c>
      <c r="HS1666" s="19">
        <v>10.5</v>
      </c>
      <c r="HT1666" s="19">
        <v>11.2</v>
      </c>
      <c r="HU1666" s="19">
        <v>11.1</v>
      </c>
      <c r="HV1666" s="19">
        <v>8</v>
      </c>
      <c r="HW1666" s="19">
        <v>6.1</v>
      </c>
      <c r="HX1666" s="19">
        <v>4.4</v>
      </c>
      <c r="HY1666" s="19">
        <v>3.4</v>
      </c>
      <c r="HZ1666" s="19">
        <v>2.5</v>
      </c>
      <c r="IA1666" s="19">
        <v>1.5</v>
      </c>
      <c r="IB1666" s="19">
        <v>0.5</v>
      </c>
      <c r="IC1666" s="20">
        <v>0</v>
      </c>
    </row>
    <row r="1667">
      <c r="A1667" s="2" t="s">
        <v>6185</v>
      </c>
      <c r="B1667" s="2" t="s">
        <v>323</v>
      </c>
      <c r="C1667" s="2" t="s">
        <v>678</v>
      </c>
      <c r="D1667" s="2" t="s">
        <v>257</v>
      </c>
      <c r="E1667" s="2" t="s">
        <v>258</v>
      </c>
      <c r="F1667" s="2" t="s">
        <v>6153</v>
      </c>
      <c r="G1667" s="2" t="s">
        <v>6153</v>
      </c>
      <c r="H1667" s="2" t="s">
        <v>6153</v>
      </c>
      <c r="I1667" s="2" t="s">
        <v>6154</v>
      </c>
      <c r="J1667" s="2" t="s">
        <v>272</v>
      </c>
      <c r="K1667" s="2" t="s">
        <v>6183</v>
      </c>
      <c r="L1667" s="3">
        <v>28.68</v>
      </c>
      <c r="M1667" s="3">
        <v>30.11</v>
      </c>
      <c r="N1667" s="3">
        <v>62.99</v>
      </c>
      <c r="O1667" s="2" t="s">
        <v>232</v>
      </c>
      <c r="P1667" s="2" t="s">
        <v>408</v>
      </c>
      <c r="Q1667" s="2" t="s">
        <v>234</v>
      </c>
      <c r="R1667" s="2" t="s">
        <v>235</v>
      </c>
      <c r="S1667" s="2" t="s">
        <v>6184</v>
      </c>
      <c r="T1667" s="2" t="s">
        <v>2908</v>
      </c>
      <c r="U1667" s="2" t="s">
        <v>264</v>
      </c>
      <c r="V1667" s="2" t="s">
        <v>880</v>
      </c>
      <c r="W1667" s="2" t="s">
        <v>239</v>
      </c>
      <c r="X1667" s="2" t="s">
        <v>682</v>
      </c>
      <c r="Y1667" s="2" t="s">
        <v>2953</v>
      </c>
      <c r="Z1667" s="4">
        <v>53</v>
      </c>
      <c r="AA1667" s="4">
        <f>=ROUNDDOWN(1.58208955223881,0)</f>
      </c>
      <c r="AB1667" s="5">
        <v>33.5</v>
      </c>
      <c r="AC1667" s="2" t="s">
        <v>235</v>
      </c>
      <c r="AD1667" s="4"/>
      <c r="AE1667" s="4"/>
      <c r="AF1667" s="6">
        <v>77</v>
      </c>
      <c r="AG1667" s="6"/>
      <c r="AH1667" s="7">
        <v>1</v>
      </c>
      <c r="AI1667" s="4"/>
      <c r="AJ1667" s="4">
        <f>=ROUNDDOWN({0},0)</f>
      </c>
      <c r="AK1667" s="5"/>
      <c r="AL1667" s="2" t="s">
        <v>235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235</v>
      </c>
      <c r="AW1667" s="8" t="s">
        <v>235</v>
      </c>
      <c r="AX1667" s="4" t="s">
        <v>235</v>
      </c>
      <c r="AY1667" s="8" t="s">
        <v>235</v>
      </c>
      <c r="AZ1667" s="7" t="s">
        <v>235</v>
      </c>
      <c r="BA1667" s="7" t="s">
        <v>235</v>
      </c>
      <c r="BB1667" s="7"/>
      <c r="BC1667" s="4" t="s">
        <v>235</v>
      </c>
      <c r="BD1667" s="8" t="s">
        <v>235</v>
      </c>
      <c r="BE1667" s="4" t="s">
        <v>235</v>
      </c>
      <c r="BF1667" s="8" t="s">
        <v>235</v>
      </c>
      <c r="BG1667" s="7" t="s">
        <v>235</v>
      </c>
      <c r="BH1667" s="7" t="s">
        <v>235</v>
      </c>
      <c r="BI1667" s="7"/>
      <c r="BJ1667" s="4">
        <v>69</v>
      </c>
      <c r="BK1667" s="8">
        <v>2195.33</v>
      </c>
      <c r="BL1667" s="2" t="s">
        <v>3724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6156</v>
      </c>
      <c r="BV1667" s="2" t="s">
        <v>243</v>
      </c>
      <c r="BW1667" s="2" t="s">
        <v>235</v>
      </c>
      <c r="BX1667" s="2" t="s">
        <v>244</v>
      </c>
      <c r="BY1667" s="2" t="s">
        <v>245</v>
      </c>
      <c r="BZ1667" s="2" t="s">
        <v>232</v>
      </c>
      <c r="CA1667" s="2" t="s">
        <v>1198</v>
      </c>
      <c r="CB1667" s="2" t="s">
        <v>934</v>
      </c>
      <c r="CC1667" s="2" t="s">
        <v>248</v>
      </c>
      <c r="CD1667" s="2" t="s">
        <v>248</v>
      </c>
      <c r="CE1667" s="2" t="s">
        <v>235</v>
      </c>
      <c r="CF1667" s="4">
        <v>53</v>
      </c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>
        <v>54</v>
      </c>
      <c r="GE1667" s="4">
        <v>33</v>
      </c>
      <c r="GF1667" s="4">
        <v>17</v>
      </c>
      <c r="GG1667" s="4">
        <v>1</v>
      </c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19">
        <v>3.2</v>
      </c>
      <c r="HE1667" s="19">
        <v>2.5</v>
      </c>
      <c r="HF1667" s="19">
        <v>1.7</v>
      </c>
      <c r="HG1667" s="19">
        <v>0.1</v>
      </c>
      <c r="HH1667" s="20">
        <v>0</v>
      </c>
      <c r="HI1667" s="20">
        <v>0</v>
      </c>
      <c r="HJ1667" s="20">
        <v>0</v>
      </c>
      <c r="HK1667" s="20">
        <v>0</v>
      </c>
      <c r="HL1667" s="20">
        <v>0</v>
      </c>
      <c r="HM1667" s="20">
        <v>0</v>
      </c>
      <c r="HN1667" s="20">
        <v>0</v>
      </c>
      <c r="HO1667" s="20">
        <v>0</v>
      </c>
      <c r="HP1667" s="20">
        <v>0</v>
      </c>
      <c r="HQ1667" s="20">
        <v>0</v>
      </c>
      <c r="HR1667" s="20">
        <v>0</v>
      </c>
      <c r="HS1667" s="20">
        <v>0</v>
      </c>
      <c r="HT1667" s="20">
        <v>0</v>
      </c>
      <c r="HU1667" s="20">
        <v>0</v>
      </c>
      <c r="HV1667" s="20">
        <v>0</v>
      </c>
      <c r="HW1667" s="20">
        <v>0</v>
      </c>
      <c r="HX1667" s="20">
        <v>0</v>
      </c>
      <c r="HY1667" s="20">
        <v>0</v>
      </c>
      <c r="HZ1667" s="20">
        <v>0</v>
      </c>
      <c r="IA1667" s="20">
        <v>0</v>
      </c>
      <c r="IB1667" s="20">
        <v>0</v>
      </c>
      <c r="IC1667" s="20">
        <v>0</v>
      </c>
    </row>
    <row r="1668">
      <c r="A1668" s="2" t="s">
        <v>6186</v>
      </c>
      <c r="B1668" s="2" t="s">
        <v>323</v>
      </c>
      <c r="C1668" s="2" t="s">
        <v>678</v>
      </c>
      <c r="D1668" s="2" t="s">
        <v>257</v>
      </c>
      <c r="E1668" s="2" t="s">
        <v>258</v>
      </c>
      <c r="F1668" s="2" t="s">
        <v>6153</v>
      </c>
      <c r="G1668" s="2" t="s">
        <v>6153</v>
      </c>
      <c r="H1668" s="2" t="s">
        <v>6153</v>
      </c>
      <c r="I1668" s="2" t="s">
        <v>6154</v>
      </c>
      <c r="J1668" s="2" t="s">
        <v>272</v>
      </c>
      <c r="K1668" s="2" t="s">
        <v>3403</v>
      </c>
      <c r="L1668" s="3">
        <v>28.68</v>
      </c>
      <c r="M1668" s="3">
        <v>30.11</v>
      </c>
      <c r="N1668" s="3">
        <v>62.99</v>
      </c>
      <c r="O1668" s="2" t="s">
        <v>232</v>
      </c>
      <c r="P1668" s="2" t="s">
        <v>233</v>
      </c>
      <c r="Q1668" s="2" t="s">
        <v>234</v>
      </c>
      <c r="R1668" s="2" t="s">
        <v>235</v>
      </c>
      <c r="S1668" s="2" t="s">
        <v>6187</v>
      </c>
      <c r="T1668" s="2" t="s">
        <v>2908</v>
      </c>
      <c r="U1668" s="2" t="s">
        <v>264</v>
      </c>
      <c r="V1668" s="2" t="s">
        <v>1693</v>
      </c>
      <c r="W1668" s="2" t="s">
        <v>239</v>
      </c>
      <c r="X1668" s="2" t="s">
        <v>682</v>
      </c>
      <c r="Y1668" s="2" t="s">
        <v>2992</v>
      </c>
      <c r="Z1668" s="4">
        <v>2</v>
      </c>
      <c r="AA1668" s="4">
        <f>=ROUNDDOWN(0.285714285714286,0)</f>
      </c>
      <c r="AB1668" s="5">
        <v>7</v>
      </c>
      <c r="AC1668" s="2" t="s">
        <v>235</v>
      </c>
      <c r="AD1668" s="4"/>
      <c r="AE1668" s="4"/>
      <c r="AF1668" s="6">
        <v>77</v>
      </c>
      <c r="AG1668" s="6"/>
      <c r="AH1668" s="7">
        <v>0</v>
      </c>
      <c r="AI1668" s="4"/>
      <c r="AJ1668" s="4">
        <f>=ROUNDDOWN({0},0)</f>
      </c>
      <c r="AK1668" s="5"/>
      <c r="AL1668" s="2" t="s">
        <v>235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/>
      <c r="AW1668" s="8"/>
      <c r="AX1668" s="4"/>
      <c r="AY1668" s="8"/>
      <c r="AZ1668" s="7"/>
      <c r="BA1668" s="7"/>
      <c r="BB1668" s="7"/>
      <c r="BC1668" s="4" t="s">
        <v>235</v>
      </c>
      <c r="BD1668" s="8" t="s">
        <v>235</v>
      </c>
      <c r="BE1668" s="4" t="s">
        <v>235</v>
      </c>
      <c r="BF1668" s="8" t="s">
        <v>235</v>
      </c>
      <c r="BG1668" s="7" t="s">
        <v>235</v>
      </c>
      <c r="BH1668" s="7" t="s">
        <v>235</v>
      </c>
      <c r="BI1668" s="7"/>
      <c r="BJ1668" s="4"/>
      <c r="BK1668" s="8"/>
      <c r="BL1668" s="2" t="s">
        <v>235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6156</v>
      </c>
      <c r="BV1668" s="2" t="s">
        <v>243</v>
      </c>
      <c r="BW1668" s="2" t="s">
        <v>235</v>
      </c>
      <c r="BX1668" s="2" t="s">
        <v>244</v>
      </c>
      <c r="BY1668" s="2" t="s">
        <v>245</v>
      </c>
      <c r="BZ1668" s="2" t="s">
        <v>232</v>
      </c>
      <c r="CA1668" s="2" t="s">
        <v>1198</v>
      </c>
      <c r="CB1668" s="2" t="s">
        <v>1609</v>
      </c>
      <c r="CC1668" s="2" t="s">
        <v>248</v>
      </c>
      <c r="CD1668" s="2" t="s">
        <v>248</v>
      </c>
      <c r="CE1668" s="2" t="s">
        <v>235</v>
      </c>
      <c r="CF1668" s="4">
        <v>2</v>
      </c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>
        <v>2</v>
      </c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19">
        <v>0.7</v>
      </c>
      <c r="HE1668" s="20">
        <v>0</v>
      </c>
      <c r="HF1668" s="20">
        <v>0</v>
      </c>
      <c r="HG1668" s="20">
        <v>0</v>
      </c>
      <c r="HH1668" s="20">
        <v>0</v>
      </c>
      <c r="HI1668" s="20">
        <v>0</v>
      </c>
      <c r="HJ1668" s="20">
        <v>0</v>
      </c>
      <c r="HK1668" s="20">
        <v>0</v>
      </c>
      <c r="HL1668" s="20">
        <v>0</v>
      </c>
      <c r="HM1668" s="20">
        <v>0</v>
      </c>
      <c r="HN1668" s="20">
        <v>0</v>
      </c>
      <c r="HO1668" s="20">
        <v>0</v>
      </c>
      <c r="HP1668" s="20">
        <v>0</v>
      </c>
      <c r="HQ1668" s="20">
        <v>0</v>
      </c>
      <c r="HR1668" s="20">
        <v>0</v>
      </c>
      <c r="HS1668" s="20">
        <v>0</v>
      </c>
      <c r="HT1668" s="20">
        <v>0</v>
      </c>
      <c r="HU1668" s="20">
        <v>0</v>
      </c>
      <c r="HV1668" s="20">
        <v>0</v>
      </c>
      <c r="HW1668" s="20">
        <v>0</v>
      </c>
      <c r="HX1668" s="20">
        <v>0</v>
      </c>
      <c r="HY1668" s="20">
        <v>0</v>
      </c>
      <c r="HZ1668" s="20">
        <v>0</v>
      </c>
      <c r="IA1668" s="20">
        <v>0</v>
      </c>
      <c r="IB1668" s="20">
        <v>0</v>
      </c>
      <c r="IC1668" s="20">
        <v>0</v>
      </c>
    </row>
    <row r="1669">
      <c r="A1669" s="2" t="s">
        <v>6188</v>
      </c>
      <c r="B1669" s="2" t="s">
        <v>323</v>
      </c>
      <c r="C1669" s="2" t="s">
        <v>678</v>
      </c>
      <c r="D1669" s="2" t="s">
        <v>257</v>
      </c>
      <c r="E1669" s="2" t="s">
        <v>258</v>
      </c>
      <c r="F1669" s="2" t="s">
        <v>6153</v>
      </c>
      <c r="G1669" s="2" t="s">
        <v>6153</v>
      </c>
      <c r="H1669" s="2" t="s">
        <v>6153</v>
      </c>
      <c r="I1669" s="2" t="s">
        <v>6154</v>
      </c>
      <c r="J1669" s="2" t="s">
        <v>270</v>
      </c>
      <c r="K1669" s="2" t="s">
        <v>6189</v>
      </c>
      <c r="L1669" s="3">
        <v>28.68</v>
      </c>
      <c r="M1669" s="3">
        <v>30.11</v>
      </c>
      <c r="N1669" s="3">
        <v>62.99</v>
      </c>
      <c r="O1669" s="2" t="s">
        <v>232</v>
      </c>
      <c r="P1669" s="2" t="s">
        <v>408</v>
      </c>
      <c r="Q1669" s="2" t="s">
        <v>234</v>
      </c>
      <c r="R1669" s="2" t="s">
        <v>235</v>
      </c>
      <c r="S1669" s="2" t="s">
        <v>6190</v>
      </c>
      <c r="T1669" s="2" t="s">
        <v>2908</v>
      </c>
      <c r="U1669" s="2" t="s">
        <v>264</v>
      </c>
      <c r="V1669" s="2" t="s">
        <v>238</v>
      </c>
      <c r="W1669" s="2" t="s">
        <v>239</v>
      </c>
      <c r="X1669" s="2" t="s">
        <v>682</v>
      </c>
      <c r="Y1669" s="2" t="s">
        <v>6164</v>
      </c>
      <c r="Z1669" s="4">
        <v>67</v>
      </c>
      <c r="AA1669" s="4">
        <f>=ROUNDDOWN(5.44715447154472,0)</f>
      </c>
      <c r="AB1669" s="5">
        <v>12.3</v>
      </c>
      <c r="AC1669" s="2" t="s">
        <v>235</v>
      </c>
      <c r="AD1669" s="4"/>
      <c r="AE1669" s="4"/>
      <c r="AF1669" s="6">
        <v>73</v>
      </c>
      <c r="AG1669" s="6"/>
      <c r="AH1669" s="7">
        <v>1</v>
      </c>
      <c r="AI1669" s="4"/>
      <c r="AJ1669" s="4">
        <f>=ROUNDDOWN({0},0)</f>
      </c>
      <c r="AK1669" s="5"/>
      <c r="AL1669" s="2" t="s">
        <v>235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 t="s">
        <v>235</v>
      </c>
      <c r="BD1669" s="8" t="s">
        <v>235</v>
      </c>
      <c r="BE1669" s="4" t="s">
        <v>235</v>
      </c>
      <c r="BF1669" s="8" t="s">
        <v>235</v>
      </c>
      <c r="BG1669" s="7" t="s">
        <v>235</v>
      </c>
      <c r="BH1669" s="7" t="s">
        <v>235</v>
      </c>
      <c r="BI1669" s="7"/>
      <c r="BJ1669" s="4">
        <v>15</v>
      </c>
      <c r="BK1669" s="8">
        <v>489.98</v>
      </c>
      <c r="BL1669" s="2" t="s">
        <v>6191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6156</v>
      </c>
      <c r="BV1669" s="2" t="s">
        <v>243</v>
      </c>
      <c r="BW1669" s="2" t="s">
        <v>235</v>
      </c>
      <c r="BX1669" s="2" t="s">
        <v>244</v>
      </c>
      <c r="BY1669" s="2" t="s">
        <v>245</v>
      </c>
      <c r="BZ1669" s="2" t="s">
        <v>232</v>
      </c>
      <c r="CA1669" s="2" t="s">
        <v>6165</v>
      </c>
      <c r="CB1669" s="2" t="s">
        <v>6192</v>
      </c>
      <c r="CC1669" s="2" t="s">
        <v>248</v>
      </c>
      <c r="CD1669" s="2" t="s">
        <v>248</v>
      </c>
      <c r="CE1669" s="2" t="s">
        <v>235</v>
      </c>
      <c r="CF1669" s="4">
        <v>67</v>
      </c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>
        <v>69</v>
      </c>
      <c r="GE1669" s="4">
        <v>49</v>
      </c>
      <c r="GF1669" s="4">
        <v>41</v>
      </c>
      <c r="GG1669" s="4">
        <v>32</v>
      </c>
      <c r="GH1669" s="4">
        <v>22</v>
      </c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19">
        <v>5.8</v>
      </c>
      <c r="HE1669" s="19">
        <v>4.1</v>
      </c>
      <c r="HF1669" s="19">
        <v>2.9</v>
      </c>
      <c r="HG1669" s="19">
        <v>2</v>
      </c>
      <c r="HH1669" s="19">
        <v>1.2</v>
      </c>
      <c r="HI1669" s="20">
        <v>0</v>
      </c>
      <c r="HJ1669" s="20">
        <v>0</v>
      </c>
      <c r="HK1669" s="20">
        <v>0</v>
      </c>
      <c r="HL1669" s="20">
        <v>0</v>
      </c>
      <c r="HM1669" s="20">
        <v>0</v>
      </c>
      <c r="HN1669" s="20">
        <v>0</v>
      </c>
      <c r="HO1669" s="20">
        <v>0</v>
      </c>
      <c r="HP1669" s="20">
        <v>0</v>
      </c>
      <c r="HQ1669" s="20">
        <v>0</v>
      </c>
      <c r="HR1669" s="20">
        <v>0</v>
      </c>
      <c r="HS1669" s="20">
        <v>0</v>
      </c>
      <c r="HT1669" s="20">
        <v>0</v>
      </c>
      <c r="HU1669" s="20">
        <v>0</v>
      </c>
      <c r="HV1669" s="20">
        <v>0</v>
      </c>
      <c r="HW1669" s="20">
        <v>0</v>
      </c>
      <c r="HX1669" s="20">
        <v>0</v>
      </c>
      <c r="HY1669" s="20">
        <v>0</v>
      </c>
      <c r="HZ1669" s="20">
        <v>0</v>
      </c>
      <c r="IA1669" s="20">
        <v>0</v>
      </c>
      <c r="IB1669" s="20">
        <v>0</v>
      </c>
      <c r="IC1669" s="20">
        <v>0</v>
      </c>
    </row>
    <row r="1670">
      <c r="A1670" s="2" t="s">
        <v>6193</v>
      </c>
      <c r="B1670" s="2" t="s">
        <v>323</v>
      </c>
      <c r="C1670" s="2" t="s">
        <v>678</v>
      </c>
      <c r="D1670" s="2" t="s">
        <v>257</v>
      </c>
      <c r="E1670" s="2" t="s">
        <v>258</v>
      </c>
      <c r="F1670" s="2" t="s">
        <v>6153</v>
      </c>
      <c r="G1670" s="2" t="s">
        <v>6153</v>
      </c>
      <c r="H1670" s="2" t="s">
        <v>6153</v>
      </c>
      <c r="I1670" s="2" t="s">
        <v>6154</v>
      </c>
      <c r="J1670" s="2" t="s">
        <v>250</v>
      </c>
      <c r="K1670" s="2" t="s">
        <v>3461</v>
      </c>
      <c r="L1670" s="3">
        <v>22</v>
      </c>
      <c r="M1670" s="3">
        <v>23.1</v>
      </c>
      <c r="N1670" s="3">
        <v>47.99</v>
      </c>
      <c r="O1670" s="2" t="s">
        <v>232</v>
      </c>
      <c r="P1670" s="2" t="s">
        <v>233</v>
      </c>
      <c r="Q1670" s="2" t="s">
        <v>234</v>
      </c>
      <c r="R1670" s="2" t="s">
        <v>235</v>
      </c>
      <c r="S1670" s="2" t="s">
        <v>6194</v>
      </c>
      <c r="T1670" s="2" t="s">
        <v>2908</v>
      </c>
      <c r="U1670" s="2" t="s">
        <v>264</v>
      </c>
      <c r="V1670" s="2" t="s">
        <v>930</v>
      </c>
      <c r="W1670" s="2" t="s">
        <v>239</v>
      </c>
      <c r="X1670" s="2" t="s">
        <v>682</v>
      </c>
      <c r="Y1670" s="2" t="s">
        <v>3248</v>
      </c>
      <c r="Z1670" s="4">
        <v>258</v>
      </c>
      <c r="AA1670" s="4">
        <f>=ROUNDDOWN(32.25,0)</f>
      </c>
      <c r="AB1670" s="5">
        <v>8</v>
      </c>
      <c r="AC1670" s="2" t="s">
        <v>235</v>
      </c>
      <c r="AD1670" s="4"/>
      <c r="AE1670" s="4"/>
      <c r="AF1670" s="6">
        <v>77</v>
      </c>
      <c r="AG1670" s="6"/>
      <c r="AH1670" s="7">
        <v>1</v>
      </c>
      <c r="AI1670" s="4"/>
      <c r="AJ1670" s="4">
        <f>=ROUNDDOWN({0},0)</f>
      </c>
      <c r="AK1670" s="5"/>
      <c r="AL1670" s="2" t="s">
        <v>235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235</v>
      </c>
      <c r="AW1670" s="8" t="s">
        <v>235</v>
      </c>
      <c r="AX1670" s="4" t="s">
        <v>235</v>
      </c>
      <c r="AY1670" s="8" t="s">
        <v>235</v>
      </c>
      <c r="AZ1670" s="7" t="s">
        <v>235</v>
      </c>
      <c r="BA1670" s="7" t="s">
        <v>235</v>
      </c>
      <c r="BB1670" s="7"/>
      <c r="BC1670" s="4" t="s">
        <v>235</v>
      </c>
      <c r="BD1670" s="8" t="s">
        <v>235</v>
      </c>
      <c r="BE1670" s="4" t="s">
        <v>235</v>
      </c>
      <c r="BF1670" s="8" t="s">
        <v>235</v>
      </c>
      <c r="BG1670" s="7" t="s">
        <v>235</v>
      </c>
      <c r="BH1670" s="7" t="s">
        <v>235</v>
      </c>
      <c r="BI1670" s="7"/>
      <c r="BJ1670" s="4">
        <v>9</v>
      </c>
      <c r="BK1670" s="8">
        <v>236.4</v>
      </c>
      <c r="BL1670" s="2" t="s">
        <v>536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6156</v>
      </c>
      <c r="BV1670" s="2" t="s">
        <v>243</v>
      </c>
      <c r="BW1670" s="2" t="s">
        <v>235</v>
      </c>
      <c r="BX1670" s="2" t="s">
        <v>244</v>
      </c>
      <c r="BY1670" s="2" t="s">
        <v>245</v>
      </c>
      <c r="BZ1670" s="2" t="s">
        <v>232</v>
      </c>
      <c r="CA1670" s="2" t="s">
        <v>6157</v>
      </c>
      <c r="CB1670" s="2" t="s">
        <v>3908</v>
      </c>
      <c r="CC1670" s="2" t="s">
        <v>248</v>
      </c>
      <c r="CD1670" s="2" t="s">
        <v>248</v>
      </c>
      <c r="CE1670" s="2" t="s">
        <v>235</v>
      </c>
      <c r="CF1670" s="4">
        <v>258</v>
      </c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>
        <v>260</v>
      </c>
      <c r="GE1670" s="4">
        <v>253</v>
      </c>
      <c r="GF1670" s="4">
        <v>248</v>
      </c>
      <c r="GG1670" s="4">
        <v>242</v>
      </c>
      <c r="GH1670" s="4">
        <v>236</v>
      </c>
      <c r="GI1670" s="4">
        <v>226</v>
      </c>
      <c r="GJ1670" s="4">
        <v>213</v>
      </c>
      <c r="GK1670" s="4">
        <v>203</v>
      </c>
      <c r="GL1670" s="4">
        <v>193</v>
      </c>
      <c r="GM1670" s="4">
        <v>184</v>
      </c>
      <c r="GN1670" s="4">
        <v>172</v>
      </c>
      <c r="GO1670" s="4">
        <v>157</v>
      </c>
      <c r="GP1670" s="4">
        <v>134</v>
      </c>
      <c r="GQ1670" s="4">
        <v>90</v>
      </c>
      <c r="GR1670" s="4">
        <v>69</v>
      </c>
      <c r="GS1670" s="4">
        <v>48</v>
      </c>
      <c r="GT1670" s="4">
        <v>34</v>
      </c>
      <c r="GU1670" s="4">
        <v>24</v>
      </c>
      <c r="GV1670" s="4">
        <v>14</v>
      </c>
      <c r="GW1670" s="4">
        <v>7</v>
      </c>
      <c r="GX1670" s="4">
        <v>1</v>
      </c>
      <c r="GY1670" s="4"/>
      <c r="GZ1670" s="4"/>
      <c r="HA1670" s="4"/>
      <c r="HB1670" s="4"/>
      <c r="HC1670" s="4"/>
      <c r="HD1670" s="19">
        <v>43.3</v>
      </c>
      <c r="HE1670" s="19">
        <v>36.1</v>
      </c>
      <c r="HF1670" s="19">
        <v>27.6</v>
      </c>
      <c r="HG1670" s="19">
        <v>24.2</v>
      </c>
      <c r="HH1670" s="19">
        <v>21.5</v>
      </c>
      <c r="HI1670" s="19">
        <v>22.6</v>
      </c>
      <c r="HJ1670" s="19">
        <v>21.3</v>
      </c>
      <c r="HK1670" s="19">
        <v>16.9</v>
      </c>
      <c r="HL1670" s="19">
        <v>12.9</v>
      </c>
      <c r="HM1670" s="19">
        <v>7.7</v>
      </c>
      <c r="HN1670" s="19">
        <v>6.6</v>
      </c>
      <c r="HO1670" s="19">
        <v>5.8</v>
      </c>
      <c r="HP1670" s="19">
        <v>5.4</v>
      </c>
      <c r="HQ1670" s="19">
        <v>5.6</v>
      </c>
      <c r="HR1670" s="19">
        <v>4.9</v>
      </c>
      <c r="HS1670" s="19">
        <v>4.8</v>
      </c>
      <c r="HT1670" s="19">
        <v>4.3</v>
      </c>
      <c r="HU1670" s="19">
        <v>3.4</v>
      </c>
      <c r="HV1670" s="19">
        <v>2.8</v>
      </c>
      <c r="HW1670" s="19">
        <v>1.8</v>
      </c>
      <c r="HX1670" s="19">
        <v>0.3</v>
      </c>
      <c r="HY1670" s="20">
        <v>0</v>
      </c>
      <c r="HZ1670" s="20">
        <v>0</v>
      </c>
      <c r="IA1670" s="20">
        <v>0</v>
      </c>
      <c r="IB1670" s="20">
        <v>0</v>
      </c>
      <c r="IC1670" s="20">
        <v>0</v>
      </c>
    </row>
    <row r="1671">
      <c r="A1671" s="2" t="s">
        <v>6195</v>
      </c>
      <c r="B1671" s="2" t="s">
        <v>323</v>
      </c>
      <c r="C1671" s="2" t="s">
        <v>678</v>
      </c>
      <c r="D1671" s="2" t="s">
        <v>257</v>
      </c>
      <c r="E1671" s="2" t="s">
        <v>258</v>
      </c>
      <c r="F1671" s="2" t="s">
        <v>6153</v>
      </c>
      <c r="G1671" s="2" t="s">
        <v>6153</v>
      </c>
      <c r="H1671" s="2" t="s">
        <v>6153</v>
      </c>
      <c r="I1671" s="2" t="s">
        <v>6154</v>
      </c>
      <c r="J1671" s="2" t="s">
        <v>261</v>
      </c>
      <c r="K1671" s="2" t="s">
        <v>3461</v>
      </c>
      <c r="L1671" s="3">
        <v>29.18</v>
      </c>
      <c r="M1671" s="3">
        <v>30.64</v>
      </c>
      <c r="N1671" s="3">
        <v>64.99</v>
      </c>
      <c r="O1671" s="2" t="s">
        <v>232</v>
      </c>
      <c r="P1671" s="2" t="s">
        <v>336</v>
      </c>
      <c r="Q1671" s="2" t="s">
        <v>234</v>
      </c>
      <c r="R1671" s="2" t="s">
        <v>235</v>
      </c>
      <c r="S1671" s="2" t="s">
        <v>6194</v>
      </c>
      <c r="T1671" s="2" t="s">
        <v>2908</v>
      </c>
      <c r="U1671" s="2" t="s">
        <v>264</v>
      </c>
      <c r="V1671" s="2" t="s">
        <v>930</v>
      </c>
      <c r="W1671" s="2" t="s">
        <v>239</v>
      </c>
      <c r="X1671" s="2" t="s">
        <v>682</v>
      </c>
      <c r="Y1671" s="2" t="s">
        <v>3248</v>
      </c>
      <c r="Z1671" s="4">
        <v>1033</v>
      </c>
      <c r="AA1671" s="4">
        <f>=ROUNDDOWN(34.4333333333333,0)</f>
      </c>
      <c r="AB1671" s="5">
        <v>30</v>
      </c>
      <c r="AC1671" s="2" t="s">
        <v>235</v>
      </c>
      <c r="AD1671" s="4"/>
      <c r="AE1671" s="4"/>
      <c r="AF1671" s="6">
        <v>77</v>
      </c>
      <c r="AG1671" s="6"/>
      <c r="AH1671" s="7">
        <v>1</v>
      </c>
      <c r="AI1671" s="4"/>
      <c r="AJ1671" s="4">
        <f>=ROUNDDOWN({0},0)</f>
      </c>
      <c r="AK1671" s="5"/>
      <c r="AL1671" s="2" t="s">
        <v>235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235</v>
      </c>
      <c r="AW1671" s="8" t="s">
        <v>235</v>
      </c>
      <c r="AX1671" s="4" t="s">
        <v>235</v>
      </c>
      <c r="AY1671" s="8" t="s">
        <v>235</v>
      </c>
      <c r="AZ1671" s="7" t="s">
        <v>235</v>
      </c>
      <c r="BA1671" s="7" t="s">
        <v>235</v>
      </c>
      <c r="BB1671" s="7"/>
      <c r="BC1671" s="4" t="s">
        <v>235</v>
      </c>
      <c r="BD1671" s="8" t="s">
        <v>235</v>
      </c>
      <c r="BE1671" s="4" t="s">
        <v>235</v>
      </c>
      <c r="BF1671" s="8" t="s">
        <v>235</v>
      </c>
      <c r="BG1671" s="7" t="s">
        <v>235</v>
      </c>
      <c r="BH1671" s="7" t="s">
        <v>235</v>
      </c>
      <c r="BI1671" s="7"/>
      <c r="BJ1671" s="4">
        <v>26</v>
      </c>
      <c r="BK1671" s="8">
        <v>795.98</v>
      </c>
      <c r="BL1671" s="2" t="s">
        <v>2089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6156</v>
      </c>
      <c r="BV1671" s="2" t="s">
        <v>243</v>
      </c>
      <c r="BW1671" s="2" t="s">
        <v>235</v>
      </c>
      <c r="BX1671" s="2" t="s">
        <v>244</v>
      </c>
      <c r="BY1671" s="2" t="s">
        <v>245</v>
      </c>
      <c r="BZ1671" s="2" t="s">
        <v>232</v>
      </c>
      <c r="CA1671" s="2" t="s">
        <v>6157</v>
      </c>
      <c r="CB1671" s="2" t="s">
        <v>4019</v>
      </c>
      <c r="CC1671" s="2" t="s">
        <v>248</v>
      </c>
      <c r="CD1671" s="2" t="s">
        <v>248</v>
      </c>
      <c r="CE1671" s="2" t="s">
        <v>235</v>
      </c>
      <c r="CF1671" s="4">
        <v>1033</v>
      </c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>
        <v>1037</v>
      </c>
      <c r="GE1671" s="4">
        <v>1019</v>
      </c>
      <c r="GF1671" s="4">
        <v>1003</v>
      </c>
      <c r="GG1671" s="4">
        <v>986</v>
      </c>
      <c r="GH1671" s="4">
        <v>968</v>
      </c>
      <c r="GI1671" s="4">
        <v>935</v>
      </c>
      <c r="GJ1671" s="4">
        <v>896</v>
      </c>
      <c r="GK1671" s="4">
        <v>863</v>
      </c>
      <c r="GL1671" s="4">
        <v>830</v>
      </c>
      <c r="GM1671" s="4">
        <v>799</v>
      </c>
      <c r="GN1671" s="4">
        <v>753</v>
      </c>
      <c r="GO1671" s="4">
        <v>696</v>
      </c>
      <c r="GP1671" s="4">
        <v>610</v>
      </c>
      <c r="GQ1671" s="4">
        <v>441</v>
      </c>
      <c r="GR1671" s="4">
        <v>362</v>
      </c>
      <c r="GS1671" s="4">
        <v>284</v>
      </c>
      <c r="GT1671" s="4">
        <v>233</v>
      </c>
      <c r="GU1671" s="4">
        <v>196</v>
      </c>
      <c r="GV1671" s="4">
        <v>159</v>
      </c>
      <c r="GW1671" s="4">
        <v>131</v>
      </c>
      <c r="GX1671" s="4">
        <v>108</v>
      </c>
      <c r="GY1671" s="4">
        <v>91</v>
      </c>
      <c r="GZ1671" s="4">
        <v>74</v>
      </c>
      <c r="HA1671" s="4">
        <v>57</v>
      </c>
      <c r="HB1671" s="4">
        <v>40</v>
      </c>
      <c r="HC1671" s="4">
        <v>23</v>
      </c>
      <c r="HD1671" s="19">
        <v>61</v>
      </c>
      <c r="HE1671" s="19">
        <v>48.5</v>
      </c>
      <c r="HF1671" s="19">
        <v>37.1</v>
      </c>
      <c r="HG1671" s="19">
        <v>31.8</v>
      </c>
      <c r="HH1671" s="19">
        <v>28.5</v>
      </c>
      <c r="HI1671" s="19">
        <v>27.5</v>
      </c>
      <c r="HJ1671" s="19">
        <v>24.9</v>
      </c>
      <c r="HK1671" s="19">
        <v>20.5</v>
      </c>
      <c r="HL1671" s="19">
        <v>15.1</v>
      </c>
      <c r="HM1671" s="19">
        <v>8.9</v>
      </c>
      <c r="HN1671" s="19">
        <v>7.7</v>
      </c>
      <c r="HO1671" s="19">
        <v>6.8</v>
      </c>
      <c r="HP1671" s="19">
        <v>6.5</v>
      </c>
      <c r="HQ1671" s="19">
        <v>7.2</v>
      </c>
      <c r="HR1671" s="19">
        <v>7.1</v>
      </c>
      <c r="HS1671" s="19">
        <v>7.5</v>
      </c>
      <c r="HT1671" s="19">
        <v>7.5</v>
      </c>
      <c r="HU1671" s="19">
        <v>7.5</v>
      </c>
      <c r="HV1671" s="19">
        <v>7.6</v>
      </c>
      <c r="HW1671" s="19">
        <v>7.3</v>
      </c>
      <c r="HX1671" s="19">
        <v>6.4</v>
      </c>
      <c r="HY1671" s="19">
        <v>5.4</v>
      </c>
      <c r="HZ1671" s="19">
        <v>4.6</v>
      </c>
      <c r="IA1671" s="19">
        <v>4.1</v>
      </c>
      <c r="IB1671" s="19">
        <v>3.1</v>
      </c>
      <c r="IC1671" s="19">
        <v>1.9</v>
      </c>
    </row>
    <row r="1672">
      <c r="A1672" s="2" t="s">
        <v>6196</v>
      </c>
      <c r="B1672" s="2" t="s">
        <v>323</v>
      </c>
      <c r="C1672" s="2" t="s">
        <v>678</v>
      </c>
      <c r="D1672" s="2" t="s">
        <v>257</v>
      </c>
      <c r="E1672" s="2" t="s">
        <v>258</v>
      </c>
      <c r="F1672" s="2" t="s">
        <v>6153</v>
      </c>
      <c r="G1672" s="2" t="s">
        <v>6153</v>
      </c>
      <c r="H1672" s="2" t="s">
        <v>6153</v>
      </c>
      <c r="I1672" s="2" t="s">
        <v>6154</v>
      </c>
      <c r="J1672" s="2" t="s">
        <v>272</v>
      </c>
      <c r="K1672" s="2" t="s">
        <v>3461</v>
      </c>
      <c r="L1672" s="3">
        <v>28.68</v>
      </c>
      <c r="M1672" s="3">
        <v>30.11</v>
      </c>
      <c r="N1672" s="3">
        <v>62.99</v>
      </c>
      <c r="O1672" s="2" t="s">
        <v>232</v>
      </c>
      <c r="P1672" s="2" t="s">
        <v>233</v>
      </c>
      <c r="Q1672" s="2" t="s">
        <v>234</v>
      </c>
      <c r="R1672" s="2" t="s">
        <v>235</v>
      </c>
      <c r="S1672" s="2" t="s">
        <v>6194</v>
      </c>
      <c r="T1672" s="2" t="s">
        <v>2908</v>
      </c>
      <c r="U1672" s="2" t="s">
        <v>264</v>
      </c>
      <c r="V1672" s="2" t="s">
        <v>930</v>
      </c>
      <c r="W1672" s="2" t="s">
        <v>239</v>
      </c>
      <c r="X1672" s="2" t="s">
        <v>682</v>
      </c>
      <c r="Y1672" s="2" t="s">
        <v>3248</v>
      </c>
      <c r="Z1672" s="4">
        <v>3</v>
      </c>
      <c r="AA1672" s="4">
        <f>=ROUNDDOWN(0.375,0)</f>
      </c>
      <c r="AB1672" s="5">
        <v>8</v>
      </c>
      <c r="AC1672" s="2" t="s">
        <v>235</v>
      </c>
      <c r="AD1672" s="4"/>
      <c r="AE1672" s="4"/>
      <c r="AF1672" s="6">
        <v>77</v>
      </c>
      <c r="AG1672" s="6"/>
      <c r="AH1672" s="7">
        <v>0</v>
      </c>
      <c r="AI1672" s="4"/>
      <c r="AJ1672" s="4">
        <f>=ROUNDDOWN({0},0)</f>
      </c>
      <c r="AK1672" s="5"/>
      <c r="AL1672" s="2" t="s">
        <v>235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235</v>
      </c>
      <c r="AW1672" s="8" t="s">
        <v>235</v>
      </c>
      <c r="AX1672" s="4" t="s">
        <v>235</v>
      </c>
      <c r="AY1672" s="8" t="s">
        <v>235</v>
      </c>
      <c r="AZ1672" s="7" t="s">
        <v>235</v>
      </c>
      <c r="BA1672" s="7" t="s">
        <v>235</v>
      </c>
      <c r="BB1672" s="7"/>
      <c r="BC1672" s="4" t="s">
        <v>235</v>
      </c>
      <c r="BD1672" s="8" t="s">
        <v>235</v>
      </c>
      <c r="BE1672" s="4" t="s">
        <v>235</v>
      </c>
      <c r="BF1672" s="8" t="s">
        <v>235</v>
      </c>
      <c r="BG1672" s="7" t="s">
        <v>235</v>
      </c>
      <c r="BH1672" s="7" t="s">
        <v>235</v>
      </c>
      <c r="BI1672" s="7"/>
      <c r="BJ1672" s="4"/>
      <c r="BK1672" s="8"/>
      <c r="BL1672" s="2" t="s">
        <v>2757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6156</v>
      </c>
      <c r="BV1672" s="2" t="s">
        <v>243</v>
      </c>
      <c r="BW1672" s="2" t="s">
        <v>235</v>
      </c>
      <c r="BX1672" s="2" t="s">
        <v>244</v>
      </c>
      <c r="BY1672" s="2" t="s">
        <v>245</v>
      </c>
      <c r="BZ1672" s="2" t="s">
        <v>232</v>
      </c>
      <c r="CA1672" s="2" t="s">
        <v>6157</v>
      </c>
      <c r="CB1672" s="2" t="s">
        <v>6197</v>
      </c>
      <c r="CC1672" s="2" t="s">
        <v>248</v>
      </c>
      <c r="CD1672" s="2" t="s">
        <v>248</v>
      </c>
      <c r="CE1672" s="2" t="s">
        <v>235</v>
      </c>
      <c r="CF1672" s="4">
        <v>3</v>
      </c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>
        <v>3</v>
      </c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19">
        <v>0.8</v>
      </c>
      <c r="HE1672" s="20">
        <v>0</v>
      </c>
      <c r="HF1672" s="20">
        <v>0</v>
      </c>
      <c r="HG1672" s="20">
        <v>0</v>
      </c>
      <c r="HH1672" s="20">
        <v>0</v>
      </c>
      <c r="HI1672" s="20">
        <v>0</v>
      </c>
      <c r="HJ1672" s="20">
        <v>0</v>
      </c>
      <c r="HK1672" s="20">
        <v>0</v>
      </c>
      <c r="HL1672" s="20">
        <v>0</v>
      </c>
      <c r="HM1672" s="20">
        <v>0</v>
      </c>
      <c r="HN1672" s="20">
        <v>0</v>
      </c>
      <c r="HO1672" s="20">
        <v>0</v>
      </c>
      <c r="HP1672" s="20">
        <v>0</v>
      </c>
      <c r="HQ1672" s="20">
        <v>0</v>
      </c>
      <c r="HR1672" s="20">
        <v>0</v>
      </c>
      <c r="HS1672" s="20">
        <v>0</v>
      </c>
      <c r="HT1672" s="20">
        <v>0</v>
      </c>
      <c r="HU1672" s="20">
        <v>0</v>
      </c>
      <c r="HV1672" s="20">
        <v>0</v>
      </c>
      <c r="HW1672" s="20">
        <v>0</v>
      </c>
      <c r="HX1672" s="20">
        <v>0</v>
      </c>
      <c r="HY1672" s="20">
        <v>0</v>
      </c>
      <c r="HZ1672" s="20">
        <v>0</v>
      </c>
      <c r="IA1672" s="20">
        <v>0</v>
      </c>
      <c r="IB1672" s="20">
        <v>0</v>
      </c>
      <c r="IC1672" s="20">
        <v>0</v>
      </c>
    </row>
    <row r="1673">
      <c r="A1673" s="2" t="s">
        <v>6198</v>
      </c>
      <c r="B1673" s="2" t="s">
        <v>871</v>
      </c>
      <c r="C1673" s="2" t="s">
        <v>324</v>
      </c>
      <c r="D1673" s="2" t="s">
        <v>906</v>
      </c>
      <c r="E1673" s="2" t="s">
        <v>907</v>
      </c>
      <c r="F1673" s="2" t="s">
        <v>6199</v>
      </c>
      <c r="G1673" s="2" t="s">
        <v>6200</v>
      </c>
      <c r="H1673" s="2" t="s">
        <v>5330</v>
      </c>
      <c r="I1673" s="2" t="s">
        <v>6201</v>
      </c>
      <c r="J1673" s="2" t="s">
        <v>372</v>
      </c>
      <c r="K1673" s="2" t="s">
        <v>6202</v>
      </c>
      <c r="L1673" s="3">
        <v>63.7</v>
      </c>
      <c r="M1673" s="3">
        <v>66.88</v>
      </c>
      <c r="N1673" s="3">
        <v>129.99</v>
      </c>
      <c r="O1673" s="2" t="s">
        <v>232</v>
      </c>
      <c r="P1673" s="2" t="s">
        <v>233</v>
      </c>
      <c r="Q1673" s="2" t="s">
        <v>234</v>
      </c>
      <c r="R1673" s="2" t="s">
        <v>235</v>
      </c>
      <c r="S1673" s="2" t="s">
        <v>6203</v>
      </c>
      <c r="T1673" s="2" t="s">
        <v>4369</v>
      </c>
      <c r="U1673" s="2" t="s">
        <v>552</v>
      </c>
      <c r="V1673" s="2" t="s">
        <v>863</v>
      </c>
      <c r="W1673" s="2" t="s">
        <v>881</v>
      </c>
      <c r="X1673" s="2" t="s">
        <v>2360</v>
      </c>
      <c r="Y1673" s="2" t="s">
        <v>6204</v>
      </c>
      <c r="Z1673" s="4"/>
      <c r="AA1673" s="4">
        <f>=ROUNDDOWN({0},0)</f>
      </c>
      <c r="AB1673" s="5">
        <v>7.3</v>
      </c>
      <c r="AC1673" s="2" t="s">
        <v>235</v>
      </c>
      <c r="AD1673" s="4"/>
      <c r="AE1673" s="4"/>
      <c r="AF1673" s="6">
        <v>77</v>
      </c>
      <c r="AG1673" s="6"/>
      <c r="AH1673" s="7">
        <v>0</v>
      </c>
      <c r="AI1673" s="4"/>
      <c r="AJ1673" s="4">
        <f>=ROUNDDOWN({0},0)</f>
      </c>
      <c r="AK1673" s="5"/>
      <c r="AL1673" s="2" t="s">
        <v>235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/>
      <c r="BD1673" s="8"/>
      <c r="BE1673" s="4"/>
      <c r="BF1673" s="8"/>
      <c r="BG1673" s="7"/>
      <c r="BH1673" s="7"/>
      <c r="BI1673" s="7"/>
      <c r="BJ1673" s="4"/>
      <c r="BK1673" s="8"/>
      <c r="BL1673" s="2" t="s">
        <v>6205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6206</v>
      </c>
      <c r="BV1673" s="2" t="s">
        <v>243</v>
      </c>
      <c r="BW1673" s="2" t="s">
        <v>235</v>
      </c>
      <c r="BX1673" s="2" t="s">
        <v>244</v>
      </c>
      <c r="BY1673" s="2" t="s">
        <v>245</v>
      </c>
      <c r="BZ1673" s="2" t="s">
        <v>232</v>
      </c>
      <c r="CA1673" s="2" t="s">
        <v>6207</v>
      </c>
      <c r="CB1673" s="2" t="s">
        <v>6208</v>
      </c>
      <c r="CC1673" s="2" t="s">
        <v>248</v>
      </c>
      <c r="CD1673" s="2" t="s">
        <v>248</v>
      </c>
      <c r="CE1673" s="2" t="s">
        <v>235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>
        <v>341</v>
      </c>
      <c r="HC1673" s="4">
        <v>319</v>
      </c>
      <c r="HD1673" s="20">
        <v>0</v>
      </c>
      <c r="HE1673" s="20">
        <v>0</v>
      </c>
      <c r="HF1673" s="20">
        <v>0</v>
      </c>
      <c r="HG1673" s="20">
        <v>0</v>
      </c>
      <c r="HH1673" s="20">
        <v>0</v>
      </c>
      <c r="HI1673" s="20">
        <v>0</v>
      </c>
      <c r="HJ1673" s="20">
        <v>0</v>
      </c>
      <c r="HK1673" s="20">
        <v>0</v>
      </c>
      <c r="HL1673" s="20">
        <v>0</v>
      </c>
      <c r="HM1673" s="20">
        <v>0</v>
      </c>
      <c r="HN1673" s="20">
        <v>0</v>
      </c>
      <c r="HO1673" s="20">
        <v>0</v>
      </c>
      <c r="HP1673" s="20">
        <v>0</v>
      </c>
      <c r="HQ1673" s="20">
        <v>0</v>
      </c>
      <c r="HR1673" s="20">
        <v>0</v>
      </c>
      <c r="HS1673" s="20">
        <v>0</v>
      </c>
      <c r="HT1673" s="20">
        <v>0</v>
      </c>
      <c r="HU1673" s="20">
        <v>0</v>
      </c>
      <c r="HV1673" s="20">
        <v>0</v>
      </c>
      <c r="HW1673" s="20">
        <v>0</v>
      </c>
      <c r="HX1673" s="20">
        <v>0</v>
      </c>
      <c r="HY1673" s="20">
        <v>0</v>
      </c>
      <c r="HZ1673" s="20">
        <v>0</v>
      </c>
      <c r="IA1673" s="20">
        <v>0</v>
      </c>
      <c r="IB1673" s="19">
        <v>31</v>
      </c>
      <c r="IC1673" s="19">
        <v>45.6</v>
      </c>
    </row>
    <row r="1674">
      <c r="A1674" s="2" t="s">
        <v>6209</v>
      </c>
      <c r="B1674" s="2" t="s">
        <v>817</v>
      </c>
      <c r="C1674" s="2" t="s">
        <v>324</v>
      </c>
      <c r="D1674" s="2" t="s">
        <v>5003</v>
      </c>
      <c r="E1674" s="2" t="s">
        <v>5004</v>
      </c>
      <c r="F1674" s="2" t="s">
        <v>6210</v>
      </c>
      <c r="G1674" s="2" t="s">
        <v>6210</v>
      </c>
      <c r="H1674" s="2" t="s">
        <v>6210</v>
      </c>
      <c r="I1674" s="2" t="s">
        <v>6211</v>
      </c>
      <c r="J1674" s="2" t="s">
        <v>806</v>
      </c>
      <c r="K1674" s="2" t="s">
        <v>1169</v>
      </c>
      <c r="L1674" s="3">
        <v>30.6</v>
      </c>
      <c r="M1674" s="3">
        <v>32.13</v>
      </c>
      <c r="N1674" s="3">
        <v>65.44</v>
      </c>
      <c r="O1674" s="2" t="s">
        <v>407</v>
      </c>
      <c r="P1674" s="2" t="s">
        <v>408</v>
      </c>
      <c r="Q1674" s="2" t="s">
        <v>234</v>
      </c>
      <c r="R1674" s="2" t="s">
        <v>235</v>
      </c>
      <c r="S1674" s="2" t="s">
        <v>235</v>
      </c>
      <c r="T1674" s="2" t="s">
        <v>235</v>
      </c>
      <c r="U1674" s="2" t="s">
        <v>807</v>
      </c>
      <c r="V1674" s="2" t="s">
        <v>930</v>
      </c>
      <c r="W1674" s="2" t="s">
        <v>1157</v>
      </c>
      <c r="X1674" s="2" t="s">
        <v>235</v>
      </c>
      <c r="Y1674" s="2" t="s">
        <v>6212</v>
      </c>
      <c r="Z1674" s="4">
        <v>24</v>
      </c>
      <c r="AA1674" s="4">
        <f>=ROUNDDOWN(8.88888888888889,0)</f>
      </c>
      <c r="AB1674" s="5">
        <v>2.7</v>
      </c>
      <c r="AC1674" s="2" t="s">
        <v>235</v>
      </c>
      <c r="AD1674" s="4"/>
      <c r="AE1674" s="4"/>
      <c r="AF1674" s="6">
        <v>63</v>
      </c>
      <c r="AG1674" s="6"/>
      <c r="AH1674" s="7">
        <v>1</v>
      </c>
      <c r="AI1674" s="4"/>
      <c r="AJ1674" s="4">
        <f>=ROUNDDOWN({0},0)</f>
      </c>
      <c r="AK1674" s="5"/>
      <c r="AL1674" s="2" t="s">
        <v>235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/>
      <c r="AW1674" s="8"/>
      <c r="AX1674" s="4"/>
      <c r="AY1674" s="8"/>
      <c r="AZ1674" s="7"/>
      <c r="BA1674" s="7"/>
      <c r="BB1674" s="7"/>
      <c r="BC1674" s="4"/>
      <c r="BD1674" s="8"/>
      <c r="BE1674" s="4"/>
      <c r="BF1674" s="8"/>
      <c r="BG1674" s="7"/>
      <c r="BH1674" s="7"/>
      <c r="BI1674" s="7"/>
      <c r="BJ1674" s="4">
        <v>7</v>
      </c>
      <c r="BK1674" s="8">
        <v>254.3</v>
      </c>
      <c r="BL1674" s="2" t="s">
        <v>6213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6214</v>
      </c>
      <c r="BV1674" s="2" t="s">
        <v>828</v>
      </c>
      <c r="BW1674" s="2" t="s">
        <v>235</v>
      </c>
      <c r="BX1674" s="2" t="s">
        <v>414</v>
      </c>
      <c r="BY1674" s="2" t="s">
        <v>245</v>
      </c>
      <c r="BZ1674" s="2" t="s">
        <v>232</v>
      </c>
      <c r="CA1674" s="2" t="s">
        <v>6215</v>
      </c>
      <c r="CB1674" s="2" t="s">
        <v>5199</v>
      </c>
      <c r="CC1674" s="2" t="s">
        <v>248</v>
      </c>
      <c r="CD1674" s="2" t="s">
        <v>248</v>
      </c>
      <c r="CE1674" s="2" t="s">
        <v>235</v>
      </c>
      <c r="CF1674" s="4"/>
      <c r="CG1674" s="4">
        <v>24</v>
      </c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>
        <v>24</v>
      </c>
      <c r="GE1674" s="4">
        <v>15</v>
      </c>
      <c r="GF1674" s="4">
        <v>12</v>
      </c>
      <c r="GG1674" s="4">
        <v>9</v>
      </c>
      <c r="GH1674" s="4">
        <v>6</v>
      </c>
      <c r="GI1674" s="4">
        <v>3</v>
      </c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19">
        <v>6</v>
      </c>
      <c r="HE1674" s="19">
        <v>5</v>
      </c>
      <c r="HF1674" s="19">
        <v>4</v>
      </c>
      <c r="HG1674" s="19">
        <v>3</v>
      </c>
      <c r="HH1674" s="19">
        <v>3</v>
      </c>
      <c r="HI1674" s="19">
        <v>1.5</v>
      </c>
      <c r="HJ1674" s="20">
        <v>0</v>
      </c>
      <c r="HK1674" s="20">
        <v>0</v>
      </c>
      <c r="HL1674" s="20">
        <v>0</v>
      </c>
      <c r="HM1674" s="20">
        <v>0</v>
      </c>
      <c r="HN1674" s="20">
        <v>0</v>
      </c>
      <c r="HO1674" s="20">
        <v>0</v>
      </c>
      <c r="HP1674" s="20">
        <v>0</v>
      </c>
      <c r="HQ1674" s="20">
        <v>0</v>
      </c>
      <c r="HR1674" s="20">
        <v>0</v>
      </c>
      <c r="HS1674" s="20">
        <v>0</v>
      </c>
      <c r="HT1674" s="20">
        <v>0</v>
      </c>
      <c r="HU1674" s="20">
        <v>0</v>
      </c>
      <c r="HV1674" s="20">
        <v>0</v>
      </c>
      <c r="HW1674" s="20">
        <v>0</v>
      </c>
      <c r="HX1674" s="20">
        <v>0</v>
      </c>
      <c r="HY1674" s="20">
        <v>0</v>
      </c>
      <c r="HZ1674" s="20">
        <v>0</v>
      </c>
      <c r="IA1674" s="20">
        <v>0</v>
      </c>
      <c r="IB1674" s="20">
        <v>0</v>
      </c>
      <c r="IC1674" s="20">
        <v>0</v>
      </c>
    </row>
    <row r="1675">
      <c r="A1675" s="2" t="s">
        <v>6216</v>
      </c>
      <c r="B1675" s="2" t="s">
        <v>905</v>
      </c>
      <c r="C1675" s="2" t="s">
        <v>324</v>
      </c>
      <c r="D1675" s="2" t="s">
        <v>990</v>
      </c>
      <c r="E1675" s="2" t="s">
        <v>1329</v>
      </c>
      <c r="F1675" s="2" t="s">
        <v>6217</v>
      </c>
      <c r="G1675" s="2" t="s">
        <v>6218</v>
      </c>
      <c r="H1675" s="2" t="s">
        <v>6218</v>
      </c>
      <c r="I1675" s="2" t="s">
        <v>6219</v>
      </c>
      <c r="J1675" s="2" t="s">
        <v>3871</v>
      </c>
      <c r="K1675" s="2" t="s">
        <v>1196</v>
      </c>
      <c r="L1675" s="3">
        <v>16.87</v>
      </c>
      <c r="M1675" s="3">
        <v>17.71</v>
      </c>
      <c r="N1675" s="3">
        <v>34.99</v>
      </c>
      <c r="O1675" s="2" t="s">
        <v>232</v>
      </c>
      <c r="P1675" s="2" t="s">
        <v>233</v>
      </c>
      <c r="Q1675" s="2" t="s">
        <v>234</v>
      </c>
      <c r="R1675" s="2" t="s">
        <v>235</v>
      </c>
      <c r="S1675" s="2" t="s">
        <v>6220</v>
      </c>
      <c r="T1675" s="2" t="s">
        <v>2295</v>
      </c>
      <c r="U1675" s="2" t="s">
        <v>235</v>
      </c>
      <c r="V1675" s="2" t="s">
        <v>238</v>
      </c>
      <c r="W1675" s="2" t="s">
        <v>239</v>
      </c>
      <c r="X1675" s="2" t="s">
        <v>235</v>
      </c>
      <c r="Y1675" s="2" t="s">
        <v>240</v>
      </c>
      <c r="Z1675" s="4">
        <v>5430</v>
      </c>
      <c r="AA1675" s="4">
        <f>=ROUNDDOWN(312.068965517241,0)</f>
      </c>
      <c r="AB1675" s="5">
        <v>17.4</v>
      </c>
      <c r="AC1675" s="2" t="s">
        <v>235</v>
      </c>
      <c r="AD1675" s="4"/>
      <c r="AE1675" s="4"/>
      <c r="AF1675" s="6">
        <v>65</v>
      </c>
      <c r="AG1675" s="6">
        <v>48</v>
      </c>
      <c r="AH1675" s="7">
        <v>1</v>
      </c>
      <c r="AI1675" s="4"/>
      <c r="AJ1675" s="4">
        <f>=ROUNDDOWN({0},0)</f>
      </c>
      <c r="AK1675" s="5"/>
      <c r="AL1675" s="2" t="s">
        <v>235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/>
      <c r="BD1675" s="8"/>
      <c r="BE1675" s="4"/>
      <c r="BF1675" s="8"/>
      <c r="BG1675" s="7"/>
      <c r="BH1675" s="7"/>
      <c r="BI1675" s="7"/>
      <c r="BJ1675" s="4">
        <v>77</v>
      </c>
      <c r="BK1675" s="8">
        <v>1316.64</v>
      </c>
      <c r="BL1675" s="2" t="s">
        <v>6221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6222</v>
      </c>
      <c r="BV1675" s="2" t="s">
        <v>243</v>
      </c>
      <c r="BW1675" s="2" t="s">
        <v>235</v>
      </c>
      <c r="BX1675" s="2" t="s">
        <v>244</v>
      </c>
      <c r="BY1675" s="2" t="s">
        <v>245</v>
      </c>
      <c r="BZ1675" s="2" t="s">
        <v>232</v>
      </c>
      <c r="CA1675" s="2" t="s">
        <v>6223</v>
      </c>
      <c r="CB1675" s="2" t="s">
        <v>1067</v>
      </c>
      <c r="CC1675" s="2" t="s">
        <v>248</v>
      </c>
      <c r="CD1675" s="2" t="s">
        <v>248</v>
      </c>
      <c r="CE1675" s="2" t="s">
        <v>235</v>
      </c>
      <c r="CF1675" s="4">
        <v>5022</v>
      </c>
      <c r="CG1675" s="4">
        <v>1</v>
      </c>
      <c r="CH1675" s="4"/>
      <c r="CI1675" s="4">
        <v>407</v>
      </c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>
        <v>5433</v>
      </c>
      <c r="GE1675" s="4">
        <v>5425</v>
      </c>
      <c r="GF1675" s="4">
        <v>5420</v>
      </c>
      <c r="GG1675" s="4">
        <v>5415</v>
      </c>
      <c r="GH1675" s="4">
        <v>5404</v>
      </c>
      <c r="GI1675" s="4">
        <v>5399</v>
      </c>
      <c r="GJ1675" s="4">
        <v>5369</v>
      </c>
      <c r="GK1675" s="4">
        <v>5354</v>
      </c>
      <c r="GL1675" s="4">
        <v>5324</v>
      </c>
      <c r="GM1675" s="4">
        <v>5299</v>
      </c>
      <c r="GN1675" s="4">
        <v>5279</v>
      </c>
      <c r="GO1675" s="4">
        <v>5259</v>
      </c>
      <c r="GP1675" s="4">
        <v>4859</v>
      </c>
      <c r="GQ1675" s="4">
        <v>4519</v>
      </c>
      <c r="GR1675" s="4">
        <v>4029</v>
      </c>
      <c r="GS1675" s="4">
        <v>3994</v>
      </c>
      <c r="GT1675" s="4">
        <v>3949</v>
      </c>
      <c r="GU1675" s="4">
        <v>3929</v>
      </c>
      <c r="GV1675" s="4">
        <v>3899</v>
      </c>
      <c r="GW1675" s="4">
        <v>3894</v>
      </c>
      <c r="GX1675" s="4">
        <v>3874</v>
      </c>
      <c r="GY1675" s="4">
        <v>3864</v>
      </c>
      <c r="GZ1675" s="4">
        <v>3861</v>
      </c>
      <c r="HA1675" s="4">
        <v>3856</v>
      </c>
      <c r="HB1675" s="4">
        <v>3851</v>
      </c>
      <c r="HC1675" s="4">
        <v>3848</v>
      </c>
      <c r="HD1675" s="19">
        <v>358.9</v>
      </c>
      <c r="HE1675" s="19">
        <v>418.1</v>
      </c>
      <c r="HF1675" s="19">
        <v>329.8</v>
      </c>
      <c r="HG1675" s="19">
        <v>276.7</v>
      </c>
      <c r="HH1675" s="19">
        <v>207.1</v>
      </c>
      <c r="HI1675" s="19">
        <v>165.5</v>
      </c>
      <c r="HJ1675" s="19">
        <v>188.1</v>
      </c>
      <c r="HK1675" s="19">
        <v>170.2</v>
      </c>
      <c r="HL1675" s="19">
        <v>35</v>
      </c>
      <c r="HM1675" s="19">
        <v>20.7</v>
      </c>
      <c r="HN1675" s="19">
        <v>12.9</v>
      </c>
      <c r="HO1675" s="19">
        <v>12.7</v>
      </c>
      <c r="HP1675" s="19">
        <v>15.8</v>
      </c>
      <c r="HQ1675" s="19">
        <v>22</v>
      </c>
      <c r="HR1675" s="19">
        <v>86</v>
      </c>
      <c r="HS1675" s="19">
        <v>109.3</v>
      </c>
      <c r="HT1675" s="19">
        <v>142.3</v>
      </c>
      <c r="HU1675" s="19">
        <v>165.5</v>
      </c>
      <c r="HV1675" s="19">
        <v>263.6</v>
      </c>
      <c r="HW1675" s="19">
        <v>263.1</v>
      </c>
      <c r="HX1675" s="19">
        <v>377.3</v>
      </c>
      <c r="HY1675" s="19">
        <v>470.7</v>
      </c>
      <c r="HZ1675" s="19">
        <v>470.3</v>
      </c>
      <c r="IA1675" s="19">
        <v>469.7</v>
      </c>
      <c r="IB1675" s="19">
        <v>469</v>
      </c>
      <c r="IC1675" s="19">
        <v>312.4</v>
      </c>
    </row>
    <row r="1676">
      <c r="A1676" s="2" t="s">
        <v>6224</v>
      </c>
      <c r="B1676" s="2" t="s">
        <v>905</v>
      </c>
      <c r="C1676" s="2" t="s">
        <v>403</v>
      </c>
      <c r="D1676" s="2" t="s">
        <v>361</v>
      </c>
      <c r="E1676" s="2" t="s">
        <v>924</v>
      </c>
      <c r="F1676" s="2" t="s">
        <v>6225</v>
      </c>
      <c r="G1676" s="2" t="s">
        <v>6226</v>
      </c>
      <c r="H1676" s="2" t="s">
        <v>6226</v>
      </c>
      <c r="I1676" s="2" t="s">
        <v>6227</v>
      </c>
      <c r="J1676" s="2" t="s">
        <v>372</v>
      </c>
      <c r="K1676" s="2" t="s">
        <v>6228</v>
      </c>
      <c r="L1676" s="3">
        <v>33.09</v>
      </c>
      <c r="M1676" s="3">
        <v>34.74</v>
      </c>
      <c r="N1676" s="3">
        <v>64.99</v>
      </c>
      <c r="O1676" s="2" t="s">
        <v>232</v>
      </c>
      <c r="P1676" s="2" t="s">
        <v>233</v>
      </c>
      <c r="Q1676" s="2" t="s">
        <v>234</v>
      </c>
      <c r="R1676" s="2" t="s">
        <v>235</v>
      </c>
      <c r="S1676" s="2" t="s">
        <v>6229</v>
      </c>
      <c r="T1676" s="2" t="s">
        <v>501</v>
      </c>
      <c r="U1676" s="2" t="s">
        <v>552</v>
      </c>
      <c r="V1676" s="2" t="s">
        <v>1222</v>
      </c>
      <c r="W1676" s="2" t="s">
        <v>1798</v>
      </c>
      <c r="X1676" s="2" t="s">
        <v>235</v>
      </c>
      <c r="Y1676" s="2" t="s">
        <v>6230</v>
      </c>
      <c r="Z1676" s="4">
        <v>185</v>
      </c>
      <c r="AA1676" s="4">
        <f>=ROUNDDOWN(44.0476190476191,0)</f>
      </c>
      <c r="AB1676" s="5">
        <v>4.2</v>
      </c>
      <c r="AC1676" s="2" t="s">
        <v>204</v>
      </c>
      <c r="AD1676" s="4">
        <v>100</v>
      </c>
      <c r="AE1676" s="4">
        <v>100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235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235</v>
      </c>
      <c r="BD1676" s="8" t="s">
        <v>235</v>
      </c>
      <c r="BE1676" s="4" t="s">
        <v>235</v>
      </c>
      <c r="BF1676" s="8" t="s">
        <v>235</v>
      </c>
      <c r="BG1676" s="7" t="s">
        <v>235</v>
      </c>
      <c r="BH1676" s="7" t="s">
        <v>235</v>
      </c>
      <c r="BI1676" s="7"/>
      <c r="BJ1676" s="4">
        <v>13</v>
      </c>
      <c r="BK1676" s="8">
        <v>415.16</v>
      </c>
      <c r="BL1676" s="2" t="s">
        <v>2305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6231</v>
      </c>
      <c r="BV1676" s="2" t="s">
        <v>243</v>
      </c>
      <c r="BW1676" s="2" t="s">
        <v>235</v>
      </c>
      <c r="BX1676" s="2" t="s">
        <v>383</v>
      </c>
      <c r="BY1676" s="2" t="s">
        <v>245</v>
      </c>
      <c r="BZ1676" s="2" t="s">
        <v>232</v>
      </c>
      <c r="CA1676" s="2" t="s">
        <v>4077</v>
      </c>
      <c r="CB1676" s="2" t="s">
        <v>6232</v>
      </c>
      <c r="CC1676" s="2" t="s">
        <v>248</v>
      </c>
      <c r="CD1676" s="2" t="s">
        <v>248</v>
      </c>
      <c r="CE1676" s="2" t="s">
        <v>235</v>
      </c>
      <c r="CF1676" s="4">
        <v>168</v>
      </c>
      <c r="CG1676" s="4"/>
      <c r="CH1676" s="4"/>
      <c r="CI1676" s="4">
        <v>17</v>
      </c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>
        <v>100</v>
      </c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>
        <v>187</v>
      </c>
      <c r="GE1676" s="4">
        <v>153</v>
      </c>
      <c r="GF1676" s="4">
        <v>148</v>
      </c>
      <c r="GG1676" s="4">
        <v>143</v>
      </c>
      <c r="GH1676" s="4">
        <v>137</v>
      </c>
      <c r="GI1676" s="4">
        <v>123</v>
      </c>
      <c r="GJ1676" s="4">
        <v>111</v>
      </c>
      <c r="GK1676" s="4">
        <v>102</v>
      </c>
      <c r="GL1676" s="4">
        <v>93</v>
      </c>
      <c r="GM1676" s="4">
        <v>79</v>
      </c>
      <c r="GN1676" s="4">
        <v>72</v>
      </c>
      <c r="GO1676" s="4">
        <v>62</v>
      </c>
      <c r="GP1676" s="4">
        <v>51</v>
      </c>
      <c r="GQ1676" s="4">
        <v>29</v>
      </c>
      <c r="GR1676" s="4">
        <v>10</v>
      </c>
      <c r="GS1676" s="4">
        <v>100</v>
      </c>
      <c r="GT1676" s="4">
        <v>87</v>
      </c>
      <c r="GU1676" s="4">
        <v>79</v>
      </c>
      <c r="GV1676" s="4">
        <v>76</v>
      </c>
      <c r="GW1676" s="4">
        <v>96</v>
      </c>
      <c r="GX1676" s="4">
        <v>90</v>
      </c>
      <c r="GY1676" s="4">
        <v>84</v>
      </c>
      <c r="GZ1676" s="4">
        <v>79</v>
      </c>
      <c r="HA1676" s="4">
        <v>74</v>
      </c>
      <c r="HB1676" s="4">
        <v>69</v>
      </c>
      <c r="HC1676" s="4">
        <v>64</v>
      </c>
      <c r="HD1676" s="19">
        <v>15.6</v>
      </c>
      <c r="HE1676" s="19">
        <v>19.1</v>
      </c>
      <c r="HF1676" s="19">
        <v>16.4</v>
      </c>
      <c r="HG1676" s="19">
        <v>14.3</v>
      </c>
      <c r="HH1676" s="19">
        <v>12.5</v>
      </c>
      <c r="HI1676" s="19">
        <v>11.2</v>
      </c>
      <c r="HJ1676" s="19">
        <v>11.1</v>
      </c>
      <c r="HK1676" s="19">
        <v>10.2</v>
      </c>
      <c r="HL1676" s="19">
        <v>9.3</v>
      </c>
      <c r="HM1676" s="19">
        <v>6.6</v>
      </c>
      <c r="HN1676" s="19">
        <v>4.5</v>
      </c>
      <c r="HO1676" s="19">
        <v>3.9</v>
      </c>
      <c r="HP1676" s="19">
        <v>3.2</v>
      </c>
      <c r="HQ1676" s="19">
        <v>2.2</v>
      </c>
      <c r="HR1676" s="19">
        <v>1.1</v>
      </c>
      <c r="HS1676" s="19">
        <v>12.5</v>
      </c>
      <c r="HT1676" s="19">
        <v>14.5</v>
      </c>
      <c r="HU1676" s="19">
        <v>15.8</v>
      </c>
      <c r="HV1676" s="19">
        <v>12.7</v>
      </c>
      <c r="HW1676" s="19">
        <v>16</v>
      </c>
      <c r="HX1676" s="19">
        <v>18</v>
      </c>
      <c r="HY1676" s="19">
        <v>16.8</v>
      </c>
      <c r="HZ1676" s="19">
        <v>15.8</v>
      </c>
      <c r="IA1676" s="19">
        <v>14.8</v>
      </c>
      <c r="IB1676" s="19">
        <v>13.8</v>
      </c>
      <c r="IC1676" s="19">
        <v>12.8</v>
      </c>
    </row>
    <row r="1677">
      <c r="A1677" s="2" t="s">
        <v>6233</v>
      </c>
      <c r="B1677" s="2" t="s">
        <v>905</v>
      </c>
      <c r="C1677" s="2" t="s">
        <v>403</v>
      </c>
      <c r="D1677" s="2" t="s">
        <v>361</v>
      </c>
      <c r="E1677" s="2" t="s">
        <v>924</v>
      </c>
      <c r="F1677" s="2" t="s">
        <v>6225</v>
      </c>
      <c r="G1677" s="2" t="s">
        <v>6226</v>
      </c>
      <c r="H1677" s="2" t="s">
        <v>6226</v>
      </c>
      <c r="I1677" s="2" t="s">
        <v>6227</v>
      </c>
      <c r="J1677" s="2" t="s">
        <v>372</v>
      </c>
      <c r="K1677" s="2" t="s">
        <v>1463</v>
      </c>
      <c r="L1677" s="3">
        <v>33.09</v>
      </c>
      <c r="M1677" s="3">
        <v>34.74</v>
      </c>
      <c r="N1677" s="3">
        <v>64.99</v>
      </c>
      <c r="O1677" s="2" t="s">
        <v>232</v>
      </c>
      <c r="P1677" s="2" t="s">
        <v>233</v>
      </c>
      <c r="Q1677" s="2" t="s">
        <v>234</v>
      </c>
      <c r="R1677" s="2" t="s">
        <v>235</v>
      </c>
      <c r="S1677" s="2" t="s">
        <v>6234</v>
      </c>
      <c r="T1677" s="2" t="s">
        <v>501</v>
      </c>
      <c r="U1677" s="2" t="s">
        <v>552</v>
      </c>
      <c r="V1677" s="2" t="s">
        <v>1222</v>
      </c>
      <c r="W1677" s="2" t="s">
        <v>1798</v>
      </c>
      <c r="X1677" s="2" t="s">
        <v>235</v>
      </c>
      <c r="Y1677" s="2" t="s">
        <v>1721</v>
      </c>
      <c r="Z1677" s="4">
        <v>313</v>
      </c>
      <c r="AA1677" s="4">
        <f>=ROUNDDOWN(115.925925925926,0)</f>
      </c>
      <c r="AB1677" s="5">
        <v>2.7</v>
      </c>
      <c r="AC1677" s="2" t="s">
        <v>235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235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235</v>
      </c>
      <c r="BD1677" s="8" t="s">
        <v>235</v>
      </c>
      <c r="BE1677" s="4" t="s">
        <v>235</v>
      </c>
      <c r="BF1677" s="8" t="s">
        <v>235</v>
      </c>
      <c r="BG1677" s="7" t="s">
        <v>235</v>
      </c>
      <c r="BH1677" s="7" t="s">
        <v>235</v>
      </c>
      <c r="BI1677" s="7"/>
      <c r="BJ1677" s="4">
        <v>6</v>
      </c>
      <c r="BK1677" s="8">
        <v>188.17</v>
      </c>
      <c r="BL1677" s="2" t="s">
        <v>6235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6231</v>
      </c>
      <c r="BV1677" s="2" t="s">
        <v>243</v>
      </c>
      <c r="BW1677" s="2" t="s">
        <v>235</v>
      </c>
      <c r="BX1677" s="2" t="s">
        <v>383</v>
      </c>
      <c r="BY1677" s="2" t="s">
        <v>245</v>
      </c>
      <c r="BZ1677" s="2" t="s">
        <v>232</v>
      </c>
      <c r="CA1677" s="2" t="s">
        <v>3774</v>
      </c>
      <c r="CB1677" s="2" t="s">
        <v>6236</v>
      </c>
      <c r="CC1677" s="2" t="s">
        <v>248</v>
      </c>
      <c r="CD1677" s="2" t="s">
        <v>248</v>
      </c>
      <c r="CE1677" s="2" t="s">
        <v>235</v>
      </c>
      <c r="CF1677" s="4">
        <v>228</v>
      </c>
      <c r="CG1677" s="4"/>
      <c r="CH1677" s="4"/>
      <c r="CI1677" s="4">
        <v>85</v>
      </c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>
        <v>315</v>
      </c>
      <c r="GE1677" s="4">
        <v>279</v>
      </c>
      <c r="GF1677" s="4">
        <v>273</v>
      </c>
      <c r="GG1677" s="4">
        <v>267</v>
      </c>
      <c r="GH1677" s="4">
        <v>257</v>
      </c>
      <c r="GI1677" s="4">
        <v>236</v>
      </c>
      <c r="GJ1677" s="4">
        <v>209</v>
      </c>
      <c r="GK1677" s="4">
        <v>191</v>
      </c>
      <c r="GL1677" s="4">
        <v>173</v>
      </c>
      <c r="GM1677" s="4">
        <v>155</v>
      </c>
      <c r="GN1677" s="4">
        <v>143</v>
      </c>
      <c r="GO1677" s="4">
        <v>128</v>
      </c>
      <c r="GP1677" s="4">
        <v>112</v>
      </c>
      <c r="GQ1677" s="4">
        <v>81</v>
      </c>
      <c r="GR1677" s="4">
        <v>58</v>
      </c>
      <c r="GS1677" s="4">
        <v>40</v>
      </c>
      <c r="GT1677" s="4">
        <v>30</v>
      </c>
      <c r="GU1677" s="4">
        <v>23</v>
      </c>
      <c r="GV1677" s="4">
        <v>19</v>
      </c>
      <c r="GW1677" s="4">
        <v>45</v>
      </c>
      <c r="GX1677" s="4">
        <v>39</v>
      </c>
      <c r="GY1677" s="4">
        <v>33</v>
      </c>
      <c r="GZ1677" s="4">
        <v>30</v>
      </c>
      <c r="HA1677" s="4">
        <v>27</v>
      </c>
      <c r="HB1677" s="4">
        <v>24</v>
      </c>
      <c r="HC1677" s="4">
        <v>21</v>
      </c>
      <c r="HD1677" s="19">
        <v>22.5</v>
      </c>
      <c r="HE1677" s="19">
        <v>25.4</v>
      </c>
      <c r="HF1677" s="19">
        <v>17.1</v>
      </c>
      <c r="HG1677" s="19">
        <v>14.1</v>
      </c>
      <c r="HH1677" s="19">
        <v>12.2</v>
      </c>
      <c r="HI1677" s="19">
        <v>11.8</v>
      </c>
      <c r="HJ1677" s="19">
        <v>13.1</v>
      </c>
      <c r="HK1677" s="19">
        <v>11.9</v>
      </c>
      <c r="HL1677" s="19">
        <v>11.5</v>
      </c>
      <c r="HM1677" s="19">
        <v>8.6</v>
      </c>
      <c r="HN1677" s="19">
        <v>6.8</v>
      </c>
      <c r="HO1677" s="19">
        <v>5.8</v>
      </c>
      <c r="HP1677" s="19">
        <v>5.6</v>
      </c>
      <c r="HQ1677" s="19">
        <v>5.8</v>
      </c>
      <c r="HR1677" s="19">
        <v>5.8</v>
      </c>
      <c r="HS1677" s="19">
        <v>5.7</v>
      </c>
      <c r="HT1677" s="19">
        <v>5</v>
      </c>
      <c r="HU1677" s="19">
        <v>3.8</v>
      </c>
      <c r="HV1677" s="19">
        <v>3.8</v>
      </c>
      <c r="HW1677" s="19">
        <v>11.3</v>
      </c>
      <c r="HX1677" s="19">
        <v>9.8</v>
      </c>
      <c r="HY1677" s="19">
        <v>11</v>
      </c>
      <c r="HZ1677" s="19">
        <v>10</v>
      </c>
      <c r="IA1677" s="19">
        <v>9</v>
      </c>
      <c r="IB1677" s="19">
        <v>8</v>
      </c>
      <c r="IC1677" s="19">
        <v>7</v>
      </c>
    </row>
    <row r="1678">
      <c r="A1678" s="2" t="s">
        <v>6237</v>
      </c>
      <c r="B1678" s="2" t="s">
        <v>817</v>
      </c>
      <c r="C1678" s="2" t="s">
        <v>893</v>
      </c>
      <c r="D1678" s="2" t="s">
        <v>5003</v>
      </c>
      <c r="E1678" s="2" t="s">
        <v>5004</v>
      </c>
      <c r="F1678" s="2" t="s">
        <v>6238</v>
      </c>
      <c r="G1678" s="2" t="s">
        <v>6238</v>
      </c>
      <c r="H1678" s="2" t="s">
        <v>6238</v>
      </c>
      <c r="I1678" s="2" t="s">
        <v>6239</v>
      </c>
      <c r="J1678" s="2" t="s">
        <v>897</v>
      </c>
      <c r="K1678" s="2" t="s">
        <v>6202</v>
      </c>
      <c r="L1678" s="3">
        <v>52.38</v>
      </c>
      <c r="M1678" s="3">
        <v>55</v>
      </c>
      <c r="N1678" s="3">
        <v>109.99</v>
      </c>
      <c r="O1678" s="2" t="s">
        <v>232</v>
      </c>
      <c r="P1678" s="2" t="s">
        <v>408</v>
      </c>
      <c r="Q1678" s="2" t="s">
        <v>234</v>
      </c>
      <c r="R1678" s="2" t="s">
        <v>235</v>
      </c>
      <c r="S1678" s="2" t="s">
        <v>235</v>
      </c>
      <c r="T1678" s="2" t="s">
        <v>235</v>
      </c>
      <c r="U1678" s="2" t="s">
        <v>807</v>
      </c>
      <c r="V1678" s="2" t="s">
        <v>824</v>
      </c>
      <c r="W1678" s="2" t="s">
        <v>682</v>
      </c>
      <c r="X1678" s="2" t="s">
        <v>809</v>
      </c>
      <c r="Y1678" s="2" t="s">
        <v>4041</v>
      </c>
      <c r="Z1678" s="4">
        <v>23</v>
      </c>
      <c r="AA1678" s="4">
        <f>=ROUNDDOWN(11.5,0)</f>
      </c>
      <c r="AB1678" s="5">
        <v>2</v>
      </c>
      <c r="AC1678" s="2" t="s">
        <v>235</v>
      </c>
      <c r="AD1678" s="4"/>
      <c r="AE1678" s="4"/>
      <c r="AF1678" s="6">
        <v>63</v>
      </c>
      <c r="AG1678" s="6"/>
      <c r="AH1678" s="7">
        <v>1</v>
      </c>
      <c r="AI1678" s="4"/>
      <c r="AJ1678" s="4">
        <f>=ROUNDDOWN({0},0)</f>
      </c>
      <c r="AK1678" s="5"/>
      <c r="AL1678" s="2" t="s">
        <v>235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/>
      <c r="BD1678" s="8"/>
      <c r="BE1678" s="4"/>
      <c r="BF1678" s="8"/>
      <c r="BG1678" s="7"/>
      <c r="BH1678" s="7"/>
      <c r="BI1678" s="7"/>
      <c r="BJ1678" s="4">
        <v>7</v>
      </c>
      <c r="BK1678" s="8">
        <v>418</v>
      </c>
      <c r="BL1678" s="2" t="s">
        <v>1043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6240</v>
      </c>
      <c r="BV1678" s="2" t="s">
        <v>828</v>
      </c>
      <c r="BW1678" s="2" t="s">
        <v>235</v>
      </c>
      <c r="BX1678" s="2" t="s">
        <v>414</v>
      </c>
      <c r="BY1678" s="2" t="s">
        <v>245</v>
      </c>
      <c r="BZ1678" s="2" t="s">
        <v>232</v>
      </c>
      <c r="CA1678" s="2" t="s">
        <v>5533</v>
      </c>
      <c r="CB1678" s="2" t="s">
        <v>3741</v>
      </c>
      <c r="CC1678" s="2" t="s">
        <v>248</v>
      </c>
      <c r="CD1678" s="2" t="s">
        <v>248</v>
      </c>
      <c r="CE1678" s="2" t="s">
        <v>235</v>
      </c>
      <c r="CF1678" s="4"/>
      <c r="CG1678" s="4">
        <v>23</v>
      </c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>
        <v>23</v>
      </c>
      <c r="GE1678" s="4">
        <v>20</v>
      </c>
      <c r="GF1678" s="4">
        <v>18</v>
      </c>
      <c r="GG1678" s="4">
        <v>16</v>
      </c>
      <c r="GH1678" s="4">
        <v>14</v>
      </c>
      <c r="GI1678" s="4">
        <v>12</v>
      </c>
      <c r="GJ1678" s="4">
        <v>10</v>
      </c>
      <c r="GK1678" s="4">
        <v>8</v>
      </c>
      <c r="GL1678" s="4">
        <v>6</v>
      </c>
      <c r="GM1678" s="4">
        <v>4</v>
      </c>
      <c r="GN1678" s="4">
        <v>2</v>
      </c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19">
        <v>11.5</v>
      </c>
      <c r="HE1678" s="19">
        <v>10</v>
      </c>
      <c r="HF1678" s="19">
        <v>9</v>
      </c>
      <c r="HG1678" s="19">
        <v>8</v>
      </c>
      <c r="HH1678" s="19">
        <v>7</v>
      </c>
      <c r="HI1678" s="19">
        <v>6</v>
      </c>
      <c r="HJ1678" s="19">
        <v>5</v>
      </c>
      <c r="HK1678" s="19">
        <v>4</v>
      </c>
      <c r="HL1678" s="19">
        <v>3</v>
      </c>
      <c r="HM1678" s="19">
        <v>2</v>
      </c>
      <c r="HN1678" s="19">
        <v>1</v>
      </c>
      <c r="HO1678" s="20">
        <v>0</v>
      </c>
      <c r="HP1678" s="20">
        <v>0</v>
      </c>
      <c r="HQ1678" s="20">
        <v>0</v>
      </c>
      <c r="HR1678" s="20">
        <v>0</v>
      </c>
      <c r="HS1678" s="20">
        <v>0</v>
      </c>
      <c r="HT1678" s="20">
        <v>0</v>
      </c>
      <c r="HU1678" s="20">
        <v>0</v>
      </c>
      <c r="HV1678" s="20">
        <v>0</v>
      </c>
      <c r="HW1678" s="20">
        <v>0</v>
      </c>
      <c r="HX1678" s="20">
        <v>0</v>
      </c>
      <c r="HY1678" s="20">
        <v>0</v>
      </c>
      <c r="HZ1678" s="20">
        <v>0</v>
      </c>
      <c r="IA1678" s="20">
        <v>0</v>
      </c>
      <c r="IB1678" s="20">
        <v>0</v>
      </c>
      <c r="IC1678" s="20">
        <v>0</v>
      </c>
    </row>
    <row r="1679">
      <c r="A1679" s="2" t="s">
        <v>6241</v>
      </c>
      <c r="B1679" s="2" t="s">
        <v>817</v>
      </c>
      <c r="C1679" s="2" t="s">
        <v>324</v>
      </c>
      <c r="D1679" s="2" t="s">
        <v>818</v>
      </c>
      <c r="E1679" s="2" t="s">
        <v>1689</v>
      </c>
      <c r="F1679" s="2" t="s">
        <v>6242</v>
      </c>
      <c r="G1679" s="2" t="s">
        <v>6242</v>
      </c>
      <c r="H1679" s="2" t="s">
        <v>6242</v>
      </c>
      <c r="I1679" s="2" t="s">
        <v>6243</v>
      </c>
      <c r="J1679" s="2" t="s">
        <v>897</v>
      </c>
      <c r="K1679" s="2" t="s">
        <v>6244</v>
      </c>
      <c r="L1679" s="3">
        <v>40.47</v>
      </c>
      <c r="M1679" s="3">
        <v>42.49</v>
      </c>
      <c r="N1679" s="3">
        <v>84.99</v>
      </c>
      <c r="O1679" s="2" t="s">
        <v>232</v>
      </c>
      <c r="P1679" s="2" t="s">
        <v>233</v>
      </c>
      <c r="Q1679" s="2" t="s">
        <v>234</v>
      </c>
      <c r="R1679" s="2" t="s">
        <v>235</v>
      </c>
      <c r="S1679" s="2" t="s">
        <v>235</v>
      </c>
      <c r="T1679" s="2" t="s">
        <v>235</v>
      </c>
      <c r="U1679" s="2" t="s">
        <v>807</v>
      </c>
      <c r="V1679" s="2" t="s">
        <v>4213</v>
      </c>
      <c r="W1679" s="2" t="s">
        <v>671</v>
      </c>
      <c r="X1679" s="2" t="s">
        <v>1596</v>
      </c>
      <c r="Y1679" s="2" t="s">
        <v>5359</v>
      </c>
      <c r="Z1679" s="4">
        <v>15</v>
      </c>
      <c r="AA1679" s="4">
        <f>=ROUNDDOWN(1.89873417721519,0)</f>
      </c>
      <c r="AB1679" s="5">
        <v>7.9</v>
      </c>
      <c r="AC1679" s="2" t="s">
        <v>192</v>
      </c>
      <c r="AD1679" s="4">
        <v>167</v>
      </c>
      <c r="AE1679" s="4">
        <v>167</v>
      </c>
      <c r="AF1679" s="6">
        <v>61</v>
      </c>
      <c r="AG1679" s="6"/>
      <c r="AH1679" s="7">
        <v>1</v>
      </c>
      <c r="AI1679" s="4"/>
      <c r="AJ1679" s="4">
        <f>=ROUNDDOWN({0},0)</f>
      </c>
      <c r="AK1679" s="5"/>
      <c r="AL1679" s="2" t="s">
        <v>235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/>
      <c r="BD1679" s="8"/>
      <c r="BE1679" s="4"/>
      <c r="BF1679" s="8"/>
      <c r="BG1679" s="7"/>
      <c r="BH1679" s="7"/>
      <c r="BI1679" s="7"/>
      <c r="BJ1679" s="4">
        <v>37</v>
      </c>
      <c r="BK1679" s="8">
        <v>1972.77</v>
      </c>
      <c r="BL1679" s="2" t="s">
        <v>6245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6246</v>
      </c>
      <c r="BV1679" s="2" t="s">
        <v>828</v>
      </c>
      <c r="BW1679" s="2" t="s">
        <v>235</v>
      </c>
      <c r="BX1679" s="2" t="s">
        <v>244</v>
      </c>
      <c r="BY1679" s="2" t="s">
        <v>245</v>
      </c>
      <c r="BZ1679" s="2" t="s">
        <v>232</v>
      </c>
      <c r="CA1679" s="2" t="s">
        <v>6157</v>
      </c>
      <c r="CB1679" s="2" t="s">
        <v>6247</v>
      </c>
      <c r="CC1679" s="2" t="s">
        <v>248</v>
      </c>
      <c r="CD1679" s="2" t="s">
        <v>248</v>
      </c>
      <c r="CE1679" s="2" t="s">
        <v>235</v>
      </c>
      <c r="CF1679" s="4"/>
      <c r="CG1679" s="4">
        <v>15</v>
      </c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>
        <v>167</v>
      </c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>
        <v>19</v>
      </c>
      <c r="GE1679" s="4">
        <v>7</v>
      </c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>
        <v>167</v>
      </c>
      <c r="GR1679" s="4">
        <v>160</v>
      </c>
      <c r="GS1679" s="4">
        <v>153</v>
      </c>
      <c r="GT1679" s="4">
        <v>146</v>
      </c>
      <c r="GU1679" s="4">
        <v>139</v>
      </c>
      <c r="GV1679" s="4">
        <v>133</v>
      </c>
      <c r="GW1679" s="4">
        <v>127</v>
      </c>
      <c r="GX1679" s="4">
        <v>121</v>
      </c>
      <c r="GY1679" s="4">
        <v>115</v>
      </c>
      <c r="GZ1679" s="4">
        <v>108</v>
      </c>
      <c r="HA1679" s="4">
        <v>101</v>
      </c>
      <c r="HB1679" s="4">
        <v>94</v>
      </c>
      <c r="HC1679" s="4">
        <v>86</v>
      </c>
      <c r="HD1679" s="19">
        <v>2.1</v>
      </c>
      <c r="HE1679" s="19">
        <v>0.9</v>
      </c>
      <c r="HF1679" s="20">
        <v>0</v>
      </c>
      <c r="HG1679" s="20">
        <v>0</v>
      </c>
      <c r="HH1679" s="20">
        <v>0</v>
      </c>
      <c r="HI1679" s="20">
        <v>0</v>
      </c>
      <c r="HJ1679" s="20">
        <v>0</v>
      </c>
      <c r="HK1679" s="20">
        <v>0</v>
      </c>
      <c r="HL1679" s="20">
        <v>0</v>
      </c>
      <c r="HM1679" s="20">
        <v>0</v>
      </c>
      <c r="HN1679" s="20">
        <v>0</v>
      </c>
      <c r="HO1679" s="20">
        <v>0</v>
      </c>
      <c r="HP1679" s="20">
        <v>0</v>
      </c>
      <c r="HQ1679" s="19">
        <v>23.9</v>
      </c>
      <c r="HR1679" s="19">
        <v>22.9</v>
      </c>
      <c r="HS1679" s="19">
        <v>25.5</v>
      </c>
      <c r="HT1679" s="19">
        <v>24.3</v>
      </c>
      <c r="HU1679" s="19">
        <v>23.2</v>
      </c>
      <c r="HV1679" s="19">
        <v>22.2</v>
      </c>
      <c r="HW1679" s="19">
        <v>21.2</v>
      </c>
      <c r="HX1679" s="19">
        <v>17.3</v>
      </c>
      <c r="HY1679" s="19">
        <v>16.4</v>
      </c>
      <c r="HZ1679" s="19">
        <v>15.4</v>
      </c>
      <c r="IA1679" s="19">
        <v>14.4</v>
      </c>
      <c r="IB1679" s="19">
        <v>15.7</v>
      </c>
      <c r="IC1679" s="19">
        <v>14.3</v>
      </c>
    </row>
    <row r="1680">
      <c r="A1680" s="2" t="s">
        <v>6248</v>
      </c>
      <c r="B1680" s="2" t="s">
        <v>323</v>
      </c>
      <c r="C1680" s="2" t="s">
        <v>324</v>
      </c>
      <c r="D1680" s="2" t="s">
        <v>257</v>
      </c>
      <c r="E1680" s="2" t="s">
        <v>258</v>
      </c>
      <c r="F1680" s="2" t="s">
        <v>6249</v>
      </c>
      <c r="G1680" s="2" t="s">
        <v>6249</v>
      </c>
      <c r="H1680" s="2" t="s">
        <v>6249</v>
      </c>
      <c r="I1680" s="2" t="s">
        <v>6250</v>
      </c>
      <c r="J1680" s="2" t="s">
        <v>394</v>
      </c>
      <c r="K1680" s="2" t="s">
        <v>861</v>
      </c>
      <c r="L1680" s="3">
        <v>21.6</v>
      </c>
      <c r="M1680" s="3">
        <v>22.68</v>
      </c>
      <c r="N1680" s="3">
        <v>47.99</v>
      </c>
      <c r="O1680" s="2" t="s">
        <v>232</v>
      </c>
      <c r="P1680" s="2" t="s">
        <v>233</v>
      </c>
      <c r="Q1680" s="2" t="s">
        <v>234</v>
      </c>
      <c r="R1680" s="2" t="s">
        <v>235</v>
      </c>
      <c r="S1680" s="2" t="s">
        <v>6251</v>
      </c>
      <c r="T1680" s="2" t="s">
        <v>263</v>
      </c>
      <c r="U1680" s="2" t="s">
        <v>552</v>
      </c>
      <c r="V1680" s="2" t="s">
        <v>238</v>
      </c>
      <c r="W1680" s="2" t="s">
        <v>239</v>
      </c>
      <c r="X1680" s="2" t="s">
        <v>235</v>
      </c>
      <c r="Y1680" s="2" t="s">
        <v>6252</v>
      </c>
      <c r="Z1680" s="4">
        <v>146</v>
      </c>
      <c r="AA1680" s="4">
        <f>=ROUNDDOWN(162.222222222222,0)</f>
      </c>
      <c r="AB1680" s="5">
        <v>0.9</v>
      </c>
      <c r="AC1680" s="2" t="s">
        <v>235</v>
      </c>
      <c r="AD1680" s="4"/>
      <c r="AE1680" s="4"/>
      <c r="AF1680" s="6">
        <v>73</v>
      </c>
      <c r="AG1680" s="6"/>
      <c r="AH1680" s="7">
        <v>1</v>
      </c>
      <c r="AI1680" s="4"/>
      <c r="AJ1680" s="4">
        <f>=ROUNDDOWN({0},0)</f>
      </c>
      <c r="AK1680" s="5"/>
      <c r="AL1680" s="2" t="s">
        <v>235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235</v>
      </c>
      <c r="AW1680" s="8" t="s">
        <v>235</v>
      </c>
      <c r="AX1680" s="4" t="s">
        <v>235</v>
      </c>
      <c r="AY1680" s="8" t="s">
        <v>235</v>
      </c>
      <c r="AZ1680" s="7" t="s">
        <v>235</v>
      </c>
      <c r="BA1680" s="7" t="s">
        <v>235</v>
      </c>
      <c r="BB1680" s="7"/>
      <c r="BC1680" s="4" t="s">
        <v>235</v>
      </c>
      <c r="BD1680" s="8" t="s">
        <v>235</v>
      </c>
      <c r="BE1680" s="4" t="s">
        <v>235</v>
      </c>
      <c r="BF1680" s="8" t="s">
        <v>235</v>
      </c>
      <c r="BG1680" s="7" t="s">
        <v>235</v>
      </c>
      <c r="BH1680" s="7" t="s">
        <v>235</v>
      </c>
      <c r="BI1680" s="7"/>
      <c r="BJ1680" s="4">
        <v>4</v>
      </c>
      <c r="BK1680" s="8">
        <v>94.2</v>
      </c>
      <c r="BL1680" s="2" t="s">
        <v>6253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6254</v>
      </c>
      <c r="BV1680" s="2" t="s">
        <v>243</v>
      </c>
      <c r="BW1680" s="2" t="s">
        <v>235</v>
      </c>
      <c r="BX1680" s="2" t="s">
        <v>244</v>
      </c>
      <c r="BY1680" s="2" t="s">
        <v>245</v>
      </c>
      <c r="BZ1680" s="2" t="s">
        <v>232</v>
      </c>
      <c r="CA1680" s="2" t="s">
        <v>6255</v>
      </c>
      <c r="CB1680" s="2" t="s">
        <v>4510</v>
      </c>
      <c r="CC1680" s="2" t="s">
        <v>248</v>
      </c>
      <c r="CD1680" s="2" t="s">
        <v>248</v>
      </c>
      <c r="CE1680" s="2" t="s">
        <v>235</v>
      </c>
      <c r="CF1680" s="4">
        <v>146</v>
      </c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>
        <v>151</v>
      </c>
      <c r="GE1680" s="4">
        <v>146</v>
      </c>
      <c r="GF1680" s="4">
        <v>145</v>
      </c>
      <c r="GG1680" s="4">
        <v>144</v>
      </c>
      <c r="GH1680" s="4">
        <v>143</v>
      </c>
      <c r="GI1680" s="4">
        <v>142</v>
      </c>
      <c r="GJ1680" s="4">
        <v>141</v>
      </c>
      <c r="GK1680" s="4">
        <v>140</v>
      </c>
      <c r="GL1680" s="4">
        <v>139</v>
      </c>
      <c r="GM1680" s="4">
        <v>138</v>
      </c>
      <c r="GN1680" s="4">
        <v>137</v>
      </c>
      <c r="GO1680" s="4">
        <v>136</v>
      </c>
      <c r="GP1680" s="4">
        <v>135</v>
      </c>
      <c r="GQ1680" s="4">
        <v>132</v>
      </c>
      <c r="GR1680" s="4">
        <v>129</v>
      </c>
      <c r="GS1680" s="4">
        <v>127</v>
      </c>
      <c r="GT1680" s="4">
        <v>126</v>
      </c>
      <c r="GU1680" s="4">
        <v>125</v>
      </c>
      <c r="GV1680" s="4">
        <v>124</v>
      </c>
      <c r="GW1680" s="4">
        <v>123</v>
      </c>
      <c r="GX1680" s="4">
        <v>122</v>
      </c>
      <c r="GY1680" s="4">
        <v>121</v>
      </c>
      <c r="GZ1680" s="4">
        <v>120</v>
      </c>
      <c r="HA1680" s="4">
        <v>119</v>
      </c>
      <c r="HB1680" s="4">
        <v>118</v>
      </c>
      <c r="HC1680" s="4">
        <v>117</v>
      </c>
      <c r="HD1680" s="19">
        <v>75.5</v>
      </c>
      <c r="HE1680" s="19">
        <v>146</v>
      </c>
      <c r="HF1680" s="19">
        <v>145</v>
      </c>
      <c r="HG1680" s="19">
        <v>144</v>
      </c>
      <c r="HH1680" s="19">
        <v>143</v>
      </c>
      <c r="HI1680" s="19">
        <v>142</v>
      </c>
      <c r="HJ1680" s="19">
        <v>141</v>
      </c>
      <c r="HK1680" s="19">
        <v>140</v>
      </c>
      <c r="HL1680" s="19">
        <v>139</v>
      </c>
      <c r="HM1680" s="19">
        <v>69</v>
      </c>
      <c r="HN1680" s="19">
        <v>68.5</v>
      </c>
      <c r="HO1680" s="19">
        <v>68</v>
      </c>
      <c r="HP1680" s="19">
        <v>67.5</v>
      </c>
      <c r="HQ1680" s="19">
        <v>66</v>
      </c>
      <c r="HR1680" s="19">
        <v>129</v>
      </c>
      <c r="HS1680" s="19">
        <v>127</v>
      </c>
      <c r="HT1680" s="19">
        <v>126</v>
      </c>
      <c r="HU1680" s="19">
        <v>125</v>
      </c>
      <c r="HV1680" s="19">
        <v>124</v>
      </c>
      <c r="HW1680" s="19">
        <v>123</v>
      </c>
      <c r="HX1680" s="19">
        <v>122</v>
      </c>
      <c r="HY1680" s="19">
        <v>121</v>
      </c>
      <c r="HZ1680" s="19">
        <v>120</v>
      </c>
      <c r="IA1680" s="19">
        <v>119</v>
      </c>
      <c r="IB1680" s="19">
        <v>118</v>
      </c>
      <c r="IC1680" s="19">
        <v>117</v>
      </c>
    </row>
    <row r="1681">
      <c r="A1681" s="2" t="s">
        <v>6256</v>
      </c>
      <c r="B1681" s="2" t="s">
        <v>323</v>
      </c>
      <c r="C1681" s="2" t="s">
        <v>324</v>
      </c>
      <c r="D1681" s="2" t="s">
        <v>257</v>
      </c>
      <c r="E1681" s="2" t="s">
        <v>258</v>
      </c>
      <c r="F1681" s="2" t="s">
        <v>6249</v>
      </c>
      <c r="G1681" s="2" t="s">
        <v>6249</v>
      </c>
      <c r="H1681" s="2" t="s">
        <v>6249</v>
      </c>
      <c r="I1681" s="2" t="s">
        <v>6250</v>
      </c>
      <c r="J1681" s="2" t="s">
        <v>250</v>
      </c>
      <c r="K1681" s="2" t="s">
        <v>861</v>
      </c>
      <c r="L1681" s="3">
        <v>27</v>
      </c>
      <c r="M1681" s="3">
        <v>28.35</v>
      </c>
      <c r="N1681" s="3">
        <v>59.99</v>
      </c>
      <c r="O1681" s="2" t="s">
        <v>232</v>
      </c>
      <c r="P1681" s="2" t="s">
        <v>233</v>
      </c>
      <c r="Q1681" s="2" t="s">
        <v>234</v>
      </c>
      <c r="R1681" s="2" t="s">
        <v>235</v>
      </c>
      <c r="S1681" s="2" t="s">
        <v>6251</v>
      </c>
      <c r="T1681" s="2" t="s">
        <v>263</v>
      </c>
      <c r="U1681" s="2" t="s">
        <v>264</v>
      </c>
      <c r="V1681" s="2" t="s">
        <v>238</v>
      </c>
      <c r="W1681" s="2" t="s">
        <v>239</v>
      </c>
      <c r="X1681" s="2" t="s">
        <v>235</v>
      </c>
      <c r="Y1681" s="2" t="s">
        <v>6252</v>
      </c>
      <c r="Z1681" s="4">
        <v>96</v>
      </c>
      <c r="AA1681" s="4">
        <f>=ROUNDDOWN(48,0)</f>
      </c>
      <c r="AB1681" s="5">
        <v>2</v>
      </c>
      <c r="AC1681" s="2" t="s">
        <v>235</v>
      </c>
      <c r="AD1681" s="4"/>
      <c r="AE1681" s="4"/>
      <c r="AF1681" s="6">
        <v>73</v>
      </c>
      <c r="AG1681" s="6"/>
      <c r="AH1681" s="7">
        <v>1</v>
      </c>
      <c r="AI1681" s="4"/>
      <c r="AJ1681" s="4">
        <f>=ROUNDDOWN({0},0)</f>
      </c>
      <c r="AK1681" s="5"/>
      <c r="AL1681" s="2" t="s">
        <v>235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235</v>
      </c>
      <c r="AW1681" s="8" t="s">
        <v>235</v>
      </c>
      <c r="AX1681" s="4" t="s">
        <v>235</v>
      </c>
      <c r="AY1681" s="8" t="s">
        <v>235</v>
      </c>
      <c r="AZ1681" s="7" t="s">
        <v>235</v>
      </c>
      <c r="BA1681" s="7" t="s">
        <v>235</v>
      </c>
      <c r="BB1681" s="7"/>
      <c r="BC1681" s="4" t="s">
        <v>235</v>
      </c>
      <c r="BD1681" s="8" t="s">
        <v>235</v>
      </c>
      <c r="BE1681" s="4" t="s">
        <v>235</v>
      </c>
      <c r="BF1681" s="8" t="s">
        <v>235</v>
      </c>
      <c r="BG1681" s="7" t="s">
        <v>235</v>
      </c>
      <c r="BH1681" s="7" t="s">
        <v>235</v>
      </c>
      <c r="BI1681" s="7"/>
      <c r="BJ1681" s="4">
        <v>8</v>
      </c>
      <c r="BK1681" s="8">
        <v>252.39</v>
      </c>
      <c r="BL1681" s="2" t="s">
        <v>1346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6254</v>
      </c>
      <c r="BV1681" s="2" t="s">
        <v>243</v>
      </c>
      <c r="BW1681" s="2" t="s">
        <v>235</v>
      </c>
      <c r="BX1681" s="2" t="s">
        <v>244</v>
      </c>
      <c r="BY1681" s="2" t="s">
        <v>245</v>
      </c>
      <c r="BZ1681" s="2" t="s">
        <v>232</v>
      </c>
      <c r="CA1681" s="2" t="s">
        <v>6255</v>
      </c>
      <c r="CB1681" s="2" t="s">
        <v>6257</v>
      </c>
      <c r="CC1681" s="2" t="s">
        <v>248</v>
      </c>
      <c r="CD1681" s="2" t="s">
        <v>248</v>
      </c>
      <c r="CE1681" s="2" t="s">
        <v>235</v>
      </c>
      <c r="CF1681" s="4">
        <v>96</v>
      </c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>
        <v>101</v>
      </c>
      <c r="GE1681" s="4">
        <v>94</v>
      </c>
      <c r="GF1681" s="4">
        <v>92</v>
      </c>
      <c r="GG1681" s="4">
        <v>90</v>
      </c>
      <c r="GH1681" s="4">
        <v>88</v>
      </c>
      <c r="GI1681" s="4">
        <v>86</v>
      </c>
      <c r="GJ1681" s="4">
        <v>84</v>
      </c>
      <c r="GK1681" s="4">
        <v>82</v>
      </c>
      <c r="GL1681" s="4">
        <v>80</v>
      </c>
      <c r="GM1681" s="4">
        <v>78</v>
      </c>
      <c r="GN1681" s="4">
        <v>76</v>
      </c>
      <c r="GO1681" s="4">
        <v>74</v>
      </c>
      <c r="GP1681" s="4">
        <v>71</v>
      </c>
      <c r="GQ1681" s="4">
        <v>66</v>
      </c>
      <c r="GR1681" s="4">
        <v>61</v>
      </c>
      <c r="GS1681" s="4">
        <v>57</v>
      </c>
      <c r="GT1681" s="4">
        <v>55</v>
      </c>
      <c r="GU1681" s="4">
        <v>53</v>
      </c>
      <c r="GV1681" s="4">
        <v>51</v>
      </c>
      <c r="GW1681" s="4">
        <v>49</v>
      </c>
      <c r="GX1681" s="4">
        <v>47</v>
      </c>
      <c r="GY1681" s="4">
        <v>45</v>
      </c>
      <c r="GZ1681" s="4">
        <v>43</v>
      </c>
      <c r="HA1681" s="4">
        <v>41</v>
      </c>
      <c r="HB1681" s="4">
        <v>39</v>
      </c>
      <c r="HC1681" s="4">
        <v>37</v>
      </c>
      <c r="HD1681" s="19">
        <v>33.7</v>
      </c>
      <c r="HE1681" s="19">
        <v>47</v>
      </c>
      <c r="HF1681" s="19">
        <v>46</v>
      </c>
      <c r="HG1681" s="19">
        <v>45</v>
      </c>
      <c r="HH1681" s="19">
        <v>44</v>
      </c>
      <c r="HI1681" s="19">
        <v>43</v>
      </c>
      <c r="HJ1681" s="19">
        <v>42</v>
      </c>
      <c r="HK1681" s="19">
        <v>41</v>
      </c>
      <c r="HL1681" s="19">
        <v>40</v>
      </c>
      <c r="HM1681" s="19">
        <v>26</v>
      </c>
      <c r="HN1681" s="19">
        <v>19</v>
      </c>
      <c r="HO1681" s="19">
        <v>18.5</v>
      </c>
      <c r="HP1681" s="19">
        <v>17.8</v>
      </c>
      <c r="HQ1681" s="19">
        <v>22</v>
      </c>
      <c r="HR1681" s="19">
        <v>30.5</v>
      </c>
      <c r="HS1681" s="19">
        <v>28.5</v>
      </c>
      <c r="HT1681" s="19">
        <v>27.5</v>
      </c>
      <c r="HU1681" s="19">
        <v>26.5</v>
      </c>
      <c r="HV1681" s="19">
        <v>25.5</v>
      </c>
      <c r="HW1681" s="19">
        <v>24.5</v>
      </c>
      <c r="HX1681" s="19">
        <v>23.5</v>
      </c>
      <c r="HY1681" s="19">
        <v>22.5</v>
      </c>
      <c r="HZ1681" s="19">
        <v>21.5</v>
      </c>
      <c r="IA1681" s="19">
        <v>20.5</v>
      </c>
      <c r="IB1681" s="19">
        <v>19.5</v>
      </c>
      <c r="IC1681" s="19">
        <v>18.5</v>
      </c>
    </row>
    <row r="1682">
      <c r="A1682" s="2" t="s">
        <v>6258</v>
      </c>
      <c r="B1682" s="2" t="s">
        <v>323</v>
      </c>
      <c r="C1682" s="2" t="s">
        <v>324</v>
      </c>
      <c r="D1682" s="2" t="s">
        <v>257</v>
      </c>
      <c r="E1682" s="2" t="s">
        <v>258</v>
      </c>
      <c r="F1682" s="2" t="s">
        <v>6249</v>
      </c>
      <c r="G1682" s="2" t="s">
        <v>6249</v>
      </c>
      <c r="H1682" s="2" t="s">
        <v>6249</v>
      </c>
      <c r="I1682" s="2" t="s">
        <v>6250</v>
      </c>
      <c r="J1682" s="2" t="s">
        <v>272</v>
      </c>
      <c r="K1682" s="2" t="s">
        <v>861</v>
      </c>
      <c r="L1682" s="3">
        <v>32.2</v>
      </c>
      <c r="M1682" s="3">
        <v>33.81</v>
      </c>
      <c r="N1682" s="3">
        <v>69.99</v>
      </c>
      <c r="O1682" s="2" t="s">
        <v>232</v>
      </c>
      <c r="P1682" s="2" t="s">
        <v>233</v>
      </c>
      <c r="Q1682" s="2" t="s">
        <v>234</v>
      </c>
      <c r="R1682" s="2" t="s">
        <v>235</v>
      </c>
      <c r="S1682" s="2" t="s">
        <v>6251</v>
      </c>
      <c r="T1682" s="2" t="s">
        <v>263</v>
      </c>
      <c r="U1682" s="2" t="s">
        <v>264</v>
      </c>
      <c r="V1682" s="2" t="s">
        <v>238</v>
      </c>
      <c r="W1682" s="2" t="s">
        <v>239</v>
      </c>
      <c r="X1682" s="2" t="s">
        <v>235</v>
      </c>
      <c r="Y1682" s="2" t="s">
        <v>6252</v>
      </c>
      <c r="Z1682" s="4">
        <v>132</v>
      </c>
      <c r="AA1682" s="4">
        <f>=ROUNDDOWN(66,0)</f>
      </c>
      <c r="AB1682" s="5">
        <v>2</v>
      </c>
      <c r="AC1682" s="2" t="s">
        <v>235</v>
      </c>
      <c r="AD1682" s="4"/>
      <c r="AE1682" s="4"/>
      <c r="AF1682" s="6">
        <v>73</v>
      </c>
      <c r="AG1682" s="6"/>
      <c r="AH1682" s="7">
        <v>1</v>
      </c>
      <c r="AI1682" s="4"/>
      <c r="AJ1682" s="4">
        <f>=ROUNDDOWN({0},0)</f>
      </c>
      <c r="AK1682" s="5"/>
      <c r="AL1682" s="2" t="s">
        <v>235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235</v>
      </c>
      <c r="AW1682" s="8" t="s">
        <v>235</v>
      </c>
      <c r="AX1682" s="4" t="s">
        <v>235</v>
      </c>
      <c r="AY1682" s="8" t="s">
        <v>235</v>
      </c>
      <c r="AZ1682" s="7" t="s">
        <v>235</v>
      </c>
      <c r="BA1682" s="7" t="s">
        <v>235</v>
      </c>
      <c r="BB1682" s="7"/>
      <c r="BC1682" s="4" t="s">
        <v>235</v>
      </c>
      <c r="BD1682" s="8" t="s">
        <v>235</v>
      </c>
      <c r="BE1682" s="4" t="s">
        <v>235</v>
      </c>
      <c r="BF1682" s="8" t="s">
        <v>235</v>
      </c>
      <c r="BG1682" s="7" t="s">
        <v>235</v>
      </c>
      <c r="BH1682" s="7" t="s">
        <v>235</v>
      </c>
      <c r="BI1682" s="7"/>
      <c r="BJ1682" s="4">
        <v>6</v>
      </c>
      <c r="BK1682" s="8">
        <v>213.89</v>
      </c>
      <c r="BL1682" s="2" t="s">
        <v>1695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6254</v>
      </c>
      <c r="BV1682" s="2" t="s">
        <v>243</v>
      </c>
      <c r="BW1682" s="2" t="s">
        <v>235</v>
      </c>
      <c r="BX1682" s="2" t="s">
        <v>244</v>
      </c>
      <c r="BY1682" s="2" t="s">
        <v>245</v>
      </c>
      <c r="BZ1682" s="2" t="s">
        <v>232</v>
      </c>
      <c r="CA1682" s="2" t="s">
        <v>6255</v>
      </c>
      <c r="CB1682" s="2" t="s">
        <v>6259</v>
      </c>
      <c r="CC1682" s="2" t="s">
        <v>248</v>
      </c>
      <c r="CD1682" s="2" t="s">
        <v>248</v>
      </c>
      <c r="CE1682" s="2" t="s">
        <v>235</v>
      </c>
      <c r="CF1682" s="4">
        <v>132</v>
      </c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>
        <v>132</v>
      </c>
      <c r="GE1682" s="4">
        <v>130</v>
      </c>
      <c r="GF1682" s="4">
        <v>128</v>
      </c>
      <c r="GG1682" s="4">
        <v>126</v>
      </c>
      <c r="GH1682" s="4">
        <v>124</v>
      </c>
      <c r="GI1682" s="4">
        <v>122</v>
      </c>
      <c r="GJ1682" s="4">
        <v>120</v>
      </c>
      <c r="GK1682" s="4">
        <v>118</v>
      </c>
      <c r="GL1682" s="4">
        <v>116</v>
      </c>
      <c r="GM1682" s="4">
        <v>114</v>
      </c>
      <c r="GN1682" s="4">
        <v>112</v>
      </c>
      <c r="GO1682" s="4">
        <v>110</v>
      </c>
      <c r="GP1682" s="4">
        <v>108</v>
      </c>
      <c r="GQ1682" s="4">
        <v>103</v>
      </c>
      <c r="GR1682" s="4">
        <v>98</v>
      </c>
      <c r="GS1682" s="4">
        <v>94</v>
      </c>
      <c r="GT1682" s="4">
        <v>92</v>
      </c>
      <c r="GU1682" s="4">
        <v>90</v>
      </c>
      <c r="GV1682" s="4">
        <v>88</v>
      </c>
      <c r="GW1682" s="4">
        <v>86</v>
      </c>
      <c r="GX1682" s="4">
        <v>84</v>
      </c>
      <c r="GY1682" s="4">
        <v>82</v>
      </c>
      <c r="GZ1682" s="4">
        <v>80</v>
      </c>
      <c r="HA1682" s="4">
        <v>78</v>
      </c>
      <c r="HB1682" s="4">
        <v>76</v>
      </c>
      <c r="HC1682" s="4">
        <v>74</v>
      </c>
      <c r="HD1682" s="19">
        <v>66</v>
      </c>
      <c r="HE1682" s="19">
        <v>65</v>
      </c>
      <c r="HF1682" s="19">
        <v>64</v>
      </c>
      <c r="HG1682" s="19">
        <v>63</v>
      </c>
      <c r="HH1682" s="19">
        <v>62</v>
      </c>
      <c r="HI1682" s="19">
        <v>61</v>
      </c>
      <c r="HJ1682" s="19">
        <v>60</v>
      </c>
      <c r="HK1682" s="19">
        <v>59</v>
      </c>
      <c r="HL1682" s="19">
        <v>58</v>
      </c>
      <c r="HM1682" s="19">
        <v>38</v>
      </c>
      <c r="HN1682" s="19">
        <v>28</v>
      </c>
      <c r="HO1682" s="19">
        <v>27.5</v>
      </c>
      <c r="HP1682" s="19">
        <v>27</v>
      </c>
      <c r="HQ1682" s="19">
        <v>34.3</v>
      </c>
      <c r="HR1682" s="19">
        <v>49</v>
      </c>
      <c r="HS1682" s="19">
        <v>47</v>
      </c>
      <c r="HT1682" s="19">
        <v>46</v>
      </c>
      <c r="HU1682" s="19">
        <v>45</v>
      </c>
      <c r="HV1682" s="19">
        <v>44</v>
      </c>
      <c r="HW1682" s="19">
        <v>43</v>
      </c>
      <c r="HX1682" s="19">
        <v>42</v>
      </c>
      <c r="HY1682" s="19">
        <v>41</v>
      </c>
      <c r="HZ1682" s="19">
        <v>40</v>
      </c>
      <c r="IA1682" s="19">
        <v>39</v>
      </c>
      <c r="IB1682" s="19">
        <v>38</v>
      </c>
      <c r="IC1682" s="19">
        <v>37</v>
      </c>
    </row>
    <row r="1683">
      <c r="A1683" s="2" t="s">
        <v>6260</v>
      </c>
      <c r="B1683" s="2" t="s">
        <v>323</v>
      </c>
      <c r="C1683" s="2" t="s">
        <v>324</v>
      </c>
      <c r="D1683" s="2" t="s">
        <v>257</v>
      </c>
      <c r="E1683" s="2" t="s">
        <v>258</v>
      </c>
      <c r="F1683" s="2" t="s">
        <v>6249</v>
      </c>
      <c r="G1683" s="2" t="s">
        <v>6249</v>
      </c>
      <c r="H1683" s="2" t="s">
        <v>6249</v>
      </c>
      <c r="I1683" s="2" t="s">
        <v>6250</v>
      </c>
      <c r="J1683" s="2" t="s">
        <v>394</v>
      </c>
      <c r="K1683" s="2" t="s">
        <v>292</v>
      </c>
      <c r="L1683" s="3">
        <v>21.6</v>
      </c>
      <c r="M1683" s="3">
        <v>22.68</v>
      </c>
      <c r="N1683" s="3">
        <v>47.99</v>
      </c>
      <c r="O1683" s="2" t="s">
        <v>407</v>
      </c>
      <c r="P1683" s="2" t="s">
        <v>408</v>
      </c>
      <c r="Q1683" s="2" t="s">
        <v>234</v>
      </c>
      <c r="R1683" s="2" t="s">
        <v>235</v>
      </c>
      <c r="S1683" s="2" t="s">
        <v>6261</v>
      </c>
      <c r="T1683" s="2" t="s">
        <v>263</v>
      </c>
      <c r="U1683" s="2" t="s">
        <v>552</v>
      </c>
      <c r="V1683" s="2" t="s">
        <v>238</v>
      </c>
      <c r="W1683" s="2" t="s">
        <v>239</v>
      </c>
      <c r="X1683" s="2" t="s">
        <v>235</v>
      </c>
      <c r="Y1683" s="2" t="s">
        <v>6252</v>
      </c>
      <c r="Z1683" s="4">
        <v>110</v>
      </c>
      <c r="AA1683" s="4">
        <f>=ROUNDDOWN(110,0)</f>
      </c>
      <c r="AB1683" s="5">
        <v>1</v>
      </c>
      <c r="AC1683" s="2" t="s">
        <v>235</v>
      </c>
      <c r="AD1683" s="4"/>
      <c r="AE1683" s="4"/>
      <c r="AF1683" s="6">
        <v>73</v>
      </c>
      <c r="AG1683" s="6"/>
      <c r="AH1683" s="7">
        <v>1</v>
      </c>
      <c r="AI1683" s="4"/>
      <c r="AJ1683" s="4">
        <f>=ROUNDDOWN({0},0)</f>
      </c>
      <c r="AK1683" s="5"/>
      <c r="AL1683" s="2" t="s">
        <v>235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235</v>
      </c>
      <c r="AW1683" s="8" t="s">
        <v>235</v>
      </c>
      <c r="AX1683" s="4" t="s">
        <v>235</v>
      </c>
      <c r="AY1683" s="8" t="s">
        <v>235</v>
      </c>
      <c r="AZ1683" s="7" t="s">
        <v>235</v>
      </c>
      <c r="BA1683" s="7" t="s">
        <v>235</v>
      </c>
      <c r="BB1683" s="7"/>
      <c r="BC1683" s="4" t="s">
        <v>235</v>
      </c>
      <c r="BD1683" s="8" t="s">
        <v>235</v>
      </c>
      <c r="BE1683" s="4" t="s">
        <v>235</v>
      </c>
      <c r="BF1683" s="8" t="s">
        <v>235</v>
      </c>
      <c r="BG1683" s="7" t="s">
        <v>235</v>
      </c>
      <c r="BH1683" s="7" t="s">
        <v>235</v>
      </c>
      <c r="BI1683" s="7"/>
      <c r="BJ1683" s="4">
        <v>9</v>
      </c>
      <c r="BK1683" s="8">
        <v>219.6</v>
      </c>
      <c r="BL1683" s="2" t="s">
        <v>536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6254</v>
      </c>
      <c r="BV1683" s="2" t="s">
        <v>243</v>
      </c>
      <c r="BW1683" s="2" t="s">
        <v>235</v>
      </c>
      <c r="BX1683" s="2" t="s">
        <v>244</v>
      </c>
      <c r="BY1683" s="2" t="s">
        <v>245</v>
      </c>
      <c r="BZ1683" s="2" t="s">
        <v>232</v>
      </c>
      <c r="CA1683" s="2" t="s">
        <v>6255</v>
      </c>
      <c r="CB1683" s="2" t="s">
        <v>3401</v>
      </c>
      <c r="CC1683" s="2" t="s">
        <v>248</v>
      </c>
      <c r="CD1683" s="2" t="s">
        <v>248</v>
      </c>
      <c r="CE1683" s="2" t="s">
        <v>235</v>
      </c>
      <c r="CF1683" s="4">
        <v>110</v>
      </c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>
        <v>111</v>
      </c>
      <c r="GE1683" s="4">
        <v>109</v>
      </c>
      <c r="GF1683" s="4">
        <v>108</v>
      </c>
      <c r="GG1683" s="4">
        <v>107</v>
      </c>
      <c r="GH1683" s="4">
        <v>106</v>
      </c>
      <c r="GI1683" s="4">
        <v>105</v>
      </c>
      <c r="GJ1683" s="4">
        <v>104</v>
      </c>
      <c r="GK1683" s="4">
        <v>103</v>
      </c>
      <c r="GL1683" s="4">
        <v>102</v>
      </c>
      <c r="GM1683" s="4">
        <v>101</v>
      </c>
      <c r="GN1683" s="4">
        <v>100</v>
      </c>
      <c r="GO1683" s="4">
        <v>99</v>
      </c>
      <c r="GP1683" s="4">
        <v>98</v>
      </c>
      <c r="GQ1683" s="4">
        <v>95</v>
      </c>
      <c r="GR1683" s="4">
        <v>92</v>
      </c>
      <c r="GS1683" s="4">
        <v>90</v>
      </c>
      <c r="GT1683" s="4">
        <v>89</v>
      </c>
      <c r="GU1683" s="4">
        <v>88</v>
      </c>
      <c r="GV1683" s="4">
        <v>87</v>
      </c>
      <c r="GW1683" s="4">
        <v>86</v>
      </c>
      <c r="GX1683" s="4">
        <v>85</v>
      </c>
      <c r="GY1683" s="4">
        <v>84</v>
      </c>
      <c r="GZ1683" s="4">
        <v>83</v>
      </c>
      <c r="HA1683" s="4">
        <v>82</v>
      </c>
      <c r="HB1683" s="4">
        <v>81</v>
      </c>
      <c r="HC1683" s="4">
        <v>80</v>
      </c>
      <c r="HD1683" s="19">
        <v>111</v>
      </c>
      <c r="HE1683" s="19">
        <v>109</v>
      </c>
      <c r="HF1683" s="19">
        <v>108</v>
      </c>
      <c r="HG1683" s="19">
        <v>107</v>
      </c>
      <c r="HH1683" s="19">
        <v>106</v>
      </c>
      <c r="HI1683" s="19">
        <v>105</v>
      </c>
      <c r="HJ1683" s="19">
        <v>104</v>
      </c>
      <c r="HK1683" s="19">
        <v>103</v>
      </c>
      <c r="HL1683" s="19">
        <v>102</v>
      </c>
      <c r="HM1683" s="19">
        <v>50.5</v>
      </c>
      <c r="HN1683" s="19">
        <v>50</v>
      </c>
      <c r="HO1683" s="19">
        <v>49.5</v>
      </c>
      <c r="HP1683" s="19">
        <v>49</v>
      </c>
      <c r="HQ1683" s="19">
        <v>47.5</v>
      </c>
      <c r="HR1683" s="19">
        <v>92</v>
      </c>
      <c r="HS1683" s="19">
        <v>90</v>
      </c>
      <c r="HT1683" s="19">
        <v>89</v>
      </c>
      <c r="HU1683" s="19">
        <v>88</v>
      </c>
      <c r="HV1683" s="19">
        <v>87</v>
      </c>
      <c r="HW1683" s="19">
        <v>86</v>
      </c>
      <c r="HX1683" s="19">
        <v>85</v>
      </c>
      <c r="HY1683" s="19">
        <v>84</v>
      </c>
      <c r="HZ1683" s="19">
        <v>83</v>
      </c>
      <c r="IA1683" s="19">
        <v>82</v>
      </c>
      <c r="IB1683" s="19">
        <v>81</v>
      </c>
      <c r="IC1683" s="19">
        <v>80</v>
      </c>
    </row>
    <row r="1684">
      <c r="A1684" s="2" t="s">
        <v>6262</v>
      </c>
      <c r="B1684" s="2" t="s">
        <v>323</v>
      </c>
      <c r="C1684" s="2" t="s">
        <v>324</v>
      </c>
      <c r="D1684" s="2" t="s">
        <v>257</v>
      </c>
      <c r="E1684" s="2" t="s">
        <v>258</v>
      </c>
      <c r="F1684" s="2" t="s">
        <v>6249</v>
      </c>
      <c r="G1684" s="2" t="s">
        <v>6249</v>
      </c>
      <c r="H1684" s="2" t="s">
        <v>6249</v>
      </c>
      <c r="I1684" s="2" t="s">
        <v>6250</v>
      </c>
      <c r="J1684" s="2" t="s">
        <v>250</v>
      </c>
      <c r="K1684" s="2" t="s">
        <v>292</v>
      </c>
      <c r="L1684" s="3">
        <v>27</v>
      </c>
      <c r="M1684" s="3">
        <v>28.35</v>
      </c>
      <c r="N1684" s="3">
        <v>59.99</v>
      </c>
      <c r="O1684" s="2" t="s">
        <v>407</v>
      </c>
      <c r="P1684" s="2" t="s">
        <v>408</v>
      </c>
      <c r="Q1684" s="2" t="s">
        <v>234</v>
      </c>
      <c r="R1684" s="2" t="s">
        <v>235</v>
      </c>
      <c r="S1684" s="2" t="s">
        <v>6261</v>
      </c>
      <c r="T1684" s="2" t="s">
        <v>263</v>
      </c>
      <c r="U1684" s="2" t="s">
        <v>264</v>
      </c>
      <c r="V1684" s="2" t="s">
        <v>238</v>
      </c>
      <c r="W1684" s="2" t="s">
        <v>239</v>
      </c>
      <c r="X1684" s="2" t="s">
        <v>235</v>
      </c>
      <c r="Y1684" s="2" t="s">
        <v>6252</v>
      </c>
      <c r="Z1684" s="4">
        <v>179</v>
      </c>
      <c r="AA1684" s="4">
        <f>=ROUNDDOWN(89.5,0)</f>
      </c>
      <c r="AB1684" s="5">
        <v>2</v>
      </c>
      <c r="AC1684" s="2" t="s">
        <v>235</v>
      </c>
      <c r="AD1684" s="4"/>
      <c r="AE1684" s="4"/>
      <c r="AF1684" s="6">
        <v>73</v>
      </c>
      <c r="AG1684" s="6"/>
      <c r="AH1684" s="7">
        <v>1</v>
      </c>
      <c r="AI1684" s="4"/>
      <c r="AJ1684" s="4">
        <f>=ROUNDDOWN({0},0)</f>
      </c>
      <c r="AK1684" s="5"/>
      <c r="AL1684" s="2" t="s">
        <v>235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235</v>
      </c>
      <c r="AW1684" s="8" t="s">
        <v>235</v>
      </c>
      <c r="AX1684" s="4" t="s">
        <v>235</v>
      </c>
      <c r="AY1684" s="8" t="s">
        <v>235</v>
      </c>
      <c r="AZ1684" s="7" t="s">
        <v>235</v>
      </c>
      <c r="BA1684" s="7" t="s">
        <v>235</v>
      </c>
      <c r="BB1684" s="7"/>
      <c r="BC1684" s="4" t="s">
        <v>235</v>
      </c>
      <c r="BD1684" s="8" t="s">
        <v>235</v>
      </c>
      <c r="BE1684" s="4" t="s">
        <v>235</v>
      </c>
      <c r="BF1684" s="8" t="s">
        <v>235</v>
      </c>
      <c r="BG1684" s="7" t="s">
        <v>235</v>
      </c>
      <c r="BH1684" s="7" t="s">
        <v>235</v>
      </c>
      <c r="BI1684" s="7"/>
      <c r="BJ1684" s="4">
        <v>9</v>
      </c>
      <c r="BK1684" s="8">
        <v>268.09</v>
      </c>
      <c r="BL1684" s="2" t="s">
        <v>6263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6254</v>
      </c>
      <c r="BV1684" s="2" t="s">
        <v>243</v>
      </c>
      <c r="BW1684" s="2" t="s">
        <v>235</v>
      </c>
      <c r="BX1684" s="2" t="s">
        <v>244</v>
      </c>
      <c r="BY1684" s="2" t="s">
        <v>245</v>
      </c>
      <c r="BZ1684" s="2" t="s">
        <v>232</v>
      </c>
      <c r="CA1684" s="2" t="s">
        <v>6255</v>
      </c>
      <c r="CB1684" s="2" t="s">
        <v>6264</v>
      </c>
      <c r="CC1684" s="2" t="s">
        <v>248</v>
      </c>
      <c r="CD1684" s="2" t="s">
        <v>248</v>
      </c>
      <c r="CE1684" s="2" t="s">
        <v>235</v>
      </c>
      <c r="CF1684" s="4">
        <v>179</v>
      </c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>
        <v>181</v>
      </c>
      <c r="GE1684" s="4">
        <v>177</v>
      </c>
      <c r="GF1684" s="4">
        <v>175</v>
      </c>
      <c r="GG1684" s="4">
        <v>173</v>
      </c>
      <c r="GH1684" s="4">
        <v>171</v>
      </c>
      <c r="GI1684" s="4">
        <v>169</v>
      </c>
      <c r="GJ1684" s="4">
        <v>167</v>
      </c>
      <c r="GK1684" s="4">
        <v>165</v>
      </c>
      <c r="GL1684" s="4">
        <v>163</v>
      </c>
      <c r="GM1684" s="4">
        <v>161</v>
      </c>
      <c r="GN1684" s="4">
        <v>159</v>
      </c>
      <c r="GO1684" s="4">
        <v>157</v>
      </c>
      <c r="GP1684" s="4">
        <v>154</v>
      </c>
      <c r="GQ1684" s="4">
        <v>149</v>
      </c>
      <c r="GR1684" s="4">
        <v>144</v>
      </c>
      <c r="GS1684" s="4">
        <v>140</v>
      </c>
      <c r="GT1684" s="4">
        <v>138</v>
      </c>
      <c r="GU1684" s="4">
        <v>136</v>
      </c>
      <c r="GV1684" s="4">
        <v>134</v>
      </c>
      <c r="GW1684" s="4">
        <v>132</v>
      </c>
      <c r="GX1684" s="4">
        <v>130</v>
      </c>
      <c r="GY1684" s="4">
        <v>128</v>
      </c>
      <c r="GZ1684" s="4">
        <v>126</v>
      </c>
      <c r="HA1684" s="4">
        <v>124</v>
      </c>
      <c r="HB1684" s="4">
        <v>122</v>
      </c>
      <c r="HC1684" s="4">
        <v>120</v>
      </c>
      <c r="HD1684" s="19">
        <v>90.5</v>
      </c>
      <c r="HE1684" s="19">
        <v>88.5</v>
      </c>
      <c r="HF1684" s="19">
        <v>87.5</v>
      </c>
      <c r="HG1684" s="19">
        <v>86.5</v>
      </c>
      <c r="HH1684" s="19">
        <v>85.5</v>
      </c>
      <c r="HI1684" s="19">
        <v>84.5</v>
      </c>
      <c r="HJ1684" s="19">
        <v>83.5</v>
      </c>
      <c r="HK1684" s="19">
        <v>82.5</v>
      </c>
      <c r="HL1684" s="19">
        <v>81.5</v>
      </c>
      <c r="HM1684" s="19">
        <v>53.7</v>
      </c>
      <c r="HN1684" s="19">
        <v>39.8</v>
      </c>
      <c r="HO1684" s="19">
        <v>39.3</v>
      </c>
      <c r="HP1684" s="19">
        <v>38.5</v>
      </c>
      <c r="HQ1684" s="19">
        <v>49.7</v>
      </c>
      <c r="HR1684" s="19">
        <v>72</v>
      </c>
      <c r="HS1684" s="19">
        <v>70</v>
      </c>
      <c r="HT1684" s="19">
        <v>69</v>
      </c>
      <c r="HU1684" s="19">
        <v>68</v>
      </c>
      <c r="HV1684" s="19">
        <v>67</v>
      </c>
      <c r="HW1684" s="19">
        <v>66</v>
      </c>
      <c r="HX1684" s="19">
        <v>65</v>
      </c>
      <c r="HY1684" s="19">
        <v>64</v>
      </c>
      <c r="HZ1684" s="19">
        <v>63</v>
      </c>
      <c r="IA1684" s="19">
        <v>62</v>
      </c>
      <c r="IB1684" s="19">
        <v>61</v>
      </c>
      <c r="IC1684" s="19">
        <v>60</v>
      </c>
    </row>
    <row r="1685">
      <c r="A1685" s="2" t="s">
        <v>6265</v>
      </c>
      <c r="B1685" s="2" t="s">
        <v>323</v>
      </c>
      <c r="C1685" s="2" t="s">
        <v>324</v>
      </c>
      <c r="D1685" s="2" t="s">
        <v>257</v>
      </c>
      <c r="E1685" s="2" t="s">
        <v>258</v>
      </c>
      <c r="F1685" s="2" t="s">
        <v>6249</v>
      </c>
      <c r="G1685" s="2" t="s">
        <v>6249</v>
      </c>
      <c r="H1685" s="2" t="s">
        <v>6249</v>
      </c>
      <c r="I1685" s="2" t="s">
        <v>6250</v>
      </c>
      <c r="J1685" s="2" t="s">
        <v>394</v>
      </c>
      <c r="K1685" s="2" t="s">
        <v>295</v>
      </c>
      <c r="L1685" s="3">
        <v>21.6</v>
      </c>
      <c r="M1685" s="3">
        <v>22.68</v>
      </c>
      <c r="N1685" s="3">
        <v>47.99</v>
      </c>
      <c r="O1685" s="2" t="s">
        <v>232</v>
      </c>
      <c r="P1685" s="2" t="s">
        <v>233</v>
      </c>
      <c r="Q1685" s="2" t="s">
        <v>234</v>
      </c>
      <c r="R1685" s="2" t="s">
        <v>235</v>
      </c>
      <c r="S1685" s="2" t="s">
        <v>6266</v>
      </c>
      <c r="T1685" s="2" t="s">
        <v>263</v>
      </c>
      <c r="U1685" s="2" t="s">
        <v>552</v>
      </c>
      <c r="V1685" s="2" t="s">
        <v>238</v>
      </c>
      <c r="W1685" s="2" t="s">
        <v>239</v>
      </c>
      <c r="X1685" s="2" t="s">
        <v>235</v>
      </c>
      <c r="Y1685" s="2" t="s">
        <v>6252</v>
      </c>
      <c r="Z1685" s="4">
        <v>74</v>
      </c>
      <c r="AA1685" s="4">
        <f>=ROUNDDOWN(38.9473684210526,0)</f>
      </c>
      <c r="AB1685" s="5">
        <v>1.9</v>
      </c>
      <c r="AC1685" s="2" t="s">
        <v>235</v>
      </c>
      <c r="AD1685" s="4"/>
      <c r="AE1685" s="4"/>
      <c r="AF1685" s="6">
        <v>73</v>
      </c>
      <c r="AG1685" s="6"/>
      <c r="AH1685" s="7">
        <v>1</v>
      </c>
      <c r="AI1685" s="4"/>
      <c r="AJ1685" s="4">
        <f>=ROUNDDOWN({0},0)</f>
      </c>
      <c r="AK1685" s="5"/>
      <c r="AL1685" s="2" t="s">
        <v>235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235</v>
      </c>
      <c r="AW1685" s="8" t="s">
        <v>235</v>
      </c>
      <c r="AX1685" s="4" t="s">
        <v>235</v>
      </c>
      <c r="AY1685" s="8" t="s">
        <v>235</v>
      </c>
      <c r="AZ1685" s="7" t="s">
        <v>235</v>
      </c>
      <c r="BA1685" s="7" t="s">
        <v>235</v>
      </c>
      <c r="BB1685" s="7"/>
      <c r="BC1685" s="4" t="s">
        <v>235</v>
      </c>
      <c r="BD1685" s="8" t="s">
        <v>235</v>
      </c>
      <c r="BE1685" s="4" t="s">
        <v>235</v>
      </c>
      <c r="BF1685" s="8" t="s">
        <v>235</v>
      </c>
      <c r="BG1685" s="7" t="s">
        <v>235</v>
      </c>
      <c r="BH1685" s="7" t="s">
        <v>235</v>
      </c>
      <c r="BI1685" s="7"/>
      <c r="BJ1685" s="4">
        <v>15</v>
      </c>
      <c r="BK1685" s="8">
        <v>364.96</v>
      </c>
      <c r="BL1685" s="2" t="s">
        <v>6263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6254</v>
      </c>
      <c r="BV1685" s="2" t="s">
        <v>243</v>
      </c>
      <c r="BW1685" s="2" t="s">
        <v>235</v>
      </c>
      <c r="BX1685" s="2" t="s">
        <v>244</v>
      </c>
      <c r="BY1685" s="2" t="s">
        <v>245</v>
      </c>
      <c r="BZ1685" s="2" t="s">
        <v>232</v>
      </c>
      <c r="CA1685" s="2" t="s">
        <v>6255</v>
      </c>
      <c r="CB1685" s="2" t="s">
        <v>6267</v>
      </c>
      <c r="CC1685" s="2" t="s">
        <v>248</v>
      </c>
      <c r="CD1685" s="2" t="s">
        <v>248</v>
      </c>
      <c r="CE1685" s="2" t="s">
        <v>235</v>
      </c>
      <c r="CF1685" s="4">
        <v>74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>
        <v>75</v>
      </c>
      <c r="GE1685" s="4">
        <v>72</v>
      </c>
      <c r="GF1685" s="4">
        <v>70</v>
      </c>
      <c r="GG1685" s="4">
        <v>68</v>
      </c>
      <c r="GH1685" s="4">
        <v>66</v>
      </c>
      <c r="GI1685" s="4">
        <v>64</v>
      </c>
      <c r="GJ1685" s="4">
        <v>62</v>
      </c>
      <c r="GK1685" s="4">
        <v>60</v>
      </c>
      <c r="GL1685" s="4">
        <v>58</v>
      </c>
      <c r="GM1685" s="4">
        <v>56</v>
      </c>
      <c r="GN1685" s="4">
        <v>54</v>
      </c>
      <c r="GO1685" s="4">
        <v>52</v>
      </c>
      <c r="GP1685" s="4">
        <v>49</v>
      </c>
      <c r="GQ1685" s="4">
        <v>44</v>
      </c>
      <c r="GR1685" s="4">
        <v>39</v>
      </c>
      <c r="GS1685" s="4">
        <v>35</v>
      </c>
      <c r="GT1685" s="4">
        <v>33</v>
      </c>
      <c r="GU1685" s="4">
        <v>31</v>
      </c>
      <c r="GV1685" s="4">
        <v>29</v>
      </c>
      <c r="GW1685" s="4">
        <v>27</v>
      </c>
      <c r="GX1685" s="4">
        <v>77</v>
      </c>
      <c r="GY1685" s="4">
        <v>75</v>
      </c>
      <c r="GZ1685" s="4">
        <v>73</v>
      </c>
      <c r="HA1685" s="4">
        <v>71</v>
      </c>
      <c r="HB1685" s="4">
        <v>69</v>
      </c>
      <c r="HC1685" s="4">
        <v>67</v>
      </c>
      <c r="HD1685" s="19">
        <v>37.5</v>
      </c>
      <c r="HE1685" s="19">
        <v>36</v>
      </c>
      <c r="HF1685" s="19">
        <v>35</v>
      </c>
      <c r="HG1685" s="19">
        <v>34</v>
      </c>
      <c r="HH1685" s="19">
        <v>33</v>
      </c>
      <c r="HI1685" s="19">
        <v>32</v>
      </c>
      <c r="HJ1685" s="19">
        <v>31</v>
      </c>
      <c r="HK1685" s="19">
        <v>30</v>
      </c>
      <c r="HL1685" s="19">
        <v>29</v>
      </c>
      <c r="HM1685" s="19">
        <v>18.7</v>
      </c>
      <c r="HN1685" s="19">
        <v>13.5</v>
      </c>
      <c r="HO1685" s="19">
        <v>13</v>
      </c>
      <c r="HP1685" s="19">
        <v>12.3</v>
      </c>
      <c r="HQ1685" s="19">
        <v>14.7</v>
      </c>
      <c r="HR1685" s="19">
        <v>19.5</v>
      </c>
      <c r="HS1685" s="19">
        <v>17.5</v>
      </c>
      <c r="HT1685" s="19">
        <v>16.5</v>
      </c>
      <c r="HU1685" s="19">
        <v>15.5</v>
      </c>
      <c r="HV1685" s="19">
        <v>14.5</v>
      </c>
      <c r="HW1685" s="19">
        <v>13.5</v>
      </c>
      <c r="HX1685" s="19">
        <v>38.5</v>
      </c>
      <c r="HY1685" s="19">
        <v>37.5</v>
      </c>
      <c r="HZ1685" s="19">
        <v>36.5</v>
      </c>
      <c r="IA1685" s="19">
        <v>35.5</v>
      </c>
      <c r="IB1685" s="19">
        <v>34.5</v>
      </c>
      <c r="IC1685" s="19">
        <v>33.5</v>
      </c>
    </row>
    <row r="1686">
      <c r="A1686" s="2" t="s">
        <v>6268</v>
      </c>
      <c r="B1686" s="2" t="s">
        <v>323</v>
      </c>
      <c r="C1686" s="2" t="s">
        <v>324</v>
      </c>
      <c r="D1686" s="2" t="s">
        <v>257</v>
      </c>
      <c r="E1686" s="2" t="s">
        <v>258</v>
      </c>
      <c r="F1686" s="2" t="s">
        <v>6249</v>
      </c>
      <c r="G1686" s="2" t="s">
        <v>6249</v>
      </c>
      <c r="H1686" s="2" t="s">
        <v>6249</v>
      </c>
      <c r="I1686" s="2" t="s">
        <v>6250</v>
      </c>
      <c r="J1686" s="2" t="s">
        <v>272</v>
      </c>
      <c r="K1686" s="2" t="s">
        <v>295</v>
      </c>
      <c r="L1686" s="3">
        <v>32.2</v>
      </c>
      <c r="M1686" s="3">
        <v>33.81</v>
      </c>
      <c r="N1686" s="3">
        <v>69.99</v>
      </c>
      <c r="O1686" s="2" t="s">
        <v>232</v>
      </c>
      <c r="P1686" s="2" t="s">
        <v>233</v>
      </c>
      <c r="Q1686" s="2" t="s">
        <v>234</v>
      </c>
      <c r="R1686" s="2" t="s">
        <v>235</v>
      </c>
      <c r="S1686" s="2" t="s">
        <v>6266</v>
      </c>
      <c r="T1686" s="2" t="s">
        <v>263</v>
      </c>
      <c r="U1686" s="2" t="s">
        <v>264</v>
      </c>
      <c r="V1686" s="2" t="s">
        <v>238</v>
      </c>
      <c r="W1686" s="2" t="s">
        <v>239</v>
      </c>
      <c r="X1686" s="2" t="s">
        <v>235</v>
      </c>
      <c r="Y1686" s="2" t="s">
        <v>6252</v>
      </c>
      <c r="Z1686" s="4">
        <v>60</v>
      </c>
      <c r="AA1686" s="4">
        <f>=ROUNDDOWN(30,0)</f>
      </c>
      <c r="AB1686" s="5">
        <v>2</v>
      </c>
      <c r="AC1686" s="2" t="s">
        <v>235</v>
      </c>
      <c r="AD1686" s="4"/>
      <c r="AE1686" s="4"/>
      <c r="AF1686" s="6">
        <v>73</v>
      </c>
      <c r="AG1686" s="6"/>
      <c r="AH1686" s="7">
        <v>1</v>
      </c>
      <c r="AI1686" s="4"/>
      <c r="AJ1686" s="4">
        <f>=ROUNDDOWN({0},0)</f>
      </c>
      <c r="AK1686" s="5"/>
      <c r="AL1686" s="2" t="s">
        <v>235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235</v>
      </c>
      <c r="AW1686" s="8" t="s">
        <v>235</v>
      </c>
      <c r="AX1686" s="4" t="s">
        <v>235</v>
      </c>
      <c r="AY1686" s="8" t="s">
        <v>235</v>
      </c>
      <c r="AZ1686" s="7" t="s">
        <v>235</v>
      </c>
      <c r="BA1686" s="7" t="s">
        <v>235</v>
      </c>
      <c r="BB1686" s="7"/>
      <c r="BC1686" s="4" t="s">
        <v>235</v>
      </c>
      <c r="BD1686" s="8" t="s">
        <v>235</v>
      </c>
      <c r="BE1686" s="4" t="s">
        <v>235</v>
      </c>
      <c r="BF1686" s="8" t="s">
        <v>235</v>
      </c>
      <c r="BG1686" s="7" t="s">
        <v>235</v>
      </c>
      <c r="BH1686" s="7" t="s">
        <v>235</v>
      </c>
      <c r="BI1686" s="7"/>
      <c r="BJ1686" s="4">
        <v>5</v>
      </c>
      <c r="BK1686" s="8">
        <v>176.91</v>
      </c>
      <c r="BL1686" s="2" t="s">
        <v>4581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6254</v>
      </c>
      <c r="BV1686" s="2" t="s">
        <v>243</v>
      </c>
      <c r="BW1686" s="2" t="s">
        <v>235</v>
      </c>
      <c r="BX1686" s="2" t="s">
        <v>244</v>
      </c>
      <c r="BY1686" s="2" t="s">
        <v>245</v>
      </c>
      <c r="BZ1686" s="2" t="s">
        <v>232</v>
      </c>
      <c r="CA1686" s="2" t="s">
        <v>6255</v>
      </c>
      <c r="CB1686" s="2" t="s">
        <v>6269</v>
      </c>
      <c r="CC1686" s="2" t="s">
        <v>248</v>
      </c>
      <c r="CD1686" s="2" t="s">
        <v>248</v>
      </c>
      <c r="CE1686" s="2" t="s">
        <v>235</v>
      </c>
      <c r="CF1686" s="4">
        <v>60</v>
      </c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>
        <v>60</v>
      </c>
      <c r="GE1686" s="4">
        <v>58</v>
      </c>
      <c r="GF1686" s="4">
        <v>56</v>
      </c>
      <c r="GG1686" s="4">
        <v>54</v>
      </c>
      <c r="GH1686" s="4">
        <v>52</v>
      </c>
      <c r="GI1686" s="4">
        <v>50</v>
      </c>
      <c r="GJ1686" s="4">
        <v>48</v>
      </c>
      <c r="GK1686" s="4">
        <v>46</v>
      </c>
      <c r="GL1686" s="4">
        <v>44</v>
      </c>
      <c r="GM1686" s="4">
        <v>42</v>
      </c>
      <c r="GN1686" s="4">
        <v>40</v>
      </c>
      <c r="GO1686" s="4">
        <v>38</v>
      </c>
      <c r="GP1686" s="4">
        <v>36</v>
      </c>
      <c r="GQ1686" s="4">
        <v>31</v>
      </c>
      <c r="GR1686" s="4">
        <v>26</v>
      </c>
      <c r="GS1686" s="4">
        <v>22</v>
      </c>
      <c r="GT1686" s="4">
        <v>20</v>
      </c>
      <c r="GU1686" s="4">
        <v>18</v>
      </c>
      <c r="GV1686" s="4">
        <v>16</v>
      </c>
      <c r="GW1686" s="4">
        <v>14</v>
      </c>
      <c r="GX1686" s="4">
        <v>64</v>
      </c>
      <c r="GY1686" s="4">
        <v>62</v>
      </c>
      <c r="GZ1686" s="4">
        <v>60</v>
      </c>
      <c r="HA1686" s="4">
        <v>58</v>
      </c>
      <c r="HB1686" s="4">
        <v>56</v>
      </c>
      <c r="HC1686" s="4">
        <v>54</v>
      </c>
      <c r="HD1686" s="19">
        <v>30</v>
      </c>
      <c r="HE1686" s="19">
        <v>29</v>
      </c>
      <c r="HF1686" s="19">
        <v>28</v>
      </c>
      <c r="HG1686" s="19">
        <v>27</v>
      </c>
      <c r="HH1686" s="19">
        <v>26</v>
      </c>
      <c r="HI1686" s="19">
        <v>25</v>
      </c>
      <c r="HJ1686" s="19">
        <v>24</v>
      </c>
      <c r="HK1686" s="19">
        <v>23</v>
      </c>
      <c r="HL1686" s="19">
        <v>22</v>
      </c>
      <c r="HM1686" s="19">
        <v>14</v>
      </c>
      <c r="HN1686" s="19">
        <v>10</v>
      </c>
      <c r="HO1686" s="19">
        <v>9.5</v>
      </c>
      <c r="HP1686" s="19">
        <v>9</v>
      </c>
      <c r="HQ1686" s="19">
        <v>10.3</v>
      </c>
      <c r="HR1686" s="19">
        <v>13</v>
      </c>
      <c r="HS1686" s="19">
        <v>11</v>
      </c>
      <c r="HT1686" s="19">
        <v>10</v>
      </c>
      <c r="HU1686" s="19">
        <v>9</v>
      </c>
      <c r="HV1686" s="19">
        <v>8</v>
      </c>
      <c r="HW1686" s="19">
        <v>7</v>
      </c>
      <c r="HX1686" s="19">
        <v>32</v>
      </c>
      <c r="HY1686" s="19">
        <v>31</v>
      </c>
      <c r="HZ1686" s="19">
        <v>30</v>
      </c>
      <c r="IA1686" s="19">
        <v>29</v>
      </c>
      <c r="IB1686" s="19">
        <v>28</v>
      </c>
      <c r="IC1686" s="19">
        <v>27</v>
      </c>
    </row>
    <row r="1687">
      <c r="A1687" s="2" t="s">
        <v>6270</v>
      </c>
      <c r="B1687" s="2" t="s">
        <v>323</v>
      </c>
      <c r="C1687" s="2" t="s">
        <v>324</v>
      </c>
      <c r="D1687" s="2" t="s">
        <v>257</v>
      </c>
      <c r="E1687" s="2" t="s">
        <v>258</v>
      </c>
      <c r="F1687" s="2" t="s">
        <v>6249</v>
      </c>
      <c r="G1687" s="2" t="s">
        <v>6249</v>
      </c>
      <c r="H1687" s="2" t="s">
        <v>6249</v>
      </c>
      <c r="I1687" s="2" t="s">
        <v>6250</v>
      </c>
      <c r="J1687" s="2" t="s">
        <v>250</v>
      </c>
      <c r="K1687" s="2" t="s">
        <v>600</v>
      </c>
      <c r="L1687" s="3">
        <v>27</v>
      </c>
      <c r="M1687" s="3">
        <v>28.35</v>
      </c>
      <c r="N1687" s="3">
        <v>59.99</v>
      </c>
      <c r="O1687" s="2" t="s">
        <v>407</v>
      </c>
      <c r="P1687" s="2" t="s">
        <v>408</v>
      </c>
      <c r="Q1687" s="2" t="s">
        <v>234</v>
      </c>
      <c r="R1687" s="2" t="s">
        <v>235</v>
      </c>
      <c r="S1687" s="2" t="s">
        <v>6271</v>
      </c>
      <c r="T1687" s="2" t="s">
        <v>263</v>
      </c>
      <c r="U1687" s="2" t="s">
        <v>264</v>
      </c>
      <c r="V1687" s="2" t="s">
        <v>238</v>
      </c>
      <c r="W1687" s="2" t="s">
        <v>239</v>
      </c>
      <c r="X1687" s="2" t="s">
        <v>1596</v>
      </c>
      <c r="Y1687" s="2" t="s">
        <v>6272</v>
      </c>
      <c r="Z1687" s="4"/>
      <c r="AA1687" s="4">
        <f>=ROUNDDOWN({0},0)</f>
      </c>
      <c r="AB1687" s="5">
        <v>3</v>
      </c>
      <c r="AC1687" s="2" t="s">
        <v>235</v>
      </c>
      <c r="AD1687" s="4"/>
      <c r="AE1687" s="4"/>
      <c r="AF1687" s="6">
        <v>78</v>
      </c>
      <c r="AG1687" s="6"/>
      <c r="AH1687" s="7">
        <v>0.8387</v>
      </c>
      <c r="AI1687" s="4"/>
      <c r="AJ1687" s="4">
        <f>=ROUNDDOWN({0},0)</f>
      </c>
      <c r="AK1687" s="5"/>
      <c r="AL1687" s="2" t="s">
        <v>235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235</v>
      </c>
      <c r="AW1687" s="8" t="s">
        <v>235</v>
      </c>
      <c r="AX1687" s="4" t="s">
        <v>235</v>
      </c>
      <c r="AY1687" s="8" t="s">
        <v>235</v>
      </c>
      <c r="AZ1687" s="7" t="s">
        <v>235</v>
      </c>
      <c r="BA1687" s="7" t="s">
        <v>235</v>
      </c>
      <c r="BB1687" s="7"/>
      <c r="BC1687" s="4" t="s">
        <v>235</v>
      </c>
      <c r="BD1687" s="8" t="s">
        <v>235</v>
      </c>
      <c r="BE1687" s="4" t="s">
        <v>235</v>
      </c>
      <c r="BF1687" s="8" t="s">
        <v>235</v>
      </c>
      <c r="BG1687" s="7" t="s">
        <v>235</v>
      </c>
      <c r="BH1687" s="7" t="s">
        <v>235</v>
      </c>
      <c r="BI1687" s="7"/>
      <c r="BJ1687" s="4">
        <v>3</v>
      </c>
      <c r="BK1687" s="8">
        <v>86.91</v>
      </c>
      <c r="BL1687" s="2" t="s">
        <v>1756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6254</v>
      </c>
      <c r="BV1687" s="2" t="s">
        <v>243</v>
      </c>
      <c r="BW1687" s="2" t="s">
        <v>235</v>
      </c>
      <c r="BX1687" s="2" t="s">
        <v>414</v>
      </c>
      <c r="BY1687" s="2" t="s">
        <v>245</v>
      </c>
      <c r="BZ1687" s="2" t="s">
        <v>232</v>
      </c>
      <c r="CA1687" s="2" t="s">
        <v>6273</v>
      </c>
      <c r="CB1687" s="2" t="s">
        <v>947</v>
      </c>
      <c r="CC1687" s="2" t="s">
        <v>248</v>
      </c>
      <c r="CD1687" s="2" t="s">
        <v>248</v>
      </c>
      <c r="CE1687" s="2" t="s">
        <v>235</v>
      </c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>
        <v>22</v>
      </c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19">
        <v>2.8</v>
      </c>
      <c r="HE1687" s="20">
        <v>0</v>
      </c>
      <c r="HF1687" s="20">
        <v>0</v>
      </c>
      <c r="HG1687" s="20">
        <v>0</v>
      </c>
      <c r="HH1687" s="20">
        <v>0</v>
      </c>
      <c r="HI1687" s="20">
        <v>0</v>
      </c>
      <c r="HJ1687" s="20">
        <v>0</v>
      </c>
      <c r="HK1687" s="20">
        <v>0</v>
      </c>
      <c r="HL1687" s="20">
        <v>0</v>
      </c>
      <c r="HM1687" s="20">
        <v>0</v>
      </c>
      <c r="HN1687" s="20">
        <v>0</v>
      </c>
      <c r="HO1687" s="20">
        <v>0</v>
      </c>
      <c r="HP1687" s="20">
        <v>0</v>
      </c>
      <c r="HQ1687" s="20">
        <v>0</v>
      </c>
      <c r="HR1687" s="20">
        <v>0</v>
      </c>
      <c r="HS1687" s="20">
        <v>0</v>
      </c>
      <c r="HT1687" s="20">
        <v>0</v>
      </c>
      <c r="HU1687" s="20">
        <v>0</v>
      </c>
      <c r="HV1687" s="20">
        <v>0</v>
      </c>
      <c r="HW1687" s="20">
        <v>0</v>
      </c>
      <c r="HX1687" s="20">
        <v>0</v>
      </c>
      <c r="HY1687" s="20">
        <v>0</v>
      </c>
      <c r="HZ1687" s="20">
        <v>0</v>
      </c>
      <c r="IA1687" s="20">
        <v>0</v>
      </c>
      <c r="IB1687" s="20">
        <v>0</v>
      </c>
      <c r="IC1687" s="20">
        <v>0</v>
      </c>
    </row>
    <row r="1688">
      <c r="A1688" s="2" t="s">
        <v>6274</v>
      </c>
      <c r="B1688" s="2" t="s">
        <v>323</v>
      </c>
      <c r="C1688" s="2" t="s">
        <v>324</v>
      </c>
      <c r="D1688" s="2" t="s">
        <v>257</v>
      </c>
      <c r="E1688" s="2" t="s">
        <v>258</v>
      </c>
      <c r="F1688" s="2" t="s">
        <v>6249</v>
      </c>
      <c r="G1688" s="2" t="s">
        <v>6249</v>
      </c>
      <c r="H1688" s="2" t="s">
        <v>6249</v>
      </c>
      <c r="I1688" s="2" t="s">
        <v>6250</v>
      </c>
      <c r="J1688" s="2" t="s">
        <v>272</v>
      </c>
      <c r="K1688" s="2" t="s">
        <v>600</v>
      </c>
      <c r="L1688" s="3">
        <v>32.2</v>
      </c>
      <c r="M1688" s="3">
        <v>33.81</v>
      </c>
      <c r="N1688" s="3">
        <v>69.99</v>
      </c>
      <c r="O1688" s="2" t="s">
        <v>232</v>
      </c>
      <c r="P1688" s="2" t="s">
        <v>408</v>
      </c>
      <c r="Q1688" s="2" t="s">
        <v>234</v>
      </c>
      <c r="R1688" s="2" t="s">
        <v>235</v>
      </c>
      <c r="S1688" s="2" t="s">
        <v>6271</v>
      </c>
      <c r="T1688" s="2" t="s">
        <v>263</v>
      </c>
      <c r="U1688" s="2" t="s">
        <v>264</v>
      </c>
      <c r="V1688" s="2" t="s">
        <v>238</v>
      </c>
      <c r="W1688" s="2" t="s">
        <v>239</v>
      </c>
      <c r="X1688" s="2" t="s">
        <v>1596</v>
      </c>
      <c r="Y1688" s="2" t="s">
        <v>6272</v>
      </c>
      <c r="Z1688" s="4"/>
      <c r="AA1688" s="4">
        <f>=ROUNDDOWN({0},0)</f>
      </c>
      <c r="AB1688" s="5">
        <v>2</v>
      </c>
      <c r="AC1688" s="2" t="s">
        <v>235</v>
      </c>
      <c r="AD1688" s="4"/>
      <c r="AE1688" s="4"/>
      <c r="AF1688" s="6">
        <v>78</v>
      </c>
      <c r="AG1688" s="6"/>
      <c r="AH1688" s="7">
        <v>0</v>
      </c>
      <c r="AI1688" s="4"/>
      <c r="AJ1688" s="4">
        <f>=ROUNDDOWN({0},0)</f>
      </c>
      <c r="AK1688" s="5"/>
      <c r="AL1688" s="2" t="s">
        <v>235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235</v>
      </c>
      <c r="AW1688" s="8" t="s">
        <v>235</v>
      </c>
      <c r="AX1688" s="4" t="s">
        <v>235</v>
      </c>
      <c r="AY1688" s="8" t="s">
        <v>235</v>
      </c>
      <c r="AZ1688" s="7" t="s">
        <v>235</v>
      </c>
      <c r="BA1688" s="7" t="s">
        <v>235</v>
      </c>
      <c r="BB1688" s="7"/>
      <c r="BC1688" s="4" t="s">
        <v>235</v>
      </c>
      <c r="BD1688" s="8" t="s">
        <v>235</v>
      </c>
      <c r="BE1688" s="4" t="s">
        <v>235</v>
      </c>
      <c r="BF1688" s="8" t="s">
        <v>235</v>
      </c>
      <c r="BG1688" s="7" t="s">
        <v>235</v>
      </c>
      <c r="BH1688" s="7" t="s">
        <v>235</v>
      </c>
      <c r="BI1688" s="7"/>
      <c r="BJ1688" s="4"/>
      <c r="BK1688" s="8"/>
      <c r="BL1688" s="2" t="s">
        <v>3724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6254</v>
      </c>
      <c r="BV1688" s="2" t="s">
        <v>243</v>
      </c>
      <c r="BW1688" s="2" t="s">
        <v>235</v>
      </c>
      <c r="BX1688" s="2" t="s">
        <v>414</v>
      </c>
      <c r="BY1688" s="2" t="s">
        <v>245</v>
      </c>
      <c r="BZ1688" s="2" t="s">
        <v>232</v>
      </c>
      <c r="CA1688" s="2" t="s">
        <v>6273</v>
      </c>
      <c r="CB1688" s="2" t="s">
        <v>6275</v>
      </c>
      <c r="CC1688" s="2" t="s">
        <v>248</v>
      </c>
      <c r="CD1688" s="2" t="s">
        <v>248</v>
      </c>
      <c r="CE1688" s="2" t="s">
        <v>235</v>
      </c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20">
        <v>0</v>
      </c>
      <c r="HE1688" s="20">
        <v>0</v>
      </c>
      <c r="HF1688" s="20">
        <v>0</v>
      </c>
      <c r="HG1688" s="20">
        <v>0</v>
      </c>
      <c r="HH1688" s="20">
        <v>0</v>
      </c>
      <c r="HI1688" s="20">
        <v>0</v>
      </c>
      <c r="HJ1688" s="20">
        <v>0</v>
      </c>
      <c r="HK1688" s="20">
        <v>0</v>
      </c>
      <c r="HL1688" s="20">
        <v>0</v>
      </c>
      <c r="HM1688" s="20">
        <v>0</v>
      </c>
      <c r="HN1688" s="20">
        <v>0</v>
      </c>
      <c r="HO1688" s="20">
        <v>0</v>
      </c>
      <c r="HP1688" s="20">
        <v>0</v>
      </c>
      <c r="HQ1688" s="20">
        <v>0</v>
      </c>
      <c r="HR1688" s="20">
        <v>0</v>
      </c>
      <c r="HS1688" s="20">
        <v>0</v>
      </c>
      <c r="HT1688" s="20">
        <v>0</v>
      </c>
      <c r="HU1688" s="20">
        <v>0</v>
      </c>
      <c r="HV1688" s="20">
        <v>0</v>
      </c>
      <c r="HW1688" s="20">
        <v>0</v>
      </c>
      <c r="HX1688" s="20">
        <v>0</v>
      </c>
      <c r="HY1688" s="20">
        <v>0</v>
      </c>
      <c r="HZ1688" s="20">
        <v>0</v>
      </c>
      <c r="IA1688" s="20">
        <v>0</v>
      </c>
      <c r="IB1688" s="20">
        <v>0</v>
      </c>
      <c r="IC1688" s="20">
        <v>0</v>
      </c>
    </row>
    <row r="1689">
      <c r="A1689" s="2" t="s">
        <v>6276</v>
      </c>
      <c r="B1689" s="2" t="s">
        <v>323</v>
      </c>
      <c r="C1689" s="2" t="s">
        <v>324</v>
      </c>
      <c r="D1689" s="2" t="s">
        <v>257</v>
      </c>
      <c r="E1689" s="2" t="s">
        <v>258</v>
      </c>
      <c r="F1689" s="2" t="s">
        <v>6249</v>
      </c>
      <c r="G1689" s="2" t="s">
        <v>6249</v>
      </c>
      <c r="H1689" s="2" t="s">
        <v>6249</v>
      </c>
      <c r="I1689" s="2" t="s">
        <v>6250</v>
      </c>
      <c r="J1689" s="2" t="s">
        <v>272</v>
      </c>
      <c r="K1689" s="2" t="s">
        <v>567</v>
      </c>
      <c r="L1689" s="3">
        <v>32.2</v>
      </c>
      <c r="M1689" s="3">
        <v>33.81</v>
      </c>
      <c r="N1689" s="3">
        <v>69.99</v>
      </c>
      <c r="O1689" s="2" t="s">
        <v>232</v>
      </c>
      <c r="P1689" s="2" t="s">
        <v>233</v>
      </c>
      <c r="Q1689" s="2" t="s">
        <v>234</v>
      </c>
      <c r="R1689" s="2" t="s">
        <v>235</v>
      </c>
      <c r="S1689" s="2" t="s">
        <v>6277</v>
      </c>
      <c r="T1689" s="2" t="s">
        <v>263</v>
      </c>
      <c r="U1689" s="2" t="s">
        <v>264</v>
      </c>
      <c r="V1689" s="2" t="s">
        <v>238</v>
      </c>
      <c r="W1689" s="2" t="s">
        <v>239</v>
      </c>
      <c r="X1689" s="2" t="s">
        <v>235</v>
      </c>
      <c r="Y1689" s="2" t="s">
        <v>6252</v>
      </c>
      <c r="Z1689" s="4">
        <v>110</v>
      </c>
      <c r="AA1689" s="4">
        <f>=ROUNDDOWN(50,0)</f>
      </c>
      <c r="AB1689" s="5">
        <v>2.2</v>
      </c>
      <c r="AC1689" s="2" t="s">
        <v>235</v>
      </c>
      <c r="AD1689" s="4"/>
      <c r="AE1689" s="4"/>
      <c r="AF1689" s="6">
        <v>73</v>
      </c>
      <c r="AG1689" s="6"/>
      <c r="AH1689" s="7">
        <v>1</v>
      </c>
      <c r="AI1689" s="4"/>
      <c r="AJ1689" s="4">
        <f>=ROUNDDOWN({0},0)</f>
      </c>
      <c r="AK1689" s="5"/>
      <c r="AL1689" s="2" t="s">
        <v>235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 t="s">
        <v>235</v>
      </c>
      <c r="BD1689" s="8" t="s">
        <v>235</v>
      </c>
      <c r="BE1689" s="4" t="s">
        <v>235</v>
      </c>
      <c r="BF1689" s="8" t="s">
        <v>235</v>
      </c>
      <c r="BG1689" s="7" t="s">
        <v>235</v>
      </c>
      <c r="BH1689" s="7" t="s">
        <v>235</v>
      </c>
      <c r="BI1689" s="7"/>
      <c r="BJ1689" s="4">
        <v>8</v>
      </c>
      <c r="BK1689" s="8">
        <v>285.97</v>
      </c>
      <c r="BL1689" s="2" t="s">
        <v>536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6254</v>
      </c>
      <c r="BV1689" s="2" t="s">
        <v>243</v>
      </c>
      <c r="BW1689" s="2" t="s">
        <v>235</v>
      </c>
      <c r="BX1689" s="2" t="s">
        <v>244</v>
      </c>
      <c r="BY1689" s="2" t="s">
        <v>245</v>
      </c>
      <c r="BZ1689" s="2" t="s">
        <v>232</v>
      </c>
      <c r="CA1689" s="2" t="s">
        <v>6255</v>
      </c>
      <c r="CB1689" s="2" t="s">
        <v>3948</v>
      </c>
      <c r="CC1689" s="2" t="s">
        <v>248</v>
      </c>
      <c r="CD1689" s="2" t="s">
        <v>248</v>
      </c>
      <c r="CE1689" s="2" t="s">
        <v>235</v>
      </c>
      <c r="CF1689" s="4">
        <v>110</v>
      </c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>
        <v>111</v>
      </c>
      <c r="GE1689" s="4">
        <v>109</v>
      </c>
      <c r="GF1689" s="4">
        <v>107</v>
      </c>
      <c r="GG1689" s="4">
        <v>105</v>
      </c>
      <c r="GH1689" s="4">
        <v>103</v>
      </c>
      <c r="GI1689" s="4">
        <v>101</v>
      </c>
      <c r="GJ1689" s="4">
        <v>99</v>
      </c>
      <c r="GK1689" s="4">
        <v>97</v>
      </c>
      <c r="GL1689" s="4">
        <v>95</v>
      </c>
      <c r="GM1689" s="4">
        <v>93</v>
      </c>
      <c r="GN1689" s="4">
        <v>91</v>
      </c>
      <c r="GO1689" s="4">
        <v>89</v>
      </c>
      <c r="GP1689" s="4">
        <v>87</v>
      </c>
      <c r="GQ1689" s="4">
        <v>82</v>
      </c>
      <c r="GR1689" s="4">
        <v>77</v>
      </c>
      <c r="GS1689" s="4">
        <v>73</v>
      </c>
      <c r="GT1689" s="4">
        <v>71</v>
      </c>
      <c r="GU1689" s="4">
        <v>69</v>
      </c>
      <c r="GV1689" s="4">
        <v>67</v>
      </c>
      <c r="GW1689" s="4">
        <v>65</v>
      </c>
      <c r="GX1689" s="4">
        <v>63</v>
      </c>
      <c r="GY1689" s="4">
        <v>61</v>
      </c>
      <c r="GZ1689" s="4">
        <v>59</v>
      </c>
      <c r="HA1689" s="4">
        <v>57</v>
      </c>
      <c r="HB1689" s="4">
        <v>55</v>
      </c>
      <c r="HC1689" s="4">
        <v>53</v>
      </c>
      <c r="HD1689" s="19">
        <v>55.5</v>
      </c>
      <c r="HE1689" s="19">
        <v>54.5</v>
      </c>
      <c r="HF1689" s="19">
        <v>53.5</v>
      </c>
      <c r="HG1689" s="19">
        <v>52.5</v>
      </c>
      <c r="HH1689" s="19">
        <v>51.5</v>
      </c>
      <c r="HI1689" s="19">
        <v>50.5</v>
      </c>
      <c r="HJ1689" s="19">
        <v>49.5</v>
      </c>
      <c r="HK1689" s="19">
        <v>48.5</v>
      </c>
      <c r="HL1689" s="19">
        <v>47.5</v>
      </c>
      <c r="HM1689" s="19">
        <v>31</v>
      </c>
      <c r="HN1689" s="19">
        <v>22.8</v>
      </c>
      <c r="HO1689" s="19">
        <v>22.3</v>
      </c>
      <c r="HP1689" s="19">
        <v>21.8</v>
      </c>
      <c r="HQ1689" s="19">
        <v>27.3</v>
      </c>
      <c r="HR1689" s="19">
        <v>38.5</v>
      </c>
      <c r="HS1689" s="19">
        <v>36.5</v>
      </c>
      <c r="HT1689" s="19">
        <v>35.5</v>
      </c>
      <c r="HU1689" s="19">
        <v>34.5</v>
      </c>
      <c r="HV1689" s="19">
        <v>33.5</v>
      </c>
      <c r="HW1689" s="19">
        <v>32.5</v>
      </c>
      <c r="HX1689" s="19">
        <v>31.5</v>
      </c>
      <c r="HY1689" s="19">
        <v>30.5</v>
      </c>
      <c r="HZ1689" s="19">
        <v>29.5</v>
      </c>
      <c r="IA1689" s="19">
        <v>28.5</v>
      </c>
      <c r="IB1689" s="19">
        <v>27.5</v>
      </c>
      <c r="IC1689" s="19">
        <v>26.5</v>
      </c>
    </row>
    <row r="1690">
      <c r="A1690" s="2" t="s">
        <v>6278</v>
      </c>
      <c r="B1690" s="2" t="s">
        <v>323</v>
      </c>
      <c r="C1690" s="2" t="s">
        <v>324</v>
      </c>
      <c r="D1690" s="2" t="s">
        <v>257</v>
      </c>
      <c r="E1690" s="2" t="s">
        <v>258</v>
      </c>
      <c r="F1690" s="2" t="s">
        <v>6249</v>
      </c>
      <c r="G1690" s="2" t="s">
        <v>6249</v>
      </c>
      <c r="H1690" s="2" t="s">
        <v>6249</v>
      </c>
      <c r="I1690" s="2" t="s">
        <v>6250</v>
      </c>
      <c r="J1690" s="2" t="s">
        <v>272</v>
      </c>
      <c r="K1690" s="2" t="s">
        <v>316</v>
      </c>
      <c r="L1690" s="3">
        <v>32.2</v>
      </c>
      <c r="M1690" s="3">
        <v>33.81</v>
      </c>
      <c r="N1690" s="3">
        <v>69.99</v>
      </c>
      <c r="O1690" s="2" t="s">
        <v>232</v>
      </c>
      <c r="P1690" s="2" t="s">
        <v>233</v>
      </c>
      <c r="Q1690" s="2" t="s">
        <v>234</v>
      </c>
      <c r="R1690" s="2" t="s">
        <v>235</v>
      </c>
      <c r="S1690" s="2" t="s">
        <v>6279</v>
      </c>
      <c r="T1690" s="2" t="s">
        <v>263</v>
      </c>
      <c r="U1690" s="2" t="s">
        <v>264</v>
      </c>
      <c r="V1690" s="2" t="s">
        <v>238</v>
      </c>
      <c r="W1690" s="2" t="s">
        <v>239</v>
      </c>
      <c r="X1690" s="2" t="s">
        <v>235</v>
      </c>
      <c r="Y1690" s="2" t="s">
        <v>6252</v>
      </c>
      <c r="Z1690" s="4">
        <v>170</v>
      </c>
      <c r="AA1690" s="4">
        <f>=ROUNDDOWN(65.3846153846154,0)</f>
      </c>
      <c r="AB1690" s="5">
        <v>2.6</v>
      </c>
      <c r="AC1690" s="2" t="s">
        <v>235</v>
      </c>
      <c r="AD1690" s="4"/>
      <c r="AE1690" s="4"/>
      <c r="AF1690" s="6">
        <v>73</v>
      </c>
      <c r="AG1690" s="6"/>
      <c r="AH1690" s="7">
        <v>1</v>
      </c>
      <c r="AI1690" s="4"/>
      <c r="AJ1690" s="4">
        <f>=ROUNDDOWN({0},0)</f>
      </c>
      <c r="AK1690" s="5"/>
      <c r="AL1690" s="2" t="s">
        <v>235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 t="s">
        <v>235</v>
      </c>
      <c r="BD1690" s="8" t="s">
        <v>235</v>
      </c>
      <c r="BE1690" s="4" t="s">
        <v>235</v>
      </c>
      <c r="BF1690" s="8" t="s">
        <v>235</v>
      </c>
      <c r="BG1690" s="7" t="s">
        <v>235</v>
      </c>
      <c r="BH1690" s="7" t="s">
        <v>235</v>
      </c>
      <c r="BI1690" s="7"/>
      <c r="BJ1690" s="4">
        <v>5</v>
      </c>
      <c r="BK1690" s="8">
        <v>177.46</v>
      </c>
      <c r="BL1690" s="2" t="s">
        <v>578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6254</v>
      </c>
      <c r="BV1690" s="2" t="s">
        <v>243</v>
      </c>
      <c r="BW1690" s="2" t="s">
        <v>235</v>
      </c>
      <c r="BX1690" s="2" t="s">
        <v>244</v>
      </c>
      <c r="BY1690" s="2" t="s">
        <v>245</v>
      </c>
      <c r="BZ1690" s="2" t="s">
        <v>232</v>
      </c>
      <c r="CA1690" s="2" t="s">
        <v>6255</v>
      </c>
      <c r="CB1690" s="2" t="s">
        <v>672</v>
      </c>
      <c r="CC1690" s="2" t="s">
        <v>248</v>
      </c>
      <c r="CD1690" s="2" t="s">
        <v>248</v>
      </c>
      <c r="CE1690" s="2" t="s">
        <v>235</v>
      </c>
      <c r="CF1690" s="4">
        <v>170</v>
      </c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>
        <v>171</v>
      </c>
      <c r="GE1690" s="4">
        <v>167</v>
      </c>
      <c r="GF1690" s="4">
        <v>164</v>
      </c>
      <c r="GG1690" s="4">
        <v>161</v>
      </c>
      <c r="GH1690" s="4">
        <v>158</v>
      </c>
      <c r="GI1690" s="4">
        <v>155</v>
      </c>
      <c r="GJ1690" s="4">
        <v>152</v>
      </c>
      <c r="GK1690" s="4">
        <v>149</v>
      </c>
      <c r="GL1690" s="4">
        <v>146</v>
      </c>
      <c r="GM1690" s="4">
        <v>143</v>
      </c>
      <c r="GN1690" s="4">
        <v>140</v>
      </c>
      <c r="GO1690" s="4">
        <v>137</v>
      </c>
      <c r="GP1690" s="4">
        <v>133</v>
      </c>
      <c r="GQ1690" s="4">
        <v>125</v>
      </c>
      <c r="GR1690" s="4">
        <v>118</v>
      </c>
      <c r="GS1690" s="4">
        <v>112</v>
      </c>
      <c r="GT1690" s="4">
        <v>109</v>
      </c>
      <c r="GU1690" s="4">
        <v>106</v>
      </c>
      <c r="GV1690" s="4">
        <v>103</v>
      </c>
      <c r="GW1690" s="4">
        <v>100</v>
      </c>
      <c r="GX1690" s="4">
        <v>97</v>
      </c>
      <c r="GY1690" s="4">
        <v>94</v>
      </c>
      <c r="GZ1690" s="4">
        <v>91</v>
      </c>
      <c r="HA1690" s="4">
        <v>88</v>
      </c>
      <c r="HB1690" s="4">
        <v>85</v>
      </c>
      <c r="HC1690" s="4">
        <v>81</v>
      </c>
      <c r="HD1690" s="19">
        <v>57</v>
      </c>
      <c r="HE1690" s="19">
        <v>55.7</v>
      </c>
      <c r="HF1690" s="19">
        <v>54.7</v>
      </c>
      <c r="HG1690" s="19">
        <v>53.7</v>
      </c>
      <c r="HH1690" s="19">
        <v>52.7</v>
      </c>
      <c r="HI1690" s="19">
        <v>51.7</v>
      </c>
      <c r="HJ1690" s="19">
        <v>50.7</v>
      </c>
      <c r="HK1690" s="19">
        <v>49.7</v>
      </c>
      <c r="HL1690" s="19">
        <v>48.7</v>
      </c>
      <c r="HM1690" s="19">
        <v>35.8</v>
      </c>
      <c r="HN1690" s="19">
        <v>23.3</v>
      </c>
      <c r="HO1690" s="19">
        <v>22.8</v>
      </c>
      <c r="HP1690" s="19">
        <v>22.2</v>
      </c>
      <c r="HQ1690" s="19">
        <v>25</v>
      </c>
      <c r="HR1690" s="19">
        <v>29.5</v>
      </c>
      <c r="HS1690" s="19">
        <v>37.3</v>
      </c>
      <c r="HT1690" s="19">
        <v>36.3</v>
      </c>
      <c r="HU1690" s="19">
        <v>35.3</v>
      </c>
      <c r="HV1690" s="19">
        <v>34.3</v>
      </c>
      <c r="HW1690" s="19">
        <v>33.3</v>
      </c>
      <c r="HX1690" s="19">
        <v>32.3</v>
      </c>
      <c r="HY1690" s="19">
        <v>31.3</v>
      </c>
      <c r="HZ1690" s="19">
        <v>30.3</v>
      </c>
      <c r="IA1690" s="19">
        <v>29.3</v>
      </c>
      <c r="IB1690" s="19">
        <v>28.3</v>
      </c>
      <c r="IC1690" s="19">
        <v>27</v>
      </c>
    </row>
    <row r="1691">
      <c r="A1691" s="2" t="s">
        <v>6280</v>
      </c>
      <c r="B1691" s="2" t="s">
        <v>1529</v>
      </c>
      <c r="C1691" s="2" t="s">
        <v>1381</v>
      </c>
      <c r="D1691" s="2" t="s">
        <v>6281</v>
      </c>
      <c r="E1691" s="2" t="s">
        <v>5885</v>
      </c>
      <c r="F1691" s="2" t="s">
        <v>6282</v>
      </c>
      <c r="G1691" s="2" t="s">
        <v>6282</v>
      </c>
      <c r="H1691" s="2" t="s">
        <v>6282</v>
      </c>
      <c r="I1691" s="2" t="s">
        <v>6283</v>
      </c>
      <c r="J1691" s="2" t="s">
        <v>897</v>
      </c>
      <c r="K1691" s="2" t="s">
        <v>4164</v>
      </c>
      <c r="L1691" s="3">
        <v>299.29</v>
      </c>
      <c r="M1691" s="3">
        <v>314.25</v>
      </c>
      <c r="N1691" s="3">
        <v>899</v>
      </c>
      <c r="O1691" s="2" t="s">
        <v>232</v>
      </c>
      <c r="P1691" s="2" t="s">
        <v>1533</v>
      </c>
      <c r="Q1691" s="2" t="s">
        <v>234</v>
      </c>
      <c r="R1691" s="2" t="s">
        <v>235</v>
      </c>
      <c r="S1691" s="2" t="s">
        <v>235</v>
      </c>
      <c r="T1691" s="2" t="s">
        <v>235</v>
      </c>
      <c r="U1691" s="2" t="s">
        <v>807</v>
      </c>
      <c r="V1691" s="2" t="s">
        <v>238</v>
      </c>
      <c r="W1691" s="2" t="s">
        <v>235</v>
      </c>
      <c r="X1691" s="2" t="s">
        <v>235</v>
      </c>
      <c r="Y1691" s="2" t="s">
        <v>1938</v>
      </c>
      <c r="Z1691" s="4"/>
      <c r="AA1691" s="4">
        <f>=ROUNDDOWN({0},0)</f>
      </c>
      <c r="AB1691" s="5">
        <v>0.6</v>
      </c>
      <c r="AC1691" s="2" t="s">
        <v>235</v>
      </c>
      <c r="AD1691" s="4"/>
      <c r="AE1691" s="4"/>
      <c r="AF1691" s="6"/>
      <c r="AG1691" s="6"/>
      <c r="AH1691" s="7">
        <v>0</v>
      </c>
      <c r="AI1691" s="4"/>
      <c r="AJ1691" s="4">
        <f>=ROUNDDOWN({0},0)</f>
      </c>
      <c r="AK1691" s="5"/>
      <c r="AL1691" s="2" t="s">
        <v>235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235</v>
      </c>
      <c r="BD1691" s="8" t="s">
        <v>235</v>
      </c>
      <c r="BE1691" s="4" t="s">
        <v>235</v>
      </c>
      <c r="BF1691" s="8" t="s">
        <v>235</v>
      </c>
      <c r="BG1691" s="7" t="s">
        <v>235</v>
      </c>
      <c r="BH1691" s="7" t="s">
        <v>235</v>
      </c>
      <c r="BI1691" s="7"/>
      <c r="BJ1691" s="4"/>
      <c r="BK1691" s="8"/>
      <c r="BL1691" s="2" t="s">
        <v>235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6284</v>
      </c>
      <c r="BV1691" s="2" t="s">
        <v>1448</v>
      </c>
      <c r="BW1691" s="2" t="s">
        <v>235</v>
      </c>
      <c r="BX1691" s="2" t="s">
        <v>244</v>
      </c>
      <c r="BY1691" s="2" t="s">
        <v>245</v>
      </c>
      <c r="BZ1691" s="2" t="s">
        <v>232</v>
      </c>
      <c r="CA1691" s="2" t="s">
        <v>941</v>
      </c>
      <c r="CB1691" s="2" t="s">
        <v>235</v>
      </c>
      <c r="CC1691" s="2" t="s">
        <v>248</v>
      </c>
      <c r="CD1691" s="2" t="s">
        <v>248</v>
      </c>
      <c r="CE1691" s="2" t="s">
        <v>235</v>
      </c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9"/>
      <c r="HE1691" s="9"/>
      <c r="HF1691" s="9"/>
      <c r="HG1691" s="9"/>
      <c r="HH1691" s="9"/>
      <c r="HI1691" s="9"/>
      <c r="HJ1691" s="9"/>
      <c r="HK1691" s="9"/>
      <c r="HL1691" s="9"/>
      <c r="HM1691" s="9"/>
      <c r="HN1691" s="9"/>
      <c r="HO1691" s="9"/>
      <c r="HP1691" s="9"/>
      <c r="HQ1691" s="9"/>
      <c r="HR1691" s="9"/>
      <c r="HS1691" s="9"/>
      <c r="HT1691" s="9"/>
      <c r="HU1691" s="9"/>
      <c r="HV1691" s="9"/>
      <c r="HW1691" s="9"/>
      <c r="HX1691" s="9"/>
      <c r="HY1691" s="9"/>
      <c r="HZ1691" s="9"/>
      <c r="IA1691" s="9"/>
      <c r="IB1691" s="9"/>
      <c r="IC1691" s="9"/>
    </row>
    <row r="1692">
      <c r="A1692" s="2" t="s">
        <v>6285</v>
      </c>
      <c r="B1692" s="2" t="s">
        <v>1529</v>
      </c>
      <c r="C1692" s="2" t="s">
        <v>1381</v>
      </c>
      <c r="D1692" s="2" t="s">
        <v>6281</v>
      </c>
      <c r="E1692" s="2" t="s">
        <v>5885</v>
      </c>
      <c r="F1692" s="2" t="s">
        <v>6282</v>
      </c>
      <c r="G1692" s="2" t="s">
        <v>6282</v>
      </c>
      <c r="H1692" s="2" t="s">
        <v>6282</v>
      </c>
      <c r="I1692" s="2" t="s">
        <v>6283</v>
      </c>
      <c r="J1692" s="2" t="s">
        <v>897</v>
      </c>
      <c r="K1692" s="2" t="s">
        <v>4469</v>
      </c>
      <c r="L1692" s="3">
        <v>299.29</v>
      </c>
      <c r="M1692" s="3">
        <v>314.25</v>
      </c>
      <c r="N1692" s="3">
        <v>899</v>
      </c>
      <c r="O1692" s="2" t="s">
        <v>232</v>
      </c>
      <c r="P1692" s="2" t="s">
        <v>1533</v>
      </c>
      <c r="Q1692" s="2" t="s">
        <v>234</v>
      </c>
      <c r="R1692" s="2" t="s">
        <v>235</v>
      </c>
      <c r="S1692" s="2" t="s">
        <v>235</v>
      </c>
      <c r="T1692" s="2" t="s">
        <v>235</v>
      </c>
      <c r="U1692" s="2" t="s">
        <v>807</v>
      </c>
      <c r="V1692" s="2" t="s">
        <v>238</v>
      </c>
      <c r="W1692" s="2" t="s">
        <v>235</v>
      </c>
      <c r="X1692" s="2" t="s">
        <v>235</v>
      </c>
      <c r="Y1692" s="2" t="s">
        <v>1938</v>
      </c>
      <c r="Z1692" s="4">
        <v>21</v>
      </c>
      <c r="AA1692" s="4">
        <f>=ROUNDDOWN(70,0)</f>
      </c>
      <c r="AB1692" s="5">
        <v>0.3</v>
      </c>
      <c r="AC1692" s="2" t="s">
        <v>235</v>
      </c>
      <c r="AD1692" s="4"/>
      <c r="AE1692" s="4"/>
      <c r="AF1692" s="6"/>
      <c r="AG1692" s="6"/>
      <c r="AH1692" s="7">
        <v>1</v>
      </c>
      <c r="AI1692" s="4"/>
      <c r="AJ1692" s="4">
        <f>=ROUNDDOWN({0},0)</f>
      </c>
      <c r="AK1692" s="5"/>
      <c r="AL1692" s="2" t="s">
        <v>235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 t="s">
        <v>235</v>
      </c>
      <c r="BD1692" s="8" t="s">
        <v>235</v>
      </c>
      <c r="BE1692" s="4" t="s">
        <v>235</v>
      </c>
      <c r="BF1692" s="8" t="s">
        <v>235</v>
      </c>
      <c r="BG1692" s="7" t="s">
        <v>235</v>
      </c>
      <c r="BH1692" s="7" t="s">
        <v>235</v>
      </c>
      <c r="BI1692" s="7"/>
      <c r="BJ1692" s="4">
        <v>2</v>
      </c>
      <c r="BK1692" s="8">
        <v>578.22</v>
      </c>
      <c r="BL1692" s="2" t="s">
        <v>900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6284</v>
      </c>
      <c r="BV1692" s="2" t="s">
        <v>1448</v>
      </c>
      <c r="BW1692" s="2" t="s">
        <v>235</v>
      </c>
      <c r="BX1692" s="2" t="s">
        <v>244</v>
      </c>
      <c r="BY1692" s="2" t="s">
        <v>245</v>
      </c>
      <c r="BZ1692" s="2" t="s">
        <v>232</v>
      </c>
      <c r="CA1692" s="2" t="s">
        <v>1536</v>
      </c>
      <c r="CB1692" s="2" t="s">
        <v>235</v>
      </c>
      <c r="CC1692" s="2" t="s">
        <v>248</v>
      </c>
      <c r="CD1692" s="2" t="s">
        <v>248</v>
      </c>
      <c r="CE1692" s="2" t="s">
        <v>235</v>
      </c>
      <c r="CF1692" s="4"/>
      <c r="CG1692" s="4">
        <v>7</v>
      </c>
      <c r="CH1692" s="4"/>
      <c r="CI1692" s="4">
        <v>14</v>
      </c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9"/>
      <c r="HE1692" s="9"/>
      <c r="HF1692" s="9"/>
      <c r="HG1692" s="9"/>
      <c r="HH1692" s="9"/>
      <c r="HI1692" s="9"/>
      <c r="HJ1692" s="9"/>
      <c r="HK1692" s="9"/>
      <c r="HL1692" s="9"/>
      <c r="HM1692" s="9"/>
      <c r="HN1692" s="9"/>
      <c r="HO1692" s="9"/>
      <c r="HP1692" s="9"/>
      <c r="HQ1692" s="9"/>
      <c r="HR1692" s="9"/>
      <c r="HS1692" s="9"/>
      <c r="HT1692" s="9"/>
      <c r="HU1692" s="9"/>
      <c r="HV1692" s="9"/>
      <c r="HW1692" s="9"/>
      <c r="HX1692" s="9"/>
      <c r="HY1692" s="9"/>
      <c r="HZ1692" s="9"/>
      <c r="IA1692" s="9"/>
      <c r="IB1692" s="9"/>
      <c r="IC1692" s="9"/>
    </row>
    <row r="1693">
      <c r="A1693" s="2" t="s">
        <v>6286</v>
      </c>
      <c r="B1693" s="2" t="s">
        <v>1529</v>
      </c>
      <c r="C1693" s="2" t="s">
        <v>1381</v>
      </c>
      <c r="D1693" s="2" t="s">
        <v>6281</v>
      </c>
      <c r="E1693" s="2" t="s">
        <v>5885</v>
      </c>
      <c r="F1693" s="2" t="s">
        <v>6282</v>
      </c>
      <c r="G1693" s="2" t="s">
        <v>6282</v>
      </c>
      <c r="H1693" s="2" t="s">
        <v>6282</v>
      </c>
      <c r="I1693" s="2" t="s">
        <v>6283</v>
      </c>
      <c r="J1693" s="2" t="s">
        <v>897</v>
      </c>
      <c r="K1693" s="2" t="s">
        <v>6287</v>
      </c>
      <c r="L1693" s="3">
        <v>299.29</v>
      </c>
      <c r="M1693" s="3">
        <v>314.25</v>
      </c>
      <c r="N1693" s="3">
        <v>899</v>
      </c>
      <c r="O1693" s="2" t="s">
        <v>232</v>
      </c>
      <c r="P1693" s="2" t="s">
        <v>1533</v>
      </c>
      <c r="Q1693" s="2" t="s">
        <v>234</v>
      </c>
      <c r="R1693" s="2" t="s">
        <v>235</v>
      </c>
      <c r="S1693" s="2" t="s">
        <v>235</v>
      </c>
      <c r="T1693" s="2" t="s">
        <v>235</v>
      </c>
      <c r="U1693" s="2" t="s">
        <v>807</v>
      </c>
      <c r="V1693" s="2" t="s">
        <v>238</v>
      </c>
      <c r="W1693" s="2" t="s">
        <v>235</v>
      </c>
      <c r="X1693" s="2" t="s">
        <v>235</v>
      </c>
      <c r="Y1693" s="2" t="s">
        <v>1938</v>
      </c>
      <c r="Z1693" s="4"/>
      <c r="AA1693" s="4">
        <f>=ROUNDDOWN({0},0)</f>
      </c>
      <c r="AB1693" s="5">
        <v>0.6</v>
      </c>
      <c r="AC1693" s="2" t="s">
        <v>235</v>
      </c>
      <c r="AD1693" s="4"/>
      <c r="AE1693" s="4"/>
      <c r="AF1693" s="6"/>
      <c r="AG1693" s="6"/>
      <c r="AH1693" s="7">
        <v>0</v>
      </c>
      <c r="AI1693" s="4"/>
      <c r="AJ1693" s="4">
        <f>=ROUNDDOWN({0},0)</f>
      </c>
      <c r="AK1693" s="5"/>
      <c r="AL1693" s="2" t="s">
        <v>235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 t="s">
        <v>235</v>
      </c>
      <c r="BD1693" s="8" t="s">
        <v>235</v>
      </c>
      <c r="BE1693" s="4" t="s">
        <v>235</v>
      </c>
      <c r="BF1693" s="8" t="s">
        <v>235</v>
      </c>
      <c r="BG1693" s="7" t="s">
        <v>235</v>
      </c>
      <c r="BH1693" s="7" t="s">
        <v>235</v>
      </c>
      <c r="BI1693" s="7"/>
      <c r="BJ1693" s="4"/>
      <c r="BK1693" s="8"/>
      <c r="BL1693" s="2" t="s">
        <v>4467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6284</v>
      </c>
      <c r="BV1693" s="2" t="s">
        <v>1448</v>
      </c>
      <c r="BW1693" s="2" t="s">
        <v>235</v>
      </c>
      <c r="BX1693" s="2" t="s">
        <v>244</v>
      </c>
      <c r="BY1693" s="2" t="s">
        <v>245</v>
      </c>
      <c r="BZ1693" s="2" t="s">
        <v>232</v>
      </c>
      <c r="CA1693" s="2" t="s">
        <v>1536</v>
      </c>
      <c r="CB1693" s="2" t="s">
        <v>687</v>
      </c>
      <c r="CC1693" s="2" t="s">
        <v>248</v>
      </c>
      <c r="CD1693" s="2" t="s">
        <v>248</v>
      </c>
      <c r="CE1693" s="2" t="s">
        <v>235</v>
      </c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9"/>
      <c r="HE1693" s="9"/>
      <c r="HF1693" s="9"/>
      <c r="HG1693" s="9"/>
      <c r="HH1693" s="9"/>
      <c r="HI1693" s="9"/>
      <c r="HJ1693" s="9"/>
      <c r="HK1693" s="9"/>
      <c r="HL1693" s="9"/>
      <c r="HM1693" s="9"/>
      <c r="HN1693" s="9"/>
      <c r="HO1693" s="9"/>
      <c r="HP1693" s="9"/>
      <c r="HQ1693" s="9"/>
      <c r="HR1693" s="9"/>
      <c r="HS1693" s="9"/>
      <c r="HT1693" s="9"/>
      <c r="HU1693" s="9"/>
      <c r="HV1693" s="9"/>
      <c r="HW1693" s="9"/>
      <c r="HX1693" s="9"/>
      <c r="HY1693" s="9"/>
      <c r="HZ1693" s="9"/>
      <c r="IA1693" s="9"/>
      <c r="IB1693" s="9"/>
      <c r="IC1693" s="9"/>
    </row>
    <row r="1694">
      <c r="A1694" s="2" t="s">
        <v>6288</v>
      </c>
      <c r="B1694" s="2" t="s">
        <v>871</v>
      </c>
      <c r="C1694" s="2" t="s">
        <v>4134</v>
      </c>
      <c r="D1694" s="2" t="s">
        <v>2033</v>
      </c>
      <c r="E1694" s="2" t="s">
        <v>2434</v>
      </c>
      <c r="F1694" s="2" t="s">
        <v>6289</v>
      </c>
      <c r="G1694" s="2" t="s">
        <v>6289</v>
      </c>
      <c r="H1694" s="2" t="s">
        <v>6289</v>
      </c>
      <c r="I1694" s="2" t="s">
        <v>2436</v>
      </c>
      <c r="J1694" s="2" t="s">
        <v>2000</v>
      </c>
      <c r="K1694" s="2" t="s">
        <v>292</v>
      </c>
      <c r="L1694" s="3">
        <v>21.66</v>
      </c>
      <c r="M1694" s="3">
        <v>22.74</v>
      </c>
      <c r="N1694" s="3">
        <v>69.99</v>
      </c>
      <c r="O1694" s="2" t="s">
        <v>407</v>
      </c>
      <c r="P1694" s="2" t="s">
        <v>408</v>
      </c>
      <c r="Q1694" s="2" t="s">
        <v>234</v>
      </c>
      <c r="R1694" s="2" t="s">
        <v>235</v>
      </c>
      <c r="S1694" s="2" t="s">
        <v>235</v>
      </c>
      <c r="T1694" s="2" t="s">
        <v>302</v>
      </c>
      <c r="U1694" s="2" t="s">
        <v>235</v>
      </c>
      <c r="V1694" s="2" t="s">
        <v>1147</v>
      </c>
      <c r="W1694" s="2" t="s">
        <v>682</v>
      </c>
      <c r="X1694" s="2" t="s">
        <v>235</v>
      </c>
      <c r="Y1694" s="2" t="s">
        <v>6290</v>
      </c>
      <c r="Z1694" s="4">
        <v>98</v>
      </c>
      <c r="AA1694" s="4">
        <f>=ROUNDDOWN(98,0)</f>
      </c>
      <c r="AB1694" s="5">
        <v>1</v>
      </c>
      <c r="AC1694" s="2" t="s">
        <v>235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235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>
        <v>4</v>
      </c>
      <c r="BK1694" s="8">
        <v>118.99</v>
      </c>
      <c r="BL1694" s="2" t="s">
        <v>6291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6292</v>
      </c>
      <c r="BV1694" s="2" t="s">
        <v>243</v>
      </c>
      <c r="BW1694" s="2" t="s">
        <v>235</v>
      </c>
      <c r="BX1694" s="2" t="s">
        <v>414</v>
      </c>
      <c r="BY1694" s="2" t="s">
        <v>245</v>
      </c>
      <c r="BZ1694" s="2" t="s">
        <v>232</v>
      </c>
      <c r="CA1694" s="2" t="s">
        <v>1577</v>
      </c>
      <c r="CB1694" s="2" t="s">
        <v>6293</v>
      </c>
      <c r="CC1694" s="2" t="s">
        <v>248</v>
      </c>
      <c r="CD1694" s="2" t="s">
        <v>248</v>
      </c>
      <c r="CE1694" s="2" t="s">
        <v>235</v>
      </c>
      <c r="CF1694" s="4">
        <v>98</v>
      </c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>
        <v>98</v>
      </c>
      <c r="GE1694" s="4">
        <v>97</v>
      </c>
      <c r="GF1694" s="4">
        <v>96</v>
      </c>
      <c r="GG1694" s="4">
        <v>95</v>
      </c>
      <c r="GH1694" s="4">
        <v>94</v>
      </c>
      <c r="GI1694" s="4">
        <v>93</v>
      </c>
      <c r="GJ1694" s="4">
        <v>92</v>
      </c>
      <c r="GK1694" s="4">
        <v>91</v>
      </c>
      <c r="GL1694" s="4">
        <v>90</v>
      </c>
      <c r="GM1694" s="4">
        <v>89</v>
      </c>
      <c r="GN1694" s="4">
        <v>88</v>
      </c>
      <c r="GO1694" s="4">
        <v>86</v>
      </c>
      <c r="GP1694" s="4">
        <v>84</v>
      </c>
      <c r="GQ1694" s="4">
        <v>81</v>
      </c>
      <c r="GR1694" s="4">
        <v>79</v>
      </c>
      <c r="GS1694" s="4">
        <v>77</v>
      </c>
      <c r="GT1694" s="4">
        <v>76</v>
      </c>
      <c r="GU1694" s="4">
        <v>75</v>
      </c>
      <c r="GV1694" s="4">
        <v>74</v>
      </c>
      <c r="GW1694" s="4">
        <v>73</v>
      </c>
      <c r="GX1694" s="4">
        <v>72</v>
      </c>
      <c r="GY1694" s="4">
        <v>71</v>
      </c>
      <c r="GZ1694" s="4">
        <v>70</v>
      </c>
      <c r="HA1694" s="4">
        <v>69</v>
      </c>
      <c r="HB1694" s="4">
        <v>68</v>
      </c>
      <c r="HC1694" s="4">
        <v>67</v>
      </c>
      <c r="HD1694" s="19">
        <v>98</v>
      </c>
      <c r="HE1694" s="19">
        <v>97</v>
      </c>
      <c r="HF1694" s="19">
        <v>96</v>
      </c>
      <c r="HG1694" s="19">
        <v>95</v>
      </c>
      <c r="HH1694" s="19">
        <v>94</v>
      </c>
      <c r="HI1694" s="19">
        <v>93</v>
      </c>
      <c r="HJ1694" s="9"/>
      <c r="HK1694" s="19">
        <v>91</v>
      </c>
      <c r="HL1694" s="19">
        <v>45</v>
      </c>
      <c r="HM1694" s="19">
        <v>44.5</v>
      </c>
      <c r="HN1694" s="19">
        <v>44</v>
      </c>
      <c r="HO1694" s="19">
        <v>43</v>
      </c>
      <c r="HP1694" s="19">
        <v>42</v>
      </c>
      <c r="HQ1694" s="19">
        <v>40.5</v>
      </c>
      <c r="HR1694" s="19">
        <v>79</v>
      </c>
      <c r="HS1694" s="19">
        <v>77</v>
      </c>
      <c r="HT1694" s="19">
        <v>76</v>
      </c>
      <c r="HU1694" s="19">
        <v>75</v>
      </c>
      <c r="HV1694" s="19">
        <v>74</v>
      </c>
      <c r="HW1694" s="19">
        <v>73</v>
      </c>
      <c r="HX1694" s="19">
        <v>72</v>
      </c>
      <c r="HY1694" s="19">
        <v>71</v>
      </c>
      <c r="HZ1694" s="9"/>
      <c r="IA1694" s="19">
        <v>69</v>
      </c>
      <c r="IB1694" s="19">
        <v>68</v>
      </c>
      <c r="IC1694" s="19">
        <v>67</v>
      </c>
    </row>
    <row r="1695">
      <c r="A1695" s="2" t="s">
        <v>6294</v>
      </c>
      <c r="B1695" s="2" t="s">
        <v>817</v>
      </c>
      <c r="C1695" s="2" t="s">
        <v>324</v>
      </c>
      <c r="D1695" s="2" t="s">
        <v>818</v>
      </c>
      <c r="E1695" s="2" t="s">
        <v>819</v>
      </c>
      <c r="F1695" s="2" t="s">
        <v>6295</v>
      </c>
      <c r="G1695" s="2" t="s">
        <v>6295</v>
      </c>
      <c r="H1695" s="2" t="s">
        <v>6295</v>
      </c>
      <c r="I1695" s="2" t="s">
        <v>6296</v>
      </c>
      <c r="J1695" s="2" t="s">
        <v>806</v>
      </c>
      <c r="K1695" s="2" t="s">
        <v>6297</v>
      </c>
      <c r="L1695" s="3">
        <v>14</v>
      </c>
      <c r="M1695" s="3">
        <v>14.7</v>
      </c>
      <c r="N1695" s="3">
        <v>34.99</v>
      </c>
      <c r="O1695" s="2" t="s">
        <v>485</v>
      </c>
      <c r="P1695" s="2" t="s">
        <v>408</v>
      </c>
      <c r="Q1695" s="2" t="s">
        <v>234</v>
      </c>
      <c r="R1695" s="2" t="s">
        <v>235</v>
      </c>
      <c r="S1695" s="2" t="s">
        <v>235</v>
      </c>
      <c r="T1695" s="2" t="s">
        <v>235</v>
      </c>
      <c r="U1695" s="2" t="s">
        <v>807</v>
      </c>
      <c r="V1695" s="2" t="s">
        <v>1693</v>
      </c>
      <c r="W1695" s="2" t="s">
        <v>239</v>
      </c>
      <c r="X1695" s="2" t="s">
        <v>1596</v>
      </c>
      <c r="Y1695" s="2" t="s">
        <v>1701</v>
      </c>
      <c r="Z1695" s="4">
        <v>165</v>
      </c>
      <c r="AA1695" s="4">
        <f>=ROUNDDOWN(126.923076923077,0)</f>
      </c>
      <c r="AB1695" s="5">
        <v>1.3</v>
      </c>
      <c r="AC1695" s="2" t="s">
        <v>235</v>
      </c>
      <c r="AD1695" s="4"/>
      <c r="AE1695" s="4"/>
      <c r="AF1695" s="6">
        <v>61</v>
      </c>
      <c r="AG1695" s="6"/>
      <c r="AH1695" s="7">
        <v>1</v>
      </c>
      <c r="AI1695" s="4"/>
      <c r="AJ1695" s="4">
        <f>=ROUNDDOWN({0},0)</f>
      </c>
      <c r="AK1695" s="5"/>
      <c r="AL1695" s="2" t="s">
        <v>235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 t="s">
        <v>235</v>
      </c>
      <c r="BD1695" s="8" t="s">
        <v>235</v>
      </c>
      <c r="BE1695" s="4" t="s">
        <v>235</v>
      </c>
      <c r="BF1695" s="8" t="s">
        <v>235</v>
      </c>
      <c r="BG1695" s="7" t="s">
        <v>235</v>
      </c>
      <c r="BH1695" s="7" t="s">
        <v>235</v>
      </c>
      <c r="BI1695" s="7"/>
      <c r="BJ1695" s="4">
        <v>7</v>
      </c>
      <c r="BK1695" s="8">
        <v>107.33</v>
      </c>
      <c r="BL1695" s="2" t="s">
        <v>1702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6298</v>
      </c>
      <c r="BV1695" s="2" t="s">
        <v>828</v>
      </c>
      <c r="BW1695" s="2" t="s">
        <v>235</v>
      </c>
      <c r="BX1695" s="2" t="s">
        <v>414</v>
      </c>
      <c r="BY1695" s="2" t="s">
        <v>245</v>
      </c>
      <c r="BZ1695" s="2" t="s">
        <v>232</v>
      </c>
      <c r="CA1695" s="2" t="s">
        <v>1697</v>
      </c>
      <c r="CB1695" s="2" t="s">
        <v>5037</v>
      </c>
      <c r="CC1695" s="2" t="s">
        <v>248</v>
      </c>
      <c r="CD1695" s="2" t="s">
        <v>248</v>
      </c>
      <c r="CE1695" s="2" t="s">
        <v>235</v>
      </c>
      <c r="CF1695" s="4"/>
      <c r="CG1695" s="4">
        <v>165</v>
      </c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>
        <v>166</v>
      </c>
      <c r="GE1695" s="4">
        <v>164</v>
      </c>
      <c r="GF1695" s="4">
        <v>163</v>
      </c>
      <c r="GG1695" s="4">
        <v>162</v>
      </c>
      <c r="GH1695" s="4">
        <v>161</v>
      </c>
      <c r="GI1695" s="4">
        <v>160</v>
      </c>
      <c r="GJ1695" s="4">
        <v>159</v>
      </c>
      <c r="GK1695" s="4">
        <v>158</v>
      </c>
      <c r="GL1695" s="4">
        <v>157</v>
      </c>
      <c r="GM1695" s="4">
        <v>156</v>
      </c>
      <c r="GN1695" s="4">
        <v>155</v>
      </c>
      <c r="GO1695" s="4">
        <v>154</v>
      </c>
      <c r="GP1695" s="4">
        <v>153</v>
      </c>
      <c r="GQ1695" s="4">
        <v>152</v>
      </c>
      <c r="GR1695" s="4">
        <v>151</v>
      </c>
      <c r="GS1695" s="4">
        <v>150</v>
      </c>
      <c r="GT1695" s="4">
        <v>149</v>
      </c>
      <c r="GU1695" s="4">
        <v>148</v>
      </c>
      <c r="GV1695" s="4">
        <v>147</v>
      </c>
      <c r="GW1695" s="4">
        <v>146</v>
      </c>
      <c r="GX1695" s="4">
        <v>145</v>
      </c>
      <c r="GY1695" s="4">
        <v>144</v>
      </c>
      <c r="GZ1695" s="4">
        <v>143</v>
      </c>
      <c r="HA1695" s="4">
        <v>142</v>
      </c>
      <c r="HB1695" s="4">
        <v>141</v>
      </c>
      <c r="HC1695" s="4">
        <v>140</v>
      </c>
      <c r="HD1695" s="19">
        <v>166</v>
      </c>
      <c r="HE1695" s="19">
        <v>164</v>
      </c>
      <c r="HF1695" s="19">
        <v>163</v>
      </c>
      <c r="HG1695" s="19">
        <v>162</v>
      </c>
      <c r="HH1695" s="19">
        <v>161</v>
      </c>
      <c r="HI1695" s="19">
        <v>160</v>
      </c>
      <c r="HJ1695" s="19">
        <v>159</v>
      </c>
      <c r="HK1695" s="19">
        <v>158</v>
      </c>
      <c r="HL1695" s="19">
        <v>157</v>
      </c>
      <c r="HM1695" s="19">
        <v>156</v>
      </c>
      <c r="HN1695" s="19">
        <v>155</v>
      </c>
      <c r="HO1695" s="19">
        <v>154</v>
      </c>
      <c r="HP1695" s="19">
        <v>153</v>
      </c>
      <c r="HQ1695" s="19">
        <v>152</v>
      </c>
      <c r="HR1695" s="19">
        <v>151</v>
      </c>
      <c r="HS1695" s="19">
        <v>150</v>
      </c>
      <c r="HT1695" s="19">
        <v>149</v>
      </c>
      <c r="HU1695" s="19">
        <v>148</v>
      </c>
      <c r="HV1695" s="19">
        <v>147</v>
      </c>
      <c r="HW1695" s="19">
        <v>146</v>
      </c>
      <c r="HX1695" s="19">
        <v>145</v>
      </c>
      <c r="HY1695" s="19">
        <v>144</v>
      </c>
      <c r="HZ1695" s="19">
        <v>143</v>
      </c>
      <c r="IA1695" s="19">
        <v>142</v>
      </c>
      <c r="IB1695" s="19">
        <v>141</v>
      </c>
      <c r="IC1695" s="19">
        <v>140</v>
      </c>
    </row>
    <row r="1696">
      <c r="A1696" s="2" t="s">
        <v>6299</v>
      </c>
      <c r="B1696" s="2" t="s">
        <v>817</v>
      </c>
      <c r="C1696" s="2" t="s">
        <v>324</v>
      </c>
      <c r="D1696" s="2" t="s">
        <v>818</v>
      </c>
      <c r="E1696" s="2" t="s">
        <v>819</v>
      </c>
      <c r="F1696" s="2" t="s">
        <v>6295</v>
      </c>
      <c r="G1696" s="2" t="s">
        <v>6295</v>
      </c>
      <c r="H1696" s="2" t="s">
        <v>6295</v>
      </c>
      <c r="I1696" s="2" t="s">
        <v>6300</v>
      </c>
      <c r="J1696" s="2" t="s">
        <v>806</v>
      </c>
      <c r="K1696" s="2" t="s">
        <v>6301</v>
      </c>
      <c r="L1696" s="3">
        <v>14</v>
      </c>
      <c r="M1696" s="3">
        <v>14.7</v>
      </c>
      <c r="N1696" s="3">
        <v>34.99</v>
      </c>
      <c r="O1696" s="2" t="s">
        <v>485</v>
      </c>
      <c r="P1696" s="2" t="s">
        <v>408</v>
      </c>
      <c r="Q1696" s="2" t="s">
        <v>234</v>
      </c>
      <c r="R1696" s="2" t="s">
        <v>235</v>
      </c>
      <c r="S1696" s="2" t="s">
        <v>235</v>
      </c>
      <c r="T1696" s="2" t="s">
        <v>235</v>
      </c>
      <c r="U1696" s="2" t="s">
        <v>807</v>
      </c>
      <c r="V1696" s="2" t="s">
        <v>1693</v>
      </c>
      <c r="W1696" s="2" t="s">
        <v>239</v>
      </c>
      <c r="X1696" s="2" t="s">
        <v>682</v>
      </c>
      <c r="Y1696" s="2" t="s">
        <v>1701</v>
      </c>
      <c r="Z1696" s="4">
        <v>109</v>
      </c>
      <c r="AA1696" s="4">
        <f>=ROUNDDOWN(121.111111111111,0)</f>
      </c>
      <c r="AB1696" s="5">
        <v>0.9</v>
      </c>
      <c r="AC1696" s="2" t="s">
        <v>235</v>
      </c>
      <c r="AD1696" s="4"/>
      <c r="AE1696" s="4"/>
      <c r="AF1696" s="6">
        <v>63</v>
      </c>
      <c r="AG1696" s="6"/>
      <c r="AH1696" s="7">
        <v>1</v>
      </c>
      <c r="AI1696" s="4"/>
      <c r="AJ1696" s="4">
        <f>=ROUNDDOWN({0},0)</f>
      </c>
      <c r="AK1696" s="5"/>
      <c r="AL1696" s="2" t="s">
        <v>235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 t="s">
        <v>235</v>
      </c>
      <c r="BD1696" s="8" t="s">
        <v>235</v>
      </c>
      <c r="BE1696" s="4" t="s">
        <v>235</v>
      </c>
      <c r="BF1696" s="8" t="s">
        <v>235</v>
      </c>
      <c r="BG1696" s="7" t="s">
        <v>235</v>
      </c>
      <c r="BH1696" s="7" t="s">
        <v>235</v>
      </c>
      <c r="BI1696" s="7"/>
      <c r="BJ1696" s="4">
        <v>1</v>
      </c>
      <c r="BK1696" s="8">
        <v>16.46</v>
      </c>
      <c r="BL1696" s="2" t="s">
        <v>1122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6302</v>
      </c>
      <c r="BV1696" s="2" t="s">
        <v>828</v>
      </c>
      <c r="BW1696" s="2" t="s">
        <v>235</v>
      </c>
      <c r="BX1696" s="2" t="s">
        <v>414</v>
      </c>
      <c r="BY1696" s="2" t="s">
        <v>245</v>
      </c>
      <c r="BZ1696" s="2" t="s">
        <v>232</v>
      </c>
      <c r="CA1696" s="2" t="s">
        <v>1697</v>
      </c>
      <c r="CB1696" s="2" t="s">
        <v>235</v>
      </c>
      <c r="CC1696" s="2" t="s">
        <v>248</v>
      </c>
      <c r="CD1696" s="2" t="s">
        <v>248</v>
      </c>
      <c r="CE1696" s="2" t="s">
        <v>235</v>
      </c>
      <c r="CF1696" s="4"/>
      <c r="CG1696" s="4">
        <v>109</v>
      </c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>
        <v>109</v>
      </c>
      <c r="GE1696" s="4">
        <v>108</v>
      </c>
      <c r="GF1696" s="4">
        <v>107</v>
      </c>
      <c r="GG1696" s="4">
        <v>106</v>
      </c>
      <c r="GH1696" s="4">
        <v>105</v>
      </c>
      <c r="GI1696" s="4">
        <v>104</v>
      </c>
      <c r="GJ1696" s="4">
        <v>103</v>
      </c>
      <c r="GK1696" s="4">
        <v>102</v>
      </c>
      <c r="GL1696" s="4">
        <v>101</v>
      </c>
      <c r="GM1696" s="4">
        <v>100</v>
      </c>
      <c r="GN1696" s="4">
        <v>99</v>
      </c>
      <c r="GO1696" s="4">
        <v>98</v>
      </c>
      <c r="GP1696" s="4">
        <v>97</v>
      </c>
      <c r="GQ1696" s="4">
        <v>96</v>
      </c>
      <c r="GR1696" s="4">
        <v>95</v>
      </c>
      <c r="GS1696" s="4">
        <v>94</v>
      </c>
      <c r="GT1696" s="4">
        <v>93</v>
      </c>
      <c r="GU1696" s="4">
        <v>92</v>
      </c>
      <c r="GV1696" s="4">
        <v>91</v>
      </c>
      <c r="GW1696" s="4">
        <v>90</v>
      </c>
      <c r="GX1696" s="4">
        <v>89</v>
      </c>
      <c r="GY1696" s="4">
        <v>88</v>
      </c>
      <c r="GZ1696" s="4">
        <v>87</v>
      </c>
      <c r="HA1696" s="4">
        <v>86</v>
      </c>
      <c r="HB1696" s="4">
        <v>85</v>
      </c>
      <c r="HC1696" s="4">
        <v>84</v>
      </c>
      <c r="HD1696" s="19">
        <v>109</v>
      </c>
      <c r="HE1696" s="19">
        <v>108</v>
      </c>
      <c r="HF1696" s="19">
        <v>107</v>
      </c>
      <c r="HG1696" s="19">
        <v>106</v>
      </c>
      <c r="HH1696" s="19">
        <v>105</v>
      </c>
      <c r="HI1696" s="19">
        <v>104</v>
      </c>
      <c r="HJ1696" s="19">
        <v>103</v>
      </c>
      <c r="HK1696" s="19">
        <v>102</v>
      </c>
      <c r="HL1696" s="19">
        <v>101</v>
      </c>
      <c r="HM1696" s="19">
        <v>100</v>
      </c>
      <c r="HN1696" s="19">
        <v>99</v>
      </c>
      <c r="HO1696" s="19">
        <v>98</v>
      </c>
      <c r="HP1696" s="19">
        <v>97</v>
      </c>
      <c r="HQ1696" s="19">
        <v>96</v>
      </c>
      <c r="HR1696" s="19">
        <v>95</v>
      </c>
      <c r="HS1696" s="19">
        <v>94</v>
      </c>
      <c r="HT1696" s="19">
        <v>93</v>
      </c>
      <c r="HU1696" s="19">
        <v>92</v>
      </c>
      <c r="HV1696" s="19">
        <v>91</v>
      </c>
      <c r="HW1696" s="19">
        <v>90</v>
      </c>
      <c r="HX1696" s="19">
        <v>89</v>
      </c>
      <c r="HY1696" s="19">
        <v>88</v>
      </c>
      <c r="HZ1696" s="19">
        <v>87</v>
      </c>
      <c r="IA1696" s="19">
        <v>86</v>
      </c>
      <c r="IB1696" s="19">
        <v>85</v>
      </c>
      <c r="IC1696" s="19">
        <v>84</v>
      </c>
    </row>
    <row r="1697">
      <c r="A1697" s="2" t="s">
        <v>6303</v>
      </c>
      <c r="B1697" s="2" t="s">
        <v>817</v>
      </c>
      <c r="C1697" s="2" t="s">
        <v>324</v>
      </c>
      <c r="D1697" s="2" t="s">
        <v>818</v>
      </c>
      <c r="E1697" s="2" t="s">
        <v>819</v>
      </c>
      <c r="F1697" s="2" t="s">
        <v>6295</v>
      </c>
      <c r="G1697" s="2" t="s">
        <v>6295</v>
      </c>
      <c r="H1697" s="2" t="s">
        <v>6295</v>
      </c>
      <c r="I1697" s="2" t="s">
        <v>6304</v>
      </c>
      <c r="J1697" s="2" t="s">
        <v>806</v>
      </c>
      <c r="K1697" s="2" t="s">
        <v>6305</v>
      </c>
      <c r="L1697" s="3">
        <v>14</v>
      </c>
      <c r="M1697" s="3">
        <v>14.7</v>
      </c>
      <c r="N1697" s="3">
        <v>34.99</v>
      </c>
      <c r="O1697" s="2" t="s">
        <v>485</v>
      </c>
      <c r="P1697" s="2" t="s">
        <v>408</v>
      </c>
      <c r="Q1697" s="2" t="s">
        <v>234</v>
      </c>
      <c r="R1697" s="2" t="s">
        <v>235</v>
      </c>
      <c r="S1697" s="2" t="s">
        <v>235</v>
      </c>
      <c r="T1697" s="2" t="s">
        <v>235</v>
      </c>
      <c r="U1697" s="2" t="s">
        <v>807</v>
      </c>
      <c r="V1697" s="2" t="s">
        <v>1693</v>
      </c>
      <c r="W1697" s="2" t="s">
        <v>239</v>
      </c>
      <c r="X1697" s="2" t="s">
        <v>1157</v>
      </c>
      <c r="Y1697" s="2" t="s">
        <v>1701</v>
      </c>
      <c r="Z1697" s="4">
        <v>50</v>
      </c>
      <c r="AA1697" s="4">
        <f>=ROUNDDOWN(33.3333333333333,0)</f>
      </c>
      <c r="AB1697" s="5">
        <v>1.5</v>
      </c>
      <c r="AC1697" s="2" t="s">
        <v>235</v>
      </c>
      <c r="AD1697" s="4"/>
      <c r="AE1697" s="4"/>
      <c r="AF1697" s="6">
        <v>63</v>
      </c>
      <c r="AG1697" s="6"/>
      <c r="AH1697" s="7">
        <v>1</v>
      </c>
      <c r="AI1697" s="4"/>
      <c r="AJ1697" s="4">
        <f>=ROUNDDOWN({0},0)</f>
      </c>
      <c r="AK1697" s="5"/>
      <c r="AL1697" s="2" t="s">
        <v>235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 t="s">
        <v>235</v>
      </c>
      <c r="BD1697" s="8" t="s">
        <v>235</v>
      </c>
      <c r="BE1697" s="4" t="s">
        <v>235</v>
      </c>
      <c r="BF1697" s="8" t="s">
        <v>235</v>
      </c>
      <c r="BG1697" s="7" t="s">
        <v>235</v>
      </c>
      <c r="BH1697" s="7" t="s">
        <v>235</v>
      </c>
      <c r="BI1697" s="7"/>
      <c r="BJ1697" s="4">
        <v>4</v>
      </c>
      <c r="BK1697" s="8">
        <v>64.82</v>
      </c>
      <c r="BL1697" s="2" t="s">
        <v>536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6306</v>
      </c>
      <c r="BV1697" s="2" t="s">
        <v>828</v>
      </c>
      <c r="BW1697" s="2" t="s">
        <v>235</v>
      </c>
      <c r="BX1697" s="2" t="s">
        <v>414</v>
      </c>
      <c r="BY1697" s="2" t="s">
        <v>245</v>
      </c>
      <c r="BZ1697" s="2" t="s">
        <v>232</v>
      </c>
      <c r="CA1697" s="2" t="s">
        <v>1697</v>
      </c>
      <c r="CB1697" s="2" t="s">
        <v>4044</v>
      </c>
      <c r="CC1697" s="2" t="s">
        <v>248</v>
      </c>
      <c r="CD1697" s="2" t="s">
        <v>248</v>
      </c>
      <c r="CE1697" s="2" t="s">
        <v>235</v>
      </c>
      <c r="CF1697" s="4"/>
      <c r="CG1697" s="4">
        <v>50</v>
      </c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>
        <v>51</v>
      </c>
      <c r="GE1697" s="4">
        <v>48</v>
      </c>
      <c r="GF1697" s="4">
        <v>46</v>
      </c>
      <c r="GG1697" s="4">
        <v>44</v>
      </c>
      <c r="GH1697" s="4">
        <v>42</v>
      </c>
      <c r="GI1697" s="4">
        <v>40</v>
      </c>
      <c r="GJ1697" s="4">
        <v>38</v>
      </c>
      <c r="GK1697" s="4">
        <v>36</v>
      </c>
      <c r="GL1697" s="4">
        <v>34</v>
      </c>
      <c r="GM1697" s="4">
        <v>32</v>
      </c>
      <c r="GN1697" s="4">
        <v>30</v>
      </c>
      <c r="GO1697" s="4">
        <v>28</v>
      </c>
      <c r="GP1697" s="4">
        <v>26</v>
      </c>
      <c r="GQ1697" s="4">
        <v>24</v>
      </c>
      <c r="GR1697" s="4">
        <v>22</v>
      </c>
      <c r="GS1697" s="4">
        <v>20</v>
      </c>
      <c r="GT1697" s="4">
        <v>18</v>
      </c>
      <c r="GU1697" s="4">
        <v>16</v>
      </c>
      <c r="GV1697" s="4">
        <v>15</v>
      </c>
      <c r="GW1697" s="4">
        <v>14</v>
      </c>
      <c r="GX1697" s="4">
        <v>13</v>
      </c>
      <c r="GY1697" s="4">
        <v>12</v>
      </c>
      <c r="GZ1697" s="4">
        <v>10</v>
      </c>
      <c r="HA1697" s="4">
        <v>8</v>
      </c>
      <c r="HB1697" s="4">
        <v>6</v>
      </c>
      <c r="HC1697" s="4">
        <v>4</v>
      </c>
      <c r="HD1697" s="19">
        <v>25.5</v>
      </c>
      <c r="HE1697" s="19">
        <v>24</v>
      </c>
      <c r="HF1697" s="19">
        <v>23</v>
      </c>
      <c r="HG1697" s="19">
        <v>22</v>
      </c>
      <c r="HH1697" s="19">
        <v>21</v>
      </c>
      <c r="HI1697" s="19">
        <v>20</v>
      </c>
      <c r="HJ1697" s="19">
        <v>19</v>
      </c>
      <c r="HK1697" s="19">
        <v>18</v>
      </c>
      <c r="HL1697" s="19">
        <v>17</v>
      </c>
      <c r="HM1697" s="19">
        <v>16</v>
      </c>
      <c r="HN1697" s="19">
        <v>15</v>
      </c>
      <c r="HO1697" s="19">
        <v>14</v>
      </c>
      <c r="HP1697" s="19">
        <v>13</v>
      </c>
      <c r="HQ1697" s="19">
        <v>12</v>
      </c>
      <c r="HR1697" s="19">
        <v>11</v>
      </c>
      <c r="HS1697" s="19">
        <v>10</v>
      </c>
      <c r="HT1697" s="19">
        <v>18</v>
      </c>
      <c r="HU1697" s="19">
        <v>16</v>
      </c>
      <c r="HV1697" s="19">
        <v>15</v>
      </c>
      <c r="HW1697" s="19">
        <v>7</v>
      </c>
      <c r="HX1697" s="19">
        <v>6.5</v>
      </c>
      <c r="HY1697" s="19">
        <v>6</v>
      </c>
      <c r="HZ1697" s="19">
        <v>5</v>
      </c>
      <c r="IA1697" s="19">
        <v>4</v>
      </c>
      <c r="IB1697" s="19">
        <v>3</v>
      </c>
      <c r="IC1697" s="19">
        <v>2</v>
      </c>
    </row>
    <row r="1698">
      <c r="A1698" s="2" t="s">
        <v>6307</v>
      </c>
      <c r="B1698" s="2" t="s">
        <v>817</v>
      </c>
      <c r="C1698" s="2" t="s">
        <v>324</v>
      </c>
      <c r="D1698" s="2" t="s">
        <v>818</v>
      </c>
      <c r="E1698" s="2" t="s">
        <v>819</v>
      </c>
      <c r="F1698" s="2" t="s">
        <v>6295</v>
      </c>
      <c r="G1698" s="2" t="s">
        <v>6295</v>
      </c>
      <c r="H1698" s="2" t="s">
        <v>6295</v>
      </c>
      <c r="I1698" s="2" t="s">
        <v>6308</v>
      </c>
      <c r="J1698" s="2" t="s">
        <v>806</v>
      </c>
      <c r="K1698" s="2" t="s">
        <v>6309</v>
      </c>
      <c r="L1698" s="3">
        <v>14</v>
      </c>
      <c r="M1698" s="3">
        <v>14.7</v>
      </c>
      <c r="N1698" s="3">
        <v>34.99</v>
      </c>
      <c r="O1698" s="2" t="s">
        <v>407</v>
      </c>
      <c r="P1698" s="2" t="s">
        <v>408</v>
      </c>
      <c r="Q1698" s="2" t="s">
        <v>234</v>
      </c>
      <c r="R1698" s="2" t="s">
        <v>235</v>
      </c>
      <c r="S1698" s="2" t="s">
        <v>235</v>
      </c>
      <c r="T1698" s="2" t="s">
        <v>235</v>
      </c>
      <c r="U1698" s="2" t="s">
        <v>807</v>
      </c>
      <c r="V1698" s="2" t="s">
        <v>1693</v>
      </c>
      <c r="W1698" s="2" t="s">
        <v>239</v>
      </c>
      <c r="X1698" s="2" t="s">
        <v>1157</v>
      </c>
      <c r="Y1698" s="2" t="s">
        <v>1701</v>
      </c>
      <c r="Z1698" s="4">
        <v>6</v>
      </c>
      <c r="AA1698" s="4">
        <f>=ROUNDDOWN(2.06896551724138,0)</f>
      </c>
      <c r="AB1698" s="5">
        <v>2.9</v>
      </c>
      <c r="AC1698" s="2" t="s">
        <v>235</v>
      </c>
      <c r="AD1698" s="4"/>
      <c r="AE1698" s="4"/>
      <c r="AF1698" s="6">
        <v>63</v>
      </c>
      <c r="AG1698" s="6"/>
      <c r="AH1698" s="7">
        <v>1</v>
      </c>
      <c r="AI1698" s="4"/>
      <c r="AJ1698" s="4">
        <f>=ROUNDDOWN({0},0)</f>
      </c>
      <c r="AK1698" s="5"/>
      <c r="AL1698" s="2" t="s">
        <v>235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 t="s">
        <v>235</v>
      </c>
      <c r="BD1698" s="8" t="s">
        <v>235</v>
      </c>
      <c r="BE1698" s="4" t="s">
        <v>235</v>
      </c>
      <c r="BF1698" s="8" t="s">
        <v>235</v>
      </c>
      <c r="BG1698" s="7" t="s">
        <v>235</v>
      </c>
      <c r="BH1698" s="7" t="s">
        <v>235</v>
      </c>
      <c r="BI1698" s="7"/>
      <c r="BJ1698" s="4">
        <v>11</v>
      </c>
      <c r="BK1698" s="8">
        <v>77.38</v>
      </c>
      <c r="BL1698" s="2" t="s">
        <v>1810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6310</v>
      </c>
      <c r="BV1698" s="2" t="s">
        <v>828</v>
      </c>
      <c r="BW1698" s="2" t="s">
        <v>235</v>
      </c>
      <c r="BX1698" s="2" t="s">
        <v>414</v>
      </c>
      <c r="BY1698" s="2" t="s">
        <v>245</v>
      </c>
      <c r="BZ1698" s="2" t="s">
        <v>232</v>
      </c>
      <c r="CA1698" s="2" t="s">
        <v>1697</v>
      </c>
      <c r="CB1698" s="2" t="s">
        <v>6311</v>
      </c>
      <c r="CC1698" s="2" t="s">
        <v>248</v>
      </c>
      <c r="CD1698" s="2" t="s">
        <v>248</v>
      </c>
      <c r="CE1698" s="2" t="s">
        <v>235</v>
      </c>
      <c r="CF1698" s="4"/>
      <c r="CG1698" s="4">
        <v>6</v>
      </c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>
        <v>9</v>
      </c>
      <c r="GE1698" s="4">
        <v>2</v>
      </c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19">
        <v>3</v>
      </c>
      <c r="HE1698" s="19">
        <v>1</v>
      </c>
      <c r="HF1698" s="20">
        <v>0</v>
      </c>
      <c r="HG1698" s="20">
        <v>0</v>
      </c>
      <c r="HH1698" s="20">
        <v>0</v>
      </c>
      <c r="HI1698" s="20">
        <v>0</v>
      </c>
      <c r="HJ1698" s="20">
        <v>0</v>
      </c>
      <c r="HK1698" s="20">
        <v>0</v>
      </c>
      <c r="HL1698" s="20">
        <v>0</v>
      </c>
      <c r="HM1698" s="20">
        <v>0</v>
      </c>
      <c r="HN1698" s="20">
        <v>0</v>
      </c>
      <c r="HO1698" s="20">
        <v>0</v>
      </c>
      <c r="HP1698" s="20">
        <v>0</v>
      </c>
      <c r="HQ1698" s="20">
        <v>0</v>
      </c>
      <c r="HR1698" s="20">
        <v>0</v>
      </c>
      <c r="HS1698" s="20">
        <v>0</v>
      </c>
      <c r="HT1698" s="20">
        <v>0</v>
      </c>
      <c r="HU1698" s="20">
        <v>0</v>
      </c>
      <c r="HV1698" s="20">
        <v>0</v>
      </c>
      <c r="HW1698" s="20">
        <v>0</v>
      </c>
      <c r="HX1698" s="20">
        <v>0</v>
      </c>
      <c r="HY1698" s="20">
        <v>0</v>
      </c>
      <c r="HZ1698" s="20">
        <v>0</v>
      </c>
      <c r="IA1698" s="20">
        <v>0</v>
      </c>
      <c r="IB1698" s="20">
        <v>0</v>
      </c>
      <c r="IC1698" s="20">
        <v>0</v>
      </c>
    </row>
    <row r="1699">
      <c r="A1699" s="2" t="s">
        <v>6312</v>
      </c>
      <c r="B1699" s="2" t="s">
        <v>817</v>
      </c>
      <c r="C1699" s="2" t="s">
        <v>324</v>
      </c>
      <c r="D1699" s="2" t="s">
        <v>818</v>
      </c>
      <c r="E1699" s="2" t="s">
        <v>819</v>
      </c>
      <c r="F1699" s="2" t="s">
        <v>6295</v>
      </c>
      <c r="G1699" s="2" t="s">
        <v>6295</v>
      </c>
      <c r="H1699" s="2" t="s">
        <v>6295</v>
      </c>
      <c r="I1699" s="2" t="s">
        <v>6313</v>
      </c>
      <c r="J1699" s="2" t="s">
        <v>806</v>
      </c>
      <c r="K1699" s="2" t="s">
        <v>6314</v>
      </c>
      <c r="L1699" s="3">
        <v>14</v>
      </c>
      <c r="M1699" s="3">
        <v>14.7</v>
      </c>
      <c r="N1699" s="3">
        <v>34.99</v>
      </c>
      <c r="O1699" s="2" t="s">
        <v>485</v>
      </c>
      <c r="P1699" s="2" t="s">
        <v>408</v>
      </c>
      <c r="Q1699" s="2" t="s">
        <v>234</v>
      </c>
      <c r="R1699" s="2" t="s">
        <v>235</v>
      </c>
      <c r="S1699" s="2" t="s">
        <v>235</v>
      </c>
      <c r="T1699" s="2" t="s">
        <v>235</v>
      </c>
      <c r="U1699" s="2" t="s">
        <v>807</v>
      </c>
      <c r="V1699" s="2" t="s">
        <v>1693</v>
      </c>
      <c r="W1699" s="2" t="s">
        <v>239</v>
      </c>
      <c r="X1699" s="2" t="s">
        <v>1157</v>
      </c>
      <c r="Y1699" s="2" t="s">
        <v>1701</v>
      </c>
      <c r="Z1699" s="4">
        <v>26</v>
      </c>
      <c r="AA1699" s="4">
        <f>=ROUNDDOWN(8.96551724137931,0)</f>
      </c>
      <c r="AB1699" s="5">
        <v>2.9</v>
      </c>
      <c r="AC1699" s="2" t="s">
        <v>235</v>
      </c>
      <c r="AD1699" s="4"/>
      <c r="AE1699" s="4"/>
      <c r="AF1699" s="6">
        <v>63</v>
      </c>
      <c r="AG1699" s="6"/>
      <c r="AH1699" s="7">
        <v>1</v>
      </c>
      <c r="AI1699" s="4"/>
      <c r="AJ1699" s="4">
        <f>=ROUNDDOWN({0},0)</f>
      </c>
      <c r="AK1699" s="5"/>
      <c r="AL1699" s="2" t="s">
        <v>235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 t="s">
        <v>235</v>
      </c>
      <c r="BD1699" s="8" t="s">
        <v>235</v>
      </c>
      <c r="BE1699" s="4" t="s">
        <v>235</v>
      </c>
      <c r="BF1699" s="8" t="s">
        <v>235</v>
      </c>
      <c r="BG1699" s="7" t="s">
        <v>235</v>
      </c>
      <c r="BH1699" s="7" t="s">
        <v>235</v>
      </c>
      <c r="BI1699" s="7"/>
      <c r="BJ1699" s="4">
        <v>9</v>
      </c>
      <c r="BK1699" s="8">
        <v>138.74</v>
      </c>
      <c r="BL1699" s="2" t="s">
        <v>6315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6316</v>
      </c>
      <c r="BV1699" s="2" t="s">
        <v>828</v>
      </c>
      <c r="BW1699" s="2" t="s">
        <v>235</v>
      </c>
      <c r="BX1699" s="2" t="s">
        <v>414</v>
      </c>
      <c r="BY1699" s="2" t="s">
        <v>245</v>
      </c>
      <c r="BZ1699" s="2" t="s">
        <v>232</v>
      </c>
      <c r="CA1699" s="2" t="s">
        <v>1697</v>
      </c>
      <c r="CB1699" s="2" t="s">
        <v>693</v>
      </c>
      <c r="CC1699" s="2" t="s">
        <v>248</v>
      </c>
      <c r="CD1699" s="2" t="s">
        <v>248</v>
      </c>
      <c r="CE1699" s="2" t="s">
        <v>235</v>
      </c>
      <c r="CF1699" s="4"/>
      <c r="CG1699" s="4">
        <v>26</v>
      </c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>
        <v>28</v>
      </c>
      <c r="GE1699" s="4">
        <v>23</v>
      </c>
      <c r="GF1699" s="4">
        <v>20</v>
      </c>
      <c r="GG1699" s="4">
        <v>17</v>
      </c>
      <c r="GH1699" s="4">
        <v>14</v>
      </c>
      <c r="GI1699" s="4">
        <v>11</v>
      </c>
      <c r="GJ1699" s="4">
        <v>8</v>
      </c>
      <c r="GK1699" s="4">
        <v>5</v>
      </c>
      <c r="GL1699" s="4">
        <v>2</v>
      </c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19">
        <v>7</v>
      </c>
      <c r="HE1699" s="19">
        <v>7.7</v>
      </c>
      <c r="HF1699" s="19">
        <v>6.7</v>
      </c>
      <c r="HG1699" s="19">
        <v>5.7</v>
      </c>
      <c r="HH1699" s="19">
        <v>4.7</v>
      </c>
      <c r="HI1699" s="19">
        <v>3.7</v>
      </c>
      <c r="HJ1699" s="19">
        <v>2.7</v>
      </c>
      <c r="HK1699" s="19">
        <v>1.7</v>
      </c>
      <c r="HL1699" s="19">
        <v>0.7</v>
      </c>
      <c r="HM1699" s="20">
        <v>0</v>
      </c>
      <c r="HN1699" s="20">
        <v>0</v>
      </c>
      <c r="HO1699" s="20">
        <v>0</v>
      </c>
      <c r="HP1699" s="20">
        <v>0</v>
      </c>
      <c r="HQ1699" s="20">
        <v>0</v>
      </c>
      <c r="HR1699" s="20">
        <v>0</v>
      </c>
      <c r="HS1699" s="20">
        <v>0</v>
      </c>
      <c r="HT1699" s="20">
        <v>0</v>
      </c>
      <c r="HU1699" s="20">
        <v>0</v>
      </c>
      <c r="HV1699" s="20">
        <v>0</v>
      </c>
      <c r="HW1699" s="20">
        <v>0</v>
      </c>
      <c r="HX1699" s="20">
        <v>0</v>
      </c>
      <c r="HY1699" s="20">
        <v>0</v>
      </c>
      <c r="HZ1699" s="20">
        <v>0</v>
      </c>
      <c r="IA1699" s="20">
        <v>0</v>
      </c>
      <c r="IB1699" s="20">
        <v>0</v>
      </c>
      <c r="IC1699" s="20">
        <v>0</v>
      </c>
    </row>
    <row r="1700">
      <c r="A1700" s="2" t="s">
        <v>6317</v>
      </c>
      <c r="B1700" s="2" t="s">
        <v>605</v>
      </c>
      <c r="C1700" s="2" t="s">
        <v>678</v>
      </c>
      <c r="D1700" s="2" t="s">
        <v>607</v>
      </c>
      <c r="E1700" s="2" t="s">
        <v>608</v>
      </c>
      <c r="F1700" s="2" t="s">
        <v>6318</v>
      </c>
      <c r="G1700" s="2" t="s">
        <v>6318</v>
      </c>
      <c r="H1700" s="2" t="s">
        <v>6318</v>
      </c>
      <c r="I1700" s="2" t="s">
        <v>6319</v>
      </c>
      <c r="J1700" s="2" t="s">
        <v>611</v>
      </c>
      <c r="K1700" s="2" t="s">
        <v>292</v>
      </c>
      <c r="L1700" s="3">
        <v>38</v>
      </c>
      <c r="M1700" s="3">
        <v>39.9</v>
      </c>
      <c r="N1700" s="3">
        <v>79.99</v>
      </c>
      <c r="O1700" s="2" t="s">
        <v>485</v>
      </c>
      <c r="P1700" s="2" t="s">
        <v>408</v>
      </c>
      <c r="Q1700" s="2" t="s">
        <v>234</v>
      </c>
      <c r="R1700" s="2" t="s">
        <v>235</v>
      </c>
      <c r="S1700" s="2" t="s">
        <v>6320</v>
      </c>
      <c r="T1700" s="2" t="s">
        <v>263</v>
      </c>
      <c r="U1700" s="2" t="s">
        <v>614</v>
      </c>
      <c r="V1700" s="2" t="s">
        <v>238</v>
      </c>
      <c r="W1700" s="2" t="s">
        <v>1157</v>
      </c>
      <c r="X1700" s="2" t="s">
        <v>235</v>
      </c>
      <c r="Y1700" s="2" t="s">
        <v>6321</v>
      </c>
      <c r="Z1700" s="4">
        <v>107</v>
      </c>
      <c r="AA1700" s="4">
        <f>=ROUNDDOWN(11.8888888888889,0)</f>
      </c>
      <c r="AB1700" s="5">
        <v>9</v>
      </c>
      <c r="AC1700" s="2" t="s">
        <v>235</v>
      </c>
      <c r="AD1700" s="4"/>
      <c r="AE1700" s="4"/>
      <c r="AF1700" s="6">
        <v>75</v>
      </c>
      <c r="AG1700" s="6"/>
      <c r="AH1700" s="7">
        <v>1</v>
      </c>
      <c r="AI1700" s="4"/>
      <c r="AJ1700" s="4">
        <f>=ROUNDDOWN({0},0)</f>
      </c>
      <c r="AK1700" s="5"/>
      <c r="AL1700" s="2" t="s">
        <v>235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 t="s">
        <v>235</v>
      </c>
      <c r="BD1700" s="8" t="s">
        <v>235</v>
      </c>
      <c r="BE1700" s="4" t="s">
        <v>235</v>
      </c>
      <c r="BF1700" s="8" t="s">
        <v>235</v>
      </c>
      <c r="BG1700" s="7" t="s">
        <v>235</v>
      </c>
      <c r="BH1700" s="7" t="s">
        <v>235</v>
      </c>
      <c r="BI1700" s="7"/>
      <c r="BJ1700" s="4">
        <v>90</v>
      </c>
      <c r="BK1700" s="8">
        <v>3798.23</v>
      </c>
      <c r="BL1700" s="2" t="s">
        <v>6322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6323</v>
      </c>
      <c r="BV1700" s="2" t="s">
        <v>618</v>
      </c>
      <c r="BW1700" s="2" t="s">
        <v>235</v>
      </c>
      <c r="BX1700" s="2" t="s">
        <v>414</v>
      </c>
      <c r="BY1700" s="2" t="s">
        <v>245</v>
      </c>
      <c r="BZ1700" s="2" t="s">
        <v>232</v>
      </c>
      <c r="CA1700" s="2" t="s">
        <v>6324</v>
      </c>
      <c r="CB1700" s="2" t="s">
        <v>5948</v>
      </c>
      <c r="CC1700" s="2" t="s">
        <v>248</v>
      </c>
      <c r="CD1700" s="2" t="s">
        <v>248</v>
      </c>
      <c r="CE1700" s="2" t="s">
        <v>235</v>
      </c>
      <c r="CF1700" s="4">
        <v>107</v>
      </c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>
        <v>110</v>
      </c>
      <c r="GE1700" s="4">
        <v>95</v>
      </c>
      <c r="GF1700" s="4">
        <v>88</v>
      </c>
      <c r="GG1700" s="4">
        <v>81</v>
      </c>
      <c r="GH1700" s="4">
        <v>74</v>
      </c>
      <c r="GI1700" s="4">
        <v>67</v>
      </c>
      <c r="GJ1700" s="4">
        <v>58</v>
      </c>
      <c r="GK1700" s="4">
        <v>49</v>
      </c>
      <c r="GL1700" s="4">
        <v>41</v>
      </c>
      <c r="GM1700" s="4">
        <v>33</v>
      </c>
      <c r="GN1700" s="4">
        <v>25</v>
      </c>
      <c r="GO1700" s="4">
        <v>15</v>
      </c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19">
        <v>12.2</v>
      </c>
      <c r="HE1700" s="19">
        <v>13.6</v>
      </c>
      <c r="HF1700" s="19">
        <v>11</v>
      </c>
      <c r="HG1700" s="19">
        <v>10.1</v>
      </c>
      <c r="HH1700" s="19">
        <v>9.3</v>
      </c>
      <c r="HI1700" s="19">
        <v>8.4</v>
      </c>
      <c r="HJ1700" s="19">
        <v>7.3</v>
      </c>
      <c r="HK1700" s="19">
        <v>6.1</v>
      </c>
      <c r="HL1700" s="19">
        <v>4.1</v>
      </c>
      <c r="HM1700" s="19">
        <v>2.5</v>
      </c>
      <c r="HN1700" s="19">
        <v>1.6</v>
      </c>
      <c r="HO1700" s="19">
        <v>0.9</v>
      </c>
      <c r="HP1700" s="20">
        <v>0</v>
      </c>
      <c r="HQ1700" s="20">
        <v>0</v>
      </c>
      <c r="HR1700" s="20">
        <v>0</v>
      </c>
      <c r="HS1700" s="20">
        <v>0</v>
      </c>
      <c r="HT1700" s="20">
        <v>0</v>
      </c>
      <c r="HU1700" s="20">
        <v>0</v>
      </c>
      <c r="HV1700" s="20">
        <v>0</v>
      </c>
      <c r="HW1700" s="20">
        <v>0</v>
      </c>
      <c r="HX1700" s="20">
        <v>0</v>
      </c>
      <c r="HY1700" s="20">
        <v>0</v>
      </c>
      <c r="HZ1700" s="20">
        <v>0</v>
      </c>
      <c r="IA1700" s="20">
        <v>0</v>
      </c>
      <c r="IB1700" s="20">
        <v>0</v>
      </c>
      <c r="IC1700" s="20">
        <v>0</v>
      </c>
    </row>
    <row r="1701">
      <c r="A1701" s="2" t="s">
        <v>6325</v>
      </c>
      <c r="B1701" s="2" t="s">
        <v>605</v>
      </c>
      <c r="C1701" s="2" t="s">
        <v>678</v>
      </c>
      <c r="D1701" s="2" t="s">
        <v>607</v>
      </c>
      <c r="E1701" s="2" t="s">
        <v>608</v>
      </c>
      <c r="F1701" s="2" t="s">
        <v>6318</v>
      </c>
      <c r="G1701" s="2" t="s">
        <v>6318</v>
      </c>
      <c r="H1701" s="2" t="s">
        <v>6318</v>
      </c>
      <c r="I1701" s="2" t="s">
        <v>6319</v>
      </c>
      <c r="J1701" s="2" t="s">
        <v>611</v>
      </c>
      <c r="K1701" s="2" t="s">
        <v>295</v>
      </c>
      <c r="L1701" s="3">
        <v>38</v>
      </c>
      <c r="M1701" s="3">
        <v>39.9</v>
      </c>
      <c r="N1701" s="3">
        <v>79.99</v>
      </c>
      <c r="O1701" s="2" t="s">
        <v>485</v>
      </c>
      <c r="P1701" s="2" t="s">
        <v>408</v>
      </c>
      <c r="Q1701" s="2" t="s">
        <v>234</v>
      </c>
      <c r="R1701" s="2" t="s">
        <v>235</v>
      </c>
      <c r="S1701" s="2" t="s">
        <v>6326</v>
      </c>
      <c r="T1701" s="2" t="s">
        <v>263</v>
      </c>
      <c r="U1701" s="2" t="s">
        <v>614</v>
      </c>
      <c r="V1701" s="2" t="s">
        <v>238</v>
      </c>
      <c r="W1701" s="2" t="s">
        <v>1157</v>
      </c>
      <c r="X1701" s="2" t="s">
        <v>235</v>
      </c>
      <c r="Y1701" s="2" t="s">
        <v>6321</v>
      </c>
      <c r="Z1701" s="4">
        <v>353</v>
      </c>
      <c r="AA1701" s="4">
        <f>=ROUNDDOWN(50.4285714285714,0)</f>
      </c>
      <c r="AB1701" s="5">
        <v>7</v>
      </c>
      <c r="AC1701" s="2" t="s">
        <v>235</v>
      </c>
      <c r="AD1701" s="4"/>
      <c r="AE1701" s="4"/>
      <c r="AF1701" s="6">
        <v>75</v>
      </c>
      <c r="AG1701" s="6"/>
      <c r="AH1701" s="7">
        <v>1</v>
      </c>
      <c r="AI1701" s="4"/>
      <c r="AJ1701" s="4">
        <f>=ROUNDDOWN({0},0)</f>
      </c>
      <c r="AK1701" s="5"/>
      <c r="AL1701" s="2" t="s">
        <v>235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 t="s">
        <v>235</v>
      </c>
      <c r="BD1701" s="8" t="s">
        <v>235</v>
      </c>
      <c r="BE1701" s="4" t="s">
        <v>235</v>
      </c>
      <c r="BF1701" s="8" t="s">
        <v>235</v>
      </c>
      <c r="BG1701" s="7" t="s">
        <v>235</v>
      </c>
      <c r="BH1701" s="7" t="s">
        <v>235</v>
      </c>
      <c r="BI1701" s="7"/>
      <c r="BJ1701" s="4">
        <v>67</v>
      </c>
      <c r="BK1701" s="8">
        <v>2753.89</v>
      </c>
      <c r="BL1701" s="2" t="s">
        <v>6327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6323</v>
      </c>
      <c r="BV1701" s="2" t="s">
        <v>618</v>
      </c>
      <c r="BW1701" s="2" t="s">
        <v>235</v>
      </c>
      <c r="BX1701" s="2" t="s">
        <v>414</v>
      </c>
      <c r="BY1701" s="2" t="s">
        <v>245</v>
      </c>
      <c r="BZ1701" s="2" t="s">
        <v>232</v>
      </c>
      <c r="CA1701" s="2" t="s">
        <v>6324</v>
      </c>
      <c r="CB1701" s="2" t="s">
        <v>6328</v>
      </c>
      <c r="CC1701" s="2" t="s">
        <v>248</v>
      </c>
      <c r="CD1701" s="2" t="s">
        <v>248</v>
      </c>
      <c r="CE1701" s="2" t="s">
        <v>235</v>
      </c>
      <c r="CF1701" s="4">
        <v>353</v>
      </c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>
        <v>359</v>
      </c>
      <c r="GE1701" s="4">
        <v>348</v>
      </c>
      <c r="GF1701" s="4">
        <v>342</v>
      </c>
      <c r="GG1701" s="4">
        <v>336</v>
      </c>
      <c r="GH1701" s="4">
        <v>330</v>
      </c>
      <c r="GI1701" s="4">
        <v>324</v>
      </c>
      <c r="GJ1701" s="4">
        <v>317</v>
      </c>
      <c r="GK1701" s="4">
        <v>310</v>
      </c>
      <c r="GL1701" s="4">
        <v>304</v>
      </c>
      <c r="GM1701" s="4">
        <v>298</v>
      </c>
      <c r="GN1701" s="4">
        <v>292</v>
      </c>
      <c r="GO1701" s="4">
        <v>284</v>
      </c>
      <c r="GP1701" s="4">
        <v>273</v>
      </c>
      <c r="GQ1701" s="4">
        <v>259</v>
      </c>
      <c r="GR1701" s="4">
        <v>243</v>
      </c>
      <c r="GS1701" s="4">
        <v>231</v>
      </c>
      <c r="GT1701" s="4">
        <v>222</v>
      </c>
      <c r="GU1701" s="4">
        <v>216</v>
      </c>
      <c r="GV1701" s="4">
        <v>210</v>
      </c>
      <c r="GW1701" s="4">
        <v>204</v>
      </c>
      <c r="GX1701" s="4">
        <v>198</v>
      </c>
      <c r="GY1701" s="4">
        <v>192</v>
      </c>
      <c r="GZ1701" s="4">
        <v>185</v>
      </c>
      <c r="HA1701" s="4">
        <v>178</v>
      </c>
      <c r="HB1701" s="4">
        <v>171</v>
      </c>
      <c r="HC1701" s="4">
        <v>164</v>
      </c>
      <c r="HD1701" s="19">
        <v>51.3</v>
      </c>
      <c r="HE1701" s="19">
        <v>58</v>
      </c>
      <c r="HF1701" s="19">
        <v>57</v>
      </c>
      <c r="HG1701" s="19">
        <v>56</v>
      </c>
      <c r="HH1701" s="19">
        <v>55</v>
      </c>
      <c r="HI1701" s="19">
        <v>54</v>
      </c>
      <c r="HJ1701" s="19">
        <v>52.8</v>
      </c>
      <c r="HK1701" s="19">
        <v>51.7</v>
      </c>
      <c r="HL1701" s="19">
        <v>38</v>
      </c>
      <c r="HM1701" s="19">
        <v>29.8</v>
      </c>
      <c r="HN1701" s="19">
        <v>24.3</v>
      </c>
      <c r="HO1701" s="19">
        <v>21.8</v>
      </c>
      <c r="HP1701" s="19">
        <v>21</v>
      </c>
      <c r="HQ1701" s="19">
        <v>23.5</v>
      </c>
      <c r="HR1701" s="19">
        <v>30.4</v>
      </c>
      <c r="HS1701" s="19">
        <v>33</v>
      </c>
      <c r="HT1701" s="19">
        <v>37</v>
      </c>
      <c r="HU1701" s="19">
        <v>36</v>
      </c>
      <c r="HV1701" s="19">
        <v>35</v>
      </c>
      <c r="HW1701" s="19">
        <v>34</v>
      </c>
      <c r="HX1701" s="19">
        <v>28.3</v>
      </c>
      <c r="HY1701" s="19">
        <v>27.4</v>
      </c>
      <c r="HZ1701" s="19">
        <v>26.4</v>
      </c>
      <c r="IA1701" s="19">
        <v>25.4</v>
      </c>
      <c r="IB1701" s="19">
        <v>24.4</v>
      </c>
      <c r="IC1701" s="19">
        <v>23.4</v>
      </c>
    </row>
    <row r="1702">
      <c r="A1702" s="2" t="s">
        <v>6329</v>
      </c>
      <c r="B1702" s="2" t="s">
        <v>605</v>
      </c>
      <c r="C1702" s="2" t="s">
        <v>678</v>
      </c>
      <c r="D1702" s="2" t="s">
        <v>607</v>
      </c>
      <c r="E1702" s="2" t="s">
        <v>608</v>
      </c>
      <c r="F1702" s="2" t="s">
        <v>6318</v>
      </c>
      <c r="G1702" s="2" t="s">
        <v>6318</v>
      </c>
      <c r="H1702" s="2" t="s">
        <v>6318</v>
      </c>
      <c r="I1702" s="2" t="s">
        <v>6319</v>
      </c>
      <c r="J1702" s="2" t="s">
        <v>611</v>
      </c>
      <c r="K1702" s="2" t="s">
        <v>316</v>
      </c>
      <c r="L1702" s="3">
        <v>38</v>
      </c>
      <c r="M1702" s="3">
        <v>39.9</v>
      </c>
      <c r="N1702" s="3">
        <v>79.99</v>
      </c>
      <c r="O1702" s="2" t="s">
        <v>485</v>
      </c>
      <c r="P1702" s="2" t="s">
        <v>408</v>
      </c>
      <c r="Q1702" s="2" t="s">
        <v>234</v>
      </c>
      <c r="R1702" s="2" t="s">
        <v>235</v>
      </c>
      <c r="S1702" s="2" t="s">
        <v>6330</v>
      </c>
      <c r="T1702" s="2" t="s">
        <v>263</v>
      </c>
      <c r="U1702" s="2" t="s">
        <v>614</v>
      </c>
      <c r="V1702" s="2" t="s">
        <v>238</v>
      </c>
      <c r="W1702" s="2" t="s">
        <v>1157</v>
      </c>
      <c r="X1702" s="2" t="s">
        <v>235</v>
      </c>
      <c r="Y1702" s="2" t="s">
        <v>6321</v>
      </c>
      <c r="Z1702" s="4">
        <v>81</v>
      </c>
      <c r="AA1702" s="4">
        <f>=ROUNDDOWN(11.5714285714286,0)</f>
      </c>
      <c r="AB1702" s="5">
        <v>7</v>
      </c>
      <c r="AC1702" s="2" t="s">
        <v>235</v>
      </c>
      <c r="AD1702" s="4"/>
      <c r="AE1702" s="4"/>
      <c r="AF1702" s="6">
        <v>75</v>
      </c>
      <c r="AG1702" s="6"/>
      <c r="AH1702" s="7">
        <v>1</v>
      </c>
      <c r="AI1702" s="4"/>
      <c r="AJ1702" s="4">
        <f>=ROUNDDOWN({0},0)</f>
      </c>
      <c r="AK1702" s="5"/>
      <c r="AL1702" s="2" t="s">
        <v>235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235</v>
      </c>
      <c r="AW1702" s="8" t="s">
        <v>235</v>
      </c>
      <c r="AX1702" s="4" t="s">
        <v>235</v>
      </c>
      <c r="AY1702" s="8" t="s">
        <v>235</v>
      </c>
      <c r="AZ1702" s="7" t="s">
        <v>235</v>
      </c>
      <c r="BA1702" s="7" t="s">
        <v>235</v>
      </c>
      <c r="BB1702" s="7"/>
      <c r="BC1702" s="4" t="s">
        <v>235</v>
      </c>
      <c r="BD1702" s="8" t="s">
        <v>235</v>
      </c>
      <c r="BE1702" s="4" t="s">
        <v>235</v>
      </c>
      <c r="BF1702" s="8" t="s">
        <v>235</v>
      </c>
      <c r="BG1702" s="7" t="s">
        <v>235</v>
      </c>
      <c r="BH1702" s="7" t="s">
        <v>235</v>
      </c>
      <c r="BI1702" s="7"/>
      <c r="BJ1702" s="4">
        <v>55</v>
      </c>
      <c r="BK1702" s="8">
        <v>2189.19</v>
      </c>
      <c r="BL1702" s="2" t="s">
        <v>2017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6323</v>
      </c>
      <c r="BV1702" s="2" t="s">
        <v>618</v>
      </c>
      <c r="BW1702" s="2" t="s">
        <v>235</v>
      </c>
      <c r="BX1702" s="2" t="s">
        <v>414</v>
      </c>
      <c r="BY1702" s="2" t="s">
        <v>245</v>
      </c>
      <c r="BZ1702" s="2" t="s">
        <v>232</v>
      </c>
      <c r="CA1702" s="2" t="s">
        <v>6324</v>
      </c>
      <c r="CB1702" s="2" t="s">
        <v>2932</v>
      </c>
      <c r="CC1702" s="2" t="s">
        <v>248</v>
      </c>
      <c r="CD1702" s="2" t="s">
        <v>248</v>
      </c>
      <c r="CE1702" s="2" t="s">
        <v>235</v>
      </c>
      <c r="CF1702" s="4">
        <v>81</v>
      </c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>
        <v>81</v>
      </c>
      <c r="GE1702" s="4">
        <v>73</v>
      </c>
      <c r="GF1702" s="4">
        <v>67</v>
      </c>
      <c r="GG1702" s="4">
        <v>61</v>
      </c>
      <c r="GH1702" s="4">
        <v>55</v>
      </c>
      <c r="GI1702" s="4">
        <v>49</v>
      </c>
      <c r="GJ1702" s="4">
        <v>42</v>
      </c>
      <c r="GK1702" s="4">
        <v>35</v>
      </c>
      <c r="GL1702" s="4">
        <v>29</v>
      </c>
      <c r="GM1702" s="4">
        <v>23</v>
      </c>
      <c r="GN1702" s="4">
        <v>17</v>
      </c>
      <c r="GO1702" s="4">
        <v>9</v>
      </c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19">
        <v>13.5</v>
      </c>
      <c r="HE1702" s="19">
        <v>12.2</v>
      </c>
      <c r="HF1702" s="19">
        <v>11.2</v>
      </c>
      <c r="HG1702" s="19">
        <v>10.2</v>
      </c>
      <c r="HH1702" s="19">
        <v>9.2</v>
      </c>
      <c r="HI1702" s="19">
        <v>8.2</v>
      </c>
      <c r="HJ1702" s="19">
        <v>7</v>
      </c>
      <c r="HK1702" s="19">
        <v>5.8</v>
      </c>
      <c r="HL1702" s="19">
        <v>3.6</v>
      </c>
      <c r="HM1702" s="19">
        <v>2.6</v>
      </c>
      <c r="HN1702" s="19">
        <v>1.4</v>
      </c>
      <c r="HO1702" s="19">
        <v>0.8</v>
      </c>
      <c r="HP1702" s="20">
        <v>0</v>
      </c>
      <c r="HQ1702" s="20">
        <v>0</v>
      </c>
      <c r="HR1702" s="20">
        <v>0</v>
      </c>
      <c r="HS1702" s="20">
        <v>0</v>
      </c>
      <c r="HT1702" s="20">
        <v>0</v>
      </c>
      <c r="HU1702" s="20">
        <v>0</v>
      </c>
      <c r="HV1702" s="20">
        <v>0</v>
      </c>
      <c r="HW1702" s="20">
        <v>0</v>
      </c>
      <c r="HX1702" s="20">
        <v>0</v>
      </c>
      <c r="HY1702" s="20">
        <v>0</v>
      </c>
      <c r="HZ1702" s="20">
        <v>0</v>
      </c>
      <c r="IA1702" s="20">
        <v>0</v>
      </c>
      <c r="IB1702" s="20">
        <v>0</v>
      </c>
      <c r="IC1702" s="20">
        <v>0</v>
      </c>
    </row>
    <row r="1703">
      <c r="A1703" s="2" t="s">
        <v>6331</v>
      </c>
      <c r="B1703" s="2" t="s">
        <v>1139</v>
      </c>
      <c r="C1703" s="2" t="s">
        <v>678</v>
      </c>
      <c r="D1703" s="2" t="s">
        <v>1152</v>
      </c>
      <c r="E1703" s="2" t="s">
        <v>1153</v>
      </c>
      <c r="F1703" s="2" t="s">
        <v>6318</v>
      </c>
      <c r="G1703" s="2" t="s">
        <v>6318</v>
      </c>
      <c r="H1703" s="2" t="s">
        <v>6318</v>
      </c>
      <c r="I1703" s="2" t="s">
        <v>6332</v>
      </c>
      <c r="J1703" s="2" t="s">
        <v>6333</v>
      </c>
      <c r="K1703" s="2" t="s">
        <v>316</v>
      </c>
      <c r="L1703" s="3">
        <v>17.5</v>
      </c>
      <c r="M1703" s="3">
        <v>18.38</v>
      </c>
      <c r="N1703" s="3">
        <v>34.99</v>
      </c>
      <c r="O1703" s="2" t="s">
        <v>407</v>
      </c>
      <c r="P1703" s="2" t="s">
        <v>408</v>
      </c>
      <c r="Q1703" s="2" t="s">
        <v>234</v>
      </c>
      <c r="R1703" s="2" t="s">
        <v>235</v>
      </c>
      <c r="S1703" s="2" t="s">
        <v>6330</v>
      </c>
      <c r="T1703" s="2" t="s">
        <v>263</v>
      </c>
      <c r="U1703" s="2" t="s">
        <v>807</v>
      </c>
      <c r="V1703" s="2" t="s">
        <v>238</v>
      </c>
      <c r="W1703" s="2" t="s">
        <v>1157</v>
      </c>
      <c r="X1703" s="2" t="s">
        <v>235</v>
      </c>
      <c r="Y1703" s="2" t="s">
        <v>6334</v>
      </c>
      <c r="Z1703" s="4"/>
      <c r="AA1703" s="4">
        <f>=ROUNDDOWN({0},0)</f>
      </c>
      <c r="AB1703" s="5">
        <v>8</v>
      </c>
      <c r="AC1703" s="2" t="s">
        <v>235</v>
      </c>
      <c r="AD1703" s="4"/>
      <c r="AE1703" s="4"/>
      <c r="AF1703" s="6">
        <v>75</v>
      </c>
      <c r="AG1703" s="6"/>
      <c r="AH1703" s="7">
        <v>0.8387</v>
      </c>
      <c r="AI1703" s="4"/>
      <c r="AJ1703" s="4">
        <f>=ROUNDDOWN({0},0)</f>
      </c>
      <c r="AK1703" s="5"/>
      <c r="AL1703" s="2" t="s">
        <v>235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235</v>
      </c>
      <c r="AW1703" s="8" t="s">
        <v>235</v>
      </c>
      <c r="AX1703" s="4" t="s">
        <v>235</v>
      </c>
      <c r="AY1703" s="8" t="s">
        <v>235</v>
      </c>
      <c r="AZ1703" s="7" t="s">
        <v>235</v>
      </c>
      <c r="BA1703" s="7" t="s">
        <v>235</v>
      </c>
      <c r="BB1703" s="7"/>
      <c r="BC1703" s="4" t="s">
        <v>235</v>
      </c>
      <c r="BD1703" s="8" t="s">
        <v>235</v>
      </c>
      <c r="BE1703" s="4" t="s">
        <v>235</v>
      </c>
      <c r="BF1703" s="8" t="s">
        <v>235</v>
      </c>
      <c r="BG1703" s="7" t="s">
        <v>235</v>
      </c>
      <c r="BH1703" s="7" t="s">
        <v>235</v>
      </c>
      <c r="BI1703" s="7"/>
      <c r="BJ1703" s="4">
        <v>33</v>
      </c>
      <c r="BK1703" s="8">
        <v>690.54</v>
      </c>
      <c r="BL1703" s="2" t="s">
        <v>6335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6336</v>
      </c>
      <c r="BV1703" s="2" t="s">
        <v>618</v>
      </c>
      <c r="BW1703" s="2" t="s">
        <v>235</v>
      </c>
      <c r="BX1703" s="2" t="s">
        <v>414</v>
      </c>
      <c r="BY1703" s="2" t="s">
        <v>245</v>
      </c>
      <c r="BZ1703" s="2" t="s">
        <v>232</v>
      </c>
      <c r="CA1703" s="2" t="s">
        <v>6337</v>
      </c>
      <c r="CB1703" s="2" t="s">
        <v>4750</v>
      </c>
      <c r="CC1703" s="2" t="s">
        <v>248</v>
      </c>
      <c r="CD1703" s="2" t="s">
        <v>248</v>
      </c>
      <c r="CE1703" s="2" t="s">
        <v>235</v>
      </c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>
        <v>127</v>
      </c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19">
        <v>3.3</v>
      </c>
      <c r="HE1703" s="20">
        <v>0</v>
      </c>
      <c r="HF1703" s="20">
        <v>0</v>
      </c>
      <c r="HG1703" s="20">
        <v>0</v>
      </c>
      <c r="HH1703" s="20">
        <v>0</v>
      </c>
      <c r="HI1703" s="20">
        <v>0</v>
      </c>
      <c r="HJ1703" s="20">
        <v>0</v>
      </c>
      <c r="HK1703" s="20">
        <v>0</v>
      </c>
      <c r="HL1703" s="20">
        <v>0</v>
      </c>
      <c r="HM1703" s="20">
        <v>0</v>
      </c>
      <c r="HN1703" s="20">
        <v>0</v>
      </c>
      <c r="HO1703" s="20">
        <v>0</v>
      </c>
      <c r="HP1703" s="20">
        <v>0</v>
      </c>
      <c r="HQ1703" s="20">
        <v>0</v>
      </c>
      <c r="HR1703" s="20">
        <v>0</v>
      </c>
      <c r="HS1703" s="20">
        <v>0</v>
      </c>
      <c r="HT1703" s="20">
        <v>0</v>
      </c>
      <c r="HU1703" s="20">
        <v>0</v>
      </c>
      <c r="HV1703" s="20">
        <v>0</v>
      </c>
      <c r="HW1703" s="20">
        <v>0</v>
      </c>
      <c r="HX1703" s="20">
        <v>0</v>
      </c>
      <c r="HY1703" s="20">
        <v>0</v>
      </c>
      <c r="HZ1703" s="20">
        <v>0</v>
      </c>
      <c r="IA1703" s="20">
        <v>0</v>
      </c>
      <c r="IB1703" s="20">
        <v>0</v>
      </c>
      <c r="IC1703" s="20">
        <v>0</v>
      </c>
    </row>
    <row r="1704">
      <c r="A1704" s="2" t="s">
        <v>6338</v>
      </c>
      <c r="B1704" s="2" t="s">
        <v>1139</v>
      </c>
      <c r="C1704" s="2" t="s">
        <v>678</v>
      </c>
      <c r="D1704" s="2" t="s">
        <v>1152</v>
      </c>
      <c r="E1704" s="2" t="s">
        <v>1153</v>
      </c>
      <c r="F1704" s="2" t="s">
        <v>6318</v>
      </c>
      <c r="G1704" s="2" t="s">
        <v>6318</v>
      </c>
      <c r="H1704" s="2" t="s">
        <v>6318</v>
      </c>
      <c r="I1704" s="2" t="s">
        <v>6332</v>
      </c>
      <c r="J1704" s="2" t="s">
        <v>6339</v>
      </c>
      <c r="K1704" s="2" t="s">
        <v>316</v>
      </c>
      <c r="L1704" s="3">
        <v>21.5</v>
      </c>
      <c r="M1704" s="3">
        <v>22.58</v>
      </c>
      <c r="N1704" s="3">
        <v>44.99</v>
      </c>
      <c r="O1704" s="2" t="s">
        <v>407</v>
      </c>
      <c r="P1704" s="2" t="s">
        <v>408</v>
      </c>
      <c r="Q1704" s="2" t="s">
        <v>234</v>
      </c>
      <c r="R1704" s="2" t="s">
        <v>235</v>
      </c>
      <c r="S1704" s="2" t="s">
        <v>6330</v>
      </c>
      <c r="T1704" s="2" t="s">
        <v>263</v>
      </c>
      <c r="U1704" s="2" t="s">
        <v>807</v>
      </c>
      <c r="V1704" s="2" t="s">
        <v>238</v>
      </c>
      <c r="W1704" s="2" t="s">
        <v>1157</v>
      </c>
      <c r="X1704" s="2" t="s">
        <v>235</v>
      </c>
      <c r="Y1704" s="2" t="s">
        <v>6334</v>
      </c>
      <c r="Z1704" s="4"/>
      <c r="AA1704" s="4">
        <f>=ROUNDDOWN({0},0)</f>
      </c>
      <c r="AB1704" s="5">
        <v>7</v>
      </c>
      <c r="AC1704" s="2" t="s">
        <v>235</v>
      </c>
      <c r="AD1704" s="4"/>
      <c r="AE1704" s="4"/>
      <c r="AF1704" s="6">
        <v>75</v>
      </c>
      <c r="AG1704" s="6"/>
      <c r="AH1704" s="7">
        <v>0.8387</v>
      </c>
      <c r="AI1704" s="4"/>
      <c r="AJ1704" s="4">
        <f>=ROUNDDOWN({0},0)</f>
      </c>
      <c r="AK1704" s="5"/>
      <c r="AL1704" s="2" t="s">
        <v>235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235</v>
      </c>
      <c r="AW1704" s="8" t="s">
        <v>235</v>
      </c>
      <c r="AX1704" s="4" t="s">
        <v>235</v>
      </c>
      <c r="AY1704" s="8" t="s">
        <v>235</v>
      </c>
      <c r="AZ1704" s="7" t="s">
        <v>235</v>
      </c>
      <c r="BA1704" s="7" t="s">
        <v>235</v>
      </c>
      <c r="BB1704" s="7"/>
      <c r="BC1704" s="4" t="s">
        <v>235</v>
      </c>
      <c r="BD1704" s="8" t="s">
        <v>235</v>
      </c>
      <c r="BE1704" s="4" t="s">
        <v>235</v>
      </c>
      <c r="BF1704" s="8" t="s">
        <v>235</v>
      </c>
      <c r="BG1704" s="7" t="s">
        <v>235</v>
      </c>
      <c r="BH1704" s="7" t="s">
        <v>235</v>
      </c>
      <c r="BI1704" s="7"/>
      <c r="BJ1704" s="4">
        <v>41</v>
      </c>
      <c r="BK1704" s="8">
        <v>985.55</v>
      </c>
      <c r="BL1704" s="2" t="s">
        <v>6335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6336</v>
      </c>
      <c r="BV1704" s="2" t="s">
        <v>618</v>
      </c>
      <c r="BW1704" s="2" t="s">
        <v>235</v>
      </c>
      <c r="BX1704" s="2" t="s">
        <v>414</v>
      </c>
      <c r="BY1704" s="2" t="s">
        <v>245</v>
      </c>
      <c r="BZ1704" s="2" t="s">
        <v>232</v>
      </c>
      <c r="CA1704" s="2" t="s">
        <v>6337</v>
      </c>
      <c r="CB1704" s="2" t="s">
        <v>6340</v>
      </c>
      <c r="CC1704" s="2" t="s">
        <v>248</v>
      </c>
      <c r="CD1704" s="2" t="s">
        <v>248</v>
      </c>
      <c r="CE1704" s="2" t="s">
        <v>235</v>
      </c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>
        <v>148</v>
      </c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19">
        <v>3.4</v>
      </c>
      <c r="HE1704" s="20">
        <v>0</v>
      </c>
      <c r="HF1704" s="20">
        <v>0</v>
      </c>
      <c r="HG1704" s="20">
        <v>0</v>
      </c>
      <c r="HH1704" s="20">
        <v>0</v>
      </c>
      <c r="HI1704" s="20">
        <v>0</v>
      </c>
      <c r="HJ1704" s="20">
        <v>0</v>
      </c>
      <c r="HK1704" s="20">
        <v>0</v>
      </c>
      <c r="HL1704" s="20">
        <v>0</v>
      </c>
      <c r="HM1704" s="20">
        <v>0</v>
      </c>
      <c r="HN1704" s="20">
        <v>0</v>
      </c>
      <c r="HO1704" s="20">
        <v>0</v>
      </c>
      <c r="HP1704" s="20">
        <v>0</v>
      </c>
      <c r="HQ1704" s="20">
        <v>0</v>
      </c>
      <c r="HR1704" s="20">
        <v>0</v>
      </c>
      <c r="HS1704" s="20">
        <v>0</v>
      </c>
      <c r="HT1704" s="20">
        <v>0</v>
      </c>
      <c r="HU1704" s="20">
        <v>0</v>
      </c>
      <c r="HV1704" s="20">
        <v>0</v>
      </c>
      <c r="HW1704" s="20">
        <v>0</v>
      </c>
      <c r="HX1704" s="20">
        <v>0</v>
      </c>
      <c r="HY1704" s="20">
        <v>0</v>
      </c>
      <c r="HZ1704" s="20">
        <v>0</v>
      </c>
      <c r="IA1704" s="20">
        <v>0</v>
      </c>
      <c r="IB1704" s="20">
        <v>0</v>
      </c>
      <c r="IC1704" s="20">
        <v>0</v>
      </c>
    </row>
    <row r="1705">
      <c r="A1705" s="2" t="s">
        <v>6341</v>
      </c>
      <c r="B1705" s="2" t="s">
        <v>905</v>
      </c>
      <c r="C1705" s="2" t="s">
        <v>2746</v>
      </c>
      <c r="D1705" s="2" t="s">
        <v>1177</v>
      </c>
      <c r="E1705" s="2" t="s">
        <v>2747</v>
      </c>
      <c r="F1705" s="2" t="s">
        <v>6342</v>
      </c>
      <c r="G1705" s="2" t="s">
        <v>6342</v>
      </c>
      <c r="H1705" s="2" t="s">
        <v>6342</v>
      </c>
      <c r="I1705" s="2" t="s">
        <v>982</v>
      </c>
      <c r="J1705" s="2" t="s">
        <v>250</v>
      </c>
      <c r="K1705" s="2" t="s">
        <v>4164</v>
      </c>
      <c r="L1705" s="3">
        <v>55.93</v>
      </c>
      <c r="M1705" s="3">
        <v>58.73</v>
      </c>
      <c r="N1705" s="3">
        <v>124.99</v>
      </c>
      <c r="O1705" s="2" t="s">
        <v>232</v>
      </c>
      <c r="P1705" s="2" t="s">
        <v>233</v>
      </c>
      <c r="Q1705" s="2" t="s">
        <v>234</v>
      </c>
      <c r="R1705" s="2" t="s">
        <v>235</v>
      </c>
      <c r="S1705" s="2" t="s">
        <v>235</v>
      </c>
      <c r="T1705" s="2" t="s">
        <v>2295</v>
      </c>
      <c r="U1705" s="2" t="s">
        <v>807</v>
      </c>
      <c r="V1705" s="2" t="s">
        <v>238</v>
      </c>
      <c r="W1705" s="2" t="s">
        <v>239</v>
      </c>
      <c r="X1705" s="2" t="s">
        <v>235</v>
      </c>
      <c r="Y1705" s="2" t="s">
        <v>4142</v>
      </c>
      <c r="Z1705" s="4">
        <v>64</v>
      </c>
      <c r="AA1705" s="4">
        <f>=ROUNDDOWN(3.44086021505376,0)</f>
      </c>
      <c r="AB1705" s="5">
        <v>18.6</v>
      </c>
      <c r="AC1705" s="2" t="s">
        <v>883</v>
      </c>
      <c r="AD1705" s="4">
        <v>300</v>
      </c>
      <c r="AE1705" s="4">
        <v>570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235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235</v>
      </c>
      <c r="AW1705" s="8" t="s">
        <v>235</v>
      </c>
      <c r="AX1705" s="4" t="s">
        <v>235</v>
      </c>
      <c r="AY1705" s="8" t="s">
        <v>235</v>
      </c>
      <c r="AZ1705" s="7" t="s">
        <v>235</v>
      </c>
      <c r="BA1705" s="7" t="s">
        <v>235</v>
      </c>
      <c r="BB1705" s="7"/>
      <c r="BC1705" s="4" t="s">
        <v>235</v>
      </c>
      <c r="BD1705" s="8" t="s">
        <v>235</v>
      </c>
      <c r="BE1705" s="4" t="s">
        <v>235</v>
      </c>
      <c r="BF1705" s="8" t="s">
        <v>235</v>
      </c>
      <c r="BG1705" s="7" t="s">
        <v>235</v>
      </c>
      <c r="BH1705" s="7" t="s">
        <v>235</v>
      </c>
      <c r="BI1705" s="7"/>
      <c r="BJ1705" s="4">
        <v>11</v>
      </c>
      <c r="BK1705" s="8">
        <v>684.6</v>
      </c>
      <c r="BL1705" s="2" t="s">
        <v>6035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6343</v>
      </c>
      <c r="BV1705" s="2" t="s">
        <v>243</v>
      </c>
      <c r="BW1705" s="2" t="s">
        <v>235</v>
      </c>
      <c r="BX1705" s="2" t="s">
        <v>383</v>
      </c>
      <c r="BY1705" s="2" t="s">
        <v>245</v>
      </c>
      <c r="BZ1705" s="2" t="s">
        <v>232</v>
      </c>
      <c r="CA1705" s="2" t="s">
        <v>4146</v>
      </c>
      <c r="CB1705" s="2" t="s">
        <v>6344</v>
      </c>
      <c r="CC1705" s="2" t="s">
        <v>248</v>
      </c>
      <c r="CD1705" s="2" t="s">
        <v>248</v>
      </c>
      <c r="CE1705" s="2" t="s">
        <v>235</v>
      </c>
      <c r="CF1705" s="4">
        <v>61</v>
      </c>
      <c r="CG1705" s="4">
        <v>3</v>
      </c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>
        <v>300</v>
      </c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>
        <v>270</v>
      </c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>
        <v>64</v>
      </c>
      <c r="GE1705" s="4">
        <v>358</v>
      </c>
      <c r="GF1705" s="4">
        <v>352</v>
      </c>
      <c r="GG1705" s="4">
        <v>346</v>
      </c>
      <c r="GH1705" s="4">
        <v>340</v>
      </c>
      <c r="GI1705" s="4">
        <v>328</v>
      </c>
      <c r="GJ1705" s="4">
        <v>316</v>
      </c>
      <c r="GK1705" s="4">
        <v>574</v>
      </c>
      <c r="GL1705" s="4">
        <v>562</v>
      </c>
      <c r="GM1705" s="4">
        <v>555</v>
      </c>
      <c r="GN1705" s="4">
        <v>548</v>
      </c>
      <c r="GO1705" s="4">
        <v>529</v>
      </c>
      <c r="GP1705" s="4">
        <v>501</v>
      </c>
      <c r="GQ1705" s="4">
        <v>477</v>
      </c>
      <c r="GR1705" s="4">
        <v>401</v>
      </c>
      <c r="GS1705" s="4">
        <v>333</v>
      </c>
      <c r="GT1705" s="4">
        <v>293</v>
      </c>
      <c r="GU1705" s="4">
        <v>274</v>
      </c>
      <c r="GV1705" s="4">
        <v>260</v>
      </c>
      <c r="GW1705" s="4">
        <v>246</v>
      </c>
      <c r="GX1705" s="4">
        <v>232</v>
      </c>
      <c r="GY1705" s="4">
        <v>218</v>
      </c>
      <c r="GZ1705" s="4">
        <v>208</v>
      </c>
      <c r="HA1705" s="4">
        <v>198</v>
      </c>
      <c r="HB1705" s="4">
        <v>188</v>
      </c>
      <c r="HC1705" s="4">
        <v>178</v>
      </c>
      <c r="HD1705" s="19">
        <v>10.7</v>
      </c>
      <c r="HE1705" s="19">
        <v>44.8</v>
      </c>
      <c r="HF1705" s="19">
        <v>39.1</v>
      </c>
      <c r="HG1705" s="19">
        <v>34.6</v>
      </c>
      <c r="HH1705" s="19">
        <v>28.3</v>
      </c>
      <c r="HI1705" s="19">
        <v>29.8</v>
      </c>
      <c r="HJ1705" s="19">
        <v>31.6</v>
      </c>
      <c r="HK1705" s="19">
        <v>52.2</v>
      </c>
      <c r="HL1705" s="19">
        <v>37.5</v>
      </c>
      <c r="HM1705" s="19">
        <v>27.8</v>
      </c>
      <c r="HN1705" s="19">
        <v>14.8</v>
      </c>
      <c r="HO1705" s="19">
        <v>10.8</v>
      </c>
      <c r="HP1705" s="19">
        <v>9.6</v>
      </c>
      <c r="HQ1705" s="19">
        <v>9.4</v>
      </c>
      <c r="HR1705" s="19">
        <v>11.5</v>
      </c>
      <c r="HS1705" s="19">
        <v>15.1</v>
      </c>
      <c r="HT1705" s="19">
        <v>19.5</v>
      </c>
      <c r="HU1705" s="19">
        <v>19.6</v>
      </c>
      <c r="HV1705" s="19">
        <v>20</v>
      </c>
      <c r="HW1705" s="19">
        <v>20.5</v>
      </c>
      <c r="HX1705" s="19">
        <v>21.1</v>
      </c>
      <c r="HY1705" s="19">
        <v>21.8</v>
      </c>
      <c r="HZ1705" s="19">
        <v>26</v>
      </c>
      <c r="IA1705" s="19">
        <v>28.3</v>
      </c>
      <c r="IB1705" s="19">
        <v>31.3</v>
      </c>
      <c r="IC1705" s="19">
        <v>44.5</v>
      </c>
    </row>
    <row r="1706">
      <c r="A1706" s="2" t="s">
        <v>6345</v>
      </c>
      <c r="B1706" s="2" t="s">
        <v>905</v>
      </c>
      <c r="C1706" s="2" t="s">
        <v>2746</v>
      </c>
      <c r="D1706" s="2" t="s">
        <v>1177</v>
      </c>
      <c r="E1706" s="2" t="s">
        <v>2747</v>
      </c>
      <c r="F1706" s="2" t="s">
        <v>6342</v>
      </c>
      <c r="G1706" s="2" t="s">
        <v>6342</v>
      </c>
      <c r="H1706" s="2" t="s">
        <v>6342</v>
      </c>
      <c r="I1706" s="2" t="s">
        <v>982</v>
      </c>
      <c r="J1706" s="2" t="s">
        <v>261</v>
      </c>
      <c r="K1706" s="2" t="s">
        <v>4164</v>
      </c>
      <c r="L1706" s="3">
        <v>81.18</v>
      </c>
      <c r="M1706" s="3">
        <v>85.24</v>
      </c>
      <c r="N1706" s="3">
        <v>164.99</v>
      </c>
      <c r="O1706" s="2" t="s">
        <v>232</v>
      </c>
      <c r="P1706" s="2" t="s">
        <v>233</v>
      </c>
      <c r="Q1706" s="2" t="s">
        <v>234</v>
      </c>
      <c r="R1706" s="2" t="s">
        <v>235</v>
      </c>
      <c r="S1706" s="2" t="s">
        <v>235</v>
      </c>
      <c r="T1706" s="2" t="s">
        <v>2295</v>
      </c>
      <c r="U1706" s="2" t="s">
        <v>807</v>
      </c>
      <c r="V1706" s="2" t="s">
        <v>238</v>
      </c>
      <c r="W1706" s="2" t="s">
        <v>239</v>
      </c>
      <c r="X1706" s="2" t="s">
        <v>235</v>
      </c>
      <c r="Y1706" s="2" t="s">
        <v>4142</v>
      </c>
      <c r="Z1706" s="4">
        <v>270</v>
      </c>
      <c r="AA1706" s="4">
        <f>=ROUNDDOWN(27.2727272727273,0)</f>
      </c>
      <c r="AB1706" s="5">
        <v>9.9</v>
      </c>
      <c r="AC1706" s="2" t="s">
        <v>167</v>
      </c>
      <c r="AD1706" s="4">
        <v>320</v>
      </c>
      <c r="AE1706" s="4">
        <v>320</v>
      </c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235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235</v>
      </c>
      <c r="AW1706" s="8" t="s">
        <v>235</v>
      </c>
      <c r="AX1706" s="4" t="s">
        <v>235</v>
      </c>
      <c r="AY1706" s="8" t="s">
        <v>235</v>
      </c>
      <c r="AZ1706" s="7" t="s">
        <v>235</v>
      </c>
      <c r="BA1706" s="7" t="s">
        <v>235</v>
      </c>
      <c r="BB1706" s="7"/>
      <c r="BC1706" s="4" t="s">
        <v>235</v>
      </c>
      <c r="BD1706" s="8" t="s">
        <v>235</v>
      </c>
      <c r="BE1706" s="4" t="s">
        <v>235</v>
      </c>
      <c r="BF1706" s="8" t="s">
        <v>235</v>
      </c>
      <c r="BG1706" s="7" t="s">
        <v>235</v>
      </c>
      <c r="BH1706" s="7" t="s">
        <v>235</v>
      </c>
      <c r="BI1706" s="7"/>
      <c r="BJ1706" s="4">
        <v>7</v>
      </c>
      <c r="BK1706" s="8">
        <v>654.06</v>
      </c>
      <c r="BL1706" s="2" t="s">
        <v>773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6343</v>
      </c>
      <c r="BV1706" s="2" t="s">
        <v>243</v>
      </c>
      <c r="BW1706" s="2" t="s">
        <v>235</v>
      </c>
      <c r="BX1706" s="2" t="s">
        <v>383</v>
      </c>
      <c r="BY1706" s="2" t="s">
        <v>245</v>
      </c>
      <c r="BZ1706" s="2" t="s">
        <v>232</v>
      </c>
      <c r="CA1706" s="2" t="s">
        <v>4146</v>
      </c>
      <c r="CB1706" s="2" t="s">
        <v>4151</v>
      </c>
      <c r="CC1706" s="2" t="s">
        <v>248</v>
      </c>
      <c r="CD1706" s="2" t="s">
        <v>248</v>
      </c>
      <c r="CE1706" s="2" t="s">
        <v>235</v>
      </c>
      <c r="CF1706" s="4">
        <v>232</v>
      </c>
      <c r="CG1706" s="4">
        <v>38</v>
      </c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>
        <v>320</v>
      </c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>
        <v>270</v>
      </c>
      <c r="GE1706" s="4">
        <v>266</v>
      </c>
      <c r="GF1706" s="4">
        <v>262</v>
      </c>
      <c r="GG1706" s="4">
        <v>258</v>
      </c>
      <c r="GH1706" s="4">
        <v>254</v>
      </c>
      <c r="GI1706" s="4">
        <v>241</v>
      </c>
      <c r="GJ1706" s="4">
        <v>228</v>
      </c>
      <c r="GK1706" s="4">
        <v>535</v>
      </c>
      <c r="GL1706" s="4">
        <v>522</v>
      </c>
      <c r="GM1706" s="4">
        <v>513</v>
      </c>
      <c r="GN1706" s="4">
        <v>504</v>
      </c>
      <c r="GO1706" s="4">
        <v>486</v>
      </c>
      <c r="GP1706" s="4">
        <v>459</v>
      </c>
      <c r="GQ1706" s="4">
        <v>434</v>
      </c>
      <c r="GR1706" s="4">
        <v>362</v>
      </c>
      <c r="GS1706" s="4">
        <v>306</v>
      </c>
      <c r="GT1706" s="4">
        <v>277</v>
      </c>
      <c r="GU1706" s="4">
        <v>256</v>
      </c>
      <c r="GV1706" s="4">
        <v>243</v>
      </c>
      <c r="GW1706" s="4">
        <v>230</v>
      </c>
      <c r="GX1706" s="4">
        <v>217</v>
      </c>
      <c r="GY1706" s="4">
        <v>204</v>
      </c>
      <c r="GZ1706" s="4">
        <v>200</v>
      </c>
      <c r="HA1706" s="4">
        <v>196</v>
      </c>
      <c r="HB1706" s="4">
        <v>192</v>
      </c>
      <c r="HC1706" s="4">
        <v>188</v>
      </c>
      <c r="HD1706" s="19">
        <v>67.5</v>
      </c>
      <c r="HE1706" s="19">
        <v>44.3</v>
      </c>
      <c r="HF1706" s="19">
        <v>32.8</v>
      </c>
      <c r="HG1706" s="19">
        <v>23.5</v>
      </c>
      <c r="HH1706" s="19">
        <v>19.5</v>
      </c>
      <c r="HI1706" s="19">
        <v>20.1</v>
      </c>
      <c r="HJ1706" s="19">
        <v>20.7</v>
      </c>
      <c r="HK1706" s="19">
        <v>44.6</v>
      </c>
      <c r="HL1706" s="19">
        <v>32.6</v>
      </c>
      <c r="HM1706" s="19">
        <v>25.7</v>
      </c>
      <c r="HN1706" s="19">
        <v>14</v>
      </c>
      <c r="HO1706" s="19">
        <v>10.8</v>
      </c>
      <c r="HP1706" s="19">
        <v>10</v>
      </c>
      <c r="HQ1706" s="19">
        <v>9.9</v>
      </c>
      <c r="HR1706" s="19">
        <v>12.1</v>
      </c>
      <c r="HS1706" s="19">
        <v>16.1</v>
      </c>
      <c r="HT1706" s="19">
        <v>18.5</v>
      </c>
      <c r="HU1706" s="19">
        <v>19.7</v>
      </c>
      <c r="HV1706" s="19">
        <v>22.1</v>
      </c>
      <c r="HW1706" s="19">
        <v>28.8</v>
      </c>
      <c r="HX1706" s="19">
        <v>36.2</v>
      </c>
      <c r="HY1706" s="19">
        <v>51</v>
      </c>
      <c r="HZ1706" s="19">
        <v>50</v>
      </c>
      <c r="IA1706" s="19">
        <v>65.3</v>
      </c>
      <c r="IB1706" s="19">
        <v>96</v>
      </c>
      <c r="IC1706" s="19">
        <v>94</v>
      </c>
    </row>
    <row r="1707">
      <c r="A1707" s="2" t="s">
        <v>6346</v>
      </c>
      <c r="B1707" s="2" t="s">
        <v>905</v>
      </c>
      <c r="C1707" s="2" t="s">
        <v>2746</v>
      </c>
      <c r="D1707" s="2" t="s">
        <v>1177</v>
      </c>
      <c r="E1707" s="2" t="s">
        <v>2747</v>
      </c>
      <c r="F1707" s="2" t="s">
        <v>6342</v>
      </c>
      <c r="G1707" s="2" t="s">
        <v>6342</v>
      </c>
      <c r="H1707" s="2" t="s">
        <v>6342</v>
      </c>
      <c r="I1707" s="2" t="s">
        <v>982</v>
      </c>
      <c r="J1707" s="2" t="s">
        <v>270</v>
      </c>
      <c r="K1707" s="2" t="s">
        <v>4164</v>
      </c>
      <c r="L1707" s="3">
        <v>87.44</v>
      </c>
      <c r="M1707" s="3">
        <v>91.81</v>
      </c>
      <c r="N1707" s="3">
        <v>184.99</v>
      </c>
      <c r="O1707" s="2" t="s">
        <v>232</v>
      </c>
      <c r="P1707" s="2" t="s">
        <v>233</v>
      </c>
      <c r="Q1707" s="2" t="s">
        <v>234</v>
      </c>
      <c r="R1707" s="2" t="s">
        <v>235</v>
      </c>
      <c r="S1707" s="2" t="s">
        <v>235</v>
      </c>
      <c r="T1707" s="2" t="s">
        <v>2295</v>
      </c>
      <c r="U1707" s="2" t="s">
        <v>807</v>
      </c>
      <c r="V1707" s="2" t="s">
        <v>238</v>
      </c>
      <c r="W1707" s="2" t="s">
        <v>239</v>
      </c>
      <c r="X1707" s="2" t="s">
        <v>235</v>
      </c>
      <c r="Y1707" s="2" t="s">
        <v>4142</v>
      </c>
      <c r="Z1707" s="4">
        <v>301</v>
      </c>
      <c r="AA1707" s="4">
        <f>=ROUNDDOWN(19.5454545454545,0)</f>
      </c>
      <c r="AB1707" s="5">
        <v>15.4</v>
      </c>
      <c r="AC1707" s="2" t="s">
        <v>167</v>
      </c>
      <c r="AD1707" s="4">
        <v>370</v>
      </c>
      <c r="AE1707" s="4">
        <v>370</v>
      </c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235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235</v>
      </c>
      <c r="AW1707" s="8" t="s">
        <v>235</v>
      </c>
      <c r="AX1707" s="4" t="s">
        <v>235</v>
      </c>
      <c r="AY1707" s="8" t="s">
        <v>235</v>
      </c>
      <c r="AZ1707" s="7" t="s">
        <v>235</v>
      </c>
      <c r="BA1707" s="7" t="s">
        <v>235</v>
      </c>
      <c r="BB1707" s="7"/>
      <c r="BC1707" s="4" t="s">
        <v>235</v>
      </c>
      <c r="BD1707" s="8" t="s">
        <v>235</v>
      </c>
      <c r="BE1707" s="4" t="s">
        <v>235</v>
      </c>
      <c r="BF1707" s="8" t="s">
        <v>235</v>
      </c>
      <c r="BG1707" s="7" t="s">
        <v>235</v>
      </c>
      <c r="BH1707" s="7" t="s">
        <v>235</v>
      </c>
      <c r="BI1707" s="7"/>
      <c r="BJ1707" s="4">
        <v>14</v>
      </c>
      <c r="BK1707" s="8">
        <v>1296.09</v>
      </c>
      <c r="BL1707" s="2" t="s">
        <v>4149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6343</v>
      </c>
      <c r="BV1707" s="2" t="s">
        <v>243</v>
      </c>
      <c r="BW1707" s="2" t="s">
        <v>235</v>
      </c>
      <c r="BX1707" s="2" t="s">
        <v>383</v>
      </c>
      <c r="BY1707" s="2" t="s">
        <v>245</v>
      </c>
      <c r="BZ1707" s="2" t="s">
        <v>232</v>
      </c>
      <c r="CA1707" s="2" t="s">
        <v>4146</v>
      </c>
      <c r="CB1707" s="2" t="s">
        <v>951</v>
      </c>
      <c r="CC1707" s="2" t="s">
        <v>248</v>
      </c>
      <c r="CD1707" s="2" t="s">
        <v>248</v>
      </c>
      <c r="CE1707" s="2" t="s">
        <v>235</v>
      </c>
      <c r="CF1707" s="4">
        <v>301</v>
      </c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>
        <v>370</v>
      </c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>
        <v>305</v>
      </c>
      <c r="GE1707" s="4">
        <v>297</v>
      </c>
      <c r="GF1707" s="4">
        <v>292</v>
      </c>
      <c r="GG1707" s="4">
        <v>287</v>
      </c>
      <c r="GH1707" s="4">
        <v>282</v>
      </c>
      <c r="GI1707" s="4">
        <v>266</v>
      </c>
      <c r="GJ1707" s="4">
        <v>250</v>
      </c>
      <c r="GK1707" s="4">
        <v>604</v>
      </c>
      <c r="GL1707" s="4">
        <v>588</v>
      </c>
      <c r="GM1707" s="4">
        <v>575</v>
      </c>
      <c r="GN1707" s="4">
        <v>559</v>
      </c>
      <c r="GO1707" s="4">
        <v>535</v>
      </c>
      <c r="GP1707" s="4">
        <v>505</v>
      </c>
      <c r="GQ1707" s="4">
        <v>479</v>
      </c>
      <c r="GR1707" s="4">
        <v>415</v>
      </c>
      <c r="GS1707" s="4">
        <v>354</v>
      </c>
      <c r="GT1707" s="4">
        <v>316</v>
      </c>
      <c r="GU1707" s="4">
        <v>290</v>
      </c>
      <c r="GV1707" s="4">
        <v>272</v>
      </c>
      <c r="GW1707" s="4">
        <v>254</v>
      </c>
      <c r="GX1707" s="4">
        <v>236</v>
      </c>
      <c r="GY1707" s="4">
        <v>218</v>
      </c>
      <c r="GZ1707" s="4">
        <v>210</v>
      </c>
      <c r="HA1707" s="4">
        <v>202</v>
      </c>
      <c r="HB1707" s="4">
        <v>194</v>
      </c>
      <c r="HC1707" s="4">
        <v>186</v>
      </c>
      <c r="HD1707" s="19">
        <v>50.8</v>
      </c>
      <c r="HE1707" s="19">
        <v>37.1</v>
      </c>
      <c r="HF1707" s="19">
        <v>29.2</v>
      </c>
      <c r="HG1707" s="19">
        <v>22.1</v>
      </c>
      <c r="HH1707" s="19">
        <v>17.6</v>
      </c>
      <c r="HI1707" s="19">
        <v>17.7</v>
      </c>
      <c r="HJ1707" s="19">
        <v>16.7</v>
      </c>
      <c r="HK1707" s="19">
        <v>35.5</v>
      </c>
      <c r="HL1707" s="19">
        <v>28</v>
      </c>
      <c r="HM1707" s="19">
        <v>24</v>
      </c>
      <c r="HN1707" s="19">
        <v>15.5</v>
      </c>
      <c r="HO1707" s="19">
        <v>11.9</v>
      </c>
      <c r="HP1707" s="19">
        <v>10.7</v>
      </c>
      <c r="HQ1707" s="19">
        <v>10.2</v>
      </c>
      <c r="HR1707" s="19">
        <v>11.5</v>
      </c>
      <c r="HS1707" s="19">
        <v>14.2</v>
      </c>
      <c r="HT1707" s="19">
        <v>15.8</v>
      </c>
      <c r="HU1707" s="19">
        <v>16.1</v>
      </c>
      <c r="HV1707" s="19">
        <v>17</v>
      </c>
      <c r="HW1707" s="19">
        <v>19.5</v>
      </c>
      <c r="HX1707" s="19">
        <v>23.6</v>
      </c>
      <c r="HY1707" s="19">
        <v>27.3</v>
      </c>
      <c r="HZ1707" s="19">
        <v>30</v>
      </c>
      <c r="IA1707" s="19">
        <v>33.7</v>
      </c>
      <c r="IB1707" s="19">
        <v>48.5</v>
      </c>
      <c r="IC1707" s="19">
        <v>62</v>
      </c>
    </row>
    <row r="1708">
      <c r="A1708" s="2" t="s">
        <v>6347</v>
      </c>
      <c r="B1708" s="2" t="s">
        <v>905</v>
      </c>
      <c r="C1708" s="2" t="s">
        <v>2746</v>
      </c>
      <c r="D1708" s="2" t="s">
        <v>1177</v>
      </c>
      <c r="E1708" s="2" t="s">
        <v>2747</v>
      </c>
      <c r="F1708" s="2" t="s">
        <v>6342</v>
      </c>
      <c r="G1708" s="2" t="s">
        <v>6342</v>
      </c>
      <c r="H1708" s="2" t="s">
        <v>6342</v>
      </c>
      <c r="I1708" s="2" t="s">
        <v>982</v>
      </c>
      <c r="J1708" s="2" t="s">
        <v>250</v>
      </c>
      <c r="K1708" s="2" t="s">
        <v>295</v>
      </c>
      <c r="L1708" s="3">
        <v>55.93</v>
      </c>
      <c r="M1708" s="3">
        <v>58.73</v>
      </c>
      <c r="N1708" s="3">
        <v>124.99</v>
      </c>
      <c r="O1708" s="2" t="s">
        <v>232</v>
      </c>
      <c r="P1708" s="2" t="s">
        <v>233</v>
      </c>
      <c r="Q1708" s="2" t="s">
        <v>234</v>
      </c>
      <c r="R1708" s="2" t="s">
        <v>235</v>
      </c>
      <c r="S1708" s="2" t="s">
        <v>235</v>
      </c>
      <c r="T1708" s="2" t="s">
        <v>2295</v>
      </c>
      <c r="U1708" s="2" t="s">
        <v>807</v>
      </c>
      <c r="V1708" s="2" t="s">
        <v>238</v>
      </c>
      <c r="W1708" s="2" t="s">
        <v>239</v>
      </c>
      <c r="X1708" s="2" t="s">
        <v>235</v>
      </c>
      <c r="Y1708" s="2" t="s">
        <v>4142</v>
      </c>
      <c r="Z1708" s="4">
        <v>144</v>
      </c>
      <c r="AA1708" s="4">
        <f>=ROUNDDOWN(10.5882352941176,0)</f>
      </c>
      <c r="AB1708" s="5">
        <v>13.6</v>
      </c>
      <c r="AC1708" s="2" t="s">
        <v>167</v>
      </c>
      <c r="AD1708" s="4">
        <v>300</v>
      </c>
      <c r="AE1708" s="4">
        <v>300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235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235</v>
      </c>
      <c r="BD1708" s="8" t="s">
        <v>235</v>
      </c>
      <c r="BE1708" s="4" t="s">
        <v>235</v>
      </c>
      <c r="BF1708" s="8" t="s">
        <v>235</v>
      </c>
      <c r="BG1708" s="7" t="s">
        <v>235</v>
      </c>
      <c r="BH1708" s="7" t="s">
        <v>235</v>
      </c>
      <c r="BI1708" s="7"/>
      <c r="BJ1708" s="4">
        <v>10</v>
      </c>
      <c r="BK1708" s="8">
        <v>622.6</v>
      </c>
      <c r="BL1708" s="2" t="s">
        <v>692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6343</v>
      </c>
      <c r="BV1708" s="2" t="s">
        <v>243</v>
      </c>
      <c r="BW1708" s="2" t="s">
        <v>235</v>
      </c>
      <c r="BX1708" s="2" t="s">
        <v>383</v>
      </c>
      <c r="BY1708" s="2" t="s">
        <v>245</v>
      </c>
      <c r="BZ1708" s="2" t="s">
        <v>232</v>
      </c>
      <c r="CA1708" s="2" t="s">
        <v>4146</v>
      </c>
      <c r="CB1708" s="2" t="s">
        <v>6348</v>
      </c>
      <c r="CC1708" s="2" t="s">
        <v>248</v>
      </c>
      <c r="CD1708" s="2" t="s">
        <v>248</v>
      </c>
      <c r="CE1708" s="2" t="s">
        <v>235</v>
      </c>
      <c r="CF1708" s="4">
        <v>17</v>
      </c>
      <c r="CG1708" s="4">
        <v>127</v>
      </c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>
        <v>300</v>
      </c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>
        <v>146</v>
      </c>
      <c r="GE1708" s="4">
        <v>141</v>
      </c>
      <c r="GF1708" s="4">
        <v>137</v>
      </c>
      <c r="GG1708" s="4">
        <v>133</v>
      </c>
      <c r="GH1708" s="4">
        <v>129</v>
      </c>
      <c r="GI1708" s="4">
        <v>123</v>
      </c>
      <c r="GJ1708" s="4">
        <v>117</v>
      </c>
      <c r="GK1708" s="4">
        <v>411</v>
      </c>
      <c r="GL1708" s="4">
        <v>405</v>
      </c>
      <c r="GM1708" s="4">
        <v>401</v>
      </c>
      <c r="GN1708" s="4">
        <v>397</v>
      </c>
      <c r="GO1708" s="4">
        <v>387</v>
      </c>
      <c r="GP1708" s="4">
        <v>373</v>
      </c>
      <c r="GQ1708" s="4">
        <v>361</v>
      </c>
      <c r="GR1708" s="4">
        <v>323</v>
      </c>
      <c r="GS1708" s="4">
        <v>289</v>
      </c>
      <c r="GT1708" s="4">
        <v>269</v>
      </c>
      <c r="GU1708" s="4">
        <v>259</v>
      </c>
      <c r="GV1708" s="4">
        <v>252</v>
      </c>
      <c r="GW1708" s="4">
        <v>245</v>
      </c>
      <c r="GX1708" s="4">
        <v>238</v>
      </c>
      <c r="GY1708" s="4">
        <v>231</v>
      </c>
      <c r="GZ1708" s="4">
        <v>224</v>
      </c>
      <c r="HA1708" s="4">
        <v>217</v>
      </c>
      <c r="HB1708" s="4">
        <v>210</v>
      </c>
      <c r="HC1708" s="4">
        <v>203</v>
      </c>
      <c r="HD1708" s="19">
        <v>36.5</v>
      </c>
      <c r="HE1708" s="19">
        <v>35.3</v>
      </c>
      <c r="HF1708" s="19">
        <v>27.4</v>
      </c>
      <c r="HG1708" s="19">
        <v>22.2</v>
      </c>
      <c r="HH1708" s="19">
        <v>21.5</v>
      </c>
      <c r="HI1708" s="19">
        <v>20.5</v>
      </c>
      <c r="HJ1708" s="19">
        <v>23.4</v>
      </c>
      <c r="HK1708" s="19">
        <v>68.5</v>
      </c>
      <c r="HL1708" s="19">
        <v>50.6</v>
      </c>
      <c r="HM1708" s="19">
        <v>40.1</v>
      </c>
      <c r="HN1708" s="19">
        <v>22.1</v>
      </c>
      <c r="HO1708" s="19">
        <v>16.1</v>
      </c>
      <c r="HP1708" s="19">
        <v>14.3</v>
      </c>
      <c r="HQ1708" s="19">
        <v>13.9</v>
      </c>
      <c r="HR1708" s="19">
        <v>17.9</v>
      </c>
      <c r="HS1708" s="19">
        <v>26.3</v>
      </c>
      <c r="HT1708" s="19">
        <v>33.6</v>
      </c>
      <c r="HU1708" s="19">
        <v>37</v>
      </c>
      <c r="HV1708" s="19">
        <v>36</v>
      </c>
      <c r="HW1708" s="19">
        <v>35</v>
      </c>
      <c r="HX1708" s="19">
        <v>34</v>
      </c>
      <c r="HY1708" s="19">
        <v>33</v>
      </c>
      <c r="HZ1708" s="19">
        <v>37.3</v>
      </c>
      <c r="IA1708" s="19">
        <v>43.4</v>
      </c>
      <c r="IB1708" s="19">
        <v>52.5</v>
      </c>
      <c r="IC1708" s="19">
        <v>67.7</v>
      </c>
    </row>
    <row r="1709">
      <c r="A1709" s="2" t="s">
        <v>6349</v>
      </c>
      <c r="B1709" s="2" t="s">
        <v>905</v>
      </c>
      <c r="C1709" s="2" t="s">
        <v>2746</v>
      </c>
      <c r="D1709" s="2" t="s">
        <v>1177</v>
      </c>
      <c r="E1709" s="2" t="s">
        <v>2747</v>
      </c>
      <c r="F1709" s="2" t="s">
        <v>6342</v>
      </c>
      <c r="G1709" s="2" t="s">
        <v>6342</v>
      </c>
      <c r="H1709" s="2" t="s">
        <v>6342</v>
      </c>
      <c r="I1709" s="2" t="s">
        <v>982</v>
      </c>
      <c r="J1709" s="2" t="s">
        <v>261</v>
      </c>
      <c r="K1709" s="2" t="s">
        <v>1667</v>
      </c>
      <c r="L1709" s="3">
        <v>81.18</v>
      </c>
      <c r="M1709" s="3">
        <v>85.24</v>
      </c>
      <c r="N1709" s="3">
        <v>174.99</v>
      </c>
      <c r="O1709" s="2" t="s">
        <v>232</v>
      </c>
      <c r="P1709" s="2" t="s">
        <v>233</v>
      </c>
      <c r="Q1709" s="2" t="s">
        <v>234</v>
      </c>
      <c r="R1709" s="2" t="s">
        <v>235</v>
      </c>
      <c r="S1709" s="2" t="s">
        <v>235</v>
      </c>
      <c r="T1709" s="2" t="s">
        <v>2295</v>
      </c>
      <c r="U1709" s="2" t="s">
        <v>807</v>
      </c>
      <c r="V1709" s="2" t="s">
        <v>238</v>
      </c>
      <c r="W1709" s="2" t="s">
        <v>239</v>
      </c>
      <c r="X1709" s="2" t="s">
        <v>235</v>
      </c>
      <c r="Y1709" s="2" t="s">
        <v>6350</v>
      </c>
      <c r="Z1709" s="4"/>
      <c r="AA1709" s="4">
        <f>=ROUNDDOWN({0},0)</f>
      </c>
      <c r="AB1709" s="5">
        <v>16.3</v>
      </c>
      <c r="AC1709" s="2" t="s">
        <v>883</v>
      </c>
      <c r="AD1709" s="4">
        <v>300</v>
      </c>
      <c r="AE1709" s="4">
        <v>460</v>
      </c>
      <c r="AF1709" s="6">
        <v>65</v>
      </c>
      <c r="AG1709" s="6"/>
      <c r="AH1709" s="7">
        <v>0</v>
      </c>
      <c r="AI1709" s="4"/>
      <c r="AJ1709" s="4">
        <f>=ROUNDDOWN({0},0)</f>
      </c>
      <c r="AK1709" s="5"/>
      <c r="AL1709" s="2" t="s">
        <v>235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235</v>
      </c>
      <c r="AW1709" s="8" t="s">
        <v>235</v>
      </c>
      <c r="AX1709" s="4" t="s">
        <v>235</v>
      </c>
      <c r="AY1709" s="8" t="s">
        <v>235</v>
      </c>
      <c r="AZ1709" s="7" t="s">
        <v>235</v>
      </c>
      <c r="BA1709" s="7" t="s">
        <v>235</v>
      </c>
      <c r="BB1709" s="7"/>
      <c r="BC1709" s="4" t="s">
        <v>235</v>
      </c>
      <c r="BD1709" s="8" t="s">
        <v>235</v>
      </c>
      <c r="BE1709" s="4" t="s">
        <v>235</v>
      </c>
      <c r="BF1709" s="8" t="s">
        <v>235</v>
      </c>
      <c r="BG1709" s="7" t="s">
        <v>235</v>
      </c>
      <c r="BH1709" s="7" t="s">
        <v>235</v>
      </c>
      <c r="BI1709" s="7"/>
      <c r="BJ1709" s="4"/>
      <c r="BK1709" s="8"/>
      <c r="BL1709" s="2" t="s">
        <v>692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6343</v>
      </c>
      <c r="BV1709" s="2" t="s">
        <v>243</v>
      </c>
      <c r="BW1709" s="2" t="s">
        <v>235</v>
      </c>
      <c r="BX1709" s="2" t="s">
        <v>383</v>
      </c>
      <c r="BY1709" s="2" t="s">
        <v>245</v>
      </c>
      <c r="BZ1709" s="2" t="s">
        <v>232</v>
      </c>
      <c r="CA1709" s="2" t="s">
        <v>830</v>
      </c>
      <c r="CB1709" s="2" t="s">
        <v>6351</v>
      </c>
      <c r="CC1709" s="2" t="s">
        <v>248</v>
      </c>
      <c r="CD1709" s="2" t="s">
        <v>248</v>
      </c>
      <c r="CE1709" s="2" t="s">
        <v>235</v>
      </c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>
        <v>300</v>
      </c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>
        <v>160</v>
      </c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>
        <v>300</v>
      </c>
      <c r="GF1709" s="4">
        <v>294</v>
      </c>
      <c r="GG1709" s="4">
        <v>288</v>
      </c>
      <c r="GH1709" s="4">
        <v>282</v>
      </c>
      <c r="GI1709" s="4">
        <v>268</v>
      </c>
      <c r="GJ1709" s="4">
        <v>254</v>
      </c>
      <c r="GK1709" s="4">
        <v>400</v>
      </c>
      <c r="GL1709" s="4">
        <v>386</v>
      </c>
      <c r="GM1709" s="4">
        <v>376</v>
      </c>
      <c r="GN1709" s="4">
        <v>366</v>
      </c>
      <c r="GO1709" s="4">
        <v>346</v>
      </c>
      <c r="GP1709" s="4">
        <v>317</v>
      </c>
      <c r="GQ1709" s="4">
        <v>290</v>
      </c>
      <c r="GR1709" s="4">
        <v>213</v>
      </c>
      <c r="GS1709" s="4">
        <v>153</v>
      </c>
      <c r="GT1709" s="4">
        <v>122</v>
      </c>
      <c r="GU1709" s="4">
        <v>100</v>
      </c>
      <c r="GV1709" s="4">
        <v>86</v>
      </c>
      <c r="GW1709" s="4">
        <v>72</v>
      </c>
      <c r="GX1709" s="4">
        <v>58</v>
      </c>
      <c r="GY1709" s="4">
        <v>44</v>
      </c>
      <c r="GZ1709" s="4">
        <v>38</v>
      </c>
      <c r="HA1709" s="4">
        <v>32</v>
      </c>
      <c r="HB1709" s="4">
        <v>26</v>
      </c>
      <c r="HC1709" s="4">
        <v>20</v>
      </c>
      <c r="HD1709" s="20">
        <v>0</v>
      </c>
      <c r="HE1709" s="19">
        <v>37.5</v>
      </c>
      <c r="HF1709" s="19">
        <v>29.4</v>
      </c>
      <c r="HG1709" s="19">
        <v>24</v>
      </c>
      <c r="HH1709" s="19">
        <v>20.1</v>
      </c>
      <c r="HI1709" s="19">
        <v>20.6</v>
      </c>
      <c r="HJ1709" s="19">
        <v>21.2</v>
      </c>
      <c r="HK1709" s="19">
        <v>28.6</v>
      </c>
      <c r="HL1709" s="19">
        <v>22.7</v>
      </c>
      <c r="HM1709" s="19">
        <v>17.1</v>
      </c>
      <c r="HN1709" s="19">
        <v>9.6</v>
      </c>
      <c r="HO1709" s="19">
        <v>7.2</v>
      </c>
      <c r="HP1709" s="19">
        <v>6.5</v>
      </c>
      <c r="HQ1709" s="19">
        <v>6</v>
      </c>
      <c r="HR1709" s="19">
        <v>6.7</v>
      </c>
      <c r="HS1709" s="19">
        <v>7.7</v>
      </c>
      <c r="HT1709" s="19">
        <v>7.6</v>
      </c>
      <c r="HU1709" s="19">
        <v>7.1</v>
      </c>
      <c r="HV1709" s="19">
        <v>7.2</v>
      </c>
      <c r="HW1709" s="19">
        <v>7.2</v>
      </c>
      <c r="HX1709" s="19">
        <v>7.3</v>
      </c>
      <c r="HY1709" s="19">
        <v>7.3</v>
      </c>
      <c r="HZ1709" s="19">
        <v>7.6</v>
      </c>
      <c r="IA1709" s="19">
        <v>8</v>
      </c>
      <c r="IB1709" s="19">
        <v>6.5</v>
      </c>
      <c r="IC1709" s="19">
        <v>6.7</v>
      </c>
    </row>
    <row r="1710">
      <c r="A1710" s="2" t="s">
        <v>6352</v>
      </c>
      <c r="B1710" s="2" t="s">
        <v>905</v>
      </c>
      <c r="C1710" s="2" t="s">
        <v>2746</v>
      </c>
      <c r="D1710" s="2" t="s">
        <v>1177</v>
      </c>
      <c r="E1710" s="2" t="s">
        <v>1178</v>
      </c>
      <c r="F1710" s="2" t="s">
        <v>6342</v>
      </c>
      <c r="G1710" s="2" t="s">
        <v>6342</v>
      </c>
      <c r="H1710" s="2" t="s">
        <v>6342</v>
      </c>
      <c r="I1710" s="2" t="s">
        <v>991</v>
      </c>
      <c r="J1710" s="2" t="s">
        <v>993</v>
      </c>
      <c r="K1710" s="2" t="s">
        <v>1667</v>
      </c>
      <c r="L1710" s="3">
        <v>33.38</v>
      </c>
      <c r="M1710" s="3">
        <v>35.05</v>
      </c>
      <c r="N1710" s="3">
        <v>71.99</v>
      </c>
      <c r="O1710" s="2" t="s">
        <v>407</v>
      </c>
      <c r="P1710" s="2" t="s">
        <v>408</v>
      </c>
      <c r="Q1710" s="2" t="s">
        <v>234</v>
      </c>
      <c r="R1710" s="2" t="s">
        <v>235</v>
      </c>
      <c r="S1710" s="2" t="s">
        <v>235</v>
      </c>
      <c r="T1710" s="2" t="s">
        <v>2295</v>
      </c>
      <c r="U1710" s="2" t="s">
        <v>807</v>
      </c>
      <c r="V1710" s="2" t="s">
        <v>238</v>
      </c>
      <c r="W1710" s="2" t="s">
        <v>239</v>
      </c>
      <c r="X1710" s="2" t="s">
        <v>235</v>
      </c>
      <c r="Y1710" s="2" t="s">
        <v>4175</v>
      </c>
      <c r="Z1710" s="4">
        <v>448</v>
      </c>
      <c r="AA1710" s="4">
        <f>=ROUNDDOWN(77.2413793103448,0)</f>
      </c>
      <c r="AB1710" s="5">
        <v>5.8</v>
      </c>
      <c r="AC1710" s="2" t="s">
        <v>235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235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235</v>
      </c>
      <c r="AW1710" s="8" t="s">
        <v>235</v>
      </c>
      <c r="AX1710" s="4" t="s">
        <v>235</v>
      </c>
      <c r="AY1710" s="8" t="s">
        <v>235</v>
      </c>
      <c r="AZ1710" s="7" t="s">
        <v>235</v>
      </c>
      <c r="BA1710" s="7" t="s">
        <v>235</v>
      </c>
      <c r="BB1710" s="7"/>
      <c r="BC1710" s="4" t="s">
        <v>235</v>
      </c>
      <c r="BD1710" s="8" t="s">
        <v>235</v>
      </c>
      <c r="BE1710" s="4" t="s">
        <v>235</v>
      </c>
      <c r="BF1710" s="8" t="s">
        <v>235</v>
      </c>
      <c r="BG1710" s="7" t="s">
        <v>235</v>
      </c>
      <c r="BH1710" s="7" t="s">
        <v>235</v>
      </c>
      <c r="BI1710" s="7"/>
      <c r="BJ1710" s="4">
        <v>8</v>
      </c>
      <c r="BK1710" s="8">
        <v>291.43</v>
      </c>
      <c r="BL1710" s="2" t="s">
        <v>692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6353</v>
      </c>
      <c r="BV1710" s="2" t="s">
        <v>243</v>
      </c>
      <c r="BW1710" s="2" t="s">
        <v>235</v>
      </c>
      <c r="BX1710" s="2" t="s">
        <v>414</v>
      </c>
      <c r="BY1710" s="2" t="s">
        <v>245</v>
      </c>
      <c r="BZ1710" s="2" t="s">
        <v>232</v>
      </c>
      <c r="CA1710" s="2" t="s">
        <v>830</v>
      </c>
      <c r="CB1710" s="2" t="s">
        <v>6354</v>
      </c>
      <c r="CC1710" s="2" t="s">
        <v>248</v>
      </c>
      <c r="CD1710" s="2" t="s">
        <v>248</v>
      </c>
      <c r="CE1710" s="2" t="s">
        <v>235</v>
      </c>
      <c r="CF1710" s="4">
        <v>448</v>
      </c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>
        <v>452</v>
      </c>
      <c r="GE1710" s="4">
        <v>447</v>
      </c>
      <c r="GF1710" s="4">
        <v>445</v>
      </c>
      <c r="GG1710" s="4">
        <v>443</v>
      </c>
      <c r="GH1710" s="4">
        <v>441</v>
      </c>
      <c r="GI1710" s="4">
        <v>437</v>
      </c>
      <c r="GJ1710" s="4">
        <v>433</v>
      </c>
      <c r="GK1710" s="4">
        <v>429</v>
      </c>
      <c r="GL1710" s="4">
        <v>425</v>
      </c>
      <c r="GM1710" s="4">
        <v>423</v>
      </c>
      <c r="GN1710" s="4">
        <v>421</v>
      </c>
      <c r="GO1710" s="4">
        <v>415</v>
      </c>
      <c r="GP1710" s="4">
        <v>406</v>
      </c>
      <c r="GQ1710" s="4">
        <v>396</v>
      </c>
      <c r="GR1710" s="4">
        <v>368</v>
      </c>
      <c r="GS1710" s="4">
        <v>336</v>
      </c>
      <c r="GT1710" s="4">
        <v>317</v>
      </c>
      <c r="GU1710" s="4">
        <v>303</v>
      </c>
      <c r="GV1710" s="4">
        <v>289</v>
      </c>
      <c r="GW1710" s="4">
        <v>285</v>
      </c>
      <c r="GX1710" s="4">
        <v>281</v>
      </c>
      <c r="GY1710" s="4">
        <v>277</v>
      </c>
      <c r="GZ1710" s="4">
        <v>272</v>
      </c>
      <c r="HA1710" s="4">
        <v>267</v>
      </c>
      <c r="HB1710" s="4">
        <v>262</v>
      </c>
      <c r="HC1710" s="4">
        <v>257</v>
      </c>
      <c r="HD1710" s="19">
        <v>150.7</v>
      </c>
      <c r="HE1710" s="19">
        <v>223.5</v>
      </c>
      <c r="HF1710" s="19">
        <v>148.3</v>
      </c>
      <c r="HG1710" s="19">
        <v>110.8</v>
      </c>
      <c r="HH1710" s="19">
        <v>110.3</v>
      </c>
      <c r="HI1710" s="19">
        <v>109.3</v>
      </c>
      <c r="HJ1710" s="19">
        <v>144.3</v>
      </c>
      <c r="HK1710" s="19">
        <v>107.3</v>
      </c>
      <c r="HL1710" s="19">
        <v>85</v>
      </c>
      <c r="HM1710" s="19">
        <v>60.4</v>
      </c>
      <c r="HN1710" s="19">
        <v>32.4</v>
      </c>
      <c r="HO1710" s="19">
        <v>20.8</v>
      </c>
      <c r="HP1710" s="19">
        <v>18.5</v>
      </c>
      <c r="HQ1710" s="19">
        <v>17.2</v>
      </c>
      <c r="HR1710" s="19">
        <v>18.4</v>
      </c>
      <c r="HS1710" s="19">
        <v>25.8</v>
      </c>
      <c r="HT1710" s="19">
        <v>35.2</v>
      </c>
      <c r="HU1710" s="19">
        <v>50.5</v>
      </c>
      <c r="HV1710" s="19">
        <v>72.3</v>
      </c>
      <c r="HW1710" s="19">
        <v>71.3</v>
      </c>
      <c r="HX1710" s="19">
        <v>56.2</v>
      </c>
      <c r="HY1710" s="19">
        <v>55.4</v>
      </c>
      <c r="HZ1710" s="19">
        <v>68</v>
      </c>
      <c r="IA1710" s="19">
        <v>66.8</v>
      </c>
      <c r="IB1710" s="19">
        <v>65.5</v>
      </c>
      <c r="IC1710" s="19">
        <v>85.7</v>
      </c>
    </row>
    <row r="1711">
      <c r="A1711" s="2" t="s">
        <v>6355</v>
      </c>
      <c r="B1711" s="2" t="s">
        <v>905</v>
      </c>
      <c r="C1711" s="2" t="s">
        <v>2746</v>
      </c>
      <c r="D1711" s="2" t="s">
        <v>1177</v>
      </c>
      <c r="E1711" s="2" t="s">
        <v>2747</v>
      </c>
      <c r="F1711" s="2" t="s">
        <v>6342</v>
      </c>
      <c r="G1711" s="2" t="s">
        <v>6342</v>
      </c>
      <c r="H1711" s="2" t="s">
        <v>6342</v>
      </c>
      <c r="I1711" s="2" t="s">
        <v>982</v>
      </c>
      <c r="J1711" s="2" t="s">
        <v>250</v>
      </c>
      <c r="K1711" s="2" t="s">
        <v>1546</v>
      </c>
      <c r="L1711" s="3">
        <v>55.93</v>
      </c>
      <c r="M1711" s="3">
        <v>58.73</v>
      </c>
      <c r="N1711" s="3">
        <v>124.99</v>
      </c>
      <c r="O1711" s="2" t="s">
        <v>232</v>
      </c>
      <c r="P1711" s="2" t="s">
        <v>233</v>
      </c>
      <c r="Q1711" s="2" t="s">
        <v>234</v>
      </c>
      <c r="R1711" s="2" t="s">
        <v>235</v>
      </c>
      <c r="S1711" s="2" t="s">
        <v>235</v>
      </c>
      <c r="T1711" s="2" t="s">
        <v>2295</v>
      </c>
      <c r="U1711" s="2" t="s">
        <v>807</v>
      </c>
      <c r="V1711" s="2" t="s">
        <v>238</v>
      </c>
      <c r="W1711" s="2" t="s">
        <v>239</v>
      </c>
      <c r="X1711" s="2" t="s">
        <v>235</v>
      </c>
      <c r="Y1711" s="2" t="s">
        <v>6350</v>
      </c>
      <c r="Z1711" s="4">
        <v>4</v>
      </c>
      <c r="AA1711" s="4">
        <f>=ROUNDDOWN(0.952380952380952,0)</f>
      </c>
      <c r="AB1711" s="5">
        <v>4.2</v>
      </c>
      <c r="AC1711" s="2" t="s">
        <v>883</v>
      </c>
      <c r="AD1711" s="4">
        <v>370</v>
      </c>
      <c r="AE1711" s="4">
        <v>370</v>
      </c>
      <c r="AF1711" s="6">
        <v>65</v>
      </c>
      <c r="AG1711" s="6"/>
      <c r="AH1711" s="7">
        <v>0.4516</v>
      </c>
      <c r="AI1711" s="4"/>
      <c r="AJ1711" s="4">
        <f>=ROUNDDOWN({0},0)</f>
      </c>
      <c r="AK1711" s="5"/>
      <c r="AL1711" s="2" t="s">
        <v>235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235</v>
      </c>
      <c r="AW1711" s="8" t="s">
        <v>235</v>
      </c>
      <c r="AX1711" s="4" t="s">
        <v>235</v>
      </c>
      <c r="AY1711" s="8" t="s">
        <v>235</v>
      </c>
      <c r="AZ1711" s="7" t="s">
        <v>235</v>
      </c>
      <c r="BA1711" s="7" t="s">
        <v>235</v>
      </c>
      <c r="BB1711" s="7"/>
      <c r="BC1711" s="4" t="s">
        <v>235</v>
      </c>
      <c r="BD1711" s="8" t="s">
        <v>235</v>
      </c>
      <c r="BE1711" s="4" t="s">
        <v>235</v>
      </c>
      <c r="BF1711" s="8" t="s">
        <v>235</v>
      </c>
      <c r="BG1711" s="7" t="s">
        <v>235</v>
      </c>
      <c r="BH1711" s="7" t="s">
        <v>235</v>
      </c>
      <c r="BI1711" s="7"/>
      <c r="BJ1711" s="4">
        <v>2</v>
      </c>
      <c r="BK1711" s="8">
        <v>125.61</v>
      </c>
      <c r="BL1711" s="2" t="s">
        <v>6356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6343</v>
      </c>
      <c r="BV1711" s="2" t="s">
        <v>243</v>
      </c>
      <c r="BW1711" s="2" t="s">
        <v>235</v>
      </c>
      <c r="BX1711" s="2" t="s">
        <v>383</v>
      </c>
      <c r="BY1711" s="2" t="s">
        <v>245</v>
      </c>
      <c r="BZ1711" s="2" t="s">
        <v>232</v>
      </c>
      <c r="CA1711" s="2" t="s">
        <v>830</v>
      </c>
      <c r="CB1711" s="2" t="s">
        <v>4653</v>
      </c>
      <c r="CC1711" s="2" t="s">
        <v>248</v>
      </c>
      <c r="CD1711" s="2" t="s">
        <v>248</v>
      </c>
      <c r="CE1711" s="2" t="s">
        <v>235</v>
      </c>
      <c r="CF1711" s="4"/>
      <c r="CG1711" s="4">
        <v>4</v>
      </c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>
        <v>370</v>
      </c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>
        <v>5</v>
      </c>
      <c r="GE1711" s="4">
        <v>373</v>
      </c>
      <c r="GF1711" s="4">
        <v>372</v>
      </c>
      <c r="GG1711" s="4">
        <v>371</v>
      </c>
      <c r="GH1711" s="4">
        <v>370</v>
      </c>
      <c r="GI1711" s="4">
        <v>365</v>
      </c>
      <c r="GJ1711" s="4">
        <v>360</v>
      </c>
      <c r="GK1711" s="4">
        <v>355</v>
      </c>
      <c r="GL1711" s="4">
        <v>350</v>
      </c>
      <c r="GM1711" s="4">
        <v>347</v>
      </c>
      <c r="GN1711" s="4">
        <v>344</v>
      </c>
      <c r="GO1711" s="4">
        <v>336</v>
      </c>
      <c r="GP1711" s="4">
        <v>324</v>
      </c>
      <c r="GQ1711" s="4">
        <v>314</v>
      </c>
      <c r="GR1711" s="4">
        <v>282</v>
      </c>
      <c r="GS1711" s="4">
        <v>253</v>
      </c>
      <c r="GT1711" s="4">
        <v>236</v>
      </c>
      <c r="GU1711" s="4">
        <v>228</v>
      </c>
      <c r="GV1711" s="4">
        <v>222</v>
      </c>
      <c r="GW1711" s="4">
        <v>216</v>
      </c>
      <c r="GX1711" s="4">
        <v>210</v>
      </c>
      <c r="GY1711" s="4">
        <v>204</v>
      </c>
      <c r="GZ1711" s="4">
        <v>202</v>
      </c>
      <c r="HA1711" s="4">
        <v>200</v>
      </c>
      <c r="HB1711" s="4">
        <v>198</v>
      </c>
      <c r="HC1711" s="4">
        <v>196</v>
      </c>
      <c r="HD1711" s="19">
        <v>5</v>
      </c>
      <c r="HE1711" s="19">
        <v>186.5</v>
      </c>
      <c r="HF1711" s="19">
        <v>124</v>
      </c>
      <c r="HG1711" s="19">
        <v>92.8</v>
      </c>
      <c r="HH1711" s="19">
        <v>74</v>
      </c>
      <c r="HI1711" s="19">
        <v>91.3</v>
      </c>
      <c r="HJ1711" s="19">
        <v>90</v>
      </c>
      <c r="HK1711" s="19">
        <v>71</v>
      </c>
      <c r="HL1711" s="19">
        <v>58.3</v>
      </c>
      <c r="HM1711" s="19">
        <v>43.4</v>
      </c>
      <c r="HN1711" s="19">
        <v>21.5</v>
      </c>
      <c r="HO1711" s="19">
        <v>16</v>
      </c>
      <c r="HP1711" s="19">
        <v>14.7</v>
      </c>
      <c r="HQ1711" s="19">
        <v>14.3</v>
      </c>
      <c r="HR1711" s="19">
        <v>18.8</v>
      </c>
      <c r="HS1711" s="19">
        <v>28.1</v>
      </c>
      <c r="HT1711" s="19">
        <v>39.3</v>
      </c>
      <c r="HU1711" s="19">
        <v>38</v>
      </c>
      <c r="HV1711" s="19">
        <v>44.4</v>
      </c>
      <c r="HW1711" s="19">
        <v>54</v>
      </c>
      <c r="HX1711" s="19">
        <v>70</v>
      </c>
      <c r="HY1711" s="19">
        <v>102</v>
      </c>
      <c r="HZ1711" s="19">
        <v>101</v>
      </c>
      <c r="IA1711" s="19">
        <v>100</v>
      </c>
      <c r="IB1711" s="19">
        <v>198</v>
      </c>
      <c r="IC1711" s="19">
        <v>196</v>
      </c>
    </row>
    <row r="1712">
      <c r="A1712" s="2" t="s">
        <v>6357</v>
      </c>
      <c r="B1712" s="2" t="s">
        <v>905</v>
      </c>
      <c r="C1712" s="2" t="s">
        <v>2746</v>
      </c>
      <c r="D1712" s="2" t="s">
        <v>1177</v>
      </c>
      <c r="E1712" s="2" t="s">
        <v>2747</v>
      </c>
      <c r="F1712" s="2" t="s">
        <v>6342</v>
      </c>
      <c r="G1712" s="2" t="s">
        <v>6342</v>
      </c>
      <c r="H1712" s="2" t="s">
        <v>6342</v>
      </c>
      <c r="I1712" s="2" t="s">
        <v>982</v>
      </c>
      <c r="J1712" s="2" t="s">
        <v>261</v>
      </c>
      <c r="K1712" s="2" t="s">
        <v>1546</v>
      </c>
      <c r="L1712" s="3">
        <v>81.18</v>
      </c>
      <c r="M1712" s="3">
        <v>85.24</v>
      </c>
      <c r="N1712" s="3">
        <v>164.99</v>
      </c>
      <c r="O1712" s="2" t="s">
        <v>232</v>
      </c>
      <c r="P1712" s="2" t="s">
        <v>233</v>
      </c>
      <c r="Q1712" s="2" t="s">
        <v>234</v>
      </c>
      <c r="R1712" s="2" t="s">
        <v>235</v>
      </c>
      <c r="S1712" s="2" t="s">
        <v>235</v>
      </c>
      <c r="T1712" s="2" t="s">
        <v>2295</v>
      </c>
      <c r="U1712" s="2" t="s">
        <v>807</v>
      </c>
      <c r="V1712" s="2" t="s">
        <v>238</v>
      </c>
      <c r="W1712" s="2" t="s">
        <v>239</v>
      </c>
      <c r="X1712" s="2" t="s">
        <v>235</v>
      </c>
      <c r="Y1712" s="2" t="s">
        <v>6350</v>
      </c>
      <c r="Z1712" s="4">
        <v>1</v>
      </c>
      <c r="AA1712" s="4">
        <f>=ROUNDDOWN(0.0561797752808989,0)</f>
      </c>
      <c r="AB1712" s="5">
        <v>17.8</v>
      </c>
      <c r="AC1712" s="2" t="s">
        <v>883</v>
      </c>
      <c r="AD1712" s="4">
        <v>300</v>
      </c>
      <c r="AE1712" s="4">
        <v>500</v>
      </c>
      <c r="AF1712" s="6">
        <v>65</v>
      </c>
      <c r="AG1712" s="6"/>
      <c r="AH1712" s="7">
        <v>0</v>
      </c>
      <c r="AI1712" s="4"/>
      <c r="AJ1712" s="4">
        <f>=ROUNDDOWN({0},0)</f>
      </c>
      <c r="AK1712" s="5"/>
      <c r="AL1712" s="2" t="s">
        <v>235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235</v>
      </c>
      <c r="AW1712" s="8" t="s">
        <v>235</v>
      </c>
      <c r="AX1712" s="4" t="s">
        <v>235</v>
      </c>
      <c r="AY1712" s="8" t="s">
        <v>235</v>
      </c>
      <c r="AZ1712" s="7" t="s">
        <v>235</v>
      </c>
      <c r="BA1712" s="7" t="s">
        <v>235</v>
      </c>
      <c r="BB1712" s="7"/>
      <c r="BC1712" s="4" t="s">
        <v>235</v>
      </c>
      <c r="BD1712" s="8" t="s">
        <v>235</v>
      </c>
      <c r="BE1712" s="4" t="s">
        <v>235</v>
      </c>
      <c r="BF1712" s="8" t="s">
        <v>235</v>
      </c>
      <c r="BG1712" s="7" t="s">
        <v>235</v>
      </c>
      <c r="BH1712" s="7" t="s">
        <v>235</v>
      </c>
      <c r="BI1712" s="7"/>
      <c r="BJ1712" s="4"/>
      <c r="BK1712" s="8"/>
      <c r="BL1712" s="2" t="s">
        <v>6358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6343</v>
      </c>
      <c r="BV1712" s="2" t="s">
        <v>243</v>
      </c>
      <c r="BW1712" s="2" t="s">
        <v>235</v>
      </c>
      <c r="BX1712" s="2" t="s">
        <v>383</v>
      </c>
      <c r="BY1712" s="2" t="s">
        <v>245</v>
      </c>
      <c r="BZ1712" s="2" t="s">
        <v>232</v>
      </c>
      <c r="CA1712" s="2" t="s">
        <v>830</v>
      </c>
      <c r="CB1712" s="2" t="s">
        <v>3493</v>
      </c>
      <c r="CC1712" s="2" t="s">
        <v>248</v>
      </c>
      <c r="CD1712" s="2" t="s">
        <v>248</v>
      </c>
      <c r="CE1712" s="2" t="s">
        <v>235</v>
      </c>
      <c r="CF1712" s="4">
        <v>1</v>
      </c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>
        <v>300</v>
      </c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>
        <v>200</v>
      </c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>
        <v>1</v>
      </c>
      <c r="GE1712" s="4">
        <v>300</v>
      </c>
      <c r="GF1712" s="4">
        <v>293</v>
      </c>
      <c r="GG1712" s="4">
        <v>286</v>
      </c>
      <c r="GH1712" s="4">
        <v>279</v>
      </c>
      <c r="GI1712" s="4">
        <v>268</v>
      </c>
      <c r="GJ1712" s="4">
        <v>257</v>
      </c>
      <c r="GK1712" s="4">
        <v>446</v>
      </c>
      <c r="GL1712" s="4">
        <v>435</v>
      </c>
      <c r="GM1712" s="4">
        <v>427</v>
      </c>
      <c r="GN1712" s="4">
        <v>419</v>
      </c>
      <c r="GO1712" s="4">
        <v>404</v>
      </c>
      <c r="GP1712" s="4">
        <v>381</v>
      </c>
      <c r="GQ1712" s="4">
        <v>360</v>
      </c>
      <c r="GR1712" s="4">
        <v>299</v>
      </c>
      <c r="GS1712" s="4">
        <v>252</v>
      </c>
      <c r="GT1712" s="4">
        <v>228</v>
      </c>
      <c r="GU1712" s="4">
        <v>210</v>
      </c>
      <c r="GV1712" s="4">
        <v>199</v>
      </c>
      <c r="GW1712" s="4">
        <v>188</v>
      </c>
      <c r="GX1712" s="4">
        <v>177</v>
      </c>
      <c r="GY1712" s="4">
        <v>166</v>
      </c>
      <c r="GZ1712" s="4">
        <v>159</v>
      </c>
      <c r="HA1712" s="4">
        <v>152</v>
      </c>
      <c r="HB1712" s="4">
        <v>145</v>
      </c>
      <c r="HC1712" s="4">
        <v>138</v>
      </c>
      <c r="HD1712" s="19">
        <v>0.1</v>
      </c>
      <c r="HE1712" s="19">
        <v>37.5</v>
      </c>
      <c r="HF1712" s="19">
        <v>32.6</v>
      </c>
      <c r="HG1712" s="19">
        <v>28.6</v>
      </c>
      <c r="HH1712" s="19">
        <v>25.4</v>
      </c>
      <c r="HI1712" s="19">
        <v>26.8</v>
      </c>
      <c r="HJ1712" s="19">
        <v>25.7</v>
      </c>
      <c r="HK1712" s="19">
        <v>44.6</v>
      </c>
      <c r="HL1712" s="19">
        <v>31.1</v>
      </c>
      <c r="HM1712" s="19">
        <v>25.1</v>
      </c>
      <c r="HN1712" s="19">
        <v>14</v>
      </c>
      <c r="HO1712" s="19">
        <v>10.6</v>
      </c>
      <c r="HP1712" s="19">
        <v>10</v>
      </c>
      <c r="HQ1712" s="19">
        <v>9.5</v>
      </c>
      <c r="HR1712" s="19">
        <v>12</v>
      </c>
      <c r="HS1712" s="19">
        <v>15.8</v>
      </c>
      <c r="HT1712" s="19">
        <v>17.5</v>
      </c>
      <c r="HU1712" s="19">
        <v>19.1</v>
      </c>
      <c r="HV1712" s="19">
        <v>19.9</v>
      </c>
      <c r="HW1712" s="19">
        <v>20.9</v>
      </c>
      <c r="HX1712" s="19">
        <v>22.1</v>
      </c>
      <c r="HY1712" s="19">
        <v>23.7</v>
      </c>
      <c r="HZ1712" s="19">
        <v>26.5</v>
      </c>
      <c r="IA1712" s="19">
        <v>25.3</v>
      </c>
      <c r="IB1712" s="19">
        <v>29</v>
      </c>
      <c r="IC1712" s="19">
        <v>34.5</v>
      </c>
    </row>
    <row r="1713">
      <c r="A1713" s="2" t="s">
        <v>6359</v>
      </c>
      <c r="B1713" s="2" t="s">
        <v>905</v>
      </c>
      <c r="C1713" s="2" t="s">
        <v>2746</v>
      </c>
      <c r="D1713" s="2" t="s">
        <v>1177</v>
      </c>
      <c r="E1713" s="2" t="s">
        <v>2747</v>
      </c>
      <c r="F1713" s="2" t="s">
        <v>6342</v>
      </c>
      <c r="G1713" s="2" t="s">
        <v>6342</v>
      </c>
      <c r="H1713" s="2" t="s">
        <v>6342</v>
      </c>
      <c r="I1713" s="2" t="s">
        <v>982</v>
      </c>
      <c r="J1713" s="2" t="s">
        <v>270</v>
      </c>
      <c r="K1713" s="2" t="s">
        <v>1546</v>
      </c>
      <c r="L1713" s="3">
        <v>87.44</v>
      </c>
      <c r="M1713" s="3">
        <v>91.81</v>
      </c>
      <c r="N1713" s="3">
        <v>184.99</v>
      </c>
      <c r="O1713" s="2" t="s">
        <v>232</v>
      </c>
      <c r="P1713" s="2" t="s">
        <v>233</v>
      </c>
      <c r="Q1713" s="2" t="s">
        <v>234</v>
      </c>
      <c r="R1713" s="2" t="s">
        <v>235</v>
      </c>
      <c r="S1713" s="2" t="s">
        <v>235</v>
      </c>
      <c r="T1713" s="2" t="s">
        <v>2295</v>
      </c>
      <c r="U1713" s="2" t="s">
        <v>807</v>
      </c>
      <c r="V1713" s="2" t="s">
        <v>238</v>
      </c>
      <c r="W1713" s="2" t="s">
        <v>239</v>
      </c>
      <c r="X1713" s="2" t="s">
        <v>235</v>
      </c>
      <c r="Y1713" s="2" t="s">
        <v>6350</v>
      </c>
      <c r="Z1713" s="4">
        <v>9</v>
      </c>
      <c r="AA1713" s="4">
        <f>=ROUNDDOWN(0.857142857142857,0)</f>
      </c>
      <c r="AB1713" s="5">
        <v>10.5</v>
      </c>
      <c r="AC1713" s="2" t="s">
        <v>883</v>
      </c>
      <c r="AD1713" s="4">
        <v>200</v>
      </c>
      <c r="AE1713" s="4">
        <v>400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235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235</v>
      </c>
      <c r="AW1713" s="8" t="s">
        <v>235</v>
      </c>
      <c r="AX1713" s="4" t="s">
        <v>235</v>
      </c>
      <c r="AY1713" s="8" t="s">
        <v>235</v>
      </c>
      <c r="AZ1713" s="7" t="s">
        <v>235</v>
      </c>
      <c r="BA1713" s="7" t="s">
        <v>235</v>
      </c>
      <c r="BB1713" s="7"/>
      <c r="BC1713" s="4" t="s">
        <v>235</v>
      </c>
      <c r="BD1713" s="8" t="s">
        <v>235</v>
      </c>
      <c r="BE1713" s="4" t="s">
        <v>235</v>
      </c>
      <c r="BF1713" s="8" t="s">
        <v>235</v>
      </c>
      <c r="BG1713" s="7" t="s">
        <v>235</v>
      </c>
      <c r="BH1713" s="7" t="s">
        <v>235</v>
      </c>
      <c r="BI1713" s="7"/>
      <c r="BJ1713" s="4">
        <v>7</v>
      </c>
      <c r="BK1713" s="8">
        <v>676.18</v>
      </c>
      <c r="BL1713" s="2" t="s">
        <v>773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6343</v>
      </c>
      <c r="BV1713" s="2" t="s">
        <v>243</v>
      </c>
      <c r="BW1713" s="2" t="s">
        <v>235</v>
      </c>
      <c r="BX1713" s="2" t="s">
        <v>383</v>
      </c>
      <c r="BY1713" s="2" t="s">
        <v>245</v>
      </c>
      <c r="BZ1713" s="2" t="s">
        <v>232</v>
      </c>
      <c r="CA1713" s="2" t="s">
        <v>830</v>
      </c>
      <c r="CB1713" s="2" t="s">
        <v>919</v>
      </c>
      <c r="CC1713" s="2" t="s">
        <v>248</v>
      </c>
      <c r="CD1713" s="2" t="s">
        <v>248</v>
      </c>
      <c r="CE1713" s="2" t="s">
        <v>235</v>
      </c>
      <c r="CF1713" s="4">
        <v>9</v>
      </c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>
        <v>200</v>
      </c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>
        <v>200</v>
      </c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>
        <v>9</v>
      </c>
      <c r="GE1713" s="4">
        <v>206</v>
      </c>
      <c r="GF1713" s="4">
        <v>203</v>
      </c>
      <c r="GG1713" s="4">
        <v>200</v>
      </c>
      <c r="GH1713" s="4">
        <v>197</v>
      </c>
      <c r="GI1713" s="4">
        <v>187</v>
      </c>
      <c r="GJ1713" s="4">
        <v>177</v>
      </c>
      <c r="GK1713" s="4">
        <v>367</v>
      </c>
      <c r="GL1713" s="4">
        <v>357</v>
      </c>
      <c r="GM1713" s="4">
        <v>349</v>
      </c>
      <c r="GN1713" s="4">
        <v>339</v>
      </c>
      <c r="GO1713" s="4">
        <v>324</v>
      </c>
      <c r="GP1713" s="4">
        <v>305</v>
      </c>
      <c r="GQ1713" s="4">
        <v>289</v>
      </c>
      <c r="GR1713" s="4">
        <v>249</v>
      </c>
      <c r="GS1713" s="4">
        <v>211</v>
      </c>
      <c r="GT1713" s="4">
        <v>187</v>
      </c>
      <c r="GU1713" s="4">
        <v>171</v>
      </c>
      <c r="GV1713" s="4">
        <v>160</v>
      </c>
      <c r="GW1713" s="4">
        <v>149</v>
      </c>
      <c r="GX1713" s="4">
        <v>138</v>
      </c>
      <c r="GY1713" s="4">
        <v>127</v>
      </c>
      <c r="GZ1713" s="4">
        <v>121</v>
      </c>
      <c r="HA1713" s="4">
        <v>115</v>
      </c>
      <c r="HB1713" s="4">
        <v>109</v>
      </c>
      <c r="HC1713" s="4">
        <v>103</v>
      </c>
      <c r="HD1713" s="19">
        <v>3</v>
      </c>
      <c r="HE1713" s="19">
        <v>41.2</v>
      </c>
      <c r="HF1713" s="19">
        <v>33.8</v>
      </c>
      <c r="HG1713" s="19">
        <v>25</v>
      </c>
      <c r="HH1713" s="19">
        <v>19.7</v>
      </c>
      <c r="HI1713" s="19">
        <v>18.7</v>
      </c>
      <c r="HJ1713" s="19">
        <v>17.7</v>
      </c>
      <c r="HK1713" s="19">
        <v>33.4</v>
      </c>
      <c r="HL1713" s="19">
        <v>27.5</v>
      </c>
      <c r="HM1713" s="19">
        <v>23.3</v>
      </c>
      <c r="HN1713" s="19">
        <v>15.4</v>
      </c>
      <c r="HO1713" s="19">
        <v>11.6</v>
      </c>
      <c r="HP1713" s="19">
        <v>10.2</v>
      </c>
      <c r="HQ1713" s="19">
        <v>9.6</v>
      </c>
      <c r="HR1713" s="19">
        <v>11.3</v>
      </c>
      <c r="HS1713" s="19">
        <v>13.2</v>
      </c>
      <c r="HT1713" s="19">
        <v>15.6</v>
      </c>
      <c r="HU1713" s="19">
        <v>15.5</v>
      </c>
      <c r="HV1713" s="19">
        <v>16</v>
      </c>
      <c r="HW1713" s="19">
        <v>18.6</v>
      </c>
      <c r="HX1713" s="19">
        <v>19.7</v>
      </c>
      <c r="HY1713" s="19">
        <v>21.2</v>
      </c>
      <c r="HZ1713" s="19">
        <v>24.2</v>
      </c>
      <c r="IA1713" s="19">
        <v>28.8</v>
      </c>
      <c r="IB1713" s="19">
        <v>36.3</v>
      </c>
      <c r="IC1713" s="19">
        <v>51.5</v>
      </c>
    </row>
    <row r="1714">
      <c r="A1714" s="2" t="s">
        <v>6360</v>
      </c>
      <c r="B1714" s="2" t="s">
        <v>905</v>
      </c>
      <c r="C1714" s="2" t="s">
        <v>2746</v>
      </c>
      <c r="D1714" s="2" t="s">
        <v>1177</v>
      </c>
      <c r="E1714" s="2" t="s">
        <v>1178</v>
      </c>
      <c r="F1714" s="2" t="s">
        <v>6342</v>
      </c>
      <c r="G1714" s="2" t="s">
        <v>6342</v>
      </c>
      <c r="H1714" s="2" t="s">
        <v>6342</v>
      </c>
      <c r="I1714" s="2" t="s">
        <v>991</v>
      </c>
      <c r="J1714" s="2" t="s">
        <v>993</v>
      </c>
      <c r="K1714" s="2" t="s">
        <v>1546</v>
      </c>
      <c r="L1714" s="3">
        <v>33.38</v>
      </c>
      <c r="M1714" s="3">
        <v>35.05</v>
      </c>
      <c r="N1714" s="3">
        <v>71.99</v>
      </c>
      <c r="O1714" s="2" t="s">
        <v>407</v>
      </c>
      <c r="P1714" s="2" t="s">
        <v>408</v>
      </c>
      <c r="Q1714" s="2" t="s">
        <v>234</v>
      </c>
      <c r="R1714" s="2" t="s">
        <v>235</v>
      </c>
      <c r="S1714" s="2" t="s">
        <v>235</v>
      </c>
      <c r="T1714" s="2" t="s">
        <v>2295</v>
      </c>
      <c r="U1714" s="2" t="s">
        <v>807</v>
      </c>
      <c r="V1714" s="2" t="s">
        <v>238</v>
      </c>
      <c r="W1714" s="2" t="s">
        <v>239</v>
      </c>
      <c r="X1714" s="2" t="s">
        <v>235</v>
      </c>
      <c r="Y1714" s="2" t="s">
        <v>4175</v>
      </c>
      <c r="Z1714" s="4">
        <v>140</v>
      </c>
      <c r="AA1714" s="4">
        <f>=ROUNDDOWN(26.9230769230769,0)</f>
      </c>
      <c r="AB1714" s="5">
        <v>5.2</v>
      </c>
      <c r="AC1714" s="2" t="s">
        <v>235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235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235</v>
      </c>
      <c r="AW1714" s="8" t="s">
        <v>235</v>
      </c>
      <c r="AX1714" s="4" t="s">
        <v>235</v>
      </c>
      <c r="AY1714" s="8" t="s">
        <v>235</v>
      </c>
      <c r="AZ1714" s="7" t="s">
        <v>235</v>
      </c>
      <c r="BA1714" s="7" t="s">
        <v>235</v>
      </c>
      <c r="BB1714" s="7"/>
      <c r="BC1714" s="4" t="s">
        <v>235</v>
      </c>
      <c r="BD1714" s="8" t="s">
        <v>235</v>
      </c>
      <c r="BE1714" s="4" t="s">
        <v>235</v>
      </c>
      <c r="BF1714" s="8" t="s">
        <v>235</v>
      </c>
      <c r="BG1714" s="7" t="s">
        <v>235</v>
      </c>
      <c r="BH1714" s="7" t="s">
        <v>235</v>
      </c>
      <c r="BI1714" s="7"/>
      <c r="BJ1714" s="4">
        <v>4</v>
      </c>
      <c r="BK1714" s="8">
        <v>144.23</v>
      </c>
      <c r="BL1714" s="2" t="s">
        <v>692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6353</v>
      </c>
      <c r="BV1714" s="2" t="s">
        <v>243</v>
      </c>
      <c r="BW1714" s="2" t="s">
        <v>235</v>
      </c>
      <c r="BX1714" s="2" t="s">
        <v>414</v>
      </c>
      <c r="BY1714" s="2" t="s">
        <v>245</v>
      </c>
      <c r="BZ1714" s="2" t="s">
        <v>232</v>
      </c>
      <c r="CA1714" s="2" t="s">
        <v>830</v>
      </c>
      <c r="CB1714" s="2" t="s">
        <v>5012</v>
      </c>
      <c r="CC1714" s="2" t="s">
        <v>248</v>
      </c>
      <c r="CD1714" s="2" t="s">
        <v>248</v>
      </c>
      <c r="CE1714" s="2" t="s">
        <v>235</v>
      </c>
      <c r="CF1714" s="4">
        <v>140</v>
      </c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>
        <v>140</v>
      </c>
      <c r="GE1714" s="4">
        <v>138</v>
      </c>
      <c r="GF1714" s="4">
        <v>136</v>
      </c>
      <c r="GG1714" s="4">
        <v>134</v>
      </c>
      <c r="GH1714" s="4">
        <v>132</v>
      </c>
      <c r="GI1714" s="4">
        <v>129</v>
      </c>
      <c r="GJ1714" s="4">
        <v>126</v>
      </c>
      <c r="GK1714" s="4">
        <v>123</v>
      </c>
      <c r="GL1714" s="4">
        <v>120</v>
      </c>
      <c r="GM1714" s="4">
        <v>118</v>
      </c>
      <c r="GN1714" s="4">
        <v>116</v>
      </c>
      <c r="GO1714" s="4">
        <v>112</v>
      </c>
      <c r="GP1714" s="4">
        <v>105</v>
      </c>
      <c r="GQ1714" s="4">
        <v>97</v>
      </c>
      <c r="GR1714" s="4">
        <v>76</v>
      </c>
      <c r="GS1714" s="4">
        <v>52</v>
      </c>
      <c r="GT1714" s="4">
        <v>38</v>
      </c>
      <c r="GU1714" s="4">
        <v>28</v>
      </c>
      <c r="GV1714" s="4">
        <v>18</v>
      </c>
      <c r="GW1714" s="4">
        <v>15</v>
      </c>
      <c r="GX1714" s="4">
        <v>12</v>
      </c>
      <c r="GY1714" s="4">
        <v>9</v>
      </c>
      <c r="GZ1714" s="4">
        <v>4</v>
      </c>
      <c r="HA1714" s="4"/>
      <c r="HB1714" s="4"/>
      <c r="HC1714" s="4"/>
      <c r="HD1714" s="19">
        <v>70</v>
      </c>
      <c r="HE1714" s="19">
        <v>69</v>
      </c>
      <c r="HF1714" s="19">
        <v>68</v>
      </c>
      <c r="HG1714" s="19">
        <v>44.7</v>
      </c>
      <c r="HH1714" s="19">
        <v>44</v>
      </c>
      <c r="HI1714" s="19">
        <v>43</v>
      </c>
      <c r="HJ1714" s="19">
        <v>63</v>
      </c>
      <c r="HK1714" s="19">
        <v>41</v>
      </c>
      <c r="HL1714" s="19">
        <v>30</v>
      </c>
      <c r="HM1714" s="19">
        <v>23.6</v>
      </c>
      <c r="HN1714" s="19">
        <v>11.6</v>
      </c>
      <c r="HO1714" s="19">
        <v>7.5</v>
      </c>
      <c r="HP1714" s="19">
        <v>6.2</v>
      </c>
      <c r="HQ1714" s="19">
        <v>5.7</v>
      </c>
      <c r="HR1714" s="19">
        <v>5.4</v>
      </c>
      <c r="HS1714" s="19">
        <v>5.8</v>
      </c>
      <c r="HT1714" s="19">
        <v>6.3</v>
      </c>
      <c r="HU1714" s="19">
        <v>5.6</v>
      </c>
      <c r="HV1714" s="19">
        <v>4.5</v>
      </c>
      <c r="HW1714" s="19">
        <v>3.8</v>
      </c>
      <c r="HX1714" s="19">
        <v>3</v>
      </c>
      <c r="HY1714" s="19">
        <v>1.8</v>
      </c>
      <c r="HZ1714" s="19">
        <v>1</v>
      </c>
      <c r="IA1714" s="20">
        <v>0</v>
      </c>
      <c r="IB1714" s="20">
        <v>0</v>
      </c>
      <c r="IC1714" s="20">
        <v>0</v>
      </c>
    </row>
    <row r="1715">
      <c r="A1715" s="2" t="s">
        <v>6361</v>
      </c>
      <c r="B1715" s="2" t="s">
        <v>905</v>
      </c>
      <c r="C1715" s="2" t="s">
        <v>2746</v>
      </c>
      <c r="D1715" s="2" t="s">
        <v>1177</v>
      </c>
      <c r="E1715" s="2" t="s">
        <v>2747</v>
      </c>
      <c r="F1715" s="2" t="s">
        <v>6342</v>
      </c>
      <c r="G1715" s="2" t="s">
        <v>6342</v>
      </c>
      <c r="H1715" s="2" t="s">
        <v>6342</v>
      </c>
      <c r="I1715" s="2" t="s">
        <v>982</v>
      </c>
      <c r="J1715" s="2" t="s">
        <v>250</v>
      </c>
      <c r="K1715" s="2" t="s">
        <v>550</v>
      </c>
      <c r="L1715" s="3">
        <v>55.93</v>
      </c>
      <c r="M1715" s="3">
        <v>58.73</v>
      </c>
      <c r="N1715" s="3">
        <v>124.99</v>
      </c>
      <c r="O1715" s="2" t="s">
        <v>232</v>
      </c>
      <c r="P1715" s="2" t="s">
        <v>233</v>
      </c>
      <c r="Q1715" s="2" t="s">
        <v>234</v>
      </c>
      <c r="R1715" s="2" t="s">
        <v>235</v>
      </c>
      <c r="S1715" s="2" t="s">
        <v>235</v>
      </c>
      <c r="T1715" s="2" t="s">
        <v>2295</v>
      </c>
      <c r="U1715" s="2" t="s">
        <v>807</v>
      </c>
      <c r="V1715" s="2" t="s">
        <v>238</v>
      </c>
      <c r="W1715" s="2" t="s">
        <v>239</v>
      </c>
      <c r="X1715" s="2" t="s">
        <v>235</v>
      </c>
      <c r="Y1715" s="2" t="s">
        <v>4142</v>
      </c>
      <c r="Z1715" s="4">
        <v>41</v>
      </c>
      <c r="AA1715" s="4">
        <f>=ROUNDDOWN(2.35632183908046,0)</f>
      </c>
      <c r="AB1715" s="5">
        <v>17.4</v>
      </c>
      <c r="AC1715" s="2" t="s">
        <v>167</v>
      </c>
      <c r="AD1715" s="4">
        <v>300</v>
      </c>
      <c r="AE1715" s="4">
        <v>300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235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235</v>
      </c>
      <c r="AW1715" s="8" t="s">
        <v>235</v>
      </c>
      <c r="AX1715" s="4" t="s">
        <v>235</v>
      </c>
      <c r="AY1715" s="8" t="s">
        <v>235</v>
      </c>
      <c r="AZ1715" s="7" t="s">
        <v>235</v>
      </c>
      <c r="BA1715" s="7" t="s">
        <v>235</v>
      </c>
      <c r="BB1715" s="7"/>
      <c r="BC1715" s="4" t="s">
        <v>235</v>
      </c>
      <c r="BD1715" s="8" t="s">
        <v>235</v>
      </c>
      <c r="BE1715" s="4" t="s">
        <v>235</v>
      </c>
      <c r="BF1715" s="8" t="s">
        <v>235</v>
      </c>
      <c r="BG1715" s="7" t="s">
        <v>235</v>
      </c>
      <c r="BH1715" s="7" t="s">
        <v>235</v>
      </c>
      <c r="BI1715" s="7"/>
      <c r="BJ1715" s="4">
        <v>8</v>
      </c>
      <c r="BK1715" s="8">
        <v>474.77</v>
      </c>
      <c r="BL1715" s="2" t="s">
        <v>4581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6343</v>
      </c>
      <c r="BV1715" s="2" t="s">
        <v>243</v>
      </c>
      <c r="BW1715" s="2" t="s">
        <v>235</v>
      </c>
      <c r="BX1715" s="2" t="s">
        <v>383</v>
      </c>
      <c r="BY1715" s="2" t="s">
        <v>245</v>
      </c>
      <c r="BZ1715" s="2" t="s">
        <v>232</v>
      </c>
      <c r="CA1715" s="2" t="s">
        <v>4146</v>
      </c>
      <c r="CB1715" s="2" t="s">
        <v>4183</v>
      </c>
      <c r="CC1715" s="2" t="s">
        <v>248</v>
      </c>
      <c r="CD1715" s="2" t="s">
        <v>248</v>
      </c>
      <c r="CE1715" s="2" t="s">
        <v>235</v>
      </c>
      <c r="CF1715" s="4"/>
      <c r="CG1715" s="4">
        <v>41</v>
      </c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>
        <v>300</v>
      </c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>
        <v>41</v>
      </c>
      <c r="GE1715" s="4">
        <v>36</v>
      </c>
      <c r="GF1715" s="4">
        <v>31</v>
      </c>
      <c r="GG1715" s="4">
        <v>26</v>
      </c>
      <c r="GH1715" s="4">
        <v>21</v>
      </c>
      <c r="GI1715" s="4">
        <v>16</v>
      </c>
      <c r="GJ1715" s="4">
        <v>11</v>
      </c>
      <c r="GK1715" s="4">
        <v>306</v>
      </c>
      <c r="GL1715" s="4">
        <v>301</v>
      </c>
      <c r="GM1715" s="4">
        <v>298</v>
      </c>
      <c r="GN1715" s="4">
        <v>295</v>
      </c>
      <c r="GO1715" s="4">
        <v>287</v>
      </c>
      <c r="GP1715" s="4">
        <v>275</v>
      </c>
      <c r="GQ1715" s="4">
        <v>265</v>
      </c>
      <c r="GR1715" s="4">
        <v>233</v>
      </c>
      <c r="GS1715" s="4">
        <v>204</v>
      </c>
      <c r="GT1715" s="4">
        <v>187</v>
      </c>
      <c r="GU1715" s="4">
        <v>179</v>
      </c>
      <c r="GV1715" s="4">
        <v>173</v>
      </c>
      <c r="GW1715" s="4">
        <v>167</v>
      </c>
      <c r="GX1715" s="4">
        <v>161</v>
      </c>
      <c r="GY1715" s="4">
        <v>155</v>
      </c>
      <c r="GZ1715" s="4">
        <v>146</v>
      </c>
      <c r="HA1715" s="4">
        <v>137</v>
      </c>
      <c r="HB1715" s="4">
        <v>128</v>
      </c>
      <c r="HC1715" s="4">
        <v>119</v>
      </c>
      <c r="HD1715" s="19">
        <v>8.2</v>
      </c>
      <c r="HE1715" s="19">
        <v>7.2</v>
      </c>
      <c r="HF1715" s="19">
        <v>6.2</v>
      </c>
      <c r="HG1715" s="19">
        <v>5.2</v>
      </c>
      <c r="HH1715" s="19">
        <v>4.2</v>
      </c>
      <c r="HI1715" s="19">
        <v>4</v>
      </c>
      <c r="HJ1715" s="19">
        <v>2.8</v>
      </c>
      <c r="HK1715" s="19">
        <v>61.2</v>
      </c>
      <c r="HL1715" s="19">
        <v>50.2</v>
      </c>
      <c r="HM1715" s="19">
        <v>37.3</v>
      </c>
      <c r="HN1715" s="19">
        <v>18.4</v>
      </c>
      <c r="HO1715" s="19">
        <v>13.7</v>
      </c>
      <c r="HP1715" s="19">
        <v>12.5</v>
      </c>
      <c r="HQ1715" s="19">
        <v>12</v>
      </c>
      <c r="HR1715" s="19">
        <v>15.5</v>
      </c>
      <c r="HS1715" s="19">
        <v>22.7</v>
      </c>
      <c r="HT1715" s="19">
        <v>31.2</v>
      </c>
      <c r="HU1715" s="19">
        <v>29.8</v>
      </c>
      <c r="HV1715" s="19">
        <v>24.7</v>
      </c>
      <c r="HW1715" s="19">
        <v>20.9</v>
      </c>
      <c r="HX1715" s="19">
        <v>20.1</v>
      </c>
      <c r="HY1715" s="19">
        <v>17.2</v>
      </c>
      <c r="HZ1715" s="19">
        <v>18.3</v>
      </c>
      <c r="IA1715" s="19">
        <v>22.8</v>
      </c>
      <c r="IB1715" s="19">
        <v>32</v>
      </c>
      <c r="IC1715" s="19">
        <v>39.7</v>
      </c>
    </row>
    <row r="1716">
      <c r="A1716" s="2" t="s">
        <v>6362</v>
      </c>
      <c r="B1716" s="2" t="s">
        <v>905</v>
      </c>
      <c r="C1716" s="2" t="s">
        <v>2746</v>
      </c>
      <c r="D1716" s="2" t="s">
        <v>1177</v>
      </c>
      <c r="E1716" s="2" t="s">
        <v>2747</v>
      </c>
      <c r="F1716" s="2" t="s">
        <v>6342</v>
      </c>
      <c r="G1716" s="2" t="s">
        <v>6342</v>
      </c>
      <c r="H1716" s="2" t="s">
        <v>6342</v>
      </c>
      <c r="I1716" s="2" t="s">
        <v>982</v>
      </c>
      <c r="J1716" s="2" t="s">
        <v>261</v>
      </c>
      <c r="K1716" s="2" t="s">
        <v>550</v>
      </c>
      <c r="L1716" s="3">
        <v>81.18</v>
      </c>
      <c r="M1716" s="3">
        <v>85.24</v>
      </c>
      <c r="N1716" s="3">
        <v>164.99</v>
      </c>
      <c r="O1716" s="2" t="s">
        <v>232</v>
      </c>
      <c r="P1716" s="2" t="s">
        <v>233</v>
      </c>
      <c r="Q1716" s="2" t="s">
        <v>234</v>
      </c>
      <c r="R1716" s="2" t="s">
        <v>235</v>
      </c>
      <c r="S1716" s="2" t="s">
        <v>235</v>
      </c>
      <c r="T1716" s="2" t="s">
        <v>2295</v>
      </c>
      <c r="U1716" s="2" t="s">
        <v>807</v>
      </c>
      <c r="V1716" s="2" t="s">
        <v>238</v>
      </c>
      <c r="W1716" s="2" t="s">
        <v>239</v>
      </c>
      <c r="X1716" s="2" t="s">
        <v>235</v>
      </c>
      <c r="Y1716" s="2" t="s">
        <v>4142</v>
      </c>
      <c r="Z1716" s="4">
        <v>64</v>
      </c>
      <c r="AA1716" s="4">
        <f>=ROUNDDOWN(12.5490196078431,0)</f>
      </c>
      <c r="AB1716" s="5">
        <v>5.1</v>
      </c>
      <c r="AC1716" s="2" t="s">
        <v>167</v>
      </c>
      <c r="AD1716" s="4">
        <v>300</v>
      </c>
      <c r="AE1716" s="4">
        <v>300</v>
      </c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235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235</v>
      </c>
      <c r="AW1716" s="8" t="s">
        <v>235</v>
      </c>
      <c r="AX1716" s="4" t="s">
        <v>235</v>
      </c>
      <c r="AY1716" s="8" t="s">
        <v>235</v>
      </c>
      <c r="AZ1716" s="7" t="s">
        <v>235</v>
      </c>
      <c r="BA1716" s="7" t="s">
        <v>235</v>
      </c>
      <c r="BB1716" s="7"/>
      <c r="BC1716" s="4" t="s">
        <v>235</v>
      </c>
      <c r="BD1716" s="8" t="s">
        <v>235</v>
      </c>
      <c r="BE1716" s="4" t="s">
        <v>235</v>
      </c>
      <c r="BF1716" s="8" t="s">
        <v>235</v>
      </c>
      <c r="BG1716" s="7" t="s">
        <v>235</v>
      </c>
      <c r="BH1716" s="7" t="s">
        <v>235</v>
      </c>
      <c r="BI1716" s="7"/>
      <c r="BJ1716" s="4">
        <v>3</v>
      </c>
      <c r="BK1716" s="8">
        <v>266.38</v>
      </c>
      <c r="BL1716" s="2" t="s">
        <v>6035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6343</v>
      </c>
      <c r="BV1716" s="2" t="s">
        <v>243</v>
      </c>
      <c r="BW1716" s="2" t="s">
        <v>235</v>
      </c>
      <c r="BX1716" s="2" t="s">
        <v>383</v>
      </c>
      <c r="BY1716" s="2" t="s">
        <v>245</v>
      </c>
      <c r="BZ1716" s="2" t="s">
        <v>232</v>
      </c>
      <c r="CA1716" s="2" t="s">
        <v>4146</v>
      </c>
      <c r="CB1716" s="2" t="s">
        <v>4169</v>
      </c>
      <c r="CC1716" s="2" t="s">
        <v>248</v>
      </c>
      <c r="CD1716" s="2" t="s">
        <v>248</v>
      </c>
      <c r="CE1716" s="2" t="s">
        <v>235</v>
      </c>
      <c r="CF1716" s="4"/>
      <c r="CG1716" s="4">
        <v>64</v>
      </c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>
        <v>300</v>
      </c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>
        <v>64</v>
      </c>
      <c r="GE1716" s="4">
        <v>62</v>
      </c>
      <c r="GF1716" s="4">
        <v>60</v>
      </c>
      <c r="GG1716" s="4">
        <v>58</v>
      </c>
      <c r="GH1716" s="4">
        <v>56</v>
      </c>
      <c r="GI1716" s="4">
        <v>52</v>
      </c>
      <c r="GJ1716" s="4">
        <v>48</v>
      </c>
      <c r="GK1716" s="4">
        <v>344</v>
      </c>
      <c r="GL1716" s="4">
        <v>340</v>
      </c>
      <c r="GM1716" s="4">
        <v>337</v>
      </c>
      <c r="GN1716" s="4">
        <v>334</v>
      </c>
      <c r="GO1716" s="4">
        <v>328</v>
      </c>
      <c r="GP1716" s="4">
        <v>320</v>
      </c>
      <c r="GQ1716" s="4">
        <v>312</v>
      </c>
      <c r="GR1716" s="4">
        <v>290</v>
      </c>
      <c r="GS1716" s="4">
        <v>273</v>
      </c>
      <c r="GT1716" s="4">
        <v>264</v>
      </c>
      <c r="GU1716" s="4">
        <v>258</v>
      </c>
      <c r="GV1716" s="4">
        <v>254</v>
      </c>
      <c r="GW1716" s="4">
        <v>250</v>
      </c>
      <c r="GX1716" s="4">
        <v>246</v>
      </c>
      <c r="GY1716" s="4">
        <v>242</v>
      </c>
      <c r="GZ1716" s="4">
        <v>240</v>
      </c>
      <c r="HA1716" s="4">
        <v>238</v>
      </c>
      <c r="HB1716" s="4">
        <v>236</v>
      </c>
      <c r="HC1716" s="4">
        <v>234</v>
      </c>
      <c r="HD1716" s="19">
        <v>32</v>
      </c>
      <c r="HE1716" s="19">
        <v>31</v>
      </c>
      <c r="HF1716" s="19">
        <v>20</v>
      </c>
      <c r="HG1716" s="19">
        <v>14.5</v>
      </c>
      <c r="HH1716" s="19">
        <v>14</v>
      </c>
      <c r="HI1716" s="19">
        <v>13</v>
      </c>
      <c r="HJ1716" s="19">
        <v>12</v>
      </c>
      <c r="HK1716" s="19">
        <v>86</v>
      </c>
      <c r="HL1716" s="19">
        <v>68</v>
      </c>
      <c r="HM1716" s="19">
        <v>56.2</v>
      </c>
      <c r="HN1716" s="19">
        <v>30.4</v>
      </c>
      <c r="HO1716" s="19">
        <v>23.4</v>
      </c>
      <c r="HP1716" s="19">
        <v>22.9</v>
      </c>
      <c r="HQ1716" s="19">
        <v>22.3</v>
      </c>
      <c r="HR1716" s="19">
        <v>32.2</v>
      </c>
      <c r="HS1716" s="19">
        <v>45.5</v>
      </c>
      <c r="HT1716" s="19">
        <v>66</v>
      </c>
      <c r="HU1716" s="19">
        <v>64.5</v>
      </c>
      <c r="HV1716" s="19">
        <v>63.5</v>
      </c>
      <c r="HW1716" s="19">
        <v>83.3</v>
      </c>
      <c r="HX1716" s="19">
        <v>123</v>
      </c>
      <c r="HY1716" s="19">
        <v>121</v>
      </c>
      <c r="HZ1716" s="19">
        <v>120</v>
      </c>
      <c r="IA1716" s="19">
        <v>119</v>
      </c>
      <c r="IB1716" s="19">
        <v>236</v>
      </c>
      <c r="IC1716" s="19">
        <v>234</v>
      </c>
    </row>
    <row r="1717">
      <c r="A1717" s="2" t="s">
        <v>6363</v>
      </c>
      <c r="B1717" s="2" t="s">
        <v>905</v>
      </c>
      <c r="C1717" s="2" t="s">
        <v>2746</v>
      </c>
      <c r="D1717" s="2" t="s">
        <v>1177</v>
      </c>
      <c r="E1717" s="2" t="s">
        <v>2747</v>
      </c>
      <c r="F1717" s="2" t="s">
        <v>6342</v>
      </c>
      <c r="G1717" s="2" t="s">
        <v>6342</v>
      </c>
      <c r="H1717" s="2" t="s">
        <v>6342</v>
      </c>
      <c r="I1717" s="2" t="s">
        <v>982</v>
      </c>
      <c r="J1717" s="2" t="s">
        <v>270</v>
      </c>
      <c r="K1717" s="2" t="s">
        <v>550</v>
      </c>
      <c r="L1717" s="3">
        <v>87.44</v>
      </c>
      <c r="M1717" s="3">
        <v>91.81</v>
      </c>
      <c r="N1717" s="3">
        <v>184.99</v>
      </c>
      <c r="O1717" s="2" t="s">
        <v>232</v>
      </c>
      <c r="P1717" s="2" t="s">
        <v>233</v>
      </c>
      <c r="Q1717" s="2" t="s">
        <v>234</v>
      </c>
      <c r="R1717" s="2" t="s">
        <v>235</v>
      </c>
      <c r="S1717" s="2" t="s">
        <v>235</v>
      </c>
      <c r="T1717" s="2" t="s">
        <v>2295</v>
      </c>
      <c r="U1717" s="2" t="s">
        <v>807</v>
      </c>
      <c r="V1717" s="2" t="s">
        <v>238</v>
      </c>
      <c r="W1717" s="2" t="s">
        <v>239</v>
      </c>
      <c r="X1717" s="2" t="s">
        <v>235</v>
      </c>
      <c r="Y1717" s="2" t="s">
        <v>4142</v>
      </c>
      <c r="Z1717" s="4">
        <v>96</v>
      </c>
      <c r="AA1717" s="4">
        <f>=ROUNDDOWN(10.4347826086957,0)</f>
      </c>
      <c r="AB1717" s="5">
        <v>9.2</v>
      </c>
      <c r="AC1717" s="2" t="s">
        <v>167</v>
      </c>
      <c r="AD1717" s="4">
        <v>300</v>
      </c>
      <c r="AE1717" s="4">
        <v>300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235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235</v>
      </c>
      <c r="AW1717" s="8" t="s">
        <v>235</v>
      </c>
      <c r="AX1717" s="4" t="s">
        <v>235</v>
      </c>
      <c r="AY1717" s="8" t="s">
        <v>235</v>
      </c>
      <c r="AZ1717" s="7" t="s">
        <v>235</v>
      </c>
      <c r="BA1717" s="7" t="s">
        <v>235</v>
      </c>
      <c r="BB1717" s="7"/>
      <c r="BC1717" s="4" t="s">
        <v>235</v>
      </c>
      <c r="BD1717" s="8" t="s">
        <v>235</v>
      </c>
      <c r="BE1717" s="4" t="s">
        <v>235</v>
      </c>
      <c r="BF1717" s="8" t="s">
        <v>235</v>
      </c>
      <c r="BG1717" s="7" t="s">
        <v>235</v>
      </c>
      <c r="BH1717" s="7" t="s">
        <v>235</v>
      </c>
      <c r="BI1717" s="7"/>
      <c r="BJ1717" s="4">
        <v>9</v>
      </c>
      <c r="BK1717" s="8">
        <v>761.79</v>
      </c>
      <c r="BL1717" s="2" t="s">
        <v>6364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6343</v>
      </c>
      <c r="BV1717" s="2" t="s">
        <v>243</v>
      </c>
      <c r="BW1717" s="2" t="s">
        <v>235</v>
      </c>
      <c r="BX1717" s="2" t="s">
        <v>383</v>
      </c>
      <c r="BY1717" s="2" t="s">
        <v>245</v>
      </c>
      <c r="BZ1717" s="2" t="s">
        <v>232</v>
      </c>
      <c r="CA1717" s="2" t="s">
        <v>4146</v>
      </c>
      <c r="CB1717" s="2" t="s">
        <v>6365</v>
      </c>
      <c r="CC1717" s="2" t="s">
        <v>248</v>
      </c>
      <c r="CD1717" s="2" t="s">
        <v>248</v>
      </c>
      <c r="CE1717" s="2" t="s">
        <v>235</v>
      </c>
      <c r="CF1717" s="4">
        <v>96</v>
      </c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>
        <v>300</v>
      </c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>
        <v>98</v>
      </c>
      <c r="GE1717" s="4">
        <v>93</v>
      </c>
      <c r="GF1717" s="4">
        <v>90</v>
      </c>
      <c r="GG1717" s="4">
        <v>87</v>
      </c>
      <c r="GH1717" s="4">
        <v>84</v>
      </c>
      <c r="GI1717" s="4">
        <v>77</v>
      </c>
      <c r="GJ1717" s="4">
        <v>70</v>
      </c>
      <c r="GK1717" s="4">
        <v>363</v>
      </c>
      <c r="GL1717" s="4">
        <v>356</v>
      </c>
      <c r="GM1717" s="4">
        <v>350</v>
      </c>
      <c r="GN1717" s="4">
        <v>343</v>
      </c>
      <c r="GO1717" s="4">
        <v>332</v>
      </c>
      <c r="GP1717" s="4">
        <v>319</v>
      </c>
      <c r="GQ1717" s="4">
        <v>308</v>
      </c>
      <c r="GR1717" s="4">
        <v>280</v>
      </c>
      <c r="GS1717" s="4">
        <v>253</v>
      </c>
      <c r="GT1717" s="4">
        <v>236</v>
      </c>
      <c r="GU1717" s="4">
        <v>225</v>
      </c>
      <c r="GV1717" s="4">
        <v>217</v>
      </c>
      <c r="GW1717" s="4">
        <v>209</v>
      </c>
      <c r="GX1717" s="4">
        <v>201</v>
      </c>
      <c r="GY1717" s="4">
        <v>193</v>
      </c>
      <c r="GZ1717" s="4">
        <v>188</v>
      </c>
      <c r="HA1717" s="4">
        <v>183</v>
      </c>
      <c r="HB1717" s="4">
        <v>178</v>
      </c>
      <c r="HC1717" s="4">
        <v>173</v>
      </c>
      <c r="HD1717" s="19">
        <v>24.5</v>
      </c>
      <c r="HE1717" s="19">
        <v>23.3</v>
      </c>
      <c r="HF1717" s="19">
        <v>18</v>
      </c>
      <c r="HG1717" s="19">
        <v>14.5</v>
      </c>
      <c r="HH1717" s="19">
        <v>12</v>
      </c>
      <c r="HI1717" s="19">
        <v>11</v>
      </c>
      <c r="HJ1717" s="19">
        <v>10</v>
      </c>
      <c r="HK1717" s="19">
        <v>45.4</v>
      </c>
      <c r="HL1717" s="19">
        <v>39.6</v>
      </c>
      <c r="HM1717" s="19">
        <v>35</v>
      </c>
      <c r="HN1717" s="19">
        <v>21.4</v>
      </c>
      <c r="HO1717" s="19">
        <v>16.6</v>
      </c>
      <c r="HP1717" s="19">
        <v>15.2</v>
      </c>
      <c r="HQ1717" s="19">
        <v>14.7</v>
      </c>
      <c r="HR1717" s="19">
        <v>17.5</v>
      </c>
      <c r="HS1717" s="19">
        <v>23</v>
      </c>
      <c r="HT1717" s="19">
        <v>26.2</v>
      </c>
      <c r="HU1717" s="19">
        <v>28.1</v>
      </c>
      <c r="HV1717" s="19">
        <v>31</v>
      </c>
      <c r="HW1717" s="19">
        <v>34.8</v>
      </c>
      <c r="HX1717" s="19">
        <v>33.5</v>
      </c>
      <c r="HY1717" s="19">
        <v>38.6</v>
      </c>
      <c r="HZ1717" s="19">
        <v>47</v>
      </c>
      <c r="IA1717" s="19">
        <v>45.8</v>
      </c>
      <c r="IB1717" s="19">
        <v>59.3</v>
      </c>
      <c r="IC1717" s="19">
        <v>86.5</v>
      </c>
    </row>
    <row r="1718">
      <c r="A1718" s="2" t="s">
        <v>6366</v>
      </c>
      <c r="B1718" s="2" t="s">
        <v>905</v>
      </c>
      <c r="C1718" s="2" t="s">
        <v>2746</v>
      </c>
      <c r="D1718" s="2" t="s">
        <v>1177</v>
      </c>
      <c r="E1718" s="2" t="s">
        <v>1178</v>
      </c>
      <c r="F1718" s="2" t="s">
        <v>6342</v>
      </c>
      <c r="G1718" s="2" t="s">
        <v>6342</v>
      </c>
      <c r="H1718" s="2" t="s">
        <v>6342</v>
      </c>
      <c r="I1718" s="2" t="s">
        <v>991</v>
      </c>
      <c r="J1718" s="2" t="s">
        <v>993</v>
      </c>
      <c r="K1718" s="2" t="s">
        <v>550</v>
      </c>
      <c r="L1718" s="3">
        <v>37.31</v>
      </c>
      <c r="M1718" s="3">
        <v>39.18</v>
      </c>
      <c r="N1718" s="3">
        <v>79.99</v>
      </c>
      <c r="O1718" s="2" t="s">
        <v>232</v>
      </c>
      <c r="P1718" s="2" t="s">
        <v>233</v>
      </c>
      <c r="Q1718" s="2" t="s">
        <v>234</v>
      </c>
      <c r="R1718" s="2" t="s">
        <v>235</v>
      </c>
      <c r="S1718" s="2" t="s">
        <v>235</v>
      </c>
      <c r="T1718" s="2" t="s">
        <v>2295</v>
      </c>
      <c r="U1718" s="2" t="s">
        <v>807</v>
      </c>
      <c r="V1718" s="2" t="s">
        <v>238</v>
      </c>
      <c r="W1718" s="2" t="s">
        <v>239</v>
      </c>
      <c r="X1718" s="2" t="s">
        <v>235</v>
      </c>
      <c r="Y1718" s="2" t="s">
        <v>4142</v>
      </c>
      <c r="Z1718" s="4">
        <v>3</v>
      </c>
      <c r="AA1718" s="4">
        <f>=ROUNDDOWN(0.189873417721519,0)</f>
      </c>
      <c r="AB1718" s="5">
        <v>15.8</v>
      </c>
      <c r="AC1718" s="2" t="s">
        <v>883</v>
      </c>
      <c r="AD1718" s="4">
        <v>300</v>
      </c>
      <c r="AE1718" s="4">
        <v>300</v>
      </c>
      <c r="AF1718" s="6">
        <v>65</v>
      </c>
      <c r="AG1718" s="6"/>
      <c r="AH1718" s="7">
        <v>0</v>
      </c>
      <c r="AI1718" s="4"/>
      <c r="AJ1718" s="4">
        <f>=ROUNDDOWN({0},0)</f>
      </c>
      <c r="AK1718" s="5"/>
      <c r="AL1718" s="2" t="s">
        <v>235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235</v>
      </c>
      <c r="AW1718" s="8" t="s">
        <v>235</v>
      </c>
      <c r="AX1718" s="4" t="s">
        <v>235</v>
      </c>
      <c r="AY1718" s="8" t="s">
        <v>235</v>
      </c>
      <c r="AZ1718" s="7" t="s">
        <v>235</v>
      </c>
      <c r="BA1718" s="7" t="s">
        <v>235</v>
      </c>
      <c r="BB1718" s="7"/>
      <c r="BC1718" s="4" t="s">
        <v>235</v>
      </c>
      <c r="BD1718" s="8" t="s">
        <v>235</v>
      </c>
      <c r="BE1718" s="4" t="s">
        <v>235</v>
      </c>
      <c r="BF1718" s="8" t="s">
        <v>235</v>
      </c>
      <c r="BG1718" s="7" t="s">
        <v>235</v>
      </c>
      <c r="BH1718" s="7" t="s">
        <v>235</v>
      </c>
      <c r="BI1718" s="7"/>
      <c r="BJ1718" s="4"/>
      <c r="BK1718" s="8"/>
      <c r="BL1718" s="2" t="s">
        <v>2767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6353</v>
      </c>
      <c r="BV1718" s="2" t="s">
        <v>243</v>
      </c>
      <c r="BW1718" s="2" t="s">
        <v>235</v>
      </c>
      <c r="BX1718" s="2" t="s">
        <v>383</v>
      </c>
      <c r="BY1718" s="2" t="s">
        <v>245</v>
      </c>
      <c r="BZ1718" s="2" t="s">
        <v>232</v>
      </c>
      <c r="CA1718" s="2" t="s">
        <v>4146</v>
      </c>
      <c r="CB1718" s="2" t="s">
        <v>4106</v>
      </c>
      <c r="CC1718" s="2" t="s">
        <v>248</v>
      </c>
      <c r="CD1718" s="2" t="s">
        <v>248</v>
      </c>
      <c r="CE1718" s="2" t="s">
        <v>235</v>
      </c>
      <c r="CF1718" s="4">
        <v>3</v>
      </c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>
        <v>300</v>
      </c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>
        <v>3</v>
      </c>
      <c r="GE1718" s="4">
        <v>300</v>
      </c>
      <c r="GF1718" s="4">
        <v>294</v>
      </c>
      <c r="GG1718" s="4">
        <v>288</v>
      </c>
      <c r="GH1718" s="4">
        <v>282</v>
      </c>
      <c r="GI1718" s="4">
        <v>268</v>
      </c>
      <c r="GJ1718" s="4">
        <v>254</v>
      </c>
      <c r="GK1718" s="4">
        <v>240</v>
      </c>
      <c r="GL1718" s="4">
        <v>226</v>
      </c>
      <c r="GM1718" s="4">
        <v>219</v>
      </c>
      <c r="GN1718" s="4">
        <v>211</v>
      </c>
      <c r="GO1718" s="4">
        <v>191</v>
      </c>
      <c r="GP1718" s="4">
        <v>160</v>
      </c>
      <c r="GQ1718" s="4">
        <v>124</v>
      </c>
      <c r="GR1718" s="4">
        <v>25</v>
      </c>
      <c r="GS1718" s="4"/>
      <c r="GT1718" s="4"/>
      <c r="GU1718" s="4"/>
      <c r="GV1718" s="4"/>
      <c r="GW1718" s="4">
        <v>132</v>
      </c>
      <c r="GX1718" s="4">
        <v>117</v>
      </c>
      <c r="GY1718" s="4">
        <v>102</v>
      </c>
      <c r="GZ1718" s="4">
        <v>88</v>
      </c>
      <c r="HA1718" s="4">
        <v>74</v>
      </c>
      <c r="HB1718" s="4">
        <v>60</v>
      </c>
      <c r="HC1718" s="4">
        <v>546</v>
      </c>
      <c r="HD1718" s="19">
        <v>0.5</v>
      </c>
      <c r="HE1718" s="19">
        <v>37.5</v>
      </c>
      <c r="HF1718" s="19">
        <v>29.4</v>
      </c>
      <c r="HG1718" s="19">
        <v>24</v>
      </c>
      <c r="HH1718" s="19">
        <v>20.1</v>
      </c>
      <c r="HI1718" s="19">
        <v>22.3</v>
      </c>
      <c r="HJ1718" s="19">
        <v>23.1</v>
      </c>
      <c r="HK1718" s="19">
        <v>20</v>
      </c>
      <c r="HL1718" s="19">
        <v>14.1</v>
      </c>
      <c r="HM1718" s="19">
        <v>9.1</v>
      </c>
      <c r="HN1718" s="19">
        <v>4.6</v>
      </c>
      <c r="HO1718" s="19">
        <v>2.7</v>
      </c>
      <c r="HP1718" s="19">
        <v>2</v>
      </c>
      <c r="HQ1718" s="19">
        <v>1.5</v>
      </c>
      <c r="HR1718" s="19">
        <v>0.4</v>
      </c>
      <c r="HS1718" s="20">
        <v>0</v>
      </c>
      <c r="HT1718" s="20">
        <v>0</v>
      </c>
      <c r="HU1718" s="20">
        <v>0</v>
      </c>
      <c r="HV1718" s="20">
        <v>0</v>
      </c>
      <c r="HW1718" s="19">
        <v>9.4</v>
      </c>
      <c r="HX1718" s="19">
        <v>8.4</v>
      </c>
      <c r="HY1718" s="19">
        <v>7.3</v>
      </c>
      <c r="HZ1718" s="19">
        <v>7.3</v>
      </c>
      <c r="IA1718" s="19">
        <v>6.7</v>
      </c>
      <c r="IB1718" s="19">
        <v>6</v>
      </c>
      <c r="IC1718" s="19">
        <v>68.3</v>
      </c>
    </row>
    <row r="1719">
      <c r="A1719" s="2" t="s">
        <v>6367</v>
      </c>
      <c r="B1719" s="2" t="s">
        <v>905</v>
      </c>
      <c r="C1719" s="2" t="s">
        <v>2746</v>
      </c>
      <c r="D1719" s="2" t="s">
        <v>1177</v>
      </c>
      <c r="E1719" s="2" t="s">
        <v>2747</v>
      </c>
      <c r="F1719" s="2" t="s">
        <v>6342</v>
      </c>
      <c r="G1719" s="2" t="s">
        <v>6342</v>
      </c>
      <c r="H1719" s="2" t="s">
        <v>6342</v>
      </c>
      <c r="I1719" s="2" t="s">
        <v>982</v>
      </c>
      <c r="J1719" s="2" t="s">
        <v>250</v>
      </c>
      <c r="K1719" s="2" t="s">
        <v>567</v>
      </c>
      <c r="L1719" s="3">
        <v>55.93</v>
      </c>
      <c r="M1719" s="3">
        <v>58.73</v>
      </c>
      <c r="N1719" s="3">
        <v>124.99</v>
      </c>
      <c r="O1719" s="2" t="s">
        <v>232</v>
      </c>
      <c r="P1719" s="2" t="s">
        <v>233</v>
      </c>
      <c r="Q1719" s="2" t="s">
        <v>234</v>
      </c>
      <c r="R1719" s="2" t="s">
        <v>235</v>
      </c>
      <c r="S1719" s="2" t="s">
        <v>235</v>
      </c>
      <c r="T1719" s="2" t="s">
        <v>2295</v>
      </c>
      <c r="U1719" s="2" t="s">
        <v>807</v>
      </c>
      <c r="V1719" s="2" t="s">
        <v>238</v>
      </c>
      <c r="W1719" s="2" t="s">
        <v>239</v>
      </c>
      <c r="X1719" s="2" t="s">
        <v>235</v>
      </c>
      <c r="Y1719" s="2" t="s">
        <v>4142</v>
      </c>
      <c r="Z1719" s="4">
        <v>41</v>
      </c>
      <c r="AA1719" s="4">
        <f>=ROUNDDOWN(5.18987341772152,0)</f>
      </c>
      <c r="AB1719" s="5">
        <v>7.9</v>
      </c>
      <c r="AC1719" s="2" t="s">
        <v>167</v>
      </c>
      <c r="AD1719" s="4">
        <v>300</v>
      </c>
      <c r="AE1719" s="4">
        <v>300</v>
      </c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235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235</v>
      </c>
      <c r="AW1719" s="8" t="s">
        <v>235</v>
      </c>
      <c r="AX1719" s="4" t="s">
        <v>235</v>
      </c>
      <c r="AY1719" s="8" t="s">
        <v>235</v>
      </c>
      <c r="AZ1719" s="7" t="s">
        <v>235</v>
      </c>
      <c r="BA1719" s="7" t="s">
        <v>235</v>
      </c>
      <c r="BB1719" s="7"/>
      <c r="BC1719" s="4" t="s">
        <v>235</v>
      </c>
      <c r="BD1719" s="8" t="s">
        <v>235</v>
      </c>
      <c r="BE1719" s="4" t="s">
        <v>235</v>
      </c>
      <c r="BF1719" s="8" t="s">
        <v>235</v>
      </c>
      <c r="BG1719" s="7" t="s">
        <v>235</v>
      </c>
      <c r="BH1719" s="7" t="s">
        <v>235</v>
      </c>
      <c r="BI1719" s="7"/>
      <c r="BJ1719" s="4">
        <v>6</v>
      </c>
      <c r="BK1719" s="8">
        <v>373.1</v>
      </c>
      <c r="BL1719" s="2" t="s">
        <v>773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6343</v>
      </c>
      <c r="BV1719" s="2" t="s">
        <v>243</v>
      </c>
      <c r="BW1719" s="2" t="s">
        <v>235</v>
      </c>
      <c r="BX1719" s="2" t="s">
        <v>383</v>
      </c>
      <c r="BY1719" s="2" t="s">
        <v>245</v>
      </c>
      <c r="BZ1719" s="2" t="s">
        <v>232</v>
      </c>
      <c r="CA1719" s="2" t="s">
        <v>4146</v>
      </c>
      <c r="CB1719" s="2" t="s">
        <v>951</v>
      </c>
      <c r="CC1719" s="2" t="s">
        <v>248</v>
      </c>
      <c r="CD1719" s="2" t="s">
        <v>248</v>
      </c>
      <c r="CE1719" s="2" t="s">
        <v>235</v>
      </c>
      <c r="CF1719" s="4"/>
      <c r="CG1719" s="4">
        <v>40</v>
      </c>
      <c r="CH1719" s="4"/>
      <c r="CI1719" s="4"/>
      <c r="CJ1719" s="4"/>
      <c r="CK1719" s="4"/>
      <c r="CL1719" s="4"/>
      <c r="CM1719" s="4">
        <v>1</v>
      </c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>
        <v>300</v>
      </c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>
        <v>42</v>
      </c>
      <c r="GE1719" s="4">
        <v>40</v>
      </c>
      <c r="GF1719" s="4">
        <v>38</v>
      </c>
      <c r="GG1719" s="4">
        <v>36</v>
      </c>
      <c r="GH1719" s="4">
        <v>34</v>
      </c>
      <c r="GI1719" s="4">
        <v>29</v>
      </c>
      <c r="GJ1719" s="4">
        <v>24</v>
      </c>
      <c r="GK1719" s="4">
        <v>319</v>
      </c>
      <c r="GL1719" s="4">
        <v>314</v>
      </c>
      <c r="GM1719" s="4">
        <v>311</v>
      </c>
      <c r="GN1719" s="4">
        <v>308</v>
      </c>
      <c r="GO1719" s="4">
        <v>300</v>
      </c>
      <c r="GP1719" s="4">
        <v>288</v>
      </c>
      <c r="GQ1719" s="4">
        <v>278</v>
      </c>
      <c r="GR1719" s="4">
        <v>246</v>
      </c>
      <c r="GS1719" s="4">
        <v>217</v>
      </c>
      <c r="GT1719" s="4">
        <v>200</v>
      </c>
      <c r="GU1719" s="4">
        <v>192</v>
      </c>
      <c r="GV1719" s="4">
        <v>186</v>
      </c>
      <c r="GW1719" s="4">
        <v>180</v>
      </c>
      <c r="GX1719" s="4">
        <v>174</v>
      </c>
      <c r="GY1719" s="4">
        <v>168</v>
      </c>
      <c r="GZ1719" s="4">
        <v>164</v>
      </c>
      <c r="HA1719" s="4">
        <v>160</v>
      </c>
      <c r="HB1719" s="4">
        <v>156</v>
      </c>
      <c r="HC1719" s="4">
        <v>152</v>
      </c>
      <c r="HD1719" s="19">
        <v>21</v>
      </c>
      <c r="HE1719" s="19">
        <v>13.3</v>
      </c>
      <c r="HF1719" s="19">
        <v>9.5</v>
      </c>
      <c r="HG1719" s="19">
        <v>9</v>
      </c>
      <c r="HH1719" s="19">
        <v>6.8</v>
      </c>
      <c r="HI1719" s="19">
        <v>7.3</v>
      </c>
      <c r="HJ1719" s="19">
        <v>6</v>
      </c>
      <c r="HK1719" s="19">
        <v>63.8</v>
      </c>
      <c r="HL1719" s="19">
        <v>52.3</v>
      </c>
      <c r="HM1719" s="19">
        <v>38.9</v>
      </c>
      <c r="HN1719" s="19">
        <v>19.3</v>
      </c>
      <c r="HO1719" s="19">
        <v>14.3</v>
      </c>
      <c r="HP1719" s="19">
        <v>13.1</v>
      </c>
      <c r="HQ1719" s="19">
        <v>12.6</v>
      </c>
      <c r="HR1719" s="19">
        <v>16.4</v>
      </c>
      <c r="HS1719" s="19">
        <v>24.1</v>
      </c>
      <c r="HT1719" s="19">
        <v>33.3</v>
      </c>
      <c r="HU1719" s="19">
        <v>32</v>
      </c>
      <c r="HV1719" s="19">
        <v>31</v>
      </c>
      <c r="HW1719" s="19">
        <v>36</v>
      </c>
      <c r="HX1719" s="19">
        <v>43.5</v>
      </c>
      <c r="HY1719" s="19">
        <v>42</v>
      </c>
      <c r="HZ1719" s="19">
        <v>41</v>
      </c>
      <c r="IA1719" s="19">
        <v>53.3</v>
      </c>
      <c r="IB1719" s="19">
        <v>78</v>
      </c>
      <c r="IC1719" s="19">
        <v>76</v>
      </c>
    </row>
    <row r="1720">
      <c r="A1720" s="2" t="s">
        <v>6368</v>
      </c>
      <c r="B1720" s="2" t="s">
        <v>905</v>
      </c>
      <c r="C1720" s="2" t="s">
        <v>2746</v>
      </c>
      <c r="D1720" s="2" t="s">
        <v>1177</v>
      </c>
      <c r="E1720" s="2" t="s">
        <v>2747</v>
      </c>
      <c r="F1720" s="2" t="s">
        <v>6342</v>
      </c>
      <c r="G1720" s="2" t="s">
        <v>6342</v>
      </c>
      <c r="H1720" s="2" t="s">
        <v>6342</v>
      </c>
      <c r="I1720" s="2" t="s">
        <v>982</v>
      </c>
      <c r="J1720" s="2" t="s">
        <v>270</v>
      </c>
      <c r="K1720" s="2" t="s">
        <v>567</v>
      </c>
      <c r="L1720" s="3">
        <v>87.44</v>
      </c>
      <c r="M1720" s="3">
        <v>91.81</v>
      </c>
      <c r="N1720" s="3">
        <v>184.99</v>
      </c>
      <c r="O1720" s="2" t="s">
        <v>232</v>
      </c>
      <c r="P1720" s="2" t="s">
        <v>233</v>
      </c>
      <c r="Q1720" s="2" t="s">
        <v>234</v>
      </c>
      <c r="R1720" s="2" t="s">
        <v>235</v>
      </c>
      <c r="S1720" s="2" t="s">
        <v>235</v>
      </c>
      <c r="T1720" s="2" t="s">
        <v>2295</v>
      </c>
      <c r="U1720" s="2" t="s">
        <v>807</v>
      </c>
      <c r="V1720" s="2" t="s">
        <v>238</v>
      </c>
      <c r="W1720" s="2" t="s">
        <v>239</v>
      </c>
      <c r="X1720" s="2" t="s">
        <v>235</v>
      </c>
      <c r="Y1720" s="2" t="s">
        <v>4142</v>
      </c>
      <c r="Z1720" s="4">
        <v>92</v>
      </c>
      <c r="AA1720" s="4">
        <f>=ROUNDDOWN(17.037037037037,0)</f>
      </c>
      <c r="AB1720" s="5">
        <v>5.4</v>
      </c>
      <c r="AC1720" s="2" t="s">
        <v>167</v>
      </c>
      <c r="AD1720" s="4">
        <v>200</v>
      </c>
      <c r="AE1720" s="4">
        <v>200</v>
      </c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235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235</v>
      </c>
      <c r="AW1720" s="8" t="s">
        <v>235</v>
      </c>
      <c r="AX1720" s="4" t="s">
        <v>235</v>
      </c>
      <c r="AY1720" s="8" t="s">
        <v>235</v>
      </c>
      <c r="AZ1720" s="7" t="s">
        <v>235</v>
      </c>
      <c r="BA1720" s="7" t="s">
        <v>235</v>
      </c>
      <c r="BB1720" s="7"/>
      <c r="BC1720" s="4" t="s">
        <v>235</v>
      </c>
      <c r="BD1720" s="8" t="s">
        <v>235</v>
      </c>
      <c r="BE1720" s="4" t="s">
        <v>235</v>
      </c>
      <c r="BF1720" s="8" t="s">
        <v>235</v>
      </c>
      <c r="BG1720" s="7" t="s">
        <v>235</v>
      </c>
      <c r="BH1720" s="7" t="s">
        <v>235</v>
      </c>
      <c r="BI1720" s="7"/>
      <c r="BJ1720" s="4">
        <v>6</v>
      </c>
      <c r="BK1720" s="8">
        <v>581.77</v>
      </c>
      <c r="BL1720" s="2" t="s">
        <v>773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6343</v>
      </c>
      <c r="BV1720" s="2" t="s">
        <v>243</v>
      </c>
      <c r="BW1720" s="2" t="s">
        <v>235</v>
      </c>
      <c r="BX1720" s="2" t="s">
        <v>383</v>
      </c>
      <c r="BY1720" s="2" t="s">
        <v>245</v>
      </c>
      <c r="BZ1720" s="2" t="s">
        <v>232</v>
      </c>
      <c r="CA1720" s="2" t="s">
        <v>4146</v>
      </c>
      <c r="CB1720" s="2" t="s">
        <v>6369</v>
      </c>
      <c r="CC1720" s="2" t="s">
        <v>248</v>
      </c>
      <c r="CD1720" s="2" t="s">
        <v>248</v>
      </c>
      <c r="CE1720" s="2" t="s">
        <v>235</v>
      </c>
      <c r="CF1720" s="4">
        <v>24</v>
      </c>
      <c r="CG1720" s="4">
        <v>68</v>
      </c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>
        <v>200</v>
      </c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>
        <v>93</v>
      </c>
      <c r="GE1720" s="4">
        <v>90</v>
      </c>
      <c r="GF1720" s="4">
        <v>88</v>
      </c>
      <c r="GG1720" s="4">
        <v>86</v>
      </c>
      <c r="GH1720" s="4">
        <v>84</v>
      </c>
      <c r="GI1720" s="4">
        <v>78</v>
      </c>
      <c r="GJ1720" s="4">
        <v>72</v>
      </c>
      <c r="GK1720" s="4">
        <v>266</v>
      </c>
      <c r="GL1720" s="4">
        <v>260</v>
      </c>
      <c r="GM1720" s="4">
        <v>255</v>
      </c>
      <c r="GN1720" s="4">
        <v>249</v>
      </c>
      <c r="GO1720" s="4">
        <v>240</v>
      </c>
      <c r="GP1720" s="4">
        <v>229</v>
      </c>
      <c r="GQ1720" s="4">
        <v>219</v>
      </c>
      <c r="GR1720" s="4">
        <v>195</v>
      </c>
      <c r="GS1720" s="4">
        <v>172</v>
      </c>
      <c r="GT1720" s="4">
        <v>158</v>
      </c>
      <c r="GU1720" s="4">
        <v>148</v>
      </c>
      <c r="GV1720" s="4">
        <v>141</v>
      </c>
      <c r="GW1720" s="4">
        <v>134</v>
      </c>
      <c r="GX1720" s="4">
        <v>127</v>
      </c>
      <c r="GY1720" s="4">
        <v>120</v>
      </c>
      <c r="GZ1720" s="4">
        <v>117</v>
      </c>
      <c r="HA1720" s="4">
        <v>114</v>
      </c>
      <c r="HB1720" s="4">
        <v>111</v>
      </c>
      <c r="HC1720" s="4">
        <v>108</v>
      </c>
      <c r="HD1720" s="19">
        <v>46.5</v>
      </c>
      <c r="HE1720" s="19">
        <v>30</v>
      </c>
      <c r="HF1720" s="19">
        <v>22</v>
      </c>
      <c r="HG1720" s="19">
        <v>17.2</v>
      </c>
      <c r="HH1720" s="19">
        <v>14</v>
      </c>
      <c r="HI1720" s="19">
        <v>13</v>
      </c>
      <c r="HJ1720" s="19">
        <v>12</v>
      </c>
      <c r="HK1720" s="19">
        <v>44.3</v>
      </c>
      <c r="HL1720" s="19">
        <v>32.5</v>
      </c>
      <c r="HM1720" s="19">
        <v>28.3</v>
      </c>
      <c r="HN1720" s="19">
        <v>17.8</v>
      </c>
      <c r="HO1720" s="19">
        <v>14.1</v>
      </c>
      <c r="HP1720" s="19">
        <v>12.7</v>
      </c>
      <c r="HQ1720" s="19">
        <v>12.2</v>
      </c>
      <c r="HR1720" s="19">
        <v>13.9</v>
      </c>
      <c r="HS1720" s="19">
        <v>17.2</v>
      </c>
      <c r="HT1720" s="19">
        <v>19.8</v>
      </c>
      <c r="HU1720" s="19">
        <v>21.1</v>
      </c>
      <c r="HV1720" s="19">
        <v>23.5</v>
      </c>
      <c r="HW1720" s="19">
        <v>26.8</v>
      </c>
      <c r="HX1720" s="19">
        <v>31.8</v>
      </c>
      <c r="HY1720" s="19">
        <v>40</v>
      </c>
      <c r="HZ1720" s="19">
        <v>58.5</v>
      </c>
      <c r="IA1720" s="19">
        <v>57</v>
      </c>
      <c r="IB1720" s="19">
        <v>55.5</v>
      </c>
      <c r="IC1720" s="19">
        <v>108</v>
      </c>
    </row>
    <row r="1721">
      <c r="A1721" s="2" t="s">
        <v>6370</v>
      </c>
      <c r="B1721" s="2" t="s">
        <v>871</v>
      </c>
      <c r="C1721" s="2" t="s">
        <v>606</v>
      </c>
      <c r="D1721" s="2" t="s">
        <v>906</v>
      </c>
      <c r="E1721" s="2" t="s">
        <v>907</v>
      </c>
      <c r="F1721" s="2" t="s">
        <v>6371</v>
      </c>
      <c r="G1721" s="2" t="s">
        <v>6372</v>
      </c>
      <c r="H1721" s="2" t="s">
        <v>6373</v>
      </c>
      <c r="I1721" s="2" t="s">
        <v>6374</v>
      </c>
      <c r="J1721" s="2" t="s">
        <v>877</v>
      </c>
      <c r="K1721" s="2" t="s">
        <v>378</v>
      </c>
      <c r="L1721" s="3">
        <v>16.92</v>
      </c>
      <c r="M1721" s="3">
        <v>17.77</v>
      </c>
      <c r="N1721" s="3">
        <v>39.99</v>
      </c>
      <c r="O1721" s="2" t="s">
        <v>232</v>
      </c>
      <c r="P1721" s="2" t="s">
        <v>624</v>
      </c>
      <c r="Q1721" s="2" t="s">
        <v>234</v>
      </c>
      <c r="R1721" s="2" t="s">
        <v>235</v>
      </c>
      <c r="S1721" s="2" t="s">
        <v>6375</v>
      </c>
      <c r="T1721" s="2" t="s">
        <v>501</v>
      </c>
      <c r="U1721" s="2" t="s">
        <v>278</v>
      </c>
      <c r="V1721" s="2" t="s">
        <v>238</v>
      </c>
      <c r="W1721" s="2" t="s">
        <v>682</v>
      </c>
      <c r="X1721" s="2" t="s">
        <v>235</v>
      </c>
      <c r="Y1721" s="2" t="s">
        <v>6376</v>
      </c>
      <c r="Z1721" s="4">
        <v>106</v>
      </c>
      <c r="AA1721" s="4">
        <f>=ROUNDDOWN(18.5964912280702,0)</f>
      </c>
      <c r="AB1721" s="5">
        <v>5.7</v>
      </c>
      <c r="AC1721" s="2" t="s">
        <v>235</v>
      </c>
      <c r="AD1721" s="4"/>
      <c r="AE1721" s="4"/>
      <c r="AF1721" s="6">
        <v>63</v>
      </c>
      <c r="AG1721" s="6">
        <v>46</v>
      </c>
      <c r="AH1721" s="7">
        <v>1</v>
      </c>
      <c r="AI1721" s="4"/>
      <c r="AJ1721" s="4">
        <f>=ROUNDDOWN({0},0)</f>
      </c>
      <c r="AK1721" s="5"/>
      <c r="AL1721" s="2" t="s">
        <v>235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235</v>
      </c>
      <c r="AW1721" s="8" t="s">
        <v>235</v>
      </c>
      <c r="AX1721" s="4" t="s">
        <v>235</v>
      </c>
      <c r="AY1721" s="8" t="s">
        <v>235</v>
      </c>
      <c r="AZ1721" s="7" t="s">
        <v>235</v>
      </c>
      <c r="BA1721" s="7" t="s">
        <v>235</v>
      </c>
      <c r="BB1721" s="7"/>
      <c r="BC1721" s="4" t="s">
        <v>235</v>
      </c>
      <c r="BD1721" s="8" t="s">
        <v>235</v>
      </c>
      <c r="BE1721" s="4" t="s">
        <v>235</v>
      </c>
      <c r="BF1721" s="8" t="s">
        <v>235</v>
      </c>
      <c r="BG1721" s="7" t="s">
        <v>235</v>
      </c>
      <c r="BH1721" s="7" t="s">
        <v>235</v>
      </c>
      <c r="BI1721" s="7"/>
      <c r="BJ1721" s="4">
        <v>31</v>
      </c>
      <c r="BK1721" s="8">
        <v>623.8</v>
      </c>
      <c r="BL1721" s="2" t="s">
        <v>6377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6378</v>
      </c>
      <c r="BV1721" s="2" t="s">
        <v>243</v>
      </c>
      <c r="BW1721" s="2" t="s">
        <v>235</v>
      </c>
      <c r="BX1721" s="2" t="s">
        <v>619</v>
      </c>
      <c r="BY1721" s="2" t="s">
        <v>245</v>
      </c>
      <c r="BZ1721" s="2" t="s">
        <v>232</v>
      </c>
      <c r="CA1721" s="2" t="s">
        <v>6376</v>
      </c>
      <c r="CB1721" s="2" t="s">
        <v>4716</v>
      </c>
      <c r="CC1721" s="2" t="s">
        <v>248</v>
      </c>
      <c r="CD1721" s="2" t="s">
        <v>248</v>
      </c>
      <c r="CE1721" s="2" t="s">
        <v>235</v>
      </c>
      <c r="CF1721" s="4">
        <v>17</v>
      </c>
      <c r="CG1721" s="4"/>
      <c r="CH1721" s="4"/>
      <c r="CI1721" s="4">
        <v>89</v>
      </c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>
        <v>111</v>
      </c>
      <c r="GE1721" s="4">
        <v>106</v>
      </c>
      <c r="GF1721" s="4">
        <v>98</v>
      </c>
      <c r="GG1721" s="4">
        <v>94</v>
      </c>
      <c r="GH1721" s="4">
        <v>90</v>
      </c>
      <c r="GI1721" s="4">
        <v>85</v>
      </c>
      <c r="GJ1721" s="4">
        <v>75</v>
      </c>
      <c r="GK1721" s="4">
        <v>68</v>
      </c>
      <c r="GL1721" s="4">
        <v>62</v>
      </c>
      <c r="GM1721" s="4">
        <v>54</v>
      </c>
      <c r="GN1721" s="4">
        <v>45</v>
      </c>
      <c r="GO1721" s="4">
        <v>37</v>
      </c>
      <c r="GP1721" s="4">
        <v>31</v>
      </c>
      <c r="GQ1721" s="4">
        <v>18</v>
      </c>
      <c r="GR1721" s="4">
        <v>9</v>
      </c>
      <c r="GS1721" s="4">
        <v>3</v>
      </c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19">
        <v>25</v>
      </c>
      <c r="HE1721" s="19">
        <v>24.3</v>
      </c>
      <c r="HF1721" s="19">
        <v>23.4</v>
      </c>
      <c r="HG1721" s="19">
        <v>12.2</v>
      </c>
      <c r="HH1721" s="19">
        <v>10.1</v>
      </c>
      <c r="HI1721" s="19">
        <v>7.4</v>
      </c>
      <c r="HJ1721" s="19">
        <v>4.7</v>
      </c>
      <c r="HK1721" s="19">
        <v>4.3</v>
      </c>
      <c r="HL1721" s="19">
        <v>3.9</v>
      </c>
      <c r="HM1721" s="19">
        <v>3</v>
      </c>
      <c r="HN1721" s="19">
        <v>2.5</v>
      </c>
      <c r="HO1721" s="19">
        <v>2.3</v>
      </c>
      <c r="HP1721" s="19">
        <v>2</v>
      </c>
      <c r="HQ1721" s="19">
        <v>1.3</v>
      </c>
      <c r="HR1721" s="19">
        <v>0.9</v>
      </c>
      <c r="HS1721" s="19">
        <v>0.4</v>
      </c>
      <c r="HT1721" s="20">
        <v>0</v>
      </c>
      <c r="HU1721" s="20">
        <v>0</v>
      </c>
      <c r="HV1721" s="20">
        <v>0</v>
      </c>
      <c r="HW1721" s="20">
        <v>0</v>
      </c>
      <c r="HX1721" s="20">
        <v>0</v>
      </c>
      <c r="HY1721" s="20">
        <v>0</v>
      </c>
      <c r="HZ1721" s="20">
        <v>0</v>
      </c>
      <c r="IA1721" s="20">
        <v>0</v>
      </c>
      <c r="IB1721" s="20">
        <v>0</v>
      </c>
      <c r="IC1721" s="20">
        <v>0</v>
      </c>
    </row>
    <row r="1722">
      <c r="A1722" s="2" t="s">
        <v>6379</v>
      </c>
      <c r="B1722" s="2" t="s">
        <v>871</v>
      </c>
      <c r="C1722" s="2" t="s">
        <v>606</v>
      </c>
      <c r="D1722" s="2" t="s">
        <v>361</v>
      </c>
      <c r="E1722" s="2" t="s">
        <v>924</v>
      </c>
      <c r="F1722" s="2" t="s">
        <v>6371</v>
      </c>
      <c r="G1722" s="2" t="s">
        <v>6372</v>
      </c>
      <c r="H1722" s="2" t="s">
        <v>6373</v>
      </c>
      <c r="I1722" s="2" t="s">
        <v>6380</v>
      </c>
      <c r="J1722" s="2" t="s">
        <v>272</v>
      </c>
      <c r="K1722" s="2" t="s">
        <v>378</v>
      </c>
      <c r="L1722" s="3">
        <v>33.94</v>
      </c>
      <c r="M1722" s="3">
        <v>35.64</v>
      </c>
      <c r="N1722" s="3">
        <v>64.99</v>
      </c>
      <c r="O1722" s="2" t="s">
        <v>232</v>
      </c>
      <c r="P1722" s="2" t="s">
        <v>698</v>
      </c>
      <c r="Q1722" s="2" t="s">
        <v>234</v>
      </c>
      <c r="R1722" s="2" t="s">
        <v>235</v>
      </c>
      <c r="S1722" s="2" t="s">
        <v>6375</v>
      </c>
      <c r="T1722" s="2" t="s">
        <v>501</v>
      </c>
      <c r="U1722" s="2" t="s">
        <v>552</v>
      </c>
      <c r="V1722" s="2" t="s">
        <v>238</v>
      </c>
      <c r="W1722" s="2" t="s">
        <v>682</v>
      </c>
      <c r="X1722" s="2" t="s">
        <v>235</v>
      </c>
      <c r="Y1722" s="2" t="s">
        <v>2992</v>
      </c>
      <c r="Z1722" s="4"/>
      <c r="AA1722" s="4">
        <f>=ROUNDDOWN({0},0)</f>
      </c>
      <c r="AB1722" s="5">
        <v>26.2</v>
      </c>
      <c r="AC1722" s="2" t="s">
        <v>235</v>
      </c>
      <c r="AD1722" s="4"/>
      <c r="AE1722" s="4"/>
      <c r="AF1722" s="6">
        <v>63</v>
      </c>
      <c r="AG1722" s="6">
        <v>46</v>
      </c>
      <c r="AH1722" s="7">
        <v>0</v>
      </c>
      <c r="AI1722" s="4"/>
      <c r="AJ1722" s="4">
        <f>=ROUNDDOWN({0},0)</f>
      </c>
      <c r="AK1722" s="5"/>
      <c r="AL1722" s="2" t="s">
        <v>235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235</v>
      </c>
      <c r="AW1722" s="8" t="s">
        <v>235</v>
      </c>
      <c r="AX1722" s="4" t="s">
        <v>235</v>
      </c>
      <c r="AY1722" s="8" t="s">
        <v>235</v>
      </c>
      <c r="AZ1722" s="7" t="s">
        <v>235</v>
      </c>
      <c r="BA1722" s="7" t="s">
        <v>235</v>
      </c>
      <c r="BB1722" s="7"/>
      <c r="BC1722" s="4" t="s">
        <v>235</v>
      </c>
      <c r="BD1722" s="8" t="s">
        <v>235</v>
      </c>
      <c r="BE1722" s="4" t="s">
        <v>235</v>
      </c>
      <c r="BF1722" s="8" t="s">
        <v>235</v>
      </c>
      <c r="BG1722" s="7" t="s">
        <v>235</v>
      </c>
      <c r="BH1722" s="7" t="s">
        <v>235</v>
      </c>
      <c r="BI1722" s="7"/>
      <c r="BJ1722" s="4"/>
      <c r="BK1722" s="8"/>
      <c r="BL1722" s="2" t="s">
        <v>235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6381</v>
      </c>
      <c r="BV1722" s="2" t="s">
        <v>243</v>
      </c>
      <c r="BW1722" s="2" t="s">
        <v>235</v>
      </c>
      <c r="BX1722" s="2" t="s">
        <v>619</v>
      </c>
      <c r="BY1722" s="2" t="s">
        <v>245</v>
      </c>
      <c r="BZ1722" s="2" t="s">
        <v>232</v>
      </c>
      <c r="CA1722" s="2" t="s">
        <v>6382</v>
      </c>
      <c r="CB1722" s="2" t="s">
        <v>6383</v>
      </c>
      <c r="CC1722" s="2" t="s">
        <v>248</v>
      </c>
      <c r="CD1722" s="2" t="s">
        <v>248</v>
      </c>
      <c r="CE1722" s="2" t="s">
        <v>235</v>
      </c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>
        <v>485</v>
      </c>
      <c r="GS1722" s="4">
        <v>449</v>
      </c>
      <c r="GT1722" s="4">
        <v>426</v>
      </c>
      <c r="GU1722" s="4">
        <v>537</v>
      </c>
      <c r="GV1722" s="4">
        <v>510</v>
      </c>
      <c r="GW1722" s="4">
        <v>483</v>
      </c>
      <c r="GX1722" s="4">
        <v>456</v>
      </c>
      <c r="GY1722" s="4">
        <v>429</v>
      </c>
      <c r="GZ1722" s="4">
        <v>402</v>
      </c>
      <c r="HA1722" s="4">
        <v>375</v>
      </c>
      <c r="HB1722" s="4">
        <v>348</v>
      </c>
      <c r="HC1722" s="4">
        <v>316</v>
      </c>
      <c r="HD1722" s="20">
        <v>0</v>
      </c>
      <c r="HE1722" s="20">
        <v>0</v>
      </c>
      <c r="HF1722" s="20">
        <v>0</v>
      </c>
      <c r="HG1722" s="20">
        <v>0</v>
      </c>
      <c r="HH1722" s="20">
        <v>0</v>
      </c>
      <c r="HI1722" s="20">
        <v>0</v>
      </c>
      <c r="HJ1722" s="20">
        <v>0</v>
      </c>
      <c r="HK1722" s="20">
        <v>0</v>
      </c>
      <c r="HL1722" s="20">
        <v>0</v>
      </c>
      <c r="HM1722" s="20">
        <v>0</v>
      </c>
      <c r="HN1722" s="20">
        <v>0</v>
      </c>
      <c r="HO1722" s="20">
        <v>0</v>
      </c>
      <c r="HP1722" s="20">
        <v>0</v>
      </c>
      <c r="HQ1722" s="20">
        <v>0</v>
      </c>
      <c r="HR1722" s="19">
        <v>9.4</v>
      </c>
      <c r="HS1722" s="19">
        <v>10.2</v>
      </c>
      <c r="HT1722" s="19">
        <v>10.2</v>
      </c>
      <c r="HU1722" s="19">
        <v>19.7</v>
      </c>
      <c r="HV1722" s="19">
        <v>18.7</v>
      </c>
      <c r="HW1722" s="19">
        <v>17.7</v>
      </c>
      <c r="HX1722" s="19">
        <v>16.7</v>
      </c>
      <c r="HY1722" s="19">
        <v>15.3</v>
      </c>
      <c r="HZ1722" s="19">
        <v>14.3</v>
      </c>
      <c r="IA1722" s="19">
        <v>13.3</v>
      </c>
      <c r="IB1722" s="19">
        <v>12.3</v>
      </c>
      <c r="IC1722" s="19">
        <v>11.5</v>
      </c>
    </row>
    <row r="1723">
      <c r="A1723" s="2" t="s">
        <v>6384</v>
      </c>
      <c r="B1723" s="2" t="s">
        <v>871</v>
      </c>
      <c r="C1723" s="2" t="s">
        <v>606</v>
      </c>
      <c r="D1723" s="2" t="s">
        <v>906</v>
      </c>
      <c r="E1723" s="2" t="s">
        <v>907</v>
      </c>
      <c r="F1723" s="2" t="s">
        <v>6371</v>
      </c>
      <c r="G1723" s="2" t="s">
        <v>6372</v>
      </c>
      <c r="H1723" s="2" t="s">
        <v>6373</v>
      </c>
      <c r="I1723" s="2" t="s">
        <v>6374</v>
      </c>
      <c r="J1723" s="2" t="s">
        <v>272</v>
      </c>
      <c r="K1723" s="2" t="s">
        <v>506</v>
      </c>
      <c r="L1723" s="3">
        <v>25.79</v>
      </c>
      <c r="M1723" s="3">
        <v>27.08</v>
      </c>
      <c r="N1723" s="3">
        <v>49.99</v>
      </c>
      <c r="O1723" s="2" t="s">
        <v>232</v>
      </c>
      <c r="P1723" s="2" t="s">
        <v>624</v>
      </c>
      <c r="Q1723" s="2" t="s">
        <v>234</v>
      </c>
      <c r="R1723" s="2" t="s">
        <v>235</v>
      </c>
      <c r="S1723" s="2" t="s">
        <v>6385</v>
      </c>
      <c r="T1723" s="2" t="s">
        <v>501</v>
      </c>
      <c r="U1723" s="2" t="s">
        <v>552</v>
      </c>
      <c r="V1723" s="2" t="s">
        <v>238</v>
      </c>
      <c r="W1723" s="2" t="s">
        <v>682</v>
      </c>
      <c r="X1723" s="2" t="s">
        <v>235</v>
      </c>
      <c r="Y1723" s="2" t="s">
        <v>3481</v>
      </c>
      <c r="Z1723" s="4"/>
      <c r="AA1723" s="4">
        <f>=ROUNDDOWN({0},0)</f>
      </c>
      <c r="AB1723" s="5">
        <v>3.8</v>
      </c>
      <c r="AC1723" s="2" t="s">
        <v>235</v>
      </c>
      <c r="AD1723" s="4"/>
      <c r="AE1723" s="4"/>
      <c r="AF1723" s="6">
        <v>63</v>
      </c>
      <c r="AG1723" s="6">
        <v>46</v>
      </c>
      <c r="AH1723" s="7">
        <v>0.0323</v>
      </c>
      <c r="AI1723" s="4"/>
      <c r="AJ1723" s="4">
        <f>=ROUNDDOWN({0},0)</f>
      </c>
      <c r="AK1723" s="5"/>
      <c r="AL1723" s="2" t="s">
        <v>235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 t="s">
        <v>235</v>
      </c>
      <c r="BD1723" s="8" t="s">
        <v>235</v>
      </c>
      <c r="BE1723" s="4" t="s">
        <v>235</v>
      </c>
      <c r="BF1723" s="8" t="s">
        <v>235</v>
      </c>
      <c r="BG1723" s="7" t="s">
        <v>235</v>
      </c>
      <c r="BH1723" s="7" t="s">
        <v>235</v>
      </c>
      <c r="BI1723" s="7"/>
      <c r="BJ1723" s="4">
        <v>4</v>
      </c>
      <c r="BK1723" s="8">
        <v>110.95</v>
      </c>
      <c r="BL1723" s="2" t="s">
        <v>2388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6378</v>
      </c>
      <c r="BV1723" s="2" t="s">
        <v>243</v>
      </c>
      <c r="BW1723" s="2" t="s">
        <v>235</v>
      </c>
      <c r="BX1723" s="2" t="s">
        <v>619</v>
      </c>
      <c r="BY1723" s="2" t="s">
        <v>245</v>
      </c>
      <c r="BZ1723" s="2" t="s">
        <v>232</v>
      </c>
      <c r="CA1723" s="2" t="s">
        <v>642</v>
      </c>
      <c r="CB1723" s="2" t="s">
        <v>3219</v>
      </c>
      <c r="CC1723" s="2" t="s">
        <v>248</v>
      </c>
      <c r="CD1723" s="2" t="s">
        <v>248</v>
      </c>
      <c r="CE1723" s="2" t="s">
        <v>235</v>
      </c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20">
        <v>0</v>
      </c>
      <c r="HE1723" s="20">
        <v>0</v>
      </c>
      <c r="HF1723" s="20">
        <v>0</v>
      </c>
      <c r="HG1723" s="20">
        <v>0</v>
      </c>
      <c r="HH1723" s="20">
        <v>0</v>
      </c>
      <c r="HI1723" s="20">
        <v>0</v>
      </c>
      <c r="HJ1723" s="20">
        <v>0</v>
      </c>
      <c r="HK1723" s="20">
        <v>0</v>
      </c>
      <c r="HL1723" s="20">
        <v>0</v>
      </c>
      <c r="HM1723" s="20">
        <v>0</v>
      </c>
      <c r="HN1723" s="20">
        <v>0</v>
      </c>
      <c r="HO1723" s="20">
        <v>0</v>
      </c>
      <c r="HP1723" s="20">
        <v>0</v>
      </c>
      <c r="HQ1723" s="20">
        <v>0</v>
      </c>
      <c r="HR1723" s="20">
        <v>0</v>
      </c>
      <c r="HS1723" s="20">
        <v>0</v>
      </c>
      <c r="HT1723" s="20">
        <v>0</v>
      </c>
      <c r="HU1723" s="20">
        <v>0</v>
      </c>
      <c r="HV1723" s="20">
        <v>0</v>
      </c>
      <c r="HW1723" s="20">
        <v>0</v>
      </c>
      <c r="HX1723" s="20">
        <v>0</v>
      </c>
      <c r="HY1723" s="20">
        <v>0</v>
      </c>
      <c r="HZ1723" s="20">
        <v>0</v>
      </c>
      <c r="IA1723" s="20">
        <v>0</v>
      </c>
      <c r="IB1723" s="20">
        <v>0</v>
      </c>
      <c r="IC1723" s="20">
        <v>0</v>
      </c>
    </row>
    <row r="1724">
      <c r="A1724" s="2" t="s">
        <v>6386</v>
      </c>
      <c r="B1724" s="2" t="s">
        <v>871</v>
      </c>
      <c r="C1724" s="2" t="s">
        <v>606</v>
      </c>
      <c r="D1724" s="2" t="s">
        <v>361</v>
      </c>
      <c r="E1724" s="2" t="s">
        <v>924</v>
      </c>
      <c r="F1724" s="2" t="s">
        <v>6371</v>
      </c>
      <c r="G1724" s="2" t="s">
        <v>6372</v>
      </c>
      <c r="H1724" s="2" t="s">
        <v>6373</v>
      </c>
      <c r="I1724" s="2" t="s">
        <v>6380</v>
      </c>
      <c r="J1724" s="2" t="s">
        <v>877</v>
      </c>
      <c r="K1724" s="2" t="s">
        <v>4231</v>
      </c>
      <c r="L1724" s="3">
        <v>23.44</v>
      </c>
      <c r="M1724" s="3">
        <v>24.61</v>
      </c>
      <c r="N1724" s="3">
        <v>49.99</v>
      </c>
      <c r="O1724" s="2" t="s">
        <v>232</v>
      </c>
      <c r="P1724" s="2" t="s">
        <v>333</v>
      </c>
      <c r="Q1724" s="2" t="s">
        <v>234</v>
      </c>
      <c r="R1724" s="2" t="s">
        <v>235</v>
      </c>
      <c r="S1724" s="2" t="s">
        <v>6387</v>
      </c>
      <c r="T1724" s="2" t="s">
        <v>501</v>
      </c>
      <c r="U1724" s="2" t="s">
        <v>278</v>
      </c>
      <c r="V1724" s="2" t="s">
        <v>238</v>
      </c>
      <c r="W1724" s="2" t="s">
        <v>682</v>
      </c>
      <c r="X1724" s="2" t="s">
        <v>235</v>
      </c>
      <c r="Y1724" s="2" t="s">
        <v>5349</v>
      </c>
      <c r="Z1724" s="4">
        <v>120</v>
      </c>
      <c r="AA1724" s="4">
        <f>=ROUNDDOWN(15,0)</f>
      </c>
      <c r="AB1724" s="5">
        <v>8</v>
      </c>
      <c r="AC1724" s="2" t="s">
        <v>4370</v>
      </c>
      <c r="AD1724" s="4">
        <v>120</v>
      </c>
      <c r="AE1724" s="4">
        <v>120</v>
      </c>
      <c r="AF1724" s="6">
        <v>63</v>
      </c>
      <c r="AG1724" s="6">
        <v>46</v>
      </c>
      <c r="AH1724" s="7">
        <v>1</v>
      </c>
      <c r="AI1724" s="4"/>
      <c r="AJ1724" s="4">
        <f>=ROUNDDOWN({0},0)</f>
      </c>
      <c r="AK1724" s="5">
        <v>1.8</v>
      </c>
      <c r="AL1724" s="2" t="s">
        <v>235</v>
      </c>
      <c r="AM1724" s="4"/>
      <c r="AN1724" s="4"/>
      <c r="AO1724" s="7">
        <v>1</v>
      </c>
      <c r="AP1724" s="4"/>
      <c r="AQ1724" s="8"/>
      <c r="AR1724" s="4"/>
      <c r="AS1724" s="8"/>
      <c r="AT1724" s="7"/>
      <c r="AU1724" s="7"/>
      <c r="AV1724" s="4" t="s">
        <v>235</v>
      </c>
      <c r="AW1724" s="8" t="s">
        <v>235</v>
      </c>
      <c r="AX1724" s="4" t="s">
        <v>235</v>
      </c>
      <c r="AY1724" s="8" t="s">
        <v>235</v>
      </c>
      <c r="AZ1724" s="7" t="s">
        <v>235</v>
      </c>
      <c r="BA1724" s="7" t="s">
        <v>235</v>
      </c>
      <c r="BB1724" s="7" t="s">
        <v>235</v>
      </c>
      <c r="BC1724" s="4" t="s">
        <v>235</v>
      </c>
      <c r="BD1724" s="8" t="s">
        <v>235</v>
      </c>
      <c r="BE1724" s="4" t="s">
        <v>235</v>
      </c>
      <c r="BF1724" s="8" t="s">
        <v>235</v>
      </c>
      <c r="BG1724" s="7" t="s">
        <v>235</v>
      </c>
      <c r="BH1724" s="7" t="s">
        <v>235</v>
      </c>
      <c r="BI1724" s="7"/>
      <c r="BJ1724" s="4">
        <v>19</v>
      </c>
      <c r="BK1724" s="8">
        <v>442.85</v>
      </c>
      <c r="BL1724" s="2" t="s">
        <v>6388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6381</v>
      </c>
      <c r="BV1724" s="2" t="s">
        <v>243</v>
      </c>
      <c r="BW1724" s="2" t="s">
        <v>235</v>
      </c>
      <c r="BX1724" s="2" t="s">
        <v>619</v>
      </c>
      <c r="BY1724" s="2" t="s">
        <v>245</v>
      </c>
      <c r="BZ1724" s="2" t="s">
        <v>232</v>
      </c>
      <c r="CA1724" s="2" t="s">
        <v>6389</v>
      </c>
      <c r="CB1724" s="2" t="s">
        <v>2190</v>
      </c>
      <c r="CC1724" s="2" t="s">
        <v>248</v>
      </c>
      <c r="CD1724" s="2" t="s">
        <v>248</v>
      </c>
      <c r="CE1724" s="2" t="s">
        <v>235</v>
      </c>
      <c r="CF1724" s="4"/>
      <c r="CG1724" s="4"/>
      <c r="CH1724" s="4"/>
      <c r="CI1724" s="4">
        <v>120</v>
      </c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>
        <v>120</v>
      </c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>
        <v>120</v>
      </c>
      <c r="GE1724" s="4">
        <v>232</v>
      </c>
      <c r="GF1724" s="4">
        <v>226</v>
      </c>
      <c r="GG1724" s="4">
        <v>220</v>
      </c>
      <c r="GH1724" s="4">
        <v>214</v>
      </c>
      <c r="GI1724" s="4">
        <v>208</v>
      </c>
      <c r="GJ1724" s="4">
        <v>196</v>
      </c>
      <c r="GK1724" s="4">
        <v>186</v>
      </c>
      <c r="GL1724" s="4">
        <v>178</v>
      </c>
      <c r="GM1724" s="4">
        <v>166</v>
      </c>
      <c r="GN1724" s="4">
        <v>153</v>
      </c>
      <c r="GO1724" s="4">
        <v>140</v>
      </c>
      <c r="GP1724" s="4">
        <v>130</v>
      </c>
      <c r="GQ1724" s="4">
        <v>111</v>
      </c>
      <c r="GR1724" s="4">
        <v>121</v>
      </c>
      <c r="GS1724" s="4">
        <v>112</v>
      </c>
      <c r="GT1724" s="4">
        <v>105</v>
      </c>
      <c r="GU1724" s="4">
        <v>111</v>
      </c>
      <c r="GV1724" s="4">
        <v>103</v>
      </c>
      <c r="GW1724" s="4">
        <v>95</v>
      </c>
      <c r="GX1724" s="4">
        <v>87</v>
      </c>
      <c r="GY1724" s="4">
        <v>83</v>
      </c>
      <c r="GZ1724" s="4">
        <v>153</v>
      </c>
      <c r="HA1724" s="4">
        <v>145</v>
      </c>
      <c r="HB1724" s="4">
        <v>137</v>
      </c>
      <c r="HC1724" s="4">
        <v>135</v>
      </c>
      <c r="HD1724" s="19">
        <v>10</v>
      </c>
      <c r="HE1724" s="19">
        <v>19.4</v>
      </c>
      <c r="HF1724" s="19">
        <v>14.2</v>
      </c>
      <c r="HG1724" s="19">
        <v>13.8</v>
      </c>
      <c r="HH1724" s="19">
        <v>11.9</v>
      </c>
      <c r="HI1724" s="19">
        <v>10.4</v>
      </c>
      <c r="HJ1724" s="19">
        <v>8.9</v>
      </c>
      <c r="HK1724" s="19">
        <v>7.8</v>
      </c>
      <c r="HL1724" s="19">
        <v>7.4</v>
      </c>
      <c r="HM1724" s="19">
        <v>6</v>
      </c>
      <c r="HN1724" s="19">
        <v>5.5</v>
      </c>
      <c r="HO1724" s="19">
        <v>5.4</v>
      </c>
      <c r="HP1724" s="19">
        <v>5.4</v>
      </c>
      <c r="HQ1724" s="19">
        <v>6.2</v>
      </c>
      <c r="HR1724" s="19">
        <v>7.6</v>
      </c>
      <c r="HS1724" s="19">
        <v>8</v>
      </c>
      <c r="HT1724" s="19">
        <v>7.5</v>
      </c>
      <c r="HU1724" s="19">
        <v>13.5</v>
      </c>
      <c r="HV1724" s="19">
        <v>12.5</v>
      </c>
      <c r="HW1724" s="19">
        <v>11.5</v>
      </c>
      <c r="HX1724" s="19">
        <v>10.5</v>
      </c>
      <c r="HY1724" s="19">
        <v>11.5</v>
      </c>
      <c r="HZ1724" s="19">
        <v>16.1</v>
      </c>
      <c r="IA1724" s="19">
        <v>15.1</v>
      </c>
      <c r="IB1724" s="19">
        <v>14.1</v>
      </c>
      <c r="IC1724" s="19">
        <v>16.5</v>
      </c>
    </row>
    <row r="1725">
      <c r="A1725" s="2" t="s">
        <v>6390</v>
      </c>
      <c r="B1725" s="2" t="s">
        <v>871</v>
      </c>
      <c r="C1725" s="2" t="s">
        <v>606</v>
      </c>
      <c r="D1725" s="2" t="s">
        <v>906</v>
      </c>
      <c r="E1725" s="2" t="s">
        <v>907</v>
      </c>
      <c r="F1725" s="2" t="s">
        <v>6371</v>
      </c>
      <c r="G1725" s="2" t="s">
        <v>6372</v>
      </c>
      <c r="H1725" s="2" t="s">
        <v>6373</v>
      </c>
      <c r="I1725" s="2" t="s">
        <v>6374</v>
      </c>
      <c r="J1725" s="2" t="s">
        <v>877</v>
      </c>
      <c r="K1725" s="2" t="s">
        <v>4231</v>
      </c>
      <c r="L1725" s="3">
        <v>16.92</v>
      </c>
      <c r="M1725" s="3">
        <v>17.77</v>
      </c>
      <c r="N1725" s="3">
        <v>39.99</v>
      </c>
      <c r="O1725" s="2" t="s">
        <v>232</v>
      </c>
      <c r="P1725" s="2" t="s">
        <v>965</v>
      </c>
      <c r="Q1725" s="2" t="s">
        <v>234</v>
      </c>
      <c r="R1725" s="2" t="s">
        <v>235</v>
      </c>
      <c r="S1725" s="2" t="s">
        <v>6387</v>
      </c>
      <c r="T1725" s="2" t="s">
        <v>501</v>
      </c>
      <c r="U1725" s="2" t="s">
        <v>278</v>
      </c>
      <c r="V1725" s="2" t="s">
        <v>238</v>
      </c>
      <c r="W1725" s="2" t="s">
        <v>682</v>
      </c>
      <c r="X1725" s="2" t="s">
        <v>235</v>
      </c>
      <c r="Y1725" s="2" t="s">
        <v>6391</v>
      </c>
      <c r="Z1725" s="4">
        <v>23</v>
      </c>
      <c r="AA1725" s="4">
        <f>=ROUNDDOWN(5.47619047619048,0)</f>
      </c>
      <c r="AB1725" s="5">
        <v>4.2</v>
      </c>
      <c r="AC1725" s="2" t="s">
        <v>235</v>
      </c>
      <c r="AD1725" s="4"/>
      <c r="AE1725" s="4"/>
      <c r="AF1725" s="6">
        <v>63</v>
      </c>
      <c r="AG1725" s="6">
        <v>46</v>
      </c>
      <c r="AH1725" s="7">
        <v>1</v>
      </c>
      <c r="AI1725" s="4"/>
      <c r="AJ1725" s="4">
        <f>=ROUNDDOWN({0},0)</f>
      </c>
      <c r="AK1725" s="5"/>
      <c r="AL1725" s="2" t="s">
        <v>235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235</v>
      </c>
      <c r="AW1725" s="8" t="s">
        <v>235</v>
      </c>
      <c r="AX1725" s="4" t="s">
        <v>235</v>
      </c>
      <c r="AY1725" s="8" t="s">
        <v>235</v>
      </c>
      <c r="AZ1725" s="7" t="s">
        <v>235</v>
      </c>
      <c r="BA1725" s="7" t="s">
        <v>235</v>
      </c>
      <c r="BB1725" s="7" t="s">
        <v>235</v>
      </c>
      <c r="BC1725" s="4" t="s">
        <v>235</v>
      </c>
      <c r="BD1725" s="8" t="s">
        <v>235</v>
      </c>
      <c r="BE1725" s="4" t="s">
        <v>235</v>
      </c>
      <c r="BF1725" s="8" t="s">
        <v>235</v>
      </c>
      <c r="BG1725" s="7" t="s">
        <v>235</v>
      </c>
      <c r="BH1725" s="7" t="s">
        <v>235</v>
      </c>
      <c r="BI1725" s="7"/>
      <c r="BJ1725" s="4">
        <v>7</v>
      </c>
      <c r="BK1725" s="8">
        <v>142.63</v>
      </c>
      <c r="BL1725" s="2" t="s">
        <v>6392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6378</v>
      </c>
      <c r="BV1725" s="2" t="s">
        <v>243</v>
      </c>
      <c r="BW1725" s="2" t="s">
        <v>235</v>
      </c>
      <c r="BX1725" s="2" t="s">
        <v>619</v>
      </c>
      <c r="BY1725" s="2" t="s">
        <v>245</v>
      </c>
      <c r="BZ1725" s="2" t="s">
        <v>232</v>
      </c>
      <c r="CA1725" s="2" t="s">
        <v>6389</v>
      </c>
      <c r="CB1725" s="2" t="s">
        <v>3741</v>
      </c>
      <c r="CC1725" s="2" t="s">
        <v>248</v>
      </c>
      <c r="CD1725" s="2" t="s">
        <v>248</v>
      </c>
      <c r="CE1725" s="2" t="s">
        <v>235</v>
      </c>
      <c r="CF1725" s="4">
        <v>23</v>
      </c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>
        <v>25</v>
      </c>
      <c r="GE1725" s="4">
        <v>7</v>
      </c>
      <c r="GF1725" s="4">
        <v>2</v>
      </c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>
        <v>60</v>
      </c>
      <c r="GS1725" s="4">
        <v>43</v>
      </c>
      <c r="GT1725" s="4">
        <v>39</v>
      </c>
      <c r="GU1725" s="4">
        <v>140</v>
      </c>
      <c r="GV1725" s="4">
        <v>136</v>
      </c>
      <c r="GW1725" s="4">
        <v>132</v>
      </c>
      <c r="GX1725" s="4">
        <v>128</v>
      </c>
      <c r="GY1725" s="4">
        <v>124</v>
      </c>
      <c r="GZ1725" s="4">
        <v>120</v>
      </c>
      <c r="HA1725" s="4">
        <v>116</v>
      </c>
      <c r="HB1725" s="4">
        <v>112</v>
      </c>
      <c r="HC1725" s="4">
        <v>108</v>
      </c>
      <c r="HD1725" s="19">
        <v>1.8</v>
      </c>
      <c r="HE1725" s="19">
        <v>1.2</v>
      </c>
      <c r="HF1725" s="19">
        <v>0.5</v>
      </c>
      <c r="HG1725" s="20">
        <v>0</v>
      </c>
      <c r="HH1725" s="20">
        <v>0</v>
      </c>
      <c r="HI1725" s="20">
        <v>0</v>
      </c>
      <c r="HJ1725" s="20">
        <v>0</v>
      </c>
      <c r="HK1725" s="20">
        <v>0</v>
      </c>
      <c r="HL1725" s="20">
        <v>0</v>
      </c>
      <c r="HM1725" s="20">
        <v>0</v>
      </c>
      <c r="HN1725" s="20">
        <v>0</v>
      </c>
      <c r="HO1725" s="20">
        <v>0</v>
      </c>
      <c r="HP1725" s="20">
        <v>0</v>
      </c>
      <c r="HQ1725" s="20">
        <v>0</v>
      </c>
      <c r="HR1725" s="19">
        <v>5</v>
      </c>
      <c r="HS1725" s="19">
        <v>10.8</v>
      </c>
      <c r="HT1725" s="19">
        <v>9.8</v>
      </c>
      <c r="HU1725" s="19">
        <v>35</v>
      </c>
      <c r="HV1725" s="19">
        <v>34</v>
      </c>
      <c r="HW1725" s="19">
        <v>33</v>
      </c>
      <c r="HX1725" s="19">
        <v>32</v>
      </c>
      <c r="HY1725" s="19">
        <v>31</v>
      </c>
      <c r="HZ1725" s="19">
        <v>30</v>
      </c>
      <c r="IA1725" s="19">
        <v>29</v>
      </c>
      <c r="IB1725" s="19">
        <v>28</v>
      </c>
      <c r="IC1725" s="19">
        <v>27</v>
      </c>
    </row>
    <row r="1726">
      <c r="A1726" s="2" t="s">
        <v>6393</v>
      </c>
      <c r="B1726" s="2" t="s">
        <v>871</v>
      </c>
      <c r="C1726" s="2" t="s">
        <v>606</v>
      </c>
      <c r="D1726" s="2" t="s">
        <v>906</v>
      </c>
      <c r="E1726" s="2" t="s">
        <v>907</v>
      </c>
      <c r="F1726" s="2" t="s">
        <v>6371</v>
      </c>
      <c r="G1726" s="2" t="s">
        <v>6372</v>
      </c>
      <c r="H1726" s="2" t="s">
        <v>6373</v>
      </c>
      <c r="I1726" s="2" t="s">
        <v>6374</v>
      </c>
      <c r="J1726" s="2" t="s">
        <v>250</v>
      </c>
      <c r="K1726" s="2" t="s">
        <v>4231</v>
      </c>
      <c r="L1726" s="3">
        <v>21.52</v>
      </c>
      <c r="M1726" s="3">
        <v>22.6</v>
      </c>
      <c r="N1726" s="3">
        <v>42.99</v>
      </c>
      <c r="O1726" s="2" t="s">
        <v>232</v>
      </c>
      <c r="P1726" s="2" t="s">
        <v>965</v>
      </c>
      <c r="Q1726" s="2" t="s">
        <v>234</v>
      </c>
      <c r="R1726" s="2" t="s">
        <v>235</v>
      </c>
      <c r="S1726" s="2" t="s">
        <v>6387</v>
      </c>
      <c r="T1726" s="2" t="s">
        <v>501</v>
      </c>
      <c r="U1726" s="2" t="s">
        <v>552</v>
      </c>
      <c r="V1726" s="2" t="s">
        <v>238</v>
      </c>
      <c r="W1726" s="2" t="s">
        <v>682</v>
      </c>
      <c r="X1726" s="2" t="s">
        <v>235</v>
      </c>
      <c r="Y1726" s="2" t="s">
        <v>3581</v>
      </c>
      <c r="Z1726" s="4">
        <v>4</v>
      </c>
      <c r="AA1726" s="4">
        <f>=ROUNDDOWN(1.11111111111111,0)</f>
      </c>
      <c r="AB1726" s="5">
        <v>3.6</v>
      </c>
      <c r="AC1726" s="2" t="s">
        <v>235</v>
      </c>
      <c r="AD1726" s="4"/>
      <c r="AE1726" s="4"/>
      <c r="AF1726" s="6">
        <v>63</v>
      </c>
      <c r="AG1726" s="6">
        <v>46</v>
      </c>
      <c r="AH1726" s="7">
        <v>0.8387</v>
      </c>
      <c r="AI1726" s="4"/>
      <c r="AJ1726" s="4">
        <f>=ROUNDDOWN({0},0)</f>
      </c>
      <c r="AK1726" s="5"/>
      <c r="AL1726" s="2" t="s">
        <v>235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235</v>
      </c>
      <c r="AW1726" s="8" t="s">
        <v>235</v>
      </c>
      <c r="AX1726" s="4" t="s">
        <v>235</v>
      </c>
      <c r="AY1726" s="8" t="s">
        <v>235</v>
      </c>
      <c r="AZ1726" s="7" t="s">
        <v>235</v>
      </c>
      <c r="BA1726" s="7" t="s">
        <v>235</v>
      </c>
      <c r="BB1726" s="7"/>
      <c r="BC1726" s="4" t="s">
        <v>235</v>
      </c>
      <c r="BD1726" s="8" t="s">
        <v>235</v>
      </c>
      <c r="BE1726" s="4" t="s">
        <v>235</v>
      </c>
      <c r="BF1726" s="8" t="s">
        <v>235</v>
      </c>
      <c r="BG1726" s="7" t="s">
        <v>235</v>
      </c>
      <c r="BH1726" s="7" t="s">
        <v>235</v>
      </c>
      <c r="BI1726" s="7"/>
      <c r="BJ1726" s="4">
        <v>20</v>
      </c>
      <c r="BK1726" s="8">
        <v>463.12</v>
      </c>
      <c r="BL1726" s="2" t="s">
        <v>6394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6378</v>
      </c>
      <c r="BV1726" s="2" t="s">
        <v>243</v>
      </c>
      <c r="BW1726" s="2" t="s">
        <v>235</v>
      </c>
      <c r="BX1726" s="2" t="s">
        <v>619</v>
      </c>
      <c r="BY1726" s="2" t="s">
        <v>245</v>
      </c>
      <c r="BZ1726" s="2" t="s">
        <v>232</v>
      </c>
      <c r="CA1726" s="2" t="s">
        <v>642</v>
      </c>
      <c r="CB1726" s="2" t="s">
        <v>941</v>
      </c>
      <c r="CC1726" s="2" t="s">
        <v>248</v>
      </c>
      <c r="CD1726" s="2" t="s">
        <v>248</v>
      </c>
      <c r="CE1726" s="2" t="s">
        <v>235</v>
      </c>
      <c r="CF1726" s="4">
        <v>1</v>
      </c>
      <c r="CG1726" s="4"/>
      <c r="CH1726" s="4"/>
      <c r="CI1726" s="4">
        <v>3</v>
      </c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>
        <v>4</v>
      </c>
      <c r="GE1726" s="4">
        <v>2</v>
      </c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>
        <v>28</v>
      </c>
      <c r="GS1726" s="4">
        <v>11</v>
      </c>
      <c r="GT1726" s="4">
        <v>7</v>
      </c>
      <c r="GU1726" s="4">
        <v>122</v>
      </c>
      <c r="GV1726" s="4">
        <v>118</v>
      </c>
      <c r="GW1726" s="4">
        <v>114</v>
      </c>
      <c r="GX1726" s="4">
        <v>110</v>
      </c>
      <c r="GY1726" s="4">
        <v>106</v>
      </c>
      <c r="GZ1726" s="4">
        <v>102</v>
      </c>
      <c r="HA1726" s="4">
        <v>98</v>
      </c>
      <c r="HB1726" s="4">
        <v>94</v>
      </c>
      <c r="HC1726" s="4">
        <v>90</v>
      </c>
      <c r="HD1726" s="19">
        <v>2</v>
      </c>
      <c r="HE1726" s="20">
        <v>0</v>
      </c>
      <c r="HF1726" s="20">
        <v>0</v>
      </c>
      <c r="HG1726" s="20">
        <v>0</v>
      </c>
      <c r="HH1726" s="20">
        <v>0</v>
      </c>
      <c r="HI1726" s="20">
        <v>0</v>
      </c>
      <c r="HJ1726" s="20">
        <v>0</v>
      </c>
      <c r="HK1726" s="20">
        <v>0</v>
      </c>
      <c r="HL1726" s="20">
        <v>0</v>
      </c>
      <c r="HM1726" s="20">
        <v>0</v>
      </c>
      <c r="HN1726" s="20">
        <v>0</v>
      </c>
      <c r="HO1726" s="20">
        <v>0</v>
      </c>
      <c r="HP1726" s="20">
        <v>0</v>
      </c>
      <c r="HQ1726" s="20">
        <v>0</v>
      </c>
      <c r="HR1726" s="19">
        <v>2.4</v>
      </c>
      <c r="HS1726" s="19">
        <v>2.8</v>
      </c>
      <c r="HT1726" s="19">
        <v>3.5</v>
      </c>
      <c r="HU1726" s="19">
        <v>14.9</v>
      </c>
      <c r="HV1726" s="19">
        <v>14.4</v>
      </c>
      <c r="HW1726" s="19">
        <v>13.9</v>
      </c>
      <c r="HX1726" s="19">
        <v>13.4</v>
      </c>
      <c r="HY1726" s="19">
        <v>12.9</v>
      </c>
      <c r="HZ1726" s="19">
        <v>12.4</v>
      </c>
      <c r="IA1726" s="19">
        <v>11.9</v>
      </c>
      <c r="IB1726" s="19">
        <v>11.4</v>
      </c>
      <c r="IC1726" s="19">
        <v>10.9</v>
      </c>
    </row>
    <row r="1727">
      <c r="A1727" s="2" t="s">
        <v>6395</v>
      </c>
      <c r="B1727" s="2" t="s">
        <v>871</v>
      </c>
      <c r="C1727" s="2" t="s">
        <v>606</v>
      </c>
      <c r="D1727" s="2" t="s">
        <v>906</v>
      </c>
      <c r="E1727" s="2" t="s">
        <v>907</v>
      </c>
      <c r="F1727" s="2" t="s">
        <v>6371</v>
      </c>
      <c r="G1727" s="2" t="s">
        <v>6372</v>
      </c>
      <c r="H1727" s="2" t="s">
        <v>6373</v>
      </c>
      <c r="I1727" s="2" t="s">
        <v>6374</v>
      </c>
      <c r="J1727" s="2" t="s">
        <v>270</v>
      </c>
      <c r="K1727" s="2" t="s">
        <v>4231</v>
      </c>
      <c r="L1727" s="3">
        <v>24.66</v>
      </c>
      <c r="M1727" s="3">
        <v>25.89</v>
      </c>
      <c r="N1727" s="3">
        <v>49.99</v>
      </c>
      <c r="O1727" s="2" t="s">
        <v>232</v>
      </c>
      <c r="P1727" s="2" t="s">
        <v>965</v>
      </c>
      <c r="Q1727" s="2" t="s">
        <v>234</v>
      </c>
      <c r="R1727" s="2" t="s">
        <v>235</v>
      </c>
      <c r="S1727" s="2" t="s">
        <v>6387</v>
      </c>
      <c r="T1727" s="2" t="s">
        <v>501</v>
      </c>
      <c r="U1727" s="2" t="s">
        <v>552</v>
      </c>
      <c r="V1727" s="2" t="s">
        <v>238</v>
      </c>
      <c r="W1727" s="2" t="s">
        <v>682</v>
      </c>
      <c r="X1727" s="2" t="s">
        <v>235</v>
      </c>
      <c r="Y1727" s="2" t="s">
        <v>6391</v>
      </c>
      <c r="Z1727" s="4"/>
      <c r="AA1727" s="4">
        <f>=ROUNDDOWN({0},0)</f>
      </c>
      <c r="AB1727" s="5">
        <v>13.9</v>
      </c>
      <c r="AC1727" s="2" t="s">
        <v>235</v>
      </c>
      <c r="AD1727" s="4"/>
      <c r="AE1727" s="4"/>
      <c r="AF1727" s="6">
        <v>63</v>
      </c>
      <c r="AG1727" s="6">
        <v>46</v>
      </c>
      <c r="AH1727" s="7">
        <v>0</v>
      </c>
      <c r="AI1727" s="4"/>
      <c r="AJ1727" s="4">
        <f>=ROUNDDOWN({0},0)</f>
      </c>
      <c r="AK1727" s="5"/>
      <c r="AL1727" s="2" t="s">
        <v>235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235</v>
      </c>
      <c r="AW1727" s="8" t="s">
        <v>235</v>
      </c>
      <c r="AX1727" s="4" t="s">
        <v>235</v>
      </c>
      <c r="AY1727" s="8" t="s">
        <v>235</v>
      </c>
      <c r="AZ1727" s="7" t="s">
        <v>235</v>
      </c>
      <c r="BA1727" s="7" t="s">
        <v>235</v>
      </c>
      <c r="BB1727" s="7"/>
      <c r="BC1727" s="4" t="s">
        <v>235</v>
      </c>
      <c r="BD1727" s="8" t="s">
        <v>235</v>
      </c>
      <c r="BE1727" s="4" t="s">
        <v>235</v>
      </c>
      <c r="BF1727" s="8" t="s">
        <v>235</v>
      </c>
      <c r="BG1727" s="7" t="s">
        <v>235</v>
      </c>
      <c r="BH1727" s="7" t="s">
        <v>235</v>
      </c>
      <c r="BI1727" s="7"/>
      <c r="BJ1727" s="4"/>
      <c r="BK1727" s="8"/>
      <c r="BL1727" s="2" t="s">
        <v>1122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6378</v>
      </c>
      <c r="BV1727" s="2" t="s">
        <v>243</v>
      </c>
      <c r="BW1727" s="2" t="s">
        <v>235</v>
      </c>
      <c r="BX1727" s="2" t="s">
        <v>619</v>
      </c>
      <c r="BY1727" s="2" t="s">
        <v>245</v>
      </c>
      <c r="BZ1727" s="2" t="s">
        <v>232</v>
      </c>
      <c r="CA1727" s="2" t="s">
        <v>6389</v>
      </c>
      <c r="CB1727" s="2" t="s">
        <v>2190</v>
      </c>
      <c r="CC1727" s="2" t="s">
        <v>248</v>
      </c>
      <c r="CD1727" s="2" t="s">
        <v>248</v>
      </c>
      <c r="CE1727" s="2" t="s">
        <v>235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>
        <v>133</v>
      </c>
      <c r="GS1727" s="4">
        <v>74</v>
      </c>
      <c r="GT1727" s="4">
        <v>61</v>
      </c>
      <c r="GU1727" s="4">
        <v>105</v>
      </c>
      <c r="GV1727" s="4">
        <v>90</v>
      </c>
      <c r="GW1727" s="4">
        <v>76</v>
      </c>
      <c r="GX1727" s="4">
        <v>62</v>
      </c>
      <c r="GY1727" s="4">
        <v>80</v>
      </c>
      <c r="GZ1727" s="4">
        <v>133</v>
      </c>
      <c r="HA1727" s="4">
        <v>119</v>
      </c>
      <c r="HB1727" s="4">
        <v>105</v>
      </c>
      <c r="HC1727" s="4">
        <v>146</v>
      </c>
      <c r="HD1727" s="20">
        <v>0</v>
      </c>
      <c r="HE1727" s="20">
        <v>0</v>
      </c>
      <c r="HF1727" s="20">
        <v>0</v>
      </c>
      <c r="HG1727" s="20">
        <v>0</v>
      </c>
      <c r="HH1727" s="20">
        <v>0</v>
      </c>
      <c r="HI1727" s="20">
        <v>0</v>
      </c>
      <c r="HJ1727" s="20">
        <v>0</v>
      </c>
      <c r="HK1727" s="20">
        <v>0</v>
      </c>
      <c r="HL1727" s="20">
        <v>0</v>
      </c>
      <c r="HM1727" s="20">
        <v>0</v>
      </c>
      <c r="HN1727" s="20">
        <v>0</v>
      </c>
      <c r="HO1727" s="20">
        <v>0</v>
      </c>
      <c r="HP1727" s="20">
        <v>0</v>
      </c>
      <c r="HQ1727" s="20">
        <v>0</v>
      </c>
      <c r="HR1727" s="19">
        <v>2.9</v>
      </c>
      <c r="HS1727" s="19">
        <v>3.7</v>
      </c>
      <c r="HT1727" s="19">
        <v>3.8</v>
      </c>
      <c r="HU1727" s="19">
        <v>7.6</v>
      </c>
      <c r="HV1727" s="19">
        <v>6.5</v>
      </c>
      <c r="HW1727" s="19">
        <v>5.5</v>
      </c>
      <c r="HX1727" s="19">
        <v>4.5</v>
      </c>
      <c r="HY1727" s="19">
        <v>5.5</v>
      </c>
      <c r="HZ1727" s="19">
        <v>10.1</v>
      </c>
      <c r="IA1727" s="19">
        <v>9.1</v>
      </c>
      <c r="IB1727" s="19">
        <v>8.1</v>
      </c>
      <c r="IC1727" s="19">
        <v>10.5</v>
      </c>
    </row>
    <row r="1728">
      <c r="A1728" s="2" t="s">
        <v>6396</v>
      </c>
      <c r="B1728" s="2" t="s">
        <v>871</v>
      </c>
      <c r="C1728" s="2" t="s">
        <v>606</v>
      </c>
      <c r="D1728" s="2" t="s">
        <v>906</v>
      </c>
      <c r="E1728" s="2" t="s">
        <v>907</v>
      </c>
      <c r="F1728" s="2" t="s">
        <v>6371</v>
      </c>
      <c r="G1728" s="2" t="s">
        <v>6372</v>
      </c>
      <c r="H1728" s="2" t="s">
        <v>6373</v>
      </c>
      <c r="I1728" s="2" t="s">
        <v>6374</v>
      </c>
      <c r="J1728" s="2" t="s">
        <v>250</v>
      </c>
      <c r="K1728" s="2" t="s">
        <v>292</v>
      </c>
      <c r="L1728" s="3">
        <v>21.52</v>
      </c>
      <c r="M1728" s="3">
        <v>22.6</v>
      </c>
      <c r="N1728" s="3">
        <v>42.99</v>
      </c>
      <c r="O1728" s="2" t="s">
        <v>232</v>
      </c>
      <c r="P1728" s="2" t="s">
        <v>408</v>
      </c>
      <c r="Q1728" s="2" t="s">
        <v>234</v>
      </c>
      <c r="R1728" s="2" t="s">
        <v>235</v>
      </c>
      <c r="S1728" s="2" t="s">
        <v>6397</v>
      </c>
      <c r="T1728" s="2" t="s">
        <v>501</v>
      </c>
      <c r="U1728" s="2" t="s">
        <v>552</v>
      </c>
      <c r="V1728" s="2" t="s">
        <v>238</v>
      </c>
      <c r="W1728" s="2" t="s">
        <v>682</v>
      </c>
      <c r="X1728" s="2" t="s">
        <v>235</v>
      </c>
      <c r="Y1728" s="2" t="s">
        <v>620</v>
      </c>
      <c r="Z1728" s="4">
        <v>200</v>
      </c>
      <c r="AA1728" s="4">
        <f>=ROUNDDOWN(54.054054054054,0)</f>
      </c>
      <c r="AB1728" s="5">
        <v>3.7</v>
      </c>
      <c r="AC1728" s="2" t="s">
        <v>235</v>
      </c>
      <c r="AD1728" s="4"/>
      <c r="AE1728" s="4"/>
      <c r="AF1728" s="6">
        <v>63</v>
      </c>
      <c r="AG1728" s="6">
        <v>46</v>
      </c>
      <c r="AH1728" s="7">
        <v>1</v>
      </c>
      <c r="AI1728" s="4"/>
      <c r="AJ1728" s="4">
        <f>=ROUNDDOWN({0},0)</f>
      </c>
      <c r="AK1728" s="5"/>
      <c r="AL1728" s="2" t="s">
        <v>235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 t="s">
        <v>235</v>
      </c>
      <c r="BD1728" s="8" t="s">
        <v>235</v>
      </c>
      <c r="BE1728" s="4" t="s">
        <v>235</v>
      </c>
      <c r="BF1728" s="8" t="s">
        <v>235</v>
      </c>
      <c r="BG1728" s="7" t="s">
        <v>235</v>
      </c>
      <c r="BH1728" s="7" t="s">
        <v>235</v>
      </c>
      <c r="BI1728" s="7"/>
      <c r="BJ1728" s="4">
        <v>19</v>
      </c>
      <c r="BK1728" s="8">
        <v>439.72</v>
      </c>
      <c r="BL1728" s="2" t="s">
        <v>529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6378</v>
      </c>
      <c r="BV1728" s="2" t="s">
        <v>243</v>
      </c>
      <c r="BW1728" s="2" t="s">
        <v>235</v>
      </c>
      <c r="BX1728" s="2" t="s">
        <v>619</v>
      </c>
      <c r="BY1728" s="2" t="s">
        <v>245</v>
      </c>
      <c r="BZ1728" s="2" t="s">
        <v>232</v>
      </c>
      <c r="CA1728" s="2" t="s">
        <v>642</v>
      </c>
      <c r="CB1728" s="2" t="s">
        <v>6398</v>
      </c>
      <c r="CC1728" s="2" t="s">
        <v>248</v>
      </c>
      <c r="CD1728" s="2" t="s">
        <v>248</v>
      </c>
      <c r="CE1728" s="2" t="s">
        <v>235</v>
      </c>
      <c r="CF1728" s="4">
        <v>179</v>
      </c>
      <c r="CG1728" s="4"/>
      <c r="CH1728" s="4"/>
      <c r="CI1728" s="4">
        <v>21</v>
      </c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>
        <v>209</v>
      </c>
      <c r="GE1728" s="4">
        <v>206</v>
      </c>
      <c r="GF1728" s="4">
        <v>190</v>
      </c>
      <c r="GG1728" s="4">
        <v>188</v>
      </c>
      <c r="GH1728" s="4">
        <v>186</v>
      </c>
      <c r="GI1728" s="4">
        <v>184</v>
      </c>
      <c r="GJ1728" s="4">
        <v>177</v>
      </c>
      <c r="GK1728" s="4">
        <v>171</v>
      </c>
      <c r="GL1728" s="4">
        <v>167</v>
      </c>
      <c r="GM1728" s="4">
        <v>162</v>
      </c>
      <c r="GN1728" s="4">
        <v>156</v>
      </c>
      <c r="GO1728" s="4">
        <v>150</v>
      </c>
      <c r="GP1728" s="4">
        <v>145</v>
      </c>
      <c r="GQ1728" s="4">
        <v>137</v>
      </c>
      <c r="GR1728" s="4">
        <v>131</v>
      </c>
      <c r="GS1728" s="4">
        <v>127</v>
      </c>
      <c r="GT1728" s="4">
        <v>123</v>
      </c>
      <c r="GU1728" s="4">
        <v>119</v>
      </c>
      <c r="GV1728" s="4">
        <v>115</v>
      </c>
      <c r="GW1728" s="4">
        <v>111</v>
      </c>
      <c r="GX1728" s="4">
        <v>107</v>
      </c>
      <c r="GY1728" s="4">
        <v>103</v>
      </c>
      <c r="GZ1728" s="4">
        <v>99</v>
      </c>
      <c r="HA1728" s="4">
        <v>95</v>
      </c>
      <c r="HB1728" s="4">
        <v>91</v>
      </c>
      <c r="HC1728" s="4">
        <v>87</v>
      </c>
      <c r="HD1728" s="19">
        <v>15.4</v>
      </c>
      <c r="HE1728" s="19">
        <v>18.1</v>
      </c>
      <c r="HF1728" s="19">
        <v>27.7</v>
      </c>
      <c r="HG1728" s="19">
        <v>20.5</v>
      </c>
      <c r="HH1728" s="19">
        <v>16.2</v>
      </c>
      <c r="HI1728" s="19">
        <v>13.4</v>
      </c>
      <c r="HJ1728" s="19">
        <v>15.3</v>
      </c>
      <c r="HK1728" s="19">
        <v>14.7</v>
      </c>
      <c r="HL1728" s="19">
        <v>11.9</v>
      </c>
      <c r="HM1728" s="19">
        <v>11.5</v>
      </c>
      <c r="HN1728" s="19">
        <v>11</v>
      </c>
      <c r="HO1728" s="19">
        <v>10.5</v>
      </c>
      <c r="HP1728" s="19">
        <v>10.1</v>
      </c>
      <c r="HQ1728" s="19">
        <v>14.2</v>
      </c>
      <c r="HR1728" s="19">
        <v>13.4</v>
      </c>
      <c r="HS1728" s="19">
        <v>12.9</v>
      </c>
      <c r="HT1728" s="19">
        <v>12.4</v>
      </c>
      <c r="HU1728" s="19">
        <v>11.9</v>
      </c>
      <c r="HV1728" s="19">
        <v>11.4</v>
      </c>
      <c r="HW1728" s="19">
        <v>10.9</v>
      </c>
      <c r="HX1728" s="19">
        <v>10.4</v>
      </c>
      <c r="HY1728" s="19">
        <v>9.9</v>
      </c>
      <c r="HZ1728" s="19">
        <v>9.4</v>
      </c>
      <c r="IA1728" s="19">
        <v>8.9</v>
      </c>
      <c r="IB1728" s="19">
        <v>8.4</v>
      </c>
      <c r="IC1728" s="19">
        <v>7.9</v>
      </c>
    </row>
    <row r="1729">
      <c r="A1729" s="2" t="s">
        <v>6399</v>
      </c>
      <c r="B1729" s="2" t="s">
        <v>871</v>
      </c>
      <c r="C1729" s="2" t="s">
        <v>606</v>
      </c>
      <c r="D1729" s="2" t="s">
        <v>906</v>
      </c>
      <c r="E1729" s="2" t="s">
        <v>907</v>
      </c>
      <c r="F1729" s="2" t="s">
        <v>6371</v>
      </c>
      <c r="G1729" s="2" t="s">
        <v>6372</v>
      </c>
      <c r="H1729" s="2" t="s">
        <v>6373</v>
      </c>
      <c r="I1729" s="2" t="s">
        <v>6374</v>
      </c>
      <c r="J1729" s="2" t="s">
        <v>877</v>
      </c>
      <c r="K1729" s="2" t="s">
        <v>542</v>
      </c>
      <c r="L1729" s="3">
        <v>16.92</v>
      </c>
      <c r="M1729" s="3">
        <v>17.77</v>
      </c>
      <c r="N1729" s="3">
        <v>39.99</v>
      </c>
      <c r="O1729" s="2" t="s">
        <v>232</v>
      </c>
      <c r="P1729" s="2" t="s">
        <v>965</v>
      </c>
      <c r="Q1729" s="2" t="s">
        <v>234</v>
      </c>
      <c r="R1729" s="2" t="s">
        <v>235</v>
      </c>
      <c r="S1729" s="2" t="s">
        <v>6400</v>
      </c>
      <c r="T1729" s="2" t="s">
        <v>501</v>
      </c>
      <c r="U1729" s="2" t="s">
        <v>278</v>
      </c>
      <c r="V1729" s="2" t="s">
        <v>238</v>
      </c>
      <c r="W1729" s="2" t="s">
        <v>682</v>
      </c>
      <c r="X1729" s="2" t="s">
        <v>235</v>
      </c>
      <c r="Y1729" s="2" t="s">
        <v>6391</v>
      </c>
      <c r="Z1729" s="4">
        <v>20</v>
      </c>
      <c r="AA1729" s="4">
        <f>=ROUNDDOWN(4.65116279069767,0)</f>
      </c>
      <c r="AB1729" s="5">
        <v>4.3</v>
      </c>
      <c r="AC1729" s="2" t="s">
        <v>235</v>
      </c>
      <c r="AD1729" s="4"/>
      <c r="AE1729" s="4"/>
      <c r="AF1729" s="6">
        <v>63</v>
      </c>
      <c r="AG1729" s="6">
        <v>46</v>
      </c>
      <c r="AH1729" s="7">
        <v>1</v>
      </c>
      <c r="AI1729" s="4"/>
      <c r="AJ1729" s="4">
        <f>=ROUNDDOWN({0},0)</f>
      </c>
      <c r="AK1729" s="5"/>
      <c r="AL1729" s="2" t="s">
        <v>235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235</v>
      </c>
      <c r="BD1729" s="8" t="s">
        <v>235</v>
      </c>
      <c r="BE1729" s="4" t="s">
        <v>235</v>
      </c>
      <c r="BF1729" s="8" t="s">
        <v>235</v>
      </c>
      <c r="BG1729" s="7" t="s">
        <v>235</v>
      </c>
      <c r="BH1729" s="7" t="s">
        <v>235</v>
      </c>
      <c r="BI1729" s="7"/>
      <c r="BJ1729" s="4">
        <v>19</v>
      </c>
      <c r="BK1729" s="8">
        <v>405.77</v>
      </c>
      <c r="BL1729" s="2" t="s">
        <v>6401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6378</v>
      </c>
      <c r="BV1729" s="2" t="s">
        <v>243</v>
      </c>
      <c r="BW1729" s="2" t="s">
        <v>235</v>
      </c>
      <c r="BX1729" s="2" t="s">
        <v>619</v>
      </c>
      <c r="BY1729" s="2" t="s">
        <v>245</v>
      </c>
      <c r="BZ1729" s="2" t="s">
        <v>232</v>
      </c>
      <c r="CA1729" s="2" t="s">
        <v>6389</v>
      </c>
      <c r="CB1729" s="2" t="s">
        <v>2716</v>
      </c>
      <c r="CC1729" s="2" t="s">
        <v>248</v>
      </c>
      <c r="CD1729" s="2" t="s">
        <v>248</v>
      </c>
      <c r="CE1729" s="2" t="s">
        <v>235</v>
      </c>
      <c r="CF1729" s="4">
        <v>20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>
        <v>21</v>
      </c>
      <c r="GE1729" s="4">
        <v>1</v>
      </c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>
        <v>36</v>
      </c>
      <c r="GS1729" s="4">
        <v>18</v>
      </c>
      <c r="GT1729" s="4">
        <v>13</v>
      </c>
      <c r="GU1729" s="4">
        <v>36</v>
      </c>
      <c r="GV1729" s="4">
        <v>31</v>
      </c>
      <c r="GW1729" s="4">
        <v>26</v>
      </c>
      <c r="GX1729" s="4">
        <v>21</v>
      </c>
      <c r="GY1729" s="4">
        <v>32</v>
      </c>
      <c r="GZ1729" s="4">
        <v>38</v>
      </c>
      <c r="HA1729" s="4">
        <v>33</v>
      </c>
      <c r="HB1729" s="4">
        <v>28</v>
      </c>
      <c r="HC1729" s="4">
        <v>51</v>
      </c>
      <c r="HD1729" s="19">
        <v>1.5</v>
      </c>
      <c r="HE1729" s="19">
        <v>0.2</v>
      </c>
      <c r="HF1729" s="20">
        <v>0</v>
      </c>
      <c r="HG1729" s="20">
        <v>0</v>
      </c>
      <c r="HH1729" s="20">
        <v>0</v>
      </c>
      <c r="HI1729" s="20">
        <v>0</v>
      </c>
      <c r="HJ1729" s="20">
        <v>0</v>
      </c>
      <c r="HK1729" s="20">
        <v>0</v>
      </c>
      <c r="HL1729" s="20">
        <v>0</v>
      </c>
      <c r="HM1729" s="20">
        <v>0</v>
      </c>
      <c r="HN1729" s="20">
        <v>0</v>
      </c>
      <c r="HO1729" s="20">
        <v>0</v>
      </c>
      <c r="HP1729" s="20">
        <v>0</v>
      </c>
      <c r="HQ1729" s="20">
        <v>0</v>
      </c>
      <c r="HR1729" s="19">
        <v>2.6</v>
      </c>
      <c r="HS1729" s="19">
        <v>3</v>
      </c>
      <c r="HT1729" s="19">
        <v>3.3</v>
      </c>
      <c r="HU1729" s="19">
        <v>7.5</v>
      </c>
      <c r="HV1729" s="19">
        <v>6.5</v>
      </c>
      <c r="HW1729" s="19">
        <v>5.5</v>
      </c>
      <c r="HX1729" s="19">
        <v>4.5</v>
      </c>
      <c r="HY1729" s="19">
        <v>5.5</v>
      </c>
      <c r="HZ1729" s="19">
        <v>10</v>
      </c>
      <c r="IA1729" s="19">
        <v>9</v>
      </c>
      <c r="IB1729" s="19">
        <v>8</v>
      </c>
      <c r="IC1729" s="19">
        <v>10.5</v>
      </c>
    </row>
    <row r="1730">
      <c r="A1730" s="2" t="s">
        <v>6402</v>
      </c>
      <c r="B1730" s="2" t="s">
        <v>871</v>
      </c>
      <c r="C1730" s="2" t="s">
        <v>606</v>
      </c>
      <c r="D1730" s="2" t="s">
        <v>906</v>
      </c>
      <c r="E1730" s="2" t="s">
        <v>907</v>
      </c>
      <c r="F1730" s="2" t="s">
        <v>6371</v>
      </c>
      <c r="G1730" s="2" t="s">
        <v>6372</v>
      </c>
      <c r="H1730" s="2" t="s">
        <v>6373</v>
      </c>
      <c r="I1730" s="2" t="s">
        <v>6374</v>
      </c>
      <c r="J1730" s="2" t="s">
        <v>250</v>
      </c>
      <c r="K1730" s="2" t="s">
        <v>600</v>
      </c>
      <c r="L1730" s="3">
        <v>21.52</v>
      </c>
      <c r="M1730" s="3">
        <v>22.6</v>
      </c>
      <c r="N1730" s="3">
        <v>42.99</v>
      </c>
      <c r="O1730" s="2" t="s">
        <v>232</v>
      </c>
      <c r="P1730" s="2" t="s">
        <v>624</v>
      </c>
      <c r="Q1730" s="2" t="s">
        <v>234</v>
      </c>
      <c r="R1730" s="2" t="s">
        <v>235</v>
      </c>
      <c r="S1730" s="2" t="s">
        <v>6403</v>
      </c>
      <c r="T1730" s="2" t="s">
        <v>501</v>
      </c>
      <c r="U1730" s="2" t="s">
        <v>552</v>
      </c>
      <c r="V1730" s="2" t="s">
        <v>238</v>
      </c>
      <c r="W1730" s="2" t="s">
        <v>682</v>
      </c>
      <c r="X1730" s="2" t="s">
        <v>235</v>
      </c>
      <c r="Y1730" s="2" t="s">
        <v>3581</v>
      </c>
      <c r="Z1730" s="4">
        <v>167</v>
      </c>
      <c r="AA1730" s="4">
        <f>=ROUNDDOWN(24.9253731343284,0)</f>
      </c>
      <c r="AB1730" s="5">
        <v>6.7</v>
      </c>
      <c r="AC1730" s="2" t="s">
        <v>235</v>
      </c>
      <c r="AD1730" s="4"/>
      <c r="AE1730" s="4"/>
      <c r="AF1730" s="6">
        <v>63</v>
      </c>
      <c r="AG1730" s="6">
        <v>46</v>
      </c>
      <c r="AH1730" s="7">
        <v>1</v>
      </c>
      <c r="AI1730" s="4"/>
      <c r="AJ1730" s="4">
        <f>=ROUNDDOWN({0},0)</f>
      </c>
      <c r="AK1730" s="5"/>
      <c r="AL1730" s="2" t="s">
        <v>235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 t="s">
        <v>235</v>
      </c>
      <c r="BD1730" s="8" t="s">
        <v>235</v>
      </c>
      <c r="BE1730" s="4" t="s">
        <v>235</v>
      </c>
      <c r="BF1730" s="8" t="s">
        <v>235</v>
      </c>
      <c r="BG1730" s="7" t="s">
        <v>235</v>
      </c>
      <c r="BH1730" s="7" t="s">
        <v>235</v>
      </c>
      <c r="BI1730" s="7"/>
      <c r="BJ1730" s="4">
        <v>30</v>
      </c>
      <c r="BK1730" s="8">
        <v>690.82</v>
      </c>
      <c r="BL1730" s="2" t="s">
        <v>513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6378</v>
      </c>
      <c r="BV1730" s="2" t="s">
        <v>243</v>
      </c>
      <c r="BW1730" s="2" t="s">
        <v>235</v>
      </c>
      <c r="BX1730" s="2" t="s">
        <v>619</v>
      </c>
      <c r="BY1730" s="2" t="s">
        <v>245</v>
      </c>
      <c r="BZ1730" s="2" t="s">
        <v>232</v>
      </c>
      <c r="CA1730" s="2" t="s">
        <v>642</v>
      </c>
      <c r="CB1730" s="2" t="s">
        <v>2842</v>
      </c>
      <c r="CC1730" s="2" t="s">
        <v>248</v>
      </c>
      <c r="CD1730" s="2" t="s">
        <v>248</v>
      </c>
      <c r="CE1730" s="2" t="s">
        <v>235</v>
      </c>
      <c r="CF1730" s="4">
        <v>5</v>
      </c>
      <c r="CG1730" s="4"/>
      <c r="CH1730" s="4"/>
      <c r="CI1730" s="4">
        <v>162</v>
      </c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>
        <v>168</v>
      </c>
      <c r="GE1730" s="4">
        <v>160</v>
      </c>
      <c r="GF1730" s="4">
        <v>151</v>
      </c>
      <c r="GG1730" s="4">
        <v>141</v>
      </c>
      <c r="GH1730" s="4">
        <v>132</v>
      </c>
      <c r="GI1730" s="4">
        <v>124</v>
      </c>
      <c r="GJ1730" s="4">
        <v>110</v>
      </c>
      <c r="GK1730" s="4">
        <v>100</v>
      </c>
      <c r="GL1730" s="4">
        <v>93</v>
      </c>
      <c r="GM1730" s="4">
        <v>85</v>
      </c>
      <c r="GN1730" s="4">
        <v>76</v>
      </c>
      <c r="GO1730" s="4">
        <v>67</v>
      </c>
      <c r="GP1730" s="4">
        <v>60</v>
      </c>
      <c r="GQ1730" s="4">
        <v>48</v>
      </c>
      <c r="GR1730" s="4">
        <v>39</v>
      </c>
      <c r="GS1730" s="4">
        <v>32</v>
      </c>
      <c r="GT1730" s="4">
        <v>25</v>
      </c>
      <c r="GU1730" s="4">
        <v>18</v>
      </c>
      <c r="GV1730" s="4">
        <v>14</v>
      </c>
      <c r="GW1730" s="4">
        <v>11</v>
      </c>
      <c r="GX1730" s="4">
        <v>8</v>
      </c>
      <c r="GY1730" s="4">
        <v>5</v>
      </c>
      <c r="GZ1730" s="4">
        <v>2</v>
      </c>
      <c r="HA1730" s="4"/>
      <c r="HB1730" s="4"/>
      <c r="HC1730" s="4"/>
      <c r="HD1730" s="19">
        <v>11.5</v>
      </c>
      <c r="HE1730" s="19">
        <v>9.4</v>
      </c>
      <c r="HF1730" s="19">
        <v>7.6</v>
      </c>
      <c r="HG1730" s="19">
        <v>7.1</v>
      </c>
      <c r="HH1730" s="19">
        <v>6.6</v>
      </c>
      <c r="HI1730" s="19">
        <v>6.2</v>
      </c>
      <c r="HJ1730" s="19">
        <v>6.9</v>
      </c>
      <c r="HK1730" s="19">
        <v>6.3</v>
      </c>
      <c r="HL1730" s="19">
        <v>5.8</v>
      </c>
      <c r="HM1730" s="19">
        <v>4.7</v>
      </c>
      <c r="HN1730" s="19">
        <v>4.2</v>
      </c>
      <c r="HO1730" s="19">
        <v>3.7</v>
      </c>
      <c r="HP1730" s="19">
        <v>3.4</v>
      </c>
      <c r="HQ1730" s="19">
        <v>3</v>
      </c>
      <c r="HR1730" s="19">
        <v>3.3</v>
      </c>
      <c r="HS1730" s="19">
        <v>3.2</v>
      </c>
      <c r="HT1730" s="19">
        <v>3.2</v>
      </c>
      <c r="HU1730" s="19">
        <v>3</v>
      </c>
      <c r="HV1730" s="19">
        <v>2.4</v>
      </c>
      <c r="HW1730" s="19">
        <v>1.9</v>
      </c>
      <c r="HX1730" s="19">
        <v>1.4</v>
      </c>
      <c r="HY1730" s="19">
        <v>0.9</v>
      </c>
      <c r="HZ1730" s="19">
        <v>0.4</v>
      </c>
      <c r="IA1730" s="20">
        <v>0</v>
      </c>
      <c r="IB1730" s="20">
        <v>0</v>
      </c>
      <c r="IC1730" s="20">
        <v>0</v>
      </c>
    </row>
    <row r="1731">
      <c r="A1731" s="2" t="s">
        <v>6404</v>
      </c>
      <c r="B1731" s="2" t="s">
        <v>871</v>
      </c>
      <c r="C1731" s="2" t="s">
        <v>606</v>
      </c>
      <c r="D1731" s="2" t="s">
        <v>906</v>
      </c>
      <c r="E1731" s="2" t="s">
        <v>907</v>
      </c>
      <c r="F1731" s="2" t="s">
        <v>6371</v>
      </c>
      <c r="G1731" s="2" t="s">
        <v>6372</v>
      </c>
      <c r="H1731" s="2" t="s">
        <v>6373</v>
      </c>
      <c r="I1731" s="2" t="s">
        <v>6374</v>
      </c>
      <c r="J1731" s="2" t="s">
        <v>877</v>
      </c>
      <c r="K1731" s="2" t="s">
        <v>793</v>
      </c>
      <c r="L1731" s="3">
        <v>16.92</v>
      </c>
      <c r="M1731" s="3">
        <v>17.77</v>
      </c>
      <c r="N1731" s="3">
        <v>39.99</v>
      </c>
      <c r="O1731" s="2" t="s">
        <v>232</v>
      </c>
      <c r="P1731" s="2" t="s">
        <v>965</v>
      </c>
      <c r="Q1731" s="2" t="s">
        <v>234</v>
      </c>
      <c r="R1731" s="2" t="s">
        <v>235</v>
      </c>
      <c r="S1731" s="2" t="s">
        <v>6405</v>
      </c>
      <c r="T1731" s="2" t="s">
        <v>501</v>
      </c>
      <c r="U1731" s="2" t="s">
        <v>278</v>
      </c>
      <c r="V1731" s="2" t="s">
        <v>238</v>
      </c>
      <c r="W1731" s="2" t="s">
        <v>682</v>
      </c>
      <c r="X1731" s="2" t="s">
        <v>235</v>
      </c>
      <c r="Y1731" s="2" t="s">
        <v>6391</v>
      </c>
      <c r="Z1731" s="4">
        <v>3</v>
      </c>
      <c r="AA1731" s="4">
        <f>=ROUNDDOWN(0.344827586206897,0)</f>
      </c>
      <c r="AB1731" s="5">
        <v>8.7</v>
      </c>
      <c r="AC1731" s="2" t="s">
        <v>235</v>
      </c>
      <c r="AD1731" s="4"/>
      <c r="AE1731" s="4"/>
      <c r="AF1731" s="6">
        <v>63</v>
      </c>
      <c r="AG1731" s="6">
        <v>46</v>
      </c>
      <c r="AH1731" s="7">
        <v>0.5161</v>
      </c>
      <c r="AI1731" s="4"/>
      <c r="AJ1731" s="4">
        <f>=ROUNDDOWN({0},0)</f>
      </c>
      <c r="AK1731" s="5"/>
      <c r="AL1731" s="2" t="s">
        <v>235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235</v>
      </c>
      <c r="AW1731" s="8" t="s">
        <v>235</v>
      </c>
      <c r="AX1731" s="4" t="s">
        <v>235</v>
      </c>
      <c r="AY1731" s="8" t="s">
        <v>235</v>
      </c>
      <c r="AZ1731" s="7" t="s">
        <v>235</v>
      </c>
      <c r="BA1731" s="7" t="s">
        <v>235</v>
      </c>
      <c r="BB1731" s="7"/>
      <c r="BC1731" s="4" t="s">
        <v>235</v>
      </c>
      <c r="BD1731" s="8" t="s">
        <v>235</v>
      </c>
      <c r="BE1731" s="4" t="s">
        <v>235</v>
      </c>
      <c r="BF1731" s="8" t="s">
        <v>235</v>
      </c>
      <c r="BG1731" s="7" t="s">
        <v>235</v>
      </c>
      <c r="BH1731" s="7" t="s">
        <v>235</v>
      </c>
      <c r="BI1731" s="7"/>
      <c r="BJ1731" s="4">
        <v>41</v>
      </c>
      <c r="BK1731" s="8">
        <v>872.4</v>
      </c>
      <c r="BL1731" s="2" t="s">
        <v>6406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6378</v>
      </c>
      <c r="BV1731" s="2" t="s">
        <v>243</v>
      </c>
      <c r="BW1731" s="2" t="s">
        <v>235</v>
      </c>
      <c r="BX1731" s="2" t="s">
        <v>619</v>
      </c>
      <c r="BY1731" s="2" t="s">
        <v>245</v>
      </c>
      <c r="BZ1731" s="2" t="s">
        <v>232</v>
      </c>
      <c r="CA1731" s="2" t="s">
        <v>6389</v>
      </c>
      <c r="CB1731" s="2" t="s">
        <v>3741</v>
      </c>
      <c r="CC1731" s="2" t="s">
        <v>248</v>
      </c>
      <c r="CD1731" s="2" t="s">
        <v>248</v>
      </c>
      <c r="CE1731" s="2" t="s">
        <v>235</v>
      </c>
      <c r="CF1731" s="4"/>
      <c r="CG1731" s="4"/>
      <c r="CH1731" s="4"/>
      <c r="CI1731" s="4">
        <v>3</v>
      </c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>
        <v>3</v>
      </c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>
        <v>76</v>
      </c>
      <c r="GS1731" s="4">
        <v>48</v>
      </c>
      <c r="GT1731" s="4">
        <v>40</v>
      </c>
      <c r="GU1731" s="4">
        <v>68</v>
      </c>
      <c r="GV1731" s="4">
        <v>58</v>
      </c>
      <c r="GW1731" s="4">
        <v>49</v>
      </c>
      <c r="GX1731" s="4">
        <v>40</v>
      </c>
      <c r="GY1731" s="4">
        <v>51</v>
      </c>
      <c r="GZ1731" s="4">
        <v>87</v>
      </c>
      <c r="HA1731" s="4">
        <v>78</v>
      </c>
      <c r="HB1731" s="4">
        <v>69</v>
      </c>
      <c r="HC1731" s="4">
        <v>94</v>
      </c>
      <c r="HD1731" s="19">
        <v>0.5</v>
      </c>
      <c r="HE1731" s="20">
        <v>0</v>
      </c>
      <c r="HF1731" s="20">
        <v>0</v>
      </c>
      <c r="HG1731" s="20">
        <v>0</v>
      </c>
      <c r="HH1731" s="20">
        <v>0</v>
      </c>
      <c r="HI1731" s="20">
        <v>0</v>
      </c>
      <c r="HJ1731" s="20">
        <v>0</v>
      </c>
      <c r="HK1731" s="20">
        <v>0</v>
      </c>
      <c r="HL1731" s="20">
        <v>0</v>
      </c>
      <c r="HM1731" s="20">
        <v>0</v>
      </c>
      <c r="HN1731" s="20">
        <v>0</v>
      </c>
      <c r="HO1731" s="20">
        <v>0</v>
      </c>
      <c r="HP1731" s="20">
        <v>0</v>
      </c>
      <c r="HQ1731" s="20">
        <v>0</v>
      </c>
      <c r="HR1731" s="19">
        <v>3.2</v>
      </c>
      <c r="HS1731" s="19">
        <v>4</v>
      </c>
      <c r="HT1731" s="19">
        <v>4</v>
      </c>
      <c r="HU1731" s="19">
        <v>7.6</v>
      </c>
      <c r="HV1731" s="19">
        <v>6.5</v>
      </c>
      <c r="HW1731" s="19">
        <v>5.5</v>
      </c>
      <c r="HX1731" s="19">
        <v>4.5</v>
      </c>
      <c r="HY1731" s="19">
        <v>5.5</v>
      </c>
      <c r="HZ1731" s="19">
        <v>10.2</v>
      </c>
      <c r="IA1731" s="19">
        <v>9.2</v>
      </c>
      <c r="IB1731" s="19">
        <v>8.2</v>
      </c>
      <c r="IC1731" s="19">
        <v>10.5</v>
      </c>
    </row>
    <row r="1732">
      <c r="A1732" s="2" t="s">
        <v>6407</v>
      </c>
      <c r="B1732" s="2" t="s">
        <v>871</v>
      </c>
      <c r="C1732" s="2" t="s">
        <v>606</v>
      </c>
      <c r="D1732" s="2" t="s">
        <v>906</v>
      </c>
      <c r="E1732" s="2" t="s">
        <v>907</v>
      </c>
      <c r="F1732" s="2" t="s">
        <v>6371</v>
      </c>
      <c r="G1732" s="2" t="s">
        <v>6372</v>
      </c>
      <c r="H1732" s="2" t="s">
        <v>6373</v>
      </c>
      <c r="I1732" s="2" t="s">
        <v>6374</v>
      </c>
      <c r="J1732" s="2" t="s">
        <v>250</v>
      </c>
      <c r="K1732" s="2" t="s">
        <v>793</v>
      </c>
      <c r="L1732" s="3">
        <v>21.52</v>
      </c>
      <c r="M1732" s="3">
        <v>22.6</v>
      </c>
      <c r="N1732" s="3">
        <v>42.99</v>
      </c>
      <c r="O1732" s="2" t="s">
        <v>232</v>
      </c>
      <c r="P1732" s="2" t="s">
        <v>965</v>
      </c>
      <c r="Q1732" s="2" t="s">
        <v>234</v>
      </c>
      <c r="R1732" s="2" t="s">
        <v>235</v>
      </c>
      <c r="S1732" s="2" t="s">
        <v>6405</v>
      </c>
      <c r="T1732" s="2" t="s">
        <v>501</v>
      </c>
      <c r="U1732" s="2" t="s">
        <v>552</v>
      </c>
      <c r="V1732" s="2" t="s">
        <v>238</v>
      </c>
      <c r="W1732" s="2" t="s">
        <v>682</v>
      </c>
      <c r="X1732" s="2" t="s">
        <v>235</v>
      </c>
      <c r="Y1732" s="2" t="s">
        <v>3581</v>
      </c>
      <c r="Z1732" s="4">
        <v>2</v>
      </c>
      <c r="AA1732" s="4">
        <f>=ROUNDDOWN(0.25974025974026,0)</f>
      </c>
      <c r="AB1732" s="5">
        <v>7.7</v>
      </c>
      <c r="AC1732" s="2" t="s">
        <v>235</v>
      </c>
      <c r="AD1732" s="4"/>
      <c r="AE1732" s="4"/>
      <c r="AF1732" s="6">
        <v>63</v>
      </c>
      <c r="AG1732" s="6">
        <v>46</v>
      </c>
      <c r="AH1732" s="7">
        <v>0.0323</v>
      </c>
      <c r="AI1732" s="4"/>
      <c r="AJ1732" s="4">
        <f>=ROUNDDOWN({0},0)</f>
      </c>
      <c r="AK1732" s="5"/>
      <c r="AL1732" s="2" t="s">
        <v>235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235</v>
      </c>
      <c r="AW1732" s="8" t="s">
        <v>235</v>
      </c>
      <c r="AX1732" s="4" t="s">
        <v>235</v>
      </c>
      <c r="AY1732" s="8" t="s">
        <v>235</v>
      </c>
      <c r="AZ1732" s="7" t="s">
        <v>235</v>
      </c>
      <c r="BA1732" s="7" t="s">
        <v>235</v>
      </c>
      <c r="BB1732" s="7"/>
      <c r="BC1732" s="4" t="s">
        <v>235</v>
      </c>
      <c r="BD1732" s="8" t="s">
        <v>235</v>
      </c>
      <c r="BE1732" s="4" t="s">
        <v>235</v>
      </c>
      <c r="BF1732" s="8" t="s">
        <v>235</v>
      </c>
      <c r="BG1732" s="7" t="s">
        <v>235</v>
      </c>
      <c r="BH1732" s="7" t="s">
        <v>235</v>
      </c>
      <c r="BI1732" s="7"/>
      <c r="BJ1732" s="4">
        <v>6</v>
      </c>
      <c r="BK1732" s="8">
        <v>140.33</v>
      </c>
      <c r="BL1732" s="2" t="s">
        <v>6408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6378</v>
      </c>
      <c r="BV1732" s="2" t="s">
        <v>243</v>
      </c>
      <c r="BW1732" s="2" t="s">
        <v>235</v>
      </c>
      <c r="BX1732" s="2" t="s">
        <v>619</v>
      </c>
      <c r="BY1732" s="2" t="s">
        <v>245</v>
      </c>
      <c r="BZ1732" s="2" t="s">
        <v>232</v>
      </c>
      <c r="CA1732" s="2" t="s">
        <v>642</v>
      </c>
      <c r="CB1732" s="2" t="s">
        <v>6409</v>
      </c>
      <c r="CC1732" s="2" t="s">
        <v>248</v>
      </c>
      <c r="CD1732" s="2" t="s">
        <v>248</v>
      </c>
      <c r="CE1732" s="2" t="s">
        <v>235</v>
      </c>
      <c r="CF1732" s="4"/>
      <c r="CG1732" s="4"/>
      <c r="CH1732" s="4"/>
      <c r="CI1732" s="4">
        <v>2</v>
      </c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>
        <v>2</v>
      </c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>
        <v>96</v>
      </c>
      <c r="GS1732" s="4">
        <v>62</v>
      </c>
      <c r="GT1732" s="4">
        <v>55</v>
      </c>
      <c r="GU1732" s="4">
        <v>56</v>
      </c>
      <c r="GV1732" s="4">
        <v>48</v>
      </c>
      <c r="GW1732" s="4">
        <v>41</v>
      </c>
      <c r="GX1732" s="4">
        <v>34</v>
      </c>
      <c r="GY1732" s="4">
        <v>31</v>
      </c>
      <c r="GZ1732" s="4">
        <v>91</v>
      </c>
      <c r="HA1732" s="4">
        <v>84</v>
      </c>
      <c r="HB1732" s="4">
        <v>77</v>
      </c>
      <c r="HC1732" s="4">
        <v>76</v>
      </c>
      <c r="HD1732" s="19">
        <v>0.4</v>
      </c>
      <c r="HE1732" s="20">
        <v>0</v>
      </c>
      <c r="HF1732" s="20">
        <v>0</v>
      </c>
      <c r="HG1732" s="20">
        <v>0</v>
      </c>
      <c r="HH1732" s="20">
        <v>0</v>
      </c>
      <c r="HI1732" s="20">
        <v>0</v>
      </c>
      <c r="HJ1732" s="20">
        <v>0</v>
      </c>
      <c r="HK1732" s="20">
        <v>0</v>
      </c>
      <c r="HL1732" s="20">
        <v>0</v>
      </c>
      <c r="HM1732" s="20">
        <v>0</v>
      </c>
      <c r="HN1732" s="20">
        <v>0</v>
      </c>
      <c r="HO1732" s="20">
        <v>0</v>
      </c>
      <c r="HP1732" s="20">
        <v>0</v>
      </c>
      <c r="HQ1732" s="20">
        <v>0</v>
      </c>
      <c r="HR1732" s="19">
        <v>3.5</v>
      </c>
      <c r="HS1732" s="19">
        <v>5.2</v>
      </c>
      <c r="HT1732" s="19">
        <v>4.6</v>
      </c>
      <c r="HU1732" s="19">
        <v>8</v>
      </c>
      <c r="HV1732" s="19">
        <v>6.5</v>
      </c>
      <c r="HW1732" s="19">
        <v>5.5</v>
      </c>
      <c r="HX1732" s="19">
        <v>4.5</v>
      </c>
      <c r="HY1732" s="19">
        <v>5.5</v>
      </c>
      <c r="HZ1732" s="19">
        <v>10.1</v>
      </c>
      <c r="IA1732" s="19">
        <v>9.1</v>
      </c>
      <c r="IB1732" s="19">
        <v>8.1</v>
      </c>
      <c r="IC1732" s="19">
        <v>10.5</v>
      </c>
    </row>
    <row r="1733">
      <c r="A1733" s="2" t="s">
        <v>6410</v>
      </c>
      <c r="B1733" s="2" t="s">
        <v>871</v>
      </c>
      <c r="C1733" s="2" t="s">
        <v>606</v>
      </c>
      <c r="D1733" s="2" t="s">
        <v>361</v>
      </c>
      <c r="E1733" s="2" t="s">
        <v>924</v>
      </c>
      <c r="F1733" s="2" t="s">
        <v>6371</v>
      </c>
      <c r="G1733" s="2" t="s">
        <v>6372</v>
      </c>
      <c r="H1733" s="2" t="s">
        <v>6373</v>
      </c>
      <c r="I1733" s="2" t="s">
        <v>6380</v>
      </c>
      <c r="J1733" s="2" t="s">
        <v>877</v>
      </c>
      <c r="K1733" s="2" t="s">
        <v>550</v>
      </c>
      <c r="L1733" s="3">
        <v>23.44</v>
      </c>
      <c r="M1733" s="3">
        <v>24.61</v>
      </c>
      <c r="N1733" s="3">
        <v>49.99</v>
      </c>
      <c r="O1733" s="2" t="s">
        <v>232</v>
      </c>
      <c r="P1733" s="2" t="s">
        <v>336</v>
      </c>
      <c r="Q1733" s="2" t="s">
        <v>234</v>
      </c>
      <c r="R1733" s="2" t="s">
        <v>235</v>
      </c>
      <c r="S1733" s="2" t="s">
        <v>6411</v>
      </c>
      <c r="T1733" s="2" t="s">
        <v>501</v>
      </c>
      <c r="U1733" s="2" t="s">
        <v>278</v>
      </c>
      <c r="V1733" s="2" t="s">
        <v>238</v>
      </c>
      <c r="W1733" s="2" t="s">
        <v>682</v>
      </c>
      <c r="X1733" s="2" t="s">
        <v>235</v>
      </c>
      <c r="Y1733" s="2" t="s">
        <v>1608</v>
      </c>
      <c r="Z1733" s="4">
        <v>49</v>
      </c>
      <c r="AA1733" s="4">
        <f>=ROUNDDOWN(6.125,0)</f>
      </c>
      <c r="AB1733" s="5">
        <v>8</v>
      </c>
      <c r="AC1733" s="2" t="s">
        <v>4370</v>
      </c>
      <c r="AD1733" s="4">
        <v>120</v>
      </c>
      <c r="AE1733" s="4">
        <v>120</v>
      </c>
      <c r="AF1733" s="6">
        <v>63</v>
      </c>
      <c r="AG1733" s="6">
        <v>46</v>
      </c>
      <c r="AH1733" s="7">
        <v>0.7097</v>
      </c>
      <c r="AI1733" s="4"/>
      <c r="AJ1733" s="4">
        <f>=ROUNDDOWN({0},0)</f>
      </c>
      <c r="AK1733" s="5"/>
      <c r="AL1733" s="2" t="s">
        <v>235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235</v>
      </c>
      <c r="AW1733" s="8" t="s">
        <v>235</v>
      </c>
      <c r="AX1733" s="4" t="s">
        <v>235</v>
      </c>
      <c r="AY1733" s="8" t="s">
        <v>235</v>
      </c>
      <c r="AZ1733" s="7" t="s">
        <v>235</v>
      </c>
      <c r="BA1733" s="7" t="s">
        <v>235</v>
      </c>
      <c r="BB1733" s="7"/>
      <c r="BC1733" s="4" t="s">
        <v>235</v>
      </c>
      <c r="BD1733" s="8" t="s">
        <v>235</v>
      </c>
      <c r="BE1733" s="4" t="s">
        <v>235</v>
      </c>
      <c r="BF1733" s="8" t="s">
        <v>235</v>
      </c>
      <c r="BG1733" s="7" t="s">
        <v>235</v>
      </c>
      <c r="BH1733" s="7" t="s">
        <v>235</v>
      </c>
      <c r="BI1733" s="7"/>
      <c r="BJ1733" s="4">
        <v>10</v>
      </c>
      <c r="BK1733" s="8">
        <v>309.8</v>
      </c>
      <c r="BL1733" s="2" t="s">
        <v>6412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6381</v>
      </c>
      <c r="BV1733" s="2" t="s">
        <v>243</v>
      </c>
      <c r="BW1733" s="2" t="s">
        <v>235</v>
      </c>
      <c r="BX1733" s="2" t="s">
        <v>619</v>
      </c>
      <c r="BY1733" s="2" t="s">
        <v>245</v>
      </c>
      <c r="BZ1733" s="2" t="s">
        <v>232</v>
      </c>
      <c r="CA1733" s="2" t="s">
        <v>6389</v>
      </c>
      <c r="CB1733" s="2" t="s">
        <v>2845</v>
      </c>
      <c r="CC1733" s="2" t="s">
        <v>248</v>
      </c>
      <c r="CD1733" s="2" t="s">
        <v>248</v>
      </c>
      <c r="CE1733" s="2" t="s">
        <v>235</v>
      </c>
      <c r="CF1733" s="4"/>
      <c r="CG1733" s="4"/>
      <c r="CH1733" s="4"/>
      <c r="CI1733" s="4">
        <v>49</v>
      </c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>
        <v>120</v>
      </c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>
        <v>52</v>
      </c>
      <c r="GE1733" s="4">
        <v>154</v>
      </c>
      <c r="GF1733" s="4">
        <v>144</v>
      </c>
      <c r="GG1733" s="4">
        <v>134</v>
      </c>
      <c r="GH1733" s="4">
        <v>124</v>
      </c>
      <c r="GI1733" s="4">
        <v>115</v>
      </c>
      <c r="GJ1733" s="4">
        <v>105</v>
      </c>
      <c r="GK1733" s="4">
        <v>95</v>
      </c>
      <c r="GL1733" s="4">
        <v>86</v>
      </c>
      <c r="GM1733" s="4">
        <v>73</v>
      </c>
      <c r="GN1733" s="4">
        <v>57</v>
      </c>
      <c r="GO1733" s="4">
        <v>43</v>
      </c>
      <c r="GP1733" s="4">
        <v>32</v>
      </c>
      <c r="GQ1733" s="4">
        <v>8</v>
      </c>
      <c r="GR1733" s="4">
        <v>104</v>
      </c>
      <c r="GS1733" s="4">
        <v>93</v>
      </c>
      <c r="GT1733" s="4">
        <v>84</v>
      </c>
      <c r="GU1733" s="4">
        <v>148</v>
      </c>
      <c r="GV1733" s="4">
        <v>139</v>
      </c>
      <c r="GW1733" s="4">
        <v>130</v>
      </c>
      <c r="GX1733" s="4">
        <v>121</v>
      </c>
      <c r="GY1733" s="4">
        <v>112</v>
      </c>
      <c r="GZ1733" s="4">
        <v>103</v>
      </c>
      <c r="HA1733" s="4">
        <v>94</v>
      </c>
      <c r="HB1733" s="4">
        <v>85</v>
      </c>
      <c r="HC1733" s="4">
        <v>130</v>
      </c>
      <c r="HD1733" s="19">
        <v>2.2</v>
      </c>
      <c r="HE1733" s="19">
        <v>7.7</v>
      </c>
      <c r="HF1733" s="19">
        <v>7.2</v>
      </c>
      <c r="HG1733" s="19">
        <v>6.7</v>
      </c>
      <c r="HH1733" s="19">
        <v>6.2</v>
      </c>
      <c r="HI1733" s="19">
        <v>5.8</v>
      </c>
      <c r="HJ1733" s="19">
        <v>4.4</v>
      </c>
      <c r="HK1733" s="19">
        <v>3.7</v>
      </c>
      <c r="HL1733" s="19">
        <v>3.1</v>
      </c>
      <c r="HM1733" s="19">
        <v>2.3</v>
      </c>
      <c r="HN1733" s="19">
        <v>1.9</v>
      </c>
      <c r="HO1733" s="19">
        <v>1.6</v>
      </c>
      <c r="HP1733" s="19">
        <v>1.2</v>
      </c>
      <c r="HQ1733" s="19">
        <v>0.4</v>
      </c>
      <c r="HR1733" s="19">
        <v>6.5</v>
      </c>
      <c r="HS1733" s="19">
        <v>6.7</v>
      </c>
      <c r="HT1733" s="19">
        <v>7</v>
      </c>
      <c r="HU1733" s="19">
        <v>16.7</v>
      </c>
      <c r="HV1733" s="19">
        <v>15.7</v>
      </c>
      <c r="HW1733" s="19">
        <v>14.7</v>
      </c>
      <c r="HX1733" s="19">
        <v>13.7</v>
      </c>
      <c r="HY1733" s="19">
        <v>12.7</v>
      </c>
      <c r="HZ1733" s="19">
        <v>11.7</v>
      </c>
      <c r="IA1733" s="19">
        <v>10.7</v>
      </c>
      <c r="IB1733" s="19">
        <v>9.7</v>
      </c>
      <c r="IC1733" s="19">
        <v>14</v>
      </c>
    </row>
    <row r="1734">
      <c r="A1734" s="2" t="s">
        <v>6413</v>
      </c>
      <c r="B1734" s="2" t="s">
        <v>871</v>
      </c>
      <c r="C1734" s="2" t="s">
        <v>606</v>
      </c>
      <c r="D1734" s="2" t="s">
        <v>361</v>
      </c>
      <c r="E1734" s="2" t="s">
        <v>924</v>
      </c>
      <c r="F1734" s="2" t="s">
        <v>6371</v>
      </c>
      <c r="G1734" s="2" t="s">
        <v>6372</v>
      </c>
      <c r="H1734" s="2" t="s">
        <v>6373</v>
      </c>
      <c r="I1734" s="2" t="s">
        <v>6380</v>
      </c>
      <c r="J1734" s="2" t="s">
        <v>250</v>
      </c>
      <c r="K1734" s="2" t="s">
        <v>550</v>
      </c>
      <c r="L1734" s="3">
        <v>27.68</v>
      </c>
      <c r="M1734" s="3">
        <v>29.06</v>
      </c>
      <c r="N1734" s="3">
        <v>59.99</v>
      </c>
      <c r="O1734" s="2" t="s">
        <v>232</v>
      </c>
      <c r="P1734" s="2" t="s">
        <v>336</v>
      </c>
      <c r="Q1734" s="2" t="s">
        <v>234</v>
      </c>
      <c r="R1734" s="2" t="s">
        <v>235</v>
      </c>
      <c r="S1734" s="2" t="s">
        <v>6411</v>
      </c>
      <c r="T1734" s="2" t="s">
        <v>501</v>
      </c>
      <c r="U1734" s="2" t="s">
        <v>552</v>
      </c>
      <c r="V1734" s="2" t="s">
        <v>238</v>
      </c>
      <c r="W1734" s="2" t="s">
        <v>682</v>
      </c>
      <c r="X1734" s="2" t="s">
        <v>235</v>
      </c>
      <c r="Y1734" s="2" t="s">
        <v>2953</v>
      </c>
      <c r="Z1734" s="4">
        <v>95</v>
      </c>
      <c r="AA1734" s="4">
        <f>=ROUNDDOWN(15.0793650793651,0)</f>
      </c>
      <c r="AB1734" s="5">
        <v>6.3</v>
      </c>
      <c r="AC1734" s="2" t="s">
        <v>4370</v>
      </c>
      <c r="AD1734" s="4">
        <v>150</v>
      </c>
      <c r="AE1734" s="4">
        <v>150</v>
      </c>
      <c r="AF1734" s="6">
        <v>63</v>
      </c>
      <c r="AG1734" s="6">
        <v>46</v>
      </c>
      <c r="AH1734" s="7">
        <v>0.7097</v>
      </c>
      <c r="AI1734" s="4"/>
      <c r="AJ1734" s="4">
        <f>=ROUNDDOWN({0},0)</f>
      </c>
      <c r="AK1734" s="5"/>
      <c r="AL1734" s="2" t="s">
        <v>235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235</v>
      </c>
      <c r="AW1734" s="8" t="s">
        <v>235</v>
      </c>
      <c r="AX1734" s="4" t="s">
        <v>235</v>
      </c>
      <c r="AY1734" s="8" t="s">
        <v>235</v>
      </c>
      <c r="AZ1734" s="7" t="s">
        <v>235</v>
      </c>
      <c r="BA1734" s="7" t="s">
        <v>235</v>
      </c>
      <c r="BB1734" s="7"/>
      <c r="BC1734" s="4" t="s">
        <v>235</v>
      </c>
      <c r="BD1734" s="8" t="s">
        <v>235</v>
      </c>
      <c r="BE1734" s="4" t="s">
        <v>235</v>
      </c>
      <c r="BF1734" s="8" t="s">
        <v>235</v>
      </c>
      <c r="BG1734" s="7" t="s">
        <v>235</v>
      </c>
      <c r="BH1734" s="7" t="s">
        <v>235</v>
      </c>
      <c r="BI1734" s="7"/>
      <c r="BJ1734" s="4">
        <v>20</v>
      </c>
      <c r="BK1734" s="8">
        <v>565.23</v>
      </c>
      <c r="BL1734" s="2" t="s">
        <v>544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6381</v>
      </c>
      <c r="BV1734" s="2" t="s">
        <v>243</v>
      </c>
      <c r="BW1734" s="2" t="s">
        <v>235</v>
      </c>
      <c r="BX1734" s="2" t="s">
        <v>619</v>
      </c>
      <c r="BY1734" s="2" t="s">
        <v>245</v>
      </c>
      <c r="BZ1734" s="2" t="s">
        <v>232</v>
      </c>
      <c r="CA1734" s="2" t="s">
        <v>6382</v>
      </c>
      <c r="CB1734" s="2" t="s">
        <v>6414</v>
      </c>
      <c r="CC1734" s="2" t="s">
        <v>248</v>
      </c>
      <c r="CD1734" s="2" t="s">
        <v>248</v>
      </c>
      <c r="CE1734" s="2" t="s">
        <v>235</v>
      </c>
      <c r="CF1734" s="4"/>
      <c r="CG1734" s="4"/>
      <c r="CH1734" s="4"/>
      <c r="CI1734" s="4">
        <v>95</v>
      </c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>
        <v>150</v>
      </c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>
        <v>96</v>
      </c>
      <c r="GE1734" s="4">
        <v>238</v>
      </c>
      <c r="GF1734" s="4">
        <v>232</v>
      </c>
      <c r="GG1734" s="4">
        <v>226</v>
      </c>
      <c r="GH1734" s="4">
        <v>220</v>
      </c>
      <c r="GI1734" s="4">
        <v>214</v>
      </c>
      <c r="GJ1734" s="4">
        <v>208</v>
      </c>
      <c r="GK1734" s="4">
        <v>202</v>
      </c>
      <c r="GL1734" s="4">
        <v>196</v>
      </c>
      <c r="GM1734" s="4">
        <v>186</v>
      </c>
      <c r="GN1734" s="4">
        <v>175</v>
      </c>
      <c r="GO1734" s="4">
        <v>164</v>
      </c>
      <c r="GP1734" s="4">
        <v>156</v>
      </c>
      <c r="GQ1734" s="4">
        <v>139</v>
      </c>
      <c r="GR1734" s="4">
        <v>127</v>
      </c>
      <c r="GS1734" s="4">
        <v>120</v>
      </c>
      <c r="GT1734" s="4">
        <v>115</v>
      </c>
      <c r="GU1734" s="4">
        <v>110</v>
      </c>
      <c r="GV1734" s="4">
        <v>104</v>
      </c>
      <c r="GW1734" s="4">
        <v>98</v>
      </c>
      <c r="GX1734" s="4">
        <v>92</v>
      </c>
      <c r="GY1734" s="4">
        <v>86</v>
      </c>
      <c r="GZ1734" s="4">
        <v>80</v>
      </c>
      <c r="HA1734" s="4">
        <v>74</v>
      </c>
      <c r="HB1734" s="4">
        <v>68</v>
      </c>
      <c r="HC1734" s="4">
        <v>108</v>
      </c>
      <c r="HD1734" s="19">
        <v>8</v>
      </c>
      <c r="HE1734" s="19">
        <v>19.9</v>
      </c>
      <c r="HF1734" s="19">
        <v>19.4</v>
      </c>
      <c r="HG1734" s="19">
        <v>18.9</v>
      </c>
      <c r="HH1734" s="19">
        <v>18.4</v>
      </c>
      <c r="HI1734" s="19">
        <v>15.3</v>
      </c>
      <c r="HJ1734" s="19">
        <v>13</v>
      </c>
      <c r="HK1734" s="19">
        <v>10.1</v>
      </c>
      <c r="HL1734" s="19">
        <v>9.8</v>
      </c>
      <c r="HM1734" s="19">
        <v>7.8</v>
      </c>
      <c r="HN1734" s="19">
        <v>7.3</v>
      </c>
      <c r="HO1734" s="19">
        <v>7.5</v>
      </c>
      <c r="HP1734" s="19">
        <v>7.8</v>
      </c>
      <c r="HQ1734" s="19">
        <v>10</v>
      </c>
      <c r="HR1734" s="19">
        <v>10.6</v>
      </c>
      <c r="HS1734" s="19">
        <v>10</v>
      </c>
      <c r="HT1734" s="19">
        <v>9.6</v>
      </c>
      <c r="HU1734" s="19">
        <v>9.2</v>
      </c>
      <c r="HV1734" s="19">
        <v>8.7</v>
      </c>
      <c r="HW1734" s="19">
        <v>8.2</v>
      </c>
      <c r="HX1734" s="19">
        <v>7.7</v>
      </c>
      <c r="HY1734" s="19">
        <v>7.2</v>
      </c>
      <c r="HZ1734" s="19">
        <v>6.7</v>
      </c>
      <c r="IA1734" s="19">
        <v>6.2</v>
      </c>
      <c r="IB1734" s="19">
        <v>5.7</v>
      </c>
      <c r="IC1734" s="19">
        <v>9</v>
      </c>
    </row>
    <row r="1735">
      <c r="A1735" s="2" t="s">
        <v>6415</v>
      </c>
      <c r="B1735" s="2" t="s">
        <v>871</v>
      </c>
      <c r="C1735" s="2" t="s">
        <v>606</v>
      </c>
      <c r="D1735" s="2" t="s">
        <v>906</v>
      </c>
      <c r="E1735" s="2" t="s">
        <v>907</v>
      </c>
      <c r="F1735" s="2" t="s">
        <v>6371</v>
      </c>
      <c r="G1735" s="2" t="s">
        <v>6372</v>
      </c>
      <c r="H1735" s="2" t="s">
        <v>6373</v>
      </c>
      <c r="I1735" s="2" t="s">
        <v>6374</v>
      </c>
      <c r="J1735" s="2" t="s">
        <v>261</v>
      </c>
      <c r="K1735" s="2" t="s">
        <v>550</v>
      </c>
      <c r="L1735" s="3">
        <v>22.07</v>
      </c>
      <c r="M1735" s="3">
        <v>23.17</v>
      </c>
      <c r="N1735" s="3">
        <v>44.99</v>
      </c>
      <c r="O1735" s="2" t="s">
        <v>232</v>
      </c>
      <c r="P1735" s="2" t="s">
        <v>624</v>
      </c>
      <c r="Q1735" s="2" t="s">
        <v>234</v>
      </c>
      <c r="R1735" s="2" t="s">
        <v>235</v>
      </c>
      <c r="S1735" s="2" t="s">
        <v>6411</v>
      </c>
      <c r="T1735" s="2" t="s">
        <v>501</v>
      </c>
      <c r="U1735" s="2" t="s">
        <v>552</v>
      </c>
      <c r="V1735" s="2" t="s">
        <v>238</v>
      </c>
      <c r="W1735" s="2" t="s">
        <v>682</v>
      </c>
      <c r="X1735" s="2" t="s">
        <v>235</v>
      </c>
      <c r="Y1735" s="2" t="s">
        <v>6391</v>
      </c>
      <c r="Z1735" s="4"/>
      <c r="AA1735" s="4">
        <f>=ROUNDDOWN({0},0)</f>
      </c>
      <c r="AB1735" s="5">
        <v>27.1</v>
      </c>
      <c r="AC1735" s="2" t="s">
        <v>235</v>
      </c>
      <c r="AD1735" s="4"/>
      <c r="AE1735" s="4"/>
      <c r="AF1735" s="6">
        <v>63</v>
      </c>
      <c r="AG1735" s="6">
        <v>46</v>
      </c>
      <c r="AH1735" s="7">
        <v>0</v>
      </c>
      <c r="AI1735" s="4"/>
      <c r="AJ1735" s="4">
        <f>=ROUNDDOWN({0},0)</f>
      </c>
      <c r="AK1735" s="5"/>
      <c r="AL1735" s="2" t="s">
        <v>235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235</v>
      </c>
      <c r="AW1735" s="8" t="s">
        <v>235</v>
      </c>
      <c r="AX1735" s="4" t="s">
        <v>235</v>
      </c>
      <c r="AY1735" s="8" t="s">
        <v>235</v>
      </c>
      <c r="AZ1735" s="7" t="s">
        <v>235</v>
      </c>
      <c r="BA1735" s="7" t="s">
        <v>235</v>
      </c>
      <c r="BB1735" s="7"/>
      <c r="BC1735" s="4" t="s">
        <v>235</v>
      </c>
      <c r="BD1735" s="8" t="s">
        <v>235</v>
      </c>
      <c r="BE1735" s="4" t="s">
        <v>235</v>
      </c>
      <c r="BF1735" s="8" t="s">
        <v>235</v>
      </c>
      <c r="BG1735" s="7" t="s">
        <v>235</v>
      </c>
      <c r="BH1735" s="7" t="s">
        <v>235</v>
      </c>
      <c r="BI1735" s="7"/>
      <c r="BJ1735" s="4"/>
      <c r="BK1735" s="8"/>
      <c r="BL1735" s="2" t="s">
        <v>1634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6378</v>
      </c>
      <c r="BV1735" s="2" t="s">
        <v>243</v>
      </c>
      <c r="BW1735" s="2" t="s">
        <v>235</v>
      </c>
      <c r="BX1735" s="2" t="s">
        <v>619</v>
      </c>
      <c r="BY1735" s="2" t="s">
        <v>245</v>
      </c>
      <c r="BZ1735" s="2" t="s">
        <v>232</v>
      </c>
      <c r="CA1735" s="2" t="s">
        <v>6389</v>
      </c>
      <c r="CB1735" s="2" t="s">
        <v>2992</v>
      </c>
      <c r="CC1735" s="2" t="s">
        <v>248</v>
      </c>
      <c r="CD1735" s="2" t="s">
        <v>248</v>
      </c>
      <c r="CE1735" s="2" t="s">
        <v>235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20">
        <v>0</v>
      </c>
      <c r="HE1735" s="20">
        <v>0</v>
      </c>
      <c r="HF1735" s="20">
        <v>0</v>
      </c>
      <c r="HG1735" s="20">
        <v>0</v>
      </c>
      <c r="HH1735" s="20">
        <v>0</v>
      </c>
      <c r="HI1735" s="20">
        <v>0</v>
      </c>
      <c r="HJ1735" s="20">
        <v>0</v>
      </c>
      <c r="HK1735" s="20">
        <v>0</v>
      </c>
      <c r="HL1735" s="20">
        <v>0</v>
      </c>
      <c r="HM1735" s="20">
        <v>0</v>
      </c>
      <c r="HN1735" s="20">
        <v>0</v>
      </c>
      <c r="HO1735" s="20">
        <v>0</v>
      </c>
      <c r="HP1735" s="20">
        <v>0</v>
      </c>
      <c r="HQ1735" s="20">
        <v>0</v>
      </c>
      <c r="HR1735" s="20">
        <v>0</v>
      </c>
      <c r="HS1735" s="20">
        <v>0</v>
      </c>
      <c r="HT1735" s="20">
        <v>0</v>
      </c>
      <c r="HU1735" s="20">
        <v>0</v>
      </c>
      <c r="HV1735" s="20">
        <v>0</v>
      </c>
      <c r="HW1735" s="20">
        <v>0</v>
      </c>
      <c r="HX1735" s="20">
        <v>0</v>
      </c>
      <c r="HY1735" s="20">
        <v>0</v>
      </c>
      <c r="HZ1735" s="20">
        <v>0</v>
      </c>
      <c r="IA1735" s="20">
        <v>0</v>
      </c>
      <c r="IB1735" s="20">
        <v>0</v>
      </c>
      <c r="IC1735" s="20">
        <v>0</v>
      </c>
    </row>
    <row r="1736">
      <c r="A1736" s="2" t="s">
        <v>6416</v>
      </c>
      <c r="B1736" s="2" t="s">
        <v>871</v>
      </c>
      <c r="C1736" s="2" t="s">
        <v>606</v>
      </c>
      <c r="D1736" s="2" t="s">
        <v>906</v>
      </c>
      <c r="E1736" s="2" t="s">
        <v>907</v>
      </c>
      <c r="F1736" s="2" t="s">
        <v>6371</v>
      </c>
      <c r="G1736" s="2" t="s">
        <v>6372</v>
      </c>
      <c r="H1736" s="2" t="s">
        <v>6373</v>
      </c>
      <c r="I1736" s="2" t="s">
        <v>6374</v>
      </c>
      <c r="J1736" s="2" t="s">
        <v>270</v>
      </c>
      <c r="K1736" s="2" t="s">
        <v>550</v>
      </c>
      <c r="L1736" s="3">
        <v>24.66</v>
      </c>
      <c r="M1736" s="3">
        <v>25.89</v>
      </c>
      <c r="N1736" s="3">
        <v>49.99</v>
      </c>
      <c r="O1736" s="2" t="s">
        <v>232</v>
      </c>
      <c r="P1736" s="2" t="s">
        <v>624</v>
      </c>
      <c r="Q1736" s="2" t="s">
        <v>234</v>
      </c>
      <c r="R1736" s="2" t="s">
        <v>235</v>
      </c>
      <c r="S1736" s="2" t="s">
        <v>6411</v>
      </c>
      <c r="T1736" s="2" t="s">
        <v>501</v>
      </c>
      <c r="U1736" s="2" t="s">
        <v>552</v>
      </c>
      <c r="V1736" s="2" t="s">
        <v>238</v>
      </c>
      <c r="W1736" s="2" t="s">
        <v>682</v>
      </c>
      <c r="X1736" s="2" t="s">
        <v>235</v>
      </c>
      <c r="Y1736" s="2" t="s">
        <v>6391</v>
      </c>
      <c r="Z1736" s="4"/>
      <c r="AA1736" s="4">
        <f>=ROUNDDOWN({0},0)</f>
      </c>
      <c r="AB1736" s="5">
        <v>11.4</v>
      </c>
      <c r="AC1736" s="2" t="s">
        <v>235</v>
      </c>
      <c r="AD1736" s="4"/>
      <c r="AE1736" s="4"/>
      <c r="AF1736" s="6">
        <v>63</v>
      </c>
      <c r="AG1736" s="6">
        <v>46</v>
      </c>
      <c r="AH1736" s="7">
        <v>0</v>
      </c>
      <c r="AI1736" s="4"/>
      <c r="AJ1736" s="4">
        <f>=ROUNDDOWN({0},0)</f>
      </c>
      <c r="AK1736" s="5"/>
      <c r="AL1736" s="2" t="s">
        <v>235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235</v>
      </c>
      <c r="AW1736" s="8" t="s">
        <v>235</v>
      </c>
      <c r="AX1736" s="4" t="s">
        <v>235</v>
      </c>
      <c r="AY1736" s="8" t="s">
        <v>235</v>
      </c>
      <c r="AZ1736" s="7" t="s">
        <v>235</v>
      </c>
      <c r="BA1736" s="7" t="s">
        <v>235</v>
      </c>
      <c r="BB1736" s="7"/>
      <c r="BC1736" s="4" t="s">
        <v>235</v>
      </c>
      <c r="BD1736" s="8" t="s">
        <v>235</v>
      </c>
      <c r="BE1736" s="4" t="s">
        <v>235</v>
      </c>
      <c r="BF1736" s="8" t="s">
        <v>235</v>
      </c>
      <c r="BG1736" s="7" t="s">
        <v>235</v>
      </c>
      <c r="BH1736" s="7" t="s">
        <v>235</v>
      </c>
      <c r="BI1736" s="7"/>
      <c r="BJ1736" s="4"/>
      <c r="BK1736" s="8"/>
      <c r="BL1736" s="2" t="s">
        <v>1122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6378</v>
      </c>
      <c r="BV1736" s="2" t="s">
        <v>243</v>
      </c>
      <c r="BW1736" s="2" t="s">
        <v>235</v>
      </c>
      <c r="BX1736" s="2" t="s">
        <v>619</v>
      </c>
      <c r="BY1736" s="2" t="s">
        <v>245</v>
      </c>
      <c r="BZ1736" s="2" t="s">
        <v>232</v>
      </c>
      <c r="CA1736" s="2" t="s">
        <v>6389</v>
      </c>
      <c r="CB1736" s="2" t="s">
        <v>1034</v>
      </c>
      <c r="CC1736" s="2" t="s">
        <v>248</v>
      </c>
      <c r="CD1736" s="2" t="s">
        <v>248</v>
      </c>
      <c r="CE1736" s="2" t="s">
        <v>235</v>
      </c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20">
        <v>0</v>
      </c>
      <c r="HE1736" s="20">
        <v>0</v>
      </c>
      <c r="HF1736" s="20">
        <v>0</v>
      </c>
      <c r="HG1736" s="20">
        <v>0</v>
      </c>
      <c r="HH1736" s="20">
        <v>0</v>
      </c>
      <c r="HI1736" s="20">
        <v>0</v>
      </c>
      <c r="HJ1736" s="20">
        <v>0</v>
      </c>
      <c r="HK1736" s="20">
        <v>0</v>
      </c>
      <c r="HL1736" s="20">
        <v>0</v>
      </c>
      <c r="HM1736" s="20">
        <v>0</v>
      </c>
      <c r="HN1736" s="20">
        <v>0</v>
      </c>
      <c r="HO1736" s="20">
        <v>0</v>
      </c>
      <c r="HP1736" s="20">
        <v>0</v>
      </c>
      <c r="HQ1736" s="20">
        <v>0</v>
      </c>
      <c r="HR1736" s="20">
        <v>0</v>
      </c>
      <c r="HS1736" s="20">
        <v>0</v>
      </c>
      <c r="HT1736" s="20">
        <v>0</v>
      </c>
      <c r="HU1736" s="20">
        <v>0</v>
      </c>
      <c r="HV1736" s="20">
        <v>0</v>
      </c>
      <c r="HW1736" s="20">
        <v>0</v>
      </c>
      <c r="HX1736" s="20">
        <v>0</v>
      </c>
      <c r="HY1736" s="20">
        <v>0</v>
      </c>
      <c r="HZ1736" s="20">
        <v>0</v>
      </c>
      <c r="IA1736" s="20">
        <v>0</v>
      </c>
      <c r="IB1736" s="20">
        <v>0</v>
      </c>
      <c r="IC1736" s="20">
        <v>0</v>
      </c>
    </row>
    <row r="1737">
      <c r="A1737" s="2" t="s">
        <v>6417</v>
      </c>
      <c r="B1737" s="2" t="s">
        <v>871</v>
      </c>
      <c r="C1737" s="2" t="s">
        <v>606</v>
      </c>
      <c r="D1737" s="2" t="s">
        <v>906</v>
      </c>
      <c r="E1737" s="2" t="s">
        <v>907</v>
      </c>
      <c r="F1737" s="2" t="s">
        <v>6371</v>
      </c>
      <c r="G1737" s="2" t="s">
        <v>6372</v>
      </c>
      <c r="H1737" s="2" t="s">
        <v>6373</v>
      </c>
      <c r="I1737" s="2" t="s">
        <v>6374</v>
      </c>
      <c r="J1737" s="2" t="s">
        <v>250</v>
      </c>
      <c r="K1737" s="2" t="s">
        <v>309</v>
      </c>
      <c r="L1737" s="3">
        <v>21.52</v>
      </c>
      <c r="M1737" s="3">
        <v>22.6</v>
      </c>
      <c r="N1737" s="3">
        <v>42.99</v>
      </c>
      <c r="O1737" s="2" t="s">
        <v>232</v>
      </c>
      <c r="P1737" s="2" t="s">
        <v>965</v>
      </c>
      <c r="Q1737" s="2" t="s">
        <v>234</v>
      </c>
      <c r="R1737" s="2" t="s">
        <v>235</v>
      </c>
      <c r="S1737" s="2" t="s">
        <v>6418</v>
      </c>
      <c r="T1737" s="2" t="s">
        <v>501</v>
      </c>
      <c r="U1737" s="2" t="s">
        <v>552</v>
      </c>
      <c r="V1737" s="2" t="s">
        <v>238</v>
      </c>
      <c r="W1737" s="2" t="s">
        <v>682</v>
      </c>
      <c r="X1737" s="2" t="s">
        <v>235</v>
      </c>
      <c r="Y1737" s="2" t="s">
        <v>3481</v>
      </c>
      <c r="Z1737" s="4">
        <v>265</v>
      </c>
      <c r="AA1737" s="4">
        <f>=ROUNDDOWN(57.6086956521739,0)</f>
      </c>
      <c r="AB1737" s="5">
        <v>4.6</v>
      </c>
      <c r="AC1737" s="2" t="s">
        <v>235</v>
      </c>
      <c r="AD1737" s="4"/>
      <c r="AE1737" s="4"/>
      <c r="AF1737" s="6">
        <v>63</v>
      </c>
      <c r="AG1737" s="6">
        <v>46</v>
      </c>
      <c r="AH1737" s="7">
        <v>1</v>
      </c>
      <c r="AI1737" s="4"/>
      <c r="AJ1737" s="4">
        <f>=ROUNDDOWN({0},0)</f>
      </c>
      <c r="AK1737" s="5"/>
      <c r="AL1737" s="2" t="s">
        <v>235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 t="s">
        <v>235</v>
      </c>
      <c r="BD1737" s="8" t="s">
        <v>235</v>
      </c>
      <c r="BE1737" s="4" t="s">
        <v>235</v>
      </c>
      <c r="BF1737" s="8" t="s">
        <v>235</v>
      </c>
      <c r="BG1737" s="7" t="s">
        <v>235</v>
      </c>
      <c r="BH1737" s="7" t="s">
        <v>235</v>
      </c>
      <c r="BI1737" s="7"/>
      <c r="BJ1737" s="4">
        <v>5</v>
      </c>
      <c r="BK1737" s="8">
        <v>142.75</v>
      </c>
      <c r="BL1737" s="2" t="s">
        <v>2854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6378</v>
      </c>
      <c r="BV1737" s="2" t="s">
        <v>243</v>
      </c>
      <c r="BW1737" s="2" t="s">
        <v>235</v>
      </c>
      <c r="BX1737" s="2" t="s">
        <v>619</v>
      </c>
      <c r="BY1737" s="2" t="s">
        <v>245</v>
      </c>
      <c r="BZ1737" s="2" t="s">
        <v>232</v>
      </c>
      <c r="CA1737" s="2" t="s">
        <v>642</v>
      </c>
      <c r="CB1737" s="2" t="s">
        <v>5825</v>
      </c>
      <c r="CC1737" s="2" t="s">
        <v>248</v>
      </c>
      <c r="CD1737" s="2" t="s">
        <v>248</v>
      </c>
      <c r="CE1737" s="2" t="s">
        <v>235</v>
      </c>
      <c r="CF1737" s="4">
        <v>103</v>
      </c>
      <c r="CG1737" s="4"/>
      <c r="CH1737" s="4"/>
      <c r="CI1737" s="4">
        <v>162</v>
      </c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>
        <v>273</v>
      </c>
      <c r="GE1737" s="4">
        <v>265</v>
      </c>
      <c r="GF1737" s="4">
        <v>262</v>
      </c>
      <c r="GG1737" s="4">
        <v>259</v>
      </c>
      <c r="GH1737" s="4">
        <v>255</v>
      </c>
      <c r="GI1737" s="4">
        <v>251</v>
      </c>
      <c r="GJ1737" s="4">
        <v>245</v>
      </c>
      <c r="GK1737" s="4">
        <v>240</v>
      </c>
      <c r="GL1737" s="4">
        <v>236</v>
      </c>
      <c r="GM1737" s="4">
        <v>230</v>
      </c>
      <c r="GN1737" s="4">
        <v>223</v>
      </c>
      <c r="GO1737" s="4">
        <v>217</v>
      </c>
      <c r="GP1737" s="4">
        <v>212</v>
      </c>
      <c r="GQ1737" s="4">
        <v>202</v>
      </c>
      <c r="GR1737" s="4">
        <v>195</v>
      </c>
      <c r="GS1737" s="4">
        <v>191</v>
      </c>
      <c r="GT1737" s="4">
        <v>187</v>
      </c>
      <c r="GU1737" s="4">
        <v>183</v>
      </c>
      <c r="GV1737" s="4">
        <v>179</v>
      </c>
      <c r="GW1737" s="4">
        <v>175</v>
      </c>
      <c r="GX1737" s="4">
        <v>171</v>
      </c>
      <c r="GY1737" s="4">
        <v>167</v>
      </c>
      <c r="GZ1737" s="4">
        <v>163</v>
      </c>
      <c r="HA1737" s="4">
        <v>159</v>
      </c>
      <c r="HB1737" s="4">
        <v>155</v>
      </c>
      <c r="HC1737" s="4">
        <v>151</v>
      </c>
      <c r="HD1737" s="19">
        <v>13.4</v>
      </c>
      <c r="HE1737" s="19">
        <v>12.5</v>
      </c>
      <c r="HF1737" s="19">
        <v>12.2</v>
      </c>
      <c r="HG1737" s="19">
        <v>11.8</v>
      </c>
      <c r="HH1737" s="19">
        <v>11.3</v>
      </c>
      <c r="HI1737" s="19">
        <v>8.6</v>
      </c>
      <c r="HJ1737" s="19">
        <v>8.1</v>
      </c>
      <c r="HK1737" s="19">
        <v>6.4</v>
      </c>
      <c r="HL1737" s="19">
        <v>6.1</v>
      </c>
      <c r="HM1737" s="19">
        <v>4.8</v>
      </c>
      <c r="HN1737" s="19">
        <v>4.3</v>
      </c>
      <c r="HO1737" s="19">
        <v>4.5</v>
      </c>
      <c r="HP1737" s="19">
        <v>4.1</v>
      </c>
      <c r="HQ1737" s="19">
        <v>3.9</v>
      </c>
      <c r="HR1737" s="19">
        <v>4</v>
      </c>
      <c r="HS1737" s="19">
        <v>3.5</v>
      </c>
      <c r="HT1737" s="19">
        <v>3</v>
      </c>
      <c r="HU1737" s="19">
        <v>2.5</v>
      </c>
      <c r="HV1737" s="19">
        <v>2</v>
      </c>
      <c r="HW1737" s="19">
        <v>83.5</v>
      </c>
      <c r="HX1737" s="19">
        <v>42.8</v>
      </c>
      <c r="HY1737" s="19">
        <v>29.2</v>
      </c>
      <c r="HZ1737" s="19">
        <v>20.4</v>
      </c>
      <c r="IA1737" s="19">
        <v>19.9</v>
      </c>
      <c r="IB1737" s="19">
        <v>19.4</v>
      </c>
      <c r="IC1737" s="19">
        <v>18.9</v>
      </c>
    </row>
    <row r="1738">
      <c r="A1738" s="2" t="s">
        <v>6419</v>
      </c>
      <c r="B1738" s="2" t="s">
        <v>871</v>
      </c>
      <c r="C1738" s="2" t="s">
        <v>606</v>
      </c>
      <c r="D1738" s="2" t="s">
        <v>906</v>
      </c>
      <c r="E1738" s="2" t="s">
        <v>907</v>
      </c>
      <c r="F1738" s="2" t="s">
        <v>6371</v>
      </c>
      <c r="G1738" s="2" t="s">
        <v>6372</v>
      </c>
      <c r="H1738" s="2" t="s">
        <v>6373</v>
      </c>
      <c r="I1738" s="2" t="s">
        <v>6374</v>
      </c>
      <c r="J1738" s="2" t="s">
        <v>250</v>
      </c>
      <c r="K1738" s="2" t="s">
        <v>1575</v>
      </c>
      <c r="L1738" s="3">
        <v>21.52</v>
      </c>
      <c r="M1738" s="3">
        <v>22.6</v>
      </c>
      <c r="N1738" s="3">
        <v>42.99</v>
      </c>
      <c r="O1738" s="2" t="s">
        <v>232</v>
      </c>
      <c r="P1738" s="2" t="s">
        <v>624</v>
      </c>
      <c r="Q1738" s="2" t="s">
        <v>234</v>
      </c>
      <c r="R1738" s="2" t="s">
        <v>235</v>
      </c>
      <c r="S1738" s="2" t="s">
        <v>6420</v>
      </c>
      <c r="T1738" s="2" t="s">
        <v>501</v>
      </c>
      <c r="U1738" s="2" t="s">
        <v>552</v>
      </c>
      <c r="V1738" s="2" t="s">
        <v>238</v>
      </c>
      <c r="W1738" s="2" t="s">
        <v>682</v>
      </c>
      <c r="X1738" s="2" t="s">
        <v>235</v>
      </c>
      <c r="Y1738" s="2" t="s">
        <v>3581</v>
      </c>
      <c r="Z1738" s="4">
        <v>70</v>
      </c>
      <c r="AA1738" s="4">
        <f>=ROUNDDOWN(18.4210526315789,0)</f>
      </c>
      <c r="AB1738" s="5">
        <v>3.8</v>
      </c>
      <c r="AC1738" s="2" t="s">
        <v>235</v>
      </c>
      <c r="AD1738" s="4"/>
      <c r="AE1738" s="4"/>
      <c r="AF1738" s="6">
        <v>63</v>
      </c>
      <c r="AG1738" s="6">
        <v>46</v>
      </c>
      <c r="AH1738" s="7">
        <v>1</v>
      </c>
      <c r="AI1738" s="4"/>
      <c r="AJ1738" s="4">
        <f>=ROUNDDOWN({0},0)</f>
      </c>
      <c r="AK1738" s="5"/>
      <c r="AL1738" s="2" t="s">
        <v>235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235</v>
      </c>
      <c r="AW1738" s="8" t="s">
        <v>235</v>
      </c>
      <c r="AX1738" s="4" t="s">
        <v>235</v>
      </c>
      <c r="AY1738" s="8" t="s">
        <v>235</v>
      </c>
      <c r="AZ1738" s="7" t="s">
        <v>235</v>
      </c>
      <c r="BA1738" s="7" t="s">
        <v>235</v>
      </c>
      <c r="BB1738" s="7"/>
      <c r="BC1738" s="4" t="s">
        <v>235</v>
      </c>
      <c r="BD1738" s="8" t="s">
        <v>235</v>
      </c>
      <c r="BE1738" s="4" t="s">
        <v>235</v>
      </c>
      <c r="BF1738" s="8" t="s">
        <v>235</v>
      </c>
      <c r="BG1738" s="7" t="s">
        <v>235</v>
      </c>
      <c r="BH1738" s="7" t="s">
        <v>235</v>
      </c>
      <c r="BI1738" s="7"/>
      <c r="BJ1738" s="4">
        <v>9</v>
      </c>
      <c r="BK1738" s="8">
        <v>197.9</v>
      </c>
      <c r="BL1738" s="2" t="s">
        <v>3740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6378</v>
      </c>
      <c r="BV1738" s="2" t="s">
        <v>243</v>
      </c>
      <c r="BW1738" s="2" t="s">
        <v>235</v>
      </c>
      <c r="BX1738" s="2" t="s">
        <v>619</v>
      </c>
      <c r="BY1738" s="2" t="s">
        <v>245</v>
      </c>
      <c r="BZ1738" s="2" t="s">
        <v>232</v>
      </c>
      <c r="CA1738" s="2" t="s">
        <v>642</v>
      </c>
      <c r="CB1738" s="2" t="s">
        <v>1893</v>
      </c>
      <c r="CC1738" s="2" t="s">
        <v>248</v>
      </c>
      <c r="CD1738" s="2" t="s">
        <v>248</v>
      </c>
      <c r="CE1738" s="2" t="s">
        <v>235</v>
      </c>
      <c r="CF1738" s="4">
        <v>30</v>
      </c>
      <c r="CG1738" s="4"/>
      <c r="CH1738" s="4"/>
      <c r="CI1738" s="4">
        <v>40</v>
      </c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>
        <v>71</v>
      </c>
      <c r="GE1738" s="4">
        <v>53</v>
      </c>
      <c r="GF1738" s="4">
        <v>48</v>
      </c>
      <c r="GG1738" s="4">
        <v>42</v>
      </c>
      <c r="GH1738" s="4">
        <v>36</v>
      </c>
      <c r="GI1738" s="4">
        <v>31</v>
      </c>
      <c r="GJ1738" s="4">
        <v>23</v>
      </c>
      <c r="GK1738" s="4">
        <v>17</v>
      </c>
      <c r="GL1738" s="4">
        <v>13</v>
      </c>
      <c r="GM1738" s="4">
        <v>7</v>
      </c>
      <c r="GN1738" s="4">
        <v>1</v>
      </c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19">
        <v>9.4</v>
      </c>
      <c r="HE1738" s="19">
        <v>11</v>
      </c>
      <c r="HF1738" s="19">
        <v>10.2</v>
      </c>
      <c r="HG1738" s="19">
        <v>5.8</v>
      </c>
      <c r="HH1738" s="19">
        <v>5.4</v>
      </c>
      <c r="HI1738" s="19">
        <v>4.7</v>
      </c>
      <c r="HJ1738" s="19">
        <v>1.9</v>
      </c>
      <c r="HK1738" s="19">
        <v>2.2</v>
      </c>
      <c r="HL1738" s="19">
        <v>1.7</v>
      </c>
      <c r="HM1738" s="19">
        <v>1.2</v>
      </c>
      <c r="HN1738" s="19">
        <v>0.3</v>
      </c>
      <c r="HO1738" s="20">
        <v>0</v>
      </c>
      <c r="HP1738" s="20">
        <v>0</v>
      </c>
      <c r="HQ1738" s="20">
        <v>0</v>
      </c>
      <c r="HR1738" s="20">
        <v>0</v>
      </c>
      <c r="HS1738" s="20">
        <v>0</v>
      </c>
      <c r="HT1738" s="20">
        <v>0</v>
      </c>
      <c r="HU1738" s="20">
        <v>0</v>
      </c>
      <c r="HV1738" s="20">
        <v>0</v>
      </c>
      <c r="HW1738" s="20">
        <v>0</v>
      </c>
      <c r="HX1738" s="20">
        <v>0</v>
      </c>
      <c r="HY1738" s="20">
        <v>0</v>
      </c>
      <c r="HZ1738" s="20">
        <v>0</v>
      </c>
      <c r="IA1738" s="20">
        <v>0</v>
      </c>
      <c r="IB1738" s="20">
        <v>0</v>
      </c>
      <c r="IC1738" s="20">
        <v>0</v>
      </c>
    </row>
    <row r="1739">
      <c r="A1739" s="2" t="s">
        <v>6421</v>
      </c>
      <c r="B1739" s="2" t="s">
        <v>871</v>
      </c>
      <c r="C1739" s="2" t="s">
        <v>606</v>
      </c>
      <c r="D1739" s="2" t="s">
        <v>906</v>
      </c>
      <c r="E1739" s="2" t="s">
        <v>907</v>
      </c>
      <c r="F1739" s="2" t="s">
        <v>6371</v>
      </c>
      <c r="G1739" s="2" t="s">
        <v>6372</v>
      </c>
      <c r="H1739" s="2" t="s">
        <v>6373</v>
      </c>
      <c r="I1739" s="2" t="s">
        <v>6374</v>
      </c>
      <c r="J1739" s="2" t="s">
        <v>270</v>
      </c>
      <c r="K1739" s="2" t="s">
        <v>1575</v>
      </c>
      <c r="L1739" s="3">
        <v>24.66</v>
      </c>
      <c r="M1739" s="3">
        <v>25.89</v>
      </c>
      <c r="N1739" s="3">
        <v>49.99</v>
      </c>
      <c r="O1739" s="2" t="s">
        <v>232</v>
      </c>
      <c r="P1739" s="2" t="s">
        <v>624</v>
      </c>
      <c r="Q1739" s="2" t="s">
        <v>234</v>
      </c>
      <c r="R1739" s="2" t="s">
        <v>235</v>
      </c>
      <c r="S1739" s="2" t="s">
        <v>6420</v>
      </c>
      <c r="T1739" s="2" t="s">
        <v>501</v>
      </c>
      <c r="U1739" s="2" t="s">
        <v>552</v>
      </c>
      <c r="V1739" s="2" t="s">
        <v>238</v>
      </c>
      <c r="W1739" s="2" t="s">
        <v>682</v>
      </c>
      <c r="X1739" s="2" t="s">
        <v>235</v>
      </c>
      <c r="Y1739" s="2" t="s">
        <v>6391</v>
      </c>
      <c r="Z1739" s="4">
        <v>18</v>
      </c>
      <c r="AA1739" s="4">
        <f>=ROUNDDOWN(2.8125,0)</f>
      </c>
      <c r="AB1739" s="5">
        <v>6.4</v>
      </c>
      <c r="AC1739" s="2" t="s">
        <v>235</v>
      </c>
      <c r="AD1739" s="4"/>
      <c r="AE1739" s="4"/>
      <c r="AF1739" s="6">
        <v>63</v>
      </c>
      <c r="AG1739" s="6">
        <v>46</v>
      </c>
      <c r="AH1739" s="7">
        <v>1</v>
      </c>
      <c r="AI1739" s="4"/>
      <c r="AJ1739" s="4">
        <f>=ROUNDDOWN({0},0)</f>
      </c>
      <c r="AK1739" s="5"/>
      <c r="AL1739" s="2" t="s">
        <v>235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235</v>
      </c>
      <c r="AW1739" s="8" t="s">
        <v>235</v>
      </c>
      <c r="AX1739" s="4" t="s">
        <v>235</v>
      </c>
      <c r="AY1739" s="8" t="s">
        <v>235</v>
      </c>
      <c r="AZ1739" s="7" t="s">
        <v>235</v>
      </c>
      <c r="BA1739" s="7" t="s">
        <v>235</v>
      </c>
      <c r="BB1739" s="7"/>
      <c r="BC1739" s="4" t="s">
        <v>235</v>
      </c>
      <c r="BD1739" s="8" t="s">
        <v>235</v>
      </c>
      <c r="BE1739" s="4" t="s">
        <v>235</v>
      </c>
      <c r="BF1739" s="8" t="s">
        <v>235</v>
      </c>
      <c r="BG1739" s="7" t="s">
        <v>235</v>
      </c>
      <c r="BH1739" s="7" t="s">
        <v>235</v>
      </c>
      <c r="BI1739" s="7"/>
      <c r="BJ1739" s="4">
        <v>25</v>
      </c>
      <c r="BK1739" s="8">
        <v>705.21</v>
      </c>
      <c r="BL1739" s="2" t="s">
        <v>6422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6378</v>
      </c>
      <c r="BV1739" s="2" t="s">
        <v>243</v>
      </c>
      <c r="BW1739" s="2" t="s">
        <v>235</v>
      </c>
      <c r="BX1739" s="2" t="s">
        <v>619</v>
      </c>
      <c r="BY1739" s="2" t="s">
        <v>245</v>
      </c>
      <c r="BZ1739" s="2" t="s">
        <v>232</v>
      </c>
      <c r="CA1739" s="2" t="s">
        <v>6389</v>
      </c>
      <c r="CB1739" s="2" t="s">
        <v>1193</v>
      </c>
      <c r="CC1739" s="2" t="s">
        <v>248</v>
      </c>
      <c r="CD1739" s="2" t="s">
        <v>248</v>
      </c>
      <c r="CE1739" s="2" t="s">
        <v>235</v>
      </c>
      <c r="CF1739" s="4"/>
      <c r="CG1739" s="4"/>
      <c r="CH1739" s="4"/>
      <c r="CI1739" s="4">
        <v>18</v>
      </c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>
        <v>19</v>
      </c>
      <c r="GE1739" s="4">
        <v>1</v>
      </c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/>
      <c r="HB1739" s="4"/>
      <c r="HC1739" s="4"/>
      <c r="HD1739" s="19">
        <v>1.2</v>
      </c>
      <c r="HE1739" s="19">
        <v>0.1</v>
      </c>
      <c r="HF1739" s="20">
        <v>0</v>
      </c>
      <c r="HG1739" s="20">
        <v>0</v>
      </c>
      <c r="HH1739" s="20">
        <v>0</v>
      </c>
      <c r="HI1739" s="20">
        <v>0</v>
      </c>
      <c r="HJ1739" s="20">
        <v>0</v>
      </c>
      <c r="HK1739" s="20">
        <v>0</v>
      </c>
      <c r="HL1739" s="20">
        <v>0</v>
      </c>
      <c r="HM1739" s="20">
        <v>0</v>
      </c>
      <c r="HN1739" s="20">
        <v>0</v>
      </c>
      <c r="HO1739" s="20">
        <v>0</v>
      </c>
      <c r="HP1739" s="20">
        <v>0</v>
      </c>
      <c r="HQ1739" s="20">
        <v>0</v>
      </c>
      <c r="HR1739" s="20">
        <v>0</v>
      </c>
      <c r="HS1739" s="20">
        <v>0</v>
      </c>
      <c r="HT1739" s="20">
        <v>0</v>
      </c>
      <c r="HU1739" s="20">
        <v>0</v>
      </c>
      <c r="HV1739" s="20">
        <v>0</v>
      </c>
      <c r="HW1739" s="20">
        <v>0</v>
      </c>
      <c r="HX1739" s="20">
        <v>0</v>
      </c>
      <c r="HY1739" s="20">
        <v>0</v>
      </c>
      <c r="HZ1739" s="20">
        <v>0</v>
      </c>
      <c r="IA1739" s="20">
        <v>0</v>
      </c>
      <c r="IB1739" s="20">
        <v>0</v>
      </c>
      <c r="IC1739" s="20">
        <v>0</v>
      </c>
    </row>
    <row r="1740">
      <c r="A1740" s="2" t="s">
        <v>6423</v>
      </c>
      <c r="B1740" s="2" t="s">
        <v>871</v>
      </c>
      <c r="C1740" s="2" t="s">
        <v>606</v>
      </c>
      <c r="D1740" s="2" t="s">
        <v>906</v>
      </c>
      <c r="E1740" s="2" t="s">
        <v>907</v>
      </c>
      <c r="F1740" s="2" t="s">
        <v>6371</v>
      </c>
      <c r="G1740" s="2" t="s">
        <v>6372</v>
      </c>
      <c r="H1740" s="2" t="s">
        <v>6373</v>
      </c>
      <c r="I1740" s="2" t="s">
        <v>6374</v>
      </c>
      <c r="J1740" s="2" t="s">
        <v>272</v>
      </c>
      <c r="K1740" s="2" t="s">
        <v>1575</v>
      </c>
      <c r="L1740" s="3">
        <v>25.79</v>
      </c>
      <c r="M1740" s="3">
        <v>27.08</v>
      </c>
      <c r="N1740" s="3">
        <v>49.99</v>
      </c>
      <c r="O1740" s="2" t="s">
        <v>232</v>
      </c>
      <c r="P1740" s="2" t="s">
        <v>624</v>
      </c>
      <c r="Q1740" s="2" t="s">
        <v>234</v>
      </c>
      <c r="R1740" s="2" t="s">
        <v>235</v>
      </c>
      <c r="S1740" s="2" t="s">
        <v>6420</v>
      </c>
      <c r="T1740" s="2" t="s">
        <v>501</v>
      </c>
      <c r="U1740" s="2" t="s">
        <v>552</v>
      </c>
      <c r="V1740" s="2" t="s">
        <v>238</v>
      </c>
      <c r="W1740" s="2" t="s">
        <v>682</v>
      </c>
      <c r="X1740" s="2" t="s">
        <v>235</v>
      </c>
      <c r="Y1740" s="2" t="s">
        <v>3581</v>
      </c>
      <c r="Z1740" s="4">
        <v>88</v>
      </c>
      <c r="AA1740" s="4">
        <f>=ROUNDDOWN(32.5925925925926,0)</f>
      </c>
      <c r="AB1740" s="5">
        <v>2.7</v>
      </c>
      <c r="AC1740" s="2" t="s">
        <v>235</v>
      </c>
      <c r="AD1740" s="4"/>
      <c r="AE1740" s="4"/>
      <c r="AF1740" s="6">
        <v>63</v>
      </c>
      <c r="AG1740" s="6">
        <v>46</v>
      </c>
      <c r="AH1740" s="7">
        <v>1</v>
      </c>
      <c r="AI1740" s="4"/>
      <c r="AJ1740" s="4">
        <f>=ROUNDDOWN({0},0)</f>
      </c>
      <c r="AK1740" s="5"/>
      <c r="AL1740" s="2" t="s">
        <v>235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235</v>
      </c>
      <c r="AW1740" s="8" t="s">
        <v>235</v>
      </c>
      <c r="AX1740" s="4" t="s">
        <v>235</v>
      </c>
      <c r="AY1740" s="8" t="s">
        <v>235</v>
      </c>
      <c r="AZ1740" s="7" t="s">
        <v>235</v>
      </c>
      <c r="BA1740" s="7" t="s">
        <v>235</v>
      </c>
      <c r="BB1740" s="7"/>
      <c r="BC1740" s="4" t="s">
        <v>235</v>
      </c>
      <c r="BD1740" s="8" t="s">
        <v>235</v>
      </c>
      <c r="BE1740" s="4" t="s">
        <v>235</v>
      </c>
      <c r="BF1740" s="8" t="s">
        <v>235</v>
      </c>
      <c r="BG1740" s="7" t="s">
        <v>235</v>
      </c>
      <c r="BH1740" s="7" t="s">
        <v>235</v>
      </c>
      <c r="BI1740" s="7"/>
      <c r="BJ1740" s="4">
        <v>7</v>
      </c>
      <c r="BK1740" s="8">
        <v>189.77</v>
      </c>
      <c r="BL1740" s="2" t="s">
        <v>597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6378</v>
      </c>
      <c r="BV1740" s="2" t="s">
        <v>243</v>
      </c>
      <c r="BW1740" s="2" t="s">
        <v>235</v>
      </c>
      <c r="BX1740" s="2" t="s">
        <v>619</v>
      </c>
      <c r="BY1740" s="2" t="s">
        <v>245</v>
      </c>
      <c r="BZ1740" s="2" t="s">
        <v>232</v>
      </c>
      <c r="CA1740" s="2" t="s">
        <v>642</v>
      </c>
      <c r="CB1740" s="2" t="s">
        <v>941</v>
      </c>
      <c r="CC1740" s="2" t="s">
        <v>248</v>
      </c>
      <c r="CD1740" s="2" t="s">
        <v>248</v>
      </c>
      <c r="CE1740" s="2" t="s">
        <v>235</v>
      </c>
      <c r="CF1740" s="4"/>
      <c r="CG1740" s="4"/>
      <c r="CH1740" s="4"/>
      <c r="CI1740" s="4">
        <v>88</v>
      </c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>
        <v>88</v>
      </c>
      <c r="GE1740" s="4">
        <v>86</v>
      </c>
      <c r="GF1740" s="4">
        <v>84</v>
      </c>
      <c r="GG1740" s="4">
        <v>82</v>
      </c>
      <c r="GH1740" s="4">
        <v>80</v>
      </c>
      <c r="GI1740" s="4">
        <v>78</v>
      </c>
      <c r="GJ1740" s="4">
        <v>76</v>
      </c>
      <c r="GK1740" s="4">
        <v>74</v>
      </c>
      <c r="GL1740" s="4">
        <v>72</v>
      </c>
      <c r="GM1740" s="4">
        <v>69</v>
      </c>
      <c r="GN1740" s="4">
        <v>66</v>
      </c>
      <c r="GO1740" s="4">
        <v>63</v>
      </c>
      <c r="GP1740" s="4">
        <v>61</v>
      </c>
      <c r="GQ1740" s="4">
        <v>55</v>
      </c>
      <c r="GR1740" s="4">
        <v>51</v>
      </c>
      <c r="GS1740" s="4">
        <v>48</v>
      </c>
      <c r="GT1740" s="4">
        <v>45</v>
      </c>
      <c r="GU1740" s="4">
        <v>42</v>
      </c>
      <c r="GV1740" s="4">
        <v>39</v>
      </c>
      <c r="GW1740" s="4">
        <v>36</v>
      </c>
      <c r="GX1740" s="4">
        <v>33</v>
      </c>
      <c r="GY1740" s="4">
        <v>30</v>
      </c>
      <c r="GZ1740" s="4">
        <v>27</v>
      </c>
      <c r="HA1740" s="4">
        <v>24</v>
      </c>
      <c r="HB1740" s="4">
        <v>21</v>
      </c>
      <c r="HC1740" s="4">
        <v>18</v>
      </c>
      <c r="HD1740" s="19">
        <v>22</v>
      </c>
      <c r="HE1740" s="19">
        <v>21.5</v>
      </c>
      <c r="HF1740" s="19">
        <v>21</v>
      </c>
      <c r="HG1740" s="19">
        <v>20.5</v>
      </c>
      <c r="HH1740" s="19">
        <v>20</v>
      </c>
      <c r="HI1740" s="19">
        <v>19.5</v>
      </c>
      <c r="HJ1740" s="19">
        <v>19</v>
      </c>
      <c r="HK1740" s="19">
        <v>12.4</v>
      </c>
      <c r="HL1740" s="19">
        <v>12</v>
      </c>
      <c r="HM1740" s="19">
        <v>8.7</v>
      </c>
      <c r="HN1740" s="19">
        <v>8.3</v>
      </c>
      <c r="HO1740" s="19">
        <v>7.9</v>
      </c>
      <c r="HP1740" s="19">
        <v>7.7</v>
      </c>
      <c r="HQ1740" s="19">
        <v>9.2</v>
      </c>
      <c r="HR1740" s="19">
        <v>8.5</v>
      </c>
      <c r="HS1740" s="19">
        <v>8</v>
      </c>
      <c r="HT1740" s="19">
        <v>7.5</v>
      </c>
      <c r="HU1740" s="19">
        <v>7</v>
      </c>
      <c r="HV1740" s="19">
        <v>6.5</v>
      </c>
      <c r="HW1740" s="19">
        <v>6</v>
      </c>
      <c r="HX1740" s="19">
        <v>5.5</v>
      </c>
      <c r="HY1740" s="19">
        <v>5</v>
      </c>
      <c r="HZ1740" s="19">
        <v>4.5</v>
      </c>
      <c r="IA1740" s="19">
        <v>4</v>
      </c>
      <c r="IB1740" s="19">
        <v>3.5</v>
      </c>
      <c r="IC1740" s="19">
        <v>3</v>
      </c>
    </row>
    <row r="1741">
      <c r="A1741" s="2" t="s">
        <v>6424</v>
      </c>
      <c r="B1741" s="2" t="s">
        <v>871</v>
      </c>
      <c r="C1741" s="2" t="s">
        <v>943</v>
      </c>
      <c r="D1741" s="2" t="s">
        <v>361</v>
      </c>
      <c r="E1741" s="2" t="s">
        <v>872</v>
      </c>
      <c r="F1741" s="2" t="s">
        <v>5427</v>
      </c>
      <c r="G1741" s="2" t="s">
        <v>6425</v>
      </c>
      <c r="H1741" s="2" t="s">
        <v>6426</v>
      </c>
      <c r="I1741" s="2" t="s">
        <v>6427</v>
      </c>
      <c r="J1741" s="2" t="s">
        <v>272</v>
      </c>
      <c r="K1741" s="2" t="s">
        <v>4164</v>
      </c>
      <c r="L1741" s="3">
        <v>59.25</v>
      </c>
      <c r="M1741" s="3">
        <v>62.21</v>
      </c>
      <c r="N1741" s="3">
        <v>134.99</v>
      </c>
      <c r="O1741" s="2" t="s">
        <v>232</v>
      </c>
      <c r="P1741" s="2" t="s">
        <v>233</v>
      </c>
      <c r="Q1741" s="2" t="s">
        <v>234</v>
      </c>
      <c r="R1741" s="2" t="s">
        <v>235</v>
      </c>
      <c r="S1741" s="2" t="s">
        <v>6428</v>
      </c>
      <c r="T1741" s="2" t="s">
        <v>501</v>
      </c>
      <c r="U1741" s="2" t="s">
        <v>785</v>
      </c>
      <c r="V1741" s="2" t="s">
        <v>1458</v>
      </c>
      <c r="W1741" s="2" t="s">
        <v>1029</v>
      </c>
      <c r="X1741" s="2" t="s">
        <v>1157</v>
      </c>
      <c r="Y1741" s="2" t="s">
        <v>6429</v>
      </c>
      <c r="Z1741" s="4">
        <v>32</v>
      </c>
      <c r="AA1741" s="4">
        <f>=ROUNDDOWN(6.4,0)</f>
      </c>
      <c r="AB1741" s="5">
        <v>5</v>
      </c>
      <c r="AC1741" s="2" t="s">
        <v>235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235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/>
      <c r="BD1741" s="8"/>
      <c r="BE1741" s="4"/>
      <c r="BF1741" s="8"/>
      <c r="BG1741" s="7"/>
      <c r="BH1741" s="7"/>
      <c r="BI1741" s="7"/>
      <c r="BJ1741" s="4">
        <v>2</v>
      </c>
      <c r="BK1741" s="8">
        <v>133.6</v>
      </c>
      <c r="BL1741" s="2" t="s">
        <v>1580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6430</v>
      </c>
      <c r="BV1741" s="2" t="s">
        <v>243</v>
      </c>
      <c r="BW1741" s="2" t="s">
        <v>235</v>
      </c>
      <c r="BX1741" s="2" t="s">
        <v>383</v>
      </c>
      <c r="BY1741" s="2" t="s">
        <v>245</v>
      </c>
      <c r="BZ1741" s="2" t="s">
        <v>232</v>
      </c>
      <c r="CA1741" s="2" t="s">
        <v>4717</v>
      </c>
      <c r="CB1741" s="2" t="s">
        <v>1527</v>
      </c>
      <c r="CC1741" s="2" t="s">
        <v>248</v>
      </c>
      <c r="CD1741" s="2" t="s">
        <v>248</v>
      </c>
      <c r="CE1741" s="2" t="s">
        <v>235</v>
      </c>
      <c r="CF1741" s="4"/>
      <c r="CG1741" s="4">
        <v>32</v>
      </c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>
        <v>32</v>
      </c>
      <c r="GE1741" s="4">
        <v>28</v>
      </c>
      <c r="GF1741" s="4">
        <v>26</v>
      </c>
      <c r="GG1741" s="4">
        <v>20</v>
      </c>
      <c r="GH1741" s="4">
        <v>13</v>
      </c>
      <c r="GI1741" s="4">
        <v>8</v>
      </c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>
        <v>264</v>
      </c>
      <c r="GX1741" s="4">
        <v>258</v>
      </c>
      <c r="GY1741" s="4">
        <v>255</v>
      </c>
      <c r="GZ1741" s="4">
        <v>248</v>
      </c>
      <c r="HA1741" s="4">
        <v>244</v>
      </c>
      <c r="HB1741" s="4">
        <v>241</v>
      </c>
      <c r="HC1741" s="4">
        <v>234</v>
      </c>
      <c r="HD1741" s="19">
        <v>6.4</v>
      </c>
      <c r="HE1741" s="19">
        <v>5.6</v>
      </c>
      <c r="HF1741" s="19">
        <v>4.3</v>
      </c>
      <c r="HG1741" s="19">
        <v>3.3</v>
      </c>
      <c r="HH1741" s="19">
        <v>3.3</v>
      </c>
      <c r="HI1741" s="19">
        <v>2</v>
      </c>
      <c r="HJ1741" s="20">
        <v>0</v>
      </c>
      <c r="HK1741" s="20">
        <v>0</v>
      </c>
      <c r="HL1741" s="20">
        <v>0</v>
      </c>
      <c r="HM1741" s="20">
        <v>0</v>
      </c>
      <c r="HN1741" s="20">
        <v>0</v>
      </c>
      <c r="HO1741" s="20">
        <v>0</v>
      </c>
      <c r="HP1741" s="20">
        <v>0</v>
      </c>
      <c r="HQ1741" s="20">
        <v>0</v>
      </c>
      <c r="HR1741" s="20">
        <v>0</v>
      </c>
      <c r="HS1741" s="20">
        <v>0</v>
      </c>
      <c r="HT1741" s="20">
        <v>0</v>
      </c>
      <c r="HU1741" s="20">
        <v>0</v>
      </c>
      <c r="HV1741" s="20">
        <v>0</v>
      </c>
      <c r="HW1741" s="19">
        <v>52.8</v>
      </c>
      <c r="HX1741" s="19">
        <v>64.5</v>
      </c>
      <c r="HY1741" s="19">
        <v>51</v>
      </c>
      <c r="HZ1741" s="19">
        <v>49.6</v>
      </c>
      <c r="IA1741" s="19">
        <v>48.8</v>
      </c>
      <c r="IB1741" s="19">
        <v>48.2</v>
      </c>
      <c r="IC1741" s="19">
        <v>39</v>
      </c>
    </row>
    <row r="1742">
      <c r="A1742" s="2" t="s">
        <v>6431</v>
      </c>
      <c r="B1742" s="2" t="s">
        <v>605</v>
      </c>
      <c r="C1742" s="2" t="s">
        <v>606</v>
      </c>
      <c r="D1742" s="2" t="s">
        <v>607</v>
      </c>
      <c r="E1742" s="2" t="s">
        <v>608</v>
      </c>
      <c r="F1742" s="2" t="s">
        <v>6432</v>
      </c>
      <c r="G1742" s="2" t="s">
        <v>6432</v>
      </c>
      <c r="H1742" s="2" t="s">
        <v>6432</v>
      </c>
      <c r="I1742" s="2" t="s">
        <v>6433</v>
      </c>
      <c r="J1742" s="2" t="s">
        <v>5909</v>
      </c>
      <c r="K1742" s="2" t="s">
        <v>612</v>
      </c>
      <c r="L1742" s="3">
        <v>21.11</v>
      </c>
      <c r="M1742" s="3">
        <v>22.17</v>
      </c>
      <c r="N1742" s="3">
        <v>39.99</v>
      </c>
      <c r="O1742" s="2" t="s">
        <v>232</v>
      </c>
      <c r="P1742" s="2" t="s">
        <v>233</v>
      </c>
      <c r="Q1742" s="2" t="s">
        <v>234</v>
      </c>
      <c r="R1742" s="2" t="s">
        <v>235</v>
      </c>
      <c r="S1742" s="2" t="s">
        <v>6434</v>
      </c>
      <c r="T1742" s="2" t="s">
        <v>263</v>
      </c>
      <c r="U1742" s="2" t="s">
        <v>278</v>
      </c>
      <c r="V1742" s="2" t="s">
        <v>238</v>
      </c>
      <c r="W1742" s="2" t="s">
        <v>239</v>
      </c>
      <c r="X1742" s="2" t="s">
        <v>329</v>
      </c>
      <c r="Y1742" s="2" t="s">
        <v>3581</v>
      </c>
      <c r="Z1742" s="4">
        <v>709</v>
      </c>
      <c r="AA1742" s="4">
        <f>=ROUNDDOWN(228.709677419355,0)</f>
      </c>
      <c r="AB1742" s="5">
        <v>3.1</v>
      </c>
      <c r="AC1742" s="2" t="s">
        <v>235</v>
      </c>
      <c r="AD1742" s="4"/>
      <c r="AE1742" s="4"/>
      <c r="AF1742" s="6">
        <v>82</v>
      </c>
      <c r="AG1742" s="6"/>
      <c r="AH1742" s="7">
        <v>1</v>
      </c>
      <c r="AI1742" s="4"/>
      <c r="AJ1742" s="4">
        <f>=ROUNDDOWN({0},0)</f>
      </c>
      <c r="AK1742" s="5"/>
      <c r="AL1742" s="2" t="s">
        <v>235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235</v>
      </c>
      <c r="AW1742" s="8" t="s">
        <v>235</v>
      </c>
      <c r="AX1742" s="4" t="s">
        <v>235</v>
      </c>
      <c r="AY1742" s="8" t="s">
        <v>235</v>
      </c>
      <c r="AZ1742" s="7" t="s">
        <v>235</v>
      </c>
      <c r="BA1742" s="7" t="s">
        <v>235</v>
      </c>
      <c r="BB1742" s="7"/>
      <c r="BC1742" s="4" t="s">
        <v>235</v>
      </c>
      <c r="BD1742" s="8" t="s">
        <v>235</v>
      </c>
      <c r="BE1742" s="4" t="s">
        <v>235</v>
      </c>
      <c r="BF1742" s="8" t="s">
        <v>235</v>
      </c>
      <c r="BG1742" s="7" t="s">
        <v>235</v>
      </c>
      <c r="BH1742" s="7" t="s">
        <v>235</v>
      </c>
      <c r="BI1742" s="7"/>
      <c r="BJ1742" s="4">
        <v>1</v>
      </c>
      <c r="BK1742" s="8">
        <v>23.94</v>
      </c>
      <c r="BL1742" s="2" t="s">
        <v>597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6435</v>
      </c>
      <c r="BV1742" s="2" t="s">
        <v>618</v>
      </c>
      <c r="BW1742" s="2" t="s">
        <v>235</v>
      </c>
      <c r="BX1742" s="2" t="s">
        <v>619</v>
      </c>
      <c r="BY1742" s="2" t="s">
        <v>245</v>
      </c>
      <c r="BZ1742" s="2" t="s">
        <v>232</v>
      </c>
      <c r="CA1742" s="2" t="s">
        <v>6436</v>
      </c>
      <c r="CB1742" s="2" t="s">
        <v>235</v>
      </c>
      <c r="CC1742" s="2" t="s">
        <v>248</v>
      </c>
      <c r="CD1742" s="2" t="s">
        <v>248</v>
      </c>
      <c r="CE1742" s="2" t="s">
        <v>235</v>
      </c>
      <c r="CF1742" s="4">
        <v>709</v>
      </c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>
        <v>710</v>
      </c>
      <c r="GE1742" s="4">
        <v>705</v>
      </c>
      <c r="GF1742" s="4">
        <v>702</v>
      </c>
      <c r="GG1742" s="4">
        <v>699</v>
      </c>
      <c r="GH1742" s="4">
        <v>696</v>
      </c>
      <c r="GI1742" s="4">
        <v>693</v>
      </c>
      <c r="GJ1742" s="4">
        <v>688</v>
      </c>
      <c r="GK1742" s="4">
        <v>683</v>
      </c>
      <c r="GL1742" s="4">
        <v>679</v>
      </c>
      <c r="GM1742" s="4">
        <v>676</v>
      </c>
      <c r="GN1742" s="4">
        <v>673</v>
      </c>
      <c r="GO1742" s="4">
        <v>670</v>
      </c>
      <c r="GP1742" s="4">
        <v>667</v>
      </c>
      <c r="GQ1742" s="4">
        <v>664</v>
      </c>
      <c r="GR1742" s="4">
        <v>663</v>
      </c>
      <c r="GS1742" s="4">
        <v>660</v>
      </c>
      <c r="GT1742" s="4">
        <v>657</v>
      </c>
      <c r="GU1742" s="4">
        <v>654</v>
      </c>
      <c r="GV1742" s="4">
        <v>652</v>
      </c>
      <c r="GW1742" s="4">
        <v>649</v>
      </c>
      <c r="GX1742" s="4">
        <v>646</v>
      </c>
      <c r="GY1742" s="4">
        <v>643</v>
      </c>
      <c r="GZ1742" s="4">
        <v>640</v>
      </c>
      <c r="HA1742" s="4">
        <v>637</v>
      </c>
      <c r="HB1742" s="4">
        <v>634</v>
      </c>
      <c r="HC1742" s="4">
        <v>631</v>
      </c>
      <c r="HD1742" s="19">
        <v>177.5</v>
      </c>
      <c r="HE1742" s="19">
        <v>235</v>
      </c>
      <c r="HF1742" s="19">
        <v>175.5</v>
      </c>
      <c r="HG1742" s="19">
        <v>174.8</v>
      </c>
      <c r="HH1742" s="19">
        <v>174</v>
      </c>
      <c r="HI1742" s="19">
        <v>173.3</v>
      </c>
      <c r="HJ1742" s="19">
        <v>172</v>
      </c>
      <c r="HK1742" s="19">
        <v>227.7</v>
      </c>
      <c r="HL1742" s="19">
        <v>226.3</v>
      </c>
      <c r="HM1742" s="19">
        <v>225.3</v>
      </c>
      <c r="HN1742" s="19">
        <v>336.5</v>
      </c>
      <c r="HO1742" s="19">
        <v>335</v>
      </c>
      <c r="HP1742" s="19">
        <v>333.5</v>
      </c>
      <c r="HQ1742" s="19">
        <v>332</v>
      </c>
      <c r="HR1742" s="19">
        <v>221</v>
      </c>
      <c r="HS1742" s="19">
        <v>220</v>
      </c>
      <c r="HT1742" s="19">
        <v>219</v>
      </c>
      <c r="HU1742" s="19">
        <v>218</v>
      </c>
      <c r="HV1742" s="19">
        <v>217.3</v>
      </c>
      <c r="HW1742" s="19">
        <v>216.3</v>
      </c>
      <c r="HX1742" s="19">
        <v>215.3</v>
      </c>
      <c r="HY1742" s="19">
        <v>214.3</v>
      </c>
      <c r="HZ1742" s="19">
        <v>213.3</v>
      </c>
      <c r="IA1742" s="19">
        <v>212.3</v>
      </c>
      <c r="IB1742" s="19">
        <v>211.3</v>
      </c>
      <c r="IC1742" s="19">
        <v>210.3</v>
      </c>
    </row>
    <row r="1743">
      <c r="A1743" s="2" t="s">
        <v>6437</v>
      </c>
      <c r="B1743" s="2" t="s">
        <v>605</v>
      </c>
      <c r="C1743" s="2" t="s">
        <v>606</v>
      </c>
      <c r="D1743" s="2" t="s">
        <v>607</v>
      </c>
      <c r="E1743" s="2" t="s">
        <v>608</v>
      </c>
      <c r="F1743" s="2" t="s">
        <v>6432</v>
      </c>
      <c r="G1743" s="2" t="s">
        <v>6432</v>
      </c>
      <c r="H1743" s="2" t="s">
        <v>6432</v>
      </c>
      <c r="I1743" s="2" t="s">
        <v>6438</v>
      </c>
      <c r="J1743" s="2" t="s">
        <v>630</v>
      </c>
      <c r="K1743" s="2" t="s">
        <v>612</v>
      </c>
      <c r="L1743" s="3">
        <v>23.46</v>
      </c>
      <c r="M1743" s="3">
        <v>24.63</v>
      </c>
      <c r="N1743" s="3">
        <v>45.99</v>
      </c>
      <c r="O1743" s="2" t="s">
        <v>232</v>
      </c>
      <c r="P1743" s="2" t="s">
        <v>233</v>
      </c>
      <c r="Q1743" s="2" t="s">
        <v>234</v>
      </c>
      <c r="R1743" s="2" t="s">
        <v>235</v>
      </c>
      <c r="S1743" s="2" t="s">
        <v>6434</v>
      </c>
      <c r="T1743" s="2" t="s">
        <v>263</v>
      </c>
      <c r="U1743" s="2" t="s">
        <v>264</v>
      </c>
      <c r="V1743" s="2" t="s">
        <v>238</v>
      </c>
      <c r="W1743" s="2" t="s">
        <v>239</v>
      </c>
      <c r="X1743" s="2" t="s">
        <v>329</v>
      </c>
      <c r="Y1743" s="2" t="s">
        <v>3581</v>
      </c>
      <c r="Z1743" s="4">
        <v>715</v>
      </c>
      <c r="AA1743" s="4">
        <f>=ROUNDDOWN(1191.66666666667,0)</f>
      </c>
      <c r="AB1743" s="5">
        <v>0.6</v>
      </c>
      <c r="AC1743" s="2" t="s">
        <v>235</v>
      </c>
      <c r="AD1743" s="4"/>
      <c r="AE1743" s="4"/>
      <c r="AF1743" s="6">
        <v>82</v>
      </c>
      <c r="AG1743" s="6"/>
      <c r="AH1743" s="7">
        <v>1</v>
      </c>
      <c r="AI1743" s="4"/>
      <c r="AJ1743" s="4">
        <f>=ROUNDDOWN({0},0)</f>
      </c>
      <c r="AK1743" s="5"/>
      <c r="AL1743" s="2" t="s">
        <v>235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235</v>
      </c>
      <c r="AW1743" s="8" t="s">
        <v>235</v>
      </c>
      <c r="AX1743" s="4" t="s">
        <v>235</v>
      </c>
      <c r="AY1743" s="8" t="s">
        <v>235</v>
      </c>
      <c r="AZ1743" s="7" t="s">
        <v>235</v>
      </c>
      <c r="BA1743" s="7" t="s">
        <v>235</v>
      </c>
      <c r="BB1743" s="7"/>
      <c r="BC1743" s="4" t="s">
        <v>235</v>
      </c>
      <c r="BD1743" s="8" t="s">
        <v>235</v>
      </c>
      <c r="BE1743" s="4" t="s">
        <v>235</v>
      </c>
      <c r="BF1743" s="8" t="s">
        <v>235</v>
      </c>
      <c r="BG1743" s="7" t="s">
        <v>235</v>
      </c>
      <c r="BH1743" s="7" t="s">
        <v>235</v>
      </c>
      <c r="BI1743" s="7"/>
      <c r="BJ1743" s="4">
        <v>3</v>
      </c>
      <c r="BK1743" s="8">
        <v>77.86</v>
      </c>
      <c r="BL1743" s="2" t="s">
        <v>517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6435</v>
      </c>
      <c r="BV1743" s="2" t="s">
        <v>618</v>
      </c>
      <c r="BW1743" s="2" t="s">
        <v>235</v>
      </c>
      <c r="BX1743" s="2" t="s">
        <v>619</v>
      </c>
      <c r="BY1743" s="2" t="s">
        <v>245</v>
      </c>
      <c r="BZ1743" s="2" t="s">
        <v>232</v>
      </c>
      <c r="CA1743" s="2" t="s">
        <v>2821</v>
      </c>
      <c r="CB1743" s="2" t="s">
        <v>235</v>
      </c>
      <c r="CC1743" s="2" t="s">
        <v>248</v>
      </c>
      <c r="CD1743" s="2" t="s">
        <v>248</v>
      </c>
      <c r="CE1743" s="2" t="s">
        <v>235</v>
      </c>
      <c r="CF1743" s="4">
        <v>715</v>
      </c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>
        <v>715</v>
      </c>
      <c r="GE1743" s="4">
        <v>714</v>
      </c>
      <c r="GF1743" s="4">
        <v>713</v>
      </c>
      <c r="GG1743" s="4">
        <v>712</v>
      </c>
      <c r="GH1743" s="4">
        <v>711</v>
      </c>
      <c r="GI1743" s="4">
        <v>710</v>
      </c>
      <c r="GJ1743" s="4">
        <v>709</v>
      </c>
      <c r="GK1743" s="4">
        <v>708</v>
      </c>
      <c r="GL1743" s="4">
        <v>707</v>
      </c>
      <c r="GM1743" s="4">
        <v>706</v>
      </c>
      <c r="GN1743" s="4">
        <v>705</v>
      </c>
      <c r="GO1743" s="4">
        <v>704</v>
      </c>
      <c r="GP1743" s="4">
        <v>702</v>
      </c>
      <c r="GQ1743" s="4">
        <v>700</v>
      </c>
      <c r="GR1743" s="4">
        <v>697</v>
      </c>
      <c r="GS1743" s="4">
        <v>695</v>
      </c>
      <c r="GT1743" s="4">
        <v>694</v>
      </c>
      <c r="GU1743" s="4">
        <v>693</v>
      </c>
      <c r="GV1743" s="4">
        <v>692</v>
      </c>
      <c r="GW1743" s="4">
        <v>691</v>
      </c>
      <c r="GX1743" s="4">
        <v>690</v>
      </c>
      <c r="GY1743" s="4">
        <v>689</v>
      </c>
      <c r="GZ1743" s="4">
        <v>688</v>
      </c>
      <c r="HA1743" s="4">
        <v>687</v>
      </c>
      <c r="HB1743" s="4">
        <v>686</v>
      </c>
      <c r="HC1743" s="4">
        <v>685</v>
      </c>
      <c r="HD1743" s="19">
        <v>715</v>
      </c>
      <c r="HE1743" s="19">
        <v>714</v>
      </c>
      <c r="HF1743" s="19">
        <v>713</v>
      </c>
      <c r="HG1743" s="19">
        <v>712</v>
      </c>
      <c r="HH1743" s="19">
        <v>711</v>
      </c>
      <c r="HI1743" s="19">
        <v>710</v>
      </c>
      <c r="HJ1743" s="19">
        <v>709</v>
      </c>
      <c r="HK1743" s="19">
        <v>708</v>
      </c>
      <c r="HL1743" s="19">
        <v>707</v>
      </c>
      <c r="HM1743" s="19">
        <v>353</v>
      </c>
      <c r="HN1743" s="19">
        <v>352.5</v>
      </c>
      <c r="HO1743" s="19">
        <v>352</v>
      </c>
      <c r="HP1743" s="19">
        <v>351</v>
      </c>
      <c r="HQ1743" s="19">
        <v>350</v>
      </c>
      <c r="HR1743" s="19">
        <v>697</v>
      </c>
      <c r="HS1743" s="19">
        <v>695</v>
      </c>
      <c r="HT1743" s="19">
        <v>694</v>
      </c>
      <c r="HU1743" s="19">
        <v>693</v>
      </c>
      <c r="HV1743" s="19">
        <v>692</v>
      </c>
      <c r="HW1743" s="19">
        <v>691</v>
      </c>
      <c r="HX1743" s="19">
        <v>690</v>
      </c>
      <c r="HY1743" s="19">
        <v>689</v>
      </c>
      <c r="HZ1743" s="19">
        <v>688</v>
      </c>
      <c r="IA1743" s="19">
        <v>687</v>
      </c>
      <c r="IB1743" s="19">
        <v>686</v>
      </c>
      <c r="IC1743" s="19">
        <v>685</v>
      </c>
    </row>
    <row r="1744">
      <c r="A1744" s="2" t="s">
        <v>6439</v>
      </c>
      <c r="B1744" s="2" t="s">
        <v>605</v>
      </c>
      <c r="C1744" s="2" t="s">
        <v>606</v>
      </c>
      <c r="D1744" s="2" t="s">
        <v>607</v>
      </c>
      <c r="E1744" s="2" t="s">
        <v>608</v>
      </c>
      <c r="F1744" s="2" t="s">
        <v>6432</v>
      </c>
      <c r="G1744" s="2" t="s">
        <v>6432</v>
      </c>
      <c r="H1744" s="2" t="s">
        <v>6432</v>
      </c>
      <c r="I1744" s="2" t="s">
        <v>6438</v>
      </c>
      <c r="J1744" s="2" t="s">
        <v>611</v>
      </c>
      <c r="K1744" s="2" t="s">
        <v>338</v>
      </c>
      <c r="L1744" s="3">
        <v>18.77</v>
      </c>
      <c r="M1744" s="3">
        <v>19.71</v>
      </c>
      <c r="N1744" s="3">
        <v>36.99</v>
      </c>
      <c r="O1744" s="2" t="s">
        <v>232</v>
      </c>
      <c r="P1744" s="2" t="s">
        <v>233</v>
      </c>
      <c r="Q1744" s="2" t="s">
        <v>234</v>
      </c>
      <c r="R1744" s="2" t="s">
        <v>235</v>
      </c>
      <c r="S1744" s="2" t="s">
        <v>6440</v>
      </c>
      <c r="T1744" s="2" t="s">
        <v>263</v>
      </c>
      <c r="U1744" s="2" t="s">
        <v>614</v>
      </c>
      <c r="V1744" s="2" t="s">
        <v>238</v>
      </c>
      <c r="W1744" s="2" t="s">
        <v>239</v>
      </c>
      <c r="X1744" s="2" t="s">
        <v>329</v>
      </c>
      <c r="Y1744" s="2" t="s">
        <v>5237</v>
      </c>
      <c r="Z1744" s="4">
        <v>2144</v>
      </c>
      <c r="AA1744" s="4">
        <f>=ROUNDDOWN(739.310344827586,0)</f>
      </c>
      <c r="AB1744" s="5">
        <v>2.9</v>
      </c>
      <c r="AC1744" s="2" t="s">
        <v>235</v>
      </c>
      <c r="AD1744" s="4"/>
      <c r="AE1744" s="4"/>
      <c r="AF1744" s="6">
        <v>82</v>
      </c>
      <c r="AG1744" s="6"/>
      <c r="AH1744" s="7">
        <v>1</v>
      </c>
      <c r="AI1744" s="4"/>
      <c r="AJ1744" s="4">
        <f>=ROUNDDOWN({0},0)</f>
      </c>
      <c r="AK1744" s="5"/>
      <c r="AL1744" s="2" t="s">
        <v>235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235</v>
      </c>
      <c r="AW1744" s="8" t="s">
        <v>235</v>
      </c>
      <c r="AX1744" s="4" t="s">
        <v>235</v>
      </c>
      <c r="AY1744" s="8" t="s">
        <v>235</v>
      </c>
      <c r="AZ1744" s="7" t="s">
        <v>235</v>
      </c>
      <c r="BA1744" s="7" t="s">
        <v>235</v>
      </c>
      <c r="BB1744" s="7"/>
      <c r="BC1744" s="4" t="s">
        <v>235</v>
      </c>
      <c r="BD1744" s="8" t="s">
        <v>235</v>
      </c>
      <c r="BE1744" s="4" t="s">
        <v>235</v>
      </c>
      <c r="BF1744" s="8" t="s">
        <v>235</v>
      </c>
      <c r="BG1744" s="7" t="s">
        <v>235</v>
      </c>
      <c r="BH1744" s="7" t="s">
        <v>235</v>
      </c>
      <c r="BI1744" s="7"/>
      <c r="BJ1744" s="4">
        <v>16</v>
      </c>
      <c r="BK1744" s="8">
        <v>331.26</v>
      </c>
      <c r="BL1744" s="2" t="s">
        <v>692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6435</v>
      </c>
      <c r="BV1744" s="2" t="s">
        <v>618</v>
      </c>
      <c r="BW1744" s="2" t="s">
        <v>235</v>
      </c>
      <c r="BX1744" s="2" t="s">
        <v>619</v>
      </c>
      <c r="BY1744" s="2" t="s">
        <v>245</v>
      </c>
      <c r="BZ1744" s="2" t="s">
        <v>232</v>
      </c>
      <c r="CA1744" s="2" t="s">
        <v>6436</v>
      </c>
      <c r="CB1744" s="2" t="s">
        <v>1320</v>
      </c>
      <c r="CC1744" s="2" t="s">
        <v>248</v>
      </c>
      <c r="CD1744" s="2" t="s">
        <v>248</v>
      </c>
      <c r="CE1744" s="2" t="s">
        <v>235</v>
      </c>
      <c r="CF1744" s="4">
        <v>2144</v>
      </c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>
        <v>2144</v>
      </c>
      <c r="GE1744" s="4">
        <v>2142</v>
      </c>
      <c r="GF1744" s="4">
        <v>2139</v>
      </c>
      <c r="GG1744" s="4">
        <v>2136</v>
      </c>
      <c r="GH1744" s="4">
        <v>2133</v>
      </c>
      <c r="GI1744" s="4">
        <v>2130</v>
      </c>
      <c r="GJ1744" s="4">
        <v>2126</v>
      </c>
      <c r="GK1744" s="4">
        <v>2123</v>
      </c>
      <c r="GL1744" s="4">
        <v>2120</v>
      </c>
      <c r="GM1744" s="4">
        <v>2118</v>
      </c>
      <c r="GN1744" s="4">
        <v>2115</v>
      </c>
      <c r="GO1744" s="4">
        <v>2112</v>
      </c>
      <c r="GP1744" s="4">
        <v>2108</v>
      </c>
      <c r="GQ1744" s="4">
        <v>2103</v>
      </c>
      <c r="GR1744" s="4">
        <v>2098</v>
      </c>
      <c r="GS1744" s="4">
        <v>2093</v>
      </c>
      <c r="GT1744" s="4">
        <v>2089</v>
      </c>
      <c r="GU1744" s="4">
        <v>2086</v>
      </c>
      <c r="GV1744" s="4">
        <v>2084</v>
      </c>
      <c r="GW1744" s="4">
        <v>2081</v>
      </c>
      <c r="GX1744" s="4">
        <v>2078</v>
      </c>
      <c r="GY1744" s="4">
        <v>2075</v>
      </c>
      <c r="GZ1744" s="4">
        <v>2073</v>
      </c>
      <c r="HA1744" s="4">
        <v>2070</v>
      </c>
      <c r="HB1744" s="4">
        <v>2067</v>
      </c>
      <c r="HC1744" s="4">
        <v>2064</v>
      </c>
      <c r="HD1744" s="19">
        <v>714.7</v>
      </c>
      <c r="HE1744" s="19">
        <v>714</v>
      </c>
      <c r="HF1744" s="19">
        <v>713</v>
      </c>
      <c r="HG1744" s="19">
        <v>712</v>
      </c>
      <c r="HH1744" s="19">
        <v>711</v>
      </c>
      <c r="HI1744" s="19">
        <v>710</v>
      </c>
      <c r="HJ1744" s="19">
        <v>708.7</v>
      </c>
      <c r="HK1744" s="19">
        <v>707.7</v>
      </c>
      <c r="HL1744" s="19">
        <v>706.7</v>
      </c>
      <c r="HM1744" s="19">
        <v>529.5</v>
      </c>
      <c r="HN1744" s="19">
        <v>528.8</v>
      </c>
      <c r="HO1744" s="19">
        <v>422.4</v>
      </c>
      <c r="HP1744" s="19">
        <v>421.6</v>
      </c>
      <c r="HQ1744" s="19">
        <v>525.8</v>
      </c>
      <c r="HR1744" s="19">
        <v>524.5</v>
      </c>
      <c r="HS1744" s="19">
        <v>697.7</v>
      </c>
      <c r="HT1744" s="19">
        <v>696.3</v>
      </c>
      <c r="HU1744" s="19">
        <v>695.3</v>
      </c>
      <c r="HV1744" s="19">
        <v>694.7</v>
      </c>
      <c r="HW1744" s="19">
        <v>693.7</v>
      </c>
      <c r="HX1744" s="19">
        <v>692.7</v>
      </c>
      <c r="HY1744" s="19">
        <v>691.7</v>
      </c>
      <c r="HZ1744" s="19">
        <v>691</v>
      </c>
      <c r="IA1744" s="19">
        <v>690</v>
      </c>
      <c r="IB1744" s="19">
        <v>689</v>
      </c>
      <c r="IC1744" s="19">
        <v>688</v>
      </c>
    </row>
    <row r="1745">
      <c r="A1745" s="2" t="s">
        <v>6441</v>
      </c>
      <c r="B1745" s="2" t="s">
        <v>605</v>
      </c>
      <c r="C1745" s="2" t="s">
        <v>606</v>
      </c>
      <c r="D1745" s="2" t="s">
        <v>607</v>
      </c>
      <c r="E1745" s="2" t="s">
        <v>608</v>
      </c>
      <c r="F1745" s="2" t="s">
        <v>6432</v>
      </c>
      <c r="G1745" s="2" t="s">
        <v>6432</v>
      </c>
      <c r="H1745" s="2" t="s">
        <v>6432</v>
      </c>
      <c r="I1745" s="2" t="s">
        <v>6438</v>
      </c>
      <c r="J1745" s="2" t="s">
        <v>630</v>
      </c>
      <c r="K1745" s="2" t="s">
        <v>338</v>
      </c>
      <c r="L1745" s="3">
        <v>23.46</v>
      </c>
      <c r="M1745" s="3">
        <v>24.63</v>
      </c>
      <c r="N1745" s="3">
        <v>45.99</v>
      </c>
      <c r="O1745" s="2" t="s">
        <v>232</v>
      </c>
      <c r="P1745" s="2" t="s">
        <v>233</v>
      </c>
      <c r="Q1745" s="2" t="s">
        <v>234</v>
      </c>
      <c r="R1745" s="2" t="s">
        <v>235</v>
      </c>
      <c r="S1745" s="2" t="s">
        <v>6440</v>
      </c>
      <c r="T1745" s="2" t="s">
        <v>263</v>
      </c>
      <c r="U1745" s="2" t="s">
        <v>264</v>
      </c>
      <c r="V1745" s="2" t="s">
        <v>238</v>
      </c>
      <c r="W1745" s="2" t="s">
        <v>239</v>
      </c>
      <c r="X1745" s="2" t="s">
        <v>329</v>
      </c>
      <c r="Y1745" s="2" t="s">
        <v>3581</v>
      </c>
      <c r="Z1745" s="4">
        <v>938</v>
      </c>
      <c r="AA1745" s="4">
        <f>=ROUNDDOWN(302.58064516129,0)</f>
      </c>
      <c r="AB1745" s="5">
        <v>3.1</v>
      </c>
      <c r="AC1745" s="2" t="s">
        <v>235</v>
      </c>
      <c r="AD1745" s="4"/>
      <c r="AE1745" s="4"/>
      <c r="AF1745" s="6">
        <v>82</v>
      </c>
      <c r="AG1745" s="6"/>
      <c r="AH1745" s="7">
        <v>1</v>
      </c>
      <c r="AI1745" s="4"/>
      <c r="AJ1745" s="4">
        <f>=ROUNDDOWN({0},0)</f>
      </c>
      <c r="AK1745" s="5"/>
      <c r="AL1745" s="2" t="s">
        <v>235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235</v>
      </c>
      <c r="AW1745" s="8" t="s">
        <v>235</v>
      </c>
      <c r="AX1745" s="4" t="s">
        <v>235</v>
      </c>
      <c r="AY1745" s="8" t="s">
        <v>235</v>
      </c>
      <c r="AZ1745" s="7" t="s">
        <v>235</v>
      </c>
      <c r="BA1745" s="7" t="s">
        <v>235</v>
      </c>
      <c r="BB1745" s="7"/>
      <c r="BC1745" s="4" t="s">
        <v>235</v>
      </c>
      <c r="BD1745" s="8" t="s">
        <v>235</v>
      </c>
      <c r="BE1745" s="4" t="s">
        <v>235</v>
      </c>
      <c r="BF1745" s="8" t="s">
        <v>235</v>
      </c>
      <c r="BG1745" s="7" t="s">
        <v>235</v>
      </c>
      <c r="BH1745" s="7" t="s">
        <v>235</v>
      </c>
      <c r="BI1745" s="7"/>
      <c r="BJ1745" s="4">
        <v>6</v>
      </c>
      <c r="BK1745" s="8">
        <v>157.66</v>
      </c>
      <c r="BL1745" s="2" t="s">
        <v>517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6435</v>
      </c>
      <c r="BV1745" s="2" t="s">
        <v>618</v>
      </c>
      <c r="BW1745" s="2" t="s">
        <v>235</v>
      </c>
      <c r="BX1745" s="2" t="s">
        <v>619</v>
      </c>
      <c r="BY1745" s="2" t="s">
        <v>245</v>
      </c>
      <c r="BZ1745" s="2" t="s">
        <v>232</v>
      </c>
      <c r="CA1745" s="2" t="s">
        <v>6436</v>
      </c>
      <c r="CB1745" s="2" t="s">
        <v>235</v>
      </c>
      <c r="CC1745" s="2" t="s">
        <v>248</v>
      </c>
      <c r="CD1745" s="2" t="s">
        <v>248</v>
      </c>
      <c r="CE1745" s="2" t="s">
        <v>235</v>
      </c>
      <c r="CF1745" s="4">
        <v>938</v>
      </c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>
        <v>938</v>
      </c>
      <c r="GE1745" s="4">
        <v>935</v>
      </c>
      <c r="GF1745" s="4">
        <v>933</v>
      </c>
      <c r="GG1745" s="4">
        <v>931</v>
      </c>
      <c r="GH1745" s="4">
        <v>929</v>
      </c>
      <c r="GI1745" s="4">
        <v>927</v>
      </c>
      <c r="GJ1745" s="4">
        <v>924</v>
      </c>
      <c r="GK1745" s="4">
        <v>921</v>
      </c>
      <c r="GL1745" s="4">
        <v>918</v>
      </c>
      <c r="GM1745" s="4">
        <v>915</v>
      </c>
      <c r="GN1745" s="4">
        <v>912</v>
      </c>
      <c r="GO1745" s="4">
        <v>909</v>
      </c>
      <c r="GP1745" s="4">
        <v>904</v>
      </c>
      <c r="GQ1745" s="4">
        <v>897</v>
      </c>
      <c r="GR1745" s="4">
        <v>889</v>
      </c>
      <c r="GS1745" s="4">
        <v>884</v>
      </c>
      <c r="GT1745" s="4">
        <v>880</v>
      </c>
      <c r="GU1745" s="4">
        <v>878</v>
      </c>
      <c r="GV1745" s="4">
        <v>876</v>
      </c>
      <c r="GW1745" s="4">
        <v>874</v>
      </c>
      <c r="GX1745" s="4">
        <v>872</v>
      </c>
      <c r="GY1745" s="4">
        <v>870</v>
      </c>
      <c r="GZ1745" s="4">
        <v>867</v>
      </c>
      <c r="HA1745" s="4">
        <v>864</v>
      </c>
      <c r="HB1745" s="4">
        <v>1461</v>
      </c>
      <c r="HC1745" s="4">
        <v>1458</v>
      </c>
      <c r="HD1745" s="19">
        <v>469</v>
      </c>
      <c r="HE1745" s="19">
        <v>467.5</v>
      </c>
      <c r="HF1745" s="19">
        <v>466.5</v>
      </c>
      <c r="HG1745" s="19">
        <v>465.5</v>
      </c>
      <c r="HH1745" s="19">
        <v>309.7</v>
      </c>
      <c r="HI1745" s="19">
        <v>309</v>
      </c>
      <c r="HJ1745" s="19">
        <v>308</v>
      </c>
      <c r="HK1745" s="19">
        <v>307</v>
      </c>
      <c r="HL1745" s="19">
        <v>229.5</v>
      </c>
      <c r="HM1745" s="19">
        <v>228.8</v>
      </c>
      <c r="HN1745" s="19">
        <v>152</v>
      </c>
      <c r="HO1745" s="19">
        <v>151.5</v>
      </c>
      <c r="HP1745" s="19">
        <v>150.7</v>
      </c>
      <c r="HQ1745" s="19">
        <v>179.4</v>
      </c>
      <c r="HR1745" s="19">
        <v>296.3</v>
      </c>
      <c r="HS1745" s="19">
        <v>442</v>
      </c>
      <c r="HT1745" s="19">
        <v>440</v>
      </c>
      <c r="HU1745" s="19">
        <v>439</v>
      </c>
      <c r="HV1745" s="19">
        <v>438</v>
      </c>
      <c r="HW1745" s="19">
        <v>437</v>
      </c>
      <c r="HX1745" s="19">
        <v>290.7</v>
      </c>
      <c r="HY1745" s="19">
        <v>290</v>
      </c>
      <c r="HZ1745" s="19">
        <v>289</v>
      </c>
      <c r="IA1745" s="19">
        <v>288</v>
      </c>
      <c r="IB1745" s="19">
        <v>487</v>
      </c>
      <c r="IC1745" s="19">
        <v>486</v>
      </c>
    </row>
    <row r="1746">
      <c r="A1746" s="2" t="s">
        <v>6442</v>
      </c>
      <c r="B1746" s="2" t="s">
        <v>605</v>
      </c>
      <c r="C1746" s="2" t="s">
        <v>606</v>
      </c>
      <c r="D1746" s="2" t="s">
        <v>607</v>
      </c>
      <c r="E1746" s="2" t="s">
        <v>608</v>
      </c>
      <c r="F1746" s="2" t="s">
        <v>6432</v>
      </c>
      <c r="G1746" s="2" t="s">
        <v>6432</v>
      </c>
      <c r="H1746" s="2" t="s">
        <v>6432</v>
      </c>
      <c r="I1746" s="2" t="s">
        <v>6433</v>
      </c>
      <c r="J1746" s="2" t="s">
        <v>5909</v>
      </c>
      <c r="K1746" s="2" t="s">
        <v>1546</v>
      </c>
      <c r="L1746" s="3">
        <v>21.11</v>
      </c>
      <c r="M1746" s="3">
        <v>22.17</v>
      </c>
      <c r="N1746" s="3">
        <v>39.99</v>
      </c>
      <c r="O1746" s="2" t="s">
        <v>232</v>
      </c>
      <c r="P1746" s="2" t="s">
        <v>233</v>
      </c>
      <c r="Q1746" s="2" t="s">
        <v>234</v>
      </c>
      <c r="R1746" s="2" t="s">
        <v>235</v>
      </c>
      <c r="S1746" s="2" t="s">
        <v>6443</v>
      </c>
      <c r="T1746" s="2" t="s">
        <v>263</v>
      </c>
      <c r="U1746" s="2" t="s">
        <v>278</v>
      </c>
      <c r="V1746" s="2" t="s">
        <v>238</v>
      </c>
      <c r="W1746" s="2" t="s">
        <v>239</v>
      </c>
      <c r="X1746" s="2" t="s">
        <v>329</v>
      </c>
      <c r="Y1746" s="2" t="s">
        <v>3581</v>
      </c>
      <c r="Z1746" s="4">
        <v>1613</v>
      </c>
      <c r="AA1746" s="4">
        <f>=ROUNDDOWN(8065,0)</f>
      </c>
      <c r="AB1746" s="5">
        <v>0.2</v>
      </c>
      <c r="AC1746" s="2" t="s">
        <v>235</v>
      </c>
      <c r="AD1746" s="4"/>
      <c r="AE1746" s="4"/>
      <c r="AF1746" s="6">
        <v>82</v>
      </c>
      <c r="AG1746" s="6"/>
      <c r="AH1746" s="7">
        <v>1</v>
      </c>
      <c r="AI1746" s="4"/>
      <c r="AJ1746" s="4">
        <f>=ROUNDDOWN({0},0)</f>
      </c>
      <c r="AK1746" s="5"/>
      <c r="AL1746" s="2" t="s">
        <v>235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235</v>
      </c>
      <c r="AW1746" s="8" t="s">
        <v>235</v>
      </c>
      <c r="AX1746" s="4" t="s">
        <v>235</v>
      </c>
      <c r="AY1746" s="8" t="s">
        <v>235</v>
      </c>
      <c r="AZ1746" s="7" t="s">
        <v>235</v>
      </c>
      <c r="BA1746" s="7" t="s">
        <v>235</v>
      </c>
      <c r="BB1746" s="7"/>
      <c r="BC1746" s="4" t="s">
        <v>235</v>
      </c>
      <c r="BD1746" s="8" t="s">
        <v>235</v>
      </c>
      <c r="BE1746" s="4" t="s">
        <v>235</v>
      </c>
      <c r="BF1746" s="8" t="s">
        <v>235</v>
      </c>
      <c r="BG1746" s="7" t="s">
        <v>235</v>
      </c>
      <c r="BH1746" s="7" t="s">
        <v>235</v>
      </c>
      <c r="BI1746" s="7"/>
      <c r="BJ1746" s="4"/>
      <c r="BK1746" s="8"/>
      <c r="BL1746" s="2" t="s">
        <v>235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6435</v>
      </c>
      <c r="BV1746" s="2" t="s">
        <v>618</v>
      </c>
      <c r="BW1746" s="2" t="s">
        <v>235</v>
      </c>
      <c r="BX1746" s="2" t="s">
        <v>619</v>
      </c>
      <c r="BY1746" s="2" t="s">
        <v>245</v>
      </c>
      <c r="BZ1746" s="2" t="s">
        <v>232</v>
      </c>
      <c r="CA1746" s="2" t="s">
        <v>6436</v>
      </c>
      <c r="CB1746" s="2" t="s">
        <v>4665</v>
      </c>
      <c r="CC1746" s="2" t="s">
        <v>248</v>
      </c>
      <c r="CD1746" s="2" t="s">
        <v>248</v>
      </c>
      <c r="CE1746" s="2" t="s">
        <v>235</v>
      </c>
      <c r="CF1746" s="4">
        <v>1613</v>
      </c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>
        <v>1613</v>
      </c>
      <c r="GE1746" s="4">
        <v>1613</v>
      </c>
      <c r="GF1746" s="4">
        <v>1613</v>
      </c>
      <c r="GG1746" s="4">
        <v>1613</v>
      </c>
      <c r="GH1746" s="4">
        <v>1613</v>
      </c>
      <c r="GI1746" s="4">
        <v>1613</v>
      </c>
      <c r="GJ1746" s="4">
        <v>1613</v>
      </c>
      <c r="GK1746" s="4">
        <v>1613</v>
      </c>
      <c r="GL1746" s="4">
        <v>1613</v>
      </c>
      <c r="GM1746" s="4">
        <v>1613</v>
      </c>
      <c r="GN1746" s="4">
        <v>1613</v>
      </c>
      <c r="GO1746" s="4">
        <v>1613</v>
      </c>
      <c r="GP1746" s="4">
        <v>1613</v>
      </c>
      <c r="GQ1746" s="4">
        <v>1613</v>
      </c>
      <c r="GR1746" s="4">
        <v>1612</v>
      </c>
      <c r="GS1746" s="4">
        <v>1612</v>
      </c>
      <c r="GT1746" s="4">
        <v>1612</v>
      </c>
      <c r="GU1746" s="4">
        <v>1612</v>
      </c>
      <c r="GV1746" s="4">
        <v>1611</v>
      </c>
      <c r="GW1746" s="4">
        <v>1611</v>
      </c>
      <c r="GX1746" s="4">
        <v>1611</v>
      </c>
      <c r="GY1746" s="4">
        <v>1611</v>
      </c>
      <c r="GZ1746" s="4">
        <v>1610</v>
      </c>
      <c r="HA1746" s="4">
        <v>1610</v>
      </c>
      <c r="HB1746" s="4">
        <v>1610</v>
      </c>
      <c r="HC1746" s="4">
        <v>1610</v>
      </c>
      <c r="HD1746" s="9"/>
      <c r="HE1746" s="9"/>
      <c r="HF1746" s="9"/>
      <c r="HG1746" s="9"/>
      <c r="HH1746" s="9"/>
      <c r="HI1746" s="9"/>
      <c r="HJ1746" s="9"/>
      <c r="HK1746" s="9"/>
      <c r="HL1746" s="9"/>
      <c r="HM1746" s="9"/>
      <c r="HN1746" s="9"/>
      <c r="HO1746" s="9"/>
      <c r="HP1746" s="9"/>
      <c r="HQ1746" s="20">
        <v>0</v>
      </c>
      <c r="HR1746" s="9"/>
      <c r="HS1746" s="9"/>
      <c r="HT1746" s="9"/>
      <c r="HU1746" s="20">
        <v>0</v>
      </c>
      <c r="HV1746" s="9"/>
      <c r="HW1746" s="9"/>
      <c r="HX1746" s="9"/>
      <c r="HY1746" s="20">
        <v>0</v>
      </c>
      <c r="HZ1746" s="9"/>
      <c r="IA1746" s="9"/>
      <c r="IB1746" s="9"/>
      <c r="IC1746" s="9"/>
    </row>
    <row r="1747">
      <c r="A1747" s="2" t="s">
        <v>6444</v>
      </c>
      <c r="B1747" s="2" t="s">
        <v>605</v>
      </c>
      <c r="C1747" s="2" t="s">
        <v>606</v>
      </c>
      <c r="D1747" s="2" t="s">
        <v>607</v>
      </c>
      <c r="E1747" s="2" t="s">
        <v>608</v>
      </c>
      <c r="F1747" s="2" t="s">
        <v>6432</v>
      </c>
      <c r="G1747" s="2" t="s">
        <v>6432</v>
      </c>
      <c r="H1747" s="2" t="s">
        <v>6432</v>
      </c>
      <c r="I1747" s="2" t="s">
        <v>6445</v>
      </c>
      <c r="J1747" s="2" t="s">
        <v>611</v>
      </c>
      <c r="K1747" s="2" t="s">
        <v>1546</v>
      </c>
      <c r="L1747" s="3">
        <v>18.77</v>
      </c>
      <c r="M1747" s="3">
        <v>19.71</v>
      </c>
      <c r="N1747" s="3">
        <v>36.99</v>
      </c>
      <c r="O1747" s="2" t="s">
        <v>232</v>
      </c>
      <c r="P1747" s="2" t="s">
        <v>233</v>
      </c>
      <c r="Q1747" s="2" t="s">
        <v>234</v>
      </c>
      <c r="R1747" s="2" t="s">
        <v>235</v>
      </c>
      <c r="S1747" s="2" t="s">
        <v>6443</v>
      </c>
      <c r="T1747" s="2" t="s">
        <v>263</v>
      </c>
      <c r="U1747" s="2" t="s">
        <v>614</v>
      </c>
      <c r="V1747" s="2" t="s">
        <v>238</v>
      </c>
      <c r="W1747" s="2" t="s">
        <v>239</v>
      </c>
      <c r="X1747" s="2" t="s">
        <v>329</v>
      </c>
      <c r="Y1747" s="2" t="s">
        <v>5237</v>
      </c>
      <c r="Z1747" s="4">
        <v>2089</v>
      </c>
      <c r="AA1747" s="4">
        <f>=ROUNDDOWN(1044.5,0)</f>
      </c>
      <c r="AB1747" s="5">
        <v>2</v>
      </c>
      <c r="AC1747" s="2" t="s">
        <v>235</v>
      </c>
      <c r="AD1747" s="4"/>
      <c r="AE1747" s="4"/>
      <c r="AF1747" s="6">
        <v>82</v>
      </c>
      <c r="AG1747" s="6"/>
      <c r="AH1747" s="7">
        <v>1</v>
      </c>
      <c r="AI1747" s="4"/>
      <c r="AJ1747" s="4">
        <f>=ROUNDDOWN({0},0)</f>
      </c>
      <c r="AK1747" s="5"/>
      <c r="AL1747" s="2" t="s">
        <v>235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235</v>
      </c>
      <c r="AW1747" s="8" t="s">
        <v>235</v>
      </c>
      <c r="AX1747" s="4" t="s">
        <v>235</v>
      </c>
      <c r="AY1747" s="8" t="s">
        <v>235</v>
      </c>
      <c r="AZ1747" s="7" t="s">
        <v>235</v>
      </c>
      <c r="BA1747" s="7" t="s">
        <v>235</v>
      </c>
      <c r="BB1747" s="7"/>
      <c r="BC1747" s="4" t="s">
        <v>235</v>
      </c>
      <c r="BD1747" s="8" t="s">
        <v>235</v>
      </c>
      <c r="BE1747" s="4" t="s">
        <v>235</v>
      </c>
      <c r="BF1747" s="8" t="s">
        <v>235</v>
      </c>
      <c r="BG1747" s="7" t="s">
        <v>235</v>
      </c>
      <c r="BH1747" s="7" t="s">
        <v>235</v>
      </c>
      <c r="BI1747" s="7"/>
      <c r="BJ1747" s="4">
        <v>11</v>
      </c>
      <c r="BK1747" s="8">
        <v>243.32</v>
      </c>
      <c r="BL1747" s="2" t="s">
        <v>6446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6435</v>
      </c>
      <c r="BV1747" s="2" t="s">
        <v>618</v>
      </c>
      <c r="BW1747" s="2" t="s">
        <v>235</v>
      </c>
      <c r="BX1747" s="2" t="s">
        <v>619</v>
      </c>
      <c r="BY1747" s="2" t="s">
        <v>245</v>
      </c>
      <c r="BZ1747" s="2" t="s">
        <v>232</v>
      </c>
      <c r="CA1747" s="2" t="s">
        <v>6436</v>
      </c>
      <c r="CB1747" s="2" t="s">
        <v>1661</v>
      </c>
      <c r="CC1747" s="2" t="s">
        <v>248</v>
      </c>
      <c r="CD1747" s="2" t="s">
        <v>248</v>
      </c>
      <c r="CE1747" s="2" t="s">
        <v>235</v>
      </c>
      <c r="CF1747" s="4">
        <v>2089</v>
      </c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>
        <v>2092</v>
      </c>
      <c r="GE1747" s="4">
        <v>2089</v>
      </c>
      <c r="GF1747" s="4">
        <v>2088</v>
      </c>
      <c r="GG1747" s="4">
        <v>2087</v>
      </c>
      <c r="GH1747" s="4">
        <v>2086</v>
      </c>
      <c r="GI1747" s="4">
        <v>2085</v>
      </c>
      <c r="GJ1747" s="4">
        <v>2084</v>
      </c>
      <c r="GK1747" s="4">
        <v>2083</v>
      </c>
      <c r="GL1747" s="4">
        <v>2081</v>
      </c>
      <c r="GM1747" s="4">
        <v>2080</v>
      </c>
      <c r="GN1747" s="4">
        <v>2079</v>
      </c>
      <c r="GO1747" s="4">
        <v>2077</v>
      </c>
      <c r="GP1747" s="4">
        <v>2074</v>
      </c>
      <c r="GQ1747" s="4">
        <v>2071</v>
      </c>
      <c r="GR1747" s="4">
        <v>2068</v>
      </c>
      <c r="GS1747" s="4">
        <v>2066</v>
      </c>
      <c r="GT1747" s="4">
        <v>2064</v>
      </c>
      <c r="GU1747" s="4">
        <v>2062</v>
      </c>
      <c r="GV1747" s="4">
        <v>2061</v>
      </c>
      <c r="GW1747" s="4">
        <v>2060</v>
      </c>
      <c r="GX1747" s="4">
        <v>2058</v>
      </c>
      <c r="GY1747" s="4">
        <v>2056</v>
      </c>
      <c r="GZ1747" s="4">
        <v>2055</v>
      </c>
      <c r="HA1747" s="4">
        <v>2054</v>
      </c>
      <c r="HB1747" s="4">
        <v>2052</v>
      </c>
      <c r="HC1747" s="4">
        <v>2050</v>
      </c>
      <c r="HD1747" s="19">
        <v>1046</v>
      </c>
      <c r="HE1747" s="19">
        <v>2089</v>
      </c>
      <c r="HF1747" s="19">
        <v>2088</v>
      </c>
      <c r="HG1747" s="19">
        <v>2087</v>
      </c>
      <c r="HH1747" s="19">
        <v>2086</v>
      </c>
      <c r="HI1747" s="19">
        <v>2085</v>
      </c>
      <c r="HJ1747" s="19">
        <v>2084</v>
      </c>
      <c r="HK1747" s="19">
        <v>1041.5</v>
      </c>
      <c r="HL1747" s="19">
        <v>1040.5</v>
      </c>
      <c r="HM1747" s="19">
        <v>1040</v>
      </c>
      <c r="HN1747" s="19">
        <v>693</v>
      </c>
      <c r="HO1747" s="19">
        <v>692.3</v>
      </c>
      <c r="HP1747" s="19">
        <v>1037</v>
      </c>
      <c r="HQ1747" s="19">
        <v>1035.5</v>
      </c>
      <c r="HR1747" s="19">
        <v>1034</v>
      </c>
      <c r="HS1747" s="19">
        <v>1033</v>
      </c>
      <c r="HT1747" s="19">
        <v>1032</v>
      </c>
      <c r="HU1747" s="19">
        <v>1031</v>
      </c>
      <c r="HV1747" s="19">
        <v>1030.5</v>
      </c>
      <c r="HW1747" s="19">
        <v>1030</v>
      </c>
      <c r="HX1747" s="19">
        <v>1029</v>
      </c>
      <c r="HY1747" s="19">
        <v>1028</v>
      </c>
      <c r="HZ1747" s="19">
        <v>1027.5</v>
      </c>
      <c r="IA1747" s="19">
        <v>1027</v>
      </c>
      <c r="IB1747" s="19">
        <v>1026</v>
      </c>
      <c r="IC1747" s="19">
        <v>1025</v>
      </c>
    </row>
    <row r="1748">
      <c r="A1748" s="2" t="s">
        <v>6447</v>
      </c>
      <c r="B1748" s="2" t="s">
        <v>605</v>
      </c>
      <c r="C1748" s="2" t="s">
        <v>606</v>
      </c>
      <c r="D1748" s="2" t="s">
        <v>607</v>
      </c>
      <c r="E1748" s="2" t="s">
        <v>608</v>
      </c>
      <c r="F1748" s="2" t="s">
        <v>6432</v>
      </c>
      <c r="G1748" s="2" t="s">
        <v>6432</v>
      </c>
      <c r="H1748" s="2" t="s">
        <v>6432</v>
      </c>
      <c r="I1748" s="2" t="s">
        <v>6438</v>
      </c>
      <c r="J1748" s="2" t="s">
        <v>630</v>
      </c>
      <c r="K1748" s="2" t="s">
        <v>1546</v>
      </c>
      <c r="L1748" s="3">
        <v>23.46</v>
      </c>
      <c r="M1748" s="3">
        <v>24.63</v>
      </c>
      <c r="N1748" s="3">
        <v>45.99</v>
      </c>
      <c r="O1748" s="2" t="s">
        <v>232</v>
      </c>
      <c r="P1748" s="2" t="s">
        <v>233</v>
      </c>
      <c r="Q1748" s="2" t="s">
        <v>234</v>
      </c>
      <c r="R1748" s="2" t="s">
        <v>235</v>
      </c>
      <c r="S1748" s="2" t="s">
        <v>6443</v>
      </c>
      <c r="T1748" s="2" t="s">
        <v>263</v>
      </c>
      <c r="U1748" s="2" t="s">
        <v>264</v>
      </c>
      <c r="V1748" s="2" t="s">
        <v>238</v>
      </c>
      <c r="W1748" s="2" t="s">
        <v>239</v>
      </c>
      <c r="X1748" s="2" t="s">
        <v>329</v>
      </c>
      <c r="Y1748" s="2" t="s">
        <v>3581</v>
      </c>
      <c r="Z1748" s="4">
        <v>1086</v>
      </c>
      <c r="AA1748" s="4">
        <f>=ROUNDDOWN(2172,0)</f>
      </c>
      <c r="AB1748" s="5">
        <v>0.5</v>
      </c>
      <c r="AC1748" s="2" t="s">
        <v>235</v>
      </c>
      <c r="AD1748" s="4"/>
      <c r="AE1748" s="4"/>
      <c r="AF1748" s="6">
        <v>82</v>
      </c>
      <c r="AG1748" s="6"/>
      <c r="AH1748" s="7">
        <v>1</v>
      </c>
      <c r="AI1748" s="4"/>
      <c r="AJ1748" s="4">
        <f>=ROUNDDOWN({0},0)</f>
      </c>
      <c r="AK1748" s="5"/>
      <c r="AL1748" s="2" t="s">
        <v>235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235</v>
      </c>
      <c r="AW1748" s="8" t="s">
        <v>235</v>
      </c>
      <c r="AX1748" s="4" t="s">
        <v>235</v>
      </c>
      <c r="AY1748" s="8" t="s">
        <v>235</v>
      </c>
      <c r="AZ1748" s="7" t="s">
        <v>235</v>
      </c>
      <c r="BA1748" s="7" t="s">
        <v>235</v>
      </c>
      <c r="BB1748" s="7"/>
      <c r="BC1748" s="4" t="s">
        <v>235</v>
      </c>
      <c r="BD1748" s="8" t="s">
        <v>235</v>
      </c>
      <c r="BE1748" s="4" t="s">
        <v>235</v>
      </c>
      <c r="BF1748" s="8" t="s">
        <v>235</v>
      </c>
      <c r="BG1748" s="7" t="s">
        <v>235</v>
      </c>
      <c r="BH1748" s="7" t="s">
        <v>235</v>
      </c>
      <c r="BI1748" s="7"/>
      <c r="BJ1748" s="4">
        <v>1</v>
      </c>
      <c r="BK1748" s="8">
        <v>25.86</v>
      </c>
      <c r="BL1748" s="2" t="s">
        <v>1907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6435</v>
      </c>
      <c r="BV1748" s="2" t="s">
        <v>618</v>
      </c>
      <c r="BW1748" s="2" t="s">
        <v>235</v>
      </c>
      <c r="BX1748" s="2" t="s">
        <v>619</v>
      </c>
      <c r="BY1748" s="2" t="s">
        <v>245</v>
      </c>
      <c r="BZ1748" s="2" t="s">
        <v>232</v>
      </c>
      <c r="CA1748" s="2" t="s">
        <v>2821</v>
      </c>
      <c r="CB1748" s="2" t="s">
        <v>6448</v>
      </c>
      <c r="CC1748" s="2" t="s">
        <v>248</v>
      </c>
      <c r="CD1748" s="2" t="s">
        <v>248</v>
      </c>
      <c r="CE1748" s="2" t="s">
        <v>235</v>
      </c>
      <c r="CF1748" s="4">
        <v>1086</v>
      </c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>
        <v>1086</v>
      </c>
      <c r="GE1748" s="4">
        <v>1085</v>
      </c>
      <c r="GF1748" s="4">
        <v>1084</v>
      </c>
      <c r="GG1748" s="4">
        <v>1083</v>
      </c>
      <c r="GH1748" s="4">
        <v>1082</v>
      </c>
      <c r="GI1748" s="4">
        <v>1081</v>
      </c>
      <c r="GJ1748" s="4">
        <v>1080</v>
      </c>
      <c r="GK1748" s="4">
        <v>1079</v>
      </c>
      <c r="GL1748" s="4">
        <v>1078</v>
      </c>
      <c r="GM1748" s="4">
        <v>1077</v>
      </c>
      <c r="GN1748" s="4">
        <v>1076</v>
      </c>
      <c r="GO1748" s="4">
        <v>1075</v>
      </c>
      <c r="GP1748" s="4">
        <v>1073</v>
      </c>
      <c r="GQ1748" s="4">
        <v>1071</v>
      </c>
      <c r="GR1748" s="4">
        <v>1068</v>
      </c>
      <c r="GS1748" s="4">
        <v>1066</v>
      </c>
      <c r="GT1748" s="4">
        <v>1065</v>
      </c>
      <c r="GU1748" s="4">
        <v>1064</v>
      </c>
      <c r="GV1748" s="4">
        <v>1063</v>
      </c>
      <c r="GW1748" s="4">
        <v>1062</v>
      </c>
      <c r="GX1748" s="4">
        <v>1061</v>
      </c>
      <c r="GY1748" s="4">
        <v>1060</v>
      </c>
      <c r="GZ1748" s="4">
        <v>1059</v>
      </c>
      <c r="HA1748" s="4">
        <v>1058</v>
      </c>
      <c r="HB1748" s="4">
        <v>1057</v>
      </c>
      <c r="HC1748" s="4">
        <v>1056</v>
      </c>
      <c r="HD1748" s="19">
        <v>1086</v>
      </c>
      <c r="HE1748" s="19">
        <v>1085</v>
      </c>
      <c r="HF1748" s="19">
        <v>1084</v>
      </c>
      <c r="HG1748" s="19">
        <v>1083</v>
      </c>
      <c r="HH1748" s="19">
        <v>1082</v>
      </c>
      <c r="HI1748" s="19">
        <v>1081</v>
      </c>
      <c r="HJ1748" s="19">
        <v>1080</v>
      </c>
      <c r="HK1748" s="19">
        <v>1079</v>
      </c>
      <c r="HL1748" s="19">
        <v>1078</v>
      </c>
      <c r="HM1748" s="19">
        <v>538.5</v>
      </c>
      <c r="HN1748" s="19">
        <v>538</v>
      </c>
      <c r="HO1748" s="19">
        <v>537.5</v>
      </c>
      <c r="HP1748" s="19">
        <v>536.5</v>
      </c>
      <c r="HQ1748" s="19">
        <v>535.5</v>
      </c>
      <c r="HR1748" s="19">
        <v>1068</v>
      </c>
      <c r="HS1748" s="19">
        <v>1066</v>
      </c>
      <c r="HT1748" s="19">
        <v>1065</v>
      </c>
      <c r="HU1748" s="19">
        <v>1064</v>
      </c>
      <c r="HV1748" s="19">
        <v>1063</v>
      </c>
      <c r="HW1748" s="19">
        <v>1062</v>
      </c>
      <c r="HX1748" s="19">
        <v>1061</v>
      </c>
      <c r="HY1748" s="19">
        <v>1060</v>
      </c>
      <c r="HZ1748" s="19">
        <v>1059</v>
      </c>
      <c r="IA1748" s="19">
        <v>1058</v>
      </c>
      <c r="IB1748" s="19">
        <v>1057</v>
      </c>
      <c r="IC1748" s="19">
        <v>1056</v>
      </c>
    </row>
    <row r="1749">
      <c r="A1749" s="2" t="s">
        <v>6449</v>
      </c>
      <c r="B1749" s="2" t="s">
        <v>605</v>
      </c>
      <c r="C1749" s="2" t="s">
        <v>606</v>
      </c>
      <c r="D1749" s="2" t="s">
        <v>607</v>
      </c>
      <c r="E1749" s="2" t="s">
        <v>608</v>
      </c>
      <c r="F1749" s="2" t="s">
        <v>6432</v>
      </c>
      <c r="G1749" s="2" t="s">
        <v>6432</v>
      </c>
      <c r="H1749" s="2" t="s">
        <v>6432</v>
      </c>
      <c r="I1749" s="2" t="s">
        <v>6433</v>
      </c>
      <c r="J1749" s="2" t="s">
        <v>5909</v>
      </c>
      <c r="K1749" s="2" t="s">
        <v>600</v>
      </c>
      <c r="L1749" s="3">
        <v>21.11</v>
      </c>
      <c r="M1749" s="3">
        <v>22.17</v>
      </c>
      <c r="N1749" s="3">
        <v>39.99</v>
      </c>
      <c r="O1749" s="2" t="s">
        <v>232</v>
      </c>
      <c r="P1749" s="2" t="s">
        <v>233</v>
      </c>
      <c r="Q1749" s="2" t="s">
        <v>234</v>
      </c>
      <c r="R1749" s="2" t="s">
        <v>235</v>
      </c>
      <c r="S1749" s="2" t="s">
        <v>6450</v>
      </c>
      <c r="T1749" s="2" t="s">
        <v>263</v>
      </c>
      <c r="U1749" s="2" t="s">
        <v>278</v>
      </c>
      <c r="V1749" s="2" t="s">
        <v>238</v>
      </c>
      <c r="W1749" s="2" t="s">
        <v>239</v>
      </c>
      <c r="X1749" s="2" t="s">
        <v>329</v>
      </c>
      <c r="Y1749" s="2" t="s">
        <v>2992</v>
      </c>
      <c r="Z1749" s="4">
        <v>992</v>
      </c>
      <c r="AA1749" s="4">
        <f>=ROUNDDOWN(4960,0)</f>
      </c>
      <c r="AB1749" s="5">
        <v>0.2</v>
      </c>
      <c r="AC1749" s="2" t="s">
        <v>235</v>
      </c>
      <c r="AD1749" s="4"/>
      <c r="AE1749" s="4"/>
      <c r="AF1749" s="6">
        <v>82</v>
      </c>
      <c r="AG1749" s="6"/>
      <c r="AH1749" s="7">
        <v>1</v>
      </c>
      <c r="AI1749" s="4"/>
      <c r="AJ1749" s="4">
        <f>=ROUNDDOWN({0},0)</f>
      </c>
      <c r="AK1749" s="5"/>
      <c r="AL1749" s="2" t="s">
        <v>235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235</v>
      </c>
      <c r="AW1749" s="8" t="s">
        <v>235</v>
      </c>
      <c r="AX1749" s="4" t="s">
        <v>235</v>
      </c>
      <c r="AY1749" s="8" t="s">
        <v>235</v>
      </c>
      <c r="AZ1749" s="7" t="s">
        <v>235</v>
      </c>
      <c r="BA1749" s="7" t="s">
        <v>235</v>
      </c>
      <c r="BB1749" s="7"/>
      <c r="BC1749" s="4" t="s">
        <v>235</v>
      </c>
      <c r="BD1749" s="8" t="s">
        <v>235</v>
      </c>
      <c r="BE1749" s="4" t="s">
        <v>235</v>
      </c>
      <c r="BF1749" s="8" t="s">
        <v>235</v>
      </c>
      <c r="BG1749" s="7" t="s">
        <v>235</v>
      </c>
      <c r="BH1749" s="7" t="s">
        <v>235</v>
      </c>
      <c r="BI1749" s="7"/>
      <c r="BJ1749" s="4">
        <v>1</v>
      </c>
      <c r="BK1749" s="8">
        <v>23.94</v>
      </c>
      <c r="BL1749" s="2" t="s">
        <v>597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6435</v>
      </c>
      <c r="BV1749" s="2" t="s">
        <v>618</v>
      </c>
      <c r="BW1749" s="2" t="s">
        <v>235</v>
      </c>
      <c r="BX1749" s="2" t="s">
        <v>619</v>
      </c>
      <c r="BY1749" s="2" t="s">
        <v>245</v>
      </c>
      <c r="BZ1749" s="2" t="s">
        <v>232</v>
      </c>
      <c r="CA1749" s="2" t="s">
        <v>6436</v>
      </c>
      <c r="CB1749" s="2" t="s">
        <v>1426</v>
      </c>
      <c r="CC1749" s="2" t="s">
        <v>248</v>
      </c>
      <c r="CD1749" s="2" t="s">
        <v>248</v>
      </c>
      <c r="CE1749" s="2" t="s">
        <v>235</v>
      </c>
      <c r="CF1749" s="4">
        <v>992</v>
      </c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>
        <v>992</v>
      </c>
      <c r="GE1749" s="4">
        <v>992</v>
      </c>
      <c r="GF1749" s="4">
        <v>992</v>
      </c>
      <c r="GG1749" s="4">
        <v>992</v>
      </c>
      <c r="GH1749" s="4">
        <v>992</v>
      </c>
      <c r="GI1749" s="4">
        <v>992</v>
      </c>
      <c r="GJ1749" s="4">
        <v>992</v>
      </c>
      <c r="GK1749" s="4">
        <v>992</v>
      </c>
      <c r="GL1749" s="4">
        <v>992</v>
      </c>
      <c r="GM1749" s="4">
        <v>992</v>
      </c>
      <c r="GN1749" s="4">
        <v>992</v>
      </c>
      <c r="GO1749" s="4">
        <v>992</v>
      </c>
      <c r="GP1749" s="4">
        <v>992</v>
      </c>
      <c r="GQ1749" s="4">
        <v>992</v>
      </c>
      <c r="GR1749" s="4">
        <v>992</v>
      </c>
      <c r="GS1749" s="4">
        <v>992</v>
      </c>
      <c r="GT1749" s="4">
        <v>992</v>
      </c>
      <c r="GU1749" s="4">
        <v>992</v>
      </c>
      <c r="GV1749" s="4">
        <v>992</v>
      </c>
      <c r="GW1749" s="4">
        <v>992</v>
      </c>
      <c r="GX1749" s="4">
        <v>992</v>
      </c>
      <c r="GY1749" s="4">
        <v>992</v>
      </c>
      <c r="GZ1749" s="4">
        <v>992</v>
      </c>
      <c r="HA1749" s="4">
        <v>992</v>
      </c>
      <c r="HB1749" s="4">
        <v>992</v>
      </c>
      <c r="HC1749" s="4">
        <v>992</v>
      </c>
      <c r="HD1749" s="9"/>
      <c r="HE1749" s="9"/>
      <c r="HF1749" s="9"/>
      <c r="HG1749" s="9"/>
      <c r="HH1749" s="9"/>
      <c r="HI1749" s="9"/>
      <c r="HJ1749" s="9"/>
      <c r="HK1749" s="9"/>
      <c r="HL1749" s="9"/>
      <c r="HM1749" s="9"/>
      <c r="HN1749" s="9"/>
      <c r="HO1749" s="9"/>
      <c r="HP1749" s="9"/>
      <c r="HQ1749" s="9"/>
      <c r="HR1749" s="9"/>
      <c r="HS1749" s="9"/>
      <c r="HT1749" s="9"/>
      <c r="HU1749" s="9"/>
      <c r="HV1749" s="9"/>
      <c r="HW1749" s="9"/>
      <c r="HX1749" s="9"/>
      <c r="HY1749" s="9"/>
      <c r="HZ1749" s="9"/>
      <c r="IA1749" s="9"/>
      <c r="IB1749" s="9"/>
      <c r="IC1749" s="9"/>
    </row>
    <row r="1750">
      <c r="A1750" s="2" t="s">
        <v>6451</v>
      </c>
      <c r="B1750" s="2" t="s">
        <v>605</v>
      </c>
      <c r="C1750" s="2" t="s">
        <v>606</v>
      </c>
      <c r="D1750" s="2" t="s">
        <v>607</v>
      </c>
      <c r="E1750" s="2" t="s">
        <v>608</v>
      </c>
      <c r="F1750" s="2" t="s">
        <v>6432</v>
      </c>
      <c r="G1750" s="2" t="s">
        <v>6432</v>
      </c>
      <c r="H1750" s="2" t="s">
        <v>6432</v>
      </c>
      <c r="I1750" s="2" t="s">
        <v>6445</v>
      </c>
      <c r="J1750" s="2" t="s">
        <v>611</v>
      </c>
      <c r="K1750" s="2" t="s">
        <v>600</v>
      </c>
      <c r="L1750" s="3">
        <v>18.77</v>
      </c>
      <c r="M1750" s="3">
        <v>19.71</v>
      </c>
      <c r="N1750" s="3">
        <v>36.99</v>
      </c>
      <c r="O1750" s="2" t="s">
        <v>232</v>
      </c>
      <c r="P1750" s="2" t="s">
        <v>233</v>
      </c>
      <c r="Q1750" s="2" t="s">
        <v>234</v>
      </c>
      <c r="R1750" s="2" t="s">
        <v>235</v>
      </c>
      <c r="S1750" s="2" t="s">
        <v>6450</v>
      </c>
      <c r="T1750" s="2" t="s">
        <v>263</v>
      </c>
      <c r="U1750" s="2" t="s">
        <v>614</v>
      </c>
      <c r="V1750" s="2" t="s">
        <v>238</v>
      </c>
      <c r="W1750" s="2" t="s">
        <v>239</v>
      </c>
      <c r="X1750" s="2" t="s">
        <v>329</v>
      </c>
      <c r="Y1750" s="2" t="s">
        <v>5237</v>
      </c>
      <c r="Z1750" s="4">
        <v>1633</v>
      </c>
      <c r="AA1750" s="4">
        <f>=ROUNDDOWN(272.166666666667,0)</f>
      </c>
      <c r="AB1750" s="5">
        <v>6</v>
      </c>
      <c r="AC1750" s="2" t="s">
        <v>235</v>
      </c>
      <c r="AD1750" s="4"/>
      <c r="AE1750" s="4"/>
      <c r="AF1750" s="6">
        <v>82</v>
      </c>
      <c r="AG1750" s="6"/>
      <c r="AH1750" s="7">
        <v>1</v>
      </c>
      <c r="AI1750" s="4"/>
      <c r="AJ1750" s="4">
        <f>=ROUNDDOWN({0},0)</f>
      </c>
      <c r="AK1750" s="5"/>
      <c r="AL1750" s="2" t="s">
        <v>235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235</v>
      </c>
      <c r="AW1750" s="8" t="s">
        <v>235</v>
      </c>
      <c r="AX1750" s="4" t="s">
        <v>235</v>
      </c>
      <c r="AY1750" s="8" t="s">
        <v>235</v>
      </c>
      <c r="AZ1750" s="7" t="s">
        <v>235</v>
      </c>
      <c r="BA1750" s="7" t="s">
        <v>235</v>
      </c>
      <c r="BB1750" s="7"/>
      <c r="BC1750" s="4" t="s">
        <v>235</v>
      </c>
      <c r="BD1750" s="8" t="s">
        <v>235</v>
      </c>
      <c r="BE1750" s="4" t="s">
        <v>235</v>
      </c>
      <c r="BF1750" s="8" t="s">
        <v>235</v>
      </c>
      <c r="BG1750" s="7" t="s">
        <v>235</v>
      </c>
      <c r="BH1750" s="7" t="s">
        <v>235</v>
      </c>
      <c r="BI1750" s="7"/>
      <c r="BJ1750" s="4">
        <v>19</v>
      </c>
      <c r="BK1750" s="8">
        <v>391.59</v>
      </c>
      <c r="BL1750" s="2" t="s">
        <v>517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6435</v>
      </c>
      <c r="BV1750" s="2" t="s">
        <v>618</v>
      </c>
      <c r="BW1750" s="2" t="s">
        <v>235</v>
      </c>
      <c r="BX1750" s="2" t="s">
        <v>619</v>
      </c>
      <c r="BY1750" s="2" t="s">
        <v>245</v>
      </c>
      <c r="BZ1750" s="2" t="s">
        <v>232</v>
      </c>
      <c r="CA1750" s="2" t="s">
        <v>6436</v>
      </c>
      <c r="CB1750" s="2" t="s">
        <v>1194</v>
      </c>
      <c r="CC1750" s="2" t="s">
        <v>248</v>
      </c>
      <c r="CD1750" s="2" t="s">
        <v>248</v>
      </c>
      <c r="CE1750" s="2" t="s">
        <v>235</v>
      </c>
      <c r="CF1750" s="4">
        <v>1633</v>
      </c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>
        <v>1635</v>
      </c>
      <c r="GE1750" s="4">
        <v>1630</v>
      </c>
      <c r="GF1750" s="4">
        <v>1627</v>
      </c>
      <c r="GG1750" s="4">
        <v>1624</v>
      </c>
      <c r="GH1750" s="4">
        <v>1621</v>
      </c>
      <c r="GI1750" s="4">
        <v>1618</v>
      </c>
      <c r="GJ1750" s="4">
        <v>1613</v>
      </c>
      <c r="GK1750" s="4">
        <v>1606</v>
      </c>
      <c r="GL1750" s="4">
        <v>1600</v>
      </c>
      <c r="GM1750" s="4">
        <v>1594</v>
      </c>
      <c r="GN1750" s="4">
        <v>1588</v>
      </c>
      <c r="GO1750" s="4">
        <v>1582</v>
      </c>
      <c r="GP1750" s="4">
        <v>1573</v>
      </c>
      <c r="GQ1750" s="4">
        <v>1562</v>
      </c>
      <c r="GR1750" s="4">
        <v>1552</v>
      </c>
      <c r="GS1750" s="4">
        <v>1543</v>
      </c>
      <c r="GT1750" s="4">
        <v>1535</v>
      </c>
      <c r="GU1750" s="4">
        <v>1530</v>
      </c>
      <c r="GV1750" s="4">
        <v>1526</v>
      </c>
      <c r="GW1750" s="4">
        <v>1521</v>
      </c>
      <c r="GX1750" s="4">
        <v>1516</v>
      </c>
      <c r="GY1750" s="4">
        <v>1511</v>
      </c>
      <c r="GZ1750" s="4">
        <v>1505</v>
      </c>
      <c r="HA1750" s="4">
        <v>1499</v>
      </c>
      <c r="HB1750" s="4">
        <v>2093</v>
      </c>
      <c r="HC1750" s="4">
        <v>2087</v>
      </c>
      <c r="HD1750" s="19">
        <v>408.8</v>
      </c>
      <c r="HE1750" s="19">
        <v>543.3</v>
      </c>
      <c r="HF1750" s="19">
        <v>406.8</v>
      </c>
      <c r="HG1750" s="19">
        <v>406</v>
      </c>
      <c r="HH1750" s="19">
        <v>324.2</v>
      </c>
      <c r="HI1750" s="19">
        <v>269.7</v>
      </c>
      <c r="HJ1750" s="19">
        <v>268.8</v>
      </c>
      <c r="HK1750" s="19">
        <v>267.7</v>
      </c>
      <c r="HL1750" s="19">
        <v>228.6</v>
      </c>
      <c r="HM1750" s="19">
        <v>199.3</v>
      </c>
      <c r="HN1750" s="19">
        <v>176.4</v>
      </c>
      <c r="HO1750" s="19">
        <v>158.2</v>
      </c>
      <c r="HP1750" s="19">
        <v>157.3</v>
      </c>
      <c r="HQ1750" s="19">
        <v>195.3</v>
      </c>
      <c r="HR1750" s="19">
        <v>258.7</v>
      </c>
      <c r="HS1750" s="19">
        <v>257.2</v>
      </c>
      <c r="HT1750" s="19">
        <v>307</v>
      </c>
      <c r="HU1750" s="19">
        <v>306</v>
      </c>
      <c r="HV1750" s="19">
        <v>305.2</v>
      </c>
      <c r="HW1750" s="19">
        <v>253.5</v>
      </c>
      <c r="HX1750" s="19">
        <v>252.7</v>
      </c>
      <c r="HY1750" s="19">
        <v>251.8</v>
      </c>
      <c r="HZ1750" s="19">
        <v>250.8</v>
      </c>
      <c r="IA1750" s="19">
        <v>249.8</v>
      </c>
      <c r="IB1750" s="19">
        <v>348.8</v>
      </c>
      <c r="IC1750" s="19">
        <v>347.8</v>
      </c>
    </row>
    <row r="1751">
      <c r="A1751" s="2" t="s">
        <v>6452</v>
      </c>
      <c r="B1751" s="2" t="s">
        <v>605</v>
      </c>
      <c r="C1751" s="2" t="s">
        <v>606</v>
      </c>
      <c r="D1751" s="2" t="s">
        <v>607</v>
      </c>
      <c r="E1751" s="2" t="s">
        <v>608</v>
      </c>
      <c r="F1751" s="2" t="s">
        <v>6432</v>
      </c>
      <c r="G1751" s="2" t="s">
        <v>6432</v>
      </c>
      <c r="H1751" s="2" t="s">
        <v>6432</v>
      </c>
      <c r="I1751" s="2" t="s">
        <v>6438</v>
      </c>
      <c r="J1751" s="2" t="s">
        <v>630</v>
      </c>
      <c r="K1751" s="2" t="s">
        <v>351</v>
      </c>
      <c r="L1751" s="3">
        <v>23.46</v>
      </c>
      <c r="M1751" s="3">
        <v>24.63</v>
      </c>
      <c r="N1751" s="3">
        <v>45.99</v>
      </c>
      <c r="O1751" s="2" t="s">
        <v>232</v>
      </c>
      <c r="P1751" s="2" t="s">
        <v>233</v>
      </c>
      <c r="Q1751" s="2" t="s">
        <v>234</v>
      </c>
      <c r="R1751" s="2" t="s">
        <v>235</v>
      </c>
      <c r="S1751" s="2" t="s">
        <v>6453</v>
      </c>
      <c r="T1751" s="2" t="s">
        <v>263</v>
      </c>
      <c r="U1751" s="2" t="s">
        <v>264</v>
      </c>
      <c r="V1751" s="2" t="s">
        <v>238</v>
      </c>
      <c r="W1751" s="2" t="s">
        <v>239</v>
      </c>
      <c r="X1751" s="2" t="s">
        <v>329</v>
      </c>
      <c r="Y1751" s="2" t="s">
        <v>3581</v>
      </c>
      <c r="Z1751" s="4">
        <v>512</v>
      </c>
      <c r="AA1751" s="4">
        <f>=ROUNDDOWN(341.333333333333,0)</f>
      </c>
      <c r="AB1751" s="5">
        <v>1.5</v>
      </c>
      <c r="AC1751" s="2" t="s">
        <v>235</v>
      </c>
      <c r="AD1751" s="4"/>
      <c r="AE1751" s="4"/>
      <c r="AF1751" s="6">
        <v>82</v>
      </c>
      <c r="AG1751" s="6"/>
      <c r="AH1751" s="7">
        <v>1</v>
      </c>
      <c r="AI1751" s="4"/>
      <c r="AJ1751" s="4">
        <f>=ROUNDDOWN({0},0)</f>
      </c>
      <c r="AK1751" s="5"/>
      <c r="AL1751" s="2" t="s">
        <v>235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 t="s">
        <v>235</v>
      </c>
      <c r="BD1751" s="8" t="s">
        <v>235</v>
      </c>
      <c r="BE1751" s="4" t="s">
        <v>235</v>
      </c>
      <c r="BF1751" s="8" t="s">
        <v>235</v>
      </c>
      <c r="BG1751" s="7" t="s">
        <v>235</v>
      </c>
      <c r="BH1751" s="7" t="s">
        <v>235</v>
      </c>
      <c r="BI1751" s="7"/>
      <c r="BJ1751" s="4">
        <v>1</v>
      </c>
      <c r="BK1751" s="8">
        <v>25.4</v>
      </c>
      <c r="BL1751" s="2" t="s">
        <v>1122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6435</v>
      </c>
      <c r="BV1751" s="2" t="s">
        <v>618</v>
      </c>
      <c r="BW1751" s="2" t="s">
        <v>235</v>
      </c>
      <c r="BX1751" s="2" t="s">
        <v>619</v>
      </c>
      <c r="BY1751" s="2" t="s">
        <v>245</v>
      </c>
      <c r="BZ1751" s="2" t="s">
        <v>232</v>
      </c>
      <c r="CA1751" s="2" t="s">
        <v>6436</v>
      </c>
      <c r="CB1751" s="2" t="s">
        <v>235</v>
      </c>
      <c r="CC1751" s="2" t="s">
        <v>248</v>
      </c>
      <c r="CD1751" s="2" t="s">
        <v>248</v>
      </c>
      <c r="CE1751" s="2" t="s">
        <v>235</v>
      </c>
      <c r="CF1751" s="4">
        <v>512</v>
      </c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>
        <v>512</v>
      </c>
      <c r="GE1751" s="4">
        <v>511</v>
      </c>
      <c r="GF1751" s="4">
        <v>510</v>
      </c>
      <c r="GG1751" s="4">
        <v>509</v>
      </c>
      <c r="GH1751" s="4">
        <v>508</v>
      </c>
      <c r="GI1751" s="4">
        <v>507</v>
      </c>
      <c r="GJ1751" s="4">
        <v>506</v>
      </c>
      <c r="GK1751" s="4">
        <v>505</v>
      </c>
      <c r="GL1751" s="4">
        <v>504</v>
      </c>
      <c r="GM1751" s="4">
        <v>503</v>
      </c>
      <c r="GN1751" s="4">
        <v>502</v>
      </c>
      <c r="GO1751" s="4">
        <v>501</v>
      </c>
      <c r="GP1751" s="4">
        <v>499</v>
      </c>
      <c r="GQ1751" s="4">
        <v>497</v>
      </c>
      <c r="GR1751" s="4">
        <v>494</v>
      </c>
      <c r="GS1751" s="4">
        <v>492</v>
      </c>
      <c r="GT1751" s="4">
        <v>491</v>
      </c>
      <c r="GU1751" s="4">
        <v>490</v>
      </c>
      <c r="GV1751" s="4">
        <v>489</v>
      </c>
      <c r="GW1751" s="4">
        <v>488</v>
      </c>
      <c r="GX1751" s="4">
        <v>487</v>
      </c>
      <c r="GY1751" s="4">
        <v>486</v>
      </c>
      <c r="GZ1751" s="4">
        <v>485</v>
      </c>
      <c r="HA1751" s="4">
        <v>484</v>
      </c>
      <c r="HB1751" s="4">
        <v>1082</v>
      </c>
      <c r="HC1751" s="4">
        <v>1080</v>
      </c>
      <c r="HD1751" s="19">
        <v>512</v>
      </c>
      <c r="HE1751" s="19">
        <v>511</v>
      </c>
      <c r="HF1751" s="19">
        <v>510</v>
      </c>
      <c r="HG1751" s="19">
        <v>509</v>
      </c>
      <c r="HH1751" s="19">
        <v>508</v>
      </c>
      <c r="HI1751" s="19">
        <v>507</v>
      </c>
      <c r="HJ1751" s="19">
        <v>506</v>
      </c>
      <c r="HK1751" s="19">
        <v>505</v>
      </c>
      <c r="HL1751" s="19">
        <v>504</v>
      </c>
      <c r="HM1751" s="19">
        <v>251.5</v>
      </c>
      <c r="HN1751" s="19">
        <v>251</v>
      </c>
      <c r="HO1751" s="19">
        <v>250.5</v>
      </c>
      <c r="HP1751" s="19">
        <v>249.5</v>
      </c>
      <c r="HQ1751" s="19">
        <v>248.5</v>
      </c>
      <c r="HR1751" s="19">
        <v>494</v>
      </c>
      <c r="HS1751" s="19">
        <v>492</v>
      </c>
      <c r="HT1751" s="19">
        <v>491</v>
      </c>
      <c r="HU1751" s="19">
        <v>490</v>
      </c>
      <c r="HV1751" s="19">
        <v>489</v>
      </c>
      <c r="HW1751" s="19">
        <v>488</v>
      </c>
      <c r="HX1751" s="19">
        <v>487</v>
      </c>
      <c r="HY1751" s="19">
        <v>243</v>
      </c>
      <c r="HZ1751" s="19">
        <v>242.5</v>
      </c>
      <c r="IA1751" s="19">
        <v>242</v>
      </c>
      <c r="IB1751" s="19">
        <v>541</v>
      </c>
      <c r="IC1751" s="19">
        <v>540</v>
      </c>
    </row>
    <row r="1752">
      <c r="A1752" s="2" t="s">
        <v>6454</v>
      </c>
      <c r="B1752" s="2" t="s">
        <v>605</v>
      </c>
      <c r="C1752" s="2" t="s">
        <v>606</v>
      </c>
      <c r="D1752" s="2" t="s">
        <v>607</v>
      </c>
      <c r="E1752" s="2" t="s">
        <v>608</v>
      </c>
      <c r="F1752" s="2" t="s">
        <v>6432</v>
      </c>
      <c r="G1752" s="2" t="s">
        <v>6432</v>
      </c>
      <c r="H1752" s="2" t="s">
        <v>6432</v>
      </c>
      <c r="I1752" s="2" t="s">
        <v>6433</v>
      </c>
      <c r="J1752" s="2" t="s">
        <v>5909</v>
      </c>
      <c r="K1752" s="2" t="s">
        <v>316</v>
      </c>
      <c r="L1752" s="3">
        <v>21.11</v>
      </c>
      <c r="M1752" s="3">
        <v>22.17</v>
      </c>
      <c r="N1752" s="3">
        <v>39.99</v>
      </c>
      <c r="O1752" s="2" t="s">
        <v>232</v>
      </c>
      <c r="P1752" s="2" t="s">
        <v>233</v>
      </c>
      <c r="Q1752" s="2" t="s">
        <v>234</v>
      </c>
      <c r="R1752" s="2" t="s">
        <v>235</v>
      </c>
      <c r="S1752" s="2" t="s">
        <v>6455</v>
      </c>
      <c r="T1752" s="2" t="s">
        <v>263</v>
      </c>
      <c r="U1752" s="2" t="s">
        <v>278</v>
      </c>
      <c r="V1752" s="2" t="s">
        <v>238</v>
      </c>
      <c r="W1752" s="2" t="s">
        <v>239</v>
      </c>
      <c r="X1752" s="2" t="s">
        <v>329</v>
      </c>
      <c r="Y1752" s="2" t="s">
        <v>3581</v>
      </c>
      <c r="Z1752" s="4">
        <v>1672</v>
      </c>
      <c r="AA1752" s="4">
        <f>=ROUNDDOWN(928.888888888889,0)</f>
      </c>
      <c r="AB1752" s="5">
        <v>1.8</v>
      </c>
      <c r="AC1752" s="2" t="s">
        <v>235</v>
      </c>
      <c r="AD1752" s="4"/>
      <c r="AE1752" s="4"/>
      <c r="AF1752" s="6">
        <v>82</v>
      </c>
      <c r="AG1752" s="6"/>
      <c r="AH1752" s="7">
        <v>1</v>
      </c>
      <c r="AI1752" s="4"/>
      <c r="AJ1752" s="4">
        <f>=ROUNDDOWN({0},0)</f>
      </c>
      <c r="AK1752" s="5"/>
      <c r="AL1752" s="2" t="s">
        <v>235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235</v>
      </c>
      <c r="AW1752" s="8" t="s">
        <v>235</v>
      </c>
      <c r="AX1752" s="4" t="s">
        <v>235</v>
      </c>
      <c r="AY1752" s="8" t="s">
        <v>235</v>
      </c>
      <c r="AZ1752" s="7" t="s">
        <v>235</v>
      </c>
      <c r="BA1752" s="7" t="s">
        <v>235</v>
      </c>
      <c r="BB1752" s="7"/>
      <c r="BC1752" s="4" t="s">
        <v>235</v>
      </c>
      <c r="BD1752" s="8" t="s">
        <v>235</v>
      </c>
      <c r="BE1752" s="4" t="s">
        <v>235</v>
      </c>
      <c r="BF1752" s="8" t="s">
        <v>235</v>
      </c>
      <c r="BG1752" s="7" t="s">
        <v>235</v>
      </c>
      <c r="BH1752" s="7" t="s">
        <v>235</v>
      </c>
      <c r="BI1752" s="7"/>
      <c r="BJ1752" s="4">
        <v>3</v>
      </c>
      <c r="BK1752" s="8">
        <v>68.94</v>
      </c>
      <c r="BL1752" s="2" t="s">
        <v>1580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6435</v>
      </c>
      <c r="BV1752" s="2" t="s">
        <v>618</v>
      </c>
      <c r="BW1752" s="2" t="s">
        <v>235</v>
      </c>
      <c r="BX1752" s="2" t="s">
        <v>619</v>
      </c>
      <c r="BY1752" s="2" t="s">
        <v>245</v>
      </c>
      <c r="BZ1752" s="2" t="s">
        <v>232</v>
      </c>
      <c r="CA1752" s="2" t="s">
        <v>6436</v>
      </c>
      <c r="CB1752" s="2" t="s">
        <v>1426</v>
      </c>
      <c r="CC1752" s="2" t="s">
        <v>248</v>
      </c>
      <c r="CD1752" s="2" t="s">
        <v>248</v>
      </c>
      <c r="CE1752" s="2" t="s">
        <v>235</v>
      </c>
      <c r="CF1752" s="4">
        <v>1672</v>
      </c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>
        <v>1672</v>
      </c>
      <c r="GE1752" s="4">
        <v>1671</v>
      </c>
      <c r="GF1752" s="4">
        <v>1670</v>
      </c>
      <c r="GG1752" s="4">
        <v>1669</v>
      </c>
      <c r="GH1752" s="4">
        <v>1667</v>
      </c>
      <c r="GI1752" s="4">
        <v>1663</v>
      </c>
      <c r="GJ1752" s="4">
        <v>1660</v>
      </c>
      <c r="GK1752" s="4">
        <v>1657</v>
      </c>
      <c r="GL1752" s="4">
        <v>1655</v>
      </c>
      <c r="GM1752" s="4">
        <v>1651</v>
      </c>
      <c r="GN1752" s="4">
        <v>1649</v>
      </c>
      <c r="GO1752" s="4">
        <v>1647</v>
      </c>
      <c r="GP1752" s="4">
        <v>1644</v>
      </c>
      <c r="GQ1752" s="4">
        <v>1641</v>
      </c>
      <c r="GR1752" s="4">
        <v>1635</v>
      </c>
      <c r="GS1752" s="4">
        <v>1632</v>
      </c>
      <c r="GT1752" s="4">
        <v>1630</v>
      </c>
      <c r="GU1752" s="4">
        <v>1628</v>
      </c>
      <c r="GV1752" s="4">
        <v>1624</v>
      </c>
      <c r="GW1752" s="4">
        <v>1622</v>
      </c>
      <c r="GX1752" s="4">
        <v>1620</v>
      </c>
      <c r="GY1752" s="4">
        <v>1618</v>
      </c>
      <c r="GZ1752" s="4">
        <v>1614</v>
      </c>
      <c r="HA1752" s="4">
        <v>1612</v>
      </c>
      <c r="HB1752" s="4">
        <v>1610</v>
      </c>
      <c r="HC1752" s="4">
        <v>1608</v>
      </c>
      <c r="HD1752" s="19">
        <v>1672</v>
      </c>
      <c r="HE1752" s="19">
        <v>835.5</v>
      </c>
      <c r="HF1752" s="19">
        <v>835</v>
      </c>
      <c r="HG1752" s="19">
        <v>556.3</v>
      </c>
      <c r="HH1752" s="19">
        <v>555.7</v>
      </c>
      <c r="HI1752" s="19">
        <v>554.3</v>
      </c>
      <c r="HJ1752" s="19">
        <v>553.3</v>
      </c>
      <c r="HK1752" s="19">
        <v>828.5</v>
      </c>
      <c r="HL1752" s="19">
        <v>551.7</v>
      </c>
      <c r="HM1752" s="19">
        <v>825.5</v>
      </c>
      <c r="HN1752" s="19">
        <v>412.3</v>
      </c>
      <c r="HO1752" s="19">
        <v>411.8</v>
      </c>
      <c r="HP1752" s="19">
        <v>411</v>
      </c>
      <c r="HQ1752" s="19">
        <v>547</v>
      </c>
      <c r="HR1752" s="19">
        <v>545</v>
      </c>
      <c r="HS1752" s="19">
        <v>816</v>
      </c>
      <c r="HT1752" s="19">
        <v>815</v>
      </c>
      <c r="HU1752" s="19">
        <v>814</v>
      </c>
      <c r="HV1752" s="19">
        <v>812</v>
      </c>
      <c r="HW1752" s="19">
        <v>811</v>
      </c>
      <c r="HX1752" s="19">
        <v>810</v>
      </c>
      <c r="HY1752" s="19">
        <v>809</v>
      </c>
      <c r="HZ1752" s="19">
        <v>807</v>
      </c>
      <c r="IA1752" s="19">
        <v>806</v>
      </c>
      <c r="IB1752" s="19">
        <v>805</v>
      </c>
      <c r="IC1752" s="19">
        <v>804</v>
      </c>
    </row>
    <row r="1753">
      <c r="A1753" s="2" t="s">
        <v>6456</v>
      </c>
      <c r="B1753" s="2" t="s">
        <v>605</v>
      </c>
      <c r="C1753" s="2" t="s">
        <v>606</v>
      </c>
      <c r="D1753" s="2" t="s">
        <v>607</v>
      </c>
      <c r="E1753" s="2" t="s">
        <v>608</v>
      </c>
      <c r="F1753" s="2" t="s">
        <v>6432</v>
      </c>
      <c r="G1753" s="2" t="s">
        <v>6432</v>
      </c>
      <c r="H1753" s="2" t="s">
        <v>6432</v>
      </c>
      <c r="I1753" s="2" t="s">
        <v>6438</v>
      </c>
      <c r="J1753" s="2" t="s">
        <v>611</v>
      </c>
      <c r="K1753" s="2" t="s">
        <v>316</v>
      </c>
      <c r="L1753" s="3">
        <v>18.77</v>
      </c>
      <c r="M1753" s="3">
        <v>19.71</v>
      </c>
      <c r="N1753" s="3">
        <v>36.99</v>
      </c>
      <c r="O1753" s="2" t="s">
        <v>232</v>
      </c>
      <c r="P1753" s="2" t="s">
        <v>233</v>
      </c>
      <c r="Q1753" s="2" t="s">
        <v>234</v>
      </c>
      <c r="R1753" s="2" t="s">
        <v>235</v>
      </c>
      <c r="S1753" s="2" t="s">
        <v>6455</v>
      </c>
      <c r="T1753" s="2" t="s">
        <v>263</v>
      </c>
      <c r="U1753" s="2" t="s">
        <v>614</v>
      </c>
      <c r="V1753" s="2" t="s">
        <v>238</v>
      </c>
      <c r="W1753" s="2" t="s">
        <v>239</v>
      </c>
      <c r="X1753" s="2" t="s">
        <v>329</v>
      </c>
      <c r="Y1753" s="2" t="s">
        <v>5237</v>
      </c>
      <c r="Z1753" s="4">
        <v>2242</v>
      </c>
      <c r="AA1753" s="4">
        <f>=ROUNDDOWN(477.021276595745,0)</f>
      </c>
      <c r="AB1753" s="5">
        <v>4.7</v>
      </c>
      <c r="AC1753" s="2" t="s">
        <v>235</v>
      </c>
      <c r="AD1753" s="4"/>
      <c r="AE1753" s="4"/>
      <c r="AF1753" s="6">
        <v>82</v>
      </c>
      <c r="AG1753" s="6"/>
      <c r="AH1753" s="7">
        <v>1</v>
      </c>
      <c r="AI1753" s="4"/>
      <c r="AJ1753" s="4">
        <f>=ROUNDDOWN({0},0)</f>
      </c>
      <c r="AK1753" s="5"/>
      <c r="AL1753" s="2" t="s">
        <v>235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235</v>
      </c>
      <c r="AW1753" s="8" t="s">
        <v>235</v>
      </c>
      <c r="AX1753" s="4" t="s">
        <v>235</v>
      </c>
      <c r="AY1753" s="8" t="s">
        <v>235</v>
      </c>
      <c r="AZ1753" s="7" t="s">
        <v>235</v>
      </c>
      <c r="BA1753" s="7" t="s">
        <v>235</v>
      </c>
      <c r="BB1753" s="7"/>
      <c r="BC1753" s="4" t="s">
        <v>235</v>
      </c>
      <c r="BD1753" s="8" t="s">
        <v>235</v>
      </c>
      <c r="BE1753" s="4" t="s">
        <v>235</v>
      </c>
      <c r="BF1753" s="8" t="s">
        <v>235</v>
      </c>
      <c r="BG1753" s="7" t="s">
        <v>235</v>
      </c>
      <c r="BH1753" s="7" t="s">
        <v>235</v>
      </c>
      <c r="BI1753" s="7"/>
      <c r="BJ1753" s="4">
        <v>20</v>
      </c>
      <c r="BK1753" s="8">
        <v>428.05</v>
      </c>
      <c r="BL1753" s="2" t="s">
        <v>6457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6435</v>
      </c>
      <c r="BV1753" s="2" t="s">
        <v>618</v>
      </c>
      <c r="BW1753" s="2" t="s">
        <v>235</v>
      </c>
      <c r="BX1753" s="2" t="s">
        <v>619</v>
      </c>
      <c r="BY1753" s="2" t="s">
        <v>245</v>
      </c>
      <c r="BZ1753" s="2" t="s">
        <v>232</v>
      </c>
      <c r="CA1753" s="2" t="s">
        <v>2821</v>
      </c>
      <c r="CB1753" s="2" t="s">
        <v>6458</v>
      </c>
      <c r="CC1753" s="2" t="s">
        <v>248</v>
      </c>
      <c r="CD1753" s="2" t="s">
        <v>248</v>
      </c>
      <c r="CE1753" s="2" t="s">
        <v>235</v>
      </c>
      <c r="CF1753" s="4">
        <v>2242</v>
      </c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>
        <v>2251</v>
      </c>
      <c r="GE1753" s="4">
        <v>2241</v>
      </c>
      <c r="GF1753" s="4">
        <v>2237</v>
      </c>
      <c r="GG1753" s="4">
        <v>2233</v>
      </c>
      <c r="GH1753" s="4">
        <v>2229</v>
      </c>
      <c r="GI1753" s="4">
        <v>2225</v>
      </c>
      <c r="GJ1753" s="4">
        <v>2220</v>
      </c>
      <c r="GK1753" s="4">
        <v>2215</v>
      </c>
      <c r="GL1753" s="4">
        <v>2210</v>
      </c>
      <c r="GM1753" s="4">
        <v>2205</v>
      </c>
      <c r="GN1753" s="4">
        <v>2200</v>
      </c>
      <c r="GO1753" s="4">
        <v>2194</v>
      </c>
      <c r="GP1753" s="4">
        <v>2185</v>
      </c>
      <c r="GQ1753" s="4">
        <v>2174</v>
      </c>
      <c r="GR1753" s="4">
        <v>2161</v>
      </c>
      <c r="GS1753" s="4">
        <v>2152</v>
      </c>
      <c r="GT1753" s="4">
        <v>2145</v>
      </c>
      <c r="GU1753" s="4">
        <v>2141</v>
      </c>
      <c r="GV1753" s="4">
        <v>2137</v>
      </c>
      <c r="GW1753" s="4">
        <v>2133</v>
      </c>
      <c r="GX1753" s="4">
        <v>2129</v>
      </c>
      <c r="GY1753" s="4">
        <v>2125</v>
      </c>
      <c r="GZ1753" s="4">
        <v>2120</v>
      </c>
      <c r="HA1753" s="4">
        <v>2115</v>
      </c>
      <c r="HB1753" s="4">
        <v>2110</v>
      </c>
      <c r="HC1753" s="4">
        <v>2105</v>
      </c>
      <c r="HD1753" s="19">
        <v>375.2</v>
      </c>
      <c r="HE1753" s="19">
        <v>560.3</v>
      </c>
      <c r="HF1753" s="19">
        <v>559.3</v>
      </c>
      <c r="HG1753" s="19">
        <v>558.3</v>
      </c>
      <c r="HH1753" s="19">
        <v>445.8</v>
      </c>
      <c r="HI1753" s="19">
        <v>445</v>
      </c>
      <c r="HJ1753" s="19">
        <v>444</v>
      </c>
      <c r="HK1753" s="19">
        <v>443</v>
      </c>
      <c r="HL1753" s="19">
        <v>368.3</v>
      </c>
      <c r="HM1753" s="19">
        <v>275.6</v>
      </c>
      <c r="HN1753" s="19">
        <v>220</v>
      </c>
      <c r="HO1753" s="19">
        <v>219.4</v>
      </c>
      <c r="HP1753" s="19">
        <v>218.5</v>
      </c>
      <c r="HQ1753" s="19">
        <v>271.8</v>
      </c>
      <c r="HR1753" s="19">
        <v>360.2</v>
      </c>
      <c r="HS1753" s="19">
        <v>430.4</v>
      </c>
      <c r="HT1753" s="19">
        <v>536.3</v>
      </c>
      <c r="HU1753" s="19">
        <v>535.3</v>
      </c>
      <c r="HV1753" s="19">
        <v>534.3</v>
      </c>
      <c r="HW1753" s="19">
        <v>533.3</v>
      </c>
      <c r="HX1753" s="19">
        <v>425.8</v>
      </c>
      <c r="HY1753" s="19">
        <v>425</v>
      </c>
      <c r="HZ1753" s="19">
        <v>424</v>
      </c>
      <c r="IA1753" s="19">
        <v>423</v>
      </c>
      <c r="IB1753" s="19">
        <v>422</v>
      </c>
      <c r="IC1753" s="19">
        <v>421</v>
      </c>
    </row>
    <row r="1754">
      <c r="A1754" s="2" t="s">
        <v>6459</v>
      </c>
      <c r="B1754" s="2" t="s">
        <v>605</v>
      </c>
      <c r="C1754" s="2" t="s">
        <v>606</v>
      </c>
      <c r="D1754" s="2" t="s">
        <v>607</v>
      </c>
      <c r="E1754" s="2" t="s">
        <v>608</v>
      </c>
      <c r="F1754" s="2" t="s">
        <v>6432</v>
      </c>
      <c r="G1754" s="2" t="s">
        <v>6432</v>
      </c>
      <c r="H1754" s="2" t="s">
        <v>6432</v>
      </c>
      <c r="I1754" s="2" t="s">
        <v>6438</v>
      </c>
      <c r="J1754" s="2" t="s">
        <v>630</v>
      </c>
      <c r="K1754" s="2" t="s">
        <v>316</v>
      </c>
      <c r="L1754" s="3">
        <v>23.46</v>
      </c>
      <c r="M1754" s="3">
        <v>24.63</v>
      </c>
      <c r="N1754" s="3">
        <v>45.99</v>
      </c>
      <c r="O1754" s="2" t="s">
        <v>232</v>
      </c>
      <c r="P1754" s="2" t="s">
        <v>233</v>
      </c>
      <c r="Q1754" s="2" t="s">
        <v>234</v>
      </c>
      <c r="R1754" s="2" t="s">
        <v>235</v>
      </c>
      <c r="S1754" s="2" t="s">
        <v>6455</v>
      </c>
      <c r="T1754" s="2" t="s">
        <v>263</v>
      </c>
      <c r="U1754" s="2" t="s">
        <v>264</v>
      </c>
      <c r="V1754" s="2" t="s">
        <v>238</v>
      </c>
      <c r="W1754" s="2" t="s">
        <v>239</v>
      </c>
      <c r="X1754" s="2" t="s">
        <v>329</v>
      </c>
      <c r="Y1754" s="2" t="s">
        <v>3581</v>
      </c>
      <c r="Z1754" s="4">
        <v>916</v>
      </c>
      <c r="AA1754" s="4">
        <f>=ROUNDDOWN(572.5,0)</f>
      </c>
      <c r="AB1754" s="5">
        <v>1.6</v>
      </c>
      <c r="AC1754" s="2" t="s">
        <v>235</v>
      </c>
      <c r="AD1754" s="4"/>
      <c r="AE1754" s="4"/>
      <c r="AF1754" s="6">
        <v>82</v>
      </c>
      <c r="AG1754" s="6"/>
      <c r="AH1754" s="7">
        <v>1</v>
      </c>
      <c r="AI1754" s="4"/>
      <c r="AJ1754" s="4">
        <f>=ROUNDDOWN({0},0)</f>
      </c>
      <c r="AK1754" s="5"/>
      <c r="AL1754" s="2" t="s">
        <v>235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235</v>
      </c>
      <c r="AW1754" s="8" t="s">
        <v>235</v>
      </c>
      <c r="AX1754" s="4" t="s">
        <v>235</v>
      </c>
      <c r="AY1754" s="8" t="s">
        <v>235</v>
      </c>
      <c r="AZ1754" s="7" t="s">
        <v>235</v>
      </c>
      <c r="BA1754" s="7" t="s">
        <v>235</v>
      </c>
      <c r="BB1754" s="7"/>
      <c r="BC1754" s="4" t="s">
        <v>235</v>
      </c>
      <c r="BD1754" s="8" t="s">
        <v>235</v>
      </c>
      <c r="BE1754" s="4" t="s">
        <v>235</v>
      </c>
      <c r="BF1754" s="8" t="s">
        <v>235</v>
      </c>
      <c r="BG1754" s="7" t="s">
        <v>235</v>
      </c>
      <c r="BH1754" s="7" t="s">
        <v>235</v>
      </c>
      <c r="BI1754" s="7"/>
      <c r="BJ1754" s="4">
        <v>9</v>
      </c>
      <c r="BK1754" s="8">
        <v>235.46</v>
      </c>
      <c r="BL1754" s="2" t="s">
        <v>6460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6435</v>
      </c>
      <c r="BV1754" s="2" t="s">
        <v>618</v>
      </c>
      <c r="BW1754" s="2" t="s">
        <v>235</v>
      </c>
      <c r="BX1754" s="2" t="s">
        <v>619</v>
      </c>
      <c r="BY1754" s="2" t="s">
        <v>245</v>
      </c>
      <c r="BZ1754" s="2" t="s">
        <v>232</v>
      </c>
      <c r="CA1754" s="2" t="s">
        <v>6436</v>
      </c>
      <c r="CB1754" s="2" t="s">
        <v>235</v>
      </c>
      <c r="CC1754" s="2" t="s">
        <v>248</v>
      </c>
      <c r="CD1754" s="2" t="s">
        <v>248</v>
      </c>
      <c r="CE1754" s="2" t="s">
        <v>235</v>
      </c>
      <c r="CF1754" s="4">
        <v>916</v>
      </c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>
        <v>916</v>
      </c>
      <c r="GE1754" s="4">
        <v>914</v>
      </c>
      <c r="GF1754" s="4">
        <v>912</v>
      </c>
      <c r="GG1754" s="4">
        <v>910</v>
      </c>
      <c r="GH1754" s="4">
        <v>908</v>
      </c>
      <c r="GI1754" s="4">
        <v>906</v>
      </c>
      <c r="GJ1754" s="4">
        <v>904</v>
      </c>
      <c r="GK1754" s="4">
        <v>902</v>
      </c>
      <c r="GL1754" s="4">
        <v>900</v>
      </c>
      <c r="GM1754" s="4">
        <v>898</v>
      </c>
      <c r="GN1754" s="4">
        <v>896</v>
      </c>
      <c r="GO1754" s="4">
        <v>894</v>
      </c>
      <c r="GP1754" s="4">
        <v>891</v>
      </c>
      <c r="GQ1754" s="4">
        <v>887</v>
      </c>
      <c r="GR1754" s="4">
        <v>882</v>
      </c>
      <c r="GS1754" s="4">
        <v>878</v>
      </c>
      <c r="GT1754" s="4">
        <v>875</v>
      </c>
      <c r="GU1754" s="4">
        <v>873</v>
      </c>
      <c r="GV1754" s="4">
        <v>871</v>
      </c>
      <c r="GW1754" s="4">
        <v>869</v>
      </c>
      <c r="GX1754" s="4">
        <v>867</v>
      </c>
      <c r="GY1754" s="4">
        <v>865</v>
      </c>
      <c r="GZ1754" s="4">
        <v>863</v>
      </c>
      <c r="HA1754" s="4">
        <v>861</v>
      </c>
      <c r="HB1754" s="4">
        <v>1659</v>
      </c>
      <c r="HC1754" s="4">
        <v>1657</v>
      </c>
      <c r="HD1754" s="19">
        <v>458</v>
      </c>
      <c r="HE1754" s="19">
        <v>457</v>
      </c>
      <c r="HF1754" s="19">
        <v>456</v>
      </c>
      <c r="HG1754" s="19">
        <v>455</v>
      </c>
      <c r="HH1754" s="19">
        <v>454</v>
      </c>
      <c r="HI1754" s="19">
        <v>453</v>
      </c>
      <c r="HJ1754" s="19">
        <v>452</v>
      </c>
      <c r="HK1754" s="19">
        <v>451</v>
      </c>
      <c r="HL1754" s="19">
        <v>450</v>
      </c>
      <c r="HM1754" s="19">
        <v>299.3</v>
      </c>
      <c r="HN1754" s="19">
        <v>224</v>
      </c>
      <c r="HO1754" s="19">
        <v>223.5</v>
      </c>
      <c r="HP1754" s="19">
        <v>222.8</v>
      </c>
      <c r="HQ1754" s="19">
        <v>221.8</v>
      </c>
      <c r="HR1754" s="19">
        <v>294</v>
      </c>
      <c r="HS1754" s="19">
        <v>439</v>
      </c>
      <c r="HT1754" s="19">
        <v>437.5</v>
      </c>
      <c r="HU1754" s="19">
        <v>436.5</v>
      </c>
      <c r="HV1754" s="19">
        <v>435.5</v>
      </c>
      <c r="HW1754" s="19">
        <v>434.5</v>
      </c>
      <c r="HX1754" s="19">
        <v>433.5</v>
      </c>
      <c r="HY1754" s="19">
        <v>432.5</v>
      </c>
      <c r="HZ1754" s="19">
        <v>431.5</v>
      </c>
      <c r="IA1754" s="19">
        <v>430.5</v>
      </c>
      <c r="IB1754" s="19">
        <v>829.5</v>
      </c>
      <c r="IC1754" s="19">
        <v>828.5</v>
      </c>
    </row>
    <row r="1755">
      <c r="A1755" s="2" t="s">
        <v>6461</v>
      </c>
      <c r="B1755" s="2" t="s">
        <v>871</v>
      </c>
      <c r="C1755" s="2" t="s">
        <v>360</v>
      </c>
      <c r="D1755" s="2" t="s">
        <v>361</v>
      </c>
      <c r="E1755" s="2" t="s">
        <v>872</v>
      </c>
      <c r="F1755" s="2" t="s">
        <v>6462</v>
      </c>
      <c r="G1755" s="2" t="s">
        <v>6462</v>
      </c>
      <c r="H1755" s="2" t="s">
        <v>6462</v>
      </c>
      <c r="I1755" s="2" t="s">
        <v>2419</v>
      </c>
      <c r="J1755" s="2" t="s">
        <v>261</v>
      </c>
      <c r="K1755" s="2" t="s">
        <v>2029</v>
      </c>
      <c r="L1755" s="3">
        <v>162.97</v>
      </c>
      <c r="M1755" s="3">
        <v>171.12</v>
      </c>
      <c r="N1755" s="3">
        <v>329.99</v>
      </c>
      <c r="O1755" s="2" t="s">
        <v>232</v>
      </c>
      <c r="P1755" s="2" t="s">
        <v>878</v>
      </c>
      <c r="Q1755" s="2" t="s">
        <v>234</v>
      </c>
      <c r="R1755" s="2" t="s">
        <v>235</v>
      </c>
      <c r="S1755" s="2" t="s">
        <v>235</v>
      </c>
      <c r="T1755" s="2" t="s">
        <v>879</v>
      </c>
      <c r="U1755" s="2" t="s">
        <v>785</v>
      </c>
      <c r="V1755" s="2" t="s">
        <v>808</v>
      </c>
      <c r="W1755" s="2" t="s">
        <v>1029</v>
      </c>
      <c r="X1755" s="2" t="s">
        <v>682</v>
      </c>
      <c r="Y1755" s="2" t="s">
        <v>1327</v>
      </c>
      <c r="Z1755" s="4">
        <v>126</v>
      </c>
      <c r="AA1755" s="4">
        <f>=ROUNDDOWN(42,0)</f>
      </c>
      <c r="AB1755" s="5">
        <v>3</v>
      </c>
      <c r="AC1755" s="2" t="s">
        <v>235</v>
      </c>
      <c r="AD1755" s="4"/>
      <c r="AE1755" s="4"/>
      <c r="AF1755" s="6">
        <v>64</v>
      </c>
      <c r="AG1755" s="6"/>
      <c r="AH1755" s="7">
        <v>1</v>
      </c>
      <c r="AI1755" s="4"/>
      <c r="AJ1755" s="4">
        <f>=ROUNDDOWN({0},0)</f>
      </c>
      <c r="AK1755" s="5"/>
      <c r="AL1755" s="2" t="s">
        <v>235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/>
      <c r="BD1755" s="8"/>
      <c r="BE1755" s="4"/>
      <c r="BF1755" s="8"/>
      <c r="BG1755" s="7"/>
      <c r="BH1755" s="7"/>
      <c r="BI1755" s="7"/>
      <c r="BJ1755" s="4">
        <v>1</v>
      </c>
      <c r="BK1755" s="8">
        <v>200.61</v>
      </c>
      <c r="BL1755" s="2" t="s">
        <v>1461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6463</v>
      </c>
      <c r="BV1755" s="2" t="s">
        <v>235</v>
      </c>
      <c r="BW1755" s="2" t="s">
        <v>235</v>
      </c>
      <c r="BX1755" s="2" t="s">
        <v>244</v>
      </c>
      <c r="BY1755" s="2" t="s">
        <v>245</v>
      </c>
      <c r="BZ1755" s="2" t="s">
        <v>232</v>
      </c>
      <c r="CA1755" s="2" t="s">
        <v>235</v>
      </c>
      <c r="CB1755" s="2" t="s">
        <v>235</v>
      </c>
      <c r="CC1755" s="2" t="s">
        <v>248</v>
      </c>
      <c r="CD1755" s="2" t="s">
        <v>248</v>
      </c>
      <c r="CE1755" s="2" t="s">
        <v>235</v>
      </c>
      <c r="CF1755" s="4">
        <v>126</v>
      </c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>
        <v>126</v>
      </c>
      <c r="GE1755" s="4">
        <v>118</v>
      </c>
      <c r="GF1755" s="4">
        <v>115</v>
      </c>
      <c r="GG1755" s="4">
        <v>112</v>
      </c>
      <c r="GH1755" s="4">
        <v>108</v>
      </c>
      <c r="GI1755" s="4">
        <v>104</v>
      </c>
      <c r="GJ1755" s="4">
        <v>99</v>
      </c>
      <c r="GK1755" s="4">
        <v>95</v>
      </c>
      <c r="GL1755" s="4">
        <v>91</v>
      </c>
      <c r="GM1755" s="4">
        <v>88</v>
      </c>
      <c r="GN1755" s="4">
        <v>85</v>
      </c>
      <c r="GO1755" s="4">
        <v>81</v>
      </c>
      <c r="GP1755" s="4">
        <v>77</v>
      </c>
      <c r="GQ1755" s="4">
        <v>70</v>
      </c>
      <c r="GR1755" s="4">
        <v>66</v>
      </c>
      <c r="GS1755" s="4">
        <v>62</v>
      </c>
      <c r="GT1755" s="4">
        <v>59</v>
      </c>
      <c r="GU1755" s="4">
        <v>57</v>
      </c>
      <c r="GV1755" s="4">
        <v>54</v>
      </c>
      <c r="GW1755" s="4">
        <v>51</v>
      </c>
      <c r="GX1755" s="4">
        <v>48</v>
      </c>
      <c r="GY1755" s="4">
        <v>45</v>
      </c>
      <c r="GZ1755" s="4">
        <v>42</v>
      </c>
      <c r="HA1755" s="4">
        <v>39</v>
      </c>
      <c r="HB1755" s="4">
        <v>36</v>
      </c>
      <c r="HC1755" s="4">
        <v>33</v>
      </c>
      <c r="HD1755" s="19">
        <v>31.5</v>
      </c>
      <c r="HE1755" s="19">
        <v>29.5</v>
      </c>
      <c r="HF1755" s="19">
        <v>28.8</v>
      </c>
      <c r="HG1755" s="19">
        <v>28</v>
      </c>
      <c r="HH1755" s="19">
        <v>27</v>
      </c>
      <c r="HI1755" s="19">
        <v>26</v>
      </c>
      <c r="HJ1755" s="19">
        <v>24.8</v>
      </c>
      <c r="HK1755" s="19">
        <v>23.8</v>
      </c>
      <c r="HL1755" s="19">
        <v>22.8</v>
      </c>
      <c r="HM1755" s="19">
        <v>22</v>
      </c>
      <c r="HN1755" s="19">
        <v>17</v>
      </c>
      <c r="HO1755" s="19">
        <v>16.2</v>
      </c>
      <c r="HP1755" s="19">
        <v>19.3</v>
      </c>
      <c r="HQ1755" s="19">
        <v>23.3</v>
      </c>
      <c r="HR1755" s="19">
        <v>22</v>
      </c>
      <c r="HS1755" s="19">
        <v>20.7</v>
      </c>
      <c r="HT1755" s="19">
        <v>19.7</v>
      </c>
      <c r="HU1755" s="19">
        <v>19</v>
      </c>
      <c r="HV1755" s="19">
        <v>18</v>
      </c>
      <c r="HW1755" s="19">
        <v>17</v>
      </c>
      <c r="HX1755" s="19">
        <v>16</v>
      </c>
      <c r="HY1755" s="19">
        <v>15</v>
      </c>
      <c r="HZ1755" s="19">
        <v>14</v>
      </c>
      <c r="IA1755" s="19">
        <v>13</v>
      </c>
      <c r="IB1755" s="19">
        <v>12</v>
      </c>
      <c r="IC1755" s="19">
        <v>11</v>
      </c>
    </row>
    <row r="1756">
      <c r="A1756" s="2" t="s">
        <v>6464</v>
      </c>
      <c r="B1756" s="2" t="s">
        <v>871</v>
      </c>
      <c r="C1756" s="2" t="s">
        <v>324</v>
      </c>
      <c r="D1756" s="2" t="s">
        <v>361</v>
      </c>
      <c r="E1756" s="2" t="s">
        <v>872</v>
      </c>
      <c r="F1756" s="2" t="s">
        <v>6465</v>
      </c>
      <c r="G1756" s="2" t="s">
        <v>6466</v>
      </c>
      <c r="H1756" s="2" t="s">
        <v>6467</v>
      </c>
      <c r="I1756" s="2" t="s">
        <v>1861</v>
      </c>
      <c r="J1756" s="2" t="s">
        <v>272</v>
      </c>
      <c r="K1756" s="2" t="s">
        <v>1463</v>
      </c>
      <c r="L1756" s="3">
        <v>82.95</v>
      </c>
      <c r="M1756" s="3">
        <v>87.1</v>
      </c>
      <c r="N1756" s="3">
        <v>159.99</v>
      </c>
      <c r="O1756" s="2" t="s">
        <v>232</v>
      </c>
      <c r="P1756" s="2" t="s">
        <v>233</v>
      </c>
      <c r="Q1756" s="2" t="s">
        <v>234</v>
      </c>
      <c r="R1756" s="2" t="s">
        <v>235</v>
      </c>
      <c r="S1756" s="2" t="s">
        <v>6468</v>
      </c>
      <c r="T1756" s="2" t="s">
        <v>1298</v>
      </c>
      <c r="U1756" s="2" t="s">
        <v>742</v>
      </c>
      <c r="V1756" s="2" t="s">
        <v>1132</v>
      </c>
      <c r="W1756" s="2" t="s">
        <v>671</v>
      </c>
      <c r="X1756" s="2" t="s">
        <v>6469</v>
      </c>
      <c r="Y1756" s="2" t="s">
        <v>240</v>
      </c>
      <c r="Z1756" s="4">
        <v>222</v>
      </c>
      <c r="AA1756" s="4">
        <f>=ROUNDDOWN(111,0)</f>
      </c>
      <c r="AB1756" s="5">
        <v>2</v>
      </c>
      <c r="AC1756" s="2" t="s">
        <v>235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235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/>
      <c r="BD1756" s="8"/>
      <c r="BE1756" s="4"/>
      <c r="BF1756" s="8"/>
      <c r="BG1756" s="7"/>
      <c r="BH1756" s="7"/>
      <c r="BI1756" s="7"/>
      <c r="BJ1756" s="4">
        <v>3</v>
      </c>
      <c r="BK1756" s="8">
        <v>273.39</v>
      </c>
      <c r="BL1756" s="2" t="s">
        <v>3188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6470</v>
      </c>
      <c r="BV1756" s="2" t="s">
        <v>243</v>
      </c>
      <c r="BW1756" s="2" t="s">
        <v>235</v>
      </c>
      <c r="BX1756" s="2" t="s">
        <v>244</v>
      </c>
      <c r="BY1756" s="2" t="s">
        <v>245</v>
      </c>
      <c r="BZ1756" s="2" t="s">
        <v>232</v>
      </c>
      <c r="CA1756" s="2" t="s">
        <v>252</v>
      </c>
      <c r="CB1756" s="2" t="s">
        <v>2045</v>
      </c>
      <c r="CC1756" s="2" t="s">
        <v>248</v>
      </c>
      <c r="CD1756" s="2" t="s">
        <v>248</v>
      </c>
      <c r="CE1756" s="2" t="s">
        <v>235</v>
      </c>
      <c r="CF1756" s="4">
        <v>3</v>
      </c>
      <c r="CG1756" s="4">
        <v>219</v>
      </c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>
        <v>222</v>
      </c>
      <c r="GE1756" s="4">
        <v>209</v>
      </c>
      <c r="GF1756" s="4">
        <v>206</v>
      </c>
      <c r="GG1756" s="4">
        <v>203</v>
      </c>
      <c r="GH1756" s="4">
        <v>199</v>
      </c>
      <c r="GI1756" s="4">
        <v>194</v>
      </c>
      <c r="GJ1756" s="4">
        <v>186</v>
      </c>
      <c r="GK1756" s="4">
        <v>182</v>
      </c>
      <c r="GL1756" s="4">
        <v>179</v>
      </c>
      <c r="GM1756" s="4">
        <v>176</v>
      </c>
      <c r="GN1756" s="4">
        <v>173</v>
      </c>
      <c r="GO1756" s="4">
        <v>169</v>
      </c>
      <c r="GP1756" s="4">
        <v>165</v>
      </c>
      <c r="GQ1756" s="4">
        <v>158</v>
      </c>
      <c r="GR1756" s="4">
        <v>155</v>
      </c>
      <c r="GS1756" s="4">
        <v>153</v>
      </c>
      <c r="GT1756" s="4">
        <v>151</v>
      </c>
      <c r="GU1756" s="4">
        <v>149</v>
      </c>
      <c r="GV1756" s="4">
        <v>147</v>
      </c>
      <c r="GW1756" s="4">
        <v>145</v>
      </c>
      <c r="GX1756" s="4">
        <v>143</v>
      </c>
      <c r="GY1756" s="4">
        <v>141</v>
      </c>
      <c r="GZ1756" s="4">
        <v>139</v>
      </c>
      <c r="HA1756" s="4">
        <v>137</v>
      </c>
      <c r="HB1756" s="4">
        <v>135</v>
      </c>
      <c r="HC1756" s="4">
        <v>133</v>
      </c>
      <c r="HD1756" s="19">
        <v>37</v>
      </c>
      <c r="HE1756" s="19">
        <v>52.3</v>
      </c>
      <c r="HF1756" s="19">
        <v>41.2</v>
      </c>
      <c r="HG1756" s="19">
        <v>40.6</v>
      </c>
      <c r="HH1756" s="19">
        <v>39.8</v>
      </c>
      <c r="HI1756" s="19">
        <v>48.5</v>
      </c>
      <c r="HJ1756" s="19">
        <v>62</v>
      </c>
      <c r="HK1756" s="19">
        <v>60.7</v>
      </c>
      <c r="HL1756" s="19">
        <v>44.8</v>
      </c>
      <c r="HM1756" s="19">
        <v>44</v>
      </c>
      <c r="HN1756" s="19">
        <v>43.3</v>
      </c>
      <c r="HO1756" s="19">
        <v>42.3</v>
      </c>
      <c r="HP1756" s="19">
        <v>41.3</v>
      </c>
      <c r="HQ1756" s="19">
        <v>79</v>
      </c>
      <c r="HR1756" s="19">
        <v>77.5</v>
      </c>
      <c r="HS1756" s="19">
        <v>76.5</v>
      </c>
      <c r="HT1756" s="19">
        <v>75.5</v>
      </c>
      <c r="HU1756" s="19">
        <v>74.5</v>
      </c>
      <c r="HV1756" s="19">
        <v>73.5</v>
      </c>
      <c r="HW1756" s="19">
        <v>72.5</v>
      </c>
      <c r="HX1756" s="19">
        <v>71.5</v>
      </c>
      <c r="HY1756" s="19">
        <v>70.5</v>
      </c>
      <c r="HZ1756" s="19">
        <v>69.5</v>
      </c>
      <c r="IA1756" s="19">
        <v>68.5</v>
      </c>
      <c r="IB1756" s="19">
        <v>67.5</v>
      </c>
      <c r="IC1756" s="19">
        <v>66.5</v>
      </c>
    </row>
    <row r="1757">
      <c r="A1757" s="2" t="s">
        <v>6471</v>
      </c>
      <c r="B1757" s="2" t="s">
        <v>905</v>
      </c>
      <c r="C1757" s="2" t="s">
        <v>980</v>
      </c>
      <c r="D1757" s="2" t="s">
        <v>1177</v>
      </c>
      <c r="E1757" s="2" t="s">
        <v>6472</v>
      </c>
      <c r="F1757" s="2" t="s">
        <v>6473</v>
      </c>
      <c r="G1757" s="2" t="s">
        <v>6473</v>
      </c>
      <c r="H1757" s="2" t="s">
        <v>6473</v>
      </c>
      <c r="I1757" s="2" t="s">
        <v>4148</v>
      </c>
      <c r="J1757" s="2" t="s">
        <v>993</v>
      </c>
      <c r="K1757" s="2" t="s">
        <v>6474</v>
      </c>
      <c r="L1757" s="3">
        <v>39.04</v>
      </c>
      <c r="M1757" s="3">
        <v>40.99</v>
      </c>
      <c r="N1757" s="3">
        <v>81.99</v>
      </c>
      <c r="O1757" s="2" t="s">
        <v>232</v>
      </c>
      <c r="P1757" s="2" t="s">
        <v>262</v>
      </c>
      <c r="Q1757" s="2" t="s">
        <v>234</v>
      </c>
      <c r="R1757" s="2" t="s">
        <v>235</v>
      </c>
      <c r="S1757" s="2" t="s">
        <v>235</v>
      </c>
      <c r="T1757" s="2" t="s">
        <v>879</v>
      </c>
      <c r="U1757" s="2" t="s">
        <v>807</v>
      </c>
      <c r="V1757" s="2" t="s">
        <v>986</v>
      </c>
      <c r="W1757" s="2" t="s">
        <v>682</v>
      </c>
      <c r="X1757" s="2" t="s">
        <v>882</v>
      </c>
      <c r="Y1757" s="2" t="s">
        <v>235</v>
      </c>
      <c r="Z1757" s="4"/>
      <c r="AA1757" s="4">
        <f>=ROUNDDOWN({0},0)</f>
      </c>
      <c r="AB1757" s="5"/>
      <c r="AC1757" s="2" t="s">
        <v>574</v>
      </c>
      <c r="AD1757" s="4">
        <v>600</v>
      </c>
      <c r="AE1757" s="4">
        <v>600</v>
      </c>
      <c r="AF1757" s="6">
        <v>65</v>
      </c>
      <c r="AG1757" s="6"/>
      <c r="AH1757" s="7"/>
      <c r="AI1757" s="4"/>
      <c r="AJ1757" s="4">
        <f>=ROUNDDOWN({0},0)</f>
      </c>
      <c r="AK1757" s="5"/>
      <c r="AL1757" s="2" t="s">
        <v>235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235</v>
      </c>
      <c r="BD1757" s="8" t="s">
        <v>235</v>
      </c>
      <c r="BE1757" s="4" t="s">
        <v>235</v>
      </c>
      <c r="BF1757" s="8" t="s">
        <v>235</v>
      </c>
      <c r="BG1757" s="7" t="s">
        <v>235</v>
      </c>
      <c r="BH1757" s="7" t="s">
        <v>235</v>
      </c>
      <c r="BI1757" s="7"/>
      <c r="BJ1757" s="4"/>
      <c r="BK1757" s="8"/>
      <c r="BL1757" s="2" t="s">
        <v>235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330</v>
      </c>
      <c r="BV1757" s="2" t="s">
        <v>235</v>
      </c>
      <c r="BW1757" s="2" t="s">
        <v>235</v>
      </c>
      <c r="BX1757" s="2" t="s">
        <v>330</v>
      </c>
      <c r="BY1757" s="2" t="s">
        <v>331</v>
      </c>
      <c r="BZ1757" s="2" t="s">
        <v>232</v>
      </c>
      <c r="CA1757" s="2" t="s">
        <v>235</v>
      </c>
      <c r="CB1757" s="2" t="s">
        <v>235</v>
      </c>
      <c r="CC1757" s="2" t="s">
        <v>248</v>
      </c>
      <c r="CD1757" s="2" t="s">
        <v>248</v>
      </c>
      <c r="CE1757" s="2" t="s">
        <v>235</v>
      </c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>
        <v>600</v>
      </c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>
        <v>600</v>
      </c>
      <c r="GN1757" s="4">
        <v>600</v>
      </c>
      <c r="GO1757" s="4">
        <v>600</v>
      </c>
      <c r="GP1757" s="4">
        <v>600</v>
      </c>
      <c r="GQ1757" s="4">
        <v>593</v>
      </c>
      <c r="GR1757" s="4">
        <v>584</v>
      </c>
      <c r="GS1757" s="4">
        <v>573</v>
      </c>
      <c r="GT1757" s="4">
        <v>567</v>
      </c>
      <c r="GU1757" s="4">
        <v>565</v>
      </c>
      <c r="GV1757" s="4">
        <v>561</v>
      </c>
      <c r="GW1757" s="4">
        <v>559</v>
      </c>
      <c r="GX1757" s="4">
        <v>547</v>
      </c>
      <c r="GY1757" s="4">
        <v>539</v>
      </c>
      <c r="GZ1757" s="4">
        <v>534</v>
      </c>
      <c r="HA1757" s="4">
        <v>526</v>
      </c>
      <c r="HB1757" s="4">
        <v>514</v>
      </c>
      <c r="HC1757" s="4">
        <v>503</v>
      </c>
      <c r="HD1757" s="9"/>
      <c r="HE1757" s="9"/>
      <c r="HF1757" s="9"/>
      <c r="HG1757" s="9"/>
      <c r="HH1757" s="9"/>
      <c r="HI1757" s="9"/>
      <c r="HJ1757" s="9"/>
      <c r="HK1757" s="9"/>
      <c r="HL1757" s="9"/>
      <c r="HM1757" s="19">
        <v>300</v>
      </c>
      <c r="HN1757" s="19">
        <v>150</v>
      </c>
      <c r="HO1757" s="19">
        <v>85.7</v>
      </c>
      <c r="HP1757" s="19">
        <v>75</v>
      </c>
      <c r="HQ1757" s="19">
        <v>84.7</v>
      </c>
      <c r="HR1757" s="19">
        <v>97.3</v>
      </c>
      <c r="HS1757" s="19">
        <v>143.3</v>
      </c>
      <c r="HT1757" s="19">
        <v>113.4</v>
      </c>
      <c r="HU1757" s="19">
        <v>94.2</v>
      </c>
      <c r="HV1757" s="19">
        <v>80.1</v>
      </c>
      <c r="HW1757" s="19">
        <v>69.9</v>
      </c>
      <c r="HX1757" s="19">
        <v>68.4</v>
      </c>
      <c r="HY1757" s="19">
        <v>59.9</v>
      </c>
      <c r="HZ1757" s="19">
        <v>48.5</v>
      </c>
      <c r="IA1757" s="19">
        <v>47.8</v>
      </c>
      <c r="IB1757" s="19">
        <v>42.8</v>
      </c>
      <c r="IC1757" s="19">
        <v>45.7</v>
      </c>
    </row>
    <row r="1758">
      <c r="A1758" s="2" t="s">
        <v>6475</v>
      </c>
      <c r="B1758" s="2" t="s">
        <v>905</v>
      </c>
      <c r="C1758" s="2" t="s">
        <v>980</v>
      </c>
      <c r="D1758" s="2" t="s">
        <v>1177</v>
      </c>
      <c r="E1758" s="2" t="s">
        <v>6472</v>
      </c>
      <c r="F1758" s="2" t="s">
        <v>6473</v>
      </c>
      <c r="G1758" s="2" t="s">
        <v>6473</v>
      </c>
      <c r="H1758" s="2" t="s">
        <v>6473</v>
      </c>
      <c r="I1758" s="2" t="s">
        <v>4148</v>
      </c>
      <c r="J1758" s="2" t="s">
        <v>993</v>
      </c>
      <c r="K1758" s="2" t="s">
        <v>6476</v>
      </c>
      <c r="L1758" s="3">
        <v>39.04</v>
      </c>
      <c r="M1758" s="3">
        <v>40.99</v>
      </c>
      <c r="N1758" s="3">
        <v>81.99</v>
      </c>
      <c r="O1758" s="2" t="s">
        <v>232</v>
      </c>
      <c r="P1758" s="2" t="s">
        <v>262</v>
      </c>
      <c r="Q1758" s="2" t="s">
        <v>234</v>
      </c>
      <c r="R1758" s="2" t="s">
        <v>235</v>
      </c>
      <c r="S1758" s="2" t="s">
        <v>235</v>
      </c>
      <c r="T1758" s="2" t="s">
        <v>879</v>
      </c>
      <c r="U1758" s="2" t="s">
        <v>807</v>
      </c>
      <c r="V1758" s="2" t="s">
        <v>1693</v>
      </c>
      <c r="W1758" s="2" t="s">
        <v>682</v>
      </c>
      <c r="X1758" s="2" t="s">
        <v>882</v>
      </c>
      <c r="Y1758" s="2" t="s">
        <v>235</v>
      </c>
      <c r="Z1758" s="4"/>
      <c r="AA1758" s="4">
        <f>=ROUNDDOWN({0},0)</f>
      </c>
      <c r="AB1758" s="5"/>
      <c r="AC1758" s="2" t="s">
        <v>574</v>
      </c>
      <c r="AD1758" s="4">
        <v>600</v>
      </c>
      <c r="AE1758" s="4">
        <v>600</v>
      </c>
      <c r="AF1758" s="6">
        <v>65</v>
      </c>
      <c r="AG1758" s="6"/>
      <c r="AH1758" s="7"/>
      <c r="AI1758" s="4"/>
      <c r="AJ1758" s="4">
        <f>=ROUNDDOWN({0},0)</f>
      </c>
      <c r="AK1758" s="5"/>
      <c r="AL1758" s="2" t="s">
        <v>235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 t="s">
        <v>235</v>
      </c>
      <c r="BD1758" s="8" t="s">
        <v>235</v>
      </c>
      <c r="BE1758" s="4" t="s">
        <v>235</v>
      </c>
      <c r="BF1758" s="8" t="s">
        <v>235</v>
      </c>
      <c r="BG1758" s="7" t="s">
        <v>235</v>
      </c>
      <c r="BH1758" s="7" t="s">
        <v>235</v>
      </c>
      <c r="BI1758" s="7"/>
      <c r="BJ1758" s="4"/>
      <c r="BK1758" s="8"/>
      <c r="BL1758" s="2" t="s">
        <v>235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330</v>
      </c>
      <c r="BV1758" s="2" t="s">
        <v>235</v>
      </c>
      <c r="BW1758" s="2" t="s">
        <v>235</v>
      </c>
      <c r="BX1758" s="2" t="s">
        <v>330</v>
      </c>
      <c r="BY1758" s="2" t="s">
        <v>331</v>
      </c>
      <c r="BZ1758" s="2" t="s">
        <v>232</v>
      </c>
      <c r="CA1758" s="2" t="s">
        <v>235</v>
      </c>
      <c r="CB1758" s="2" t="s">
        <v>235</v>
      </c>
      <c r="CC1758" s="2" t="s">
        <v>248</v>
      </c>
      <c r="CD1758" s="2" t="s">
        <v>248</v>
      </c>
      <c r="CE1758" s="2" t="s">
        <v>235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>
        <v>600</v>
      </c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>
        <v>600</v>
      </c>
      <c r="GN1758" s="4">
        <v>600</v>
      </c>
      <c r="GO1758" s="4">
        <v>600</v>
      </c>
      <c r="GP1758" s="4">
        <v>600</v>
      </c>
      <c r="GQ1758" s="4">
        <v>593</v>
      </c>
      <c r="GR1758" s="4">
        <v>584</v>
      </c>
      <c r="GS1758" s="4">
        <v>573</v>
      </c>
      <c r="GT1758" s="4">
        <v>567</v>
      </c>
      <c r="GU1758" s="4">
        <v>565</v>
      </c>
      <c r="GV1758" s="4">
        <v>561</v>
      </c>
      <c r="GW1758" s="4">
        <v>559</v>
      </c>
      <c r="GX1758" s="4">
        <v>547</v>
      </c>
      <c r="GY1758" s="4">
        <v>539</v>
      </c>
      <c r="GZ1758" s="4">
        <v>534</v>
      </c>
      <c r="HA1758" s="4">
        <v>526</v>
      </c>
      <c r="HB1758" s="4">
        <v>514</v>
      </c>
      <c r="HC1758" s="4">
        <v>503</v>
      </c>
      <c r="HD1758" s="9"/>
      <c r="HE1758" s="9"/>
      <c r="HF1758" s="9"/>
      <c r="HG1758" s="9"/>
      <c r="HH1758" s="9"/>
      <c r="HI1758" s="9"/>
      <c r="HJ1758" s="9"/>
      <c r="HK1758" s="9"/>
      <c r="HL1758" s="9"/>
      <c r="HM1758" s="19">
        <v>300</v>
      </c>
      <c r="HN1758" s="19">
        <v>150</v>
      </c>
      <c r="HO1758" s="19">
        <v>85.7</v>
      </c>
      <c r="HP1758" s="19">
        <v>75</v>
      </c>
      <c r="HQ1758" s="19">
        <v>84.7</v>
      </c>
      <c r="HR1758" s="19">
        <v>97.3</v>
      </c>
      <c r="HS1758" s="19">
        <v>143.3</v>
      </c>
      <c r="HT1758" s="19">
        <v>113.4</v>
      </c>
      <c r="HU1758" s="19">
        <v>94.2</v>
      </c>
      <c r="HV1758" s="19">
        <v>80.1</v>
      </c>
      <c r="HW1758" s="19">
        <v>69.9</v>
      </c>
      <c r="HX1758" s="19">
        <v>68.4</v>
      </c>
      <c r="HY1758" s="19">
        <v>59.9</v>
      </c>
      <c r="HZ1758" s="19">
        <v>48.5</v>
      </c>
      <c r="IA1758" s="19">
        <v>43.8</v>
      </c>
      <c r="IB1758" s="19">
        <v>42.8</v>
      </c>
      <c r="IC1758" s="19">
        <v>41.9</v>
      </c>
    </row>
    <row r="1759">
      <c r="A1759" s="2" t="s">
        <v>6477</v>
      </c>
      <c r="B1759" s="2" t="s">
        <v>905</v>
      </c>
      <c r="C1759" s="2" t="s">
        <v>980</v>
      </c>
      <c r="D1759" s="2" t="s">
        <v>1177</v>
      </c>
      <c r="E1759" s="2" t="s">
        <v>6472</v>
      </c>
      <c r="F1759" s="2" t="s">
        <v>6473</v>
      </c>
      <c r="G1759" s="2" t="s">
        <v>6473</v>
      </c>
      <c r="H1759" s="2" t="s">
        <v>6473</v>
      </c>
      <c r="I1759" s="2" t="s">
        <v>4148</v>
      </c>
      <c r="J1759" s="2" t="s">
        <v>993</v>
      </c>
      <c r="K1759" s="2" t="s">
        <v>1807</v>
      </c>
      <c r="L1759" s="3">
        <v>39.04</v>
      </c>
      <c r="M1759" s="3">
        <v>40.99</v>
      </c>
      <c r="N1759" s="3">
        <v>81.99</v>
      </c>
      <c r="O1759" s="2" t="s">
        <v>232</v>
      </c>
      <c r="P1759" s="2" t="s">
        <v>262</v>
      </c>
      <c r="Q1759" s="2" t="s">
        <v>234</v>
      </c>
      <c r="R1759" s="2" t="s">
        <v>235</v>
      </c>
      <c r="S1759" s="2" t="s">
        <v>235</v>
      </c>
      <c r="T1759" s="2" t="s">
        <v>879</v>
      </c>
      <c r="U1759" s="2" t="s">
        <v>807</v>
      </c>
      <c r="V1759" s="2" t="s">
        <v>1222</v>
      </c>
      <c r="W1759" s="2" t="s">
        <v>682</v>
      </c>
      <c r="X1759" s="2" t="s">
        <v>882</v>
      </c>
      <c r="Y1759" s="2" t="s">
        <v>235</v>
      </c>
      <c r="Z1759" s="4"/>
      <c r="AA1759" s="4">
        <f>=ROUNDDOWN({0},0)</f>
      </c>
      <c r="AB1759" s="5"/>
      <c r="AC1759" s="2" t="s">
        <v>574</v>
      </c>
      <c r="AD1759" s="4">
        <v>600</v>
      </c>
      <c r="AE1759" s="4">
        <v>600</v>
      </c>
      <c r="AF1759" s="6">
        <v>65</v>
      </c>
      <c r="AG1759" s="6"/>
      <c r="AH1759" s="7"/>
      <c r="AI1759" s="4"/>
      <c r="AJ1759" s="4">
        <f>=ROUNDDOWN({0},0)</f>
      </c>
      <c r="AK1759" s="5"/>
      <c r="AL1759" s="2" t="s">
        <v>235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 t="s">
        <v>235</v>
      </c>
      <c r="BD1759" s="8" t="s">
        <v>235</v>
      </c>
      <c r="BE1759" s="4" t="s">
        <v>235</v>
      </c>
      <c r="BF1759" s="8" t="s">
        <v>235</v>
      </c>
      <c r="BG1759" s="7" t="s">
        <v>235</v>
      </c>
      <c r="BH1759" s="7" t="s">
        <v>235</v>
      </c>
      <c r="BI1759" s="7"/>
      <c r="BJ1759" s="4"/>
      <c r="BK1759" s="8"/>
      <c r="BL1759" s="2" t="s">
        <v>235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330</v>
      </c>
      <c r="BV1759" s="2" t="s">
        <v>235</v>
      </c>
      <c r="BW1759" s="2" t="s">
        <v>235</v>
      </c>
      <c r="BX1759" s="2" t="s">
        <v>330</v>
      </c>
      <c r="BY1759" s="2" t="s">
        <v>331</v>
      </c>
      <c r="BZ1759" s="2" t="s">
        <v>232</v>
      </c>
      <c r="CA1759" s="2" t="s">
        <v>235</v>
      </c>
      <c r="CB1759" s="2" t="s">
        <v>235</v>
      </c>
      <c r="CC1759" s="2" t="s">
        <v>248</v>
      </c>
      <c r="CD1759" s="2" t="s">
        <v>248</v>
      </c>
      <c r="CE1759" s="2" t="s">
        <v>235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>
        <v>600</v>
      </c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>
        <v>600</v>
      </c>
      <c r="GN1759" s="4">
        <v>600</v>
      </c>
      <c r="GO1759" s="4">
        <v>600</v>
      </c>
      <c r="GP1759" s="4">
        <v>600</v>
      </c>
      <c r="GQ1759" s="4">
        <v>593</v>
      </c>
      <c r="GR1759" s="4">
        <v>584</v>
      </c>
      <c r="GS1759" s="4">
        <v>573</v>
      </c>
      <c r="GT1759" s="4">
        <v>567</v>
      </c>
      <c r="GU1759" s="4">
        <v>565</v>
      </c>
      <c r="GV1759" s="4">
        <v>561</v>
      </c>
      <c r="GW1759" s="4">
        <v>559</v>
      </c>
      <c r="GX1759" s="4">
        <v>547</v>
      </c>
      <c r="GY1759" s="4">
        <v>539</v>
      </c>
      <c r="GZ1759" s="4">
        <v>534</v>
      </c>
      <c r="HA1759" s="4">
        <v>526</v>
      </c>
      <c r="HB1759" s="4">
        <v>514</v>
      </c>
      <c r="HC1759" s="4">
        <v>503</v>
      </c>
      <c r="HD1759" s="9"/>
      <c r="HE1759" s="9"/>
      <c r="HF1759" s="9"/>
      <c r="HG1759" s="9"/>
      <c r="HH1759" s="9"/>
      <c r="HI1759" s="9"/>
      <c r="HJ1759" s="9"/>
      <c r="HK1759" s="9"/>
      <c r="HL1759" s="9"/>
      <c r="HM1759" s="19">
        <v>300</v>
      </c>
      <c r="HN1759" s="19">
        <v>150</v>
      </c>
      <c r="HO1759" s="19">
        <v>85.7</v>
      </c>
      <c r="HP1759" s="19">
        <v>75</v>
      </c>
      <c r="HQ1759" s="19">
        <v>84.7</v>
      </c>
      <c r="HR1759" s="19">
        <v>97.3</v>
      </c>
      <c r="HS1759" s="19">
        <v>143.3</v>
      </c>
      <c r="HT1759" s="19">
        <v>113.4</v>
      </c>
      <c r="HU1759" s="19">
        <v>94.2</v>
      </c>
      <c r="HV1759" s="19">
        <v>80.1</v>
      </c>
      <c r="HW1759" s="19">
        <v>69.9</v>
      </c>
      <c r="HX1759" s="19">
        <v>68.4</v>
      </c>
      <c r="HY1759" s="19">
        <v>59.9</v>
      </c>
      <c r="HZ1759" s="19">
        <v>48.5</v>
      </c>
      <c r="IA1759" s="19">
        <v>47.8</v>
      </c>
      <c r="IB1759" s="19">
        <v>42.8</v>
      </c>
      <c r="IC1759" s="19">
        <v>45.7</v>
      </c>
    </row>
    <row r="1760">
      <c r="A1760" s="2" t="s">
        <v>6478</v>
      </c>
      <c r="B1760" s="2" t="s">
        <v>905</v>
      </c>
      <c r="C1760" s="2" t="s">
        <v>980</v>
      </c>
      <c r="D1760" s="2" t="s">
        <v>1177</v>
      </c>
      <c r="E1760" s="2" t="s">
        <v>6472</v>
      </c>
      <c r="F1760" s="2" t="s">
        <v>6473</v>
      </c>
      <c r="G1760" s="2" t="s">
        <v>6473</v>
      </c>
      <c r="H1760" s="2" t="s">
        <v>6473</v>
      </c>
      <c r="I1760" s="2" t="s">
        <v>4148</v>
      </c>
      <c r="J1760" s="2" t="s">
        <v>993</v>
      </c>
      <c r="K1760" s="2" t="s">
        <v>6479</v>
      </c>
      <c r="L1760" s="3">
        <v>39.04</v>
      </c>
      <c r="M1760" s="3">
        <v>40.99</v>
      </c>
      <c r="N1760" s="3">
        <v>81.99</v>
      </c>
      <c r="O1760" s="2" t="s">
        <v>232</v>
      </c>
      <c r="P1760" s="2" t="s">
        <v>262</v>
      </c>
      <c r="Q1760" s="2" t="s">
        <v>234</v>
      </c>
      <c r="R1760" s="2" t="s">
        <v>235</v>
      </c>
      <c r="S1760" s="2" t="s">
        <v>235</v>
      </c>
      <c r="T1760" s="2" t="s">
        <v>879</v>
      </c>
      <c r="U1760" s="2" t="s">
        <v>807</v>
      </c>
      <c r="V1760" s="2" t="s">
        <v>1222</v>
      </c>
      <c r="W1760" s="2" t="s">
        <v>682</v>
      </c>
      <c r="X1760" s="2" t="s">
        <v>882</v>
      </c>
      <c r="Y1760" s="2" t="s">
        <v>235</v>
      </c>
      <c r="Z1760" s="4"/>
      <c r="AA1760" s="4">
        <f>=ROUNDDOWN({0},0)</f>
      </c>
      <c r="AB1760" s="5"/>
      <c r="AC1760" s="2" t="s">
        <v>574</v>
      </c>
      <c r="AD1760" s="4">
        <v>600</v>
      </c>
      <c r="AE1760" s="4">
        <v>600</v>
      </c>
      <c r="AF1760" s="6">
        <v>65</v>
      </c>
      <c r="AG1760" s="6"/>
      <c r="AH1760" s="7"/>
      <c r="AI1760" s="4"/>
      <c r="AJ1760" s="4">
        <f>=ROUNDDOWN({0},0)</f>
      </c>
      <c r="AK1760" s="5"/>
      <c r="AL1760" s="2" t="s">
        <v>235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 t="s">
        <v>235</v>
      </c>
      <c r="BD1760" s="8" t="s">
        <v>235</v>
      </c>
      <c r="BE1760" s="4" t="s">
        <v>235</v>
      </c>
      <c r="BF1760" s="8" t="s">
        <v>235</v>
      </c>
      <c r="BG1760" s="7" t="s">
        <v>235</v>
      </c>
      <c r="BH1760" s="7" t="s">
        <v>235</v>
      </c>
      <c r="BI1760" s="7"/>
      <c r="BJ1760" s="4"/>
      <c r="BK1760" s="8"/>
      <c r="BL1760" s="2" t="s">
        <v>235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330</v>
      </c>
      <c r="BV1760" s="2" t="s">
        <v>235</v>
      </c>
      <c r="BW1760" s="2" t="s">
        <v>235</v>
      </c>
      <c r="BX1760" s="2" t="s">
        <v>330</v>
      </c>
      <c r="BY1760" s="2" t="s">
        <v>331</v>
      </c>
      <c r="BZ1760" s="2" t="s">
        <v>232</v>
      </c>
      <c r="CA1760" s="2" t="s">
        <v>235</v>
      </c>
      <c r="CB1760" s="2" t="s">
        <v>235</v>
      </c>
      <c r="CC1760" s="2" t="s">
        <v>248</v>
      </c>
      <c r="CD1760" s="2" t="s">
        <v>248</v>
      </c>
      <c r="CE1760" s="2" t="s">
        <v>235</v>
      </c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>
        <v>600</v>
      </c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>
        <v>600</v>
      </c>
      <c r="GN1760" s="4">
        <v>600</v>
      </c>
      <c r="GO1760" s="4">
        <v>600</v>
      </c>
      <c r="GP1760" s="4">
        <v>600</v>
      </c>
      <c r="GQ1760" s="4">
        <v>593</v>
      </c>
      <c r="GR1760" s="4">
        <v>584</v>
      </c>
      <c r="GS1760" s="4">
        <v>573</v>
      </c>
      <c r="GT1760" s="4">
        <v>567</v>
      </c>
      <c r="GU1760" s="4">
        <v>565</v>
      </c>
      <c r="GV1760" s="4">
        <v>561</v>
      </c>
      <c r="GW1760" s="4">
        <v>559</v>
      </c>
      <c r="GX1760" s="4">
        <v>547</v>
      </c>
      <c r="GY1760" s="4">
        <v>539</v>
      </c>
      <c r="GZ1760" s="4">
        <v>534</v>
      </c>
      <c r="HA1760" s="4">
        <v>526</v>
      </c>
      <c r="HB1760" s="4">
        <v>514</v>
      </c>
      <c r="HC1760" s="4">
        <v>503</v>
      </c>
      <c r="HD1760" s="9"/>
      <c r="HE1760" s="9"/>
      <c r="HF1760" s="9"/>
      <c r="HG1760" s="9"/>
      <c r="HH1760" s="9"/>
      <c r="HI1760" s="9"/>
      <c r="HJ1760" s="9"/>
      <c r="HK1760" s="9"/>
      <c r="HL1760" s="9"/>
      <c r="HM1760" s="19">
        <v>300</v>
      </c>
      <c r="HN1760" s="19">
        <v>150</v>
      </c>
      <c r="HO1760" s="19">
        <v>85.7</v>
      </c>
      <c r="HP1760" s="19">
        <v>75</v>
      </c>
      <c r="HQ1760" s="19">
        <v>84.7</v>
      </c>
      <c r="HR1760" s="19">
        <v>97.3</v>
      </c>
      <c r="HS1760" s="19">
        <v>143.3</v>
      </c>
      <c r="HT1760" s="19">
        <v>113.4</v>
      </c>
      <c r="HU1760" s="19">
        <v>94.2</v>
      </c>
      <c r="HV1760" s="19">
        <v>80.1</v>
      </c>
      <c r="HW1760" s="19">
        <v>69.9</v>
      </c>
      <c r="HX1760" s="19">
        <v>68.4</v>
      </c>
      <c r="HY1760" s="19">
        <v>59.9</v>
      </c>
      <c r="HZ1760" s="19">
        <v>48.5</v>
      </c>
      <c r="IA1760" s="19">
        <v>47.8</v>
      </c>
      <c r="IB1760" s="19">
        <v>42.8</v>
      </c>
      <c r="IC1760" s="19">
        <v>45.7</v>
      </c>
    </row>
    <row r="1761">
      <c r="A1761" s="2" t="s">
        <v>6480</v>
      </c>
      <c r="B1761" s="2" t="s">
        <v>905</v>
      </c>
      <c r="C1761" s="2" t="s">
        <v>980</v>
      </c>
      <c r="D1761" s="2" t="s">
        <v>1177</v>
      </c>
      <c r="E1761" s="2" t="s">
        <v>6472</v>
      </c>
      <c r="F1761" s="2" t="s">
        <v>6473</v>
      </c>
      <c r="G1761" s="2" t="s">
        <v>6473</v>
      </c>
      <c r="H1761" s="2" t="s">
        <v>6473</v>
      </c>
      <c r="I1761" s="2" t="s">
        <v>4148</v>
      </c>
      <c r="J1761" s="2" t="s">
        <v>993</v>
      </c>
      <c r="K1761" s="2" t="s">
        <v>3088</v>
      </c>
      <c r="L1761" s="3">
        <v>39.04</v>
      </c>
      <c r="M1761" s="3">
        <v>40.99</v>
      </c>
      <c r="N1761" s="3">
        <v>81.99</v>
      </c>
      <c r="O1761" s="2" t="s">
        <v>232</v>
      </c>
      <c r="P1761" s="2" t="s">
        <v>262</v>
      </c>
      <c r="Q1761" s="2" t="s">
        <v>234</v>
      </c>
      <c r="R1761" s="2" t="s">
        <v>235</v>
      </c>
      <c r="S1761" s="2" t="s">
        <v>235</v>
      </c>
      <c r="T1761" s="2" t="s">
        <v>879</v>
      </c>
      <c r="U1761" s="2" t="s">
        <v>807</v>
      </c>
      <c r="V1761" s="2" t="s">
        <v>1222</v>
      </c>
      <c r="W1761" s="2" t="s">
        <v>682</v>
      </c>
      <c r="X1761" s="2" t="s">
        <v>882</v>
      </c>
      <c r="Y1761" s="2" t="s">
        <v>235</v>
      </c>
      <c r="Z1761" s="4"/>
      <c r="AA1761" s="4">
        <f>=ROUNDDOWN({0},0)</f>
      </c>
      <c r="AB1761" s="5"/>
      <c r="AC1761" s="2" t="s">
        <v>574</v>
      </c>
      <c r="AD1761" s="4">
        <v>600</v>
      </c>
      <c r="AE1761" s="4">
        <v>600</v>
      </c>
      <c r="AF1761" s="6">
        <v>65</v>
      </c>
      <c r="AG1761" s="6"/>
      <c r="AH1761" s="7"/>
      <c r="AI1761" s="4"/>
      <c r="AJ1761" s="4">
        <f>=ROUNDDOWN({0},0)</f>
      </c>
      <c r="AK1761" s="5"/>
      <c r="AL1761" s="2" t="s">
        <v>235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 t="s">
        <v>235</v>
      </c>
      <c r="BD1761" s="8" t="s">
        <v>235</v>
      </c>
      <c r="BE1761" s="4" t="s">
        <v>235</v>
      </c>
      <c r="BF1761" s="8" t="s">
        <v>235</v>
      </c>
      <c r="BG1761" s="7" t="s">
        <v>235</v>
      </c>
      <c r="BH1761" s="7" t="s">
        <v>235</v>
      </c>
      <c r="BI1761" s="7"/>
      <c r="BJ1761" s="4"/>
      <c r="BK1761" s="8"/>
      <c r="BL1761" s="2" t="s">
        <v>235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330</v>
      </c>
      <c r="BV1761" s="2" t="s">
        <v>235</v>
      </c>
      <c r="BW1761" s="2" t="s">
        <v>235</v>
      </c>
      <c r="BX1761" s="2" t="s">
        <v>330</v>
      </c>
      <c r="BY1761" s="2" t="s">
        <v>331</v>
      </c>
      <c r="BZ1761" s="2" t="s">
        <v>232</v>
      </c>
      <c r="CA1761" s="2" t="s">
        <v>235</v>
      </c>
      <c r="CB1761" s="2" t="s">
        <v>235</v>
      </c>
      <c r="CC1761" s="2" t="s">
        <v>248</v>
      </c>
      <c r="CD1761" s="2" t="s">
        <v>248</v>
      </c>
      <c r="CE1761" s="2" t="s">
        <v>235</v>
      </c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>
        <v>600</v>
      </c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>
        <v>600</v>
      </c>
      <c r="GN1761" s="4">
        <v>600</v>
      </c>
      <c r="GO1761" s="4">
        <v>600</v>
      </c>
      <c r="GP1761" s="4">
        <v>600</v>
      </c>
      <c r="GQ1761" s="4">
        <v>593</v>
      </c>
      <c r="GR1761" s="4">
        <v>584</v>
      </c>
      <c r="GS1761" s="4">
        <v>573</v>
      </c>
      <c r="GT1761" s="4">
        <v>567</v>
      </c>
      <c r="GU1761" s="4">
        <v>565</v>
      </c>
      <c r="GV1761" s="4">
        <v>561</v>
      </c>
      <c r="GW1761" s="4">
        <v>559</v>
      </c>
      <c r="GX1761" s="4">
        <v>547</v>
      </c>
      <c r="GY1761" s="4">
        <v>539</v>
      </c>
      <c r="GZ1761" s="4">
        <v>534</v>
      </c>
      <c r="HA1761" s="4">
        <v>526</v>
      </c>
      <c r="HB1761" s="4">
        <v>514</v>
      </c>
      <c r="HC1761" s="4">
        <v>503</v>
      </c>
      <c r="HD1761" s="9"/>
      <c r="HE1761" s="9"/>
      <c r="HF1761" s="9"/>
      <c r="HG1761" s="9"/>
      <c r="HH1761" s="9"/>
      <c r="HI1761" s="9"/>
      <c r="HJ1761" s="9"/>
      <c r="HK1761" s="9"/>
      <c r="HL1761" s="9"/>
      <c r="HM1761" s="19">
        <v>300</v>
      </c>
      <c r="HN1761" s="19">
        <v>150</v>
      </c>
      <c r="HO1761" s="19">
        <v>85.7</v>
      </c>
      <c r="HP1761" s="19">
        <v>75</v>
      </c>
      <c r="HQ1761" s="19">
        <v>84.7</v>
      </c>
      <c r="HR1761" s="19">
        <v>97.3</v>
      </c>
      <c r="HS1761" s="19">
        <v>143.3</v>
      </c>
      <c r="HT1761" s="19">
        <v>113.4</v>
      </c>
      <c r="HU1761" s="19">
        <v>94.2</v>
      </c>
      <c r="HV1761" s="19">
        <v>80.1</v>
      </c>
      <c r="HW1761" s="19">
        <v>69.9</v>
      </c>
      <c r="HX1761" s="19">
        <v>68.4</v>
      </c>
      <c r="HY1761" s="19">
        <v>59.9</v>
      </c>
      <c r="HZ1761" s="19">
        <v>48.5</v>
      </c>
      <c r="IA1761" s="19">
        <v>47.8</v>
      </c>
      <c r="IB1761" s="19">
        <v>42.8</v>
      </c>
      <c r="IC1761" s="19">
        <v>45.7</v>
      </c>
    </row>
    <row r="1762">
      <c r="A1762" s="2" t="s">
        <v>6481</v>
      </c>
      <c r="B1762" s="2" t="s">
        <v>323</v>
      </c>
      <c r="C1762" s="2" t="s">
        <v>853</v>
      </c>
      <c r="D1762" s="2" t="s">
        <v>257</v>
      </c>
      <c r="E1762" s="2" t="s">
        <v>258</v>
      </c>
      <c r="F1762" s="2" t="s">
        <v>6482</v>
      </c>
      <c r="G1762" s="2" t="s">
        <v>6482</v>
      </c>
      <c r="H1762" s="2" t="s">
        <v>6482</v>
      </c>
      <c r="I1762" s="2" t="s">
        <v>405</v>
      </c>
      <c r="J1762" s="2" t="s">
        <v>394</v>
      </c>
      <c r="K1762" s="2" t="s">
        <v>6483</v>
      </c>
      <c r="L1762" s="3">
        <v>11.95</v>
      </c>
      <c r="M1762" s="3">
        <v>12.55</v>
      </c>
      <c r="N1762" s="3">
        <v>24.99</v>
      </c>
      <c r="O1762" s="2" t="s">
        <v>485</v>
      </c>
      <c r="P1762" s="2" t="s">
        <v>408</v>
      </c>
      <c r="Q1762" s="2" t="s">
        <v>234</v>
      </c>
      <c r="R1762" s="2" t="s">
        <v>235</v>
      </c>
      <c r="S1762" s="2" t="s">
        <v>6484</v>
      </c>
      <c r="T1762" s="2" t="s">
        <v>501</v>
      </c>
      <c r="U1762" s="2" t="s">
        <v>552</v>
      </c>
      <c r="V1762" s="2" t="s">
        <v>2182</v>
      </c>
      <c r="W1762" s="2" t="s">
        <v>239</v>
      </c>
      <c r="X1762" s="2" t="s">
        <v>235</v>
      </c>
      <c r="Y1762" s="2" t="s">
        <v>2298</v>
      </c>
      <c r="Z1762" s="4"/>
      <c r="AA1762" s="4">
        <f>=ROUNDDOWN({0},0)</f>
      </c>
      <c r="AB1762" s="5">
        <v>2</v>
      </c>
      <c r="AC1762" s="2" t="s">
        <v>235</v>
      </c>
      <c r="AD1762" s="4"/>
      <c r="AE1762" s="4"/>
      <c r="AF1762" s="6">
        <v>65</v>
      </c>
      <c r="AG1762" s="6"/>
      <c r="AH1762" s="7">
        <v>0.7742</v>
      </c>
      <c r="AI1762" s="4"/>
      <c r="AJ1762" s="4">
        <f>=ROUNDDOWN({0},0)</f>
      </c>
      <c r="AK1762" s="5"/>
      <c r="AL1762" s="2" t="s">
        <v>235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235</v>
      </c>
      <c r="AW1762" s="8" t="s">
        <v>235</v>
      </c>
      <c r="AX1762" s="4" t="s">
        <v>235</v>
      </c>
      <c r="AY1762" s="8" t="s">
        <v>235</v>
      </c>
      <c r="AZ1762" s="7" t="s">
        <v>235</v>
      </c>
      <c r="BA1762" s="7" t="s">
        <v>235</v>
      </c>
      <c r="BB1762" s="7"/>
      <c r="BC1762" s="4" t="s">
        <v>235</v>
      </c>
      <c r="BD1762" s="8" t="s">
        <v>235</v>
      </c>
      <c r="BE1762" s="4" t="s">
        <v>235</v>
      </c>
      <c r="BF1762" s="8" t="s">
        <v>235</v>
      </c>
      <c r="BG1762" s="7" t="s">
        <v>235</v>
      </c>
      <c r="BH1762" s="7" t="s">
        <v>235</v>
      </c>
      <c r="BI1762" s="7"/>
      <c r="BJ1762" s="4">
        <v>6</v>
      </c>
      <c r="BK1762" s="8">
        <v>73.17</v>
      </c>
      <c r="BL1762" s="2" t="s">
        <v>1203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6485</v>
      </c>
      <c r="BV1762" s="2" t="s">
        <v>243</v>
      </c>
      <c r="BW1762" s="2" t="s">
        <v>235</v>
      </c>
      <c r="BX1762" s="2" t="s">
        <v>414</v>
      </c>
      <c r="BY1762" s="2" t="s">
        <v>245</v>
      </c>
      <c r="BZ1762" s="2" t="s">
        <v>232</v>
      </c>
      <c r="CA1762" s="2" t="s">
        <v>2298</v>
      </c>
      <c r="CB1762" s="2" t="s">
        <v>615</v>
      </c>
      <c r="CC1762" s="2" t="s">
        <v>248</v>
      </c>
      <c r="CD1762" s="2" t="s">
        <v>248</v>
      </c>
      <c r="CE1762" s="2" t="s">
        <v>235</v>
      </c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>
        <v>36</v>
      </c>
      <c r="GE1762" s="4">
        <v>30</v>
      </c>
      <c r="GF1762" s="4">
        <v>28</v>
      </c>
      <c r="GG1762" s="4">
        <v>26</v>
      </c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19">
        <v>2.6</v>
      </c>
      <c r="HE1762" s="19">
        <v>2.3</v>
      </c>
      <c r="HF1762" s="19">
        <v>2.2</v>
      </c>
      <c r="HG1762" s="19">
        <v>2.2</v>
      </c>
      <c r="HH1762" s="20">
        <v>0</v>
      </c>
      <c r="HI1762" s="20">
        <v>0</v>
      </c>
      <c r="HJ1762" s="20">
        <v>0</v>
      </c>
      <c r="HK1762" s="20">
        <v>0</v>
      </c>
      <c r="HL1762" s="20">
        <v>0</v>
      </c>
      <c r="HM1762" s="20">
        <v>0</v>
      </c>
      <c r="HN1762" s="20">
        <v>0</v>
      </c>
      <c r="HO1762" s="20">
        <v>0</v>
      </c>
      <c r="HP1762" s="20">
        <v>0</v>
      </c>
      <c r="HQ1762" s="20">
        <v>0</v>
      </c>
      <c r="HR1762" s="20">
        <v>0</v>
      </c>
      <c r="HS1762" s="20">
        <v>0</v>
      </c>
      <c r="HT1762" s="20">
        <v>0</v>
      </c>
      <c r="HU1762" s="20">
        <v>0</v>
      </c>
      <c r="HV1762" s="20">
        <v>0</v>
      </c>
      <c r="HW1762" s="20">
        <v>0</v>
      </c>
      <c r="HX1762" s="20">
        <v>0</v>
      </c>
      <c r="HY1762" s="20">
        <v>0</v>
      </c>
      <c r="HZ1762" s="20">
        <v>0</v>
      </c>
      <c r="IA1762" s="20">
        <v>0</v>
      </c>
      <c r="IB1762" s="20">
        <v>0</v>
      </c>
      <c r="IC1762" s="20">
        <v>0</v>
      </c>
    </row>
    <row r="1763">
      <c r="A1763" s="2" t="s">
        <v>6486</v>
      </c>
      <c r="B1763" s="2" t="s">
        <v>323</v>
      </c>
      <c r="C1763" s="2" t="s">
        <v>853</v>
      </c>
      <c r="D1763" s="2" t="s">
        <v>257</v>
      </c>
      <c r="E1763" s="2" t="s">
        <v>258</v>
      </c>
      <c r="F1763" s="2" t="s">
        <v>6482</v>
      </c>
      <c r="G1763" s="2" t="s">
        <v>6482</v>
      </c>
      <c r="H1763" s="2" t="s">
        <v>6482</v>
      </c>
      <c r="I1763" s="2" t="s">
        <v>405</v>
      </c>
      <c r="J1763" s="2" t="s">
        <v>261</v>
      </c>
      <c r="K1763" s="2" t="s">
        <v>6483</v>
      </c>
      <c r="L1763" s="3">
        <v>14.75</v>
      </c>
      <c r="M1763" s="3">
        <v>15.49</v>
      </c>
      <c r="N1763" s="3">
        <v>29.99</v>
      </c>
      <c r="O1763" s="2" t="s">
        <v>232</v>
      </c>
      <c r="P1763" s="2" t="s">
        <v>408</v>
      </c>
      <c r="Q1763" s="2" t="s">
        <v>234</v>
      </c>
      <c r="R1763" s="2" t="s">
        <v>235</v>
      </c>
      <c r="S1763" s="2" t="s">
        <v>6484</v>
      </c>
      <c r="T1763" s="2" t="s">
        <v>501</v>
      </c>
      <c r="U1763" s="2" t="s">
        <v>264</v>
      </c>
      <c r="V1763" s="2" t="s">
        <v>2182</v>
      </c>
      <c r="W1763" s="2" t="s">
        <v>239</v>
      </c>
      <c r="X1763" s="2" t="s">
        <v>235</v>
      </c>
      <c r="Y1763" s="2" t="s">
        <v>2298</v>
      </c>
      <c r="Z1763" s="4"/>
      <c r="AA1763" s="4">
        <f>=ROUNDDOWN({0},0)</f>
      </c>
      <c r="AB1763" s="5">
        <v>3</v>
      </c>
      <c r="AC1763" s="2" t="s">
        <v>235</v>
      </c>
      <c r="AD1763" s="4"/>
      <c r="AE1763" s="4"/>
      <c r="AF1763" s="6">
        <v>65</v>
      </c>
      <c r="AG1763" s="6"/>
      <c r="AH1763" s="7">
        <v>0</v>
      </c>
      <c r="AI1763" s="4"/>
      <c r="AJ1763" s="4">
        <f>=ROUNDDOWN({0},0)</f>
      </c>
      <c r="AK1763" s="5"/>
      <c r="AL1763" s="2" t="s">
        <v>235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235</v>
      </c>
      <c r="AW1763" s="8" t="s">
        <v>235</v>
      </c>
      <c r="AX1763" s="4" t="s">
        <v>235</v>
      </c>
      <c r="AY1763" s="8" t="s">
        <v>235</v>
      </c>
      <c r="AZ1763" s="7" t="s">
        <v>235</v>
      </c>
      <c r="BA1763" s="7" t="s">
        <v>235</v>
      </c>
      <c r="BB1763" s="7"/>
      <c r="BC1763" s="4" t="s">
        <v>235</v>
      </c>
      <c r="BD1763" s="8" t="s">
        <v>235</v>
      </c>
      <c r="BE1763" s="4" t="s">
        <v>235</v>
      </c>
      <c r="BF1763" s="8" t="s">
        <v>235</v>
      </c>
      <c r="BG1763" s="7" t="s">
        <v>235</v>
      </c>
      <c r="BH1763" s="7" t="s">
        <v>235</v>
      </c>
      <c r="BI1763" s="7"/>
      <c r="BJ1763" s="4"/>
      <c r="BK1763" s="8"/>
      <c r="BL1763" s="2" t="s">
        <v>1810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6485</v>
      </c>
      <c r="BV1763" s="2" t="s">
        <v>243</v>
      </c>
      <c r="BW1763" s="2" t="s">
        <v>235</v>
      </c>
      <c r="BX1763" s="2" t="s">
        <v>414</v>
      </c>
      <c r="BY1763" s="2" t="s">
        <v>245</v>
      </c>
      <c r="BZ1763" s="2" t="s">
        <v>232</v>
      </c>
      <c r="CA1763" s="2" t="s">
        <v>2298</v>
      </c>
      <c r="CB1763" s="2" t="s">
        <v>2516</v>
      </c>
      <c r="CC1763" s="2" t="s">
        <v>248</v>
      </c>
      <c r="CD1763" s="2" t="s">
        <v>248</v>
      </c>
      <c r="CE1763" s="2" t="s">
        <v>235</v>
      </c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20">
        <v>0</v>
      </c>
      <c r="HE1763" s="20">
        <v>0</v>
      </c>
      <c r="HF1763" s="20">
        <v>0</v>
      </c>
      <c r="HG1763" s="20">
        <v>0</v>
      </c>
      <c r="HH1763" s="20">
        <v>0</v>
      </c>
      <c r="HI1763" s="20">
        <v>0</v>
      </c>
      <c r="HJ1763" s="20">
        <v>0</v>
      </c>
      <c r="HK1763" s="20">
        <v>0</v>
      </c>
      <c r="HL1763" s="20">
        <v>0</v>
      </c>
      <c r="HM1763" s="20">
        <v>0</v>
      </c>
      <c r="HN1763" s="20">
        <v>0</v>
      </c>
      <c r="HO1763" s="20">
        <v>0</v>
      </c>
      <c r="HP1763" s="20">
        <v>0</v>
      </c>
      <c r="HQ1763" s="20">
        <v>0</v>
      </c>
      <c r="HR1763" s="20">
        <v>0</v>
      </c>
      <c r="HS1763" s="20">
        <v>0</v>
      </c>
      <c r="HT1763" s="20">
        <v>0</v>
      </c>
      <c r="HU1763" s="20">
        <v>0</v>
      </c>
      <c r="HV1763" s="20">
        <v>0</v>
      </c>
      <c r="HW1763" s="20">
        <v>0</v>
      </c>
      <c r="HX1763" s="20">
        <v>0</v>
      </c>
      <c r="HY1763" s="20">
        <v>0</v>
      </c>
      <c r="HZ1763" s="20">
        <v>0</v>
      </c>
      <c r="IA1763" s="20">
        <v>0</v>
      </c>
      <c r="IB1763" s="20">
        <v>0</v>
      </c>
      <c r="IC1763" s="20">
        <v>0</v>
      </c>
    </row>
    <row r="1764">
      <c r="A1764" s="2" t="s">
        <v>6487</v>
      </c>
      <c r="B1764" s="2" t="s">
        <v>323</v>
      </c>
      <c r="C1764" s="2" t="s">
        <v>853</v>
      </c>
      <c r="D1764" s="2" t="s">
        <v>257</v>
      </c>
      <c r="E1764" s="2" t="s">
        <v>258</v>
      </c>
      <c r="F1764" s="2" t="s">
        <v>6482</v>
      </c>
      <c r="G1764" s="2" t="s">
        <v>6482</v>
      </c>
      <c r="H1764" s="2" t="s">
        <v>6482</v>
      </c>
      <c r="I1764" s="2" t="s">
        <v>405</v>
      </c>
      <c r="J1764" s="2" t="s">
        <v>394</v>
      </c>
      <c r="K1764" s="2" t="s">
        <v>6488</v>
      </c>
      <c r="L1764" s="3">
        <v>13.2</v>
      </c>
      <c r="M1764" s="3">
        <v>13.86</v>
      </c>
      <c r="N1764" s="3">
        <v>27.99</v>
      </c>
      <c r="O1764" s="2" t="s">
        <v>232</v>
      </c>
      <c r="P1764" s="2" t="s">
        <v>233</v>
      </c>
      <c r="Q1764" s="2" t="s">
        <v>234</v>
      </c>
      <c r="R1764" s="2" t="s">
        <v>235</v>
      </c>
      <c r="S1764" s="2" t="s">
        <v>6489</v>
      </c>
      <c r="T1764" s="2" t="s">
        <v>501</v>
      </c>
      <c r="U1764" s="2" t="s">
        <v>552</v>
      </c>
      <c r="V1764" s="2" t="s">
        <v>880</v>
      </c>
      <c r="W1764" s="2" t="s">
        <v>239</v>
      </c>
      <c r="X1764" s="2" t="s">
        <v>235</v>
      </c>
      <c r="Y1764" s="2" t="s">
        <v>6490</v>
      </c>
      <c r="Z1764" s="4">
        <v>126</v>
      </c>
      <c r="AA1764" s="4">
        <f>=ROUNDDOWN(66.3157894736842,0)</f>
      </c>
      <c r="AB1764" s="5">
        <v>1.9</v>
      </c>
      <c r="AC1764" s="2" t="s">
        <v>235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235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235</v>
      </c>
      <c r="BD1764" s="8" t="s">
        <v>235</v>
      </c>
      <c r="BE1764" s="4" t="s">
        <v>235</v>
      </c>
      <c r="BF1764" s="8" t="s">
        <v>235</v>
      </c>
      <c r="BG1764" s="7" t="s">
        <v>235</v>
      </c>
      <c r="BH1764" s="7" t="s">
        <v>235</v>
      </c>
      <c r="BI1764" s="7"/>
      <c r="BJ1764" s="4">
        <v>17</v>
      </c>
      <c r="BK1764" s="8">
        <v>239.11</v>
      </c>
      <c r="BL1764" s="2" t="s">
        <v>1702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6485</v>
      </c>
      <c r="BV1764" s="2" t="s">
        <v>243</v>
      </c>
      <c r="BW1764" s="2" t="s">
        <v>235</v>
      </c>
      <c r="BX1764" s="2" t="s">
        <v>244</v>
      </c>
      <c r="BY1764" s="2" t="s">
        <v>245</v>
      </c>
      <c r="BZ1764" s="2" t="s">
        <v>232</v>
      </c>
      <c r="CA1764" s="2" t="s">
        <v>415</v>
      </c>
      <c r="CB1764" s="2" t="s">
        <v>1709</v>
      </c>
      <c r="CC1764" s="2" t="s">
        <v>248</v>
      </c>
      <c r="CD1764" s="2" t="s">
        <v>248</v>
      </c>
      <c r="CE1764" s="2" t="s">
        <v>235</v>
      </c>
      <c r="CF1764" s="4">
        <v>126</v>
      </c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>
        <v>126</v>
      </c>
      <c r="GE1764" s="4">
        <v>123</v>
      </c>
      <c r="GF1764" s="4">
        <v>121</v>
      </c>
      <c r="GG1764" s="4">
        <v>119</v>
      </c>
      <c r="GH1764" s="4">
        <v>117</v>
      </c>
      <c r="GI1764" s="4">
        <v>115</v>
      </c>
      <c r="GJ1764" s="4">
        <v>113</v>
      </c>
      <c r="GK1764" s="4">
        <v>111</v>
      </c>
      <c r="GL1764" s="4">
        <v>109</v>
      </c>
      <c r="GM1764" s="4">
        <v>108</v>
      </c>
      <c r="GN1764" s="4">
        <v>107</v>
      </c>
      <c r="GO1764" s="4">
        <v>104</v>
      </c>
      <c r="GP1764" s="4">
        <v>101</v>
      </c>
      <c r="GQ1764" s="4">
        <v>95</v>
      </c>
      <c r="GR1764" s="4">
        <v>89</v>
      </c>
      <c r="GS1764" s="4">
        <v>84</v>
      </c>
      <c r="GT1764" s="4">
        <v>81</v>
      </c>
      <c r="GU1764" s="4">
        <v>79</v>
      </c>
      <c r="GV1764" s="4">
        <v>77</v>
      </c>
      <c r="GW1764" s="4">
        <v>75</v>
      </c>
      <c r="GX1764" s="4">
        <v>73</v>
      </c>
      <c r="GY1764" s="4">
        <v>71</v>
      </c>
      <c r="GZ1764" s="4">
        <v>69</v>
      </c>
      <c r="HA1764" s="4">
        <v>67</v>
      </c>
      <c r="HB1764" s="4">
        <v>65</v>
      </c>
      <c r="HC1764" s="4">
        <v>63</v>
      </c>
      <c r="HD1764" s="19">
        <v>63</v>
      </c>
      <c r="HE1764" s="19">
        <v>61.5</v>
      </c>
      <c r="HF1764" s="19">
        <v>60.5</v>
      </c>
      <c r="HG1764" s="19">
        <v>59.5</v>
      </c>
      <c r="HH1764" s="19">
        <v>58.5</v>
      </c>
      <c r="HI1764" s="19">
        <v>57.5</v>
      </c>
      <c r="HJ1764" s="19">
        <v>56.5</v>
      </c>
      <c r="HK1764" s="19">
        <v>55.5</v>
      </c>
      <c r="HL1764" s="19">
        <v>54.5</v>
      </c>
      <c r="HM1764" s="19">
        <v>36</v>
      </c>
      <c r="HN1764" s="19">
        <v>26.8</v>
      </c>
      <c r="HO1764" s="19">
        <v>20.8</v>
      </c>
      <c r="HP1764" s="19">
        <v>20.2</v>
      </c>
      <c r="HQ1764" s="19">
        <v>23.8</v>
      </c>
      <c r="HR1764" s="19">
        <v>29.7</v>
      </c>
      <c r="HS1764" s="19">
        <v>42</v>
      </c>
      <c r="HT1764" s="19">
        <v>40.5</v>
      </c>
      <c r="HU1764" s="19">
        <v>39.5</v>
      </c>
      <c r="HV1764" s="19">
        <v>38.5</v>
      </c>
      <c r="HW1764" s="19">
        <v>37.5</v>
      </c>
      <c r="HX1764" s="19">
        <v>36.5</v>
      </c>
      <c r="HY1764" s="19">
        <v>35.5</v>
      </c>
      <c r="HZ1764" s="19">
        <v>34.5</v>
      </c>
      <c r="IA1764" s="19">
        <v>33.5</v>
      </c>
      <c r="IB1764" s="19">
        <v>32.5</v>
      </c>
      <c r="IC1764" s="19">
        <v>31.5</v>
      </c>
    </row>
    <row r="1765">
      <c r="A1765" s="2" t="s">
        <v>6491</v>
      </c>
      <c r="B1765" s="2" t="s">
        <v>323</v>
      </c>
      <c r="C1765" s="2" t="s">
        <v>853</v>
      </c>
      <c r="D1765" s="2" t="s">
        <v>257</v>
      </c>
      <c r="E1765" s="2" t="s">
        <v>258</v>
      </c>
      <c r="F1765" s="2" t="s">
        <v>6482</v>
      </c>
      <c r="G1765" s="2" t="s">
        <v>6482</v>
      </c>
      <c r="H1765" s="2" t="s">
        <v>6482</v>
      </c>
      <c r="I1765" s="2" t="s">
        <v>405</v>
      </c>
      <c r="J1765" s="2" t="s">
        <v>394</v>
      </c>
      <c r="K1765" s="2" t="s">
        <v>6492</v>
      </c>
      <c r="L1765" s="3">
        <v>13.2</v>
      </c>
      <c r="M1765" s="3">
        <v>13.86</v>
      </c>
      <c r="N1765" s="3">
        <v>27.99</v>
      </c>
      <c r="O1765" s="2" t="s">
        <v>407</v>
      </c>
      <c r="P1765" s="2" t="s">
        <v>408</v>
      </c>
      <c r="Q1765" s="2" t="s">
        <v>234</v>
      </c>
      <c r="R1765" s="2" t="s">
        <v>235</v>
      </c>
      <c r="S1765" s="2" t="s">
        <v>6493</v>
      </c>
      <c r="T1765" s="2" t="s">
        <v>501</v>
      </c>
      <c r="U1765" s="2" t="s">
        <v>552</v>
      </c>
      <c r="V1765" s="2" t="s">
        <v>824</v>
      </c>
      <c r="W1765" s="2" t="s">
        <v>239</v>
      </c>
      <c r="X1765" s="2" t="s">
        <v>235</v>
      </c>
      <c r="Y1765" s="2" t="s">
        <v>2298</v>
      </c>
      <c r="Z1765" s="4"/>
      <c r="AA1765" s="4">
        <f>=ROUNDDOWN({0},0)</f>
      </c>
      <c r="AB1765" s="5">
        <v>1</v>
      </c>
      <c r="AC1765" s="2" t="s">
        <v>235</v>
      </c>
      <c r="AD1765" s="4"/>
      <c r="AE1765" s="4"/>
      <c r="AF1765" s="6">
        <v>65</v>
      </c>
      <c r="AG1765" s="6"/>
      <c r="AH1765" s="7">
        <v>0.4839</v>
      </c>
      <c r="AI1765" s="4"/>
      <c r="AJ1765" s="4">
        <f>=ROUNDDOWN({0},0)</f>
      </c>
      <c r="AK1765" s="5"/>
      <c r="AL1765" s="2" t="s">
        <v>235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235</v>
      </c>
      <c r="AW1765" s="8" t="s">
        <v>235</v>
      </c>
      <c r="AX1765" s="4" t="s">
        <v>235</v>
      </c>
      <c r="AY1765" s="8" t="s">
        <v>235</v>
      </c>
      <c r="AZ1765" s="7" t="s">
        <v>235</v>
      </c>
      <c r="BA1765" s="7" t="s">
        <v>235</v>
      </c>
      <c r="BB1765" s="7"/>
      <c r="BC1765" s="4" t="s">
        <v>235</v>
      </c>
      <c r="BD1765" s="8" t="s">
        <v>235</v>
      </c>
      <c r="BE1765" s="4" t="s">
        <v>235</v>
      </c>
      <c r="BF1765" s="8" t="s">
        <v>235</v>
      </c>
      <c r="BG1765" s="7" t="s">
        <v>235</v>
      </c>
      <c r="BH1765" s="7" t="s">
        <v>235</v>
      </c>
      <c r="BI1765" s="7"/>
      <c r="BJ1765" s="4">
        <v>10</v>
      </c>
      <c r="BK1765" s="8">
        <v>120</v>
      </c>
      <c r="BL1765" s="2" t="s">
        <v>2103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6485</v>
      </c>
      <c r="BV1765" s="2" t="s">
        <v>243</v>
      </c>
      <c r="BW1765" s="2" t="s">
        <v>235</v>
      </c>
      <c r="BX1765" s="2" t="s">
        <v>244</v>
      </c>
      <c r="BY1765" s="2" t="s">
        <v>245</v>
      </c>
      <c r="BZ1765" s="2" t="s">
        <v>232</v>
      </c>
      <c r="CA1765" s="2" t="s">
        <v>2298</v>
      </c>
      <c r="CB1765" s="2" t="s">
        <v>795</v>
      </c>
      <c r="CC1765" s="2" t="s">
        <v>248</v>
      </c>
      <c r="CD1765" s="2" t="s">
        <v>248</v>
      </c>
      <c r="CE1765" s="2" t="s">
        <v>235</v>
      </c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20">
        <v>0</v>
      </c>
      <c r="HE1765" s="20">
        <v>0</v>
      </c>
      <c r="HF1765" s="20">
        <v>0</v>
      </c>
      <c r="HG1765" s="20">
        <v>0</v>
      </c>
      <c r="HH1765" s="20">
        <v>0</v>
      </c>
      <c r="HI1765" s="20">
        <v>0</v>
      </c>
      <c r="HJ1765" s="20">
        <v>0</v>
      </c>
      <c r="HK1765" s="20">
        <v>0</v>
      </c>
      <c r="HL1765" s="20">
        <v>0</v>
      </c>
      <c r="HM1765" s="20">
        <v>0</v>
      </c>
      <c r="HN1765" s="20">
        <v>0</v>
      </c>
      <c r="HO1765" s="20">
        <v>0</v>
      </c>
      <c r="HP1765" s="20">
        <v>0</v>
      </c>
      <c r="HQ1765" s="20">
        <v>0</v>
      </c>
      <c r="HR1765" s="20">
        <v>0</v>
      </c>
      <c r="HS1765" s="20">
        <v>0</v>
      </c>
      <c r="HT1765" s="20">
        <v>0</v>
      </c>
      <c r="HU1765" s="20">
        <v>0</v>
      </c>
      <c r="HV1765" s="20">
        <v>0</v>
      </c>
      <c r="HW1765" s="20">
        <v>0</v>
      </c>
      <c r="HX1765" s="20">
        <v>0</v>
      </c>
      <c r="HY1765" s="20">
        <v>0</v>
      </c>
      <c r="HZ1765" s="20">
        <v>0</v>
      </c>
      <c r="IA1765" s="20">
        <v>0</v>
      </c>
      <c r="IB1765" s="20">
        <v>0</v>
      </c>
      <c r="IC1765" s="20">
        <v>0</v>
      </c>
    </row>
    <row r="1766">
      <c r="A1766" s="2" t="s">
        <v>6494</v>
      </c>
      <c r="B1766" s="2" t="s">
        <v>323</v>
      </c>
      <c r="C1766" s="2" t="s">
        <v>853</v>
      </c>
      <c r="D1766" s="2" t="s">
        <v>257</v>
      </c>
      <c r="E1766" s="2" t="s">
        <v>258</v>
      </c>
      <c r="F1766" s="2" t="s">
        <v>6482</v>
      </c>
      <c r="G1766" s="2" t="s">
        <v>6482</v>
      </c>
      <c r="H1766" s="2" t="s">
        <v>6482</v>
      </c>
      <c r="I1766" s="2" t="s">
        <v>405</v>
      </c>
      <c r="J1766" s="2" t="s">
        <v>270</v>
      </c>
      <c r="K1766" s="2" t="s">
        <v>6492</v>
      </c>
      <c r="L1766" s="3">
        <v>18.24</v>
      </c>
      <c r="M1766" s="3">
        <v>19.15</v>
      </c>
      <c r="N1766" s="3">
        <v>39.99</v>
      </c>
      <c r="O1766" s="2" t="s">
        <v>407</v>
      </c>
      <c r="P1766" s="2" t="s">
        <v>408</v>
      </c>
      <c r="Q1766" s="2" t="s">
        <v>234</v>
      </c>
      <c r="R1766" s="2" t="s">
        <v>235</v>
      </c>
      <c r="S1766" s="2" t="s">
        <v>6493</v>
      </c>
      <c r="T1766" s="2" t="s">
        <v>501</v>
      </c>
      <c r="U1766" s="2" t="s">
        <v>264</v>
      </c>
      <c r="V1766" s="2" t="s">
        <v>824</v>
      </c>
      <c r="W1766" s="2" t="s">
        <v>239</v>
      </c>
      <c r="X1766" s="2" t="s">
        <v>235</v>
      </c>
      <c r="Y1766" s="2" t="s">
        <v>2298</v>
      </c>
      <c r="Z1766" s="4">
        <v>36</v>
      </c>
      <c r="AA1766" s="4">
        <f>=ROUNDDOWN(36,0)</f>
      </c>
      <c r="AB1766" s="5">
        <v>1</v>
      </c>
      <c r="AC1766" s="2" t="s">
        <v>235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235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235</v>
      </c>
      <c r="AW1766" s="8" t="s">
        <v>235</v>
      </c>
      <c r="AX1766" s="4" t="s">
        <v>235</v>
      </c>
      <c r="AY1766" s="8" t="s">
        <v>235</v>
      </c>
      <c r="AZ1766" s="7" t="s">
        <v>235</v>
      </c>
      <c r="BA1766" s="7" t="s">
        <v>235</v>
      </c>
      <c r="BB1766" s="7"/>
      <c r="BC1766" s="4" t="s">
        <v>235</v>
      </c>
      <c r="BD1766" s="8" t="s">
        <v>235</v>
      </c>
      <c r="BE1766" s="4" t="s">
        <v>235</v>
      </c>
      <c r="BF1766" s="8" t="s">
        <v>235</v>
      </c>
      <c r="BG1766" s="7" t="s">
        <v>235</v>
      </c>
      <c r="BH1766" s="7" t="s">
        <v>235</v>
      </c>
      <c r="BI1766" s="7"/>
      <c r="BJ1766" s="4">
        <v>31</v>
      </c>
      <c r="BK1766" s="8">
        <v>630.05</v>
      </c>
      <c r="BL1766" s="2" t="s">
        <v>412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6485</v>
      </c>
      <c r="BV1766" s="2" t="s">
        <v>243</v>
      </c>
      <c r="BW1766" s="2" t="s">
        <v>235</v>
      </c>
      <c r="BX1766" s="2" t="s">
        <v>244</v>
      </c>
      <c r="BY1766" s="2" t="s">
        <v>245</v>
      </c>
      <c r="BZ1766" s="2" t="s">
        <v>232</v>
      </c>
      <c r="CA1766" s="2" t="s">
        <v>2298</v>
      </c>
      <c r="CB1766" s="2" t="s">
        <v>2600</v>
      </c>
      <c r="CC1766" s="2" t="s">
        <v>248</v>
      </c>
      <c r="CD1766" s="2" t="s">
        <v>248</v>
      </c>
      <c r="CE1766" s="2" t="s">
        <v>235</v>
      </c>
      <c r="CF1766" s="4">
        <v>36</v>
      </c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>
        <v>37</v>
      </c>
      <c r="GE1766" s="4">
        <v>35</v>
      </c>
      <c r="GF1766" s="4">
        <v>34</v>
      </c>
      <c r="GG1766" s="4">
        <v>33</v>
      </c>
      <c r="GH1766" s="4">
        <v>32</v>
      </c>
      <c r="GI1766" s="4">
        <v>31</v>
      </c>
      <c r="GJ1766" s="4">
        <v>30</v>
      </c>
      <c r="GK1766" s="4">
        <v>29</v>
      </c>
      <c r="GL1766" s="4">
        <v>28</v>
      </c>
      <c r="GM1766" s="4">
        <v>28</v>
      </c>
      <c r="GN1766" s="4">
        <v>27</v>
      </c>
      <c r="GO1766" s="4">
        <v>26</v>
      </c>
      <c r="GP1766" s="4">
        <v>25</v>
      </c>
      <c r="GQ1766" s="4">
        <v>23</v>
      </c>
      <c r="GR1766" s="4">
        <v>21</v>
      </c>
      <c r="GS1766" s="4">
        <v>19</v>
      </c>
      <c r="GT1766" s="4">
        <v>18</v>
      </c>
      <c r="GU1766" s="4">
        <v>17</v>
      </c>
      <c r="GV1766" s="4">
        <v>16</v>
      </c>
      <c r="GW1766" s="4">
        <v>15</v>
      </c>
      <c r="GX1766" s="4">
        <v>14</v>
      </c>
      <c r="GY1766" s="4">
        <v>13</v>
      </c>
      <c r="GZ1766" s="4">
        <v>12</v>
      </c>
      <c r="HA1766" s="4">
        <v>11</v>
      </c>
      <c r="HB1766" s="4">
        <v>10</v>
      </c>
      <c r="HC1766" s="4">
        <v>9</v>
      </c>
      <c r="HD1766" s="19">
        <v>37</v>
      </c>
      <c r="HE1766" s="19">
        <v>35</v>
      </c>
      <c r="HF1766" s="19">
        <v>34</v>
      </c>
      <c r="HG1766" s="19">
        <v>33</v>
      </c>
      <c r="HH1766" s="19">
        <v>32</v>
      </c>
      <c r="HI1766" s="19">
        <v>31</v>
      </c>
      <c r="HJ1766" s="19">
        <v>30</v>
      </c>
      <c r="HK1766" s="19">
        <v>29</v>
      </c>
      <c r="HL1766" s="19">
        <v>28</v>
      </c>
      <c r="HM1766" s="19">
        <v>28</v>
      </c>
      <c r="HN1766" s="19">
        <v>13.5</v>
      </c>
      <c r="HO1766" s="19">
        <v>13</v>
      </c>
      <c r="HP1766" s="19">
        <v>12.5</v>
      </c>
      <c r="HQ1766" s="19">
        <v>11.5</v>
      </c>
      <c r="HR1766" s="19">
        <v>21</v>
      </c>
      <c r="HS1766" s="19">
        <v>19</v>
      </c>
      <c r="HT1766" s="19">
        <v>18</v>
      </c>
      <c r="HU1766" s="19">
        <v>17</v>
      </c>
      <c r="HV1766" s="19">
        <v>16</v>
      </c>
      <c r="HW1766" s="19">
        <v>15</v>
      </c>
      <c r="HX1766" s="19">
        <v>14</v>
      </c>
      <c r="HY1766" s="19">
        <v>13</v>
      </c>
      <c r="HZ1766" s="19">
        <v>12</v>
      </c>
      <c r="IA1766" s="19">
        <v>11</v>
      </c>
      <c r="IB1766" s="19">
        <v>10</v>
      </c>
      <c r="IC1766" s="19">
        <v>9</v>
      </c>
    </row>
    <row r="1767">
      <c r="A1767" s="2" t="s">
        <v>6495</v>
      </c>
      <c r="B1767" s="2" t="s">
        <v>323</v>
      </c>
      <c r="C1767" s="2" t="s">
        <v>403</v>
      </c>
      <c r="D1767" s="2" t="s">
        <v>257</v>
      </c>
      <c r="E1767" s="2" t="s">
        <v>258</v>
      </c>
      <c r="F1767" s="2" t="s">
        <v>6496</v>
      </c>
      <c r="G1767" s="2" t="s">
        <v>6496</v>
      </c>
      <c r="H1767" s="2" t="s">
        <v>6496</v>
      </c>
      <c r="I1767" s="2" t="s">
        <v>405</v>
      </c>
      <c r="J1767" s="2" t="s">
        <v>394</v>
      </c>
      <c r="K1767" s="2" t="s">
        <v>6497</v>
      </c>
      <c r="L1767" s="3">
        <v>16.65</v>
      </c>
      <c r="M1767" s="3">
        <v>17.48</v>
      </c>
      <c r="N1767" s="3">
        <v>34.99</v>
      </c>
      <c r="O1767" s="2" t="s">
        <v>232</v>
      </c>
      <c r="P1767" s="2" t="s">
        <v>233</v>
      </c>
      <c r="Q1767" s="2" t="s">
        <v>234</v>
      </c>
      <c r="R1767" s="2" t="s">
        <v>235</v>
      </c>
      <c r="S1767" s="2" t="s">
        <v>6498</v>
      </c>
      <c r="T1767" s="2" t="s">
        <v>6499</v>
      </c>
      <c r="U1767" s="2" t="s">
        <v>552</v>
      </c>
      <c r="V1767" s="2" t="s">
        <v>2182</v>
      </c>
      <c r="W1767" s="2" t="s">
        <v>329</v>
      </c>
      <c r="X1767" s="2" t="s">
        <v>239</v>
      </c>
      <c r="Y1767" s="2" t="s">
        <v>4024</v>
      </c>
      <c r="Z1767" s="4">
        <v>213</v>
      </c>
      <c r="AA1767" s="4">
        <f>=ROUNDDOWN(118.333333333333,0)</f>
      </c>
      <c r="AB1767" s="5">
        <v>1.8</v>
      </c>
      <c r="AC1767" s="2" t="s">
        <v>235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235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 t="s">
        <v>235</v>
      </c>
      <c r="BD1767" s="8" t="s">
        <v>235</v>
      </c>
      <c r="BE1767" s="4" t="s">
        <v>235</v>
      </c>
      <c r="BF1767" s="8" t="s">
        <v>235</v>
      </c>
      <c r="BG1767" s="7" t="s">
        <v>235</v>
      </c>
      <c r="BH1767" s="7" t="s">
        <v>235</v>
      </c>
      <c r="BI1767" s="7"/>
      <c r="BJ1767" s="4">
        <v>9</v>
      </c>
      <c r="BK1767" s="8">
        <v>163.22</v>
      </c>
      <c r="BL1767" s="2" t="s">
        <v>422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6500</v>
      </c>
      <c r="BV1767" s="2" t="s">
        <v>243</v>
      </c>
      <c r="BW1767" s="2" t="s">
        <v>235</v>
      </c>
      <c r="BX1767" s="2" t="s">
        <v>685</v>
      </c>
      <c r="BY1767" s="2" t="s">
        <v>245</v>
      </c>
      <c r="BZ1767" s="2" t="s">
        <v>232</v>
      </c>
      <c r="CA1767" s="2" t="s">
        <v>415</v>
      </c>
      <c r="CB1767" s="2" t="s">
        <v>3705</v>
      </c>
      <c r="CC1767" s="2" t="s">
        <v>248</v>
      </c>
      <c r="CD1767" s="2" t="s">
        <v>248</v>
      </c>
      <c r="CE1767" s="2" t="s">
        <v>235</v>
      </c>
      <c r="CF1767" s="4">
        <v>133</v>
      </c>
      <c r="CG1767" s="4"/>
      <c r="CH1767" s="4"/>
      <c r="CI1767" s="4">
        <v>80</v>
      </c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>
        <v>214</v>
      </c>
      <c r="GE1767" s="4">
        <v>212</v>
      </c>
      <c r="GF1767" s="4">
        <v>211</v>
      </c>
      <c r="GG1767" s="4">
        <v>209</v>
      </c>
      <c r="GH1767" s="4">
        <v>206</v>
      </c>
      <c r="GI1767" s="4">
        <v>202</v>
      </c>
      <c r="GJ1767" s="4">
        <v>195</v>
      </c>
      <c r="GK1767" s="4">
        <v>191</v>
      </c>
      <c r="GL1767" s="4">
        <v>186</v>
      </c>
      <c r="GM1767" s="4">
        <v>183</v>
      </c>
      <c r="GN1767" s="4">
        <v>180</v>
      </c>
      <c r="GO1767" s="4">
        <v>177</v>
      </c>
      <c r="GP1767" s="4">
        <v>173</v>
      </c>
      <c r="GQ1767" s="4">
        <v>166</v>
      </c>
      <c r="GR1767" s="4">
        <v>162</v>
      </c>
      <c r="GS1767" s="4">
        <v>157</v>
      </c>
      <c r="GT1767" s="4">
        <v>154</v>
      </c>
      <c r="GU1767" s="4">
        <v>151</v>
      </c>
      <c r="GV1767" s="4">
        <v>149</v>
      </c>
      <c r="GW1767" s="4">
        <v>147</v>
      </c>
      <c r="GX1767" s="4">
        <v>145</v>
      </c>
      <c r="GY1767" s="4">
        <v>143</v>
      </c>
      <c r="GZ1767" s="4">
        <v>141</v>
      </c>
      <c r="HA1767" s="4">
        <v>139</v>
      </c>
      <c r="HB1767" s="4">
        <v>137</v>
      </c>
      <c r="HC1767" s="4">
        <v>135</v>
      </c>
      <c r="HD1767" s="19">
        <v>107</v>
      </c>
      <c r="HE1767" s="19">
        <v>106</v>
      </c>
      <c r="HF1767" s="19">
        <v>52.8</v>
      </c>
      <c r="HG1767" s="19">
        <v>52.3</v>
      </c>
      <c r="HH1767" s="19">
        <v>41.2</v>
      </c>
      <c r="HI1767" s="19">
        <v>40.4</v>
      </c>
      <c r="HJ1767" s="19">
        <v>48.8</v>
      </c>
      <c r="HK1767" s="19">
        <v>47.8</v>
      </c>
      <c r="HL1767" s="19">
        <v>62</v>
      </c>
      <c r="HM1767" s="19">
        <v>45.8</v>
      </c>
      <c r="HN1767" s="19">
        <v>45</v>
      </c>
      <c r="HO1767" s="19">
        <v>35.4</v>
      </c>
      <c r="HP1767" s="19">
        <v>34.6</v>
      </c>
      <c r="HQ1767" s="19">
        <v>41.5</v>
      </c>
      <c r="HR1767" s="19">
        <v>54</v>
      </c>
      <c r="HS1767" s="19">
        <v>78.5</v>
      </c>
      <c r="HT1767" s="19">
        <v>77</v>
      </c>
      <c r="HU1767" s="19">
        <v>75.5</v>
      </c>
      <c r="HV1767" s="19">
        <v>74.5</v>
      </c>
      <c r="HW1767" s="19">
        <v>73.5</v>
      </c>
      <c r="HX1767" s="19">
        <v>72.5</v>
      </c>
      <c r="HY1767" s="19">
        <v>71.5</v>
      </c>
      <c r="HZ1767" s="19">
        <v>70.5</v>
      </c>
      <c r="IA1767" s="19">
        <v>69.5</v>
      </c>
      <c r="IB1767" s="19">
        <v>68.5</v>
      </c>
      <c r="IC1767" s="19">
        <v>67.5</v>
      </c>
    </row>
    <row r="1768">
      <c r="A1768" s="2" t="s">
        <v>6501</v>
      </c>
      <c r="B1768" s="2" t="s">
        <v>323</v>
      </c>
      <c r="C1768" s="2" t="s">
        <v>403</v>
      </c>
      <c r="D1768" s="2" t="s">
        <v>257</v>
      </c>
      <c r="E1768" s="2" t="s">
        <v>258</v>
      </c>
      <c r="F1768" s="2" t="s">
        <v>6496</v>
      </c>
      <c r="G1768" s="2" t="s">
        <v>6496</v>
      </c>
      <c r="H1768" s="2" t="s">
        <v>6496</v>
      </c>
      <c r="I1768" s="2" t="s">
        <v>405</v>
      </c>
      <c r="J1768" s="2" t="s">
        <v>394</v>
      </c>
      <c r="K1768" s="2" t="s">
        <v>6502</v>
      </c>
      <c r="L1768" s="3">
        <v>16.65</v>
      </c>
      <c r="M1768" s="3">
        <v>17.48</v>
      </c>
      <c r="N1768" s="3">
        <v>34.99</v>
      </c>
      <c r="O1768" s="2" t="s">
        <v>232</v>
      </c>
      <c r="P1768" s="2" t="s">
        <v>233</v>
      </c>
      <c r="Q1768" s="2" t="s">
        <v>234</v>
      </c>
      <c r="R1768" s="2" t="s">
        <v>235</v>
      </c>
      <c r="S1768" s="2" t="s">
        <v>6503</v>
      </c>
      <c r="T1768" s="2" t="s">
        <v>6499</v>
      </c>
      <c r="U1768" s="2" t="s">
        <v>552</v>
      </c>
      <c r="V1768" s="2" t="s">
        <v>1693</v>
      </c>
      <c r="W1768" s="2" t="s">
        <v>329</v>
      </c>
      <c r="X1768" s="2" t="s">
        <v>239</v>
      </c>
      <c r="Y1768" s="2" t="s">
        <v>6504</v>
      </c>
      <c r="Z1768" s="4">
        <v>208</v>
      </c>
      <c r="AA1768" s="4">
        <f>=ROUNDDOWN(49.5238095238095,0)</f>
      </c>
      <c r="AB1768" s="5">
        <v>4.2</v>
      </c>
      <c r="AC1768" s="2" t="s">
        <v>4811</v>
      </c>
      <c r="AD1768" s="4">
        <v>30</v>
      </c>
      <c r="AE1768" s="4">
        <v>30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235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235</v>
      </c>
      <c r="AW1768" s="8" t="s">
        <v>235</v>
      </c>
      <c r="AX1768" s="4" t="s">
        <v>235</v>
      </c>
      <c r="AY1768" s="8" t="s">
        <v>235</v>
      </c>
      <c r="AZ1768" s="7" t="s">
        <v>235</v>
      </c>
      <c r="BA1768" s="7" t="s">
        <v>235</v>
      </c>
      <c r="BB1768" s="7"/>
      <c r="BC1768" s="4" t="s">
        <v>235</v>
      </c>
      <c r="BD1768" s="8" t="s">
        <v>235</v>
      </c>
      <c r="BE1768" s="4" t="s">
        <v>235</v>
      </c>
      <c r="BF1768" s="8" t="s">
        <v>235</v>
      </c>
      <c r="BG1768" s="7" t="s">
        <v>235</v>
      </c>
      <c r="BH1768" s="7" t="s">
        <v>235</v>
      </c>
      <c r="BI1768" s="7"/>
      <c r="BJ1768" s="4">
        <v>14</v>
      </c>
      <c r="BK1768" s="8">
        <v>297.25</v>
      </c>
      <c r="BL1768" s="2" t="s">
        <v>6505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6500</v>
      </c>
      <c r="BV1768" s="2" t="s">
        <v>243</v>
      </c>
      <c r="BW1768" s="2" t="s">
        <v>235</v>
      </c>
      <c r="BX1768" s="2" t="s">
        <v>685</v>
      </c>
      <c r="BY1768" s="2" t="s">
        <v>245</v>
      </c>
      <c r="BZ1768" s="2" t="s">
        <v>232</v>
      </c>
      <c r="CA1768" s="2" t="s">
        <v>1872</v>
      </c>
      <c r="CB1768" s="2" t="s">
        <v>850</v>
      </c>
      <c r="CC1768" s="2" t="s">
        <v>248</v>
      </c>
      <c r="CD1768" s="2" t="s">
        <v>248</v>
      </c>
      <c r="CE1768" s="2" t="s">
        <v>235</v>
      </c>
      <c r="CF1768" s="4">
        <v>208</v>
      </c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>
        <v>30</v>
      </c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>
        <v>209</v>
      </c>
      <c r="GE1768" s="4">
        <v>222</v>
      </c>
      <c r="GF1768" s="4">
        <v>218</v>
      </c>
      <c r="GG1768" s="4">
        <v>214</v>
      </c>
      <c r="GH1768" s="4">
        <v>209</v>
      </c>
      <c r="GI1768" s="4">
        <v>202</v>
      </c>
      <c r="GJ1768" s="4">
        <v>188</v>
      </c>
      <c r="GK1768" s="4">
        <v>179</v>
      </c>
      <c r="GL1768" s="4">
        <v>170</v>
      </c>
      <c r="GM1768" s="4">
        <v>164</v>
      </c>
      <c r="GN1768" s="4">
        <v>158</v>
      </c>
      <c r="GO1768" s="4">
        <v>153</v>
      </c>
      <c r="GP1768" s="4">
        <v>146</v>
      </c>
      <c r="GQ1768" s="4">
        <v>132</v>
      </c>
      <c r="GR1768" s="4">
        <v>123</v>
      </c>
      <c r="GS1768" s="4">
        <v>114</v>
      </c>
      <c r="GT1768" s="4">
        <v>108</v>
      </c>
      <c r="GU1768" s="4">
        <v>102</v>
      </c>
      <c r="GV1768" s="4">
        <v>98</v>
      </c>
      <c r="GW1768" s="4">
        <v>94</v>
      </c>
      <c r="GX1768" s="4">
        <v>90</v>
      </c>
      <c r="GY1768" s="4">
        <v>86</v>
      </c>
      <c r="GZ1768" s="4">
        <v>82</v>
      </c>
      <c r="HA1768" s="4">
        <v>78</v>
      </c>
      <c r="HB1768" s="4">
        <v>74</v>
      </c>
      <c r="HC1768" s="4">
        <v>70</v>
      </c>
      <c r="HD1768" s="19">
        <v>26.1</v>
      </c>
      <c r="HE1768" s="19">
        <v>44.4</v>
      </c>
      <c r="HF1768" s="19">
        <v>27.3</v>
      </c>
      <c r="HG1768" s="19">
        <v>23.8</v>
      </c>
      <c r="HH1768" s="19">
        <v>20.9</v>
      </c>
      <c r="HI1768" s="19">
        <v>20.2</v>
      </c>
      <c r="HJ1768" s="19">
        <v>23.5</v>
      </c>
      <c r="HK1768" s="19">
        <v>29.8</v>
      </c>
      <c r="HL1768" s="19">
        <v>28.3</v>
      </c>
      <c r="HM1768" s="19">
        <v>20.5</v>
      </c>
      <c r="HN1768" s="19">
        <v>17.6</v>
      </c>
      <c r="HO1768" s="19">
        <v>15.3</v>
      </c>
      <c r="HP1768" s="19">
        <v>14.6</v>
      </c>
      <c r="HQ1768" s="19">
        <v>16.5</v>
      </c>
      <c r="HR1768" s="19">
        <v>20.5</v>
      </c>
      <c r="HS1768" s="19">
        <v>22.8</v>
      </c>
      <c r="HT1768" s="19">
        <v>27</v>
      </c>
      <c r="HU1768" s="19">
        <v>25.5</v>
      </c>
      <c r="HV1768" s="19">
        <v>24.5</v>
      </c>
      <c r="HW1768" s="19">
        <v>23.5</v>
      </c>
      <c r="HX1768" s="19">
        <v>22.5</v>
      </c>
      <c r="HY1768" s="19">
        <v>21.5</v>
      </c>
      <c r="HZ1768" s="19">
        <v>20.5</v>
      </c>
      <c r="IA1768" s="19">
        <v>19.5</v>
      </c>
      <c r="IB1768" s="19">
        <v>18.5</v>
      </c>
      <c r="IC1768" s="19">
        <v>17.5</v>
      </c>
    </row>
    <row r="1769">
      <c r="A1769" s="2" t="s">
        <v>6506</v>
      </c>
      <c r="B1769" s="2" t="s">
        <v>323</v>
      </c>
      <c r="C1769" s="2" t="s">
        <v>403</v>
      </c>
      <c r="D1769" s="2" t="s">
        <v>257</v>
      </c>
      <c r="E1769" s="2" t="s">
        <v>258</v>
      </c>
      <c r="F1769" s="2" t="s">
        <v>6496</v>
      </c>
      <c r="G1769" s="2" t="s">
        <v>6496</v>
      </c>
      <c r="H1769" s="2" t="s">
        <v>6496</v>
      </c>
      <c r="I1769" s="2" t="s">
        <v>405</v>
      </c>
      <c r="J1769" s="2" t="s">
        <v>250</v>
      </c>
      <c r="K1769" s="2" t="s">
        <v>6502</v>
      </c>
      <c r="L1769" s="3">
        <v>18.53</v>
      </c>
      <c r="M1769" s="3">
        <v>19.46</v>
      </c>
      <c r="N1769" s="3">
        <v>34.99</v>
      </c>
      <c r="O1769" s="2" t="s">
        <v>232</v>
      </c>
      <c r="P1769" s="2" t="s">
        <v>233</v>
      </c>
      <c r="Q1769" s="2" t="s">
        <v>234</v>
      </c>
      <c r="R1769" s="2" t="s">
        <v>235</v>
      </c>
      <c r="S1769" s="2" t="s">
        <v>6503</v>
      </c>
      <c r="T1769" s="2" t="s">
        <v>6499</v>
      </c>
      <c r="U1769" s="2" t="s">
        <v>264</v>
      </c>
      <c r="V1769" s="2" t="s">
        <v>1693</v>
      </c>
      <c r="W1769" s="2" t="s">
        <v>329</v>
      </c>
      <c r="X1769" s="2" t="s">
        <v>239</v>
      </c>
      <c r="Y1769" s="2" t="s">
        <v>6504</v>
      </c>
      <c r="Z1769" s="4">
        <v>394</v>
      </c>
      <c r="AA1769" s="4">
        <f>=ROUNDDOWN(52.5333333333333,0)</f>
      </c>
      <c r="AB1769" s="5">
        <v>7.5</v>
      </c>
      <c r="AC1769" s="2" t="s">
        <v>4811</v>
      </c>
      <c r="AD1769" s="4">
        <v>70</v>
      </c>
      <c r="AE1769" s="4">
        <v>70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235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235</v>
      </c>
      <c r="AW1769" s="8" t="s">
        <v>235</v>
      </c>
      <c r="AX1769" s="4" t="s">
        <v>235</v>
      </c>
      <c r="AY1769" s="8" t="s">
        <v>235</v>
      </c>
      <c r="AZ1769" s="7" t="s">
        <v>235</v>
      </c>
      <c r="BA1769" s="7" t="s">
        <v>235</v>
      </c>
      <c r="BB1769" s="7"/>
      <c r="BC1769" s="4" t="s">
        <v>235</v>
      </c>
      <c r="BD1769" s="8" t="s">
        <v>235</v>
      </c>
      <c r="BE1769" s="4" t="s">
        <v>235</v>
      </c>
      <c r="BF1769" s="8" t="s">
        <v>235</v>
      </c>
      <c r="BG1769" s="7" t="s">
        <v>235</v>
      </c>
      <c r="BH1769" s="7" t="s">
        <v>235</v>
      </c>
      <c r="BI1769" s="7"/>
      <c r="BJ1769" s="4">
        <v>46</v>
      </c>
      <c r="BK1769" s="8">
        <v>983.8</v>
      </c>
      <c r="BL1769" s="2" t="s">
        <v>6507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6500</v>
      </c>
      <c r="BV1769" s="2" t="s">
        <v>243</v>
      </c>
      <c r="BW1769" s="2" t="s">
        <v>235</v>
      </c>
      <c r="BX1769" s="2" t="s">
        <v>685</v>
      </c>
      <c r="BY1769" s="2" t="s">
        <v>245</v>
      </c>
      <c r="BZ1769" s="2" t="s">
        <v>232</v>
      </c>
      <c r="CA1769" s="2" t="s">
        <v>1872</v>
      </c>
      <c r="CB1769" s="2" t="s">
        <v>429</v>
      </c>
      <c r="CC1769" s="2" t="s">
        <v>248</v>
      </c>
      <c r="CD1769" s="2" t="s">
        <v>248</v>
      </c>
      <c r="CE1769" s="2" t="s">
        <v>235</v>
      </c>
      <c r="CF1769" s="4">
        <v>394</v>
      </c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>
        <v>70</v>
      </c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>
        <v>394</v>
      </c>
      <c r="GE1769" s="4">
        <v>436</v>
      </c>
      <c r="GF1769" s="4">
        <v>429</v>
      </c>
      <c r="GG1769" s="4">
        <v>422</v>
      </c>
      <c r="GH1769" s="4">
        <v>413</v>
      </c>
      <c r="GI1769" s="4">
        <v>401</v>
      </c>
      <c r="GJ1769" s="4">
        <v>379</v>
      </c>
      <c r="GK1769" s="4">
        <v>365</v>
      </c>
      <c r="GL1769" s="4">
        <v>350</v>
      </c>
      <c r="GM1769" s="4">
        <v>339</v>
      </c>
      <c r="GN1769" s="4">
        <v>330</v>
      </c>
      <c r="GO1769" s="4">
        <v>320</v>
      </c>
      <c r="GP1769" s="4">
        <v>307</v>
      </c>
      <c r="GQ1769" s="4">
        <v>280</v>
      </c>
      <c r="GR1769" s="4">
        <v>263</v>
      </c>
      <c r="GS1769" s="4">
        <v>246</v>
      </c>
      <c r="GT1769" s="4">
        <v>234</v>
      </c>
      <c r="GU1769" s="4">
        <v>224</v>
      </c>
      <c r="GV1769" s="4">
        <v>216</v>
      </c>
      <c r="GW1769" s="4">
        <v>209</v>
      </c>
      <c r="GX1769" s="4">
        <v>202</v>
      </c>
      <c r="GY1769" s="4">
        <v>195</v>
      </c>
      <c r="GZ1769" s="4">
        <v>188</v>
      </c>
      <c r="HA1769" s="4">
        <v>181</v>
      </c>
      <c r="HB1769" s="4">
        <v>174</v>
      </c>
      <c r="HC1769" s="4">
        <v>166</v>
      </c>
      <c r="HD1769" s="19">
        <v>30.3</v>
      </c>
      <c r="HE1769" s="19">
        <v>48.4</v>
      </c>
      <c r="HF1769" s="19">
        <v>35.8</v>
      </c>
      <c r="HG1769" s="19">
        <v>30.1</v>
      </c>
      <c r="HH1769" s="19">
        <v>25.8</v>
      </c>
      <c r="HI1769" s="19">
        <v>25.1</v>
      </c>
      <c r="HJ1769" s="19">
        <v>31.6</v>
      </c>
      <c r="HK1769" s="19">
        <v>33.2</v>
      </c>
      <c r="HL1769" s="19">
        <v>31.8</v>
      </c>
      <c r="HM1769" s="19">
        <v>22.6</v>
      </c>
      <c r="HN1769" s="19">
        <v>19.4</v>
      </c>
      <c r="HO1769" s="19">
        <v>17.8</v>
      </c>
      <c r="HP1769" s="19">
        <v>17.1</v>
      </c>
      <c r="HQ1769" s="19">
        <v>20</v>
      </c>
      <c r="HR1769" s="19">
        <v>21.9</v>
      </c>
      <c r="HS1769" s="19">
        <v>27.3</v>
      </c>
      <c r="HT1769" s="19">
        <v>29.3</v>
      </c>
      <c r="HU1769" s="19">
        <v>32</v>
      </c>
      <c r="HV1769" s="19">
        <v>30.9</v>
      </c>
      <c r="HW1769" s="19">
        <v>29.9</v>
      </c>
      <c r="HX1769" s="19">
        <v>28.9</v>
      </c>
      <c r="HY1769" s="19">
        <v>27.9</v>
      </c>
      <c r="HZ1769" s="19">
        <v>26.9</v>
      </c>
      <c r="IA1769" s="19">
        <v>25.9</v>
      </c>
      <c r="IB1769" s="19">
        <v>24.9</v>
      </c>
      <c r="IC1769" s="19">
        <v>23.7</v>
      </c>
    </row>
    <row r="1770">
      <c r="A1770" s="2" t="s">
        <v>6508</v>
      </c>
      <c r="B1770" s="2" t="s">
        <v>323</v>
      </c>
      <c r="C1770" s="2" t="s">
        <v>403</v>
      </c>
      <c r="D1770" s="2" t="s">
        <v>257</v>
      </c>
      <c r="E1770" s="2" t="s">
        <v>258</v>
      </c>
      <c r="F1770" s="2" t="s">
        <v>6496</v>
      </c>
      <c r="G1770" s="2" t="s">
        <v>6496</v>
      </c>
      <c r="H1770" s="2" t="s">
        <v>6496</v>
      </c>
      <c r="I1770" s="2" t="s">
        <v>405</v>
      </c>
      <c r="J1770" s="2" t="s">
        <v>270</v>
      </c>
      <c r="K1770" s="2" t="s">
        <v>6502</v>
      </c>
      <c r="L1770" s="3">
        <v>24.11</v>
      </c>
      <c r="M1770" s="3">
        <v>25.32</v>
      </c>
      <c r="N1770" s="3">
        <v>49.99</v>
      </c>
      <c r="O1770" s="2" t="s">
        <v>232</v>
      </c>
      <c r="P1770" s="2" t="s">
        <v>233</v>
      </c>
      <c r="Q1770" s="2" t="s">
        <v>234</v>
      </c>
      <c r="R1770" s="2" t="s">
        <v>235</v>
      </c>
      <c r="S1770" s="2" t="s">
        <v>6503</v>
      </c>
      <c r="T1770" s="2" t="s">
        <v>6499</v>
      </c>
      <c r="U1770" s="2" t="s">
        <v>264</v>
      </c>
      <c r="V1770" s="2" t="s">
        <v>1693</v>
      </c>
      <c r="W1770" s="2" t="s">
        <v>329</v>
      </c>
      <c r="X1770" s="2" t="s">
        <v>239</v>
      </c>
      <c r="Y1770" s="2" t="s">
        <v>6504</v>
      </c>
      <c r="Z1770" s="4">
        <v>133</v>
      </c>
      <c r="AA1770" s="4">
        <f>=ROUNDDOWN(29.5555555555556,0)</f>
      </c>
      <c r="AB1770" s="5">
        <v>4.5</v>
      </c>
      <c r="AC1770" s="2" t="s">
        <v>4811</v>
      </c>
      <c r="AD1770" s="4">
        <v>140</v>
      </c>
      <c r="AE1770" s="4">
        <v>140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235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235</v>
      </c>
      <c r="AW1770" s="8" t="s">
        <v>235</v>
      </c>
      <c r="AX1770" s="4" t="s">
        <v>235</v>
      </c>
      <c r="AY1770" s="8" t="s">
        <v>235</v>
      </c>
      <c r="AZ1770" s="7" t="s">
        <v>235</v>
      </c>
      <c r="BA1770" s="7" t="s">
        <v>235</v>
      </c>
      <c r="BB1770" s="7"/>
      <c r="BC1770" s="4" t="s">
        <v>235</v>
      </c>
      <c r="BD1770" s="8" t="s">
        <v>235</v>
      </c>
      <c r="BE1770" s="4" t="s">
        <v>235</v>
      </c>
      <c r="BF1770" s="8" t="s">
        <v>235</v>
      </c>
      <c r="BG1770" s="7" t="s">
        <v>235</v>
      </c>
      <c r="BH1770" s="7" t="s">
        <v>235</v>
      </c>
      <c r="BI1770" s="7"/>
      <c r="BJ1770" s="4">
        <v>20</v>
      </c>
      <c r="BK1770" s="8">
        <v>555.82</v>
      </c>
      <c r="BL1770" s="2" t="s">
        <v>6509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6500</v>
      </c>
      <c r="BV1770" s="2" t="s">
        <v>243</v>
      </c>
      <c r="BW1770" s="2" t="s">
        <v>235</v>
      </c>
      <c r="BX1770" s="2" t="s">
        <v>685</v>
      </c>
      <c r="BY1770" s="2" t="s">
        <v>245</v>
      </c>
      <c r="BZ1770" s="2" t="s">
        <v>232</v>
      </c>
      <c r="CA1770" s="2" t="s">
        <v>1872</v>
      </c>
      <c r="CB1770" s="2" t="s">
        <v>6510</v>
      </c>
      <c r="CC1770" s="2" t="s">
        <v>248</v>
      </c>
      <c r="CD1770" s="2" t="s">
        <v>248</v>
      </c>
      <c r="CE1770" s="2" t="s">
        <v>235</v>
      </c>
      <c r="CF1770" s="4">
        <v>133</v>
      </c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>
        <v>140</v>
      </c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>
        <v>134</v>
      </c>
      <c r="GE1770" s="4">
        <v>271</v>
      </c>
      <c r="GF1770" s="4">
        <v>268</v>
      </c>
      <c r="GG1770" s="4">
        <v>265</v>
      </c>
      <c r="GH1770" s="4">
        <v>260</v>
      </c>
      <c r="GI1770" s="4">
        <v>255</v>
      </c>
      <c r="GJ1770" s="4">
        <v>246</v>
      </c>
      <c r="GK1770" s="4">
        <v>240</v>
      </c>
      <c r="GL1770" s="4">
        <v>235</v>
      </c>
      <c r="GM1770" s="4">
        <v>230</v>
      </c>
      <c r="GN1770" s="4">
        <v>225</v>
      </c>
      <c r="GO1770" s="4">
        <v>219</v>
      </c>
      <c r="GP1770" s="4">
        <v>212</v>
      </c>
      <c r="GQ1770" s="4">
        <v>194</v>
      </c>
      <c r="GR1770" s="4">
        <v>185</v>
      </c>
      <c r="GS1770" s="4">
        <v>178</v>
      </c>
      <c r="GT1770" s="4">
        <v>172</v>
      </c>
      <c r="GU1770" s="4">
        <v>166</v>
      </c>
      <c r="GV1770" s="4">
        <v>162</v>
      </c>
      <c r="GW1770" s="4">
        <v>158</v>
      </c>
      <c r="GX1770" s="4">
        <v>154</v>
      </c>
      <c r="GY1770" s="4">
        <v>150</v>
      </c>
      <c r="GZ1770" s="4">
        <v>146</v>
      </c>
      <c r="HA1770" s="4">
        <v>142</v>
      </c>
      <c r="HB1770" s="4">
        <v>138</v>
      </c>
      <c r="HC1770" s="4">
        <v>133</v>
      </c>
      <c r="HD1770" s="19">
        <v>33.5</v>
      </c>
      <c r="HE1770" s="19">
        <v>67.8</v>
      </c>
      <c r="HF1770" s="19">
        <v>44.7</v>
      </c>
      <c r="HG1770" s="19">
        <v>44.2</v>
      </c>
      <c r="HH1770" s="19">
        <v>43.3</v>
      </c>
      <c r="HI1770" s="19">
        <v>42.5</v>
      </c>
      <c r="HJ1770" s="19">
        <v>49.2</v>
      </c>
      <c r="HK1770" s="19">
        <v>48</v>
      </c>
      <c r="HL1770" s="19">
        <v>39.2</v>
      </c>
      <c r="HM1770" s="19">
        <v>25.6</v>
      </c>
      <c r="HN1770" s="19">
        <v>22.5</v>
      </c>
      <c r="HO1770" s="19">
        <v>21.9</v>
      </c>
      <c r="HP1770" s="19">
        <v>21.2</v>
      </c>
      <c r="HQ1770" s="19">
        <v>27.7</v>
      </c>
      <c r="HR1770" s="19">
        <v>30.8</v>
      </c>
      <c r="HS1770" s="19">
        <v>35.6</v>
      </c>
      <c r="HT1770" s="19">
        <v>43</v>
      </c>
      <c r="HU1770" s="19">
        <v>41.5</v>
      </c>
      <c r="HV1770" s="19">
        <v>40.5</v>
      </c>
      <c r="HW1770" s="19">
        <v>39.5</v>
      </c>
      <c r="HX1770" s="19">
        <v>38.5</v>
      </c>
      <c r="HY1770" s="19">
        <v>37.5</v>
      </c>
      <c r="HZ1770" s="19">
        <v>36.5</v>
      </c>
      <c r="IA1770" s="19">
        <v>35.5</v>
      </c>
      <c r="IB1770" s="19">
        <v>34.5</v>
      </c>
      <c r="IC1770" s="19">
        <v>33.3</v>
      </c>
    </row>
    <row r="1771">
      <c r="A1771" s="2" t="s">
        <v>6511</v>
      </c>
      <c r="B1771" s="2" t="s">
        <v>323</v>
      </c>
      <c r="C1771" s="2" t="s">
        <v>403</v>
      </c>
      <c r="D1771" s="2" t="s">
        <v>257</v>
      </c>
      <c r="E1771" s="2" t="s">
        <v>258</v>
      </c>
      <c r="F1771" s="2" t="s">
        <v>6496</v>
      </c>
      <c r="G1771" s="2" t="s">
        <v>6496</v>
      </c>
      <c r="H1771" s="2" t="s">
        <v>6496</v>
      </c>
      <c r="I1771" s="2" t="s">
        <v>405</v>
      </c>
      <c r="J1771" s="2" t="s">
        <v>394</v>
      </c>
      <c r="K1771" s="2" t="s">
        <v>6512</v>
      </c>
      <c r="L1771" s="3">
        <v>16.65</v>
      </c>
      <c r="M1771" s="3">
        <v>17.48</v>
      </c>
      <c r="N1771" s="3">
        <v>34.99</v>
      </c>
      <c r="O1771" s="2" t="s">
        <v>232</v>
      </c>
      <c r="P1771" s="2" t="s">
        <v>233</v>
      </c>
      <c r="Q1771" s="2" t="s">
        <v>234</v>
      </c>
      <c r="R1771" s="2" t="s">
        <v>235</v>
      </c>
      <c r="S1771" s="2" t="s">
        <v>6513</v>
      </c>
      <c r="T1771" s="2" t="s">
        <v>6499</v>
      </c>
      <c r="U1771" s="2" t="s">
        <v>552</v>
      </c>
      <c r="V1771" s="2" t="s">
        <v>1693</v>
      </c>
      <c r="W1771" s="2" t="s">
        <v>329</v>
      </c>
      <c r="X1771" s="2" t="s">
        <v>239</v>
      </c>
      <c r="Y1771" s="2" t="s">
        <v>6504</v>
      </c>
      <c r="Z1771" s="4">
        <v>165</v>
      </c>
      <c r="AA1771" s="4">
        <f>=ROUNDDOWN(41.25,0)</f>
      </c>
      <c r="AB1771" s="5">
        <v>4</v>
      </c>
      <c r="AC1771" s="2" t="s">
        <v>4811</v>
      </c>
      <c r="AD1771" s="4">
        <v>40</v>
      </c>
      <c r="AE1771" s="4">
        <v>40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235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235</v>
      </c>
      <c r="AW1771" s="8" t="s">
        <v>235</v>
      </c>
      <c r="AX1771" s="4" t="s">
        <v>235</v>
      </c>
      <c r="AY1771" s="8" t="s">
        <v>235</v>
      </c>
      <c r="AZ1771" s="7" t="s">
        <v>235</v>
      </c>
      <c r="BA1771" s="7" t="s">
        <v>235</v>
      </c>
      <c r="BB1771" s="7"/>
      <c r="BC1771" s="4" t="s">
        <v>235</v>
      </c>
      <c r="BD1771" s="8" t="s">
        <v>235</v>
      </c>
      <c r="BE1771" s="4" t="s">
        <v>235</v>
      </c>
      <c r="BF1771" s="8" t="s">
        <v>235</v>
      </c>
      <c r="BG1771" s="7" t="s">
        <v>235</v>
      </c>
      <c r="BH1771" s="7" t="s">
        <v>235</v>
      </c>
      <c r="BI1771" s="7"/>
      <c r="BJ1771" s="4">
        <v>27</v>
      </c>
      <c r="BK1771" s="8">
        <v>514.12</v>
      </c>
      <c r="BL1771" s="2" t="s">
        <v>6514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6500</v>
      </c>
      <c r="BV1771" s="2" t="s">
        <v>243</v>
      </c>
      <c r="BW1771" s="2" t="s">
        <v>235</v>
      </c>
      <c r="BX1771" s="2" t="s">
        <v>685</v>
      </c>
      <c r="BY1771" s="2" t="s">
        <v>245</v>
      </c>
      <c r="BZ1771" s="2" t="s">
        <v>232</v>
      </c>
      <c r="CA1771" s="2" t="s">
        <v>1872</v>
      </c>
      <c r="CB1771" s="2" t="s">
        <v>1856</v>
      </c>
      <c r="CC1771" s="2" t="s">
        <v>248</v>
      </c>
      <c r="CD1771" s="2" t="s">
        <v>248</v>
      </c>
      <c r="CE1771" s="2" t="s">
        <v>235</v>
      </c>
      <c r="CF1771" s="4">
        <v>165</v>
      </c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>
        <v>40</v>
      </c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>
        <v>165</v>
      </c>
      <c r="GE1771" s="4">
        <v>203</v>
      </c>
      <c r="GF1771" s="4">
        <v>201</v>
      </c>
      <c r="GG1771" s="4">
        <v>199</v>
      </c>
      <c r="GH1771" s="4">
        <v>194</v>
      </c>
      <c r="GI1771" s="4">
        <v>187</v>
      </c>
      <c r="GJ1771" s="4">
        <v>173</v>
      </c>
      <c r="GK1771" s="4">
        <v>164</v>
      </c>
      <c r="GL1771" s="4">
        <v>155</v>
      </c>
      <c r="GM1771" s="4">
        <v>149</v>
      </c>
      <c r="GN1771" s="4">
        <v>143</v>
      </c>
      <c r="GO1771" s="4">
        <v>138</v>
      </c>
      <c r="GP1771" s="4">
        <v>131</v>
      </c>
      <c r="GQ1771" s="4">
        <v>117</v>
      </c>
      <c r="GR1771" s="4">
        <v>108</v>
      </c>
      <c r="GS1771" s="4">
        <v>99</v>
      </c>
      <c r="GT1771" s="4">
        <v>93</v>
      </c>
      <c r="GU1771" s="4">
        <v>87</v>
      </c>
      <c r="GV1771" s="4">
        <v>83</v>
      </c>
      <c r="GW1771" s="4">
        <v>79</v>
      </c>
      <c r="GX1771" s="4">
        <v>75</v>
      </c>
      <c r="GY1771" s="4">
        <v>71</v>
      </c>
      <c r="GZ1771" s="4">
        <v>67</v>
      </c>
      <c r="HA1771" s="4">
        <v>63</v>
      </c>
      <c r="HB1771" s="4">
        <v>59</v>
      </c>
      <c r="HC1771" s="4">
        <v>55</v>
      </c>
      <c r="HD1771" s="19">
        <v>55</v>
      </c>
      <c r="HE1771" s="19">
        <v>50.8</v>
      </c>
      <c r="HF1771" s="19">
        <v>28.7</v>
      </c>
      <c r="HG1771" s="19">
        <v>22.1</v>
      </c>
      <c r="HH1771" s="19">
        <v>19.4</v>
      </c>
      <c r="HI1771" s="19">
        <v>18.7</v>
      </c>
      <c r="HJ1771" s="19">
        <v>21.6</v>
      </c>
      <c r="HK1771" s="19">
        <v>27.3</v>
      </c>
      <c r="HL1771" s="19">
        <v>25.8</v>
      </c>
      <c r="HM1771" s="19">
        <v>18.6</v>
      </c>
      <c r="HN1771" s="19">
        <v>15.9</v>
      </c>
      <c r="HO1771" s="19">
        <v>13.8</v>
      </c>
      <c r="HP1771" s="19">
        <v>13.1</v>
      </c>
      <c r="HQ1771" s="19">
        <v>14.6</v>
      </c>
      <c r="HR1771" s="19">
        <v>18</v>
      </c>
      <c r="HS1771" s="19">
        <v>19.8</v>
      </c>
      <c r="HT1771" s="19">
        <v>23.3</v>
      </c>
      <c r="HU1771" s="19">
        <v>21.8</v>
      </c>
      <c r="HV1771" s="19">
        <v>20.8</v>
      </c>
      <c r="HW1771" s="19">
        <v>19.8</v>
      </c>
      <c r="HX1771" s="19">
        <v>18.8</v>
      </c>
      <c r="HY1771" s="19">
        <v>17.8</v>
      </c>
      <c r="HZ1771" s="19">
        <v>16.8</v>
      </c>
      <c r="IA1771" s="19">
        <v>15.8</v>
      </c>
      <c r="IB1771" s="19">
        <v>14.8</v>
      </c>
      <c r="IC1771" s="19">
        <v>13.8</v>
      </c>
    </row>
    <row r="1772">
      <c r="A1772" s="2" t="s">
        <v>6515</v>
      </c>
      <c r="B1772" s="2" t="s">
        <v>323</v>
      </c>
      <c r="C1772" s="2" t="s">
        <v>403</v>
      </c>
      <c r="D1772" s="2" t="s">
        <v>274</v>
      </c>
      <c r="E1772" s="2" t="s">
        <v>275</v>
      </c>
      <c r="F1772" s="2" t="s">
        <v>6496</v>
      </c>
      <c r="G1772" s="2" t="s">
        <v>6496</v>
      </c>
      <c r="H1772" s="2" t="s">
        <v>6496</v>
      </c>
      <c r="I1772" s="2" t="s">
        <v>6516</v>
      </c>
      <c r="J1772" s="2" t="s">
        <v>270</v>
      </c>
      <c r="K1772" s="2" t="s">
        <v>6512</v>
      </c>
      <c r="L1772" s="3">
        <v>6.73</v>
      </c>
      <c r="M1772" s="3">
        <v>7.07</v>
      </c>
      <c r="N1772" s="3">
        <v>14.99</v>
      </c>
      <c r="O1772" s="2" t="s">
        <v>232</v>
      </c>
      <c r="P1772" s="2" t="s">
        <v>233</v>
      </c>
      <c r="Q1772" s="2" t="s">
        <v>234</v>
      </c>
      <c r="R1772" s="2" t="s">
        <v>235</v>
      </c>
      <c r="S1772" s="2" t="s">
        <v>6513</v>
      </c>
      <c r="T1772" s="2" t="s">
        <v>6499</v>
      </c>
      <c r="U1772" s="2" t="s">
        <v>278</v>
      </c>
      <c r="V1772" s="2" t="s">
        <v>1693</v>
      </c>
      <c r="W1772" s="2" t="s">
        <v>329</v>
      </c>
      <c r="X1772" s="2" t="s">
        <v>239</v>
      </c>
      <c r="Y1772" s="2" t="s">
        <v>6504</v>
      </c>
      <c r="Z1772" s="4">
        <v>425</v>
      </c>
      <c r="AA1772" s="4">
        <f>=ROUNDDOWN(42.9292929292929,0)</f>
      </c>
      <c r="AB1772" s="5">
        <v>9.9</v>
      </c>
      <c r="AC1772" s="2" t="s">
        <v>235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235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235</v>
      </c>
      <c r="AW1772" s="8" t="s">
        <v>235</v>
      </c>
      <c r="AX1772" s="4" t="s">
        <v>235</v>
      </c>
      <c r="AY1772" s="8" t="s">
        <v>235</v>
      </c>
      <c r="AZ1772" s="7" t="s">
        <v>235</v>
      </c>
      <c r="BA1772" s="7" t="s">
        <v>235</v>
      </c>
      <c r="BB1772" s="7"/>
      <c r="BC1772" s="4" t="s">
        <v>235</v>
      </c>
      <c r="BD1772" s="8" t="s">
        <v>235</v>
      </c>
      <c r="BE1772" s="4" t="s">
        <v>235</v>
      </c>
      <c r="BF1772" s="8" t="s">
        <v>235</v>
      </c>
      <c r="BG1772" s="7" t="s">
        <v>235</v>
      </c>
      <c r="BH1772" s="7" t="s">
        <v>235</v>
      </c>
      <c r="BI1772" s="7"/>
      <c r="BJ1772" s="4">
        <v>39</v>
      </c>
      <c r="BK1772" s="8">
        <v>316.19</v>
      </c>
      <c r="BL1772" s="2" t="s">
        <v>796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6517</v>
      </c>
      <c r="BV1772" s="2" t="s">
        <v>243</v>
      </c>
      <c r="BW1772" s="2" t="s">
        <v>235</v>
      </c>
      <c r="BX1772" s="2" t="s">
        <v>244</v>
      </c>
      <c r="BY1772" s="2" t="s">
        <v>245</v>
      </c>
      <c r="BZ1772" s="2" t="s">
        <v>232</v>
      </c>
      <c r="CA1772" s="2" t="s">
        <v>6518</v>
      </c>
      <c r="CB1772" s="2" t="s">
        <v>6519</v>
      </c>
      <c r="CC1772" s="2" t="s">
        <v>248</v>
      </c>
      <c r="CD1772" s="2" t="s">
        <v>248</v>
      </c>
      <c r="CE1772" s="2" t="s">
        <v>235</v>
      </c>
      <c r="CF1772" s="4">
        <v>173</v>
      </c>
      <c r="CG1772" s="4"/>
      <c r="CH1772" s="4"/>
      <c r="CI1772" s="4">
        <v>252</v>
      </c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>
        <v>428</v>
      </c>
      <c r="GE1772" s="4">
        <v>401</v>
      </c>
      <c r="GF1772" s="4">
        <v>391</v>
      </c>
      <c r="GG1772" s="4">
        <v>381</v>
      </c>
      <c r="GH1772" s="4">
        <v>369</v>
      </c>
      <c r="GI1772" s="4">
        <v>356</v>
      </c>
      <c r="GJ1772" s="4">
        <v>335</v>
      </c>
      <c r="GK1772" s="4">
        <v>316</v>
      </c>
      <c r="GL1772" s="4">
        <v>301</v>
      </c>
      <c r="GM1772" s="4">
        <v>289</v>
      </c>
      <c r="GN1772" s="4">
        <v>275</v>
      </c>
      <c r="GO1772" s="4">
        <v>257</v>
      </c>
      <c r="GP1772" s="4">
        <v>235</v>
      </c>
      <c r="GQ1772" s="4">
        <v>179</v>
      </c>
      <c r="GR1772" s="4">
        <v>134</v>
      </c>
      <c r="GS1772" s="4">
        <v>103</v>
      </c>
      <c r="GT1772" s="4">
        <v>83</v>
      </c>
      <c r="GU1772" s="4">
        <v>64</v>
      </c>
      <c r="GV1772" s="4">
        <v>52</v>
      </c>
      <c r="GW1772" s="4">
        <v>40</v>
      </c>
      <c r="GX1772" s="4">
        <v>28</v>
      </c>
      <c r="GY1772" s="4">
        <v>17</v>
      </c>
      <c r="GZ1772" s="4">
        <v>6</v>
      </c>
      <c r="HA1772" s="4"/>
      <c r="HB1772" s="4"/>
      <c r="HC1772" s="4"/>
      <c r="HD1772" s="19">
        <v>28.5</v>
      </c>
      <c r="HE1772" s="19">
        <v>36.5</v>
      </c>
      <c r="HF1772" s="19">
        <v>27.9</v>
      </c>
      <c r="HG1772" s="19">
        <v>23.8</v>
      </c>
      <c r="HH1772" s="19">
        <v>21.7</v>
      </c>
      <c r="HI1772" s="19">
        <v>20.9</v>
      </c>
      <c r="HJ1772" s="19">
        <v>22.3</v>
      </c>
      <c r="HK1772" s="19">
        <v>21.1</v>
      </c>
      <c r="HL1772" s="19">
        <v>18.8</v>
      </c>
      <c r="HM1772" s="19">
        <v>10.3</v>
      </c>
      <c r="HN1772" s="19">
        <v>7.9</v>
      </c>
      <c r="HO1772" s="19">
        <v>6.8</v>
      </c>
      <c r="HP1772" s="19">
        <v>6.2</v>
      </c>
      <c r="HQ1772" s="19">
        <v>6.2</v>
      </c>
      <c r="HR1772" s="19">
        <v>6.7</v>
      </c>
      <c r="HS1772" s="19">
        <v>6.4</v>
      </c>
      <c r="HT1772" s="19">
        <v>5.9</v>
      </c>
      <c r="HU1772" s="19">
        <v>5.3</v>
      </c>
      <c r="HV1772" s="19">
        <v>4.3</v>
      </c>
      <c r="HW1772" s="19">
        <v>3.6</v>
      </c>
      <c r="HX1772" s="19">
        <v>2.5</v>
      </c>
      <c r="HY1772" s="19">
        <v>1.5</v>
      </c>
      <c r="HZ1772" s="19">
        <v>0.5</v>
      </c>
      <c r="IA1772" s="20">
        <v>0</v>
      </c>
      <c r="IB1772" s="20">
        <v>0</v>
      </c>
      <c r="IC1772" s="20">
        <v>0</v>
      </c>
    </row>
    <row r="1773">
      <c r="A1773" s="2" t="s">
        <v>6520</v>
      </c>
      <c r="B1773" s="2" t="s">
        <v>871</v>
      </c>
      <c r="C1773" s="2" t="s">
        <v>324</v>
      </c>
      <c r="D1773" s="2" t="s">
        <v>1452</v>
      </c>
      <c r="E1773" s="2" t="s">
        <v>1895</v>
      </c>
      <c r="F1773" s="2" t="s">
        <v>6521</v>
      </c>
      <c r="G1773" s="2" t="s">
        <v>6522</v>
      </c>
      <c r="H1773" s="2" t="s">
        <v>6523</v>
      </c>
      <c r="I1773" s="2" t="s">
        <v>6524</v>
      </c>
      <c r="J1773" s="2" t="s">
        <v>365</v>
      </c>
      <c r="K1773" s="2" t="s">
        <v>6525</v>
      </c>
      <c r="L1773" s="3">
        <v>37.7</v>
      </c>
      <c r="M1773" s="3">
        <v>39.58</v>
      </c>
      <c r="N1773" s="3">
        <v>79.99</v>
      </c>
      <c r="O1773" s="2" t="s">
        <v>232</v>
      </c>
      <c r="P1773" s="2" t="s">
        <v>1282</v>
      </c>
      <c r="Q1773" s="2" t="s">
        <v>234</v>
      </c>
      <c r="R1773" s="2" t="s">
        <v>235</v>
      </c>
      <c r="S1773" s="2" t="s">
        <v>6526</v>
      </c>
      <c r="T1773" s="2" t="s">
        <v>501</v>
      </c>
      <c r="U1773" s="2" t="s">
        <v>552</v>
      </c>
      <c r="V1773" s="2" t="s">
        <v>1394</v>
      </c>
      <c r="W1773" s="2" t="s">
        <v>671</v>
      </c>
      <c r="X1773" s="2" t="s">
        <v>239</v>
      </c>
      <c r="Y1773" s="2" t="s">
        <v>6527</v>
      </c>
      <c r="Z1773" s="4">
        <v>248</v>
      </c>
      <c r="AA1773" s="4">
        <f>=ROUNDDOWN(35.4285714285714,0)</f>
      </c>
      <c r="AB1773" s="5">
        <v>7</v>
      </c>
      <c r="AC1773" s="2" t="s">
        <v>3646</v>
      </c>
      <c r="AD1773" s="4">
        <v>200</v>
      </c>
      <c r="AE1773" s="4">
        <v>200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235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235</v>
      </c>
      <c r="BD1773" s="8" t="s">
        <v>235</v>
      </c>
      <c r="BE1773" s="4" t="s">
        <v>235</v>
      </c>
      <c r="BF1773" s="8" t="s">
        <v>235</v>
      </c>
      <c r="BG1773" s="7" t="s">
        <v>235</v>
      </c>
      <c r="BH1773" s="7" t="s">
        <v>235</v>
      </c>
      <c r="BI1773" s="7"/>
      <c r="BJ1773" s="4">
        <v>17</v>
      </c>
      <c r="BK1773" s="8">
        <v>706.46</v>
      </c>
      <c r="BL1773" s="2" t="s">
        <v>6528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6529</v>
      </c>
      <c r="BV1773" s="2" t="s">
        <v>243</v>
      </c>
      <c r="BW1773" s="2" t="s">
        <v>235</v>
      </c>
      <c r="BX1773" s="2" t="s">
        <v>383</v>
      </c>
      <c r="BY1773" s="2" t="s">
        <v>245</v>
      </c>
      <c r="BZ1773" s="2" t="s">
        <v>232</v>
      </c>
      <c r="CA1773" s="2" t="s">
        <v>1489</v>
      </c>
      <c r="CB1773" s="2" t="s">
        <v>1034</v>
      </c>
      <c r="CC1773" s="2" t="s">
        <v>248</v>
      </c>
      <c r="CD1773" s="2" t="s">
        <v>248</v>
      </c>
      <c r="CE1773" s="2" t="s">
        <v>235</v>
      </c>
      <c r="CF1773" s="4"/>
      <c r="CG1773" s="4">
        <v>48</v>
      </c>
      <c r="CH1773" s="4"/>
      <c r="CI1773" s="4"/>
      <c r="CJ1773" s="4"/>
      <c r="CK1773" s="4"/>
      <c r="CL1773" s="4"/>
      <c r="CM1773" s="4"/>
      <c r="CN1773" s="4"/>
      <c r="CO1773" s="4"/>
      <c r="CP1773" s="4"/>
      <c r="CQ1773" s="4">
        <v>200</v>
      </c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>
        <v>200</v>
      </c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>
        <v>52</v>
      </c>
      <c r="GE1773" s="4">
        <v>234</v>
      </c>
      <c r="GF1773" s="4">
        <v>230</v>
      </c>
      <c r="GG1773" s="4">
        <v>225</v>
      </c>
      <c r="GH1773" s="4">
        <v>218</v>
      </c>
      <c r="GI1773" s="4">
        <v>215</v>
      </c>
      <c r="GJ1773" s="4">
        <v>207</v>
      </c>
      <c r="GK1773" s="4">
        <v>198</v>
      </c>
      <c r="GL1773" s="4">
        <v>193</v>
      </c>
      <c r="GM1773" s="4">
        <v>187</v>
      </c>
      <c r="GN1773" s="4">
        <v>182</v>
      </c>
      <c r="GO1773" s="4">
        <v>176</v>
      </c>
      <c r="GP1773" s="4">
        <v>169</v>
      </c>
      <c r="GQ1773" s="4">
        <v>162</v>
      </c>
      <c r="GR1773" s="4">
        <v>147</v>
      </c>
      <c r="GS1773" s="4">
        <v>138</v>
      </c>
      <c r="GT1773" s="4">
        <v>131</v>
      </c>
      <c r="GU1773" s="4">
        <v>127</v>
      </c>
      <c r="GV1773" s="4">
        <v>120</v>
      </c>
      <c r="GW1773" s="4">
        <v>112</v>
      </c>
      <c r="GX1773" s="4">
        <v>107</v>
      </c>
      <c r="GY1773" s="4">
        <v>102</v>
      </c>
      <c r="GZ1773" s="4">
        <v>96</v>
      </c>
      <c r="HA1773" s="4">
        <v>90</v>
      </c>
      <c r="HB1773" s="4">
        <v>83</v>
      </c>
      <c r="HC1773" s="4">
        <v>76</v>
      </c>
      <c r="HD1773" s="19">
        <v>6.5</v>
      </c>
      <c r="HE1773" s="19">
        <v>46.8</v>
      </c>
      <c r="HF1773" s="19">
        <v>38.3</v>
      </c>
      <c r="HG1773" s="19">
        <v>32.1</v>
      </c>
      <c r="HH1773" s="19">
        <v>36.3</v>
      </c>
      <c r="HI1773" s="19">
        <v>30.7</v>
      </c>
      <c r="HJ1773" s="19">
        <v>34.5</v>
      </c>
      <c r="HK1773" s="19">
        <v>33</v>
      </c>
      <c r="HL1773" s="19">
        <v>32.2</v>
      </c>
      <c r="HM1773" s="19">
        <v>31.2</v>
      </c>
      <c r="HN1773" s="19">
        <v>20.2</v>
      </c>
      <c r="HO1773" s="19">
        <v>17.6</v>
      </c>
      <c r="HP1773" s="19">
        <v>16.9</v>
      </c>
      <c r="HQ1773" s="19">
        <v>18</v>
      </c>
      <c r="HR1773" s="19">
        <v>21</v>
      </c>
      <c r="HS1773" s="19">
        <v>23</v>
      </c>
      <c r="HT1773" s="19">
        <v>21.8</v>
      </c>
      <c r="HU1773" s="19">
        <v>21.2</v>
      </c>
      <c r="HV1773" s="19">
        <v>20</v>
      </c>
      <c r="HW1773" s="19">
        <v>18.7</v>
      </c>
      <c r="HX1773" s="19">
        <v>17.8</v>
      </c>
      <c r="HY1773" s="19">
        <v>17</v>
      </c>
      <c r="HZ1773" s="19">
        <v>16</v>
      </c>
      <c r="IA1773" s="19">
        <v>12.9</v>
      </c>
      <c r="IB1773" s="19">
        <v>11.9</v>
      </c>
      <c r="IC1773" s="19">
        <v>12.7</v>
      </c>
    </row>
    <row r="1774">
      <c r="A1774" s="2" t="s">
        <v>6530</v>
      </c>
      <c r="B1774" s="2" t="s">
        <v>871</v>
      </c>
      <c r="C1774" s="2" t="s">
        <v>324</v>
      </c>
      <c r="D1774" s="2" t="s">
        <v>1452</v>
      </c>
      <c r="E1774" s="2" t="s">
        <v>1895</v>
      </c>
      <c r="F1774" s="2" t="s">
        <v>6521</v>
      </c>
      <c r="G1774" s="2" t="s">
        <v>6522</v>
      </c>
      <c r="H1774" s="2" t="s">
        <v>6523</v>
      </c>
      <c r="I1774" s="2" t="s">
        <v>6524</v>
      </c>
      <c r="J1774" s="2" t="s">
        <v>877</v>
      </c>
      <c r="K1774" s="2" t="s">
        <v>975</v>
      </c>
      <c r="L1774" s="3">
        <v>29.33</v>
      </c>
      <c r="M1774" s="3">
        <v>30.8</v>
      </c>
      <c r="N1774" s="3">
        <v>59.99</v>
      </c>
      <c r="O1774" s="2" t="s">
        <v>232</v>
      </c>
      <c r="P1774" s="2" t="s">
        <v>333</v>
      </c>
      <c r="Q1774" s="2" t="s">
        <v>234</v>
      </c>
      <c r="R1774" s="2" t="s">
        <v>235</v>
      </c>
      <c r="S1774" s="2" t="s">
        <v>6531</v>
      </c>
      <c r="T1774" s="2" t="s">
        <v>501</v>
      </c>
      <c r="U1774" s="2" t="s">
        <v>278</v>
      </c>
      <c r="V1774" s="2" t="s">
        <v>1394</v>
      </c>
      <c r="W1774" s="2" t="s">
        <v>671</v>
      </c>
      <c r="X1774" s="2" t="s">
        <v>239</v>
      </c>
      <c r="Y1774" s="2" t="s">
        <v>240</v>
      </c>
      <c r="Z1774" s="4">
        <v>446</v>
      </c>
      <c r="AA1774" s="4">
        <f>=ROUNDDOWN(31.8571428571429,0)</f>
      </c>
      <c r="AB1774" s="5">
        <v>14</v>
      </c>
      <c r="AC1774" s="2" t="s">
        <v>235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235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 t="s">
        <v>235</v>
      </c>
      <c r="BD1774" s="8" t="s">
        <v>235</v>
      </c>
      <c r="BE1774" s="4" t="s">
        <v>235</v>
      </c>
      <c r="BF1774" s="8" t="s">
        <v>235</v>
      </c>
      <c r="BG1774" s="7" t="s">
        <v>235</v>
      </c>
      <c r="BH1774" s="7" t="s">
        <v>235</v>
      </c>
      <c r="BI1774" s="7"/>
      <c r="BJ1774" s="4">
        <v>20</v>
      </c>
      <c r="BK1774" s="8">
        <v>637.52</v>
      </c>
      <c r="BL1774" s="2" t="s">
        <v>6532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6529</v>
      </c>
      <c r="BV1774" s="2" t="s">
        <v>243</v>
      </c>
      <c r="BW1774" s="2" t="s">
        <v>235</v>
      </c>
      <c r="BX1774" s="2" t="s">
        <v>383</v>
      </c>
      <c r="BY1774" s="2" t="s">
        <v>245</v>
      </c>
      <c r="BZ1774" s="2" t="s">
        <v>232</v>
      </c>
      <c r="CA1774" s="2" t="s">
        <v>252</v>
      </c>
      <c r="CB1774" s="2" t="s">
        <v>2458</v>
      </c>
      <c r="CC1774" s="2" t="s">
        <v>248</v>
      </c>
      <c r="CD1774" s="2" t="s">
        <v>248</v>
      </c>
      <c r="CE1774" s="2" t="s">
        <v>235</v>
      </c>
      <c r="CF1774" s="4">
        <v>103</v>
      </c>
      <c r="CG1774" s="4">
        <v>55</v>
      </c>
      <c r="CH1774" s="4"/>
      <c r="CI1774" s="4">
        <v>288</v>
      </c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>
        <v>448</v>
      </c>
      <c r="GE1774" s="4">
        <v>373</v>
      </c>
      <c r="GF1774" s="4">
        <v>367</v>
      </c>
      <c r="GG1774" s="4">
        <v>360</v>
      </c>
      <c r="GH1774" s="4">
        <v>352</v>
      </c>
      <c r="GI1774" s="4">
        <v>286</v>
      </c>
      <c r="GJ1774" s="4">
        <v>276</v>
      </c>
      <c r="GK1774" s="4">
        <v>240</v>
      </c>
      <c r="GL1774" s="4">
        <v>224</v>
      </c>
      <c r="GM1774" s="4">
        <v>204</v>
      </c>
      <c r="GN1774" s="4">
        <v>193</v>
      </c>
      <c r="GO1774" s="4">
        <v>185</v>
      </c>
      <c r="GP1774" s="4">
        <v>173</v>
      </c>
      <c r="GQ1774" s="4">
        <v>155</v>
      </c>
      <c r="GR1774" s="4">
        <v>140</v>
      </c>
      <c r="GS1774" s="4">
        <v>123</v>
      </c>
      <c r="GT1774" s="4">
        <v>114</v>
      </c>
      <c r="GU1774" s="4">
        <v>107</v>
      </c>
      <c r="GV1774" s="4">
        <v>95</v>
      </c>
      <c r="GW1774" s="4">
        <v>173</v>
      </c>
      <c r="GX1774" s="4">
        <v>164</v>
      </c>
      <c r="GY1774" s="4">
        <v>153</v>
      </c>
      <c r="GZ1774" s="4">
        <v>140</v>
      </c>
      <c r="HA1774" s="4">
        <v>249</v>
      </c>
      <c r="HB1774" s="4">
        <v>232</v>
      </c>
      <c r="HC1774" s="4">
        <v>221</v>
      </c>
      <c r="HD1774" s="19">
        <v>18.7</v>
      </c>
      <c r="HE1774" s="19">
        <v>17</v>
      </c>
      <c r="HF1774" s="19">
        <v>16</v>
      </c>
      <c r="HG1774" s="19">
        <v>12</v>
      </c>
      <c r="HH1774" s="19">
        <v>11</v>
      </c>
      <c r="HI1774" s="19">
        <v>14.3</v>
      </c>
      <c r="HJ1774" s="19">
        <v>13.1</v>
      </c>
      <c r="HK1774" s="19">
        <v>17.1</v>
      </c>
      <c r="HL1774" s="19">
        <v>17.2</v>
      </c>
      <c r="HM1774" s="19">
        <v>17</v>
      </c>
      <c r="HN1774" s="19">
        <v>14.8</v>
      </c>
      <c r="HO1774" s="19">
        <v>11.6</v>
      </c>
      <c r="HP1774" s="19">
        <v>11.5</v>
      </c>
      <c r="HQ1774" s="19">
        <v>12.9</v>
      </c>
      <c r="HR1774" s="19">
        <v>12.7</v>
      </c>
      <c r="HS1774" s="19">
        <v>12.3</v>
      </c>
      <c r="HT1774" s="19">
        <v>11.4</v>
      </c>
      <c r="HU1774" s="19">
        <v>10.7</v>
      </c>
      <c r="HV1774" s="19">
        <v>8.6</v>
      </c>
      <c r="HW1774" s="19">
        <v>17.3</v>
      </c>
      <c r="HX1774" s="19">
        <v>13.7</v>
      </c>
      <c r="HY1774" s="19">
        <v>12.8</v>
      </c>
      <c r="HZ1774" s="19">
        <v>10</v>
      </c>
      <c r="IA1774" s="19">
        <v>14.6</v>
      </c>
      <c r="IB1774" s="19">
        <v>10.5</v>
      </c>
      <c r="IC1774" s="19">
        <v>10</v>
      </c>
    </row>
    <row r="1775">
      <c r="A1775" s="2" t="s">
        <v>6533</v>
      </c>
      <c r="B1775" s="2" t="s">
        <v>871</v>
      </c>
      <c r="C1775" s="2" t="s">
        <v>324</v>
      </c>
      <c r="D1775" s="2" t="s">
        <v>1452</v>
      </c>
      <c r="E1775" s="2" t="s">
        <v>1760</v>
      </c>
      <c r="F1775" s="2" t="s">
        <v>6521</v>
      </c>
      <c r="G1775" s="2" t="s">
        <v>6522</v>
      </c>
      <c r="H1775" s="2" t="s">
        <v>6523</v>
      </c>
      <c r="I1775" s="2" t="s">
        <v>6534</v>
      </c>
      <c r="J1775" s="2" t="s">
        <v>250</v>
      </c>
      <c r="K1775" s="2" t="s">
        <v>600</v>
      </c>
      <c r="L1775" s="3">
        <v>43.43</v>
      </c>
      <c r="M1775" s="3">
        <v>45.6</v>
      </c>
      <c r="N1775" s="3">
        <v>89.99</v>
      </c>
      <c r="O1775" s="2" t="s">
        <v>232</v>
      </c>
      <c r="P1775" s="2" t="s">
        <v>698</v>
      </c>
      <c r="Q1775" s="2" t="s">
        <v>234</v>
      </c>
      <c r="R1775" s="2" t="s">
        <v>235</v>
      </c>
      <c r="S1775" s="2" t="s">
        <v>6535</v>
      </c>
      <c r="T1775" s="2" t="s">
        <v>501</v>
      </c>
      <c r="U1775" s="2" t="s">
        <v>552</v>
      </c>
      <c r="V1775" s="2" t="s">
        <v>1394</v>
      </c>
      <c r="W1775" s="2" t="s">
        <v>671</v>
      </c>
      <c r="X1775" s="2" t="s">
        <v>239</v>
      </c>
      <c r="Y1775" s="2" t="s">
        <v>390</v>
      </c>
      <c r="Z1775" s="4">
        <v>306</v>
      </c>
      <c r="AA1775" s="4">
        <f>=ROUNDDOWN(38.25,0)</f>
      </c>
      <c r="AB1775" s="5">
        <v>8</v>
      </c>
      <c r="AC1775" s="2" t="s">
        <v>235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235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235</v>
      </c>
      <c r="BD1775" s="8" t="s">
        <v>235</v>
      </c>
      <c r="BE1775" s="4" t="s">
        <v>235</v>
      </c>
      <c r="BF1775" s="8" t="s">
        <v>235</v>
      </c>
      <c r="BG1775" s="7" t="s">
        <v>235</v>
      </c>
      <c r="BH1775" s="7" t="s">
        <v>235</v>
      </c>
      <c r="BI1775" s="7"/>
      <c r="BJ1775" s="4">
        <v>7</v>
      </c>
      <c r="BK1775" s="8">
        <v>335.29</v>
      </c>
      <c r="BL1775" s="2" t="s">
        <v>5611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6536</v>
      </c>
      <c r="BV1775" s="2" t="s">
        <v>243</v>
      </c>
      <c r="BW1775" s="2" t="s">
        <v>235</v>
      </c>
      <c r="BX1775" s="2" t="s">
        <v>383</v>
      </c>
      <c r="BY1775" s="2" t="s">
        <v>245</v>
      </c>
      <c r="BZ1775" s="2" t="s">
        <v>232</v>
      </c>
      <c r="CA1775" s="2" t="s">
        <v>2353</v>
      </c>
      <c r="CB1775" s="2" t="s">
        <v>6537</v>
      </c>
      <c r="CC1775" s="2" t="s">
        <v>248</v>
      </c>
      <c r="CD1775" s="2" t="s">
        <v>248</v>
      </c>
      <c r="CE1775" s="2" t="s">
        <v>235</v>
      </c>
      <c r="CF1775" s="4"/>
      <c r="CG1775" s="4"/>
      <c r="CH1775" s="4"/>
      <c r="CI1775" s="4">
        <v>306</v>
      </c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>
        <v>306</v>
      </c>
      <c r="GE1775" s="4">
        <v>290</v>
      </c>
      <c r="GF1775" s="4">
        <v>283</v>
      </c>
      <c r="GG1775" s="4">
        <v>276</v>
      </c>
      <c r="GH1775" s="4">
        <v>266</v>
      </c>
      <c r="GI1775" s="4">
        <v>262</v>
      </c>
      <c r="GJ1775" s="4">
        <v>252</v>
      </c>
      <c r="GK1775" s="4">
        <v>238</v>
      </c>
      <c r="GL1775" s="4">
        <v>226</v>
      </c>
      <c r="GM1775" s="4">
        <v>222</v>
      </c>
      <c r="GN1775" s="4">
        <v>213</v>
      </c>
      <c r="GO1775" s="4">
        <v>204</v>
      </c>
      <c r="GP1775" s="4">
        <v>185</v>
      </c>
      <c r="GQ1775" s="4">
        <v>166</v>
      </c>
      <c r="GR1775" s="4">
        <v>149</v>
      </c>
      <c r="GS1775" s="4">
        <v>135</v>
      </c>
      <c r="GT1775" s="4">
        <v>127</v>
      </c>
      <c r="GU1775" s="4">
        <v>123</v>
      </c>
      <c r="GV1775" s="4">
        <v>120</v>
      </c>
      <c r="GW1775" s="4">
        <v>110</v>
      </c>
      <c r="GX1775" s="4">
        <v>103</v>
      </c>
      <c r="GY1775" s="4">
        <v>99</v>
      </c>
      <c r="GZ1775" s="4">
        <v>92</v>
      </c>
      <c r="HA1775" s="4">
        <v>103</v>
      </c>
      <c r="HB1775" s="4">
        <v>96</v>
      </c>
      <c r="HC1775" s="4">
        <v>86</v>
      </c>
      <c r="HD1775" s="19">
        <v>30.6</v>
      </c>
      <c r="HE1775" s="19">
        <v>41.4</v>
      </c>
      <c r="HF1775" s="19">
        <v>35.4</v>
      </c>
      <c r="HG1775" s="19">
        <v>27.6</v>
      </c>
      <c r="HH1775" s="19">
        <v>26.6</v>
      </c>
      <c r="HI1775" s="19">
        <v>26.2</v>
      </c>
      <c r="HJ1775" s="19">
        <v>25.2</v>
      </c>
      <c r="HK1775" s="19">
        <v>29.8</v>
      </c>
      <c r="HL1775" s="19">
        <v>22.6</v>
      </c>
      <c r="HM1775" s="19">
        <v>15.9</v>
      </c>
      <c r="HN1775" s="19">
        <v>13.3</v>
      </c>
      <c r="HO1775" s="19">
        <v>12</v>
      </c>
      <c r="HP1775" s="19">
        <v>13.2</v>
      </c>
      <c r="HQ1775" s="19">
        <v>15.1</v>
      </c>
      <c r="HR1775" s="19">
        <v>21.3</v>
      </c>
      <c r="HS1775" s="19">
        <v>22.5</v>
      </c>
      <c r="HT1775" s="19">
        <v>21.2</v>
      </c>
      <c r="HU1775" s="19">
        <v>20.5</v>
      </c>
      <c r="HV1775" s="19">
        <v>17.1</v>
      </c>
      <c r="HW1775" s="19">
        <v>18.3</v>
      </c>
      <c r="HX1775" s="19">
        <v>17.2</v>
      </c>
      <c r="HY1775" s="19">
        <v>14.1</v>
      </c>
      <c r="HZ1775" s="19">
        <v>13.1</v>
      </c>
      <c r="IA1775" s="19">
        <v>12.9</v>
      </c>
      <c r="IB1775" s="19">
        <v>12</v>
      </c>
      <c r="IC1775" s="19">
        <v>10.8</v>
      </c>
    </row>
    <row r="1776">
      <c r="A1776" s="2" t="s">
        <v>6538</v>
      </c>
      <c r="B1776" s="2" t="s">
        <v>852</v>
      </c>
      <c r="C1776" s="2" t="s">
        <v>324</v>
      </c>
      <c r="D1776" s="2" t="s">
        <v>854</v>
      </c>
      <c r="E1776" s="2" t="s">
        <v>2622</v>
      </c>
      <c r="F1776" s="2" t="s">
        <v>6539</v>
      </c>
      <c r="G1776" s="2" t="s">
        <v>6539</v>
      </c>
      <c r="H1776" s="2" t="s">
        <v>6539</v>
      </c>
      <c r="I1776" s="2" t="s">
        <v>6540</v>
      </c>
      <c r="J1776" s="2" t="s">
        <v>2624</v>
      </c>
      <c r="K1776" s="2" t="s">
        <v>292</v>
      </c>
      <c r="L1776" s="3">
        <v>28.35</v>
      </c>
      <c r="M1776" s="3">
        <v>29.77</v>
      </c>
      <c r="N1776" s="3">
        <v>59.99</v>
      </c>
      <c r="O1776" s="2" t="s">
        <v>232</v>
      </c>
      <c r="P1776" s="2" t="s">
        <v>878</v>
      </c>
      <c r="Q1776" s="2" t="s">
        <v>234</v>
      </c>
      <c r="R1776" s="2" t="s">
        <v>235</v>
      </c>
      <c r="S1776" s="2" t="s">
        <v>235</v>
      </c>
      <c r="T1776" s="2" t="s">
        <v>879</v>
      </c>
      <c r="U1776" s="2" t="s">
        <v>807</v>
      </c>
      <c r="V1776" s="2" t="s">
        <v>238</v>
      </c>
      <c r="W1776" s="2" t="s">
        <v>329</v>
      </c>
      <c r="X1776" s="2" t="s">
        <v>235</v>
      </c>
      <c r="Y1776" s="2" t="s">
        <v>6541</v>
      </c>
      <c r="Z1776" s="4">
        <v>119</v>
      </c>
      <c r="AA1776" s="4">
        <f>=ROUNDDOWN(66.1111111111111,0)</f>
      </c>
      <c r="AB1776" s="5">
        <v>1.8</v>
      </c>
      <c r="AC1776" s="2" t="s">
        <v>235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235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235</v>
      </c>
      <c r="AW1776" s="8" t="s">
        <v>235</v>
      </c>
      <c r="AX1776" s="4" t="s">
        <v>235</v>
      </c>
      <c r="AY1776" s="8" t="s">
        <v>235</v>
      </c>
      <c r="AZ1776" s="7" t="s">
        <v>235</v>
      </c>
      <c r="BA1776" s="7" t="s">
        <v>235</v>
      </c>
      <c r="BB1776" s="7"/>
      <c r="BC1776" s="4" t="s">
        <v>235</v>
      </c>
      <c r="BD1776" s="8" t="s">
        <v>235</v>
      </c>
      <c r="BE1776" s="4" t="s">
        <v>235</v>
      </c>
      <c r="BF1776" s="8" t="s">
        <v>235</v>
      </c>
      <c r="BG1776" s="7" t="s">
        <v>235</v>
      </c>
      <c r="BH1776" s="7" t="s">
        <v>235</v>
      </c>
      <c r="BI1776" s="7"/>
      <c r="BJ1776" s="4"/>
      <c r="BK1776" s="8"/>
      <c r="BL1776" s="2" t="s">
        <v>235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6542</v>
      </c>
      <c r="BV1776" s="2" t="s">
        <v>235</v>
      </c>
      <c r="BW1776" s="2" t="s">
        <v>235</v>
      </c>
      <c r="BX1776" s="2" t="s">
        <v>244</v>
      </c>
      <c r="BY1776" s="2" t="s">
        <v>245</v>
      </c>
      <c r="BZ1776" s="2" t="s">
        <v>232</v>
      </c>
      <c r="CA1776" s="2" t="s">
        <v>235</v>
      </c>
      <c r="CB1776" s="2" t="s">
        <v>1235</v>
      </c>
      <c r="CC1776" s="2" t="s">
        <v>248</v>
      </c>
      <c r="CD1776" s="2" t="s">
        <v>248</v>
      </c>
      <c r="CE1776" s="2" t="s">
        <v>235</v>
      </c>
      <c r="CF1776" s="4">
        <v>119</v>
      </c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>
        <v>119</v>
      </c>
      <c r="GE1776" s="4">
        <v>116</v>
      </c>
      <c r="GF1776" s="4">
        <v>114</v>
      </c>
      <c r="GG1776" s="4">
        <v>112</v>
      </c>
      <c r="GH1776" s="4">
        <v>110</v>
      </c>
      <c r="GI1776" s="4">
        <v>108</v>
      </c>
      <c r="GJ1776" s="4">
        <v>105</v>
      </c>
      <c r="GK1776" s="4">
        <v>103</v>
      </c>
      <c r="GL1776" s="4">
        <v>101</v>
      </c>
      <c r="GM1776" s="4">
        <v>99</v>
      </c>
      <c r="GN1776" s="4">
        <v>97</v>
      </c>
      <c r="GO1776" s="4">
        <v>95</v>
      </c>
      <c r="GP1776" s="4">
        <v>93</v>
      </c>
      <c r="GQ1776" s="4">
        <v>90</v>
      </c>
      <c r="GR1776" s="4">
        <v>88</v>
      </c>
      <c r="GS1776" s="4">
        <v>86</v>
      </c>
      <c r="GT1776" s="4">
        <v>84</v>
      </c>
      <c r="GU1776" s="4">
        <v>82</v>
      </c>
      <c r="GV1776" s="4">
        <v>80</v>
      </c>
      <c r="GW1776" s="4">
        <v>93</v>
      </c>
      <c r="GX1776" s="4">
        <v>91</v>
      </c>
      <c r="GY1776" s="4">
        <v>89</v>
      </c>
      <c r="GZ1776" s="4">
        <v>87</v>
      </c>
      <c r="HA1776" s="4">
        <v>85</v>
      </c>
      <c r="HB1776" s="4">
        <v>83</v>
      </c>
      <c r="HC1776" s="4">
        <v>81</v>
      </c>
      <c r="HD1776" s="19">
        <v>59.5</v>
      </c>
      <c r="HE1776" s="19">
        <v>58</v>
      </c>
      <c r="HF1776" s="19">
        <v>57</v>
      </c>
      <c r="HG1776" s="19">
        <v>56</v>
      </c>
      <c r="HH1776" s="19">
        <v>55</v>
      </c>
      <c r="HI1776" s="19">
        <v>54</v>
      </c>
      <c r="HJ1776" s="19">
        <v>52.5</v>
      </c>
      <c r="HK1776" s="19">
        <v>51.5</v>
      </c>
      <c r="HL1776" s="19">
        <v>50.5</v>
      </c>
      <c r="HM1776" s="19">
        <v>49.5</v>
      </c>
      <c r="HN1776" s="19">
        <v>48.5</v>
      </c>
      <c r="HO1776" s="19">
        <v>47.5</v>
      </c>
      <c r="HP1776" s="19">
        <v>46.5</v>
      </c>
      <c r="HQ1776" s="19">
        <v>45</v>
      </c>
      <c r="HR1776" s="19">
        <v>44</v>
      </c>
      <c r="HS1776" s="19">
        <v>43</v>
      </c>
      <c r="HT1776" s="19">
        <v>42</v>
      </c>
      <c r="HU1776" s="19">
        <v>41</v>
      </c>
      <c r="HV1776" s="19">
        <v>40</v>
      </c>
      <c r="HW1776" s="19">
        <v>46.5</v>
      </c>
      <c r="HX1776" s="19">
        <v>45.5</v>
      </c>
      <c r="HY1776" s="19">
        <v>44.5</v>
      </c>
      <c r="HZ1776" s="19">
        <v>43.5</v>
      </c>
      <c r="IA1776" s="19">
        <v>42.5</v>
      </c>
      <c r="IB1776" s="19">
        <v>41.5</v>
      </c>
      <c r="IC1776" s="19">
        <v>40.5</v>
      </c>
    </row>
    <row r="1777">
      <c r="A1777" s="2" t="s">
        <v>6543</v>
      </c>
      <c r="B1777" s="2" t="s">
        <v>852</v>
      </c>
      <c r="C1777" s="2" t="s">
        <v>324</v>
      </c>
      <c r="D1777" s="2" t="s">
        <v>854</v>
      </c>
      <c r="E1777" s="2" t="s">
        <v>2622</v>
      </c>
      <c r="F1777" s="2" t="s">
        <v>6539</v>
      </c>
      <c r="G1777" s="2" t="s">
        <v>6539</v>
      </c>
      <c r="H1777" s="2" t="s">
        <v>6539</v>
      </c>
      <c r="I1777" s="2" t="s">
        <v>6540</v>
      </c>
      <c r="J1777" s="2" t="s">
        <v>2640</v>
      </c>
      <c r="K1777" s="2" t="s">
        <v>292</v>
      </c>
      <c r="L1777" s="3">
        <v>30.24</v>
      </c>
      <c r="M1777" s="3">
        <v>31.75</v>
      </c>
      <c r="N1777" s="3">
        <v>62.99</v>
      </c>
      <c r="O1777" s="2" t="s">
        <v>232</v>
      </c>
      <c r="P1777" s="2" t="s">
        <v>878</v>
      </c>
      <c r="Q1777" s="2" t="s">
        <v>234</v>
      </c>
      <c r="R1777" s="2" t="s">
        <v>235</v>
      </c>
      <c r="S1777" s="2" t="s">
        <v>235</v>
      </c>
      <c r="T1777" s="2" t="s">
        <v>879</v>
      </c>
      <c r="U1777" s="2" t="s">
        <v>807</v>
      </c>
      <c r="V1777" s="2" t="s">
        <v>238</v>
      </c>
      <c r="W1777" s="2" t="s">
        <v>329</v>
      </c>
      <c r="X1777" s="2" t="s">
        <v>235</v>
      </c>
      <c r="Y1777" s="2" t="s">
        <v>6541</v>
      </c>
      <c r="Z1777" s="4">
        <v>198</v>
      </c>
      <c r="AA1777" s="4">
        <f>=ROUNDDOWN(99,0)</f>
      </c>
      <c r="AB1777" s="5">
        <v>2</v>
      </c>
      <c r="AC1777" s="2" t="s">
        <v>235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235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235</v>
      </c>
      <c r="AW1777" s="8" t="s">
        <v>235</v>
      </c>
      <c r="AX1777" s="4" t="s">
        <v>235</v>
      </c>
      <c r="AY1777" s="8" t="s">
        <v>235</v>
      </c>
      <c r="AZ1777" s="7" t="s">
        <v>235</v>
      </c>
      <c r="BA1777" s="7" t="s">
        <v>235</v>
      </c>
      <c r="BB1777" s="7"/>
      <c r="BC1777" s="4" t="s">
        <v>235</v>
      </c>
      <c r="BD1777" s="8" t="s">
        <v>235</v>
      </c>
      <c r="BE1777" s="4" t="s">
        <v>235</v>
      </c>
      <c r="BF1777" s="8" t="s">
        <v>235</v>
      </c>
      <c r="BG1777" s="7" t="s">
        <v>235</v>
      </c>
      <c r="BH1777" s="7" t="s">
        <v>235</v>
      </c>
      <c r="BI1777" s="7"/>
      <c r="BJ1777" s="4">
        <v>18</v>
      </c>
      <c r="BK1777" s="8">
        <v>560.64</v>
      </c>
      <c r="BL1777" s="2" t="s">
        <v>1226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6542</v>
      </c>
      <c r="BV1777" s="2" t="s">
        <v>235</v>
      </c>
      <c r="BW1777" s="2" t="s">
        <v>235</v>
      </c>
      <c r="BX1777" s="2" t="s">
        <v>244</v>
      </c>
      <c r="BY1777" s="2" t="s">
        <v>245</v>
      </c>
      <c r="BZ1777" s="2" t="s">
        <v>232</v>
      </c>
      <c r="CA1777" s="2" t="s">
        <v>235</v>
      </c>
      <c r="CB1777" s="2" t="s">
        <v>1646</v>
      </c>
      <c r="CC1777" s="2" t="s">
        <v>248</v>
      </c>
      <c r="CD1777" s="2" t="s">
        <v>248</v>
      </c>
      <c r="CE1777" s="2" t="s">
        <v>235</v>
      </c>
      <c r="CF1777" s="4">
        <v>198</v>
      </c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>
        <v>198</v>
      </c>
      <c r="GE1777" s="4">
        <v>197</v>
      </c>
      <c r="GF1777" s="4">
        <v>196</v>
      </c>
      <c r="GG1777" s="4">
        <v>195</v>
      </c>
      <c r="GH1777" s="4">
        <v>194</v>
      </c>
      <c r="GI1777" s="4">
        <v>193</v>
      </c>
      <c r="GJ1777" s="4">
        <v>192</v>
      </c>
      <c r="GK1777" s="4">
        <v>191</v>
      </c>
      <c r="GL1777" s="4">
        <v>190</v>
      </c>
      <c r="GM1777" s="4">
        <v>189</v>
      </c>
      <c r="GN1777" s="4">
        <v>187</v>
      </c>
      <c r="GO1777" s="4">
        <v>185</v>
      </c>
      <c r="GP1777" s="4">
        <v>183</v>
      </c>
      <c r="GQ1777" s="4">
        <v>180</v>
      </c>
      <c r="GR1777" s="4">
        <v>178</v>
      </c>
      <c r="GS1777" s="4">
        <v>176</v>
      </c>
      <c r="GT1777" s="4">
        <v>174</v>
      </c>
      <c r="GU1777" s="4">
        <v>172</v>
      </c>
      <c r="GV1777" s="4">
        <v>170</v>
      </c>
      <c r="GW1777" s="4">
        <v>168</v>
      </c>
      <c r="GX1777" s="4">
        <v>166</v>
      </c>
      <c r="GY1777" s="4">
        <v>164</v>
      </c>
      <c r="GZ1777" s="4">
        <v>162</v>
      </c>
      <c r="HA1777" s="4">
        <v>160</v>
      </c>
      <c r="HB1777" s="4">
        <v>158</v>
      </c>
      <c r="HC1777" s="4">
        <v>156</v>
      </c>
      <c r="HD1777" s="19">
        <v>198</v>
      </c>
      <c r="HE1777" s="19">
        <v>197</v>
      </c>
      <c r="HF1777" s="19">
        <v>196</v>
      </c>
      <c r="HG1777" s="19">
        <v>195</v>
      </c>
      <c r="HH1777" s="19">
        <v>194</v>
      </c>
      <c r="HI1777" s="19">
        <v>193</v>
      </c>
      <c r="HJ1777" s="19">
        <v>192</v>
      </c>
      <c r="HK1777" s="19">
        <v>95.5</v>
      </c>
      <c r="HL1777" s="19">
        <v>95</v>
      </c>
      <c r="HM1777" s="19">
        <v>94.5</v>
      </c>
      <c r="HN1777" s="19">
        <v>93.5</v>
      </c>
      <c r="HO1777" s="19">
        <v>92.5</v>
      </c>
      <c r="HP1777" s="19">
        <v>91.5</v>
      </c>
      <c r="HQ1777" s="19">
        <v>90</v>
      </c>
      <c r="HR1777" s="19">
        <v>89</v>
      </c>
      <c r="HS1777" s="19">
        <v>88</v>
      </c>
      <c r="HT1777" s="19">
        <v>87</v>
      </c>
      <c r="HU1777" s="19">
        <v>86</v>
      </c>
      <c r="HV1777" s="19">
        <v>85</v>
      </c>
      <c r="HW1777" s="19">
        <v>84</v>
      </c>
      <c r="HX1777" s="19">
        <v>83</v>
      </c>
      <c r="HY1777" s="19">
        <v>82</v>
      </c>
      <c r="HZ1777" s="19">
        <v>81</v>
      </c>
      <c r="IA1777" s="19">
        <v>80</v>
      </c>
      <c r="IB1777" s="19">
        <v>79</v>
      </c>
      <c r="IC1777" s="19">
        <v>78</v>
      </c>
    </row>
    <row r="1778">
      <c r="A1778" s="2" t="s">
        <v>6544</v>
      </c>
      <c r="B1778" s="2" t="s">
        <v>852</v>
      </c>
      <c r="C1778" s="2" t="s">
        <v>324</v>
      </c>
      <c r="D1778" s="2" t="s">
        <v>854</v>
      </c>
      <c r="E1778" s="2" t="s">
        <v>2622</v>
      </c>
      <c r="F1778" s="2" t="s">
        <v>6539</v>
      </c>
      <c r="G1778" s="2" t="s">
        <v>6539</v>
      </c>
      <c r="H1778" s="2" t="s">
        <v>6539</v>
      </c>
      <c r="I1778" s="2" t="s">
        <v>6540</v>
      </c>
      <c r="J1778" s="2" t="s">
        <v>2645</v>
      </c>
      <c r="K1778" s="2" t="s">
        <v>292</v>
      </c>
      <c r="L1778" s="3">
        <v>32.94</v>
      </c>
      <c r="M1778" s="3">
        <v>34.59</v>
      </c>
      <c r="N1778" s="3">
        <v>66.99</v>
      </c>
      <c r="O1778" s="2" t="s">
        <v>232</v>
      </c>
      <c r="P1778" s="2" t="s">
        <v>878</v>
      </c>
      <c r="Q1778" s="2" t="s">
        <v>234</v>
      </c>
      <c r="R1778" s="2" t="s">
        <v>235</v>
      </c>
      <c r="S1778" s="2" t="s">
        <v>235</v>
      </c>
      <c r="T1778" s="2" t="s">
        <v>879</v>
      </c>
      <c r="U1778" s="2" t="s">
        <v>807</v>
      </c>
      <c r="V1778" s="2" t="s">
        <v>238</v>
      </c>
      <c r="W1778" s="2" t="s">
        <v>329</v>
      </c>
      <c r="X1778" s="2" t="s">
        <v>235</v>
      </c>
      <c r="Y1778" s="2" t="s">
        <v>6541</v>
      </c>
      <c r="Z1778" s="4">
        <v>169</v>
      </c>
      <c r="AA1778" s="4">
        <f>=ROUNDDOWN(33.8,0)</f>
      </c>
      <c r="AB1778" s="5">
        <v>5</v>
      </c>
      <c r="AC1778" s="2" t="s">
        <v>235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235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235</v>
      </c>
      <c r="AW1778" s="8" t="s">
        <v>235</v>
      </c>
      <c r="AX1778" s="4" t="s">
        <v>235</v>
      </c>
      <c r="AY1778" s="8" t="s">
        <v>235</v>
      </c>
      <c r="AZ1778" s="7" t="s">
        <v>235</v>
      </c>
      <c r="BA1778" s="7" t="s">
        <v>235</v>
      </c>
      <c r="BB1778" s="7"/>
      <c r="BC1778" s="4" t="s">
        <v>235</v>
      </c>
      <c r="BD1778" s="8" t="s">
        <v>235</v>
      </c>
      <c r="BE1778" s="4" t="s">
        <v>235</v>
      </c>
      <c r="BF1778" s="8" t="s">
        <v>235</v>
      </c>
      <c r="BG1778" s="7" t="s">
        <v>235</v>
      </c>
      <c r="BH1778" s="7" t="s">
        <v>235</v>
      </c>
      <c r="BI1778" s="7"/>
      <c r="BJ1778" s="4">
        <v>1</v>
      </c>
      <c r="BK1778" s="8">
        <v>35.9</v>
      </c>
      <c r="BL1778" s="2" t="s">
        <v>1377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6542</v>
      </c>
      <c r="BV1778" s="2" t="s">
        <v>235</v>
      </c>
      <c r="BW1778" s="2" t="s">
        <v>235</v>
      </c>
      <c r="BX1778" s="2" t="s">
        <v>244</v>
      </c>
      <c r="BY1778" s="2" t="s">
        <v>245</v>
      </c>
      <c r="BZ1778" s="2" t="s">
        <v>232</v>
      </c>
      <c r="CA1778" s="2" t="s">
        <v>235</v>
      </c>
      <c r="CB1778" s="2" t="s">
        <v>2855</v>
      </c>
      <c r="CC1778" s="2" t="s">
        <v>248</v>
      </c>
      <c r="CD1778" s="2" t="s">
        <v>248</v>
      </c>
      <c r="CE1778" s="2" t="s">
        <v>235</v>
      </c>
      <c r="CF1778" s="4">
        <v>169</v>
      </c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>
        <v>169</v>
      </c>
      <c r="GE1778" s="4">
        <v>138</v>
      </c>
      <c r="GF1778" s="4">
        <v>133</v>
      </c>
      <c r="GG1778" s="4">
        <v>127</v>
      </c>
      <c r="GH1778" s="4">
        <v>120</v>
      </c>
      <c r="GI1778" s="4">
        <v>114</v>
      </c>
      <c r="GJ1778" s="4">
        <v>106</v>
      </c>
      <c r="GK1778" s="4">
        <v>101</v>
      </c>
      <c r="GL1778" s="4">
        <v>95</v>
      </c>
      <c r="GM1778" s="4">
        <v>90</v>
      </c>
      <c r="GN1778" s="4">
        <v>85</v>
      </c>
      <c r="GO1778" s="4">
        <v>80</v>
      </c>
      <c r="GP1778" s="4">
        <v>75</v>
      </c>
      <c r="GQ1778" s="4">
        <v>69</v>
      </c>
      <c r="GR1778" s="4">
        <v>64</v>
      </c>
      <c r="GS1778" s="4">
        <v>59</v>
      </c>
      <c r="GT1778" s="4">
        <v>54</v>
      </c>
      <c r="GU1778" s="4">
        <v>49</v>
      </c>
      <c r="GV1778" s="4">
        <v>43</v>
      </c>
      <c r="GW1778" s="4">
        <v>221</v>
      </c>
      <c r="GX1778" s="4">
        <v>216</v>
      </c>
      <c r="GY1778" s="4">
        <v>211</v>
      </c>
      <c r="GZ1778" s="4">
        <v>206</v>
      </c>
      <c r="HA1778" s="4">
        <v>201</v>
      </c>
      <c r="HB1778" s="4">
        <v>196</v>
      </c>
      <c r="HC1778" s="4">
        <v>191</v>
      </c>
      <c r="HD1778" s="19">
        <v>14.1</v>
      </c>
      <c r="HE1778" s="19">
        <v>23</v>
      </c>
      <c r="HF1778" s="19">
        <v>19</v>
      </c>
      <c r="HG1778" s="19">
        <v>21.2</v>
      </c>
      <c r="HH1778" s="19">
        <v>20</v>
      </c>
      <c r="HI1778" s="19">
        <v>19</v>
      </c>
      <c r="HJ1778" s="19">
        <v>21.2</v>
      </c>
      <c r="HK1778" s="19">
        <v>20.2</v>
      </c>
      <c r="HL1778" s="19">
        <v>19</v>
      </c>
      <c r="HM1778" s="19">
        <v>18</v>
      </c>
      <c r="HN1778" s="19">
        <v>17</v>
      </c>
      <c r="HO1778" s="19">
        <v>16</v>
      </c>
      <c r="HP1778" s="19">
        <v>15</v>
      </c>
      <c r="HQ1778" s="19">
        <v>13.8</v>
      </c>
      <c r="HR1778" s="19">
        <v>12.8</v>
      </c>
      <c r="HS1778" s="19">
        <v>11.8</v>
      </c>
      <c r="HT1778" s="19">
        <v>10.8</v>
      </c>
      <c r="HU1778" s="19">
        <v>9.8</v>
      </c>
      <c r="HV1778" s="19">
        <v>8.6</v>
      </c>
      <c r="HW1778" s="19">
        <v>44.2</v>
      </c>
      <c r="HX1778" s="19">
        <v>43.2</v>
      </c>
      <c r="HY1778" s="19">
        <v>42.2</v>
      </c>
      <c r="HZ1778" s="19">
        <v>41.2</v>
      </c>
      <c r="IA1778" s="19">
        <v>40.2</v>
      </c>
      <c r="IB1778" s="19">
        <v>39.2</v>
      </c>
      <c r="IC1778" s="19">
        <v>38.2</v>
      </c>
    </row>
    <row r="1779">
      <c r="A1779" s="2" t="s">
        <v>6545</v>
      </c>
      <c r="B1779" s="2" t="s">
        <v>852</v>
      </c>
      <c r="C1779" s="2" t="s">
        <v>324</v>
      </c>
      <c r="D1779" s="2" t="s">
        <v>854</v>
      </c>
      <c r="E1779" s="2" t="s">
        <v>2622</v>
      </c>
      <c r="F1779" s="2" t="s">
        <v>6539</v>
      </c>
      <c r="G1779" s="2" t="s">
        <v>6539</v>
      </c>
      <c r="H1779" s="2" t="s">
        <v>6539</v>
      </c>
      <c r="I1779" s="2" t="s">
        <v>6540</v>
      </c>
      <c r="J1779" s="2" t="s">
        <v>2624</v>
      </c>
      <c r="K1779" s="2" t="s">
        <v>1546</v>
      </c>
      <c r="L1779" s="3">
        <v>28.35</v>
      </c>
      <c r="M1779" s="3">
        <v>29.77</v>
      </c>
      <c r="N1779" s="3">
        <v>59.99</v>
      </c>
      <c r="O1779" s="2" t="s">
        <v>232</v>
      </c>
      <c r="P1779" s="2" t="s">
        <v>262</v>
      </c>
      <c r="Q1779" s="2" t="s">
        <v>234</v>
      </c>
      <c r="R1779" s="2" t="s">
        <v>235</v>
      </c>
      <c r="S1779" s="2" t="s">
        <v>235</v>
      </c>
      <c r="T1779" s="2" t="s">
        <v>879</v>
      </c>
      <c r="U1779" s="2" t="s">
        <v>807</v>
      </c>
      <c r="V1779" s="2" t="s">
        <v>238</v>
      </c>
      <c r="W1779" s="2" t="s">
        <v>329</v>
      </c>
      <c r="X1779" s="2" t="s">
        <v>235</v>
      </c>
      <c r="Y1779" s="2" t="s">
        <v>235</v>
      </c>
      <c r="Z1779" s="4"/>
      <c r="AA1779" s="4">
        <f>=ROUNDDOWN({0},0)</f>
      </c>
      <c r="AB1779" s="5"/>
      <c r="AC1779" s="2" t="s">
        <v>2503</v>
      </c>
      <c r="AD1779" s="4">
        <v>102</v>
      </c>
      <c r="AE1779" s="4">
        <v>192</v>
      </c>
      <c r="AF1779" s="6"/>
      <c r="AG1779" s="6"/>
      <c r="AH1779" s="7"/>
      <c r="AI1779" s="4"/>
      <c r="AJ1779" s="4">
        <f>=ROUNDDOWN({0},0)</f>
      </c>
      <c r="AK1779" s="5"/>
      <c r="AL1779" s="2" t="s">
        <v>235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235</v>
      </c>
      <c r="AW1779" s="8" t="s">
        <v>235</v>
      </c>
      <c r="AX1779" s="4" t="s">
        <v>235</v>
      </c>
      <c r="AY1779" s="8" t="s">
        <v>235</v>
      </c>
      <c r="AZ1779" s="7" t="s">
        <v>235</v>
      </c>
      <c r="BA1779" s="7" t="s">
        <v>235</v>
      </c>
      <c r="BB1779" s="7"/>
      <c r="BC1779" s="4" t="s">
        <v>235</v>
      </c>
      <c r="BD1779" s="8" t="s">
        <v>235</v>
      </c>
      <c r="BE1779" s="4" t="s">
        <v>235</v>
      </c>
      <c r="BF1779" s="8" t="s">
        <v>235</v>
      </c>
      <c r="BG1779" s="7" t="s">
        <v>235</v>
      </c>
      <c r="BH1779" s="7" t="s">
        <v>235</v>
      </c>
      <c r="BI1779" s="7"/>
      <c r="BJ1779" s="4"/>
      <c r="BK1779" s="8"/>
      <c r="BL1779" s="2" t="s">
        <v>235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330</v>
      </c>
      <c r="BV1779" s="2" t="s">
        <v>235</v>
      </c>
      <c r="BW1779" s="2" t="s">
        <v>235</v>
      </c>
      <c r="BX1779" s="2" t="s">
        <v>330</v>
      </c>
      <c r="BY1779" s="2" t="s">
        <v>331</v>
      </c>
      <c r="BZ1779" s="2" t="s">
        <v>232</v>
      </c>
      <c r="CA1779" s="2" t="s">
        <v>235</v>
      </c>
      <c r="CB1779" s="2" t="s">
        <v>235</v>
      </c>
      <c r="CC1779" s="2" t="s">
        <v>248</v>
      </c>
      <c r="CD1779" s="2" t="s">
        <v>248</v>
      </c>
      <c r="CE1779" s="2" t="s">
        <v>235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>
        <v>102</v>
      </c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>
        <v>90</v>
      </c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9"/>
      <c r="HE1779" s="9"/>
      <c r="HF1779" s="9"/>
      <c r="HG1779" s="9"/>
      <c r="HH1779" s="9"/>
      <c r="HI1779" s="9"/>
      <c r="HJ1779" s="9"/>
      <c r="HK1779" s="9"/>
      <c r="HL1779" s="9"/>
      <c r="HM1779" s="9"/>
      <c r="HN1779" s="9"/>
      <c r="HO1779" s="9"/>
      <c r="HP1779" s="9"/>
      <c r="HQ1779" s="9"/>
      <c r="HR1779" s="9"/>
      <c r="HS1779" s="9"/>
      <c r="HT1779" s="9"/>
      <c r="HU1779" s="9"/>
      <c r="HV1779" s="9"/>
      <c r="HW1779" s="9"/>
      <c r="HX1779" s="9"/>
      <c r="HY1779" s="9"/>
      <c r="HZ1779" s="9"/>
      <c r="IA1779" s="9"/>
      <c r="IB1779" s="9"/>
      <c r="IC1779" s="9"/>
    </row>
    <row r="1780">
      <c r="A1780" s="2" t="s">
        <v>6546</v>
      </c>
      <c r="B1780" s="2" t="s">
        <v>852</v>
      </c>
      <c r="C1780" s="2" t="s">
        <v>324</v>
      </c>
      <c r="D1780" s="2" t="s">
        <v>854</v>
      </c>
      <c r="E1780" s="2" t="s">
        <v>2622</v>
      </c>
      <c r="F1780" s="2" t="s">
        <v>6539</v>
      </c>
      <c r="G1780" s="2" t="s">
        <v>6539</v>
      </c>
      <c r="H1780" s="2" t="s">
        <v>6539</v>
      </c>
      <c r="I1780" s="2" t="s">
        <v>6540</v>
      </c>
      <c r="J1780" s="2" t="s">
        <v>4271</v>
      </c>
      <c r="K1780" s="2" t="s">
        <v>1546</v>
      </c>
      <c r="L1780" s="3">
        <v>29.16</v>
      </c>
      <c r="M1780" s="3">
        <v>30.62</v>
      </c>
      <c r="N1780" s="3">
        <v>61.99</v>
      </c>
      <c r="O1780" s="2" t="s">
        <v>232</v>
      </c>
      <c r="P1780" s="2" t="s">
        <v>262</v>
      </c>
      <c r="Q1780" s="2" t="s">
        <v>234</v>
      </c>
      <c r="R1780" s="2" t="s">
        <v>235</v>
      </c>
      <c r="S1780" s="2" t="s">
        <v>235</v>
      </c>
      <c r="T1780" s="2" t="s">
        <v>879</v>
      </c>
      <c r="U1780" s="2" t="s">
        <v>807</v>
      </c>
      <c r="V1780" s="2" t="s">
        <v>238</v>
      </c>
      <c r="W1780" s="2" t="s">
        <v>329</v>
      </c>
      <c r="X1780" s="2" t="s">
        <v>235</v>
      </c>
      <c r="Y1780" s="2" t="s">
        <v>235</v>
      </c>
      <c r="Z1780" s="4"/>
      <c r="AA1780" s="4">
        <f>=ROUNDDOWN({0},0)</f>
      </c>
      <c r="AB1780" s="5"/>
      <c r="AC1780" s="2" t="s">
        <v>2503</v>
      </c>
      <c r="AD1780" s="4">
        <v>138</v>
      </c>
      <c r="AE1780" s="4">
        <v>258</v>
      </c>
      <c r="AF1780" s="6"/>
      <c r="AG1780" s="6"/>
      <c r="AH1780" s="7"/>
      <c r="AI1780" s="4"/>
      <c r="AJ1780" s="4">
        <f>=ROUNDDOWN({0},0)</f>
      </c>
      <c r="AK1780" s="5"/>
      <c r="AL1780" s="2" t="s">
        <v>235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235</v>
      </c>
      <c r="AW1780" s="8" t="s">
        <v>235</v>
      </c>
      <c r="AX1780" s="4" t="s">
        <v>235</v>
      </c>
      <c r="AY1780" s="8" t="s">
        <v>235</v>
      </c>
      <c r="AZ1780" s="7" t="s">
        <v>235</v>
      </c>
      <c r="BA1780" s="7" t="s">
        <v>235</v>
      </c>
      <c r="BB1780" s="7"/>
      <c r="BC1780" s="4" t="s">
        <v>235</v>
      </c>
      <c r="BD1780" s="8" t="s">
        <v>235</v>
      </c>
      <c r="BE1780" s="4" t="s">
        <v>235</v>
      </c>
      <c r="BF1780" s="8" t="s">
        <v>235</v>
      </c>
      <c r="BG1780" s="7" t="s">
        <v>235</v>
      </c>
      <c r="BH1780" s="7" t="s">
        <v>235</v>
      </c>
      <c r="BI1780" s="7"/>
      <c r="BJ1780" s="4"/>
      <c r="BK1780" s="8"/>
      <c r="BL1780" s="2" t="s">
        <v>235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330</v>
      </c>
      <c r="BV1780" s="2" t="s">
        <v>235</v>
      </c>
      <c r="BW1780" s="2" t="s">
        <v>235</v>
      </c>
      <c r="BX1780" s="2" t="s">
        <v>330</v>
      </c>
      <c r="BY1780" s="2" t="s">
        <v>331</v>
      </c>
      <c r="BZ1780" s="2" t="s">
        <v>232</v>
      </c>
      <c r="CA1780" s="2" t="s">
        <v>235</v>
      </c>
      <c r="CB1780" s="2" t="s">
        <v>235</v>
      </c>
      <c r="CC1780" s="2" t="s">
        <v>248</v>
      </c>
      <c r="CD1780" s="2" t="s">
        <v>248</v>
      </c>
      <c r="CE1780" s="2" t="s">
        <v>235</v>
      </c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>
        <v>138</v>
      </c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>
        <v>120</v>
      </c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9"/>
      <c r="HE1780" s="9"/>
      <c r="HF1780" s="9"/>
      <c r="HG1780" s="9"/>
      <c r="HH1780" s="9"/>
      <c r="HI1780" s="9"/>
      <c r="HJ1780" s="9"/>
      <c r="HK1780" s="9"/>
      <c r="HL1780" s="9"/>
      <c r="HM1780" s="9"/>
      <c r="HN1780" s="9"/>
      <c r="HO1780" s="9"/>
      <c r="HP1780" s="9"/>
      <c r="HQ1780" s="9"/>
      <c r="HR1780" s="9"/>
      <c r="HS1780" s="9"/>
      <c r="HT1780" s="9"/>
      <c r="HU1780" s="9"/>
      <c r="HV1780" s="9"/>
      <c r="HW1780" s="9"/>
      <c r="HX1780" s="9"/>
      <c r="HY1780" s="9"/>
      <c r="HZ1780" s="9"/>
      <c r="IA1780" s="9"/>
      <c r="IB1780" s="9"/>
      <c r="IC1780" s="9"/>
    </row>
    <row r="1781">
      <c r="A1781" s="2" t="s">
        <v>6547</v>
      </c>
      <c r="B1781" s="2" t="s">
        <v>852</v>
      </c>
      <c r="C1781" s="2" t="s">
        <v>324</v>
      </c>
      <c r="D1781" s="2" t="s">
        <v>854</v>
      </c>
      <c r="E1781" s="2" t="s">
        <v>2622</v>
      </c>
      <c r="F1781" s="2" t="s">
        <v>6539</v>
      </c>
      <c r="G1781" s="2" t="s">
        <v>6539</v>
      </c>
      <c r="H1781" s="2" t="s">
        <v>6539</v>
      </c>
      <c r="I1781" s="2" t="s">
        <v>6540</v>
      </c>
      <c r="J1781" s="2" t="s">
        <v>2640</v>
      </c>
      <c r="K1781" s="2" t="s">
        <v>1546</v>
      </c>
      <c r="L1781" s="3">
        <v>30.24</v>
      </c>
      <c r="M1781" s="3">
        <v>31.75</v>
      </c>
      <c r="N1781" s="3">
        <v>62.99</v>
      </c>
      <c r="O1781" s="2" t="s">
        <v>232</v>
      </c>
      <c r="P1781" s="2" t="s">
        <v>262</v>
      </c>
      <c r="Q1781" s="2" t="s">
        <v>234</v>
      </c>
      <c r="R1781" s="2" t="s">
        <v>235</v>
      </c>
      <c r="S1781" s="2" t="s">
        <v>235</v>
      </c>
      <c r="T1781" s="2" t="s">
        <v>879</v>
      </c>
      <c r="U1781" s="2" t="s">
        <v>807</v>
      </c>
      <c r="V1781" s="2" t="s">
        <v>238</v>
      </c>
      <c r="W1781" s="2" t="s">
        <v>329</v>
      </c>
      <c r="X1781" s="2" t="s">
        <v>235</v>
      </c>
      <c r="Y1781" s="2" t="s">
        <v>235</v>
      </c>
      <c r="Z1781" s="4"/>
      <c r="AA1781" s="4">
        <f>=ROUNDDOWN({0},0)</f>
      </c>
      <c r="AB1781" s="5"/>
      <c r="AC1781" s="2" t="s">
        <v>2503</v>
      </c>
      <c r="AD1781" s="4">
        <v>120</v>
      </c>
      <c r="AE1781" s="4">
        <v>222</v>
      </c>
      <c r="AF1781" s="6"/>
      <c r="AG1781" s="6"/>
      <c r="AH1781" s="7"/>
      <c r="AI1781" s="4"/>
      <c r="AJ1781" s="4">
        <f>=ROUNDDOWN({0},0)</f>
      </c>
      <c r="AK1781" s="5"/>
      <c r="AL1781" s="2" t="s">
        <v>235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235</v>
      </c>
      <c r="AW1781" s="8" t="s">
        <v>235</v>
      </c>
      <c r="AX1781" s="4" t="s">
        <v>235</v>
      </c>
      <c r="AY1781" s="8" t="s">
        <v>235</v>
      </c>
      <c r="AZ1781" s="7" t="s">
        <v>235</v>
      </c>
      <c r="BA1781" s="7" t="s">
        <v>235</v>
      </c>
      <c r="BB1781" s="7"/>
      <c r="BC1781" s="4" t="s">
        <v>235</v>
      </c>
      <c r="BD1781" s="8" t="s">
        <v>235</v>
      </c>
      <c r="BE1781" s="4" t="s">
        <v>235</v>
      </c>
      <c r="BF1781" s="8" t="s">
        <v>235</v>
      </c>
      <c r="BG1781" s="7" t="s">
        <v>235</v>
      </c>
      <c r="BH1781" s="7" t="s">
        <v>235</v>
      </c>
      <c r="BI1781" s="7"/>
      <c r="BJ1781" s="4"/>
      <c r="BK1781" s="8"/>
      <c r="BL1781" s="2" t="s">
        <v>235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330</v>
      </c>
      <c r="BV1781" s="2" t="s">
        <v>235</v>
      </c>
      <c r="BW1781" s="2" t="s">
        <v>235</v>
      </c>
      <c r="BX1781" s="2" t="s">
        <v>330</v>
      </c>
      <c r="BY1781" s="2" t="s">
        <v>331</v>
      </c>
      <c r="BZ1781" s="2" t="s">
        <v>232</v>
      </c>
      <c r="CA1781" s="2" t="s">
        <v>235</v>
      </c>
      <c r="CB1781" s="2" t="s">
        <v>235</v>
      </c>
      <c r="CC1781" s="2" t="s">
        <v>248</v>
      </c>
      <c r="CD1781" s="2" t="s">
        <v>248</v>
      </c>
      <c r="CE1781" s="2" t="s">
        <v>235</v>
      </c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>
        <v>120</v>
      </c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>
        <v>102</v>
      </c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9"/>
      <c r="HE1781" s="9"/>
      <c r="HF1781" s="9"/>
      <c r="HG1781" s="9"/>
      <c r="HH1781" s="9"/>
      <c r="HI1781" s="9"/>
      <c r="HJ1781" s="9"/>
      <c r="HK1781" s="9"/>
      <c r="HL1781" s="9"/>
      <c r="HM1781" s="9"/>
      <c r="HN1781" s="9"/>
      <c r="HO1781" s="9"/>
      <c r="HP1781" s="9"/>
      <c r="HQ1781" s="9"/>
      <c r="HR1781" s="9"/>
      <c r="HS1781" s="9"/>
      <c r="HT1781" s="9"/>
      <c r="HU1781" s="9"/>
      <c r="HV1781" s="9"/>
      <c r="HW1781" s="9"/>
      <c r="HX1781" s="9"/>
      <c r="HY1781" s="9"/>
      <c r="HZ1781" s="9"/>
      <c r="IA1781" s="9"/>
      <c r="IB1781" s="9"/>
      <c r="IC1781" s="9"/>
    </row>
    <row r="1782">
      <c r="A1782" s="2" t="s">
        <v>6548</v>
      </c>
      <c r="B1782" s="2" t="s">
        <v>852</v>
      </c>
      <c r="C1782" s="2" t="s">
        <v>324</v>
      </c>
      <c r="D1782" s="2" t="s">
        <v>854</v>
      </c>
      <c r="E1782" s="2" t="s">
        <v>2622</v>
      </c>
      <c r="F1782" s="2" t="s">
        <v>6539</v>
      </c>
      <c r="G1782" s="2" t="s">
        <v>6539</v>
      </c>
      <c r="H1782" s="2" t="s">
        <v>6539</v>
      </c>
      <c r="I1782" s="2" t="s">
        <v>6540</v>
      </c>
      <c r="J1782" s="2" t="s">
        <v>2631</v>
      </c>
      <c r="K1782" s="2" t="s">
        <v>1546</v>
      </c>
      <c r="L1782" s="3">
        <v>31.32</v>
      </c>
      <c r="M1782" s="3">
        <v>32.89</v>
      </c>
      <c r="N1782" s="3">
        <v>63.99</v>
      </c>
      <c r="O1782" s="2" t="s">
        <v>232</v>
      </c>
      <c r="P1782" s="2" t="s">
        <v>262</v>
      </c>
      <c r="Q1782" s="2" t="s">
        <v>234</v>
      </c>
      <c r="R1782" s="2" t="s">
        <v>235</v>
      </c>
      <c r="S1782" s="2" t="s">
        <v>235</v>
      </c>
      <c r="T1782" s="2" t="s">
        <v>879</v>
      </c>
      <c r="U1782" s="2" t="s">
        <v>807</v>
      </c>
      <c r="V1782" s="2" t="s">
        <v>238</v>
      </c>
      <c r="W1782" s="2" t="s">
        <v>329</v>
      </c>
      <c r="X1782" s="2" t="s">
        <v>235</v>
      </c>
      <c r="Y1782" s="2" t="s">
        <v>235</v>
      </c>
      <c r="Z1782" s="4"/>
      <c r="AA1782" s="4">
        <f>=ROUNDDOWN({0},0)</f>
      </c>
      <c r="AB1782" s="5"/>
      <c r="AC1782" s="2" t="s">
        <v>2503</v>
      </c>
      <c r="AD1782" s="4">
        <v>54</v>
      </c>
      <c r="AE1782" s="4">
        <v>108</v>
      </c>
      <c r="AF1782" s="6"/>
      <c r="AG1782" s="6"/>
      <c r="AH1782" s="7"/>
      <c r="AI1782" s="4"/>
      <c r="AJ1782" s="4">
        <f>=ROUNDDOWN({0},0)</f>
      </c>
      <c r="AK1782" s="5"/>
      <c r="AL1782" s="2" t="s">
        <v>235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235</v>
      </c>
      <c r="AW1782" s="8" t="s">
        <v>235</v>
      </c>
      <c r="AX1782" s="4" t="s">
        <v>235</v>
      </c>
      <c r="AY1782" s="8" t="s">
        <v>235</v>
      </c>
      <c r="AZ1782" s="7" t="s">
        <v>235</v>
      </c>
      <c r="BA1782" s="7" t="s">
        <v>235</v>
      </c>
      <c r="BB1782" s="7"/>
      <c r="BC1782" s="4" t="s">
        <v>235</v>
      </c>
      <c r="BD1782" s="8" t="s">
        <v>235</v>
      </c>
      <c r="BE1782" s="4" t="s">
        <v>235</v>
      </c>
      <c r="BF1782" s="8" t="s">
        <v>235</v>
      </c>
      <c r="BG1782" s="7" t="s">
        <v>235</v>
      </c>
      <c r="BH1782" s="7" t="s">
        <v>235</v>
      </c>
      <c r="BI1782" s="7"/>
      <c r="BJ1782" s="4"/>
      <c r="BK1782" s="8"/>
      <c r="BL1782" s="2" t="s">
        <v>235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330</v>
      </c>
      <c r="BV1782" s="2" t="s">
        <v>235</v>
      </c>
      <c r="BW1782" s="2" t="s">
        <v>235</v>
      </c>
      <c r="BX1782" s="2" t="s">
        <v>330</v>
      </c>
      <c r="BY1782" s="2" t="s">
        <v>331</v>
      </c>
      <c r="BZ1782" s="2" t="s">
        <v>232</v>
      </c>
      <c r="CA1782" s="2" t="s">
        <v>235</v>
      </c>
      <c r="CB1782" s="2" t="s">
        <v>235</v>
      </c>
      <c r="CC1782" s="2" t="s">
        <v>248</v>
      </c>
      <c r="CD1782" s="2" t="s">
        <v>248</v>
      </c>
      <c r="CE1782" s="2" t="s">
        <v>235</v>
      </c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>
        <v>54</v>
      </c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>
        <v>54</v>
      </c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9"/>
      <c r="HE1782" s="9"/>
      <c r="HF1782" s="9"/>
      <c r="HG1782" s="9"/>
      <c r="HH1782" s="9"/>
      <c r="HI1782" s="9"/>
      <c r="HJ1782" s="9"/>
      <c r="HK1782" s="9"/>
      <c r="HL1782" s="9"/>
      <c r="HM1782" s="9"/>
      <c r="HN1782" s="9"/>
      <c r="HO1782" s="9"/>
      <c r="HP1782" s="9"/>
      <c r="HQ1782" s="9"/>
      <c r="HR1782" s="9"/>
      <c r="HS1782" s="9"/>
      <c r="HT1782" s="9"/>
      <c r="HU1782" s="9"/>
      <c r="HV1782" s="9"/>
      <c r="HW1782" s="9"/>
      <c r="HX1782" s="9"/>
      <c r="HY1782" s="9"/>
      <c r="HZ1782" s="9"/>
      <c r="IA1782" s="9"/>
      <c r="IB1782" s="9"/>
      <c r="IC1782" s="9"/>
    </row>
    <row r="1783">
      <c r="A1783" s="2" t="s">
        <v>6549</v>
      </c>
      <c r="B1783" s="2" t="s">
        <v>852</v>
      </c>
      <c r="C1783" s="2" t="s">
        <v>324</v>
      </c>
      <c r="D1783" s="2" t="s">
        <v>854</v>
      </c>
      <c r="E1783" s="2" t="s">
        <v>2622</v>
      </c>
      <c r="F1783" s="2" t="s">
        <v>6539</v>
      </c>
      <c r="G1783" s="2" t="s">
        <v>6539</v>
      </c>
      <c r="H1783" s="2" t="s">
        <v>6539</v>
      </c>
      <c r="I1783" s="2" t="s">
        <v>6540</v>
      </c>
      <c r="J1783" s="2" t="s">
        <v>4275</v>
      </c>
      <c r="K1783" s="2" t="s">
        <v>1546</v>
      </c>
      <c r="L1783" s="3">
        <v>31.86</v>
      </c>
      <c r="M1783" s="3">
        <v>33.45</v>
      </c>
      <c r="N1783" s="3">
        <v>64.99</v>
      </c>
      <c r="O1783" s="2" t="s">
        <v>232</v>
      </c>
      <c r="P1783" s="2" t="s">
        <v>262</v>
      </c>
      <c r="Q1783" s="2" t="s">
        <v>234</v>
      </c>
      <c r="R1783" s="2" t="s">
        <v>235</v>
      </c>
      <c r="S1783" s="2" t="s">
        <v>235</v>
      </c>
      <c r="T1783" s="2" t="s">
        <v>879</v>
      </c>
      <c r="U1783" s="2" t="s">
        <v>807</v>
      </c>
      <c r="V1783" s="2" t="s">
        <v>238</v>
      </c>
      <c r="W1783" s="2" t="s">
        <v>329</v>
      </c>
      <c r="X1783" s="2" t="s">
        <v>235</v>
      </c>
      <c r="Y1783" s="2" t="s">
        <v>235</v>
      </c>
      <c r="Z1783" s="4"/>
      <c r="AA1783" s="4">
        <f>=ROUNDDOWN({0},0)</f>
      </c>
      <c r="AB1783" s="5"/>
      <c r="AC1783" s="2" t="s">
        <v>2503</v>
      </c>
      <c r="AD1783" s="4">
        <v>168</v>
      </c>
      <c r="AE1783" s="4">
        <v>318</v>
      </c>
      <c r="AF1783" s="6"/>
      <c r="AG1783" s="6"/>
      <c r="AH1783" s="7"/>
      <c r="AI1783" s="4"/>
      <c r="AJ1783" s="4">
        <f>=ROUNDDOWN({0},0)</f>
      </c>
      <c r="AK1783" s="5"/>
      <c r="AL1783" s="2" t="s">
        <v>235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235</v>
      </c>
      <c r="AW1783" s="8" t="s">
        <v>235</v>
      </c>
      <c r="AX1783" s="4" t="s">
        <v>235</v>
      </c>
      <c r="AY1783" s="8" t="s">
        <v>235</v>
      </c>
      <c r="AZ1783" s="7" t="s">
        <v>235</v>
      </c>
      <c r="BA1783" s="7" t="s">
        <v>235</v>
      </c>
      <c r="BB1783" s="7"/>
      <c r="BC1783" s="4" t="s">
        <v>235</v>
      </c>
      <c r="BD1783" s="8" t="s">
        <v>235</v>
      </c>
      <c r="BE1783" s="4" t="s">
        <v>235</v>
      </c>
      <c r="BF1783" s="8" t="s">
        <v>235</v>
      </c>
      <c r="BG1783" s="7" t="s">
        <v>235</v>
      </c>
      <c r="BH1783" s="7" t="s">
        <v>235</v>
      </c>
      <c r="BI1783" s="7"/>
      <c r="BJ1783" s="4"/>
      <c r="BK1783" s="8"/>
      <c r="BL1783" s="2" t="s">
        <v>235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330</v>
      </c>
      <c r="BV1783" s="2" t="s">
        <v>235</v>
      </c>
      <c r="BW1783" s="2" t="s">
        <v>235</v>
      </c>
      <c r="BX1783" s="2" t="s">
        <v>330</v>
      </c>
      <c r="BY1783" s="2" t="s">
        <v>331</v>
      </c>
      <c r="BZ1783" s="2" t="s">
        <v>232</v>
      </c>
      <c r="CA1783" s="2" t="s">
        <v>235</v>
      </c>
      <c r="CB1783" s="2" t="s">
        <v>235</v>
      </c>
      <c r="CC1783" s="2" t="s">
        <v>248</v>
      </c>
      <c r="CD1783" s="2" t="s">
        <v>248</v>
      </c>
      <c r="CE1783" s="2" t="s">
        <v>235</v>
      </c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>
        <v>168</v>
      </c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>
        <v>150</v>
      </c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9"/>
      <c r="HE1783" s="9"/>
      <c r="HF1783" s="9"/>
      <c r="HG1783" s="9"/>
      <c r="HH1783" s="9"/>
      <c r="HI1783" s="9"/>
      <c r="HJ1783" s="9"/>
      <c r="HK1783" s="9"/>
      <c r="HL1783" s="9"/>
      <c r="HM1783" s="9"/>
      <c r="HN1783" s="9"/>
      <c r="HO1783" s="9"/>
      <c r="HP1783" s="9"/>
      <c r="HQ1783" s="9"/>
      <c r="HR1783" s="9"/>
      <c r="HS1783" s="9"/>
      <c r="HT1783" s="9"/>
      <c r="HU1783" s="9"/>
      <c r="HV1783" s="9"/>
      <c r="HW1783" s="9"/>
      <c r="HX1783" s="9"/>
      <c r="HY1783" s="9"/>
      <c r="HZ1783" s="9"/>
      <c r="IA1783" s="9"/>
      <c r="IB1783" s="9"/>
      <c r="IC1783" s="9"/>
    </row>
    <row r="1784">
      <c r="A1784" s="2" t="s">
        <v>6550</v>
      </c>
      <c r="B1784" s="2" t="s">
        <v>852</v>
      </c>
      <c r="C1784" s="2" t="s">
        <v>324</v>
      </c>
      <c r="D1784" s="2" t="s">
        <v>854</v>
      </c>
      <c r="E1784" s="2" t="s">
        <v>2622</v>
      </c>
      <c r="F1784" s="2" t="s">
        <v>6539</v>
      </c>
      <c r="G1784" s="2" t="s">
        <v>6539</v>
      </c>
      <c r="H1784" s="2" t="s">
        <v>6539</v>
      </c>
      <c r="I1784" s="2" t="s">
        <v>6540</v>
      </c>
      <c r="J1784" s="2" t="s">
        <v>2645</v>
      </c>
      <c r="K1784" s="2" t="s">
        <v>1546</v>
      </c>
      <c r="L1784" s="3">
        <v>32.94</v>
      </c>
      <c r="M1784" s="3">
        <v>34.59</v>
      </c>
      <c r="N1784" s="3">
        <v>66.99</v>
      </c>
      <c r="O1784" s="2" t="s">
        <v>232</v>
      </c>
      <c r="P1784" s="2" t="s">
        <v>262</v>
      </c>
      <c r="Q1784" s="2" t="s">
        <v>234</v>
      </c>
      <c r="R1784" s="2" t="s">
        <v>235</v>
      </c>
      <c r="S1784" s="2" t="s">
        <v>235</v>
      </c>
      <c r="T1784" s="2" t="s">
        <v>879</v>
      </c>
      <c r="U1784" s="2" t="s">
        <v>807</v>
      </c>
      <c r="V1784" s="2" t="s">
        <v>238</v>
      </c>
      <c r="W1784" s="2" t="s">
        <v>329</v>
      </c>
      <c r="X1784" s="2" t="s">
        <v>235</v>
      </c>
      <c r="Y1784" s="2" t="s">
        <v>235</v>
      </c>
      <c r="Z1784" s="4"/>
      <c r="AA1784" s="4">
        <f>=ROUNDDOWN({0},0)</f>
      </c>
      <c r="AB1784" s="5"/>
      <c r="AC1784" s="2" t="s">
        <v>2503</v>
      </c>
      <c r="AD1784" s="4">
        <v>144</v>
      </c>
      <c r="AE1784" s="4">
        <v>276</v>
      </c>
      <c r="AF1784" s="6"/>
      <c r="AG1784" s="6"/>
      <c r="AH1784" s="7"/>
      <c r="AI1784" s="4"/>
      <c r="AJ1784" s="4">
        <f>=ROUNDDOWN({0},0)</f>
      </c>
      <c r="AK1784" s="5"/>
      <c r="AL1784" s="2" t="s">
        <v>235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235</v>
      </c>
      <c r="AW1784" s="8" t="s">
        <v>235</v>
      </c>
      <c r="AX1784" s="4" t="s">
        <v>235</v>
      </c>
      <c r="AY1784" s="8" t="s">
        <v>235</v>
      </c>
      <c r="AZ1784" s="7" t="s">
        <v>235</v>
      </c>
      <c r="BA1784" s="7" t="s">
        <v>235</v>
      </c>
      <c r="BB1784" s="7"/>
      <c r="BC1784" s="4" t="s">
        <v>235</v>
      </c>
      <c r="BD1784" s="8" t="s">
        <v>235</v>
      </c>
      <c r="BE1784" s="4" t="s">
        <v>235</v>
      </c>
      <c r="BF1784" s="8" t="s">
        <v>235</v>
      </c>
      <c r="BG1784" s="7" t="s">
        <v>235</v>
      </c>
      <c r="BH1784" s="7" t="s">
        <v>235</v>
      </c>
      <c r="BI1784" s="7"/>
      <c r="BJ1784" s="4"/>
      <c r="BK1784" s="8"/>
      <c r="BL1784" s="2" t="s">
        <v>235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330</v>
      </c>
      <c r="BV1784" s="2" t="s">
        <v>235</v>
      </c>
      <c r="BW1784" s="2" t="s">
        <v>235</v>
      </c>
      <c r="BX1784" s="2" t="s">
        <v>330</v>
      </c>
      <c r="BY1784" s="2" t="s">
        <v>331</v>
      </c>
      <c r="BZ1784" s="2" t="s">
        <v>232</v>
      </c>
      <c r="CA1784" s="2" t="s">
        <v>235</v>
      </c>
      <c r="CB1784" s="2" t="s">
        <v>235</v>
      </c>
      <c r="CC1784" s="2" t="s">
        <v>248</v>
      </c>
      <c r="CD1784" s="2" t="s">
        <v>248</v>
      </c>
      <c r="CE1784" s="2" t="s">
        <v>235</v>
      </c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>
        <v>144</v>
      </c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>
        <v>132</v>
      </c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9"/>
      <c r="HE1784" s="9"/>
      <c r="HF1784" s="9"/>
      <c r="HG1784" s="9"/>
      <c r="HH1784" s="9"/>
      <c r="HI1784" s="9"/>
      <c r="HJ1784" s="9"/>
      <c r="HK1784" s="9"/>
      <c r="HL1784" s="9"/>
      <c r="HM1784" s="9"/>
      <c r="HN1784" s="9"/>
      <c r="HO1784" s="9"/>
      <c r="HP1784" s="9"/>
      <c r="HQ1784" s="9"/>
      <c r="HR1784" s="9"/>
      <c r="HS1784" s="9"/>
      <c r="HT1784" s="9"/>
      <c r="HU1784" s="9"/>
      <c r="HV1784" s="9"/>
      <c r="HW1784" s="9"/>
      <c r="HX1784" s="9"/>
      <c r="HY1784" s="9"/>
      <c r="HZ1784" s="9"/>
      <c r="IA1784" s="9"/>
      <c r="IB1784" s="9"/>
      <c r="IC1784" s="9"/>
    </row>
    <row r="1785">
      <c r="A1785" s="2" t="s">
        <v>6551</v>
      </c>
      <c r="B1785" s="2" t="s">
        <v>852</v>
      </c>
      <c r="C1785" s="2" t="s">
        <v>324</v>
      </c>
      <c r="D1785" s="2" t="s">
        <v>854</v>
      </c>
      <c r="E1785" s="2" t="s">
        <v>2622</v>
      </c>
      <c r="F1785" s="2" t="s">
        <v>6539</v>
      </c>
      <c r="G1785" s="2" t="s">
        <v>6539</v>
      </c>
      <c r="H1785" s="2" t="s">
        <v>6539</v>
      </c>
      <c r="I1785" s="2" t="s">
        <v>6540</v>
      </c>
      <c r="J1785" s="2" t="s">
        <v>4275</v>
      </c>
      <c r="K1785" s="2" t="s">
        <v>302</v>
      </c>
      <c r="L1785" s="3">
        <v>31.86</v>
      </c>
      <c r="M1785" s="3">
        <v>33.45</v>
      </c>
      <c r="N1785" s="3">
        <v>64.99</v>
      </c>
      <c r="O1785" s="2" t="s">
        <v>232</v>
      </c>
      <c r="P1785" s="2" t="s">
        <v>878</v>
      </c>
      <c r="Q1785" s="2" t="s">
        <v>234</v>
      </c>
      <c r="R1785" s="2" t="s">
        <v>235</v>
      </c>
      <c r="S1785" s="2" t="s">
        <v>235</v>
      </c>
      <c r="T1785" s="2" t="s">
        <v>879</v>
      </c>
      <c r="U1785" s="2" t="s">
        <v>807</v>
      </c>
      <c r="V1785" s="2" t="s">
        <v>238</v>
      </c>
      <c r="W1785" s="2" t="s">
        <v>329</v>
      </c>
      <c r="X1785" s="2" t="s">
        <v>235</v>
      </c>
      <c r="Y1785" s="2" t="s">
        <v>6541</v>
      </c>
      <c r="Z1785" s="4">
        <v>1</v>
      </c>
      <c r="AA1785" s="4">
        <f>=ROUNDDOWN(0.032258064516129,0)</f>
      </c>
      <c r="AB1785" s="5">
        <v>31</v>
      </c>
      <c r="AC1785" s="2" t="s">
        <v>574</v>
      </c>
      <c r="AD1785" s="4">
        <v>348</v>
      </c>
      <c r="AE1785" s="4">
        <v>816</v>
      </c>
      <c r="AF1785" s="6">
        <v>65</v>
      </c>
      <c r="AG1785" s="6"/>
      <c r="AH1785" s="7">
        <v>0</v>
      </c>
      <c r="AI1785" s="4"/>
      <c r="AJ1785" s="4">
        <f>=ROUNDDOWN({0},0)</f>
      </c>
      <c r="AK1785" s="5"/>
      <c r="AL1785" s="2" t="s">
        <v>235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235</v>
      </c>
      <c r="BD1785" s="8" t="s">
        <v>235</v>
      </c>
      <c r="BE1785" s="4" t="s">
        <v>235</v>
      </c>
      <c r="BF1785" s="8" t="s">
        <v>235</v>
      </c>
      <c r="BG1785" s="7" t="s">
        <v>235</v>
      </c>
      <c r="BH1785" s="7" t="s">
        <v>235</v>
      </c>
      <c r="BI1785" s="7"/>
      <c r="BJ1785" s="4"/>
      <c r="BK1785" s="8"/>
      <c r="BL1785" s="2" t="s">
        <v>235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6542</v>
      </c>
      <c r="BV1785" s="2" t="s">
        <v>235</v>
      </c>
      <c r="BW1785" s="2" t="s">
        <v>235</v>
      </c>
      <c r="BX1785" s="2" t="s">
        <v>244</v>
      </c>
      <c r="BY1785" s="2" t="s">
        <v>245</v>
      </c>
      <c r="BZ1785" s="2" t="s">
        <v>232</v>
      </c>
      <c r="CA1785" s="2" t="s">
        <v>235</v>
      </c>
      <c r="CB1785" s="2" t="s">
        <v>6552</v>
      </c>
      <c r="CC1785" s="2" t="s">
        <v>248</v>
      </c>
      <c r="CD1785" s="2" t="s">
        <v>248</v>
      </c>
      <c r="CE1785" s="2" t="s">
        <v>235</v>
      </c>
      <c r="CF1785" s="4">
        <v>1</v>
      </c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>
        <v>348</v>
      </c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>
        <v>246</v>
      </c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>
        <v>222</v>
      </c>
      <c r="FU1785" s="4"/>
      <c r="FV1785" s="4"/>
      <c r="FW1785" s="4"/>
      <c r="FX1785" s="4"/>
      <c r="FY1785" s="4"/>
      <c r="FZ1785" s="4"/>
      <c r="GA1785" s="4"/>
      <c r="GB1785" s="4"/>
      <c r="GC1785" s="4"/>
      <c r="GD1785" s="4">
        <v>1</v>
      </c>
      <c r="GE1785" s="4"/>
      <c r="GF1785" s="4"/>
      <c r="GG1785" s="4"/>
      <c r="GH1785" s="4"/>
      <c r="GI1785" s="4"/>
      <c r="GJ1785" s="4"/>
      <c r="GK1785" s="4"/>
      <c r="GL1785" s="4"/>
      <c r="GM1785" s="4">
        <v>348</v>
      </c>
      <c r="GN1785" s="4">
        <v>106</v>
      </c>
      <c r="GO1785" s="4">
        <v>318</v>
      </c>
      <c r="GP1785" s="4">
        <v>286</v>
      </c>
      <c r="GQ1785" s="4">
        <v>250</v>
      </c>
      <c r="GR1785" s="4">
        <v>219</v>
      </c>
      <c r="GS1785" s="4">
        <v>187</v>
      </c>
      <c r="GT1785" s="4">
        <v>156</v>
      </c>
      <c r="GU1785" s="4">
        <v>347</v>
      </c>
      <c r="GV1785" s="4">
        <v>311</v>
      </c>
      <c r="GW1785" s="4">
        <v>640</v>
      </c>
      <c r="GX1785" s="4">
        <v>609</v>
      </c>
      <c r="GY1785" s="4">
        <v>788</v>
      </c>
      <c r="GZ1785" s="4">
        <v>757</v>
      </c>
      <c r="HA1785" s="4">
        <v>726</v>
      </c>
      <c r="HB1785" s="4">
        <v>695</v>
      </c>
      <c r="HC1785" s="4">
        <v>663</v>
      </c>
      <c r="HD1785" s="19">
        <v>0.1</v>
      </c>
      <c r="HE1785" s="20">
        <v>0</v>
      </c>
      <c r="HF1785" s="20">
        <v>0</v>
      </c>
      <c r="HG1785" s="20">
        <v>0</v>
      </c>
      <c r="HH1785" s="20">
        <v>0</v>
      </c>
      <c r="HI1785" s="20">
        <v>0</v>
      </c>
      <c r="HJ1785" s="20">
        <v>0</v>
      </c>
      <c r="HK1785" s="20">
        <v>0</v>
      </c>
      <c r="HL1785" s="20">
        <v>0</v>
      </c>
      <c r="HM1785" s="19">
        <v>4</v>
      </c>
      <c r="HN1785" s="19">
        <v>3.2</v>
      </c>
      <c r="HO1785" s="19">
        <v>9.6</v>
      </c>
      <c r="HP1785" s="19">
        <v>8.9</v>
      </c>
      <c r="HQ1785" s="19">
        <v>8.1</v>
      </c>
      <c r="HR1785" s="19">
        <v>6.8</v>
      </c>
      <c r="HS1785" s="19">
        <v>5.8</v>
      </c>
      <c r="HT1785" s="19">
        <v>4.9</v>
      </c>
      <c r="HU1785" s="19">
        <v>10.8</v>
      </c>
      <c r="HV1785" s="19">
        <v>10</v>
      </c>
      <c r="HW1785" s="19">
        <v>20.6</v>
      </c>
      <c r="HX1785" s="19">
        <v>19.6</v>
      </c>
      <c r="HY1785" s="19">
        <v>25.4</v>
      </c>
      <c r="HZ1785" s="19">
        <v>24.4</v>
      </c>
      <c r="IA1785" s="19">
        <v>23.4</v>
      </c>
      <c r="IB1785" s="19">
        <v>22.4</v>
      </c>
      <c r="IC1785" s="19">
        <v>21.4</v>
      </c>
    </row>
    <row r="1786">
      <c r="A1786" s="2" t="s">
        <v>6553</v>
      </c>
      <c r="B1786" s="2" t="s">
        <v>852</v>
      </c>
      <c r="C1786" s="2" t="s">
        <v>324</v>
      </c>
      <c r="D1786" s="2" t="s">
        <v>854</v>
      </c>
      <c r="E1786" s="2" t="s">
        <v>2622</v>
      </c>
      <c r="F1786" s="2" t="s">
        <v>6539</v>
      </c>
      <c r="G1786" s="2" t="s">
        <v>6539</v>
      </c>
      <c r="H1786" s="2" t="s">
        <v>6539</v>
      </c>
      <c r="I1786" s="2" t="s">
        <v>6540</v>
      </c>
      <c r="J1786" s="2" t="s">
        <v>4271</v>
      </c>
      <c r="K1786" s="2" t="s">
        <v>316</v>
      </c>
      <c r="L1786" s="3">
        <v>29.16</v>
      </c>
      <c r="M1786" s="3">
        <v>30.62</v>
      </c>
      <c r="N1786" s="3">
        <v>61.99</v>
      </c>
      <c r="O1786" s="2" t="s">
        <v>232</v>
      </c>
      <c r="P1786" s="2" t="s">
        <v>878</v>
      </c>
      <c r="Q1786" s="2" t="s">
        <v>234</v>
      </c>
      <c r="R1786" s="2" t="s">
        <v>235</v>
      </c>
      <c r="S1786" s="2" t="s">
        <v>235</v>
      </c>
      <c r="T1786" s="2" t="s">
        <v>879</v>
      </c>
      <c r="U1786" s="2" t="s">
        <v>807</v>
      </c>
      <c r="V1786" s="2" t="s">
        <v>238</v>
      </c>
      <c r="W1786" s="2" t="s">
        <v>329</v>
      </c>
      <c r="X1786" s="2" t="s">
        <v>235</v>
      </c>
      <c r="Y1786" s="2" t="s">
        <v>6541</v>
      </c>
      <c r="Z1786" s="4">
        <v>3</v>
      </c>
      <c r="AA1786" s="4">
        <f>=ROUNDDOWN(0.214285714285714,0)</f>
      </c>
      <c r="AB1786" s="5">
        <v>14</v>
      </c>
      <c r="AC1786" s="2" t="s">
        <v>170</v>
      </c>
      <c r="AD1786" s="4">
        <v>168</v>
      </c>
      <c r="AE1786" s="4">
        <v>438</v>
      </c>
      <c r="AF1786" s="6">
        <v>65</v>
      </c>
      <c r="AG1786" s="6"/>
      <c r="AH1786" s="7">
        <v>0</v>
      </c>
      <c r="AI1786" s="4"/>
      <c r="AJ1786" s="4">
        <f>=ROUNDDOWN({0},0)</f>
      </c>
      <c r="AK1786" s="5"/>
      <c r="AL1786" s="2" t="s">
        <v>235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235</v>
      </c>
      <c r="AW1786" s="8" t="s">
        <v>235</v>
      </c>
      <c r="AX1786" s="4" t="s">
        <v>235</v>
      </c>
      <c r="AY1786" s="8" t="s">
        <v>235</v>
      </c>
      <c r="AZ1786" s="7" t="s">
        <v>235</v>
      </c>
      <c r="BA1786" s="7" t="s">
        <v>235</v>
      </c>
      <c r="BB1786" s="7"/>
      <c r="BC1786" s="4" t="s">
        <v>235</v>
      </c>
      <c r="BD1786" s="8" t="s">
        <v>235</v>
      </c>
      <c r="BE1786" s="4" t="s">
        <v>235</v>
      </c>
      <c r="BF1786" s="8" t="s">
        <v>235</v>
      </c>
      <c r="BG1786" s="7" t="s">
        <v>235</v>
      </c>
      <c r="BH1786" s="7" t="s">
        <v>235</v>
      </c>
      <c r="BI1786" s="7"/>
      <c r="BJ1786" s="4"/>
      <c r="BK1786" s="8"/>
      <c r="BL1786" s="2" t="s">
        <v>235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6542</v>
      </c>
      <c r="BV1786" s="2" t="s">
        <v>235</v>
      </c>
      <c r="BW1786" s="2" t="s">
        <v>235</v>
      </c>
      <c r="BX1786" s="2" t="s">
        <v>244</v>
      </c>
      <c r="BY1786" s="2" t="s">
        <v>245</v>
      </c>
      <c r="BZ1786" s="2" t="s">
        <v>232</v>
      </c>
      <c r="CA1786" s="2" t="s">
        <v>235</v>
      </c>
      <c r="CB1786" s="2" t="s">
        <v>6554</v>
      </c>
      <c r="CC1786" s="2" t="s">
        <v>248</v>
      </c>
      <c r="CD1786" s="2" t="s">
        <v>248</v>
      </c>
      <c r="CE1786" s="2" t="s">
        <v>235</v>
      </c>
      <c r="CF1786" s="4">
        <v>3</v>
      </c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>
        <v>168</v>
      </c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>
        <v>150</v>
      </c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>
        <v>120</v>
      </c>
      <c r="FU1786" s="4"/>
      <c r="FV1786" s="4"/>
      <c r="FW1786" s="4"/>
      <c r="FX1786" s="4"/>
      <c r="FY1786" s="4"/>
      <c r="FZ1786" s="4"/>
      <c r="GA1786" s="4"/>
      <c r="GB1786" s="4"/>
      <c r="GC1786" s="4"/>
      <c r="GD1786" s="4">
        <v>3</v>
      </c>
      <c r="GE1786" s="4"/>
      <c r="GF1786" s="4"/>
      <c r="GG1786" s="4"/>
      <c r="GH1786" s="4"/>
      <c r="GI1786" s="4"/>
      <c r="GJ1786" s="4"/>
      <c r="GK1786" s="4"/>
      <c r="GL1786" s="4">
        <v>168</v>
      </c>
      <c r="GM1786" s="4">
        <v>94</v>
      </c>
      <c r="GN1786" s="4">
        <v>79</v>
      </c>
      <c r="GO1786" s="4">
        <v>212</v>
      </c>
      <c r="GP1786" s="4">
        <v>197</v>
      </c>
      <c r="GQ1786" s="4">
        <v>178</v>
      </c>
      <c r="GR1786" s="4">
        <v>164</v>
      </c>
      <c r="GS1786" s="4">
        <v>149</v>
      </c>
      <c r="GT1786" s="4">
        <v>135</v>
      </c>
      <c r="GU1786" s="4">
        <v>241</v>
      </c>
      <c r="GV1786" s="4">
        <v>226</v>
      </c>
      <c r="GW1786" s="4">
        <v>212</v>
      </c>
      <c r="GX1786" s="4">
        <v>198</v>
      </c>
      <c r="GY1786" s="4">
        <v>184</v>
      </c>
      <c r="GZ1786" s="4">
        <v>170</v>
      </c>
      <c r="HA1786" s="4">
        <v>156</v>
      </c>
      <c r="HB1786" s="4">
        <v>142</v>
      </c>
      <c r="HC1786" s="4">
        <v>127</v>
      </c>
      <c r="HD1786" s="19">
        <v>0.4</v>
      </c>
      <c r="HE1786" s="20">
        <v>0</v>
      </c>
      <c r="HF1786" s="20">
        <v>0</v>
      </c>
      <c r="HG1786" s="20">
        <v>0</v>
      </c>
      <c r="HH1786" s="20">
        <v>0</v>
      </c>
      <c r="HI1786" s="20">
        <v>0</v>
      </c>
      <c r="HJ1786" s="20">
        <v>0</v>
      </c>
      <c r="HK1786" s="20">
        <v>0</v>
      </c>
      <c r="HL1786" s="19">
        <v>5.6</v>
      </c>
      <c r="HM1786" s="19">
        <v>5.9</v>
      </c>
      <c r="HN1786" s="19">
        <v>4.9</v>
      </c>
      <c r="HO1786" s="19">
        <v>13.3</v>
      </c>
      <c r="HP1786" s="19">
        <v>12.3</v>
      </c>
      <c r="HQ1786" s="19">
        <v>12.7</v>
      </c>
      <c r="HR1786" s="19">
        <v>11.7</v>
      </c>
      <c r="HS1786" s="19">
        <v>10.6</v>
      </c>
      <c r="HT1786" s="19">
        <v>9.6</v>
      </c>
      <c r="HU1786" s="19">
        <v>17.2</v>
      </c>
      <c r="HV1786" s="19">
        <v>16.1</v>
      </c>
      <c r="HW1786" s="19">
        <v>15.1</v>
      </c>
      <c r="HX1786" s="19">
        <v>14.1</v>
      </c>
      <c r="HY1786" s="19">
        <v>13.1</v>
      </c>
      <c r="HZ1786" s="19">
        <v>12.1</v>
      </c>
      <c r="IA1786" s="19">
        <v>11.1</v>
      </c>
      <c r="IB1786" s="19">
        <v>10.1</v>
      </c>
      <c r="IC1786" s="19">
        <v>9.1</v>
      </c>
    </row>
    <row r="1787">
      <c r="A1787" s="2" t="s">
        <v>6555</v>
      </c>
      <c r="B1787" s="2" t="s">
        <v>852</v>
      </c>
      <c r="C1787" s="2" t="s">
        <v>324</v>
      </c>
      <c r="D1787" s="2" t="s">
        <v>854</v>
      </c>
      <c r="E1787" s="2" t="s">
        <v>2622</v>
      </c>
      <c r="F1787" s="2" t="s">
        <v>6539</v>
      </c>
      <c r="G1787" s="2" t="s">
        <v>6539</v>
      </c>
      <c r="H1787" s="2" t="s">
        <v>6539</v>
      </c>
      <c r="I1787" s="2" t="s">
        <v>6540</v>
      </c>
      <c r="J1787" s="2" t="s">
        <v>2640</v>
      </c>
      <c r="K1787" s="2" t="s">
        <v>316</v>
      </c>
      <c r="L1787" s="3">
        <v>30.24</v>
      </c>
      <c r="M1787" s="3">
        <v>31.75</v>
      </c>
      <c r="N1787" s="3">
        <v>62.99</v>
      </c>
      <c r="O1787" s="2" t="s">
        <v>232</v>
      </c>
      <c r="P1787" s="2" t="s">
        <v>878</v>
      </c>
      <c r="Q1787" s="2" t="s">
        <v>234</v>
      </c>
      <c r="R1787" s="2" t="s">
        <v>235</v>
      </c>
      <c r="S1787" s="2" t="s">
        <v>235</v>
      </c>
      <c r="T1787" s="2" t="s">
        <v>879</v>
      </c>
      <c r="U1787" s="2" t="s">
        <v>807</v>
      </c>
      <c r="V1787" s="2" t="s">
        <v>238</v>
      </c>
      <c r="W1787" s="2" t="s">
        <v>329</v>
      </c>
      <c r="X1787" s="2" t="s">
        <v>235</v>
      </c>
      <c r="Y1787" s="2" t="s">
        <v>6541</v>
      </c>
      <c r="Z1787" s="4">
        <v>1</v>
      </c>
      <c r="AA1787" s="4">
        <f>=ROUNDDOWN(0.0769230769230769,0)</f>
      </c>
      <c r="AB1787" s="5">
        <v>13</v>
      </c>
      <c r="AC1787" s="2" t="s">
        <v>170</v>
      </c>
      <c r="AD1787" s="4">
        <v>144</v>
      </c>
      <c r="AE1787" s="4">
        <v>414</v>
      </c>
      <c r="AF1787" s="6">
        <v>65</v>
      </c>
      <c r="AG1787" s="6"/>
      <c r="AH1787" s="7">
        <v>0.0968</v>
      </c>
      <c r="AI1787" s="4"/>
      <c r="AJ1787" s="4">
        <f>=ROUNDDOWN({0},0)</f>
      </c>
      <c r="AK1787" s="5"/>
      <c r="AL1787" s="2" t="s">
        <v>235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235</v>
      </c>
      <c r="AW1787" s="8" t="s">
        <v>235</v>
      </c>
      <c r="AX1787" s="4" t="s">
        <v>235</v>
      </c>
      <c r="AY1787" s="8" t="s">
        <v>235</v>
      </c>
      <c r="AZ1787" s="7" t="s">
        <v>235</v>
      </c>
      <c r="BA1787" s="7" t="s">
        <v>235</v>
      </c>
      <c r="BB1787" s="7"/>
      <c r="BC1787" s="4" t="s">
        <v>235</v>
      </c>
      <c r="BD1787" s="8" t="s">
        <v>235</v>
      </c>
      <c r="BE1787" s="4" t="s">
        <v>235</v>
      </c>
      <c r="BF1787" s="8" t="s">
        <v>235</v>
      </c>
      <c r="BG1787" s="7" t="s">
        <v>235</v>
      </c>
      <c r="BH1787" s="7" t="s">
        <v>235</v>
      </c>
      <c r="BI1787" s="7"/>
      <c r="BJ1787" s="4">
        <v>42</v>
      </c>
      <c r="BK1787" s="8">
        <v>1270.08</v>
      </c>
      <c r="BL1787" s="2" t="s">
        <v>2683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6542</v>
      </c>
      <c r="BV1787" s="2" t="s">
        <v>235</v>
      </c>
      <c r="BW1787" s="2" t="s">
        <v>235</v>
      </c>
      <c r="BX1787" s="2" t="s">
        <v>244</v>
      </c>
      <c r="BY1787" s="2" t="s">
        <v>245</v>
      </c>
      <c r="BZ1787" s="2" t="s">
        <v>232</v>
      </c>
      <c r="CA1787" s="2" t="s">
        <v>235</v>
      </c>
      <c r="CB1787" s="2" t="s">
        <v>6146</v>
      </c>
      <c r="CC1787" s="2" t="s">
        <v>248</v>
      </c>
      <c r="CD1787" s="2" t="s">
        <v>248</v>
      </c>
      <c r="CE1787" s="2" t="s">
        <v>235</v>
      </c>
      <c r="CF1787" s="4">
        <v>1</v>
      </c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>
        <v>144</v>
      </c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>
        <v>168</v>
      </c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>
        <v>102</v>
      </c>
      <c r="FU1787" s="4"/>
      <c r="FV1787" s="4"/>
      <c r="FW1787" s="4"/>
      <c r="FX1787" s="4"/>
      <c r="FY1787" s="4"/>
      <c r="FZ1787" s="4"/>
      <c r="GA1787" s="4"/>
      <c r="GB1787" s="4"/>
      <c r="GC1787" s="4"/>
      <c r="GD1787" s="4">
        <v>1</v>
      </c>
      <c r="GE1787" s="4"/>
      <c r="GF1787" s="4"/>
      <c r="GG1787" s="4"/>
      <c r="GH1787" s="4"/>
      <c r="GI1787" s="4"/>
      <c r="GJ1787" s="4"/>
      <c r="GK1787" s="4"/>
      <c r="GL1787" s="4">
        <v>144</v>
      </c>
      <c r="GM1787" s="4">
        <v>65</v>
      </c>
      <c r="GN1787" s="4">
        <v>51</v>
      </c>
      <c r="GO1787" s="4">
        <v>204</v>
      </c>
      <c r="GP1787" s="4">
        <v>190</v>
      </c>
      <c r="GQ1787" s="4">
        <v>173</v>
      </c>
      <c r="GR1787" s="4">
        <v>160</v>
      </c>
      <c r="GS1787" s="4">
        <v>146</v>
      </c>
      <c r="GT1787" s="4">
        <v>133</v>
      </c>
      <c r="GU1787" s="4">
        <v>222</v>
      </c>
      <c r="GV1787" s="4">
        <v>207</v>
      </c>
      <c r="GW1787" s="4">
        <v>194</v>
      </c>
      <c r="GX1787" s="4">
        <v>181</v>
      </c>
      <c r="GY1787" s="4">
        <v>168</v>
      </c>
      <c r="GZ1787" s="4">
        <v>155</v>
      </c>
      <c r="HA1787" s="4">
        <v>142</v>
      </c>
      <c r="HB1787" s="4">
        <v>129</v>
      </c>
      <c r="HC1787" s="4">
        <v>115</v>
      </c>
      <c r="HD1787" s="19">
        <v>0.2</v>
      </c>
      <c r="HE1787" s="20">
        <v>0</v>
      </c>
      <c r="HF1787" s="20">
        <v>0</v>
      </c>
      <c r="HG1787" s="20">
        <v>0</v>
      </c>
      <c r="HH1787" s="20">
        <v>0</v>
      </c>
      <c r="HI1787" s="20">
        <v>0</v>
      </c>
      <c r="HJ1787" s="20">
        <v>0</v>
      </c>
      <c r="HK1787" s="20">
        <v>0</v>
      </c>
      <c r="HL1787" s="19">
        <v>4.8</v>
      </c>
      <c r="HM1787" s="19">
        <v>4.3</v>
      </c>
      <c r="HN1787" s="19">
        <v>3.4</v>
      </c>
      <c r="HO1787" s="19">
        <v>14.6</v>
      </c>
      <c r="HP1787" s="19">
        <v>13.6</v>
      </c>
      <c r="HQ1787" s="19">
        <v>13.3</v>
      </c>
      <c r="HR1787" s="19">
        <v>11.4</v>
      </c>
      <c r="HS1787" s="19">
        <v>10.4</v>
      </c>
      <c r="HT1787" s="19">
        <v>9.5</v>
      </c>
      <c r="HU1787" s="19">
        <v>15.9</v>
      </c>
      <c r="HV1787" s="19">
        <v>15.9</v>
      </c>
      <c r="HW1787" s="19">
        <v>14.9</v>
      </c>
      <c r="HX1787" s="19">
        <v>13.9</v>
      </c>
      <c r="HY1787" s="19">
        <v>12.9</v>
      </c>
      <c r="HZ1787" s="19">
        <v>11.9</v>
      </c>
      <c r="IA1787" s="19">
        <v>10.9</v>
      </c>
      <c r="IB1787" s="19">
        <v>9.9</v>
      </c>
      <c r="IC1787" s="19">
        <v>8.8</v>
      </c>
    </row>
    <row r="1788">
      <c r="A1788" s="2" t="s">
        <v>6556</v>
      </c>
      <c r="B1788" s="2" t="s">
        <v>852</v>
      </c>
      <c r="C1788" s="2" t="s">
        <v>324</v>
      </c>
      <c r="D1788" s="2" t="s">
        <v>854</v>
      </c>
      <c r="E1788" s="2" t="s">
        <v>2622</v>
      </c>
      <c r="F1788" s="2" t="s">
        <v>6539</v>
      </c>
      <c r="G1788" s="2" t="s">
        <v>6539</v>
      </c>
      <c r="H1788" s="2" t="s">
        <v>6539</v>
      </c>
      <c r="I1788" s="2" t="s">
        <v>6540</v>
      </c>
      <c r="J1788" s="2" t="s">
        <v>4275</v>
      </c>
      <c r="K1788" s="2" t="s">
        <v>316</v>
      </c>
      <c r="L1788" s="3">
        <v>31.86</v>
      </c>
      <c r="M1788" s="3">
        <v>33.45</v>
      </c>
      <c r="N1788" s="3">
        <v>64.99</v>
      </c>
      <c r="O1788" s="2" t="s">
        <v>232</v>
      </c>
      <c r="P1788" s="2" t="s">
        <v>878</v>
      </c>
      <c r="Q1788" s="2" t="s">
        <v>234</v>
      </c>
      <c r="R1788" s="2" t="s">
        <v>235</v>
      </c>
      <c r="S1788" s="2" t="s">
        <v>235</v>
      </c>
      <c r="T1788" s="2" t="s">
        <v>879</v>
      </c>
      <c r="U1788" s="2" t="s">
        <v>807</v>
      </c>
      <c r="V1788" s="2" t="s">
        <v>238</v>
      </c>
      <c r="W1788" s="2" t="s">
        <v>329</v>
      </c>
      <c r="X1788" s="2" t="s">
        <v>235</v>
      </c>
      <c r="Y1788" s="2" t="s">
        <v>6541</v>
      </c>
      <c r="Z1788" s="4">
        <v>3</v>
      </c>
      <c r="AA1788" s="4">
        <f>=ROUNDDOWN(0.166666666666667,0)</f>
      </c>
      <c r="AB1788" s="5">
        <v>18</v>
      </c>
      <c r="AC1788" s="2" t="s">
        <v>170</v>
      </c>
      <c r="AD1788" s="4">
        <v>210</v>
      </c>
      <c r="AE1788" s="4">
        <v>588</v>
      </c>
      <c r="AF1788" s="6">
        <v>65</v>
      </c>
      <c r="AG1788" s="6"/>
      <c r="AH1788" s="7">
        <v>0</v>
      </c>
      <c r="AI1788" s="4"/>
      <c r="AJ1788" s="4">
        <f>=ROUNDDOWN({0},0)</f>
      </c>
      <c r="AK1788" s="5"/>
      <c r="AL1788" s="2" t="s">
        <v>235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235</v>
      </c>
      <c r="AW1788" s="8" t="s">
        <v>235</v>
      </c>
      <c r="AX1788" s="4" t="s">
        <v>235</v>
      </c>
      <c r="AY1788" s="8" t="s">
        <v>235</v>
      </c>
      <c r="AZ1788" s="7" t="s">
        <v>235</v>
      </c>
      <c r="BA1788" s="7" t="s">
        <v>235</v>
      </c>
      <c r="BB1788" s="7"/>
      <c r="BC1788" s="4" t="s">
        <v>235</v>
      </c>
      <c r="BD1788" s="8" t="s">
        <v>235</v>
      </c>
      <c r="BE1788" s="4" t="s">
        <v>235</v>
      </c>
      <c r="BF1788" s="8" t="s">
        <v>235</v>
      </c>
      <c r="BG1788" s="7" t="s">
        <v>235</v>
      </c>
      <c r="BH1788" s="7" t="s">
        <v>235</v>
      </c>
      <c r="BI1788" s="7"/>
      <c r="BJ1788" s="4"/>
      <c r="BK1788" s="8"/>
      <c r="BL1788" s="2" t="s">
        <v>235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6542</v>
      </c>
      <c r="BV1788" s="2" t="s">
        <v>235</v>
      </c>
      <c r="BW1788" s="2" t="s">
        <v>235</v>
      </c>
      <c r="BX1788" s="2" t="s">
        <v>244</v>
      </c>
      <c r="BY1788" s="2" t="s">
        <v>245</v>
      </c>
      <c r="BZ1788" s="2" t="s">
        <v>232</v>
      </c>
      <c r="CA1788" s="2" t="s">
        <v>235</v>
      </c>
      <c r="CB1788" s="2" t="s">
        <v>235</v>
      </c>
      <c r="CC1788" s="2" t="s">
        <v>248</v>
      </c>
      <c r="CD1788" s="2" t="s">
        <v>248</v>
      </c>
      <c r="CE1788" s="2" t="s">
        <v>235</v>
      </c>
      <c r="CF1788" s="4">
        <v>3</v>
      </c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>
        <v>210</v>
      </c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>
        <v>198</v>
      </c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>
        <v>180</v>
      </c>
      <c r="FU1788" s="4"/>
      <c r="FV1788" s="4"/>
      <c r="FW1788" s="4"/>
      <c r="FX1788" s="4"/>
      <c r="FY1788" s="4"/>
      <c r="FZ1788" s="4"/>
      <c r="GA1788" s="4"/>
      <c r="GB1788" s="4"/>
      <c r="GC1788" s="4"/>
      <c r="GD1788" s="4">
        <v>3</v>
      </c>
      <c r="GE1788" s="4"/>
      <c r="GF1788" s="4"/>
      <c r="GG1788" s="4"/>
      <c r="GH1788" s="4"/>
      <c r="GI1788" s="4"/>
      <c r="GJ1788" s="4"/>
      <c r="GK1788" s="4"/>
      <c r="GL1788" s="4">
        <v>210</v>
      </c>
      <c r="GM1788" s="4">
        <v>78</v>
      </c>
      <c r="GN1788" s="4">
        <v>59</v>
      </c>
      <c r="GO1788" s="4">
        <v>237</v>
      </c>
      <c r="GP1788" s="4">
        <v>218</v>
      </c>
      <c r="GQ1788" s="4">
        <v>196</v>
      </c>
      <c r="GR1788" s="4">
        <v>178</v>
      </c>
      <c r="GS1788" s="4">
        <v>159</v>
      </c>
      <c r="GT1788" s="4">
        <v>141</v>
      </c>
      <c r="GU1788" s="4">
        <v>303</v>
      </c>
      <c r="GV1788" s="4">
        <v>282</v>
      </c>
      <c r="GW1788" s="4">
        <v>264</v>
      </c>
      <c r="GX1788" s="4">
        <v>246</v>
      </c>
      <c r="GY1788" s="4">
        <v>228</v>
      </c>
      <c r="GZ1788" s="4">
        <v>210</v>
      </c>
      <c r="HA1788" s="4">
        <v>192</v>
      </c>
      <c r="HB1788" s="4">
        <v>174</v>
      </c>
      <c r="HC1788" s="4">
        <v>155</v>
      </c>
      <c r="HD1788" s="19">
        <v>0.6</v>
      </c>
      <c r="HE1788" s="20">
        <v>0</v>
      </c>
      <c r="HF1788" s="20">
        <v>0</v>
      </c>
      <c r="HG1788" s="20">
        <v>0</v>
      </c>
      <c r="HH1788" s="20">
        <v>0</v>
      </c>
      <c r="HI1788" s="20">
        <v>0</v>
      </c>
      <c r="HJ1788" s="20">
        <v>0</v>
      </c>
      <c r="HK1788" s="20">
        <v>0</v>
      </c>
      <c r="HL1788" s="19">
        <v>4.4</v>
      </c>
      <c r="HM1788" s="19">
        <v>3.9</v>
      </c>
      <c r="HN1788" s="19">
        <v>3</v>
      </c>
      <c r="HO1788" s="19">
        <v>11.9</v>
      </c>
      <c r="HP1788" s="19">
        <v>11.5</v>
      </c>
      <c r="HQ1788" s="19">
        <v>10.9</v>
      </c>
      <c r="HR1788" s="19">
        <v>9.4</v>
      </c>
      <c r="HS1788" s="19">
        <v>8.4</v>
      </c>
      <c r="HT1788" s="19">
        <v>7.4</v>
      </c>
      <c r="HU1788" s="19">
        <v>15.9</v>
      </c>
      <c r="HV1788" s="19">
        <v>15.7</v>
      </c>
      <c r="HW1788" s="19">
        <v>14.7</v>
      </c>
      <c r="HX1788" s="19">
        <v>13.7</v>
      </c>
      <c r="HY1788" s="19">
        <v>12.7</v>
      </c>
      <c r="HZ1788" s="19">
        <v>11.7</v>
      </c>
      <c r="IA1788" s="19">
        <v>10.7</v>
      </c>
      <c r="IB1788" s="19">
        <v>9.7</v>
      </c>
      <c r="IC1788" s="19">
        <v>8.6</v>
      </c>
    </row>
    <row r="1789">
      <c r="A1789" s="2" t="s">
        <v>6557</v>
      </c>
      <c r="B1789" s="2" t="s">
        <v>1139</v>
      </c>
      <c r="C1789" s="2" t="s">
        <v>853</v>
      </c>
      <c r="D1789" s="2" t="s">
        <v>1140</v>
      </c>
      <c r="E1789" s="2" t="s">
        <v>1141</v>
      </c>
      <c r="F1789" s="2" t="s">
        <v>6558</v>
      </c>
      <c r="G1789" s="2" t="s">
        <v>6559</v>
      </c>
      <c r="H1789" s="2" t="s">
        <v>6560</v>
      </c>
      <c r="I1789" s="2" t="s">
        <v>6561</v>
      </c>
      <c r="J1789" s="2" t="s">
        <v>1165</v>
      </c>
      <c r="K1789" s="2" t="s">
        <v>6562</v>
      </c>
      <c r="L1789" s="3">
        <v>14.21</v>
      </c>
      <c r="M1789" s="3">
        <v>14.92</v>
      </c>
      <c r="N1789" s="3">
        <v>34.99</v>
      </c>
      <c r="O1789" s="2" t="s">
        <v>232</v>
      </c>
      <c r="P1789" s="2" t="s">
        <v>233</v>
      </c>
      <c r="Q1789" s="2" t="s">
        <v>234</v>
      </c>
      <c r="R1789" s="2" t="s">
        <v>235</v>
      </c>
      <c r="S1789" s="2" t="s">
        <v>6563</v>
      </c>
      <c r="T1789" s="2" t="s">
        <v>235</v>
      </c>
      <c r="U1789" s="2" t="s">
        <v>235</v>
      </c>
      <c r="V1789" s="2" t="s">
        <v>863</v>
      </c>
      <c r="W1789" s="2" t="s">
        <v>682</v>
      </c>
      <c r="X1789" s="2" t="s">
        <v>235</v>
      </c>
      <c r="Y1789" s="2" t="s">
        <v>6564</v>
      </c>
      <c r="Z1789" s="4">
        <v>365</v>
      </c>
      <c r="AA1789" s="4">
        <f>=ROUNDDOWN(50,0)</f>
      </c>
      <c r="AB1789" s="5">
        <v>7.3</v>
      </c>
      <c r="AC1789" s="2" t="s">
        <v>235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235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235</v>
      </c>
      <c r="BD1789" s="8" t="s">
        <v>235</v>
      </c>
      <c r="BE1789" s="4" t="s">
        <v>235</v>
      </c>
      <c r="BF1789" s="8" t="s">
        <v>235</v>
      </c>
      <c r="BG1789" s="7" t="s">
        <v>235</v>
      </c>
      <c r="BH1789" s="7" t="s">
        <v>235</v>
      </c>
      <c r="BI1789" s="7"/>
      <c r="BJ1789" s="4">
        <v>43</v>
      </c>
      <c r="BK1789" s="8">
        <v>662.46</v>
      </c>
      <c r="BL1789" s="2" t="s">
        <v>6565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6566</v>
      </c>
      <c r="BV1789" s="2" t="s">
        <v>618</v>
      </c>
      <c r="BW1789" s="2" t="s">
        <v>235</v>
      </c>
      <c r="BX1789" s="2" t="s">
        <v>244</v>
      </c>
      <c r="BY1789" s="2" t="s">
        <v>245</v>
      </c>
      <c r="BZ1789" s="2" t="s">
        <v>232</v>
      </c>
      <c r="CA1789" s="2" t="s">
        <v>6567</v>
      </c>
      <c r="CB1789" s="2" t="s">
        <v>3929</v>
      </c>
      <c r="CC1789" s="2" t="s">
        <v>248</v>
      </c>
      <c r="CD1789" s="2" t="s">
        <v>248</v>
      </c>
      <c r="CE1789" s="2" t="s">
        <v>235</v>
      </c>
      <c r="CF1789" s="4">
        <v>365</v>
      </c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>
        <v>366</v>
      </c>
      <c r="GE1789" s="4">
        <v>360</v>
      </c>
      <c r="GF1789" s="4">
        <v>354</v>
      </c>
      <c r="GG1789" s="4">
        <v>348</v>
      </c>
      <c r="GH1789" s="4">
        <v>342</v>
      </c>
      <c r="GI1789" s="4">
        <v>336</v>
      </c>
      <c r="GJ1789" s="4">
        <v>330</v>
      </c>
      <c r="GK1789" s="4">
        <v>324</v>
      </c>
      <c r="GL1789" s="4">
        <v>318</v>
      </c>
      <c r="GM1789" s="4">
        <v>312</v>
      </c>
      <c r="GN1789" s="4">
        <v>306</v>
      </c>
      <c r="GO1789" s="4">
        <v>296</v>
      </c>
      <c r="GP1789" s="4">
        <v>285</v>
      </c>
      <c r="GQ1789" s="4">
        <v>277</v>
      </c>
      <c r="GR1789" s="4">
        <v>262</v>
      </c>
      <c r="GS1789" s="4">
        <v>249</v>
      </c>
      <c r="GT1789" s="4">
        <v>238</v>
      </c>
      <c r="GU1789" s="4">
        <v>233</v>
      </c>
      <c r="GV1789" s="4">
        <v>228</v>
      </c>
      <c r="GW1789" s="4">
        <v>223</v>
      </c>
      <c r="GX1789" s="4">
        <v>218</v>
      </c>
      <c r="GY1789" s="4">
        <v>213</v>
      </c>
      <c r="GZ1789" s="4">
        <v>207</v>
      </c>
      <c r="HA1789" s="4">
        <v>201</v>
      </c>
      <c r="HB1789" s="4">
        <v>195</v>
      </c>
      <c r="HC1789" s="4">
        <v>189</v>
      </c>
      <c r="HD1789" s="19">
        <v>61</v>
      </c>
      <c r="HE1789" s="19">
        <v>60</v>
      </c>
      <c r="HF1789" s="19">
        <v>59</v>
      </c>
      <c r="HG1789" s="19">
        <v>58</v>
      </c>
      <c r="HH1789" s="19">
        <v>57</v>
      </c>
      <c r="HI1789" s="19">
        <v>56</v>
      </c>
      <c r="HJ1789" s="19">
        <v>55</v>
      </c>
      <c r="HK1789" s="19">
        <v>46.3</v>
      </c>
      <c r="HL1789" s="19">
        <v>39.8</v>
      </c>
      <c r="HM1789" s="19">
        <v>34.7</v>
      </c>
      <c r="HN1789" s="19">
        <v>27.8</v>
      </c>
      <c r="HO1789" s="19">
        <v>24.7</v>
      </c>
      <c r="HP1789" s="19">
        <v>23.8</v>
      </c>
      <c r="HQ1789" s="19">
        <v>25.2</v>
      </c>
      <c r="HR1789" s="19">
        <v>32.8</v>
      </c>
      <c r="HS1789" s="19">
        <v>41.5</v>
      </c>
      <c r="HT1789" s="19">
        <v>47.6</v>
      </c>
      <c r="HU1789" s="19">
        <v>46.6</v>
      </c>
      <c r="HV1789" s="19">
        <v>45.6</v>
      </c>
      <c r="HW1789" s="19">
        <v>37.2</v>
      </c>
      <c r="HX1789" s="19">
        <v>36.3</v>
      </c>
      <c r="HY1789" s="19">
        <v>35.5</v>
      </c>
      <c r="HZ1789" s="19">
        <v>34.5</v>
      </c>
      <c r="IA1789" s="19">
        <v>33.5</v>
      </c>
      <c r="IB1789" s="19">
        <v>32.5</v>
      </c>
      <c r="IC1789" s="19">
        <v>31.5</v>
      </c>
    </row>
    <row r="1790">
      <c r="A1790" s="2" t="s">
        <v>6568</v>
      </c>
      <c r="B1790" s="2" t="s">
        <v>1139</v>
      </c>
      <c r="C1790" s="2" t="s">
        <v>853</v>
      </c>
      <c r="D1790" s="2" t="s">
        <v>1140</v>
      </c>
      <c r="E1790" s="2" t="s">
        <v>1141</v>
      </c>
      <c r="F1790" s="2" t="s">
        <v>6558</v>
      </c>
      <c r="G1790" s="2" t="s">
        <v>6559</v>
      </c>
      <c r="H1790" s="2" t="s">
        <v>6560</v>
      </c>
      <c r="I1790" s="2" t="s">
        <v>6561</v>
      </c>
      <c r="J1790" s="2" t="s">
        <v>1165</v>
      </c>
      <c r="K1790" s="2" t="s">
        <v>2348</v>
      </c>
      <c r="L1790" s="3">
        <v>14.21</v>
      </c>
      <c r="M1790" s="3">
        <v>14.92</v>
      </c>
      <c r="N1790" s="3">
        <v>34.99</v>
      </c>
      <c r="O1790" s="2" t="s">
        <v>232</v>
      </c>
      <c r="P1790" s="2" t="s">
        <v>233</v>
      </c>
      <c r="Q1790" s="2" t="s">
        <v>234</v>
      </c>
      <c r="R1790" s="2" t="s">
        <v>235</v>
      </c>
      <c r="S1790" s="2" t="s">
        <v>6569</v>
      </c>
      <c r="T1790" s="2" t="s">
        <v>235</v>
      </c>
      <c r="U1790" s="2" t="s">
        <v>235</v>
      </c>
      <c r="V1790" s="2" t="s">
        <v>863</v>
      </c>
      <c r="W1790" s="2" t="s">
        <v>682</v>
      </c>
      <c r="X1790" s="2" t="s">
        <v>235</v>
      </c>
      <c r="Y1790" s="2" t="s">
        <v>6564</v>
      </c>
      <c r="Z1790" s="4">
        <v>613</v>
      </c>
      <c r="AA1790" s="4">
        <f>=ROUNDDOWN(44.4202898550725,0)</f>
      </c>
      <c r="AB1790" s="5">
        <v>13.8</v>
      </c>
      <c r="AC1790" s="2" t="s">
        <v>235</v>
      </c>
      <c r="AD1790" s="4"/>
      <c r="AE1790" s="4"/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235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235</v>
      </c>
      <c r="BD1790" s="8" t="s">
        <v>235</v>
      </c>
      <c r="BE1790" s="4" t="s">
        <v>235</v>
      </c>
      <c r="BF1790" s="8" t="s">
        <v>235</v>
      </c>
      <c r="BG1790" s="7" t="s">
        <v>235</v>
      </c>
      <c r="BH1790" s="7" t="s">
        <v>235</v>
      </c>
      <c r="BI1790" s="7"/>
      <c r="BJ1790" s="4">
        <v>53</v>
      </c>
      <c r="BK1790" s="8">
        <v>836.06</v>
      </c>
      <c r="BL1790" s="2" t="s">
        <v>6570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6566</v>
      </c>
      <c r="BV1790" s="2" t="s">
        <v>618</v>
      </c>
      <c r="BW1790" s="2" t="s">
        <v>235</v>
      </c>
      <c r="BX1790" s="2" t="s">
        <v>244</v>
      </c>
      <c r="BY1790" s="2" t="s">
        <v>245</v>
      </c>
      <c r="BZ1790" s="2" t="s">
        <v>232</v>
      </c>
      <c r="CA1790" s="2" t="s">
        <v>6567</v>
      </c>
      <c r="CB1790" s="2" t="s">
        <v>5440</v>
      </c>
      <c r="CC1790" s="2" t="s">
        <v>248</v>
      </c>
      <c r="CD1790" s="2" t="s">
        <v>248</v>
      </c>
      <c r="CE1790" s="2" t="s">
        <v>235</v>
      </c>
      <c r="CF1790" s="4">
        <v>539</v>
      </c>
      <c r="CG1790" s="4"/>
      <c r="CH1790" s="4"/>
      <c r="CI1790" s="4">
        <v>74</v>
      </c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>
        <v>634</v>
      </c>
      <c r="GE1790" s="4">
        <v>603</v>
      </c>
      <c r="GF1790" s="4">
        <v>597</v>
      </c>
      <c r="GG1790" s="4">
        <v>591</v>
      </c>
      <c r="GH1790" s="4">
        <v>585</v>
      </c>
      <c r="GI1790" s="4">
        <v>579</v>
      </c>
      <c r="GJ1790" s="4">
        <v>573</v>
      </c>
      <c r="GK1790" s="4">
        <v>567</v>
      </c>
      <c r="GL1790" s="4">
        <v>561</v>
      </c>
      <c r="GM1790" s="4">
        <v>550</v>
      </c>
      <c r="GN1790" s="4">
        <v>538</v>
      </c>
      <c r="GO1790" s="4">
        <v>522</v>
      </c>
      <c r="GP1790" s="4">
        <v>505</v>
      </c>
      <c r="GQ1790" s="4">
        <v>491</v>
      </c>
      <c r="GR1790" s="4">
        <v>470</v>
      </c>
      <c r="GS1790" s="4">
        <v>451</v>
      </c>
      <c r="GT1790" s="4">
        <v>434</v>
      </c>
      <c r="GU1790" s="4">
        <v>423</v>
      </c>
      <c r="GV1790" s="4">
        <v>412</v>
      </c>
      <c r="GW1790" s="4">
        <v>401</v>
      </c>
      <c r="GX1790" s="4">
        <v>390</v>
      </c>
      <c r="GY1790" s="4">
        <v>379</v>
      </c>
      <c r="GZ1790" s="4">
        <v>366</v>
      </c>
      <c r="HA1790" s="4">
        <v>353</v>
      </c>
      <c r="HB1790" s="4">
        <v>340</v>
      </c>
      <c r="HC1790" s="4">
        <v>327</v>
      </c>
      <c r="HD1790" s="19">
        <v>52.8</v>
      </c>
      <c r="HE1790" s="19">
        <v>100.5</v>
      </c>
      <c r="HF1790" s="19">
        <v>99.5</v>
      </c>
      <c r="HG1790" s="19">
        <v>98.5</v>
      </c>
      <c r="HH1790" s="19">
        <v>97.5</v>
      </c>
      <c r="HI1790" s="19">
        <v>82.7</v>
      </c>
      <c r="HJ1790" s="19">
        <v>63.7</v>
      </c>
      <c r="HK1790" s="19">
        <v>51.5</v>
      </c>
      <c r="HL1790" s="19">
        <v>40.1</v>
      </c>
      <c r="HM1790" s="19">
        <v>36.7</v>
      </c>
      <c r="HN1790" s="19">
        <v>31.6</v>
      </c>
      <c r="HO1790" s="19">
        <v>29</v>
      </c>
      <c r="HP1790" s="19">
        <v>28.1</v>
      </c>
      <c r="HQ1790" s="19">
        <v>28.9</v>
      </c>
      <c r="HR1790" s="19">
        <v>33.6</v>
      </c>
      <c r="HS1790" s="19">
        <v>37.6</v>
      </c>
      <c r="HT1790" s="19">
        <v>39.5</v>
      </c>
      <c r="HU1790" s="19">
        <v>38.5</v>
      </c>
      <c r="HV1790" s="19">
        <v>34.3</v>
      </c>
      <c r="HW1790" s="19">
        <v>33.4</v>
      </c>
      <c r="HX1790" s="19">
        <v>32.5</v>
      </c>
      <c r="HY1790" s="19">
        <v>29.2</v>
      </c>
      <c r="HZ1790" s="19">
        <v>28.2</v>
      </c>
      <c r="IA1790" s="19">
        <v>27.2</v>
      </c>
      <c r="IB1790" s="19">
        <v>26.2</v>
      </c>
      <c r="IC1790" s="19">
        <v>23.4</v>
      </c>
    </row>
    <row r="1791">
      <c r="A1791" s="2" t="s">
        <v>6571</v>
      </c>
      <c r="B1791" s="2" t="s">
        <v>871</v>
      </c>
      <c r="C1791" s="2" t="s">
        <v>853</v>
      </c>
      <c r="D1791" s="2" t="s">
        <v>906</v>
      </c>
      <c r="E1791" s="2" t="s">
        <v>1301</v>
      </c>
      <c r="F1791" s="2" t="s">
        <v>6558</v>
      </c>
      <c r="G1791" s="2" t="s">
        <v>6559</v>
      </c>
      <c r="H1791" s="2" t="s">
        <v>6560</v>
      </c>
      <c r="I1791" s="2" t="s">
        <v>6572</v>
      </c>
      <c r="J1791" s="2" t="s">
        <v>877</v>
      </c>
      <c r="K1791" s="2" t="s">
        <v>6573</v>
      </c>
      <c r="L1791" s="3">
        <v>26.1</v>
      </c>
      <c r="M1791" s="3">
        <v>27.4</v>
      </c>
      <c r="N1791" s="3">
        <v>57.99</v>
      </c>
      <c r="O1791" s="2" t="s">
        <v>407</v>
      </c>
      <c r="P1791" s="2" t="s">
        <v>408</v>
      </c>
      <c r="Q1791" s="2" t="s">
        <v>234</v>
      </c>
      <c r="R1791" s="2" t="s">
        <v>235</v>
      </c>
      <c r="S1791" s="2" t="s">
        <v>6574</v>
      </c>
      <c r="T1791" s="2" t="s">
        <v>501</v>
      </c>
      <c r="U1791" s="2" t="s">
        <v>264</v>
      </c>
      <c r="V1791" s="2" t="s">
        <v>863</v>
      </c>
      <c r="W1791" s="2" t="s">
        <v>682</v>
      </c>
      <c r="X1791" s="2" t="s">
        <v>329</v>
      </c>
      <c r="Y1791" s="2" t="s">
        <v>6575</v>
      </c>
      <c r="Z1791" s="4">
        <v>227</v>
      </c>
      <c r="AA1791" s="4">
        <f>=ROUNDDOWN(75.6666666666667,0)</f>
      </c>
      <c r="AB1791" s="5">
        <v>3</v>
      </c>
      <c r="AC1791" s="2" t="s">
        <v>235</v>
      </c>
      <c r="AD1791" s="4"/>
      <c r="AE1791" s="4"/>
      <c r="AF1791" s="6">
        <v>64</v>
      </c>
      <c r="AG1791" s="6">
        <v>47</v>
      </c>
      <c r="AH1791" s="7">
        <v>1</v>
      </c>
      <c r="AI1791" s="4"/>
      <c r="AJ1791" s="4">
        <f>=ROUNDDOWN({0},0)</f>
      </c>
      <c r="AK1791" s="5"/>
      <c r="AL1791" s="2" t="s">
        <v>235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235</v>
      </c>
      <c r="AW1791" s="8" t="s">
        <v>235</v>
      </c>
      <c r="AX1791" s="4" t="s">
        <v>235</v>
      </c>
      <c r="AY1791" s="8" t="s">
        <v>235</v>
      </c>
      <c r="AZ1791" s="7" t="s">
        <v>235</v>
      </c>
      <c r="BA1791" s="7" t="s">
        <v>235</v>
      </c>
      <c r="BB1791" s="7"/>
      <c r="BC1791" s="4" t="s">
        <v>235</v>
      </c>
      <c r="BD1791" s="8" t="s">
        <v>235</v>
      </c>
      <c r="BE1791" s="4" t="s">
        <v>235</v>
      </c>
      <c r="BF1791" s="8" t="s">
        <v>235</v>
      </c>
      <c r="BG1791" s="7" t="s">
        <v>235</v>
      </c>
      <c r="BH1791" s="7" t="s">
        <v>235</v>
      </c>
      <c r="BI1791" s="7"/>
      <c r="BJ1791" s="4">
        <v>10</v>
      </c>
      <c r="BK1791" s="8">
        <v>312.17</v>
      </c>
      <c r="BL1791" s="2" t="s">
        <v>6576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6577</v>
      </c>
      <c r="BV1791" s="2" t="s">
        <v>243</v>
      </c>
      <c r="BW1791" s="2" t="s">
        <v>235</v>
      </c>
      <c r="BX1791" s="2" t="s">
        <v>414</v>
      </c>
      <c r="BY1791" s="2" t="s">
        <v>245</v>
      </c>
      <c r="BZ1791" s="2" t="s">
        <v>232</v>
      </c>
      <c r="CA1791" s="2" t="s">
        <v>6578</v>
      </c>
      <c r="CB1791" s="2" t="s">
        <v>6579</v>
      </c>
      <c r="CC1791" s="2" t="s">
        <v>248</v>
      </c>
      <c r="CD1791" s="2" t="s">
        <v>248</v>
      </c>
      <c r="CE1791" s="2" t="s">
        <v>235</v>
      </c>
      <c r="CF1791" s="4">
        <v>165</v>
      </c>
      <c r="CG1791" s="4"/>
      <c r="CH1791" s="4"/>
      <c r="CI1791" s="4">
        <v>62</v>
      </c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>
        <v>227</v>
      </c>
      <c r="GE1791" s="4">
        <v>218</v>
      </c>
      <c r="GF1791" s="4">
        <v>215</v>
      </c>
      <c r="GG1791" s="4">
        <v>212</v>
      </c>
      <c r="GH1791" s="4">
        <v>209</v>
      </c>
      <c r="GI1791" s="4">
        <v>206</v>
      </c>
      <c r="GJ1791" s="4">
        <v>201</v>
      </c>
      <c r="GK1791" s="4">
        <v>197</v>
      </c>
      <c r="GL1791" s="4">
        <v>193</v>
      </c>
      <c r="GM1791" s="4">
        <v>190</v>
      </c>
      <c r="GN1791" s="4">
        <v>187</v>
      </c>
      <c r="GO1791" s="4">
        <v>184</v>
      </c>
      <c r="GP1791" s="4">
        <v>181</v>
      </c>
      <c r="GQ1791" s="4">
        <v>174</v>
      </c>
      <c r="GR1791" s="4">
        <v>169</v>
      </c>
      <c r="GS1791" s="4">
        <v>164</v>
      </c>
      <c r="GT1791" s="4">
        <v>161</v>
      </c>
      <c r="GU1791" s="4">
        <v>158</v>
      </c>
      <c r="GV1791" s="4">
        <v>155</v>
      </c>
      <c r="GW1791" s="4">
        <v>152</v>
      </c>
      <c r="GX1791" s="4">
        <v>149</v>
      </c>
      <c r="GY1791" s="4">
        <v>146</v>
      </c>
      <c r="GZ1791" s="4">
        <v>143</v>
      </c>
      <c r="HA1791" s="4">
        <v>140</v>
      </c>
      <c r="HB1791" s="4">
        <v>137</v>
      </c>
      <c r="HC1791" s="4">
        <v>134</v>
      </c>
      <c r="HD1791" s="19">
        <v>43</v>
      </c>
      <c r="HE1791" s="19">
        <v>69.3</v>
      </c>
      <c r="HF1791" s="19">
        <v>68.3</v>
      </c>
      <c r="HG1791" s="19">
        <v>53</v>
      </c>
      <c r="HH1791" s="19">
        <v>52.3</v>
      </c>
      <c r="HI1791" s="19">
        <v>51.5</v>
      </c>
      <c r="HJ1791" s="19">
        <v>50.3</v>
      </c>
      <c r="HK1791" s="19">
        <v>62</v>
      </c>
      <c r="HL1791" s="19">
        <v>60.5</v>
      </c>
      <c r="HM1791" s="19">
        <v>47.5</v>
      </c>
      <c r="HN1791" s="19">
        <v>35.1</v>
      </c>
      <c r="HO1791" s="19">
        <v>34.5</v>
      </c>
      <c r="HP1791" s="19">
        <v>33.9</v>
      </c>
      <c r="HQ1791" s="19">
        <v>43.5</v>
      </c>
      <c r="HR1791" s="19">
        <v>52.3</v>
      </c>
      <c r="HS1791" s="19">
        <v>50.5</v>
      </c>
      <c r="HT1791" s="19">
        <v>49.5</v>
      </c>
      <c r="HU1791" s="19">
        <v>48.5</v>
      </c>
      <c r="HV1791" s="19">
        <v>47.5</v>
      </c>
      <c r="HW1791" s="19">
        <v>46.5</v>
      </c>
      <c r="HX1791" s="19">
        <v>45.5</v>
      </c>
      <c r="HY1791" s="19">
        <v>44.5</v>
      </c>
      <c r="HZ1791" s="19">
        <v>43.5</v>
      </c>
      <c r="IA1791" s="19">
        <v>42.5</v>
      </c>
      <c r="IB1791" s="19">
        <v>41.5</v>
      </c>
      <c r="IC1791" s="19">
        <v>40.5</v>
      </c>
    </row>
    <row r="1792">
      <c r="A1792" s="2" t="s">
        <v>6580</v>
      </c>
      <c r="B1792" s="2" t="s">
        <v>871</v>
      </c>
      <c r="C1792" s="2" t="s">
        <v>853</v>
      </c>
      <c r="D1792" s="2" t="s">
        <v>906</v>
      </c>
      <c r="E1792" s="2" t="s">
        <v>1301</v>
      </c>
      <c r="F1792" s="2" t="s">
        <v>6558</v>
      </c>
      <c r="G1792" s="2" t="s">
        <v>6559</v>
      </c>
      <c r="H1792" s="2" t="s">
        <v>6560</v>
      </c>
      <c r="I1792" s="2" t="s">
        <v>6572</v>
      </c>
      <c r="J1792" s="2" t="s">
        <v>365</v>
      </c>
      <c r="K1792" s="2" t="s">
        <v>6573</v>
      </c>
      <c r="L1792" s="3">
        <v>31.28</v>
      </c>
      <c r="M1792" s="3">
        <v>32.84</v>
      </c>
      <c r="N1792" s="3">
        <v>67.99</v>
      </c>
      <c r="O1792" s="2" t="s">
        <v>407</v>
      </c>
      <c r="P1792" s="2" t="s">
        <v>408</v>
      </c>
      <c r="Q1792" s="2" t="s">
        <v>234</v>
      </c>
      <c r="R1792" s="2" t="s">
        <v>235</v>
      </c>
      <c r="S1792" s="2" t="s">
        <v>6574</v>
      </c>
      <c r="T1792" s="2" t="s">
        <v>501</v>
      </c>
      <c r="U1792" s="2" t="s">
        <v>282</v>
      </c>
      <c r="V1792" s="2" t="s">
        <v>863</v>
      </c>
      <c r="W1792" s="2" t="s">
        <v>682</v>
      </c>
      <c r="X1792" s="2" t="s">
        <v>329</v>
      </c>
      <c r="Y1792" s="2" t="s">
        <v>6581</v>
      </c>
      <c r="Z1792" s="4">
        <v>180</v>
      </c>
      <c r="AA1792" s="4">
        <f>=ROUNDDOWN(30,0)</f>
      </c>
      <c r="AB1792" s="5">
        <v>6</v>
      </c>
      <c r="AC1792" s="2" t="s">
        <v>235</v>
      </c>
      <c r="AD1792" s="4"/>
      <c r="AE1792" s="4"/>
      <c r="AF1792" s="6">
        <v>64</v>
      </c>
      <c r="AG1792" s="6">
        <v>47</v>
      </c>
      <c r="AH1792" s="7">
        <v>1</v>
      </c>
      <c r="AI1792" s="4"/>
      <c r="AJ1792" s="4">
        <f>=ROUNDDOWN({0},0)</f>
      </c>
      <c r="AK1792" s="5"/>
      <c r="AL1792" s="2" t="s">
        <v>235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235</v>
      </c>
      <c r="AW1792" s="8" t="s">
        <v>235</v>
      </c>
      <c r="AX1792" s="4" t="s">
        <v>235</v>
      </c>
      <c r="AY1792" s="8" t="s">
        <v>235</v>
      </c>
      <c r="AZ1792" s="7" t="s">
        <v>235</v>
      </c>
      <c r="BA1792" s="7" t="s">
        <v>235</v>
      </c>
      <c r="BB1792" s="7"/>
      <c r="BC1792" s="4" t="s">
        <v>235</v>
      </c>
      <c r="BD1792" s="8" t="s">
        <v>235</v>
      </c>
      <c r="BE1792" s="4" t="s">
        <v>235</v>
      </c>
      <c r="BF1792" s="8" t="s">
        <v>235</v>
      </c>
      <c r="BG1792" s="7" t="s">
        <v>235</v>
      </c>
      <c r="BH1792" s="7" t="s">
        <v>235</v>
      </c>
      <c r="BI1792" s="7"/>
      <c r="BJ1792" s="4">
        <v>14</v>
      </c>
      <c r="BK1792" s="8">
        <v>438.13</v>
      </c>
      <c r="BL1792" s="2" t="s">
        <v>6582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6577</v>
      </c>
      <c r="BV1792" s="2" t="s">
        <v>243</v>
      </c>
      <c r="BW1792" s="2" t="s">
        <v>235</v>
      </c>
      <c r="BX1792" s="2" t="s">
        <v>414</v>
      </c>
      <c r="BY1792" s="2" t="s">
        <v>245</v>
      </c>
      <c r="BZ1792" s="2" t="s">
        <v>232</v>
      </c>
      <c r="CA1792" s="2" t="s">
        <v>6578</v>
      </c>
      <c r="CB1792" s="2" t="s">
        <v>6579</v>
      </c>
      <c r="CC1792" s="2" t="s">
        <v>248</v>
      </c>
      <c r="CD1792" s="2" t="s">
        <v>248</v>
      </c>
      <c r="CE1792" s="2" t="s">
        <v>235</v>
      </c>
      <c r="CF1792" s="4">
        <v>161</v>
      </c>
      <c r="CG1792" s="4"/>
      <c r="CH1792" s="4"/>
      <c r="CI1792" s="4">
        <v>19</v>
      </c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>
        <v>181</v>
      </c>
      <c r="GE1792" s="4">
        <v>155</v>
      </c>
      <c r="GF1792" s="4">
        <v>149</v>
      </c>
      <c r="GG1792" s="4">
        <v>142</v>
      </c>
      <c r="GH1792" s="4">
        <v>134</v>
      </c>
      <c r="GI1792" s="4">
        <v>126</v>
      </c>
      <c r="GJ1792" s="4">
        <v>111</v>
      </c>
      <c r="GK1792" s="4">
        <v>100</v>
      </c>
      <c r="GL1792" s="4">
        <v>88</v>
      </c>
      <c r="GM1792" s="4">
        <v>80</v>
      </c>
      <c r="GN1792" s="4">
        <v>72</v>
      </c>
      <c r="GO1792" s="4">
        <v>63</v>
      </c>
      <c r="GP1792" s="4">
        <v>54</v>
      </c>
      <c r="GQ1792" s="4">
        <v>39</v>
      </c>
      <c r="GR1792" s="4">
        <v>28</v>
      </c>
      <c r="GS1792" s="4">
        <v>16</v>
      </c>
      <c r="GT1792" s="4">
        <v>9</v>
      </c>
      <c r="GU1792" s="4">
        <v>4</v>
      </c>
      <c r="GV1792" s="4"/>
      <c r="GW1792" s="4"/>
      <c r="GX1792" s="4"/>
      <c r="GY1792" s="4"/>
      <c r="GZ1792" s="4"/>
      <c r="HA1792" s="4"/>
      <c r="HB1792" s="4"/>
      <c r="HC1792" s="4"/>
      <c r="HD1792" s="19">
        <v>12.9</v>
      </c>
      <c r="HE1792" s="19">
        <v>15.4</v>
      </c>
      <c r="HF1792" s="19">
        <v>12</v>
      </c>
      <c r="HG1792" s="19">
        <v>11.3</v>
      </c>
      <c r="HH1792" s="19">
        <v>8.9</v>
      </c>
      <c r="HI1792" s="19">
        <v>8.1</v>
      </c>
      <c r="HJ1792" s="19">
        <v>8.3</v>
      </c>
      <c r="HK1792" s="19">
        <v>8.5</v>
      </c>
      <c r="HL1792" s="19">
        <v>6.8</v>
      </c>
      <c r="HM1792" s="19">
        <v>4</v>
      </c>
      <c r="HN1792" s="19">
        <v>3.3</v>
      </c>
      <c r="HO1792" s="19">
        <v>2.7</v>
      </c>
      <c r="HP1792" s="19">
        <v>2.5</v>
      </c>
      <c r="HQ1792" s="19">
        <v>2.2</v>
      </c>
      <c r="HR1792" s="19">
        <v>2</v>
      </c>
      <c r="HS1792" s="19">
        <v>1.6</v>
      </c>
      <c r="HT1792" s="19">
        <v>0.9</v>
      </c>
      <c r="HU1792" s="19">
        <v>0.4</v>
      </c>
      <c r="HV1792" s="20">
        <v>0</v>
      </c>
      <c r="HW1792" s="20">
        <v>0</v>
      </c>
      <c r="HX1792" s="20">
        <v>0</v>
      </c>
      <c r="HY1792" s="20">
        <v>0</v>
      </c>
      <c r="HZ1792" s="20">
        <v>0</v>
      </c>
      <c r="IA1792" s="20">
        <v>0</v>
      </c>
      <c r="IB1792" s="20">
        <v>0</v>
      </c>
      <c r="IC1792" s="20">
        <v>0</v>
      </c>
    </row>
    <row r="1793">
      <c r="A1793" s="2" t="s">
        <v>6583</v>
      </c>
      <c r="B1793" s="2" t="s">
        <v>871</v>
      </c>
      <c r="C1793" s="2" t="s">
        <v>853</v>
      </c>
      <c r="D1793" s="2" t="s">
        <v>906</v>
      </c>
      <c r="E1793" s="2" t="s">
        <v>1301</v>
      </c>
      <c r="F1793" s="2" t="s">
        <v>6558</v>
      </c>
      <c r="G1793" s="2" t="s">
        <v>6559</v>
      </c>
      <c r="H1793" s="2" t="s">
        <v>6560</v>
      </c>
      <c r="I1793" s="2" t="s">
        <v>6572</v>
      </c>
      <c r="J1793" s="2" t="s">
        <v>372</v>
      </c>
      <c r="K1793" s="2" t="s">
        <v>6573</v>
      </c>
      <c r="L1793" s="3">
        <v>35.88</v>
      </c>
      <c r="M1793" s="3">
        <v>37.67</v>
      </c>
      <c r="N1793" s="3">
        <v>77.99</v>
      </c>
      <c r="O1793" s="2" t="s">
        <v>407</v>
      </c>
      <c r="P1793" s="2" t="s">
        <v>408</v>
      </c>
      <c r="Q1793" s="2" t="s">
        <v>234</v>
      </c>
      <c r="R1793" s="2" t="s">
        <v>235</v>
      </c>
      <c r="S1793" s="2" t="s">
        <v>6574</v>
      </c>
      <c r="T1793" s="2" t="s">
        <v>501</v>
      </c>
      <c r="U1793" s="2" t="s">
        <v>282</v>
      </c>
      <c r="V1793" s="2" t="s">
        <v>863</v>
      </c>
      <c r="W1793" s="2" t="s">
        <v>682</v>
      </c>
      <c r="X1793" s="2" t="s">
        <v>329</v>
      </c>
      <c r="Y1793" s="2" t="s">
        <v>6581</v>
      </c>
      <c r="Z1793" s="4">
        <v>108</v>
      </c>
      <c r="AA1793" s="4">
        <f>=ROUNDDOWN(27,0)</f>
      </c>
      <c r="AB1793" s="5">
        <v>4</v>
      </c>
      <c r="AC1793" s="2" t="s">
        <v>235</v>
      </c>
      <c r="AD1793" s="4"/>
      <c r="AE1793" s="4"/>
      <c r="AF1793" s="6">
        <v>64</v>
      </c>
      <c r="AG1793" s="6">
        <v>47</v>
      </c>
      <c r="AH1793" s="7">
        <v>1</v>
      </c>
      <c r="AI1793" s="4"/>
      <c r="AJ1793" s="4">
        <f>=ROUNDDOWN({0},0)</f>
      </c>
      <c r="AK1793" s="5"/>
      <c r="AL1793" s="2" t="s">
        <v>235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235</v>
      </c>
      <c r="AW1793" s="8" t="s">
        <v>235</v>
      </c>
      <c r="AX1793" s="4" t="s">
        <v>235</v>
      </c>
      <c r="AY1793" s="8" t="s">
        <v>235</v>
      </c>
      <c r="AZ1793" s="7" t="s">
        <v>235</v>
      </c>
      <c r="BA1793" s="7" t="s">
        <v>235</v>
      </c>
      <c r="BB1793" s="7"/>
      <c r="BC1793" s="4" t="s">
        <v>235</v>
      </c>
      <c r="BD1793" s="8" t="s">
        <v>235</v>
      </c>
      <c r="BE1793" s="4" t="s">
        <v>235</v>
      </c>
      <c r="BF1793" s="8" t="s">
        <v>235</v>
      </c>
      <c r="BG1793" s="7" t="s">
        <v>235</v>
      </c>
      <c r="BH1793" s="7" t="s">
        <v>235</v>
      </c>
      <c r="BI1793" s="7"/>
      <c r="BJ1793" s="4">
        <v>13</v>
      </c>
      <c r="BK1793" s="8">
        <v>479.72</v>
      </c>
      <c r="BL1793" s="2" t="s">
        <v>6105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6577</v>
      </c>
      <c r="BV1793" s="2" t="s">
        <v>243</v>
      </c>
      <c r="BW1793" s="2" t="s">
        <v>235</v>
      </c>
      <c r="BX1793" s="2" t="s">
        <v>414</v>
      </c>
      <c r="BY1793" s="2" t="s">
        <v>245</v>
      </c>
      <c r="BZ1793" s="2" t="s">
        <v>232</v>
      </c>
      <c r="CA1793" s="2" t="s">
        <v>6578</v>
      </c>
      <c r="CB1793" s="2" t="s">
        <v>6584</v>
      </c>
      <c r="CC1793" s="2" t="s">
        <v>248</v>
      </c>
      <c r="CD1793" s="2" t="s">
        <v>248</v>
      </c>
      <c r="CE1793" s="2" t="s">
        <v>235</v>
      </c>
      <c r="CF1793" s="4">
        <v>97</v>
      </c>
      <c r="CG1793" s="4"/>
      <c r="CH1793" s="4"/>
      <c r="CI1793" s="4">
        <v>11</v>
      </c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>
        <v>108</v>
      </c>
      <c r="GE1793" s="4">
        <v>99</v>
      </c>
      <c r="GF1793" s="4">
        <v>95</v>
      </c>
      <c r="GG1793" s="4">
        <v>91</v>
      </c>
      <c r="GH1793" s="4">
        <v>87</v>
      </c>
      <c r="GI1793" s="4">
        <v>83</v>
      </c>
      <c r="GJ1793" s="4">
        <v>77</v>
      </c>
      <c r="GK1793" s="4">
        <v>72</v>
      </c>
      <c r="GL1793" s="4">
        <v>67</v>
      </c>
      <c r="GM1793" s="4">
        <v>63</v>
      </c>
      <c r="GN1793" s="4">
        <v>59</v>
      </c>
      <c r="GO1793" s="4">
        <v>55</v>
      </c>
      <c r="GP1793" s="4">
        <v>51</v>
      </c>
      <c r="GQ1793" s="4">
        <v>42</v>
      </c>
      <c r="GR1793" s="4">
        <v>35</v>
      </c>
      <c r="GS1793" s="4">
        <v>28</v>
      </c>
      <c r="GT1793" s="4">
        <v>25</v>
      </c>
      <c r="GU1793" s="4">
        <v>22</v>
      </c>
      <c r="GV1793" s="4">
        <v>19</v>
      </c>
      <c r="GW1793" s="4">
        <v>16</v>
      </c>
      <c r="GX1793" s="4">
        <v>13</v>
      </c>
      <c r="GY1793" s="4">
        <v>10</v>
      </c>
      <c r="GZ1793" s="4">
        <v>7</v>
      </c>
      <c r="HA1793" s="4">
        <v>4</v>
      </c>
      <c r="HB1793" s="4">
        <v>1</v>
      </c>
      <c r="HC1793" s="4"/>
      <c r="HD1793" s="19">
        <v>14.9</v>
      </c>
      <c r="HE1793" s="19">
        <v>19.2</v>
      </c>
      <c r="HF1793" s="19">
        <v>18.2</v>
      </c>
      <c r="HG1793" s="19">
        <v>15.7</v>
      </c>
      <c r="HH1793" s="19">
        <v>12.8</v>
      </c>
      <c r="HI1793" s="19">
        <v>11.9</v>
      </c>
      <c r="HJ1793" s="19">
        <v>9.4</v>
      </c>
      <c r="HK1793" s="19">
        <v>9</v>
      </c>
      <c r="HL1793" s="19">
        <v>8.4</v>
      </c>
      <c r="HM1793" s="19">
        <v>6.3</v>
      </c>
      <c r="HN1793" s="19">
        <v>4.9</v>
      </c>
      <c r="HO1793" s="19">
        <v>4</v>
      </c>
      <c r="HP1793" s="19">
        <v>4.3</v>
      </c>
      <c r="HQ1793" s="19">
        <v>4.2</v>
      </c>
      <c r="HR1793" s="19">
        <v>4.4</v>
      </c>
      <c r="HS1793" s="19">
        <v>4.7</v>
      </c>
      <c r="HT1793" s="19">
        <v>4.2</v>
      </c>
      <c r="HU1793" s="19">
        <v>3.7</v>
      </c>
      <c r="HV1793" s="19">
        <v>3.2</v>
      </c>
      <c r="HW1793" s="19">
        <v>2.7</v>
      </c>
      <c r="HX1793" s="19">
        <v>2.2</v>
      </c>
      <c r="HY1793" s="19">
        <v>1.7</v>
      </c>
      <c r="HZ1793" s="19">
        <v>1.2</v>
      </c>
      <c r="IA1793" s="19">
        <v>0.7</v>
      </c>
      <c r="IB1793" s="19">
        <v>0.2</v>
      </c>
      <c r="IC1793" s="20">
        <v>0</v>
      </c>
    </row>
    <row r="1794">
      <c r="A1794" s="2" t="s">
        <v>6585</v>
      </c>
      <c r="B1794" s="2" t="s">
        <v>871</v>
      </c>
      <c r="C1794" s="2" t="s">
        <v>853</v>
      </c>
      <c r="D1794" s="2" t="s">
        <v>361</v>
      </c>
      <c r="E1794" s="2" t="s">
        <v>872</v>
      </c>
      <c r="F1794" s="2" t="s">
        <v>6558</v>
      </c>
      <c r="G1794" s="2" t="s">
        <v>6559</v>
      </c>
      <c r="H1794" s="2" t="s">
        <v>6560</v>
      </c>
      <c r="I1794" s="2" t="s">
        <v>6586</v>
      </c>
      <c r="J1794" s="2" t="s">
        <v>877</v>
      </c>
      <c r="K1794" s="2" t="s">
        <v>6587</v>
      </c>
      <c r="L1794" s="3">
        <v>38.28</v>
      </c>
      <c r="M1794" s="3">
        <v>40.19</v>
      </c>
      <c r="N1794" s="3">
        <v>74.99</v>
      </c>
      <c r="O1794" s="2" t="s">
        <v>232</v>
      </c>
      <c r="P1794" s="2" t="s">
        <v>233</v>
      </c>
      <c r="Q1794" s="2" t="s">
        <v>234</v>
      </c>
      <c r="R1794" s="2" t="s">
        <v>235</v>
      </c>
      <c r="S1794" s="2" t="s">
        <v>6588</v>
      </c>
      <c r="T1794" s="2" t="s">
        <v>501</v>
      </c>
      <c r="U1794" s="2" t="s">
        <v>264</v>
      </c>
      <c r="V1794" s="2" t="s">
        <v>863</v>
      </c>
      <c r="W1794" s="2" t="s">
        <v>682</v>
      </c>
      <c r="X1794" s="2" t="s">
        <v>329</v>
      </c>
      <c r="Y1794" s="2" t="s">
        <v>3416</v>
      </c>
      <c r="Z1794" s="4">
        <v>234</v>
      </c>
      <c r="AA1794" s="4">
        <f>=ROUNDDOWN(78,0)</f>
      </c>
      <c r="AB1794" s="5">
        <v>3</v>
      </c>
      <c r="AC1794" s="2" t="s">
        <v>235</v>
      </c>
      <c r="AD1794" s="4"/>
      <c r="AE1794" s="4"/>
      <c r="AF1794" s="6">
        <v>64</v>
      </c>
      <c r="AG1794" s="6"/>
      <c r="AH1794" s="7">
        <v>1</v>
      </c>
      <c r="AI1794" s="4"/>
      <c r="AJ1794" s="4">
        <f>=ROUNDDOWN({0},0)</f>
      </c>
      <c r="AK1794" s="5"/>
      <c r="AL1794" s="2" t="s">
        <v>235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235</v>
      </c>
      <c r="AW1794" s="8" t="s">
        <v>235</v>
      </c>
      <c r="AX1794" s="4" t="s">
        <v>235</v>
      </c>
      <c r="AY1794" s="8" t="s">
        <v>235</v>
      </c>
      <c r="AZ1794" s="7" t="s">
        <v>235</v>
      </c>
      <c r="BA1794" s="7" t="s">
        <v>235</v>
      </c>
      <c r="BB1794" s="7"/>
      <c r="BC1794" s="4" t="s">
        <v>235</v>
      </c>
      <c r="BD1794" s="8" t="s">
        <v>235</v>
      </c>
      <c r="BE1794" s="4" t="s">
        <v>235</v>
      </c>
      <c r="BF1794" s="8" t="s">
        <v>235</v>
      </c>
      <c r="BG1794" s="7" t="s">
        <v>235</v>
      </c>
      <c r="BH1794" s="7" t="s">
        <v>235</v>
      </c>
      <c r="BI1794" s="7"/>
      <c r="BJ1794" s="4">
        <v>14</v>
      </c>
      <c r="BK1794" s="8">
        <v>575.47</v>
      </c>
      <c r="BL1794" s="2" t="s">
        <v>6589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6590</v>
      </c>
      <c r="BV1794" s="2" t="s">
        <v>243</v>
      </c>
      <c r="BW1794" s="2" t="s">
        <v>235</v>
      </c>
      <c r="BX1794" s="2" t="s">
        <v>383</v>
      </c>
      <c r="BY1794" s="2" t="s">
        <v>245</v>
      </c>
      <c r="BZ1794" s="2" t="s">
        <v>232</v>
      </c>
      <c r="CA1794" s="2" t="s">
        <v>1919</v>
      </c>
      <c r="CB1794" s="2" t="s">
        <v>3137</v>
      </c>
      <c r="CC1794" s="2" t="s">
        <v>248</v>
      </c>
      <c r="CD1794" s="2" t="s">
        <v>248</v>
      </c>
      <c r="CE1794" s="2" t="s">
        <v>235</v>
      </c>
      <c r="CF1794" s="4">
        <v>234</v>
      </c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>
        <v>235</v>
      </c>
      <c r="GE1794" s="4">
        <v>233</v>
      </c>
      <c r="GF1794" s="4">
        <v>231</v>
      </c>
      <c r="GG1794" s="4">
        <v>229</v>
      </c>
      <c r="GH1794" s="4">
        <v>227</v>
      </c>
      <c r="GI1794" s="4">
        <v>224</v>
      </c>
      <c r="GJ1794" s="4">
        <v>219</v>
      </c>
      <c r="GK1794" s="4">
        <v>215</v>
      </c>
      <c r="GL1794" s="4">
        <v>211</v>
      </c>
      <c r="GM1794" s="4">
        <v>208</v>
      </c>
      <c r="GN1794" s="4">
        <v>205</v>
      </c>
      <c r="GO1794" s="4">
        <v>202</v>
      </c>
      <c r="GP1794" s="4">
        <v>199</v>
      </c>
      <c r="GQ1794" s="4">
        <v>192</v>
      </c>
      <c r="GR1794" s="4">
        <v>187</v>
      </c>
      <c r="GS1794" s="4">
        <v>182</v>
      </c>
      <c r="GT1794" s="4">
        <v>178</v>
      </c>
      <c r="GU1794" s="4">
        <v>175</v>
      </c>
      <c r="GV1794" s="4">
        <v>200</v>
      </c>
      <c r="GW1794" s="4">
        <v>197</v>
      </c>
      <c r="GX1794" s="4">
        <v>194</v>
      </c>
      <c r="GY1794" s="4">
        <v>191</v>
      </c>
      <c r="GZ1794" s="4">
        <v>188</v>
      </c>
      <c r="HA1794" s="4">
        <v>185</v>
      </c>
      <c r="HB1794" s="4">
        <v>182</v>
      </c>
      <c r="HC1794" s="4">
        <v>179</v>
      </c>
      <c r="HD1794" s="19">
        <v>117.5</v>
      </c>
      <c r="HE1794" s="19">
        <v>116.5</v>
      </c>
      <c r="HF1794" s="19">
        <v>77</v>
      </c>
      <c r="HG1794" s="19">
        <v>57.3</v>
      </c>
      <c r="HH1794" s="19">
        <v>56.8</v>
      </c>
      <c r="HI1794" s="19">
        <v>56</v>
      </c>
      <c r="HJ1794" s="19">
        <v>54.8</v>
      </c>
      <c r="HK1794" s="19">
        <v>71.7</v>
      </c>
      <c r="HL1794" s="19">
        <v>70.3</v>
      </c>
      <c r="HM1794" s="19">
        <v>52</v>
      </c>
      <c r="HN1794" s="19">
        <v>51.3</v>
      </c>
      <c r="HO1794" s="19">
        <v>40.4</v>
      </c>
      <c r="HP1794" s="19">
        <v>39.8</v>
      </c>
      <c r="HQ1794" s="19">
        <v>48</v>
      </c>
      <c r="HR1794" s="19">
        <v>46.8</v>
      </c>
      <c r="HS1794" s="19">
        <v>60.7</v>
      </c>
      <c r="HT1794" s="19">
        <v>59.3</v>
      </c>
      <c r="HU1794" s="19">
        <v>58.3</v>
      </c>
      <c r="HV1794" s="19">
        <v>66.7</v>
      </c>
      <c r="HW1794" s="19">
        <v>65.7</v>
      </c>
      <c r="HX1794" s="19">
        <v>64.7</v>
      </c>
      <c r="HY1794" s="19">
        <v>63.7</v>
      </c>
      <c r="HZ1794" s="19">
        <v>62.7</v>
      </c>
      <c r="IA1794" s="19">
        <v>61.7</v>
      </c>
      <c r="IB1794" s="19">
        <v>60.7</v>
      </c>
      <c r="IC1794" s="19">
        <v>59.7</v>
      </c>
    </row>
    <row r="1795">
      <c r="A1795" s="2" t="s">
        <v>6591</v>
      </c>
      <c r="B1795" s="2" t="s">
        <v>852</v>
      </c>
      <c r="C1795" s="2" t="s">
        <v>853</v>
      </c>
      <c r="D1795" s="2" t="s">
        <v>854</v>
      </c>
      <c r="E1795" s="2" t="s">
        <v>855</v>
      </c>
      <c r="F1795" s="2" t="s">
        <v>6558</v>
      </c>
      <c r="G1795" s="2" t="s">
        <v>6559</v>
      </c>
      <c r="H1795" s="2" t="s">
        <v>6560</v>
      </c>
      <c r="I1795" s="2" t="s">
        <v>6592</v>
      </c>
      <c r="J1795" s="2" t="s">
        <v>860</v>
      </c>
      <c r="K1795" s="2" t="s">
        <v>6587</v>
      </c>
      <c r="L1795" s="3">
        <v>20.95</v>
      </c>
      <c r="M1795" s="3">
        <v>22</v>
      </c>
      <c r="N1795" s="3">
        <v>44.99</v>
      </c>
      <c r="O1795" s="2" t="s">
        <v>232</v>
      </c>
      <c r="P1795" s="2" t="s">
        <v>233</v>
      </c>
      <c r="Q1795" s="2" t="s">
        <v>234</v>
      </c>
      <c r="R1795" s="2" t="s">
        <v>235</v>
      </c>
      <c r="S1795" s="2" t="s">
        <v>6588</v>
      </c>
      <c r="T1795" s="2" t="s">
        <v>235</v>
      </c>
      <c r="U1795" s="2" t="s">
        <v>235</v>
      </c>
      <c r="V1795" s="2" t="s">
        <v>863</v>
      </c>
      <c r="W1795" s="2" t="s">
        <v>239</v>
      </c>
      <c r="X1795" s="2" t="s">
        <v>864</v>
      </c>
      <c r="Y1795" s="2" t="s">
        <v>2174</v>
      </c>
      <c r="Z1795" s="4">
        <v>570</v>
      </c>
      <c r="AA1795" s="4">
        <f>=ROUNDDOWN(79.1666666666667,0)</f>
      </c>
      <c r="AB1795" s="5">
        <v>7.2</v>
      </c>
      <c r="AC1795" s="2" t="s">
        <v>235</v>
      </c>
      <c r="AD1795" s="4"/>
      <c r="AE1795" s="4"/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235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235</v>
      </c>
      <c r="AW1795" s="8" t="s">
        <v>235</v>
      </c>
      <c r="AX1795" s="4" t="s">
        <v>235</v>
      </c>
      <c r="AY1795" s="8" t="s">
        <v>235</v>
      </c>
      <c r="AZ1795" s="7" t="s">
        <v>235</v>
      </c>
      <c r="BA1795" s="7" t="s">
        <v>235</v>
      </c>
      <c r="BB1795" s="7"/>
      <c r="BC1795" s="4" t="s">
        <v>235</v>
      </c>
      <c r="BD1795" s="8" t="s">
        <v>235</v>
      </c>
      <c r="BE1795" s="4" t="s">
        <v>235</v>
      </c>
      <c r="BF1795" s="8" t="s">
        <v>235</v>
      </c>
      <c r="BG1795" s="7" t="s">
        <v>235</v>
      </c>
      <c r="BH1795" s="7" t="s">
        <v>235</v>
      </c>
      <c r="BI1795" s="7"/>
      <c r="BJ1795" s="4">
        <v>25</v>
      </c>
      <c r="BK1795" s="8">
        <v>616.82</v>
      </c>
      <c r="BL1795" s="2" t="s">
        <v>6593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6594</v>
      </c>
      <c r="BV1795" s="2" t="s">
        <v>867</v>
      </c>
      <c r="BW1795" s="2" t="s">
        <v>235</v>
      </c>
      <c r="BX1795" s="2" t="s">
        <v>383</v>
      </c>
      <c r="BY1795" s="2" t="s">
        <v>245</v>
      </c>
      <c r="BZ1795" s="2" t="s">
        <v>232</v>
      </c>
      <c r="CA1795" s="2" t="s">
        <v>4101</v>
      </c>
      <c r="CB1795" s="2" t="s">
        <v>6595</v>
      </c>
      <c r="CC1795" s="2" t="s">
        <v>248</v>
      </c>
      <c r="CD1795" s="2" t="s">
        <v>248</v>
      </c>
      <c r="CE1795" s="2" t="s">
        <v>235</v>
      </c>
      <c r="CF1795" s="4">
        <v>570</v>
      </c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>
        <v>570</v>
      </c>
      <c r="GE1795" s="4">
        <v>564</v>
      </c>
      <c r="GF1795" s="4">
        <v>559</v>
      </c>
      <c r="GG1795" s="4">
        <v>554</v>
      </c>
      <c r="GH1795" s="4">
        <v>549</v>
      </c>
      <c r="GI1795" s="4">
        <v>544</v>
      </c>
      <c r="GJ1795" s="4">
        <v>539</v>
      </c>
      <c r="GK1795" s="4">
        <v>533</v>
      </c>
      <c r="GL1795" s="4">
        <v>523</v>
      </c>
      <c r="GM1795" s="4">
        <v>515</v>
      </c>
      <c r="GN1795" s="4">
        <v>504</v>
      </c>
      <c r="GO1795" s="4">
        <v>493</v>
      </c>
      <c r="GP1795" s="4">
        <v>483</v>
      </c>
      <c r="GQ1795" s="4">
        <v>471</v>
      </c>
      <c r="GR1795" s="4">
        <v>461</v>
      </c>
      <c r="GS1795" s="4">
        <v>449</v>
      </c>
      <c r="GT1795" s="4">
        <v>441</v>
      </c>
      <c r="GU1795" s="4">
        <v>432</v>
      </c>
      <c r="GV1795" s="4">
        <v>423</v>
      </c>
      <c r="GW1795" s="4">
        <v>415</v>
      </c>
      <c r="GX1795" s="4">
        <v>407</v>
      </c>
      <c r="GY1795" s="4">
        <v>399</v>
      </c>
      <c r="GZ1795" s="4">
        <v>391</v>
      </c>
      <c r="HA1795" s="4">
        <v>383</v>
      </c>
      <c r="HB1795" s="4">
        <v>375</v>
      </c>
      <c r="HC1795" s="4">
        <v>366</v>
      </c>
      <c r="HD1795" s="19">
        <v>114</v>
      </c>
      <c r="HE1795" s="19">
        <v>112.8</v>
      </c>
      <c r="HF1795" s="19">
        <v>111.8</v>
      </c>
      <c r="HG1795" s="19">
        <v>110.8</v>
      </c>
      <c r="HH1795" s="19">
        <v>91.5</v>
      </c>
      <c r="HI1795" s="19">
        <v>77.7</v>
      </c>
      <c r="HJ1795" s="19">
        <v>59.9</v>
      </c>
      <c r="HK1795" s="19">
        <v>53.3</v>
      </c>
      <c r="HL1795" s="19">
        <v>52.3</v>
      </c>
      <c r="HM1795" s="19">
        <v>46.8</v>
      </c>
      <c r="HN1795" s="19">
        <v>45.8</v>
      </c>
      <c r="HO1795" s="19">
        <v>44.8</v>
      </c>
      <c r="HP1795" s="19">
        <v>48.3</v>
      </c>
      <c r="HQ1795" s="19">
        <v>47.1</v>
      </c>
      <c r="HR1795" s="19">
        <v>46.1</v>
      </c>
      <c r="HS1795" s="19">
        <v>56.1</v>
      </c>
      <c r="HT1795" s="19">
        <v>55.1</v>
      </c>
      <c r="HU1795" s="19">
        <v>54</v>
      </c>
      <c r="HV1795" s="19">
        <v>52.9</v>
      </c>
      <c r="HW1795" s="19">
        <v>51.9</v>
      </c>
      <c r="HX1795" s="19">
        <v>50.9</v>
      </c>
      <c r="HY1795" s="19">
        <v>49.9</v>
      </c>
      <c r="HZ1795" s="19">
        <v>48.9</v>
      </c>
      <c r="IA1795" s="19">
        <v>47.9</v>
      </c>
      <c r="IB1795" s="19">
        <v>46.9</v>
      </c>
      <c r="IC1795" s="19">
        <v>45.8</v>
      </c>
    </row>
    <row r="1796">
      <c r="A1796" s="2" t="s">
        <v>6596</v>
      </c>
      <c r="B1796" s="2" t="s">
        <v>224</v>
      </c>
      <c r="C1796" s="2" t="s">
        <v>225</v>
      </c>
      <c r="D1796" s="2" t="s">
        <v>1539</v>
      </c>
      <c r="E1796" s="2" t="s">
        <v>6597</v>
      </c>
      <c r="F1796" s="2" t="s">
        <v>6598</v>
      </c>
      <c r="G1796" s="2" t="s">
        <v>6598</v>
      </c>
      <c r="H1796" s="2" t="s">
        <v>6598</v>
      </c>
      <c r="I1796" s="2" t="s">
        <v>6599</v>
      </c>
      <c r="J1796" s="2" t="s">
        <v>261</v>
      </c>
      <c r="K1796" s="2" t="s">
        <v>295</v>
      </c>
      <c r="L1796" s="3">
        <v>17.8</v>
      </c>
      <c r="M1796" s="3">
        <v>18.69</v>
      </c>
      <c r="N1796" s="3">
        <v>39.99</v>
      </c>
      <c r="O1796" s="2" t="s">
        <v>232</v>
      </c>
      <c r="P1796" s="2" t="s">
        <v>233</v>
      </c>
      <c r="Q1796" s="2" t="s">
        <v>234</v>
      </c>
      <c r="R1796" s="2" t="s">
        <v>235</v>
      </c>
      <c r="S1796" s="2" t="s">
        <v>6600</v>
      </c>
      <c r="T1796" s="2" t="s">
        <v>235</v>
      </c>
      <c r="U1796" s="2" t="s">
        <v>235</v>
      </c>
      <c r="V1796" s="2" t="s">
        <v>238</v>
      </c>
      <c r="W1796" s="2" t="s">
        <v>1041</v>
      </c>
      <c r="X1796" s="2" t="s">
        <v>235</v>
      </c>
      <c r="Y1796" s="2" t="s">
        <v>6601</v>
      </c>
      <c r="Z1796" s="4">
        <v>331</v>
      </c>
      <c r="AA1796" s="4">
        <f>=ROUNDDOWN(33.1,0)</f>
      </c>
      <c r="AB1796" s="5">
        <v>10</v>
      </c>
      <c r="AC1796" s="2" t="s">
        <v>201</v>
      </c>
      <c r="AD1796" s="4">
        <v>100</v>
      </c>
      <c r="AE1796" s="4">
        <v>100</v>
      </c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235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235</v>
      </c>
      <c r="AW1796" s="8" t="s">
        <v>235</v>
      </c>
      <c r="AX1796" s="4" t="s">
        <v>235</v>
      </c>
      <c r="AY1796" s="8" t="s">
        <v>235</v>
      </c>
      <c r="AZ1796" s="7" t="s">
        <v>235</v>
      </c>
      <c r="BA1796" s="7" t="s">
        <v>235</v>
      </c>
      <c r="BB1796" s="7"/>
      <c r="BC1796" s="4" t="s">
        <v>235</v>
      </c>
      <c r="BD1796" s="8" t="s">
        <v>235</v>
      </c>
      <c r="BE1796" s="4" t="s">
        <v>235</v>
      </c>
      <c r="BF1796" s="8" t="s">
        <v>235</v>
      </c>
      <c r="BG1796" s="7" t="s">
        <v>235</v>
      </c>
      <c r="BH1796" s="7" t="s">
        <v>235</v>
      </c>
      <c r="BI1796" s="7"/>
      <c r="BJ1796" s="4">
        <v>65</v>
      </c>
      <c r="BK1796" s="8">
        <v>1352.03</v>
      </c>
      <c r="BL1796" s="2" t="s">
        <v>6602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6603</v>
      </c>
      <c r="BV1796" s="2" t="s">
        <v>243</v>
      </c>
      <c r="BW1796" s="2" t="s">
        <v>235</v>
      </c>
      <c r="BX1796" s="2" t="s">
        <v>244</v>
      </c>
      <c r="BY1796" s="2" t="s">
        <v>245</v>
      </c>
      <c r="BZ1796" s="2" t="s">
        <v>232</v>
      </c>
      <c r="CA1796" s="2" t="s">
        <v>6604</v>
      </c>
      <c r="CB1796" s="2" t="s">
        <v>6605</v>
      </c>
      <c r="CC1796" s="2" t="s">
        <v>248</v>
      </c>
      <c r="CD1796" s="2" t="s">
        <v>248</v>
      </c>
      <c r="CE1796" s="2" t="s">
        <v>235</v>
      </c>
      <c r="CF1796" s="4">
        <v>331</v>
      </c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>
        <v>100</v>
      </c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>
        <v>333</v>
      </c>
      <c r="GE1796" s="4">
        <v>322</v>
      </c>
      <c r="GF1796" s="4">
        <v>313</v>
      </c>
      <c r="GG1796" s="4">
        <v>304</v>
      </c>
      <c r="GH1796" s="4">
        <v>295</v>
      </c>
      <c r="GI1796" s="4">
        <v>285</v>
      </c>
      <c r="GJ1796" s="4">
        <v>275</v>
      </c>
      <c r="GK1796" s="4">
        <v>265</v>
      </c>
      <c r="GL1796" s="4">
        <v>255</v>
      </c>
      <c r="GM1796" s="4">
        <v>247</v>
      </c>
      <c r="GN1796" s="4">
        <v>238</v>
      </c>
      <c r="GO1796" s="4">
        <v>227</v>
      </c>
      <c r="GP1796" s="4">
        <v>208</v>
      </c>
      <c r="GQ1796" s="4">
        <v>194</v>
      </c>
      <c r="GR1796" s="4">
        <v>275</v>
      </c>
      <c r="GS1796" s="4">
        <v>263</v>
      </c>
      <c r="GT1796" s="4">
        <v>248</v>
      </c>
      <c r="GU1796" s="4">
        <v>234</v>
      </c>
      <c r="GV1796" s="4">
        <v>218</v>
      </c>
      <c r="GW1796" s="4">
        <v>202</v>
      </c>
      <c r="GX1796" s="4">
        <v>186</v>
      </c>
      <c r="GY1796" s="4">
        <v>170</v>
      </c>
      <c r="GZ1796" s="4">
        <v>152</v>
      </c>
      <c r="HA1796" s="4">
        <v>134</v>
      </c>
      <c r="HB1796" s="4">
        <v>116</v>
      </c>
      <c r="HC1796" s="4">
        <v>98</v>
      </c>
      <c r="HD1796" s="19">
        <v>33.3</v>
      </c>
      <c r="HE1796" s="19">
        <v>35.8</v>
      </c>
      <c r="HF1796" s="19">
        <v>31.3</v>
      </c>
      <c r="HG1796" s="19">
        <v>30.4</v>
      </c>
      <c r="HH1796" s="19">
        <v>29.5</v>
      </c>
      <c r="HI1796" s="19">
        <v>28.5</v>
      </c>
      <c r="HJ1796" s="19">
        <v>30.6</v>
      </c>
      <c r="HK1796" s="19">
        <v>26.5</v>
      </c>
      <c r="HL1796" s="19">
        <v>21.3</v>
      </c>
      <c r="HM1796" s="19">
        <v>19</v>
      </c>
      <c r="HN1796" s="19">
        <v>14.9</v>
      </c>
      <c r="HO1796" s="19">
        <v>14.2</v>
      </c>
      <c r="HP1796" s="19">
        <v>13.9</v>
      </c>
      <c r="HQ1796" s="19">
        <v>12.9</v>
      </c>
      <c r="HR1796" s="19">
        <v>19.6</v>
      </c>
      <c r="HS1796" s="19">
        <v>17.5</v>
      </c>
      <c r="HT1796" s="19">
        <v>15.5</v>
      </c>
      <c r="HU1796" s="19">
        <v>14.6</v>
      </c>
      <c r="HV1796" s="19">
        <v>13.6</v>
      </c>
      <c r="HW1796" s="19">
        <v>11.9</v>
      </c>
      <c r="HX1796" s="19">
        <v>10.3</v>
      </c>
      <c r="HY1796" s="19">
        <v>9.4</v>
      </c>
      <c r="HZ1796" s="19">
        <v>9.5</v>
      </c>
      <c r="IA1796" s="19">
        <v>9.6</v>
      </c>
      <c r="IB1796" s="19">
        <v>8.9</v>
      </c>
      <c r="IC1796" s="19">
        <v>8.9</v>
      </c>
    </row>
    <row r="1797">
      <c r="A1797" s="2" t="s">
        <v>6606</v>
      </c>
      <c r="B1797" s="2" t="s">
        <v>224</v>
      </c>
      <c r="C1797" s="2" t="s">
        <v>225</v>
      </c>
      <c r="D1797" s="2" t="s">
        <v>1539</v>
      </c>
      <c r="E1797" s="2" t="s">
        <v>6597</v>
      </c>
      <c r="F1797" s="2" t="s">
        <v>6598</v>
      </c>
      <c r="G1797" s="2" t="s">
        <v>6598</v>
      </c>
      <c r="H1797" s="2" t="s">
        <v>6598</v>
      </c>
      <c r="I1797" s="2" t="s">
        <v>6599</v>
      </c>
      <c r="J1797" s="2" t="s">
        <v>270</v>
      </c>
      <c r="K1797" s="2" t="s">
        <v>295</v>
      </c>
      <c r="L1797" s="3">
        <v>20.37</v>
      </c>
      <c r="M1797" s="3">
        <v>21.39</v>
      </c>
      <c r="N1797" s="3">
        <v>44.99</v>
      </c>
      <c r="O1797" s="2" t="s">
        <v>232</v>
      </c>
      <c r="P1797" s="2" t="s">
        <v>233</v>
      </c>
      <c r="Q1797" s="2" t="s">
        <v>234</v>
      </c>
      <c r="R1797" s="2" t="s">
        <v>235</v>
      </c>
      <c r="S1797" s="2" t="s">
        <v>6600</v>
      </c>
      <c r="T1797" s="2" t="s">
        <v>235</v>
      </c>
      <c r="U1797" s="2" t="s">
        <v>235</v>
      </c>
      <c r="V1797" s="2" t="s">
        <v>238</v>
      </c>
      <c r="W1797" s="2" t="s">
        <v>1041</v>
      </c>
      <c r="X1797" s="2" t="s">
        <v>235</v>
      </c>
      <c r="Y1797" s="2" t="s">
        <v>6601</v>
      </c>
      <c r="Z1797" s="4">
        <v>353</v>
      </c>
      <c r="AA1797" s="4">
        <f>=ROUNDDOWN(27.1538461538462,0)</f>
      </c>
      <c r="AB1797" s="5">
        <v>13</v>
      </c>
      <c r="AC1797" s="2" t="s">
        <v>201</v>
      </c>
      <c r="AD1797" s="4">
        <v>150</v>
      </c>
      <c r="AE1797" s="4">
        <v>150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235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235</v>
      </c>
      <c r="AW1797" s="8" t="s">
        <v>235</v>
      </c>
      <c r="AX1797" s="4" t="s">
        <v>235</v>
      </c>
      <c r="AY1797" s="8" t="s">
        <v>235</v>
      </c>
      <c r="AZ1797" s="7" t="s">
        <v>235</v>
      </c>
      <c r="BA1797" s="7" t="s">
        <v>235</v>
      </c>
      <c r="BB1797" s="7"/>
      <c r="BC1797" s="4" t="s">
        <v>235</v>
      </c>
      <c r="BD1797" s="8" t="s">
        <v>235</v>
      </c>
      <c r="BE1797" s="4" t="s">
        <v>235</v>
      </c>
      <c r="BF1797" s="8" t="s">
        <v>235</v>
      </c>
      <c r="BG1797" s="7" t="s">
        <v>235</v>
      </c>
      <c r="BH1797" s="7" t="s">
        <v>235</v>
      </c>
      <c r="BI1797" s="7"/>
      <c r="BJ1797" s="4">
        <v>52</v>
      </c>
      <c r="BK1797" s="8">
        <v>1171.44</v>
      </c>
      <c r="BL1797" s="2" t="s">
        <v>6602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6603</v>
      </c>
      <c r="BV1797" s="2" t="s">
        <v>243</v>
      </c>
      <c r="BW1797" s="2" t="s">
        <v>235</v>
      </c>
      <c r="BX1797" s="2" t="s">
        <v>244</v>
      </c>
      <c r="BY1797" s="2" t="s">
        <v>245</v>
      </c>
      <c r="BZ1797" s="2" t="s">
        <v>232</v>
      </c>
      <c r="CA1797" s="2" t="s">
        <v>6604</v>
      </c>
      <c r="CB1797" s="2" t="s">
        <v>6607</v>
      </c>
      <c r="CC1797" s="2" t="s">
        <v>248</v>
      </c>
      <c r="CD1797" s="2" t="s">
        <v>248</v>
      </c>
      <c r="CE1797" s="2" t="s">
        <v>235</v>
      </c>
      <c r="CF1797" s="4">
        <v>353</v>
      </c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>
        <v>150</v>
      </c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>
        <v>354</v>
      </c>
      <c r="GE1797" s="4">
        <v>344</v>
      </c>
      <c r="GF1797" s="4">
        <v>335</v>
      </c>
      <c r="GG1797" s="4">
        <v>326</v>
      </c>
      <c r="GH1797" s="4">
        <v>317</v>
      </c>
      <c r="GI1797" s="4">
        <v>304</v>
      </c>
      <c r="GJ1797" s="4">
        <v>291</v>
      </c>
      <c r="GK1797" s="4">
        <v>278</v>
      </c>
      <c r="GL1797" s="4">
        <v>265</v>
      </c>
      <c r="GM1797" s="4">
        <v>256</v>
      </c>
      <c r="GN1797" s="4">
        <v>246</v>
      </c>
      <c r="GO1797" s="4">
        <v>233</v>
      </c>
      <c r="GP1797" s="4">
        <v>212</v>
      </c>
      <c r="GQ1797" s="4">
        <v>196</v>
      </c>
      <c r="GR1797" s="4">
        <v>324</v>
      </c>
      <c r="GS1797" s="4">
        <v>310</v>
      </c>
      <c r="GT1797" s="4">
        <v>292</v>
      </c>
      <c r="GU1797" s="4">
        <v>276</v>
      </c>
      <c r="GV1797" s="4">
        <v>256</v>
      </c>
      <c r="GW1797" s="4">
        <v>236</v>
      </c>
      <c r="GX1797" s="4">
        <v>216</v>
      </c>
      <c r="GY1797" s="4">
        <v>196</v>
      </c>
      <c r="GZ1797" s="4">
        <v>179</v>
      </c>
      <c r="HA1797" s="4">
        <v>162</v>
      </c>
      <c r="HB1797" s="4">
        <v>145</v>
      </c>
      <c r="HC1797" s="4">
        <v>128</v>
      </c>
      <c r="HD1797" s="19">
        <v>39.3</v>
      </c>
      <c r="HE1797" s="19">
        <v>34.4</v>
      </c>
      <c r="HF1797" s="19">
        <v>30.5</v>
      </c>
      <c r="HG1797" s="19">
        <v>27.2</v>
      </c>
      <c r="HH1797" s="19">
        <v>24.4</v>
      </c>
      <c r="HI1797" s="19">
        <v>25.3</v>
      </c>
      <c r="HJ1797" s="19">
        <v>26.5</v>
      </c>
      <c r="HK1797" s="19">
        <v>25.3</v>
      </c>
      <c r="HL1797" s="19">
        <v>20.4</v>
      </c>
      <c r="HM1797" s="19">
        <v>17.1</v>
      </c>
      <c r="HN1797" s="19">
        <v>13.7</v>
      </c>
      <c r="HO1797" s="19">
        <v>12.9</v>
      </c>
      <c r="HP1797" s="19">
        <v>11.8</v>
      </c>
      <c r="HQ1797" s="19">
        <v>10.9</v>
      </c>
      <c r="HR1797" s="19">
        <v>19.1</v>
      </c>
      <c r="HS1797" s="19">
        <v>17.2</v>
      </c>
      <c r="HT1797" s="19">
        <v>15.4</v>
      </c>
      <c r="HU1797" s="19">
        <v>13.8</v>
      </c>
      <c r="HV1797" s="19">
        <v>13.5</v>
      </c>
      <c r="HW1797" s="19">
        <v>13.1</v>
      </c>
      <c r="HX1797" s="19">
        <v>12</v>
      </c>
      <c r="HY1797" s="19">
        <v>11.5</v>
      </c>
      <c r="HZ1797" s="19">
        <v>10.5</v>
      </c>
      <c r="IA1797" s="19">
        <v>10.1</v>
      </c>
      <c r="IB1797" s="19">
        <v>9.1</v>
      </c>
      <c r="IC1797" s="19">
        <v>8</v>
      </c>
    </row>
    <row r="1798">
      <c r="A1798" s="2" t="s">
        <v>6608</v>
      </c>
      <c r="B1798" s="2" t="s">
        <v>323</v>
      </c>
      <c r="C1798" s="2" t="s">
        <v>225</v>
      </c>
      <c r="D1798" s="2" t="s">
        <v>257</v>
      </c>
      <c r="E1798" s="2" t="s">
        <v>258</v>
      </c>
      <c r="F1798" s="2" t="s">
        <v>6598</v>
      </c>
      <c r="G1798" s="2" t="s">
        <v>6598</v>
      </c>
      <c r="H1798" s="2" t="s">
        <v>6598</v>
      </c>
      <c r="I1798" s="2" t="s">
        <v>6609</v>
      </c>
      <c r="J1798" s="2" t="s">
        <v>250</v>
      </c>
      <c r="K1798" s="2" t="s">
        <v>316</v>
      </c>
      <c r="L1798" s="3">
        <v>32.5</v>
      </c>
      <c r="M1798" s="3">
        <v>34.12</v>
      </c>
      <c r="N1798" s="3">
        <v>64.99</v>
      </c>
      <c r="O1798" s="2" t="s">
        <v>407</v>
      </c>
      <c r="P1798" s="2" t="s">
        <v>408</v>
      </c>
      <c r="Q1798" s="2" t="s">
        <v>234</v>
      </c>
      <c r="R1798" s="2" t="s">
        <v>235</v>
      </c>
      <c r="S1798" s="2" t="s">
        <v>6610</v>
      </c>
      <c r="T1798" s="2" t="s">
        <v>6611</v>
      </c>
      <c r="U1798" s="2" t="s">
        <v>235</v>
      </c>
      <c r="V1798" s="2" t="s">
        <v>238</v>
      </c>
      <c r="W1798" s="2" t="s">
        <v>239</v>
      </c>
      <c r="X1798" s="2" t="s">
        <v>235</v>
      </c>
      <c r="Y1798" s="2" t="s">
        <v>6612</v>
      </c>
      <c r="Z1798" s="4"/>
      <c r="AA1798" s="4">
        <f>=ROUNDDOWN({0},0)</f>
      </c>
      <c r="AB1798" s="5">
        <v>0.7</v>
      </c>
      <c r="AC1798" s="2" t="s">
        <v>235</v>
      </c>
      <c r="AD1798" s="4"/>
      <c r="AE1798" s="4"/>
      <c r="AF1798" s="6">
        <v>65</v>
      </c>
      <c r="AG1798" s="6"/>
      <c r="AH1798" s="7">
        <v>0.8387</v>
      </c>
      <c r="AI1798" s="4"/>
      <c r="AJ1798" s="4">
        <f>=ROUNDDOWN({0},0)</f>
      </c>
      <c r="AK1798" s="5"/>
      <c r="AL1798" s="2" t="s">
        <v>235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 t="s">
        <v>235</v>
      </c>
      <c r="BD1798" s="8" t="s">
        <v>235</v>
      </c>
      <c r="BE1798" s="4" t="s">
        <v>235</v>
      </c>
      <c r="BF1798" s="8" t="s">
        <v>235</v>
      </c>
      <c r="BG1798" s="7" t="s">
        <v>235</v>
      </c>
      <c r="BH1798" s="7" t="s">
        <v>235</v>
      </c>
      <c r="BI1798" s="7"/>
      <c r="BJ1798" s="4">
        <v>3</v>
      </c>
      <c r="BK1798" s="8">
        <v>56.07</v>
      </c>
      <c r="BL1798" s="2" t="s">
        <v>6613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6614</v>
      </c>
      <c r="BV1798" s="2" t="s">
        <v>243</v>
      </c>
      <c r="BW1798" s="2" t="s">
        <v>235</v>
      </c>
      <c r="BX1798" s="2" t="s">
        <v>414</v>
      </c>
      <c r="BY1798" s="2" t="s">
        <v>245</v>
      </c>
      <c r="BZ1798" s="2" t="s">
        <v>232</v>
      </c>
      <c r="CA1798" s="2" t="s">
        <v>510</v>
      </c>
      <c r="CB1798" s="2" t="s">
        <v>6615</v>
      </c>
      <c r="CC1798" s="2" t="s">
        <v>492</v>
      </c>
      <c r="CD1798" s="2" t="s">
        <v>248</v>
      </c>
      <c r="CE1798" s="2" t="s">
        <v>235</v>
      </c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>
        <v>18</v>
      </c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19">
        <v>4.5</v>
      </c>
      <c r="HE1798" s="9"/>
      <c r="HF1798" s="9"/>
      <c r="HG1798" s="9"/>
      <c r="HH1798" s="9"/>
      <c r="HI1798" s="9"/>
      <c r="HJ1798" s="9"/>
      <c r="HK1798" s="9"/>
      <c r="HL1798" s="9"/>
      <c r="HM1798" s="9"/>
      <c r="HN1798" s="9"/>
      <c r="HO1798" s="9"/>
      <c r="HP1798" s="9"/>
      <c r="HQ1798" s="9"/>
      <c r="HR1798" s="9"/>
      <c r="HS1798" s="9"/>
      <c r="HT1798" s="9"/>
      <c r="HU1798" s="9"/>
      <c r="HV1798" s="9"/>
      <c r="HW1798" s="9"/>
      <c r="HX1798" s="9"/>
      <c r="HY1798" s="9"/>
      <c r="HZ1798" s="9"/>
      <c r="IA1798" s="9"/>
      <c r="IB1798" s="9"/>
      <c r="IC1798" s="9"/>
    </row>
    <row r="1799">
      <c r="A1799" s="2" t="s">
        <v>6616</v>
      </c>
      <c r="B1799" s="2" t="s">
        <v>1529</v>
      </c>
      <c r="C1799" s="2" t="s">
        <v>1381</v>
      </c>
      <c r="D1799" s="2" t="s">
        <v>4819</v>
      </c>
      <c r="E1799" s="2" t="s">
        <v>4380</v>
      </c>
      <c r="F1799" s="2" t="s">
        <v>6617</v>
      </c>
      <c r="G1799" s="2" t="s">
        <v>6617</v>
      </c>
      <c r="H1799" s="2" t="s">
        <v>6617</v>
      </c>
      <c r="I1799" s="2" t="s">
        <v>5799</v>
      </c>
      <c r="J1799" s="2" t="s">
        <v>897</v>
      </c>
      <c r="K1799" s="2" t="s">
        <v>6618</v>
      </c>
      <c r="L1799" s="3">
        <v>100</v>
      </c>
      <c r="M1799" s="3">
        <v>105</v>
      </c>
      <c r="N1799" s="3">
        <v>299</v>
      </c>
      <c r="O1799" s="2" t="s">
        <v>232</v>
      </c>
      <c r="P1799" s="2" t="s">
        <v>1533</v>
      </c>
      <c r="Q1799" s="2" t="s">
        <v>234</v>
      </c>
      <c r="R1799" s="2" t="s">
        <v>235</v>
      </c>
      <c r="S1799" s="2" t="s">
        <v>235</v>
      </c>
      <c r="T1799" s="2" t="s">
        <v>235</v>
      </c>
      <c r="U1799" s="2" t="s">
        <v>807</v>
      </c>
      <c r="V1799" s="2" t="s">
        <v>238</v>
      </c>
      <c r="W1799" s="2" t="s">
        <v>235</v>
      </c>
      <c r="X1799" s="2" t="s">
        <v>235</v>
      </c>
      <c r="Y1799" s="2" t="s">
        <v>415</v>
      </c>
      <c r="Z1799" s="4">
        <v>2</v>
      </c>
      <c r="AA1799" s="4">
        <f>=ROUNDDOWN(10,0)</f>
      </c>
      <c r="AB1799" s="5">
        <v>0.2</v>
      </c>
      <c r="AC1799" s="2" t="s">
        <v>235</v>
      </c>
      <c r="AD1799" s="4"/>
      <c r="AE1799" s="4"/>
      <c r="AF1799" s="6"/>
      <c r="AG1799" s="6"/>
      <c r="AH1799" s="7">
        <v>0</v>
      </c>
      <c r="AI1799" s="4"/>
      <c r="AJ1799" s="4">
        <f>=ROUNDDOWN({0},0)</f>
      </c>
      <c r="AK1799" s="5"/>
      <c r="AL1799" s="2" t="s">
        <v>235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2</v>
      </c>
      <c r="BK1799" s="8">
        <v>311.48</v>
      </c>
      <c r="BL1799" s="2" t="s">
        <v>900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6619</v>
      </c>
      <c r="BV1799" s="2" t="s">
        <v>4384</v>
      </c>
      <c r="BW1799" s="2" t="s">
        <v>235</v>
      </c>
      <c r="BX1799" s="2" t="s">
        <v>244</v>
      </c>
      <c r="BY1799" s="2" t="s">
        <v>245</v>
      </c>
      <c r="BZ1799" s="2" t="s">
        <v>232</v>
      </c>
      <c r="CA1799" s="2" t="s">
        <v>1536</v>
      </c>
      <c r="CB1799" s="2" t="s">
        <v>3096</v>
      </c>
      <c r="CC1799" s="2" t="s">
        <v>248</v>
      </c>
      <c r="CD1799" s="2" t="s">
        <v>248</v>
      </c>
      <c r="CE1799" s="2" t="s">
        <v>235</v>
      </c>
      <c r="CF1799" s="4"/>
      <c r="CG1799" s="4">
        <v>1</v>
      </c>
      <c r="CH1799" s="4"/>
      <c r="CI1799" s="4">
        <v>1</v>
      </c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9"/>
      <c r="HE1799" s="9"/>
      <c r="HF1799" s="9"/>
      <c r="HG1799" s="9"/>
      <c r="HH1799" s="9"/>
      <c r="HI1799" s="9"/>
      <c r="HJ1799" s="9"/>
      <c r="HK1799" s="9"/>
      <c r="HL1799" s="9"/>
      <c r="HM1799" s="9"/>
      <c r="HN1799" s="9"/>
      <c r="HO1799" s="9"/>
      <c r="HP1799" s="9"/>
      <c r="HQ1799" s="9"/>
      <c r="HR1799" s="9"/>
      <c r="HS1799" s="9"/>
      <c r="HT1799" s="9"/>
      <c r="HU1799" s="9"/>
      <c r="HV1799" s="9"/>
      <c r="HW1799" s="9"/>
      <c r="HX1799" s="9"/>
      <c r="HY1799" s="9"/>
      <c r="HZ1799" s="9"/>
      <c r="IA1799" s="9"/>
      <c r="IB1799" s="9"/>
      <c r="IC1799" s="9"/>
    </row>
    <row r="1800">
      <c r="A1800" s="2" t="s">
        <v>6620</v>
      </c>
      <c r="B1800" s="2" t="s">
        <v>871</v>
      </c>
      <c r="C1800" s="2" t="s">
        <v>853</v>
      </c>
      <c r="D1800" s="2" t="s">
        <v>361</v>
      </c>
      <c r="E1800" s="2" t="s">
        <v>924</v>
      </c>
      <c r="F1800" s="2" t="s">
        <v>6621</v>
      </c>
      <c r="G1800" s="2" t="s">
        <v>6622</v>
      </c>
      <c r="H1800" s="2" t="s">
        <v>6623</v>
      </c>
      <c r="I1800" s="2" t="s">
        <v>6624</v>
      </c>
      <c r="J1800" s="2" t="s">
        <v>877</v>
      </c>
      <c r="K1800" s="2" t="s">
        <v>287</v>
      </c>
      <c r="L1800" s="3">
        <v>26.25</v>
      </c>
      <c r="M1800" s="3">
        <v>27.56</v>
      </c>
      <c r="N1800" s="3">
        <v>54.99</v>
      </c>
      <c r="O1800" s="2" t="s">
        <v>407</v>
      </c>
      <c r="P1800" s="2" t="s">
        <v>408</v>
      </c>
      <c r="Q1800" s="2" t="s">
        <v>234</v>
      </c>
      <c r="R1800" s="2" t="s">
        <v>235</v>
      </c>
      <c r="S1800" s="2" t="s">
        <v>6625</v>
      </c>
      <c r="T1800" s="2" t="s">
        <v>501</v>
      </c>
      <c r="U1800" s="2" t="s">
        <v>278</v>
      </c>
      <c r="V1800" s="2" t="s">
        <v>238</v>
      </c>
      <c r="W1800" s="2" t="s">
        <v>682</v>
      </c>
      <c r="X1800" s="2" t="s">
        <v>239</v>
      </c>
      <c r="Y1800" s="2" t="s">
        <v>6626</v>
      </c>
      <c r="Z1800" s="4">
        <v>480</v>
      </c>
      <c r="AA1800" s="4">
        <f>=ROUNDDOWN(436.363636363636,0)</f>
      </c>
      <c r="AB1800" s="5">
        <v>1.1</v>
      </c>
      <c r="AC1800" s="2" t="s">
        <v>235</v>
      </c>
      <c r="AD1800" s="4"/>
      <c r="AE1800" s="4"/>
      <c r="AF1800" s="6">
        <v>64</v>
      </c>
      <c r="AG1800" s="6"/>
      <c r="AH1800" s="7">
        <v>1</v>
      </c>
      <c r="AI1800" s="4"/>
      <c r="AJ1800" s="4">
        <f>=ROUNDDOWN({0},0)</f>
      </c>
      <c r="AK1800" s="5"/>
      <c r="AL1800" s="2" t="s">
        <v>235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235</v>
      </c>
      <c r="AW1800" s="8" t="s">
        <v>235</v>
      </c>
      <c r="AX1800" s="4" t="s">
        <v>235</v>
      </c>
      <c r="AY1800" s="8" t="s">
        <v>235</v>
      </c>
      <c r="AZ1800" s="7" t="s">
        <v>235</v>
      </c>
      <c r="BA1800" s="7" t="s">
        <v>235</v>
      </c>
      <c r="BB1800" s="7"/>
      <c r="BC1800" s="4" t="s">
        <v>235</v>
      </c>
      <c r="BD1800" s="8" t="s">
        <v>235</v>
      </c>
      <c r="BE1800" s="4" t="s">
        <v>235</v>
      </c>
      <c r="BF1800" s="8" t="s">
        <v>235</v>
      </c>
      <c r="BG1800" s="7" t="s">
        <v>235</v>
      </c>
      <c r="BH1800" s="7" t="s">
        <v>235</v>
      </c>
      <c r="BI1800" s="7"/>
      <c r="BJ1800" s="4">
        <v>4</v>
      </c>
      <c r="BK1800" s="8">
        <v>118.53</v>
      </c>
      <c r="BL1800" s="2" t="s">
        <v>6627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6628</v>
      </c>
      <c r="BV1800" s="2" t="s">
        <v>243</v>
      </c>
      <c r="BW1800" s="2" t="s">
        <v>235</v>
      </c>
      <c r="BX1800" s="2" t="s">
        <v>414</v>
      </c>
      <c r="BY1800" s="2" t="s">
        <v>245</v>
      </c>
      <c r="BZ1800" s="2" t="s">
        <v>232</v>
      </c>
      <c r="CA1800" s="2" t="s">
        <v>6629</v>
      </c>
      <c r="CB1800" s="2" t="s">
        <v>235</v>
      </c>
      <c r="CC1800" s="2" t="s">
        <v>248</v>
      </c>
      <c r="CD1800" s="2" t="s">
        <v>248</v>
      </c>
      <c r="CE1800" s="2" t="s">
        <v>235</v>
      </c>
      <c r="CF1800" s="4">
        <v>258</v>
      </c>
      <c r="CG1800" s="4"/>
      <c r="CH1800" s="4"/>
      <c r="CI1800" s="4">
        <v>222</v>
      </c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>
        <v>480</v>
      </c>
      <c r="GE1800" s="4">
        <v>479</v>
      </c>
      <c r="GF1800" s="4">
        <v>478</v>
      </c>
      <c r="GG1800" s="4">
        <v>477</v>
      </c>
      <c r="GH1800" s="4">
        <v>476</v>
      </c>
      <c r="GI1800" s="4">
        <v>475</v>
      </c>
      <c r="GJ1800" s="4">
        <v>474</v>
      </c>
      <c r="GK1800" s="4">
        <v>473</v>
      </c>
      <c r="GL1800" s="4">
        <v>472</v>
      </c>
      <c r="GM1800" s="4">
        <v>471</v>
      </c>
      <c r="GN1800" s="4">
        <v>470</v>
      </c>
      <c r="GO1800" s="4">
        <v>469</v>
      </c>
      <c r="GP1800" s="4">
        <v>468</v>
      </c>
      <c r="GQ1800" s="4">
        <v>467</v>
      </c>
      <c r="GR1800" s="4">
        <v>465</v>
      </c>
      <c r="GS1800" s="4">
        <v>463</v>
      </c>
      <c r="GT1800" s="4">
        <v>462</v>
      </c>
      <c r="GU1800" s="4">
        <v>461</v>
      </c>
      <c r="GV1800" s="4">
        <v>460</v>
      </c>
      <c r="GW1800" s="4">
        <v>459</v>
      </c>
      <c r="GX1800" s="4">
        <v>458</v>
      </c>
      <c r="GY1800" s="4">
        <v>457</v>
      </c>
      <c r="GZ1800" s="4">
        <v>456</v>
      </c>
      <c r="HA1800" s="4">
        <v>455</v>
      </c>
      <c r="HB1800" s="4">
        <v>454</v>
      </c>
      <c r="HC1800" s="4">
        <v>453</v>
      </c>
      <c r="HD1800" s="19">
        <v>480</v>
      </c>
      <c r="HE1800" s="19">
        <v>479</v>
      </c>
      <c r="HF1800" s="19">
        <v>478</v>
      </c>
      <c r="HG1800" s="19">
        <v>477</v>
      </c>
      <c r="HH1800" s="19">
        <v>476</v>
      </c>
      <c r="HI1800" s="19">
        <v>475</v>
      </c>
      <c r="HJ1800" s="19">
        <v>474</v>
      </c>
      <c r="HK1800" s="19">
        <v>473</v>
      </c>
      <c r="HL1800" s="19">
        <v>472</v>
      </c>
      <c r="HM1800" s="19">
        <v>471</v>
      </c>
      <c r="HN1800" s="19">
        <v>470</v>
      </c>
      <c r="HO1800" s="19">
        <v>234.5</v>
      </c>
      <c r="HP1800" s="19">
        <v>234</v>
      </c>
      <c r="HQ1800" s="19">
        <v>233.5</v>
      </c>
      <c r="HR1800" s="19">
        <v>465</v>
      </c>
      <c r="HS1800" s="19">
        <v>463</v>
      </c>
      <c r="HT1800" s="19">
        <v>462</v>
      </c>
      <c r="HU1800" s="19">
        <v>461</v>
      </c>
      <c r="HV1800" s="19">
        <v>460</v>
      </c>
      <c r="HW1800" s="19">
        <v>459</v>
      </c>
      <c r="HX1800" s="19">
        <v>458</v>
      </c>
      <c r="HY1800" s="19">
        <v>457</v>
      </c>
      <c r="HZ1800" s="19">
        <v>456</v>
      </c>
      <c r="IA1800" s="19">
        <v>455</v>
      </c>
      <c r="IB1800" s="19">
        <v>454</v>
      </c>
      <c r="IC1800" s="19">
        <v>453</v>
      </c>
    </row>
    <row r="1801">
      <c r="A1801" s="2" t="s">
        <v>6630</v>
      </c>
      <c r="B1801" s="2" t="s">
        <v>871</v>
      </c>
      <c r="C1801" s="2" t="s">
        <v>853</v>
      </c>
      <c r="D1801" s="2" t="s">
        <v>361</v>
      </c>
      <c r="E1801" s="2" t="s">
        <v>924</v>
      </c>
      <c r="F1801" s="2" t="s">
        <v>6621</v>
      </c>
      <c r="G1801" s="2" t="s">
        <v>6622</v>
      </c>
      <c r="H1801" s="2" t="s">
        <v>6623</v>
      </c>
      <c r="I1801" s="2" t="s">
        <v>6624</v>
      </c>
      <c r="J1801" s="2" t="s">
        <v>365</v>
      </c>
      <c r="K1801" s="2" t="s">
        <v>287</v>
      </c>
      <c r="L1801" s="3">
        <v>31.72</v>
      </c>
      <c r="M1801" s="3">
        <v>33.31</v>
      </c>
      <c r="N1801" s="3">
        <v>64.99</v>
      </c>
      <c r="O1801" s="2" t="s">
        <v>407</v>
      </c>
      <c r="P1801" s="2" t="s">
        <v>408</v>
      </c>
      <c r="Q1801" s="2" t="s">
        <v>234</v>
      </c>
      <c r="R1801" s="2" t="s">
        <v>235</v>
      </c>
      <c r="S1801" s="2" t="s">
        <v>6625</v>
      </c>
      <c r="T1801" s="2" t="s">
        <v>501</v>
      </c>
      <c r="U1801" s="2" t="s">
        <v>552</v>
      </c>
      <c r="V1801" s="2" t="s">
        <v>238</v>
      </c>
      <c r="W1801" s="2" t="s">
        <v>682</v>
      </c>
      <c r="X1801" s="2" t="s">
        <v>239</v>
      </c>
      <c r="Y1801" s="2" t="s">
        <v>1714</v>
      </c>
      <c r="Z1801" s="4">
        <v>637</v>
      </c>
      <c r="AA1801" s="4">
        <f>=ROUNDDOWN(219.655172413793,0)</f>
      </c>
      <c r="AB1801" s="5">
        <v>2.9</v>
      </c>
      <c r="AC1801" s="2" t="s">
        <v>235</v>
      </c>
      <c r="AD1801" s="4"/>
      <c r="AE1801" s="4"/>
      <c r="AF1801" s="6">
        <v>64</v>
      </c>
      <c r="AG1801" s="6"/>
      <c r="AH1801" s="7">
        <v>1</v>
      </c>
      <c r="AI1801" s="4"/>
      <c r="AJ1801" s="4">
        <f>=ROUNDDOWN({0},0)</f>
      </c>
      <c r="AK1801" s="5"/>
      <c r="AL1801" s="2" t="s">
        <v>235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235</v>
      </c>
      <c r="AW1801" s="8" t="s">
        <v>235</v>
      </c>
      <c r="AX1801" s="4" t="s">
        <v>235</v>
      </c>
      <c r="AY1801" s="8" t="s">
        <v>235</v>
      </c>
      <c r="AZ1801" s="7" t="s">
        <v>235</v>
      </c>
      <c r="BA1801" s="7" t="s">
        <v>235</v>
      </c>
      <c r="BB1801" s="7"/>
      <c r="BC1801" s="4" t="s">
        <v>235</v>
      </c>
      <c r="BD1801" s="8" t="s">
        <v>235</v>
      </c>
      <c r="BE1801" s="4" t="s">
        <v>235</v>
      </c>
      <c r="BF1801" s="8" t="s">
        <v>235</v>
      </c>
      <c r="BG1801" s="7" t="s">
        <v>235</v>
      </c>
      <c r="BH1801" s="7" t="s">
        <v>235</v>
      </c>
      <c r="BI1801" s="7"/>
      <c r="BJ1801" s="4">
        <v>23</v>
      </c>
      <c r="BK1801" s="8">
        <v>820.7</v>
      </c>
      <c r="BL1801" s="2" t="s">
        <v>1346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6628</v>
      </c>
      <c r="BV1801" s="2" t="s">
        <v>243</v>
      </c>
      <c r="BW1801" s="2" t="s">
        <v>235</v>
      </c>
      <c r="BX1801" s="2" t="s">
        <v>414</v>
      </c>
      <c r="BY1801" s="2" t="s">
        <v>245</v>
      </c>
      <c r="BZ1801" s="2" t="s">
        <v>232</v>
      </c>
      <c r="CA1801" s="2" t="s">
        <v>2279</v>
      </c>
      <c r="CB1801" s="2" t="s">
        <v>2516</v>
      </c>
      <c r="CC1801" s="2" t="s">
        <v>248</v>
      </c>
      <c r="CD1801" s="2" t="s">
        <v>248</v>
      </c>
      <c r="CE1801" s="2" t="s">
        <v>235</v>
      </c>
      <c r="CF1801" s="4">
        <v>324</v>
      </c>
      <c r="CG1801" s="4"/>
      <c r="CH1801" s="4"/>
      <c r="CI1801" s="4">
        <v>313</v>
      </c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>
        <v>638</v>
      </c>
      <c r="GE1801" s="4">
        <v>634</v>
      </c>
      <c r="GF1801" s="4">
        <v>631</v>
      </c>
      <c r="GG1801" s="4">
        <v>628</v>
      </c>
      <c r="GH1801" s="4">
        <v>625</v>
      </c>
      <c r="GI1801" s="4">
        <v>622</v>
      </c>
      <c r="GJ1801" s="4">
        <v>619</v>
      </c>
      <c r="GK1801" s="4">
        <v>616</v>
      </c>
      <c r="GL1801" s="4">
        <v>613</v>
      </c>
      <c r="GM1801" s="4">
        <v>609</v>
      </c>
      <c r="GN1801" s="4">
        <v>605</v>
      </c>
      <c r="GO1801" s="4">
        <v>601</v>
      </c>
      <c r="GP1801" s="4">
        <v>597</v>
      </c>
      <c r="GQ1801" s="4">
        <v>593</v>
      </c>
      <c r="GR1801" s="4">
        <v>586</v>
      </c>
      <c r="GS1801" s="4">
        <v>580</v>
      </c>
      <c r="GT1801" s="4">
        <v>576</v>
      </c>
      <c r="GU1801" s="4">
        <v>572</v>
      </c>
      <c r="GV1801" s="4">
        <v>568</v>
      </c>
      <c r="GW1801" s="4">
        <v>565</v>
      </c>
      <c r="GX1801" s="4">
        <v>562</v>
      </c>
      <c r="GY1801" s="4">
        <v>559</v>
      </c>
      <c r="GZ1801" s="4">
        <v>556</v>
      </c>
      <c r="HA1801" s="4">
        <v>553</v>
      </c>
      <c r="HB1801" s="4">
        <v>550</v>
      </c>
      <c r="HC1801" s="4">
        <v>546</v>
      </c>
      <c r="HD1801" s="19">
        <v>212.7</v>
      </c>
      <c r="HE1801" s="19">
        <v>211.3</v>
      </c>
      <c r="HF1801" s="19">
        <v>210.3</v>
      </c>
      <c r="HG1801" s="19">
        <v>209.3</v>
      </c>
      <c r="HH1801" s="19">
        <v>208.3</v>
      </c>
      <c r="HI1801" s="19">
        <v>207.3</v>
      </c>
      <c r="HJ1801" s="19">
        <v>154.8</v>
      </c>
      <c r="HK1801" s="19">
        <v>154</v>
      </c>
      <c r="HL1801" s="19">
        <v>153.3</v>
      </c>
      <c r="HM1801" s="19">
        <v>152.3</v>
      </c>
      <c r="HN1801" s="19">
        <v>121</v>
      </c>
      <c r="HO1801" s="19">
        <v>120.2</v>
      </c>
      <c r="HP1801" s="19">
        <v>119.4</v>
      </c>
      <c r="HQ1801" s="19">
        <v>118.6</v>
      </c>
      <c r="HR1801" s="19">
        <v>146.5</v>
      </c>
      <c r="HS1801" s="19">
        <v>145</v>
      </c>
      <c r="HT1801" s="19">
        <v>144</v>
      </c>
      <c r="HU1801" s="19">
        <v>190.7</v>
      </c>
      <c r="HV1801" s="19">
        <v>189.3</v>
      </c>
      <c r="HW1801" s="19">
        <v>188.3</v>
      </c>
      <c r="HX1801" s="19">
        <v>187.3</v>
      </c>
      <c r="HY1801" s="19">
        <v>186.3</v>
      </c>
      <c r="HZ1801" s="19">
        <v>185.3</v>
      </c>
      <c r="IA1801" s="19">
        <v>184.3</v>
      </c>
      <c r="IB1801" s="19">
        <v>183.3</v>
      </c>
      <c r="IC1801" s="19">
        <v>182</v>
      </c>
    </row>
    <row r="1802">
      <c r="A1802" s="2" t="s">
        <v>6631</v>
      </c>
      <c r="B1802" s="2" t="s">
        <v>871</v>
      </c>
      <c r="C1802" s="2" t="s">
        <v>853</v>
      </c>
      <c r="D1802" s="2" t="s">
        <v>361</v>
      </c>
      <c r="E1802" s="2" t="s">
        <v>924</v>
      </c>
      <c r="F1802" s="2" t="s">
        <v>6621</v>
      </c>
      <c r="G1802" s="2" t="s">
        <v>6622</v>
      </c>
      <c r="H1802" s="2" t="s">
        <v>6623</v>
      </c>
      <c r="I1802" s="2" t="s">
        <v>6624</v>
      </c>
      <c r="J1802" s="2" t="s">
        <v>365</v>
      </c>
      <c r="K1802" s="2" t="s">
        <v>600</v>
      </c>
      <c r="L1802" s="3">
        <v>31.72</v>
      </c>
      <c r="M1802" s="3">
        <v>33.31</v>
      </c>
      <c r="N1802" s="3">
        <v>64.99</v>
      </c>
      <c r="O1802" s="2" t="s">
        <v>407</v>
      </c>
      <c r="P1802" s="2" t="s">
        <v>408</v>
      </c>
      <c r="Q1802" s="2" t="s">
        <v>234</v>
      </c>
      <c r="R1802" s="2" t="s">
        <v>235</v>
      </c>
      <c r="S1802" s="2" t="s">
        <v>6632</v>
      </c>
      <c r="T1802" s="2" t="s">
        <v>501</v>
      </c>
      <c r="U1802" s="2" t="s">
        <v>552</v>
      </c>
      <c r="V1802" s="2" t="s">
        <v>238</v>
      </c>
      <c r="W1802" s="2" t="s">
        <v>682</v>
      </c>
      <c r="X1802" s="2" t="s">
        <v>239</v>
      </c>
      <c r="Y1802" s="2" t="s">
        <v>1714</v>
      </c>
      <c r="Z1802" s="4">
        <v>351</v>
      </c>
      <c r="AA1802" s="4">
        <f>=ROUNDDOWN(39,0)</f>
      </c>
      <c r="AB1802" s="5">
        <v>9</v>
      </c>
      <c r="AC1802" s="2" t="s">
        <v>235</v>
      </c>
      <c r="AD1802" s="4"/>
      <c r="AE1802" s="4"/>
      <c r="AF1802" s="6">
        <v>64</v>
      </c>
      <c r="AG1802" s="6"/>
      <c r="AH1802" s="7">
        <v>1</v>
      </c>
      <c r="AI1802" s="4"/>
      <c r="AJ1802" s="4">
        <f>=ROUNDDOWN({0},0)</f>
      </c>
      <c r="AK1802" s="5"/>
      <c r="AL1802" s="2" t="s">
        <v>235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 t="s">
        <v>235</v>
      </c>
      <c r="BD1802" s="8" t="s">
        <v>235</v>
      </c>
      <c r="BE1802" s="4" t="s">
        <v>235</v>
      </c>
      <c r="BF1802" s="8" t="s">
        <v>235</v>
      </c>
      <c r="BG1802" s="7" t="s">
        <v>235</v>
      </c>
      <c r="BH1802" s="7" t="s">
        <v>235</v>
      </c>
      <c r="BI1802" s="7"/>
      <c r="BJ1802" s="4">
        <v>23</v>
      </c>
      <c r="BK1802" s="8">
        <v>830.46</v>
      </c>
      <c r="BL1802" s="2" t="s">
        <v>536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6628</v>
      </c>
      <c r="BV1802" s="2" t="s">
        <v>243</v>
      </c>
      <c r="BW1802" s="2" t="s">
        <v>235</v>
      </c>
      <c r="BX1802" s="2" t="s">
        <v>414</v>
      </c>
      <c r="BY1802" s="2" t="s">
        <v>245</v>
      </c>
      <c r="BZ1802" s="2" t="s">
        <v>232</v>
      </c>
      <c r="CA1802" s="2" t="s">
        <v>2279</v>
      </c>
      <c r="CB1802" s="2" t="s">
        <v>687</v>
      </c>
      <c r="CC1802" s="2" t="s">
        <v>248</v>
      </c>
      <c r="CD1802" s="2" t="s">
        <v>248</v>
      </c>
      <c r="CE1802" s="2" t="s">
        <v>235</v>
      </c>
      <c r="CF1802" s="4">
        <v>351</v>
      </c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>
        <v>352</v>
      </c>
      <c r="GE1802" s="4">
        <v>340</v>
      </c>
      <c r="GF1802" s="4">
        <v>331</v>
      </c>
      <c r="GG1802" s="4">
        <v>322</v>
      </c>
      <c r="GH1802" s="4">
        <v>313</v>
      </c>
      <c r="GI1802" s="4">
        <v>304</v>
      </c>
      <c r="GJ1802" s="4">
        <v>295</v>
      </c>
      <c r="GK1802" s="4">
        <v>286</v>
      </c>
      <c r="GL1802" s="4">
        <v>277</v>
      </c>
      <c r="GM1802" s="4">
        <v>266</v>
      </c>
      <c r="GN1802" s="4">
        <v>255</v>
      </c>
      <c r="GO1802" s="4">
        <v>242</v>
      </c>
      <c r="GP1802" s="4">
        <v>229</v>
      </c>
      <c r="GQ1802" s="4">
        <v>216</v>
      </c>
      <c r="GR1802" s="4">
        <v>195</v>
      </c>
      <c r="GS1802" s="4">
        <v>177</v>
      </c>
      <c r="GT1802" s="4">
        <v>164</v>
      </c>
      <c r="GU1802" s="4">
        <v>153</v>
      </c>
      <c r="GV1802" s="4">
        <v>142</v>
      </c>
      <c r="GW1802" s="4">
        <v>133</v>
      </c>
      <c r="GX1802" s="4">
        <v>124</v>
      </c>
      <c r="GY1802" s="4">
        <v>115</v>
      </c>
      <c r="GZ1802" s="4">
        <v>106</v>
      </c>
      <c r="HA1802" s="4">
        <v>97</v>
      </c>
      <c r="HB1802" s="4">
        <v>88</v>
      </c>
      <c r="HC1802" s="4">
        <v>77</v>
      </c>
      <c r="HD1802" s="19">
        <v>35.2</v>
      </c>
      <c r="HE1802" s="19">
        <v>37.8</v>
      </c>
      <c r="HF1802" s="19">
        <v>36.8</v>
      </c>
      <c r="HG1802" s="19">
        <v>35.8</v>
      </c>
      <c r="HH1802" s="19">
        <v>34.8</v>
      </c>
      <c r="HI1802" s="19">
        <v>30.4</v>
      </c>
      <c r="HJ1802" s="19">
        <v>29.5</v>
      </c>
      <c r="HK1802" s="19">
        <v>26</v>
      </c>
      <c r="HL1802" s="19">
        <v>23.1</v>
      </c>
      <c r="HM1802" s="19">
        <v>22.2</v>
      </c>
      <c r="HN1802" s="19">
        <v>17</v>
      </c>
      <c r="HO1802" s="19">
        <v>15.1</v>
      </c>
      <c r="HP1802" s="19">
        <v>14.3</v>
      </c>
      <c r="HQ1802" s="19">
        <v>13.5</v>
      </c>
      <c r="HR1802" s="19">
        <v>15</v>
      </c>
      <c r="HS1802" s="19">
        <v>16.1</v>
      </c>
      <c r="HT1802" s="19">
        <v>16.4</v>
      </c>
      <c r="HU1802" s="19">
        <v>15.3</v>
      </c>
      <c r="HV1802" s="19">
        <v>15.8</v>
      </c>
      <c r="HW1802" s="19">
        <v>14.8</v>
      </c>
      <c r="HX1802" s="19">
        <v>13.8</v>
      </c>
      <c r="HY1802" s="19">
        <v>11.5</v>
      </c>
      <c r="HZ1802" s="19">
        <v>10.6</v>
      </c>
      <c r="IA1802" s="19">
        <v>9.7</v>
      </c>
      <c r="IB1802" s="19">
        <v>8.8</v>
      </c>
      <c r="IC1802" s="19">
        <v>8.6</v>
      </c>
    </row>
    <row r="1803">
      <c r="A1803" s="2" t="s">
        <v>6633</v>
      </c>
      <c r="B1803" s="2" t="s">
        <v>871</v>
      </c>
      <c r="C1803" s="2" t="s">
        <v>893</v>
      </c>
      <c r="D1803" s="2" t="s">
        <v>906</v>
      </c>
      <c r="E1803" s="2" t="s">
        <v>907</v>
      </c>
      <c r="F1803" s="2" t="s">
        <v>6634</v>
      </c>
      <c r="G1803" s="2" t="s">
        <v>6634</v>
      </c>
      <c r="H1803" s="2" t="s">
        <v>6634</v>
      </c>
      <c r="I1803" s="2" t="s">
        <v>6635</v>
      </c>
      <c r="J1803" s="2" t="s">
        <v>365</v>
      </c>
      <c r="K1803" s="2" t="s">
        <v>6636</v>
      </c>
      <c r="L1803" s="3">
        <v>49.74</v>
      </c>
      <c r="M1803" s="3">
        <v>52.23</v>
      </c>
      <c r="N1803" s="3">
        <v>99.99</v>
      </c>
      <c r="O1803" s="2" t="s">
        <v>232</v>
      </c>
      <c r="P1803" s="2" t="s">
        <v>233</v>
      </c>
      <c r="Q1803" s="2" t="s">
        <v>234</v>
      </c>
      <c r="R1803" s="2" t="s">
        <v>235</v>
      </c>
      <c r="S1803" s="2" t="s">
        <v>6637</v>
      </c>
      <c r="T1803" s="2" t="s">
        <v>1298</v>
      </c>
      <c r="U1803" s="2" t="s">
        <v>552</v>
      </c>
      <c r="V1803" s="2" t="s">
        <v>420</v>
      </c>
      <c r="W1803" s="2" t="s">
        <v>986</v>
      </c>
      <c r="X1803" s="2" t="s">
        <v>1682</v>
      </c>
      <c r="Y1803" s="2" t="s">
        <v>5398</v>
      </c>
      <c r="Z1803" s="4">
        <v>71</v>
      </c>
      <c r="AA1803" s="4">
        <f>=ROUNDDOWN(59.1666666666667,0)</f>
      </c>
      <c r="AB1803" s="5">
        <v>1.2</v>
      </c>
      <c r="AC1803" s="2" t="s">
        <v>235</v>
      </c>
      <c r="AD1803" s="4"/>
      <c r="AE1803" s="4"/>
      <c r="AF1803" s="6">
        <v>67</v>
      </c>
      <c r="AG1803" s="6"/>
      <c r="AH1803" s="7">
        <v>1</v>
      </c>
      <c r="AI1803" s="4"/>
      <c r="AJ1803" s="4">
        <f>=ROUNDDOWN({0},0)</f>
      </c>
      <c r="AK1803" s="5"/>
      <c r="AL1803" s="2" t="s">
        <v>235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2</v>
      </c>
      <c r="BK1803" s="8">
        <v>104.82</v>
      </c>
      <c r="BL1803" s="2" t="s">
        <v>6638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6639</v>
      </c>
      <c r="BV1803" s="2" t="s">
        <v>243</v>
      </c>
      <c r="BW1803" s="2" t="s">
        <v>235</v>
      </c>
      <c r="BX1803" s="2" t="s">
        <v>244</v>
      </c>
      <c r="BY1803" s="2" t="s">
        <v>245</v>
      </c>
      <c r="BZ1803" s="2" t="s">
        <v>232</v>
      </c>
      <c r="CA1803" s="2" t="s">
        <v>763</v>
      </c>
      <c r="CB1803" s="2" t="s">
        <v>6640</v>
      </c>
      <c r="CC1803" s="2" t="s">
        <v>248</v>
      </c>
      <c r="CD1803" s="2" t="s">
        <v>248</v>
      </c>
      <c r="CE1803" s="2" t="s">
        <v>235</v>
      </c>
      <c r="CF1803" s="4">
        <v>71</v>
      </c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>
        <v>72</v>
      </c>
      <c r="GE1803" s="4">
        <v>69</v>
      </c>
      <c r="GF1803" s="4">
        <v>67</v>
      </c>
      <c r="GG1803" s="4">
        <v>65</v>
      </c>
      <c r="GH1803" s="4">
        <v>62</v>
      </c>
      <c r="GI1803" s="4">
        <v>59</v>
      </c>
      <c r="GJ1803" s="4">
        <v>55</v>
      </c>
      <c r="GK1803" s="4">
        <v>53</v>
      </c>
      <c r="GL1803" s="4">
        <v>51</v>
      </c>
      <c r="GM1803" s="4">
        <v>49</v>
      </c>
      <c r="GN1803" s="4">
        <v>47</v>
      </c>
      <c r="GO1803" s="4">
        <v>44</v>
      </c>
      <c r="GP1803" s="4">
        <v>41</v>
      </c>
      <c r="GQ1803" s="4">
        <v>37</v>
      </c>
      <c r="GR1803" s="4">
        <v>35</v>
      </c>
      <c r="GS1803" s="4">
        <v>33</v>
      </c>
      <c r="GT1803" s="4">
        <v>31</v>
      </c>
      <c r="GU1803" s="4">
        <v>29</v>
      </c>
      <c r="GV1803" s="4">
        <v>27</v>
      </c>
      <c r="GW1803" s="4">
        <v>25</v>
      </c>
      <c r="GX1803" s="4">
        <v>23</v>
      </c>
      <c r="GY1803" s="4">
        <v>21</v>
      </c>
      <c r="GZ1803" s="4">
        <v>19</v>
      </c>
      <c r="HA1803" s="4">
        <v>17</v>
      </c>
      <c r="HB1803" s="4">
        <v>15</v>
      </c>
      <c r="HC1803" s="4">
        <v>13</v>
      </c>
      <c r="HD1803" s="19">
        <v>36</v>
      </c>
      <c r="HE1803" s="19">
        <v>34.5</v>
      </c>
      <c r="HF1803" s="19">
        <v>22.3</v>
      </c>
      <c r="HG1803" s="19">
        <v>21.7</v>
      </c>
      <c r="HH1803" s="19">
        <v>20.7</v>
      </c>
      <c r="HI1803" s="19">
        <v>29.5</v>
      </c>
      <c r="HJ1803" s="19">
        <v>27.5</v>
      </c>
      <c r="HK1803" s="19">
        <v>26.5</v>
      </c>
      <c r="HL1803" s="19">
        <v>25.5</v>
      </c>
      <c r="HM1803" s="19">
        <v>16.3</v>
      </c>
      <c r="HN1803" s="19">
        <v>15.7</v>
      </c>
      <c r="HO1803" s="19">
        <v>14.7</v>
      </c>
      <c r="HP1803" s="19">
        <v>20.5</v>
      </c>
      <c r="HQ1803" s="19">
        <v>18.5</v>
      </c>
      <c r="HR1803" s="19">
        <v>17.5</v>
      </c>
      <c r="HS1803" s="19">
        <v>16.5</v>
      </c>
      <c r="HT1803" s="19">
        <v>15.5</v>
      </c>
      <c r="HU1803" s="19">
        <v>14.5</v>
      </c>
      <c r="HV1803" s="19">
        <v>13.5</v>
      </c>
      <c r="HW1803" s="19">
        <v>12.5</v>
      </c>
      <c r="HX1803" s="19">
        <v>11.5</v>
      </c>
      <c r="HY1803" s="19">
        <v>10.5</v>
      </c>
      <c r="HZ1803" s="19">
        <v>9.5</v>
      </c>
      <c r="IA1803" s="19">
        <v>8.5</v>
      </c>
      <c r="IB1803" s="19">
        <v>7.5</v>
      </c>
      <c r="IC1803" s="19">
        <v>6.5</v>
      </c>
    </row>
    <row r="1804">
      <c r="A1804" s="2" t="s">
        <v>6641</v>
      </c>
      <c r="B1804" s="2" t="s">
        <v>871</v>
      </c>
      <c r="C1804" s="2" t="s">
        <v>324</v>
      </c>
      <c r="D1804" s="2" t="s">
        <v>906</v>
      </c>
      <c r="E1804" s="2" t="s">
        <v>907</v>
      </c>
      <c r="F1804" s="2" t="s">
        <v>6642</v>
      </c>
      <c r="G1804" s="2" t="s">
        <v>6643</v>
      </c>
      <c r="H1804" s="2" t="s">
        <v>6644</v>
      </c>
      <c r="I1804" s="2" t="s">
        <v>6645</v>
      </c>
      <c r="J1804" s="2" t="s">
        <v>365</v>
      </c>
      <c r="K1804" s="2" t="s">
        <v>6646</v>
      </c>
      <c r="L1804" s="3">
        <v>27.42</v>
      </c>
      <c r="M1804" s="3">
        <v>28.79</v>
      </c>
      <c r="N1804" s="3">
        <v>59.99</v>
      </c>
      <c r="O1804" s="2" t="s">
        <v>232</v>
      </c>
      <c r="P1804" s="2" t="s">
        <v>233</v>
      </c>
      <c r="Q1804" s="2" t="s">
        <v>234</v>
      </c>
      <c r="R1804" s="2" t="s">
        <v>235</v>
      </c>
      <c r="S1804" s="2" t="s">
        <v>6647</v>
      </c>
      <c r="T1804" s="2" t="s">
        <v>4853</v>
      </c>
      <c r="U1804" s="2" t="s">
        <v>552</v>
      </c>
      <c r="V1804" s="2" t="s">
        <v>420</v>
      </c>
      <c r="W1804" s="2" t="s">
        <v>682</v>
      </c>
      <c r="X1804" s="2" t="s">
        <v>682</v>
      </c>
      <c r="Y1804" s="2" t="s">
        <v>6648</v>
      </c>
      <c r="Z1804" s="4">
        <v>1</v>
      </c>
      <c r="AA1804" s="4">
        <f>=ROUNDDOWN(0.526315789473684,0)</f>
      </c>
      <c r="AB1804" s="5">
        <v>1.9</v>
      </c>
      <c r="AC1804" s="2" t="s">
        <v>235</v>
      </c>
      <c r="AD1804" s="4"/>
      <c r="AE1804" s="4"/>
      <c r="AF1804" s="6">
        <v>78</v>
      </c>
      <c r="AG1804" s="6"/>
      <c r="AH1804" s="7">
        <v>0</v>
      </c>
      <c r="AI1804" s="4"/>
      <c r="AJ1804" s="4">
        <f>=ROUNDDOWN({0},0)</f>
      </c>
      <c r="AK1804" s="5"/>
      <c r="AL1804" s="2" t="s">
        <v>235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235</v>
      </c>
      <c r="AW1804" s="8" t="s">
        <v>235</v>
      </c>
      <c r="AX1804" s="4" t="s">
        <v>235</v>
      </c>
      <c r="AY1804" s="8" t="s">
        <v>235</v>
      </c>
      <c r="AZ1804" s="7" t="s">
        <v>235</v>
      </c>
      <c r="BA1804" s="7" t="s">
        <v>235</v>
      </c>
      <c r="BB1804" s="7"/>
      <c r="BC1804" s="4" t="s">
        <v>235</v>
      </c>
      <c r="BD1804" s="8" t="s">
        <v>235</v>
      </c>
      <c r="BE1804" s="4" t="s">
        <v>235</v>
      </c>
      <c r="BF1804" s="8" t="s">
        <v>235</v>
      </c>
      <c r="BG1804" s="7" t="s">
        <v>235</v>
      </c>
      <c r="BH1804" s="7" t="s">
        <v>235</v>
      </c>
      <c r="BI1804" s="7"/>
      <c r="BJ1804" s="4"/>
      <c r="BK1804" s="8"/>
      <c r="BL1804" s="2" t="s">
        <v>396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6649</v>
      </c>
      <c r="BV1804" s="2" t="s">
        <v>243</v>
      </c>
      <c r="BW1804" s="2" t="s">
        <v>235</v>
      </c>
      <c r="BX1804" s="2" t="s">
        <v>244</v>
      </c>
      <c r="BY1804" s="2" t="s">
        <v>245</v>
      </c>
      <c r="BZ1804" s="2" t="s">
        <v>232</v>
      </c>
      <c r="CA1804" s="2" t="s">
        <v>2279</v>
      </c>
      <c r="CB1804" s="2" t="s">
        <v>976</v>
      </c>
      <c r="CC1804" s="2" t="s">
        <v>248</v>
      </c>
      <c r="CD1804" s="2" t="s">
        <v>248</v>
      </c>
      <c r="CE1804" s="2" t="s">
        <v>235</v>
      </c>
      <c r="CF1804" s="4">
        <v>1</v>
      </c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>
        <v>1</v>
      </c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>
        <v>78</v>
      </c>
      <c r="GZ1804" s="4">
        <v>76</v>
      </c>
      <c r="HA1804" s="4">
        <v>74</v>
      </c>
      <c r="HB1804" s="4">
        <v>72</v>
      </c>
      <c r="HC1804" s="4">
        <v>70</v>
      </c>
      <c r="HD1804" s="19">
        <v>0.5</v>
      </c>
      <c r="HE1804" s="20">
        <v>0</v>
      </c>
      <c r="HF1804" s="20">
        <v>0</v>
      </c>
      <c r="HG1804" s="20">
        <v>0</v>
      </c>
      <c r="HH1804" s="20">
        <v>0</v>
      </c>
      <c r="HI1804" s="20">
        <v>0</v>
      </c>
      <c r="HJ1804" s="20">
        <v>0</v>
      </c>
      <c r="HK1804" s="20">
        <v>0</v>
      </c>
      <c r="HL1804" s="20">
        <v>0</v>
      </c>
      <c r="HM1804" s="20">
        <v>0</v>
      </c>
      <c r="HN1804" s="20">
        <v>0</v>
      </c>
      <c r="HO1804" s="20">
        <v>0</v>
      </c>
      <c r="HP1804" s="20">
        <v>0</v>
      </c>
      <c r="HQ1804" s="20">
        <v>0</v>
      </c>
      <c r="HR1804" s="20">
        <v>0</v>
      </c>
      <c r="HS1804" s="20">
        <v>0</v>
      </c>
      <c r="HT1804" s="20">
        <v>0</v>
      </c>
      <c r="HU1804" s="20">
        <v>0</v>
      </c>
      <c r="HV1804" s="20">
        <v>0</v>
      </c>
      <c r="HW1804" s="20">
        <v>0</v>
      </c>
      <c r="HX1804" s="20">
        <v>0</v>
      </c>
      <c r="HY1804" s="19">
        <v>39</v>
      </c>
      <c r="HZ1804" s="19">
        <v>38</v>
      </c>
      <c r="IA1804" s="19">
        <v>37</v>
      </c>
      <c r="IB1804" s="19">
        <v>36</v>
      </c>
      <c r="IC1804" s="19">
        <v>35</v>
      </c>
    </row>
    <row r="1805">
      <c r="A1805" s="2" t="s">
        <v>6650</v>
      </c>
      <c r="B1805" s="2" t="s">
        <v>871</v>
      </c>
      <c r="C1805" s="2" t="s">
        <v>324</v>
      </c>
      <c r="D1805" s="2" t="s">
        <v>361</v>
      </c>
      <c r="E1805" s="2" t="s">
        <v>872</v>
      </c>
      <c r="F1805" s="2" t="s">
        <v>6642</v>
      </c>
      <c r="G1805" s="2" t="s">
        <v>6643</v>
      </c>
      <c r="H1805" s="2" t="s">
        <v>6644</v>
      </c>
      <c r="I1805" s="2" t="s">
        <v>6651</v>
      </c>
      <c r="J1805" s="2" t="s">
        <v>372</v>
      </c>
      <c r="K1805" s="2" t="s">
        <v>6646</v>
      </c>
      <c r="L1805" s="3">
        <v>41.14</v>
      </c>
      <c r="M1805" s="3">
        <v>43.2</v>
      </c>
      <c r="N1805" s="3">
        <v>89.99</v>
      </c>
      <c r="O1805" s="2" t="s">
        <v>232</v>
      </c>
      <c r="P1805" s="2" t="s">
        <v>233</v>
      </c>
      <c r="Q1805" s="2" t="s">
        <v>234</v>
      </c>
      <c r="R1805" s="2" t="s">
        <v>235</v>
      </c>
      <c r="S1805" s="2" t="s">
        <v>6647</v>
      </c>
      <c r="T1805" s="2" t="s">
        <v>4853</v>
      </c>
      <c r="U1805" s="2" t="s">
        <v>264</v>
      </c>
      <c r="V1805" s="2" t="s">
        <v>420</v>
      </c>
      <c r="W1805" s="2" t="s">
        <v>682</v>
      </c>
      <c r="X1805" s="2" t="s">
        <v>682</v>
      </c>
      <c r="Y1805" s="2" t="s">
        <v>6652</v>
      </c>
      <c r="Z1805" s="4">
        <v>152</v>
      </c>
      <c r="AA1805" s="4">
        <f>=ROUNDDOWN(22.6865671641791,0)</f>
      </c>
      <c r="AB1805" s="5">
        <v>6.7</v>
      </c>
      <c r="AC1805" s="2" t="s">
        <v>235</v>
      </c>
      <c r="AD1805" s="4"/>
      <c r="AE1805" s="4"/>
      <c r="AF1805" s="6">
        <v>78</v>
      </c>
      <c r="AG1805" s="6"/>
      <c r="AH1805" s="7">
        <v>1</v>
      </c>
      <c r="AI1805" s="4"/>
      <c r="AJ1805" s="4">
        <f>=ROUNDDOWN({0},0)</f>
      </c>
      <c r="AK1805" s="5"/>
      <c r="AL1805" s="2" t="s">
        <v>235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235</v>
      </c>
      <c r="AW1805" s="8" t="s">
        <v>235</v>
      </c>
      <c r="AX1805" s="4" t="s">
        <v>235</v>
      </c>
      <c r="AY1805" s="8" t="s">
        <v>235</v>
      </c>
      <c r="AZ1805" s="7" t="s">
        <v>235</v>
      </c>
      <c r="BA1805" s="7" t="s">
        <v>235</v>
      </c>
      <c r="BB1805" s="7"/>
      <c r="BC1805" s="4" t="s">
        <v>235</v>
      </c>
      <c r="BD1805" s="8" t="s">
        <v>235</v>
      </c>
      <c r="BE1805" s="4" t="s">
        <v>235</v>
      </c>
      <c r="BF1805" s="8" t="s">
        <v>235</v>
      </c>
      <c r="BG1805" s="7" t="s">
        <v>235</v>
      </c>
      <c r="BH1805" s="7" t="s">
        <v>235</v>
      </c>
      <c r="BI1805" s="7"/>
      <c r="BJ1805" s="4">
        <v>13</v>
      </c>
      <c r="BK1805" s="8">
        <v>602.83</v>
      </c>
      <c r="BL1805" s="2" t="s">
        <v>6653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6654</v>
      </c>
      <c r="BV1805" s="2" t="s">
        <v>243</v>
      </c>
      <c r="BW1805" s="2" t="s">
        <v>235</v>
      </c>
      <c r="BX1805" s="2" t="s">
        <v>244</v>
      </c>
      <c r="BY1805" s="2" t="s">
        <v>245</v>
      </c>
      <c r="BZ1805" s="2" t="s">
        <v>232</v>
      </c>
      <c r="CA1805" s="2" t="s">
        <v>2279</v>
      </c>
      <c r="CB1805" s="2" t="s">
        <v>4856</v>
      </c>
      <c r="CC1805" s="2" t="s">
        <v>248</v>
      </c>
      <c r="CD1805" s="2" t="s">
        <v>248</v>
      </c>
      <c r="CE1805" s="2" t="s">
        <v>235</v>
      </c>
      <c r="CF1805" s="4">
        <v>152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>
        <v>153</v>
      </c>
      <c r="GE1805" s="4">
        <v>145</v>
      </c>
      <c r="GF1805" s="4">
        <v>139</v>
      </c>
      <c r="GG1805" s="4">
        <v>133</v>
      </c>
      <c r="GH1805" s="4">
        <v>127</v>
      </c>
      <c r="GI1805" s="4">
        <v>121</v>
      </c>
      <c r="GJ1805" s="4">
        <v>114</v>
      </c>
      <c r="GK1805" s="4">
        <v>107</v>
      </c>
      <c r="GL1805" s="4">
        <v>100</v>
      </c>
      <c r="GM1805" s="4">
        <v>93</v>
      </c>
      <c r="GN1805" s="4">
        <v>86</v>
      </c>
      <c r="GO1805" s="4">
        <v>77</v>
      </c>
      <c r="GP1805" s="4">
        <v>67</v>
      </c>
      <c r="GQ1805" s="4">
        <v>48</v>
      </c>
      <c r="GR1805" s="4">
        <v>38</v>
      </c>
      <c r="GS1805" s="4">
        <v>29</v>
      </c>
      <c r="GT1805" s="4">
        <v>24</v>
      </c>
      <c r="GU1805" s="4">
        <v>20</v>
      </c>
      <c r="GV1805" s="4">
        <v>13</v>
      </c>
      <c r="GW1805" s="4">
        <v>7</v>
      </c>
      <c r="GX1805" s="4">
        <v>1</v>
      </c>
      <c r="GY1805" s="4">
        <v>256</v>
      </c>
      <c r="GZ1805" s="4">
        <v>250</v>
      </c>
      <c r="HA1805" s="4">
        <v>244</v>
      </c>
      <c r="HB1805" s="4">
        <v>238</v>
      </c>
      <c r="HC1805" s="4">
        <v>231</v>
      </c>
      <c r="HD1805" s="19">
        <v>25.5</v>
      </c>
      <c r="HE1805" s="19">
        <v>24.2</v>
      </c>
      <c r="HF1805" s="19">
        <v>23.2</v>
      </c>
      <c r="HG1805" s="19">
        <v>22.2</v>
      </c>
      <c r="HH1805" s="19">
        <v>18.1</v>
      </c>
      <c r="HI1805" s="19">
        <v>17.3</v>
      </c>
      <c r="HJ1805" s="19">
        <v>16.3</v>
      </c>
      <c r="HK1805" s="19">
        <v>13.4</v>
      </c>
      <c r="HL1805" s="19">
        <v>12.5</v>
      </c>
      <c r="HM1805" s="19">
        <v>8.5</v>
      </c>
      <c r="HN1805" s="19">
        <v>7.2</v>
      </c>
      <c r="HO1805" s="19">
        <v>6.4</v>
      </c>
      <c r="HP1805" s="19">
        <v>6.1</v>
      </c>
      <c r="HQ1805" s="19">
        <v>6.9</v>
      </c>
      <c r="HR1805" s="19">
        <v>6.3</v>
      </c>
      <c r="HS1805" s="19">
        <v>4.8</v>
      </c>
      <c r="HT1805" s="19">
        <v>4</v>
      </c>
      <c r="HU1805" s="19">
        <v>3.3</v>
      </c>
      <c r="HV1805" s="19">
        <v>2.2</v>
      </c>
      <c r="HW1805" s="19">
        <v>1.2</v>
      </c>
      <c r="HX1805" s="19">
        <v>0.2</v>
      </c>
      <c r="HY1805" s="19">
        <v>42.7</v>
      </c>
      <c r="HZ1805" s="19">
        <v>41.7</v>
      </c>
      <c r="IA1805" s="19">
        <v>40.7</v>
      </c>
      <c r="IB1805" s="19">
        <v>39.7</v>
      </c>
      <c r="IC1805" s="19">
        <v>38.5</v>
      </c>
    </row>
    <row r="1806">
      <c r="A1806" s="2" t="s">
        <v>6655</v>
      </c>
      <c r="B1806" s="2" t="s">
        <v>905</v>
      </c>
      <c r="C1806" s="2" t="s">
        <v>324</v>
      </c>
      <c r="D1806" s="2" t="s">
        <v>361</v>
      </c>
      <c r="E1806" s="2" t="s">
        <v>924</v>
      </c>
      <c r="F1806" s="2" t="s">
        <v>6656</v>
      </c>
      <c r="G1806" s="2" t="s">
        <v>6657</v>
      </c>
      <c r="H1806" s="2" t="s">
        <v>6657</v>
      </c>
      <c r="I1806" s="2" t="s">
        <v>6658</v>
      </c>
      <c r="J1806" s="2" t="s">
        <v>365</v>
      </c>
      <c r="K1806" s="2" t="s">
        <v>1196</v>
      </c>
      <c r="L1806" s="3">
        <v>71.8</v>
      </c>
      <c r="M1806" s="3">
        <v>75.39</v>
      </c>
      <c r="N1806" s="3">
        <v>154.99</v>
      </c>
      <c r="O1806" s="2" t="s">
        <v>232</v>
      </c>
      <c r="P1806" s="2" t="s">
        <v>233</v>
      </c>
      <c r="Q1806" s="2" t="s">
        <v>234</v>
      </c>
      <c r="R1806" s="2" t="s">
        <v>235</v>
      </c>
      <c r="S1806" s="2" t="s">
        <v>6659</v>
      </c>
      <c r="T1806" s="2" t="s">
        <v>4369</v>
      </c>
      <c r="U1806" s="2" t="s">
        <v>552</v>
      </c>
      <c r="V1806" s="2" t="s">
        <v>238</v>
      </c>
      <c r="W1806" s="2" t="s">
        <v>1354</v>
      </c>
      <c r="X1806" s="2" t="s">
        <v>1798</v>
      </c>
      <c r="Y1806" s="2" t="s">
        <v>2839</v>
      </c>
      <c r="Z1806" s="4">
        <v>678</v>
      </c>
      <c r="AA1806" s="4">
        <f>=ROUNDDOWN(135.6,0)</f>
      </c>
      <c r="AB1806" s="5">
        <v>5</v>
      </c>
      <c r="AC1806" s="2" t="s">
        <v>235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235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235</v>
      </c>
      <c r="AW1806" s="8" t="s">
        <v>235</v>
      </c>
      <c r="AX1806" s="4" t="s">
        <v>235</v>
      </c>
      <c r="AY1806" s="8" t="s">
        <v>235</v>
      </c>
      <c r="AZ1806" s="7" t="s">
        <v>235</v>
      </c>
      <c r="BA1806" s="7" t="s">
        <v>235</v>
      </c>
      <c r="BB1806" s="7"/>
      <c r="BC1806" s="4" t="s">
        <v>235</v>
      </c>
      <c r="BD1806" s="8" t="s">
        <v>235</v>
      </c>
      <c r="BE1806" s="4" t="s">
        <v>235</v>
      </c>
      <c r="BF1806" s="8" t="s">
        <v>235</v>
      </c>
      <c r="BG1806" s="7" t="s">
        <v>235</v>
      </c>
      <c r="BH1806" s="7" t="s">
        <v>235</v>
      </c>
      <c r="BI1806" s="7"/>
      <c r="BJ1806" s="4">
        <v>7</v>
      </c>
      <c r="BK1806" s="8">
        <v>568.98</v>
      </c>
      <c r="BL1806" s="2" t="s">
        <v>773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6660</v>
      </c>
      <c r="BV1806" s="2" t="s">
        <v>243</v>
      </c>
      <c r="BW1806" s="2" t="s">
        <v>235</v>
      </c>
      <c r="BX1806" s="2" t="s">
        <v>244</v>
      </c>
      <c r="BY1806" s="2" t="s">
        <v>245</v>
      </c>
      <c r="BZ1806" s="2" t="s">
        <v>232</v>
      </c>
      <c r="CA1806" s="2" t="s">
        <v>1976</v>
      </c>
      <c r="CB1806" s="2" t="s">
        <v>2187</v>
      </c>
      <c r="CC1806" s="2" t="s">
        <v>248</v>
      </c>
      <c r="CD1806" s="2" t="s">
        <v>248</v>
      </c>
      <c r="CE1806" s="2" t="s">
        <v>235</v>
      </c>
      <c r="CF1806" s="4">
        <v>328</v>
      </c>
      <c r="CG1806" s="4"/>
      <c r="CH1806" s="4"/>
      <c r="CI1806" s="4">
        <v>350</v>
      </c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>
        <v>678</v>
      </c>
      <c r="GE1806" s="4">
        <v>674</v>
      </c>
      <c r="GF1806" s="4">
        <v>671</v>
      </c>
      <c r="GG1806" s="4">
        <v>668</v>
      </c>
      <c r="GH1806" s="4">
        <v>665</v>
      </c>
      <c r="GI1806" s="4">
        <v>657</v>
      </c>
      <c r="GJ1806" s="4">
        <v>649</v>
      </c>
      <c r="GK1806" s="4">
        <v>641</v>
      </c>
      <c r="GL1806" s="4">
        <v>633</v>
      </c>
      <c r="GM1806" s="4">
        <v>627</v>
      </c>
      <c r="GN1806" s="4">
        <v>619</v>
      </c>
      <c r="GO1806" s="4">
        <v>606</v>
      </c>
      <c r="GP1806" s="4">
        <v>587</v>
      </c>
      <c r="GQ1806" s="4">
        <v>544</v>
      </c>
      <c r="GR1806" s="4">
        <v>519</v>
      </c>
      <c r="GS1806" s="4">
        <v>485</v>
      </c>
      <c r="GT1806" s="4">
        <v>460</v>
      </c>
      <c r="GU1806" s="4">
        <v>446</v>
      </c>
      <c r="GV1806" s="4">
        <v>438</v>
      </c>
      <c r="GW1806" s="4">
        <v>434</v>
      </c>
      <c r="GX1806" s="4">
        <v>433</v>
      </c>
      <c r="GY1806" s="4">
        <v>432</v>
      </c>
      <c r="GZ1806" s="4">
        <v>431</v>
      </c>
      <c r="HA1806" s="4">
        <v>429</v>
      </c>
      <c r="HB1806" s="4">
        <v>427</v>
      </c>
      <c r="HC1806" s="4">
        <v>425</v>
      </c>
      <c r="HD1806" s="19">
        <v>226</v>
      </c>
      <c r="HE1806" s="19">
        <v>168.5</v>
      </c>
      <c r="HF1806" s="19">
        <v>111.8</v>
      </c>
      <c r="HG1806" s="19">
        <v>95.4</v>
      </c>
      <c r="HH1806" s="19">
        <v>83.1</v>
      </c>
      <c r="HI1806" s="19">
        <v>82.1</v>
      </c>
      <c r="HJ1806" s="19">
        <v>81.1</v>
      </c>
      <c r="HK1806" s="19">
        <v>71.2</v>
      </c>
      <c r="HL1806" s="19">
        <v>52.8</v>
      </c>
      <c r="HM1806" s="19">
        <v>29.9</v>
      </c>
      <c r="HN1806" s="19">
        <v>24.8</v>
      </c>
      <c r="HO1806" s="19">
        <v>20.2</v>
      </c>
      <c r="HP1806" s="19">
        <v>18.3</v>
      </c>
      <c r="HQ1806" s="19">
        <v>22.7</v>
      </c>
      <c r="HR1806" s="19">
        <v>26</v>
      </c>
      <c r="HS1806" s="19">
        <v>37.3</v>
      </c>
      <c r="HT1806" s="19">
        <v>65.7</v>
      </c>
      <c r="HU1806" s="19">
        <v>111.5</v>
      </c>
      <c r="HV1806" s="19">
        <v>219</v>
      </c>
      <c r="HW1806" s="19">
        <v>434</v>
      </c>
      <c r="HX1806" s="19">
        <v>216.5</v>
      </c>
      <c r="HY1806" s="19">
        <v>216</v>
      </c>
      <c r="HZ1806" s="19">
        <v>215.5</v>
      </c>
      <c r="IA1806" s="19">
        <v>214.5</v>
      </c>
      <c r="IB1806" s="19">
        <v>213.5</v>
      </c>
      <c r="IC1806" s="19">
        <v>212.5</v>
      </c>
    </row>
    <row r="1807">
      <c r="A1807" s="2" t="s">
        <v>6661</v>
      </c>
      <c r="B1807" s="2" t="s">
        <v>905</v>
      </c>
      <c r="C1807" s="2" t="s">
        <v>324</v>
      </c>
      <c r="D1807" s="2" t="s">
        <v>361</v>
      </c>
      <c r="E1807" s="2" t="s">
        <v>924</v>
      </c>
      <c r="F1807" s="2" t="s">
        <v>6656</v>
      </c>
      <c r="G1807" s="2" t="s">
        <v>6657</v>
      </c>
      <c r="H1807" s="2" t="s">
        <v>6657</v>
      </c>
      <c r="I1807" s="2" t="s">
        <v>6658</v>
      </c>
      <c r="J1807" s="2" t="s">
        <v>270</v>
      </c>
      <c r="K1807" s="2" t="s">
        <v>1196</v>
      </c>
      <c r="L1807" s="3">
        <v>82.86</v>
      </c>
      <c r="M1807" s="3">
        <v>87</v>
      </c>
      <c r="N1807" s="3">
        <v>169.99</v>
      </c>
      <c r="O1807" s="2" t="s">
        <v>232</v>
      </c>
      <c r="P1807" s="2" t="s">
        <v>233</v>
      </c>
      <c r="Q1807" s="2" t="s">
        <v>234</v>
      </c>
      <c r="R1807" s="2" t="s">
        <v>235</v>
      </c>
      <c r="S1807" s="2" t="s">
        <v>6659</v>
      </c>
      <c r="T1807" s="2" t="s">
        <v>4369</v>
      </c>
      <c r="U1807" s="2" t="s">
        <v>552</v>
      </c>
      <c r="V1807" s="2" t="s">
        <v>238</v>
      </c>
      <c r="W1807" s="2" t="s">
        <v>1354</v>
      </c>
      <c r="X1807" s="2" t="s">
        <v>1798</v>
      </c>
      <c r="Y1807" s="2" t="s">
        <v>2839</v>
      </c>
      <c r="Z1807" s="4">
        <v>613</v>
      </c>
      <c r="AA1807" s="4">
        <f>=ROUNDDOWN(111.454545454545,0)</f>
      </c>
      <c r="AB1807" s="5">
        <v>5.5</v>
      </c>
      <c r="AC1807" s="2" t="s">
        <v>235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235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235</v>
      </c>
      <c r="AW1807" s="8" t="s">
        <v>235</v>
      </c>
      <c r="AX1807" s="4" t="s">
        <v>235</v>
      </c>
      <c r="AY1807" s="8" t="s">
        <v>235</v>
      </c>
      <c r="AZ1807" s="7" t="s">
        <v>235</v>
      </c>
      <c r="BA1807" s="7" t="s">
        <v>235</v>
      </c>
      <c r="BB1807" s="7"/>
      <c r="BC1807" s="4" t="s">
        <v>235</v>
      </c>
      <c r="BD1807" s="8" t="s">
        <v>235</v>
      </c>
      <c r="BE1807" s="4" t="s">
        <v>235</v>
      </c>
      <c r="BF1807" s="8" t="s">
        <v>235</v>
      </c>
      <c r="BG1807" s="7" t="s">
        <v>235</v>
      </c>
      <c r="BH1807" s="7" t="s">
        <v>235</v>
      </c>
      <c r="BI1807" s="7"/>
      <c r="BJ1807" s="4">
        <v>10</v>
      </c>
      <c r="BK1807" s="8">
        <v>934.15</v>
      </c>
      <c r="BL1807" s="2" t="s">
        <v>6662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6660</v>
      </c>
      <c r="BV1807" s="2" t="s">
        <v>243</v>
      </c>
      <c r="BW1807" s="2" t="s">
        <v>235</v>
      </c>
      <c r="BX1807" s="2" t="s">
        <v>244</v>
      </c>
      <c r="BY1807" s="2" t="s">
        <v>245</v>
      </c>
      <c r="BZ1807" s="2" t="s">
        <v>232</v>
      </c>
      <c r="CA1807" s="2" t="s">
        <v>1976</v>
      </c>
      <c r="CB1807" s="2" t="s">
        <v>1216</v>
      </c>
      <c r="CC1807" s="2" t="s">
        <v>248</v>
      </c>
      <c r="CD1807" s="2" t="s">
        <v>248</v>
      </c>
      <c r="CE1807" s="2" t="s">
        <v>235</v>
      </c>
      <c r="CF1807" s="4">
        <v>214</v>
      </c>
      <c r="CG1807" s="4"/>
      <c r="CH1807" s="4"/>
      <c r="CI1807" s="4">
        <v>399</v>
      </c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>
        <v>616</v>
      </c>
      <c r="GE1807" s="4">
        <v>610</v>
      </c>
      <c r="GF1807" s="4">
        <v>606</v>
      </c>
      <c r="GG1807" s="4">
        <v>602</v>
      </c>
      <c r="GH1807" s="4">
        <v>598</v>
      </c>
      <c r="GI1807" s="4">
        <v>590</v>
      </c>
      <c r="GJ1807" s="4">
        <v>582</v>
      </c>
      <c r="GK1807" s="4">
        <v>574</v>
      </c>
      <c r="GL1807" s="4">
        <v>566</v>
      </c>
      <c r="GM1807" s="4">
        <v>560</v>
      </c>
      <c r="GN1807" s="4">
        <v>553</v>
      </c>
      <c r="GO1807" s="4">
        <v>541</v>
      </c>
      <c r="GP1807" s="4">
        <v>524</v>
      </c>
      <c r="GQ1807" s="4">
        <v>485</v>
      </c>
      <c r="GR1807" s="4">
        <v>462</v>
      </c>
      <c r="GS1807" s="4">
        <v>430</v>
      </c>
      <c r="GT1807" s="4">
        <v>406</v>
      </c>
      <c r="GU1807" s="4">
        <v>393</v>
      </c>
      <c r="GV1807" s="4">
        <v>383</v>
      </c>
      <c r="GW1807" s="4">
        <v>378</v>
      </c>
      <c r="GX1807" s="4">
        <v>377</v>
      </c>
      <c r="GY1807" s="4">
        <v>376</v>
      </c>
      <c r="GZ1807" s="4">
        <v>374</v>
      </c>
      <c r="HA1807" s="4">
        <v>372</v>
      </c>
      <c r="HB1807" s="4">
        <v>370</v>
      </c>
      <c r="HC1807" s="4">
        <v>368</v>
      </c>
      <c r="HD1807" s="19">
        <v>154</v>
      </c>
      <c r="HE1807" s="19">
        <v>122</v>
      </c>
      <c r="HF1807" s="19">
        <v>101</v>
      </c>
      <c r="HG1807" s="19">
        <v>86</v>
      </c>
      <c r="HH1807" s="19">
        <v>74.8</v>
      </c>
      <c r="HI1807" s="19">
        <v>73.8</v>
      </c>
      <c r="HJ1807" s="19">
        <v>83.1</v>
      </c>
      <c r="HK1807" s="19">
        <v>71.8</v>
      </c>
      <c r="HL1807" s="19">
        <v>56.6</v>
      </c>
      <c r="HM1807" s="19">
        <v>29.5</v>
      </c>
      <c r="HN1807" s="19">
        <v>24</v>
      </c>
      <c r="HO1807" s="19">
        <v>19.3</v>
      </c>
      <c r="HP1807" s="19">
        <v>17.5</v>
      </c>
      <c r="HQ1807" s="19">
        <v>21.1</v>
      </c>
      <c r="HR1807" s="19">
        <v>23.1</v>
      </c>
      <c r="HS1807" s="19">
        <v>33.1</v>
      </c>
      <c r="HT1807" s="19">
        <v>58</v>
      </c>
      <c r="HU1807" s="19">
        <v>98.3</v>
      </c>
      <c r="HV1807" s="19">
        <v>191.5</v>
      </c>
      <c r="HW1807" s="19">
        <v>189</v>
      </c>
      <c r="HX1807" s="19">
        <v>188.5</v>
      </c>
      <c r="HY1807" s="19">
        <v>188</v>
      </c>
      <c r="HZ1807" s="19">
        <v>187</v>
      </c>
      <c r="IA1807" s="19">
        <v>186</v>
      </c>
      <c r="IB1807" s="19">
        <v>185</v>
      </c>
      <c r="IC1807" s="19">
        <v>184</v>
      </c>
    </row>
    <row r="1808">
      <c r="A1808" s="2" t="s">
        <v>6663</v>
      </c>
      <c r="B1808" s="2" t="s">
        <v>905</v>
      </c>
      <c r="C1808" s="2" t="s">
        <v>324</v>
      </c>
      <c r="D1808" s="2" t="s">
        <v>361</v>
      </c>
      <c r="E1808" s="2" t="s">
        <v>872</v>
      </c>
      <c r="F1808" s="2" t="s">
        <v>6656</v>
      </c>
      <c r="G1808" s="2" t="s">
        <v>6657</v>
      </c>
      <c r="H1808" s="2" t="s">
        <v>6657</v>
      </c>
      <c r="I1808" s="2" t="s">
        <v>6664</v>
      </c>
      <c r="J1808" s="2" t="s">
        <v>394</v>
      </c>
      <c r="K1808" s="2" t="s">
        <v>287</v>
      </c>
      <c r="L1808" s="3">
        <v>47.61</v>
      </c>
      <c r="M1808" s="3">
        <v>49.99</v>
      </c>
      <c r="N1808" s="3">
        <v>99.99</v>
      </c>
      <c r="O1808" s="2" t="s">
        <v>232</v>
      </c>
      <c r="P1808" s="2" t="s">
        <v>878</v>
      </c>
      <c r="Q1808" s="2" t="s">
        <v>234</v>
      </c>
      <c r="R1808" s="2" t="s">
        <v>235</v>
      </c>
      <c r="S1808" s="2" t="s">
        <v>235</v>
      </c>
      <c r="T1808" s="2" t="s">
        <v>4369</v>
      </c>
      <c r="U1808" s="2" t="s">
        <v>278</v>
      </c>
      <c r="V1808" s="2" t="s">
        <v>238</v>
      </c>
      <c r="W1808" s="2" t="s">
        <v>1082</v>
      </c>
      <c r="X1808" s="2" t="s">
        <v>235</v>
      </c>
      <c r="Y1808" s="2" t="s">
        <v>6665</v>
      </c>
      <c r="Z1808" s="4">
        <v>100</v>
      </c>
      <c r="AA1808" s="4">
        <f>=ROUNDDOWN(50,0)</f>
      </c>
      <c r="AB1808" s="5">
        <v>2</v>
      </c>
      <c r="AC1808" s="2" t="s">
        <v>235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235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235</v>
      </c>
      <c r="AW1808" s="8" t="s">
        <v>235</v>
      </c>
      <c r="AX1808" s="4" t="s">
        <v>235</v>
      </c>
      <c r="AY1808" s="8" t="s">
        <v>235</v>
      </c>
      <c r="AZ1808" s="7" t="s">
        <v>235</v>
      </c>
      <c r="BA1808" s="7" t="s">
        <v>235</v>
      </c>
      <c r="BB1808" s="7"/>
      <c r="BC1808" s="4" t="s">
        <v>235</v>
      </c>
      <c r="BD1808" s="8" t="s">
        <v>235</v>
      </c>
      <c r="BE1808" s="4" t="s">
        <v>235</v>
      </c>
      <c r="BF1808" s="8" t="s">
        <v>235</v>
      </c>
      <c r="BG1808" s="7" t="s">
        <v>235</v>
      </c>
      <c r="BH1808" s="7" t="s">
        <v>235</v>
      </c>
      <c r="BI1808" s="7"/>
      <c r="BJ1808" s="4"/>
      <c r="BK1808" s="8"/>
      <c r="BL1808" s="2" t="s">
        <v>235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6666</v>
      </c>
      <c r="BV1808" s="2" t="s">
        <v>235</v>
      </c>
      <c r="BW1808" s="2" t="s">
        <v>235</v>
      </c>
      <c r="BX1808" s="2" t="s">
        <v>244</v>
      </c>
      <c r="BY1808" s="2" t="s">
        <v>245</v>
      </c>
      <c r="BZ1808" s="2" t="s">
        <v>232</v>
      </c>
      <c r="CA1808" s="2" t="s">
        <v>235</v>
      </c>
      <c r="CB1808" s="2" t="s">
        <v>235</v>
      </c>
      <c r="CC1808" s="2" t="s">
        <v>248</v>
      </c>
      <c r="CD1808" s="2" t="s">
        <v>248</v>
      </c>
      <c r="CE1808" s="2" t="s">
        <v>235</v>
      </c>
      <c r="CF1808" s="4"/>
      <c r="CG1808" s="4"/>
      <c r="CH1808" s="4"/>
      <c r="CI1808" s="4">
        <v>100</v>
      </c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>
        <v>100</v>
      </c>
      <c r="GE1808" s="4">
        <v>96</v>
      </c>
      <c r="GF1808" s="4">
        <v>95</v>
      </c>
      <c r="GG1808" s="4">
        <v>94</v>
      </c>
      <c r="GH1808" s="4">
        <v>92</v>
      </c>
      <c r="GI1808" s="4">
        <v>88</v>
      </c>
      <c r="GJ1808" s="4">
        <v>80</v>
      </c>
      <c r="GK1808" s="4">
        <v>76</v>
      </c>
      <c r="GL1808" s="4">
        <v>71</v>
      </c>
      <c r="GM1808" s="4">
        <v>68</v>
      </c>
      <c r="GN1808" s="4">
        <v>65</v>
      </c>
      <c r="GO1808" s="4">
        <v>59</v>
      </c>
      <c r="GP1808" s="4">
        <v>53</v>
      </c>
      <c r="GQ1808" s="4">
        <v>41</v>
      </c>
      <c r="GR1808" s="4">
        <v>37</v>
      </c>
      <c r="GS1808" s="4">
        <v>31</v>
      </c>
      <c r="GT1808" s="4">
        <v>27</v>
      </c>
      <c r="GU1808" s="4">
        <v>25</v>
      </c>
      <c r="GV1808" s="4">
        <v>20</v>
      </c>
      <c r="GW1808" s="4">
        <v>18</v>
      </c>
      <c r="GX1808" s="4">
        <v>18</v>
      </c>
      <c r="GY1808" s="4">
        <v>17</v>
      </c>
      <c r="GZ1808" s="4">
        <v>17</v>
      </c>
      <c r="HA1808" s="4">
        <v>17</v>
      </c>
      <c r="HB1808" s="4">
        <v>17</v>
      </c>
      <c r="HC1808" s="4">
        <v>17</v>
      </c>
      <c r="HD1808" s="19">
        <v>50</v>
      </c>
      <c r="HE1808" s="19">
        <v>48</v>
      </c>
      <c r="HF1808" s="19">
        <v>23.8</v>
      </c>
      <c r="HG1808" s="19">
        <v>23.5</v>
      </c>
      <c r="HH1808" s="19">
        <v>18.4</v>
      </c>
      <c r="HI1808" s="19">
        <v>17.6</v>
      </c>
      <c r="HJ1808" s="19">
        <v>20</v>
      </c>
      <c r="HK1808" s="19">
        <v>19</v>
      </c>
      <c r="HL1808" s="19">
        <v>17.8</v>
      </c>
      <c r="HM1808" s="19">
        <v>9.7</v>
      </c>
      <c r="HN1808" s="19">
        <v>9.3</v>
      </c>
      <c r="HO1808" s="19">
        <v>8.4</v>
      </c>
      <c r="HP1808" s="19">
        <v>8.8</v>
      </c>
      <c r="HQ1808" s="19">
        <v>10.3</v>
      </c>
      <c r="HR1808" s="19">
        <v>9.3</v>
      </c>
      <c r="HS1808" s="19">
        <v>10.3</v>
      </c>
      <c r="HT1808" s="19">
        <v>13.5</v>
      </c>
      <c r="HU1808" s="19">
        <v>12.5</v>
      </c>
      <c r="HV1808" s="19">
        <v>20</v>
      </c>
      <c r="HW1808" s="9"/>
      <c r="HX1808" s="20">
        <v>0</v>
      </c>
      <c r="HY1808" s="9"/>
      <c r="HZ1808" s="9"/>
      <c r="IA1808" s="9"/>
      <c r="IB1808" s="9"/>
      <c r="IC1808" s="9"/>
    </row>
    <row r="1809">
      <c r="A1809" s="2" t="s">
        <v>6667</v>
      </c>
      <c r="B1809" s="2" t="s">
        <v>905</v>
      </c>
      <c r="C1809" s="2" t="s">
        <v>324</v>
      </c>
      <c r="D1809" s="2" t="s">
        <v>361</v>
      </c>
      <c r="E1809" s="2" t="s">
        <v>872</v>
      </c>
      <c r="F1809" s="2" t="s">
        <v>6656</v>
      </c>
      <c r="G1809" s="2" t="s">
        <v>6657</v>
      </c>
      <c r="H1809" s="2" t="s">
        <v>6657</v>
      </c>
      <c r="I1809" s="2" t="s">
        <v>6664</v>
      </c>
      <c r="J1809" s="2" t="s">
        <v>365</v>
      </c>
      <c r="K1809" s="2" t="s">
        <v>287</v>
      </c>
      <c r="L1809" s="3">
        <v>61.9</v>
      </c>
      <c r="M1809" s="3">
        <v>65</v>
      </c>
      <c r="N1809" s="3">
        <v>129.99</v>
      </c>
      <c r="O1809" s="2" t="s">
        <v>232</v>
      </c>
      <c r="P1809" s="2" t="s">
        <v>878</v>
      </c>
      <c r="Q1809" s="2" t="s">
        <v>234</v>
      </c>
      <c r="R1809" s="2" t="s">
        <v>235</v>
      </c>
      <c r="S1809" s="2" t="s">
        <v>235</v>
      </c>
      <c r="T1809" s="2" t="s">
        <v>4369</v>
      </c>
      <c r="U1809" s="2" t="s">
        <v>552</v>
      </c>
      <c r="V1809" s="2" t="s">
        <v>238</v>
      </c>
      <c r="W1809" s="2" t="s">
        <v>1082</v>
      </c>
      <c r="X1809" s="2" t="s">
        <v>235</v>
      </c>
      <c r="Y1809" s="2" t="s">
        <v>2915</v>
      </c>
      <c r="Z1809" s="4">
        <v>347</v>
      </c>
      <c r="AA1809" s="4">
        <f>=ROUNDDOWN(69.4,0)</f>
      </c>
      <c r="AB1809" s="5">
        <v>5</v>
      </c>
      <c r="AC1809" s="2" t="s">
        <v>235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235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235</v>
      </c>
      <c r="AW1809" s="8" t="s">
        <v>235</v>
      </c>
      <c r="AX1809" s="4" t="s">
        <v>235</v>
      </c>
      <c r="AY1809" s="8" t="s">
        <v>235</v>
      </c>
      <c r="AZ1809" s="7" t="s">
        <v>235</v>
      </c>
      <c r="BA1809" s="7" t="s">
        <v>235</v>
      </c>
      <c r="BB1809" s="7"/>
      <c r="BC1809" s="4" t="s">
        <v>235</v>
      </c>
      <c r="BD1809" s="8" t="s">
        <v>235</v>
      </c>
      <c r="BE1809" s="4" t="s">
        <v>235</v>
      </c>
      <c r="BF1809" s="8" t="s">
        <v>235</v>
      </c>
      <c r="BG1809" s="7" t="s">
        <v>235</v>
      </c>
      <c r="BH1809" s="7" t="s">
        <v>235</v>
      </c>
      <c r="BI1809" s="7"/>
      <c r="BJ1809" s="4"/>
      <c r="BK1809" s="8"/>
      <c r="BL1809" s="2" t="s">
        <v>235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6666</v>
      </c>
      <c r="BV1809" s="2" t="s">
        <v>235</v>
      </c>
      <c r="BW1809" s="2" t="s">
        <v>235</v>
      </c>
      <c r="BX1809" s="2" t="s">
        <v>244</v>
      </c>
      <c r="BY1809" s="2" t="s">
        <v>245</v>
      </c>
      <c r="BZ1809" s="2" t="s">
        <v>232</v>
      </c>
      <c r="CA1809" s="2" t="s">
        <v>235</v>
      </c>
      <c r="CB1809" s="2" t="s">
        <v>235</v>
      </c>
      <c r="CC1809" s="2" t="s">
        <v>248</v>
      </c>
      <c r="CD1809" s="2" t="s">
        <v>248</v>
      </c>
      <c r="CE1809" s="2" t="s">
        <v>235</v>
      </c>
      <c r="CF1809" s="4"/>
      <c r="CG1809" s="4"/>
      <c r="CH1809" s="4"/>
      <c r="CI1809" s="4">
        <v>347</v>
      </c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>
        <v>347</v>
      </c>
      <c r="GE1809" s="4">
        <v>339</v>
      </c>
      <c r="GF1809" s="4">
        <v>337</v>
      </c>
      <c r="GG1809" s="4">
        <v>335</v>
      </c>
      <c r="GH1809" s="4">
        <v>330</v>
      </c>
      <c r="GI1809" s="4">
        <v>323</v>
      </c>
      <c r="GJ1809" s="4">
        <v>306</v>
      </c>
      <c r="GK1809" s="4">
        <v>295</v>
      </c>
      <c r="GL1809" s="4">
        <v>281</v>
      </c>
      <c r="GM1809" s="4">
        <v>271</v>
      </c>
      <c r="GN1809" s="4">
        <v>261</v>
      </c>
      <c r="GO1809" s="4">
        <v>249</v>
      </c>
      <c r="GP1809" s="4">
        <v>236</v>
      </c>
      <c r="GQ1809" s="4">
        <v>207</v>
      </c>
      <c r="GR1809" s="4">
        <v>190</v>
      </c>
      <c r="GS1809" s="4">
        <v>168</v>
      </c>
      <c r="GT1809" s="4">
        <v>150</v>
      </c>
      <c r="GU1809" s="4">
        <v>140</v>
      </c>
      <c r="GV1809" s="4">
        <v>133</v>
      </c>
      <c r="GW1809" s="4">
        <v>130</v>
      </c>
      <c r="GX1809" s="4">
        <v>129</v>
      </c>
      <c r="GY1809" s="4">
        <v>127</v>
      </c>
      <c r="GZ1809" s="4">
        <v>125</v>
      </c>
      <c r="HA1809" s="4">
        <v>123</v>
      </c>
      <c r="HB1809" s="4">
        <v>121</v>
      </c>
      <c r="HC1809" s="4">
        <v>119</v>
      </c>
      <c r="HD1809" s="19">
        <v>86.8</v>
      </c>
      <c r="HE1809" s="19">
        <v>84.8</v>
      </c>
      <c r="HF1809" s="19">
        <v>42.1</v>
      </c>
      <c r="HG1809" s="19">
        <v>33.5</v>
      </c>
      <c r="HH1809" s="19">
        <v>27.5</v>
      </c>
      <c r="HI1809" s="19">
        <v>24.8</v>
      </c>
      <c r="HJ1809" s="19">
        <v>27.8</v>
      </c>
      <c r="HK1809" s="19">
        <v>24.6</v>
      </c>
      <c r="HL1809" s="19">
        <v>25.5</v>
      </c>
      <c r="HM1809" s="19">
        <v>16.9</v>
      </c>
      <c r="HN1809" s="19">
        <v>14.5</v>
      </c>
      <c r="HO1809" s="19">
        <v>12.5</v>
      </c>
      <c r="HP1809" s="19">
        <v>10.7</v>
      </c>
      <c r="HQ1809" s="19">
        <v>12.2</v>
      </c>
      <c r="HR1809" s="19">
        <v>13.6</v>
      </c>
      <c r="HS1809" s="19">
        <v>16.8</v>
      </c>
      <c r="HT1809" s="19">
        <v>30</v>
      </c>
      <c r="HU1809" s="19">
        <v>46.7</v>
      </c>
      <c r="HV1809" s="19">
        <v>66.5</v>
      </c>
      <c r="HW1809" s="19">
        <v>65</v>
      </c>
      <c r="HX1809" s="19">
        <v>64.5</v>
      </c>
      <c r="HY1809" s="19">
        <v>63.5</v>
      </c>
      <c r="HZ1809" s="19">
        <v>62.5</v>
      </c>
      <c r="IA1809" s="19">
        <v>61.5</v>
      </c>
      <c r="IB1809" s="19">
        <v>60.5</v>
      </c>
      <c r="IC1809" s="19">
        <v>59.5</v>
      </c>
    </row>
    <row r="1810">
      <c r="A1810" s="2" t="s">
        <v>6668</v>
      </c>
      <c r="B1810" s="2" t="s">
        <v>905</v>
      </c>
      <c r="C1810" s="2" t="s">
        <v>324</v>
      </c>
      <c r="D1810" s="2" t="s">
        <v>361</v>
      </c>
      <c r="E1810" s="2" t="s">
        <v>872</v>
      </c>
      <c r="F1810" s="2" t="s">
        <v>6656</v>
      </c>
      <c r="G1810" s="2" t="s">
        <v>6657</v>
      </c>
      <c r="H1810" s="2" t="s">
        <v>6657</v>
      </c>
      <c r="I1810" s="2" t="s">
        <v>6664</v>
      </c>
      <c r="J1810" s="2" t="s">
        <v>372</v>
      </c>
      <c r="K1810" s="2" t="s">
        <v>287</v>
      </c>
      <c r="L1810" s="3">
        <v>71.42</v>
      </c>
      <c r="M1810" s="3">
        <v>74.99</v>
      </c>
      <c r="N1810" s="3">
        <v>149.99</v>
      </c>
      <c r="O1810" s="2" t="s">
        <v>232</v>
      </c>
      <c r="P1810" s="2" t="s">
        <v>878</v>
      </c>
      <c r="Q1810" s="2" t="s">
        <v>234</v>
      </c>
      <c r="R1810" s="2" t="s">
        <v>235</v>
      </c>
      <c r="S1810" s="2" t="s">
        <v>235</v>
      </c>
      <c r="T1810" s="2" t="s">
        <v>4369</v>
      </c>
      <c r="U1810" s="2" t="s">
        <v>552</v>
      </c>
      <c r="V1810" s="2" t="s">
        <v>238</v>
      </c>
      <c r="W1810" s="2" t="s">
        <v>1082</v>
      </c>
      <c r="X1810" s="2" t="s">
        <v>235</v>
      </c>
      <c r="Y1810" s="2" t="s">
        <v>2915</v>
      </c>
      <c r="Z1810" s="4">
        <v>344</v>
      </c>
      <c r="AA1810" s="4">
        <f>=ROUNDDOWN(68.8,0)</f>
      </c>
      <c r="AB1810" s="5">
        <v>5</v>
      </c>
      <c r="AC1810" s="2" t="s">
        <v>235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235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235</v>
      </c>
      <c r="AW1810" s="8" t="s">
        <v>235</v>
      </c>
      <c r="AX1810" s="4" t="s">
        <v>235</v>
      </c>
      <c r="AY1810" s="8" t="s">
        <v>235</v>
      </c>
      <c r="AZ1810" s="7" t="s">
        <v>235</v>
      </c>
      <c r="BA1810" s="7" t="s">
        <v>235</v>
      </c>
      <c r="BB1810" s="7"/>
      <c r="BC1810" s="4" t="s">
        <v>235</v>
      </c>
      <c r="BD1810" s="8" t="s">
        <v>235</v>
      </c>
      <c r="BE1810" s="4" t="s">
        <v>235</v>
      </c>
      <c r="BF1810" s="8" t="s">
        <v>235</v>
      </c>
      <c r="BG1810" s="7" t="s">
        <v>235</v>
      </c>
      <c r="BH1810" s="7" t="s">
        <v>235</v>
      </c>
      <c r="BI1810" s="7"/>
      <c r="BJ1810" s="4">
        <v>1</v>
      </c>
      <c r="BK1810" s="8">
        <v>78.74</v>
      </c>
      <c r="BL1810" s="2" t="s">
        <v>3820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6666</v>
      </c>
      <c r="BV1810" s="2" t="s">
        <v>235</v>
      </c>
      <c r="BW1810" s="2" t="s">
        <v>235</v>
      </c>
      <c r="BX1810" s="2" t="s">
        <v>244</v>
      </c>
      <c r="BY1810" s="2" t="s">
        <v>245</v>
      </c>
      <c r="BZ1810" s="2" t="s">
        <v>232</v>
      </c>
      <c r="CA1810" s="2" t="s">
        <v>235</v>
      </c>
      <c r="CB1810" s="2" t="s">
        <v>235</v>
      </c>
      <c r="CC1810" s="2" t="s">
        <v>248</v>
      </c>
      <c r="CD1810" s="2" t="s">
        <v>248</v>
      </c>
      <c r="CE1810" s="2" t="s">
        <v>235</v>
      </c>
      <c r="CF1810" s="4"/>
      <c r="CG1810" s="4"/>
      <c r="CH1810" s="4"/>
      <c r="CI1810" s="4">
        <v>344</v>
      </c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>
        <v>344</v>
      </c>
      <c r="GE1810" s="4">
        <v>340</v>
      </c>
      <c r="GF1810" s="4">
        <v>339</v>
      </c>
      <c r="GG1810" s="4">
        <v>338</v>
      </c>
      <c r="GH1810" s="4">
        <v>335</v>
      </c>
      <c r="GI1810" s="4">
        <v>330</v>
      </c>
      <c r="GJ1810" s="4">
        <v>317</v>
      </c>
      <c r="GK1810" s="4">
        <v>307</v>
      </c>
      <c r="GL1810" s="4">
        <v>296</v>
      </c>
      <c r="GM1810" s="4">
        <v>288</v>
      </c>
      <c r="GN1810" s="4">
        <v>278</v>
      </c>
      <c r="GO1810" s="4">
        <v>264</v>
      </c>
      <c r="GP1810" s="4">
        <v>246</v>
      </c>
      <c r="GQ1810" s="4">
        <v>207</v>
      </c>
      <c r="GR1810" s="4">
        <v>184</v>
      </c>
      <c r="GS1810" s="4">
        <v>152</v>
      </c>
      <c r="GT1810" s="4">
        <v>128</v>
      </c>
      <c r="GU1810" s="4">
        <v>115</v>
      </c>
      <c r="GV1810" s="4">
        <v>105</v>
      </c>
      <c r="GW1810" s="4">
        <v>100</v>
      </c>
      <c r="GX1810" s="4">
        <v>99</v>
      </c>
      <c r="GY1810" s="4">
        <v>98</v>
      </c>
      <c r="GZ1810" s="4">
        <v>97</v>
      </c>
      <c r="HA1810" s="4">
        <v>95</v>
      </c>
      <c r="HB1810" s="4">
        <v>93</v>
      </c>
      <c r="HC1810" s="4">
        <v>91</v>
      </c>
      <c r="HD1810" s="19">
        <v>172</v>
      </c>
      <c r="HE1810" s="19">
        <v>170</v>
      </c>
      <c r="HF1810" s="19">
        <v>56.5</v>
      </c>
      <c r="HG1810" s="19">
        <v>42.3</v>
      </c>
      <c r="HH1810" s="19">
        <v>33.5</v>
      </c>
      <c r="HI1810" s="19">
        <v>33</v>
      </c>
      <c r="HJ1810" s="19">
        <v>31.7</v>
      </c>
      <c r="HK1810" s="19">
        <v>27.9</v>
      </c>
      <c r="HL1810" s="19">
        <v>24.7</v>
      </c>
      <c r="HM1810" s="19">
        <v>14.4</v>
      </c>
      <c r="HN1810" s="19">
        <v>11.6</v>
      </c>
      <c r="HO1810" s="19">
        <v>9.4</v>
      </c>
      <c r="HP1810" s="19">
        <v>8.2</v>
      </c>
      <c r="HQ1810" s="19">
        <v>9</v>
      </c>
      <c r="HR1810" s="19">
        <v>9.2</v>
      </c>
      <c r="HS1810" s="19">
        <v>11.7</v>
      </c>
      <c r="HT1810" s="19">
        <v>18.3</v>
      </c>
      <c r="HU1810" s="19">
        <v>28.8</v>
      </c>
      <c r="HV1810" s="19">
        <v>52.5</v>
      </c>
      <c r="HW1810" s="19">
        <v>100</v>
      </c>
      <c r="HX1810" s="19">
        <v>49.5</v>
      </c>
      <c r="HY1810" s="19">
        <v>49</v>
      </c>
      <c r="HZ1810" s="19">
        <v>48.5</v>
      </c>
      <c r="IA1810" s="19">
        <v>47.5</v>
      </c>
      <c r="IB1810" s="19">
        <v>46.5</v>
      </c>
      <c r="IC1810" s="19">
        <v>45.5</v>
      </c>
    </row>
    <row r="1811">
      <c r="A1811" s="2" t="s">
        <v>6669</v>
      </c>
      <c r="B1811" s="2" t="s">
        <v>905</v>
      </c>
      <c r="C1811" s="2" t="s">
        <v>324</v>
      </c>
      <c r="D1811" s="2" t="s">
        <v>361</v>
      </c>
      <c r="E1811" s="2" t="s">
        <v>872</v>
      </c>
      <c r="F1811" s="2" t="s">
        <v>6656</v>
      </c>
      <c r="G1811" s="2" t="s">
        <v>6657</v>
      </c>
      <c r="H1811" s="2" t="s">
        <v>6657</v>
      </c>
      <c r="I1811" s="2" t="s">
        <v>6664</v>
      </c>
      <c r="J1811" s="2" t="s">
        <v>394</v>
      </c>
      <c r="K1811" s="2" t="s">
        <v>295</v>
      </c>
      <c r="L1811" s="3">
        <v>47.61</v>
      </c>
      <c r="M1811" s="3">
        <v>49.99</v>
      </c>
      <c r="N1811" s="3">
        <v>99.99</v>
      </c>
      <c r="O1811" s="2" t="s">
        <v>232</v>
      </c>
      <c r="P1811" s="2" t="s">
        <v>878</v>
      </c>
      <c r="Q1811" s="2" t="s">
        <v>234</v>
      </c>
      <c r="R1811" s="2" t="s">
        <v>235</v>
      </c>
      <c r="S1811" s="2" t="s">
        <v>235</v>
      </c>
      <c r="T1811" s="2" t="s">
        <v>4369</v>
      </c>
      <c r="U1811" s="2" t="s">
        <v>278</v>
      </c>
      <c r="V1811" s="2" t="s">
        <v>238</v>
      </c>
      <c r="W1811" s="2" t="s">
        <v>1082</v>
      </c>
      <c r="X1811" s="2" t="s">
        <v>235</v>
      </c>
      <c r="Y1811" s="2" t="s">
        <v>6665</v>
      </c>
      <c r="Z1811" s="4">
        <v>100</v>
      </c>
      <c r="AA1811" s="4">
        <f>=ROUNDDOWN(50,0)</f>
      </c>
      <c r="AB1811" s="5">
        <v>2</v>
      </c>
      <c r="AC1811" s="2" t="s">
        <v>235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235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235</v>
      </c>
      <c r="AW1811" s="8" t="s">
        <v>235</v>
      </c>
      <c r="AX1811" s="4" t="s">
        <v>235</v>
      </c>
      <c r="AY1811" s="8" t="s">
        <v>235</v>
      </c>
      <c r="AZ1811" s="7" t="s">
        <v>235</v>
      </c>
      <c r="BA1811" s="7" t="s">
        <v>235</v>
      </c>
      <c r="BB1811" s="7"/>
      <c r="BC1811" s="4" t="s">
        <v>235</v>
      </c>
      <c r="BD1811" s="8" t="s">
        <v>235</v>
      </c>
      <c r="BE1811" s="4" t="s">
        <v>235</v>
      </c>
      <c r="BF1811" s="8" t="s">
        <v>235</v>
      </c>
      <c r="BG1811" s="7" t="s">
        <v>235</v>
      </c>
      <c r="BH1811" s="7" t="s">
        <v>235</v>
      </c>
      <c r="BI1811" s="7"/>
      <c r="BJ1811" s="4"/>
      <c r="BK1811" s="8"/>
      <c r="BL1811" s="2" t="s">
        <v>235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6666</v>
      </c>
      <c r="BV1811" s="2" t="s">
        <v>235</v>
      </c>
      <c r="BW1811" s="2" t="s">
        <v>235</v>
      </c>
      <c r="BX1811" s="2" t="s">
        <v>244</v>
      </c>
      <c r="BY1811" s="2" t="s">
        <v>245</v>
      </c>
      <c r="BZ1811" s="2" t="s">
        <v>232</v>
      </c>
      <c r="CA1811" s="2" t="s">
        <v>235</v>
      </c>
      <c r="CB1811" s="2" t="s">
        <v>235</v>
      </c>
      <c r="CC1811" s="2" t="s">
        <v>248</v>
      </c>
      <c r="CD1811" s="2" t="s">
        <v>248</v>
      </c>
      <c r="CE1811" s="2" t="s">
        <v>235</v>
      </c>
      <c r="CF1811" s="4"/>
      <c r="CG1811" s="4"/>
      <c r="CH1811" s="4"/>
      <c r="CI1811" s="4">
        <v>100</v>
      </c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>
        <v>100</v>
      </c>
      <c r="GE1811" s="4">
        <v>96</v>
      </c>
      <c r="GF1811" s="4">
        <v>95</v>
      </c>
      <c r="GG1811" s="4">
        <v>94</v>
      </c>
      <c r="GH1811" s="4">
        <v>92</v>
      </c>
      <c r="GI1811" s="4">
        <v>88</v>
      </c>
      <c r="GJ1811" s="4">
        <v>80</v>
      </c>
      <c r="GK1811" s="4">
        <v>76</v>
      </c>
      <c r="GL1811" s="4">
        <v>71</v>
      </c>
      <c r="GM1811" s="4">
        <v>68</v>
      </c>
      <c r="GN1811" s="4">
        <v>65</v>
      </c>
      <c r="GO1811" s="4">
        <v>59</v>
      </c>
      <c r="GP1811" s="4">
        <v>53</v>
      </c>
      <c r="GQ1811" s="4">
        <v>41</v>
      </c>
      <c r="GR1811" s="4">
        <v>37</v>
      </c>
      <c r="GS1811" s="4">
        <v>31</v>
      </c>
      <c r="GT1811" s="4">
        <v>27</v>
      </c>
      <c r="GU1811" s="4">
        <v>25</v>
      </c>
      <c r="GV1811" s="4">
        <v>20</v>
      </c>
      <c r="GW1811" s="4">
        <v>18</v>
      </c>
      <c r="GX1811" s="4">
        <v>18</v>
      </c>
      <c r="GY1811" s="4">
        <v>17</v>
      </c>
      <c r="GZ1811" s="4">
        <v>17</v>
      </c>
      <c r="HA1811" s="4">
        <v>17</v>
      </c>
      <c r="HB1811" s="4">
        <v>17</v>
      </c>
      <c r="HC1811" s="4">
        <v>17</v>
      </c>
      <c r="HD1811" s="19">
        <v>50</v>
      </c>
      <c r="HE1811" s="19">
        <v>48</v>
      </c>
      <c r="HF1811" s="19">
        <v>23.8</v>
      </c>
      <c r="HG1811" s="19">
        <v>23.5</v>
      </c>
      <c r="HH1811" s="19">
        <v>18.4</v>
      </c>
      <c r="HI1811" s="19">
        <v>17.6</v>
      </c>
      <c r="HJ1811" s="19">
        <v>20</v>
      </c>
      <c r="HK1811" s="19">
        <v>19</v>
      </c>
      <c r="HL1811" s="19">
        <v>17.8</v>
      </c>
      <c r="HM1811" s="19">
        <v>9.7</v>
      </c>
      <c r="HN1811" s="19">
        <v>9.3</v>
      </c>
      <c r="HO1811" s="19">
        <v>8.4</v>
      </c>
      <c r="HP1811" s="19">
        <v>8.8</v>
      </c>
      <c r="HQ1811" s="19">
        <v>10.3</v>
      </c>
      <c r="HR1811" s="19">
        <v>9.3</v>
      </c>
      <c r="HS1811" s="19">
        <v>10.3</v>
      </c>
      <c r="HT1811" s="19">
        <v>13.5</v>
      </c>
      <c r="HU1811" s="19">
        <v>12.5</v>
      </c>
      <c r="HV1811" s="19">
        <v>20</v>
      </c>
      <c r="HW1811" s="9"/>
      <c r="HX1811" s="20">
        <v>0</v>
      </c>
      <c r="HY1811" s="9"/>
      <c r="HZ1811" s="9"/>
      <c r="IA1811" s="9"/>
      <c r="IB1811" s="9"/>
      <c r="IC1811" s="9"/>
    </row>
    <row r="1812">
      <c r="A1812" s="2" t="s">
        <v>6670</v>
      </c>
      <c r="B1812" s="2" t="s">
        <v>905</v>
      </c>
      <c r="C1812" s="2" t="s">
        <v>324</v>
      </c>
      <c r="D1812" s="2" t="s">
        <v>361</v>
      </c>
      <c r="E1812" s="2" t="s">
        <v>872</v>
      </c>
      <c r="F1812" s="2" t="s">
        <v>6656</v>
      </c>
      <c r="G1812" s="2" t="s">
        <v>6657</v>
      </c>
      <c r="H1812" s="2" t="s">
        <v>6657</v>
      </c>
      <c r="I1812" s="2" t="s">
        <v>6664</v>
      </c>
      <c r="J1812" s="2" t="s">
        <v>365</v>
      </c>
      <c r="K1812" s="2" t="s">
        <v>295</v>
      </c>
      <c r="L1812" s="3">
        <v>61.9</v>
      </c>
      <c r="M1812" s="3">
        <v>65</v>
      </c>
      <c r="N1812" s="3">
        <v>129.99</v>
      </c>
      <c r="O1812" s="2" t="s">
        <v>232</v>
      </c>
      <c r="P1812" s="2" t="s">
        <v>878</v>
      </c>
      <c r="Q1812" s="2" t="s">
        <v>234</v>
      </c>
      <c r="R1812" s="2" t="s">
        <v>235</v>
      </c>
      <c r="S1812" s="2" t="s">
        <v>235</v>
      </c>
      <c r="T1812" s="2" t="s">
        <v>4369</v>
      </c>
      <c r="U1812" s="2" t="s">
        <v>552</v>
      </c>
      <c r="V1812" s="2" t="s">
        <v>238</v>
      </c>
      <c r="W1812" s="2" t="s">
        <v>1082</v>
      </c>
      <c r="X1812" s="2" t="s">
        <v>235</v>
      </c>
      <c r="Y1812" s="2" t="s">
        <v>6665</v>
      </c>
      <c r="Z1812" s="4">
        <v>314</v>
      </c>
      <c r="AA1812" s="4">
        <f>=ROUNDDOWN(62.8,0)</f>
      </c>
      <c r="AB1812" s="5">
        <v>5</v>
      </c>
      <c r="AC1812" s="2" t="s">
        <v>235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235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235</v>
      </c>
      <c r="AW1812" s="8" t="s">
        <v>235</v>
      </c>
      <c r="AX1812" s="4" t="s">
        <v>235</v>
      </c>
      <c r="AY1812" s="8" t="s">
        <v>235</v>
      </c>
      <c r="AZ1812" s="7" t="s">
        <v>235</v>
      </c>
      <c r="BA1812" s="7" t="s">
        <v>235</v>
      </c>
      <c r="BB1812" s="7"/>
      <c r="BC1812" s="4" t="s">
        <v>235</v>
      </c>
      <c r="BD1812" s="8" t="s">
        <v>235</v>
      </c>
      <c r="BE1812" s="4" t="s">
        <v>235</v>
      </c>
      <c r="BF1812" s="8" t="s">
        <v>235</v>
      </c>
      <c r="BG1812" s="7" t="s">
        <v>235</v>
      </c>
      <c r="BH1812" s="7" t="s">
        <v>235</v>
      </c>
      <c r="BI1812" s="7"/>
      <c r="BJ1812" s="4">
        <v>1</v>
      </c>
      <c r="BK1812" s="8">
        <v>68.24</v>
      </c>
      <c r="BL1812" s="2" t="s">
        <v>3820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6666</v>
      </c>
      <c r="BV1812" s="2" t="s">
        <v>235</v>
      </c>
      <c r="BW1812" s="2" t="s">
        <v>235</v>
      </c>
      <c r="BX1812" s="2" t="s">
        <v>244</v>
      </c>
      <c r="BY1812" s="2" t="s">
        <v>245</v>
      </c>
      <c r="BZ1812" s="2" t="s">
        <v>232</v>
      </c>
      <c r="CA1812" s="2" t="s">
        <v>235</v>
      </c>
      <c r="CB1812" s="2" t="s">
        <v>235</v>
      </c>
      <c r="CC1812" s="2" t="s">
        <v>248</v>
      </c>
      <c r="CD1812" s="2" t="s">
        <v>248</v>
      </c>
      <c r="CE1812" s="2" t="s">
        <v>235</v>
      </c>
      <c r="CF1812" s="4"/>
      <c r="CG1812" s="4"/>
      <c r="CH1812" s="4"/>
      <c r="CI1812" s="4">
        <v>314</v>
      </c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>
        <v>346</v>
      </c>
      <c r="GE1812" s="4">
        <v>338</v>
      </c>
      <c r="GF1812" s="4">
        <v>336</v>
      </c>
      <c r="GG1812" s="4">
        <v>334</v>
      </c>
      <c r="GH1812" s="4">
        <v>329</v>
      </c>
      <c r="GI1812" s="4">
        <v>321</v>
      </c>
      <c r="GJ1812" s="4">
        <v>302</v>
      </c>
      <c r="GK1812" s="4">
        <v>289</v>
      </c>
      <c r="GL1812" s="4">
        <v>273</v>
      </c>
      <c r="GM1812" s="4">
        <v>261</v>
      </c>
      <c r="GN1812" s="4">
        <v>248</v>
      </c>
      <c r="GO1812" s="4">
        <v>232</v>
      </c>
      <c r="GP1812" s="4">
        <v>212</v>
      </c>
      <c r="GQ1812" s="4">
        <v>169</v>
      </c>
      <c r="GR1812" s="4">
        <v>144</v>
      </c>
      <c r="GS1812" s="4">
        <v>110</v>
      </c>
      <c r="GT1812" s="4">
        <v>84</v>
      </c>
      <c r="GU1812" s="4">
        <v>69</v>
      </c>
      <c r="GV1812" s="4">
        <v>60</v>
      </c>
      <c r="GW1812" s="4">
        <v>55</v>
      </c>
      <c r="GX1812" s="4">
        <v>53</v>
      </c>
      <c r="GY1812" s="4">
        <v>51</v>
      </c>
      <c r="GZ1812" s="4">
        <v>49</v>
      </c>
      <c r="HA1812" s="4">
        <v>47</v>
      </c>
      <c r="HB1812" s="4">
        <v>45</v>
      </c>
      <c r="HC1812" s="4">
        <v>43</v>
      </c>
      <c r="HD1812" s="19">
        <v>86.5</v>
      </c>
      <c r="HE1812" s="19">
        <v>84.5</v>
      </c>
      <c r="HF1812" s="19">
        <v>42</v>
      </c>
      <c r="HG1812" s="19">
        <v>30.4</v>
      </c>
      <c r="HH1812" s="19">
        <v>23.5</v>
      </c>
      <c r="HI1812" s="19">
        <v>21.4</v>
      </c>
      <c r="HJ1812" s="19">
        <v>21.6</v>
      </c>
      <c r="HK1812" s="19">
        <v>20.6</v>
      </c>
      <c r="HL1812" s="19">
        <v>18.2</v>
      </c>
      <c r="HM1812" s="19">
        <v>11.3</v>
      </c>
      <c r="HN1812" s="19">
        <v>9.5</v>
      </c>
      <c r="HO1812" s="19">
        <v>7.7</v>
      </c>
      <c r="HP1812" s="19">
        <v>6.6</v>
      </c>
      <c r="HQ1812" s="19">
        <v>6.8</v>
      </c>
      <c r="HR1812" s="19">
        <v>6.9</v>
      </c>
      <c r="HS1812" s="19">
        <v>7.9</v>
      </c>
      <c r="HT1812" s="19">
        <v>10.5</v>
      </c>
      <c r="HU1812" s="19">
        <v>17.3</v>
      </c>
      <c r="HV1812" s="19">
        <v>20</v>
      </c>
      <c r="HW1812" s="19">
        <v>27.5</v>
      </c>
      <c r="HX1812" s="19">
        <v>26.5</v>
      </c>
      <c r="HY1812" s="19">
        <v>25.5</v>
      </c>
      <c r="HZ1812" s="19">
        <v>24.5</v>
      </c>
      <c r="IA1812" s="19">
        <v>23.5</v>
      </c>
      <c r="IB1812" s="19">
        <v>22.5</v>
      </c>
      <c r="IC1812" s="19">
        <v>21.5</v>
      </c>
    </row>
    <row r="1813">
      <c r="A1813" s="2" t="s">
        <v>6671</v>
      </c>
      <c r="B1813" s="2" t="s">
        <v>905</v>
      </c>
      <c r="C1813" s="2" t="s">
        <v>324</v>
      </c>
      <c r="D1813" s="2" t="s">
        <v>361</v>
      </c>
      <c r="E1813" s="2" t="s">
        <v>872</v>
      </c>
      <c r="F1813" s="2" t="s">
        <v>6656</v>
      </c>
      <c r="G1813" s="2" t="s">
        <v>6657</v>
      </c>
      <c r="H1813" s="2" t="s">
        <v>6657</v>
      </c>
      <c r="I1813" s="2" t="s">
        <v>6664</v>
      </c>
      <c r="J1813" s="2" t="s">
        <v>372</v>
      </c>
      <c r="K1813" s="2" t="s">
        <v>295</v>
      </c>
      <c r="L1813" s="3">
        <v>71.42</v>
      </c>
      <c r="M1813" s="3">
        <v>74.99</v>
      </c>
      <c r="N1813" s="3">
        <v>149.99</v>
      </c>
      <c r="O1813" s="2" t="s">
        <v>232</v>
      </c>
      <c r="P1813" s="2" t="s">
        <v>878</v>
      </c>
      <c r="Q1813" s="2" t="s">
        <v>234</v>
      </c>
      <c r="R1813" s="2" t="s">
        <v>235</v>
      </c>
      <c r="S1813" s="2" t="s">
        <v>235</v>
      </c>
      <c r="T1813" s="2" t="s">
        <v>4369</v>
      </c>
      <c r="U1813" s="2" t="s">
        <v>552</v>
      </c>
      <c r="V1813" s="2" t="s">
        <v>238</v>
      </c>
      <c r="W1813" s="2" t="s">
        <v>1082</v>
      </c>
      <c r="X1813" s="2" t="s">
        <v>235</v>
      </c>
      <c r="Y1813" s="2" t="s">
        <v>2915</v>
      </c>
      <c r="Z1813" s="4">
        <v>344</v>
      </c>
      <c r="AA1813" s="4">
        <f>=ROUNDDOWN(68.8,0)</f>
      </c>
      <c r="AB1813" s="5">
        <v>5</v>
      </c>
      <c r="AC1813" s="2" t="s">
        <v>235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235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235</v>
      </c>
      <c r="AW1813" s="8" t="s">
        <v>235</v>
      </c>
      <c r="AX1813" s="4" t="s">
        <v>235</v>
      </c>
      <c r="AY1813" s="8" t="s">
        <v>235</v>
      </c>
      <c r="AZ1813" s="7" t="s">
        <v>235</v>
      </c>
      <c r="BA1813" s="7" t="s">
        <v>235</v>
      </c>
      <c r="BB1813" s="7"/>
      <c r="BC1813" s="4" t="s">
        <v>235</v>
      </c>
      <c r="BD1813" s="8" t="s">
        <v>235</v>
      </c>
      <c r="BE1813" s="4" t="s">
        <v>235</v>
      </c>
      <c r="BF1813" s="8" t="s">
        <v>235</v>
      </c>
      <c r="BG1813" s="7" t="s">
        <v>235</v>
      </c>
      <c r="BH1813" s="7" t="s">
        <v>235</v>
      </c>
      <c r="BI1813" s="7"/>
      <c r="BJ1813" s="4">
        <v>1</v>
      </c>
      <c r="BK1813" s="8">
        <v>78.74</v>
      </c>
      <c r="BL1813" s="2" t="s">
        <v>1461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6666</v>
      </c>
      <c r="BV1813" s="2" t="s">
        <v>235</v>
      </c>
      <c r="BW1813" s="2" t="s">
        <v>235</v>
      </c>
      <c r="BX1813" s="2" t="s">
        <v>244</v>
      </c>
      <c r="BY1813" s="2" t="s">
        <v>245</v>
      </c>
      <c r="BZ1813" s="2" t="s">
        <v>232</v>
      </c>
      <c r="CA1813" s="2" t="s">
        <v>235</v>
      </c>
      <c r="CB1813" s="2" t="s">
        <v>235</v>
      </c>
      <c r="CC1813" s="2" t="s">
        <v>248</v>
      </c>
      <c r="CD1813" s="2" t="s">
        <v>248</v>
      </c>
      <c r="CE1813" s="2" t="s">
        <v>235</v>
      </c>
      <c r="CF1813" s="4"/>
      <c r="CG1813" s="4"/>
      <c r="CH1813" s="4"/>
      <c r="CI1813" s="4">
        <v>344</v>
      </c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>
        <v>344</v>
      </c>
      <c r="GE1813" s="4">
        <v>340</v>
      </c>
      <c r="GF1813" s="4">
        <v>339</v>
      </c>
      <c r="GG1813" s="4">
        <v>338</v>
      </c>
      <c r="GH1813" s="4">
        <v>335</v>
      </c>
      <c r="GI1813" s="4">
        <v>330</v>
      </c>
      <c r="GJ1813" s="4">
        <v>317</v>
      </c>
      <c r="GK1813" s="4">
        <v>307</v>
      </c>
      <c r="GL1813" s="4">
        <v>296</v>
      </c>
      <c r="GM1813" s="4">
        <v>288</v>
      </c>
      <c r="GN1813" s="4">
        <v>278</v>
      </c>
      <c r="GO1813" s="4">
        <v>264</v>
      </c>
      <c r="GP1813" s="4">
        <v>246</v>
      </c>
      <c r="GQ1813" s="4">
        <v>207</v>
      </c>
      <c r="GR1813" s="4">
        <v>184</v>
      </c>
      <c r="GS1813" s="4">
        <v>152</v>
      </c>
      <c r="GT1813" s="4">
        <v>128</v>
      </c>
      <c r="GU1813" s="4">
        <v>115</v>
      </c>
      <c r="GV1813" s="4">
        <v>105</v>
      </c>
      <c r="GW1813" s="4">
        <v>100</v>
      </c>
      <c r="GX1813" s="4">
        <v>99</v>
      </c>
      <c r="GY1813" s="4">
        <v>98</v>
      </c>
      <c r="GZ1813" s="4">
        <v>97</v>
      </c>
      <c r="HA1813" s="4">
        <v>95</v>
      </c>
      <c r="HB1813" s="4">
        <v>93</v>
      </c>
      <c r="HC1813" s="4">
        <v>91</v>
      </c>
      <c r="HD1813" s="19">
        <v>172</v>
      </c>
      <c r="HE1813" s="19">
        <v>170</v>
      </c>
      <c r="HF1813" s="19">
        <v>56.5</v>
      </c>
      <c r="HG1813" s="19">
        <v>42.3</v>
      </c>
      <c r="HH1813" s="19">
        <v>33.5</v>
      </c>
      <c r="HI1813" s="19">
        <v>33</v>
      </c>
      <c r="HJ1813" s="19">
        <v>31.7</v>
      </c>
      <c r="HK1813" s="19">
        <v>27.9</v>
      </c>
      <c r="HL1813" s="19">
        <v>24.7</v>
      </c>
      <c r="HM1813" s="19">
        <v>14.4</v>
      </c>
      <c r="HN1813" s="19">
        <v>11.6</v>
      </c>
      <c r="HO1813" s="19">
        <v>9.4</v>
      </c>
      <c r="HP1813" s="19">
        <v>8.2</v>
      </c>
      <c r="HQ1813" s="19">
        <v>9</v>
      </c>
      <c r="HR1813" s="19">
        <v>9.2</v>
      </c>
      <c r="HS1813" s="19">
        <v>11.7</v>
      </c>
      <c r="HT1813" s="19">
        <v>18.3</v>
      </c>
      <c r="HU1813" s="19">
        <v>28.8</v>
      </c>
      <c r="HV1813" s="19">
        <v>52.5</v>
      </c>
      <c r="HW1813" s="19">
        <v>100</v>
      </c>
      <c r="HX1813" s="19">
        <v>49.5</v>
      </c>
      <c r="HY1813" s="19">
        <v>49</v>
      </c>
      <c r="HZ1813" s="19">
        <v>48.5</v>
      </c>
      <c r="IA1813" s="19">
        <v>47.5</v>
      </c>
      <c r="IB1813" s="19">
        <v>46.5</v>
      </c>
      <c r="IC1813" s="19">
        <v>45.5</v>
      </c>
    </row>
    <row r="1814">
      <c r="A1814" s="2" t="s">
        <v>6672</v>
      </c>
      <c r="B1814" s="2" t="s">
        <v>905</v>
      </c>
      <c r="C1814" s="2" t="s">
        <v>324</v>
      </c>
      <c r="D1814" s="2" t="s">
        <v>361</v>
      </c>
      <c r="E1814" s="2" t="s">
        <v>872</v>
      </c>
      <c r="F1814" s="2" t="s">
        <v>6656</v>
      </c>
      <c r="G1814" s="2" t="s">
        <v>6657</v>
      </c>
      <c r="H1814" s="2" t="s">
        <v>6657</v>
      </c>
      <c r="I1814" s="2" t="s">
        <v>6658</v>
      </c>
      <c r="J1814" s="2" t="s">
        <v>394</v>
      </c>
      <c r="K1814" s="2" t="s">
        <v>6673</v>
      </c>
      <c r="L1814" s="3">
        <v>47.61</v>
      </c>
      <c r="M1814" s="3">
        <v>49.99</v>
      </c>
      <c r="N1814" s="3">
        <v>99.99</v>
      </c>
      <c r="O1814" s="2" t="s">
        <v>232</v>
      </c>
      <c r="P1814" s="2" t="s">
        <v>878</v>
      </c>
      <c r="Q1814" s="2" t="s">
        <v>234</v>
      </c>
      <c r="R1814" s="2" t="s">
        <v>235</v>
      </c>
      <c r="S1814" s="2" t="s">
        <v>235</v>
      </c>
      <c r="T1814" s="2" t="s">
        <v>4369</v>
      </c>
      <c r="U1814" s="2" t="s">
        <v>278</v>
      </c>
      <c r="V1814" s="2" t="s">
        <v>238</v>
      </c>
      <c r="W1814" s="2" t="s">
        <v>1082</v>
      </c>
      <c r="X1814" s="2" t="s">
        <v>235</v>
      </c>
      <c r="Y1814" s="2" t="s">
        <v>6665</v>
      </c>
      <c r="Z1814" s="4">
        <v>100</v>
      </c>
      <c r="AA1814" s="4">
        <f>=ROUNDDOWN(50,0)</f>
      </c>
      <c r="AB1814" s="5">
        <v>2</v>
      </c>
      <c r="AC1814" s="2" t="s">
        <v>235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235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235</v>
      </c>
      <c r="AW1814" s="8" t="s">
        <v>235</v>
      </c>
      <c r="AX1814" s="4" t="s">
        <v>235</v>
      </c>
      <c r="AY1814" s="8" t="s">
        <v>235</v>
      </c>
      <c r="AZ1814" s="7" t="s">
        <v>235</v>
      </c>
      <c r="BA1814" s="7" t="s">
        <v>235</v>
      </c>
      <c r="BB1814" s="7"/>
      <c r="BC1814" s="4" t="s">
        <v>235</v>
      </c>
      <c r="BD1814" s="8" t="s">
        <v>235</v>
      </c>
      <c r="BE1814" s="4" t="s">
        <v>235</v>
      </c>
      <c r="BF1814" s="8" t="s">
        <v>235</v>
      </c>
      <c r="BG1814" s="7" t="s">
        <v>235</v>
      </c>
      <c r="BH1814" s="7" t="s">
        <v>235</v>
      </c>
      <c r="BI1814" s="7"/>
      <c r="BJ1814" s="4"/>
      <c r="BK1814" s="8"/>
      <c r="BL1814" s="2" t="s">
        <v>235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6660</v>
      </c>
      <c r="BV1814" s="2" t="s">
        <v>235</v>
      </c>
      <c r="BW1814" s="2" t="s">
        <v>235</v>
      </c>
      <c r="BX1814" s="2" t="s">
        <v>244</v>
      </c>
      <c r="BY1814" s="2" t="s">
        <v>245</v>
      </c>
      <c r="BZ1814" s="2" t="s">
        <v>232</v>
      </c>
      <c r="CA1814" s="2" t="s">
        <v>235</v>
      </c>
      <c r="CB1814" s="2" t="s">
        <v>235</v>
      </c>
      <c r="CC1814" s="2" t="s">
        <v>248</v>
      </c>
      <c r="CD1814" s="2" t="s">
        <v>248</v>
      </c>
      <c r="CE1814" s="2" t="s">
        <v>235</v>
      </c>
      <c r="CF1814" s="4"/>
      <c r="CG1814" s="4"/>
      <c r="CH1814" s="4"/>
      <c r="CI1814" s="4">
        <v>100</v>
      </c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>
        <v>100</v>
      </c>
      <c r="GE1814" s="4">
        <v>96</v>
      </c>
      <c r="GF1814" s="4">
        <v>95</v>
      </c>
      <c r="GG1814" s="4">
        <v>94</v>
      </c>
      <c r="GH1814" s="4">
        <v>92</v>
      </c>
      <c r="GI1814" s="4">
        <v>88</v>
      </c>
      <c r="GJ1814" s="4">
        <v>80</v>
      </c>
      <c r="GK1814" s="4">
        <v>76</v>
      </c>
      <c r="GL1814" s="4">
        <v>71</v>
      </c>
      <c r="GM1814" s="4">
        <v>68</v>
      </c>
      <c r="GN1814" s="4">
        <v>65</v>
      </c>
      <c r="GO1814" s="4">
        <v>59</v>
      </c>
      <c r="GP1814" s="4">
        <v>53</v>
      </c>
      <c r="GQ1814" s="4">
        <v>41</v>
      </c>
      <c r="GR1814" s="4">
        <v>37</v>
      </c>
      <c r="GS1814" s="4">
        <v>31</v>
      </c>
      <c r="GT1814" s="4">
        <v>27</v>
      </c>
      <c r="GU1814" s="4">
        <v>25</v>
      </c>
      <c r="GV1814" s="4">
        <v>20</v>
      </c>
      <c r="GW1814" s="4">
        <v>18</v>
      </c>
      <c r="GX1814" s="4">
        <v>18</v>
      </c>
      <c r="GY1814" s="4">
        <v>17</v>
      </c>
      <c r="GZ1814" s="4">
        <v>17</v>
      </c>
      <c r="HA1814" s="4">
        <v>17</v>
      </c>
      <c r="HB1814" s="4">
        <v>17</v>
      </c>
      <c r="HC1814" s="4">
        <v>17</v>
      </c>
      <c r="HD1814" s="19">
        <v>50</v>
      </c>
      <c r="HE1814" s="19">
        <v>48</v>
      </c>
      <c r="HF1814" s="19">
        <v>23.8</v>
      </c>
      <c r="HG1814" s="19">
        <v>23.5</v>
      </c>
      <c r="HH1814" s="19">
        <v>18.4</v>
      </c>
      <c r="HI1814" s="19">
        <v>17.6</v>
      </c>
      <c r="HJ1814" s="19">
        <v>20</v>
      </c>
      <c r="HK1814" s="19">
        <v>19</v>
      </c>
      <c r="HL1814" s="19">
        <v>17.8</v>
      </c>
      <c r="HM1814" s="19">
        <v>9.7</v>
      </c>
      <c r="HN1814" s="19">
        <v>9.3</v>
      </c>
      <c r="HO1814" s="19">
        <v>8.4</v>
      </c>
      <c r="HP1814" s="19">
        <v>8.8</v>
      </c>
      <c r="HQ1814" s="19">
        <v>10.3</v>
      </c>
      <c r="HR1814" s="19">
        <v>9.3</v>
      </c>
      <c r="HS1814" s="19">
        <v>10.3</v>
      </c>
      <c r="HT1814" s="19">
        <v>13.5</v>
      </c>
      <c r="HU1814" s="19">
        <v>12.5</v>
      </c>
      <c r="HV1814" s="19">
        <v>20</v>
      </c>
      <c r="HW1814" s="9"/>
      <c r="HX1814" s="20">
        <v>0</v>
      </c>
      <c r="HY1814" s="9"/>
      <c r="HZ1814" s="9"/>
      <c r="IA1814" s="9"/>
      <c r="IB1814" s="9"/>
      <c r="IC1814" s="9"/>
    </row>
    <row r="1815">
      <c r="A1815" s="2" t="s">
        <v>6674</v>
      </c>
      <c r="B1815" s="2" t="s">
        <v>905</v>
      </c>
      <c r="C1815" s="2" t="s">
        <v>324</v>
      </c>
      <c r="D1815" s="2" t="s">
        <v>361</v>
      </c>
      <c r="E1815" s="2" t="s">
        <v>872</v>
      </c>
      <c r="F1815" s="2" t="s">
        <v>6656</v>
      </c>
      <c r="G1815" s="2" t="s">
        <v>6657</v>
      </c>
      <c r="H1815" s="2" t="s">
        <v>6657</v>
      </c>
      <c r="I1815" s="2" t="s">
        <v>6658</v>
      </c>
      <c r="J1815" s="2" t="s">
        <v>365</v>
      </c>
      <c r="K1815" s="2" t="s">
        <v>6673</v>
      </c>
      <c r="L1815" s="3">
        <v>61.9</v>
      </c>
      <c r="M1815" s="3">
        <v>65</v>
      </c>
      <c r="N1815" s="3">
        <v>129.99</v>
      </c>
      <c r="O1815" s="2" t="s">
        <v>232</v>
      </c>
      <c r="P1815" s="2" t="s">
        <v>878</v>
      </c>
      <c r="Q1815" s="2" t="s">
        <v>234</v>
      </c>
      <c r="R1815" s="2" t="s">
        <v>235</v>
      </c>
      <c r="S1815" s="2" t="s">
        <v>235</v>
      </c>
      <c r="T1815" s="2" t="s">
        <v>4369</v>
      </c>
      <c r="U1815" s="2" t="s">
        <v>552</v>
      </c>
      <c r="V1815" s="2" t="s">
        <v>238</v>
      </c>
      <c r="W1815" s="2" t="s">
        <v>1082</v>
      </c>
      <c r="X1815" s="2" t="s">
        <v>235</v>
      </c>
      <c r="Y1815" s="2" t="s">
        <v>6665</v>
      </c>
      <c r="Z1815" s="4">
        <v>348</v>
      </c>
      <c r="AA1815" s="4">
        <f>=ROUNDDOWN(69.6,0)</f>
      </c>
      <c r="AB1815" s="5">
        <v>5</v>
      </c>
      <c r="AC1815" s="2" t="s">
        <v>235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235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235</v>
      </c>
      <c r="AW1815" s="8" t="s">
        <v>235</v>
      </c>
      <c r="AX1815" s="4" t="s">
        <v>235</v>
      </c>
      <c r="AY1815" s="8" t="s">
        <v>235</v>
      </c>
      <c r="AZ1815" s="7" t="s">
        <v>235</v>
      </c>
      <c r="BA1815" s="7" t="s">
        <v>235</v>
      </c>
      <c r="BB1815" s="7"/>
      <c r="BC1815" s="4" t="s">
        <v>235</v>
      </c>
      <c r="BD1815" s="8" t="s">
        <v>235</v>
      </c>
      <c r="BE1815" s="4" t="s">
        <v>235</v>
      </c>
      <c r="BF1815" s="8" t="s">
        <v>235</v>
      </c>
      <c r="BG1815" s="7" t="s">
        <v>235</v>
      </c>
      <c r="BH1815" s="7" t="s">
        <v>235</v>
      </c>
      <c r="BI1815" s="7"/>
      <c r="BJ1815" s="4">
        <v>1</v>
      </c>
      <c r="BK1815" s="8">
        <v>68.24</v>
      </c>
      <c r="BL1815" s="2" t="s">
        <v>3820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6660</v>
      </c>
      <c r="BV1815" s="2" t="s">
        <v>235</v>
      </c>
      <c r="BW1815" s="2" t="s">
        <v>235</v>
      </c>
      <c r="BX1815" s="2" t="s">
        <v>244</v>
      </c>
      <c r="BY1815" s="2" t="s">
        <v>245</v>
      </c>
      <c r="BZ1815" s="2" t="s">
        <v>232</v>
      </c>
      <c r="CA1815" s="2" t="s">
        <v>235</v>
      </c>
      <c r="CB1815" s="2" t="s">
        <v>235</v>
      </c>
      <c r="CC1815" s="2" t="s">
        <v>248</v>
      </c>
      <c r="CD1815" s="2" t="s">
        <v>248</v>
      </c>
      <c r="CE1815" s="2" t="s">
        <v>235</v>
      </c>
      <c r="CF1815" s="4"/>
      <c r="CG1815" s="4"/>
      <c r="CH1815" s="4"/>
      <c r="CI1815" s="4">
        <v>348</v>
      </c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>
        <v>349</v>
      </c>
      <c r="GE1815" s="4">
        <v>340</v>
      </c>
      <c r="GF1815" s="4">
        <v>338</v>
      </c>
      <c r="GG1815" s="4">
        <v>336</v>
      </c>
      <c r="GH1815" s="4">
        <v>331</v>
      </c>
      <c r="GI1815" s="4">
        <v>323</v>
      </c>
      <c r="GJ1815" s="4">
        <v>304</v>
      </c>
      <c r="GK1815" s="4">
        <v>291</v>
      </c>
      <c r="GL1815" s="4">
        <v>275</v>
      </c>
      <c r="GM1815" s="4">
        <v>263</v>
      </c>
      <c r="GN1815" s="4">
        <v>250</v>
      </c>
      <c r="GO1815" s="4">
        <v>234</v>
      </c>
      <c r="GP1815" s="4">
        <v>214</v>
      </c>
      <c r="GQ1815" s="4">
        <v>171</v>
      </c>
      <c r="GR1815" s="4">
        <v>146</v>
      </c>
      <c r="GS1815" s="4">
        <v>112</v>
      </c>
      <c r="GT1815" s="4">
        <v>86</v>
      </c>
      <c r="GU1815" s="4">
        <v>71</v>
      </c>
      <c r="GV1815" s="4">
        <v>62</v>
      </c>
      <c r="GW1815" s="4">
        <v>57</v>
      </c>
      <c r="GX1815" s="4">
        <v>55</v>
      </c>
      <c r="GY1815" s="4">
        <v>53</v>
      </c>
      <c r="GZ1815" s="4">
        <v>51</v>
      </c>
      <c r="HA1815" s="4">
        <v>49</v>
      </c>
      <c r="HB1815" s="4">
        <v>47</v>
      </c>
      <c r="HC1815" s="4">
        <v>45</v>
      </c>
      <c r="HD1815" s="19">
        <v>87.3</v>
      </c>
      <c r="HE1815" s="19">
        <v>85</v>
      </c>
      <c r="HF1815" s="19">
        <v>42.3</v>
      </c>
      <c r="HG1815" s="19">
        <v>30.5</v>
      </c>
      <c r="HH1815" s="19">
        <v>23.6</v>
      </c>
      <c r="HI1815" s="19">
        <v>21.5</v>
      </c>
      <c r="HJ1815" s="19">
        <v>21.7</v>
      </c>
      <c r="HK1815" s="19">
        <v>20.8</v>
      </c>
      <c r="HL1815" s="19">
        <v>18.3</v>
      </c>
      <c r="HM1815" s="19">
        <v>11.4</v>
      </c>
      <c r="HN1815" s="19">
        <v>9.6</v>
      </c>
      <c r="HO1815" s="19">
        <v>7.8</v>
      </c>
      <c r="HP1815" s="19">
        <v>6.7</v>
      </c>
      <c r="HQ1815" s="19">
        <v>6.8</v>
      </c>
      <c r="HR1815" s="19">
        <v>7</v>
      </c>
      <c r="HS1815" s="19">
        <v>8</v>
      </c>
      <c r="HT1815" s="19">
        <v>10.8</v>
      </c>
      <c r="HU1815" s="19">
        <v>17.8</v>
      </c>
      <c r="HV1815" s="19">
        <v>20.7</v>
      </c>
      <c r="HW1815" s="19">
        <v>28.5</v>
      </c>
      <c r="HX1815" s="19">
        <v>27.5</v>
      </c>
      <c r="HY1815" s="19">
        <v>26.5</v>
      </c>
      <c r="HZ1815" s="19">
        <v>25.5</v>
      </c>
      <c r="IA1815" s="19">
        <v>24.5</v>
      </c>
      <c r="IB1815" s="19">
        <v>23.5</v>
      </c>
      <c r="IC1815" s="19">
        <v>22.5</v>
      </c>
    </row>
    <row r="1816">
      <c r="A1816" s="2" t="s">
        <v>6675</v>
      </c>
      <c r="B1816" s="2" t="s">
        <v>905</v>
      </c>
      <c r="C1816" s="2" t="s">
        <v>324</v>
      </c>
      <c r="D1816" s="2" t="s">
        <v>361</v>
      </c>
      <c r="E1816" s="2" t="s">
        <v>872</v>
      </c>
      <c r="F1816" s="2" t="s">
        <v>6656</v>
      </c>
      <c r="G1816" s="2" t="s">
        <v>6657</v>
      </c>
      <c r="H1816" s="2" t="s">
        <v>6657</v>
      </c>
      <c r="I1816" s="2" t="s">
        <v>6658</v>
      </c>
      <c r="J1816" s="2" t="s">
        <v>372</v>
      </c>
      <c r="K1816" s="2" t="s">
        <v>6673</v>
      </c>
      <c r="L1816" s="3">
        <v>71.42</v>
      </c>
      <c r="M1816" s="3">
        <v>74.99</v>
      </c>
      <c r="N1816" s="3">
        <v>149.99</v>
      </c>
      <c r="O1816" s="2" t="s">
        <v>232</v>
      </c>
      <c r="P1816" s="2" t="s">
        <v>878</v>
      </c>
      <c r="Q1816" s="2" t="s">
        <v>234</v>
      </c>
      <c r="R1816" s="2" t="s">
        <v>235</v>
      </c>
      <c r="S1816" s="2" t="s">
        <v>235</v>
      </c>
      <c r="T1816" s="2" t="s">
        <v>4369</v>
      </c>
      <c r="U1816" s="2" t="s">
        <v>552</v>
      </c>
      <c r="V1816" s="2" t="s">
        <v>238</v>
      </c>
      <c r="W1816" s="2" t="s">
        <v>1082</v>
      </c>
      <c r="X1816" s="2" t="s">
        <v>235</v>
      </c>
      <c r="Y1816" s="2" t="s">
        <v>6665</v>
      </c>
      <c r="Z1816" s="4">
        <v>348</v>
      </c>
      <c r="AA1816" s="4">
        <f>=ROUNDDOWN(69.6,0)</f>
      </c>
      <c r="AB1816" s="5">
        <v>5</v>
      </c>
      <c r="AC1816" s="2" t="s">
        <v>235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235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235</v>
      </c>
      <c r="AW1816" s="8" t="s">
        <v>235</v>
      </c>
      <c r="AX1816" s="4" t="s">
        <v>235</v>
      </c>
      <c r="AY1816" s="8" t="s">
        <v>235</v>
      </c>
      <c r="AZ1816" s="7" t="s">
        <v>235</v>
      </c>
      <c r="BA1816" s="7" t="s">
        <v>235</v>
      </c>
      <c r="BB1816" s="7"/>
      <c r="BC1816" s="4" t="s">
        <v>235</v>
      </c>
      <c r="BD1816" s="8" t="s">
        <v>235</v>
      </c>
      <c r="BE1816" s="4" t="s">
        <v>235</v>
      </c>
      <c r="BF1816" s="8" t="s">
        <v>235</v>
      </c>
      <c r="BG1816" s="7" t="s">
        <v>235</v>
      </c>
      <c r="BH1816" s="7" t="s">
        <v>235</v>
      </c>
      <c r="BI1816" s="7"/>
      <c r="BJ1816" s="4"/>
      <c r="BK1816" s="8"/>
      <c r="BL1816" s="2" t="s">
        <v>235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6660</v>
      </c>
      <c r="BV1816" s="2" t="s">
        <v>235</v>
      </c>
      <c r="BW1816" s="2" t="s">
        <v>235</v>
      </c>
      <c r="BX1816" s="2" t="s">
        <v>244</v>
      </c>
      <c r="BY1816" s="2" t="s">
        <v>245</v>
      </c>
      <c r="BZ1816" s="2" t="s">
        <v>232</v>
      </c>
      <c r="CA1816" s="2" t="s">
        <v>235</v>
      </c>
      <c r="CB1816" s="2" t="s">
        <v>235</v>
      </c>
      <c r="CC1816" s="2" t="s">
        <v>248</v>
      </c>
      <c r="CD1816" s="2" t="s">
        <v>248</v>
      </c>
      <c r="CE1816" s="2" t="s">
        <v>235</v>
      </c>
      <c r="CF1816" s="4"/>
      <c r="CG1816" s="4"/>
      <c r="CH1816" s="4"/>
      <c r="CI1816" s="4">
        <v>348</v>
      </c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>
        <v>350</v>
      </c>
      <c r="GE1816" s="4">
        <v>346</v>
      </c>
      <c r="GF1816" s="4">
        <v>345</v>
      </c>
      <c r="GG1816" s="4">
        <v>344</v>
      </c>
      <c r="GH1816" s="4">
        <v>341</v>
      </c>
      <c r="GI1816" s="4">
        <v>336</v>
      </c>
      <c r="GJ1816" s="4">
        <v>323</v>
      </c>
      <c r="GK1816" s="4">
        <v>313</v>
      </c>
      <c r="GL1816" s="4">
        <v>302</v>
      </c>
      <c r="GM1816" s="4">
        <v>294</v>
      </c>
      <c r="GN1816" s="4">
        <v>284</v>
      </c>
      <c r="GO1816" s="4">
        <v>270</v>
      </c>
      <c r="GP1816" s="4">
        <v>252</v>
      </c>
      <c r="GQ1816" s="4">
        <v>213</v>
      </c>
      <c r="GR1816" s="4">
        <v>190</v>
      </c>
      <c r="GS1816" s="4">
        <v>158</v>
      </c>
      <c r="GT1816" s="4">
        <v>134</v>
      </c>
      <c r="GU1816" s="4">
        <v>121</v>
      </c>
      <c r="GV1816" s="4">
        <v>111</v>
      </c>
      <c r="GW1816" s="4">
        <v>106</v>
      </c>
      <c r="GX1816" s="4">
        <v>105</v>
      </c>
      <c r="GY1816" s="4">
        <v>104</v>
      </c>
      <c r="GZ1816" s="4">
        <v>103</v>
      </c>
      <c r="HA1816" s="4">
        <v>101</v>
      </c>
      <c r="HB1816" s="4">
        <v>99</v>
      </c>
      <c r="HC1816" s="4">
        <v>97</v>
      </c>
      <c r="HD1816" s="19">
        <v>175</v>
      </c>
      <c r="HE1816" s="19">
        <v>173</v>
      </c>
      <c r="HF1816" s="19">
        <v>57.5</v>
      </c>
      <c r="HG1816" s="19">
        <v>43</v>
      </c>
      <c r="HH1816" s="19">
        <v>34.1</v>
      </c>
      <c r="HI1816" s="19">
        <v>33.6</v>
      </c>
      <c r="HJ1816" s="19">
        <v>32.3</v>
      </c>
      <c r="HK1816" s="19">
        <v>28.5</v>
      </c>
      <c r="HL1816" s="19">
        <v>25.2</v>
      </c>
      <c r="HM1816" s="19">
        <v>14.7</v>
      </c>
      <c r="HN1816" s="19">
        <v>11.8</v>
      </c>
      <c r="HO1816" s="19">
        <v>9.6</v>
      </c>
      <c r="HP1816" s="19">
        <v>8.4</v>
      </c>
      <c r="HQ1816" s="19">
        <v>9.3</v>
      </c>
      <c r="HR1816" s="19">
        <v>9.5</v>
      </c>
      <c r="HS1816" s="19">
        <v>12.2</v>
      </c>
      <c r="HT1816" s="19">
        <v>19.1</v>
      </c>
      <c r="HU1816" s="19">
        <v>30.3</v>
      </c>
      <c r="HV1816" s="19">
        <v>55.5</v>
      </c>
      <c r="HW1816" s="19">
        <v>106</v>
      </c>
      <c r="HX1816" s="19">
        <v>52.5</v>
      </c>
      <c r="HY1816" s="19">
        <v>52</v>
      </c>
      <c r="HZ1816" s="19">
        <v>51.5</v>
      </c>
      <c r="IA1816" s="19">
        <v>50.5</v>
      </c>
      <c r="IB1816" s="19">
        <v>49.5</v>
      </c>
      <c r="IC1816" s="19">
        <v>48.5</v>
      </c>
    </row>
    <row r="1817">
      <c r="A1817" s="2" t="s">
        <v>6676</v>
      </c>
      <c r="B1817" s="2" t="s">
        <v>871</v>
      </c>
      <c r="C1817" s="2" t="s">
        <v>324</v>
      </c>
      <c r="D1817" s="2" t="s">
        <v>361</v>
      </c>
      <c r="E1817" s="2" t="s">
        <v>872</v>
      </c>
      <c r="F1817" s="2" t="s">
        <v>6677</v>
      </c>
      <c r="G1817" s="2" t="s">
        <v>1887</v>
      </c>
      <c r="H1817" s="2" t="s">
        <v>6678</v>
      </c>
      <c r="I1817" s="2" t="s">
        <v>1861</v>
      </c>
      <c r="J1817" s="2" t="s">
        <v>261</v>
      </c>
      <c r="K1817" s="2" t="s">
        <v>612</v>
      </c>
      <c r="L1817" s="3">
        <v>48.38</v>
      </c>
      <c r="M1817" s="3">
        <v>50.8</v>
      </c>
      <c r="N1817" s="3">
        <v>109.99</v>
      </c>
      <c r="O1817" s="2" t="s">
        <v>232</v>
      </c>
      <c r="P1817" s="2" t="s">
        <v>878</v>
      </c>
      <c r="Q1817" s="2" t="s">
        <v>234</v>
      </c>
      <c r="R1817" s="2" t="s">
        <v>235</v>
      </c>
      <c r="S1817" s="2" t="s">
        <v>235</v>
      </c>
      <c r="T1817" s="2" t="s">
        <v>879</v>
      </c>
      <c r="U1817" s="2" t="s">
        <v>742</v>
      </c>
      <c r="V1817" s="2" t="s">
        <v>420</v>
      </c>
      <c r="W1817" s="2" t="s">
        <v>329</v>
      </c>
      <c r="X1817" s="2" t="s">
        <v>682</v>
      </c>
      <c r="Y1817" s="2" t="s">
        <v>6679</v>
      </c>
      <c r="Z1817" s="4">
        <v>396</v>
      </c>
      <c r="AA1817" s="4">
        <f>=ROUNDDOWN(30.4615384615385,0)</f>
      </c>
      <c r="AB1817" s="5">
        <v>13</v>
      </c>
      <c r="AC1817" s="2" t="s">
        <v>235</v>
      </c>
      <c r="AD1817" s="4"/>
      <c r="AE1817" s="4"/>
      <c r="AF1817" s="6">
        <v>64</v>
      </c>
      <c r="AG1817" s="6"/>
      <c r="AH1817" s="7">
        <v>1</v>
      </c>
      <c r="AI1817" s="4"/>
      <c r="AJ1817" s="4">
        <f>=ROUNDDOWN({0},0)</f>
      </c>
      <c r="AK1817" s="5"/>
      <c r="AL1817" s="2" t="s">
        <v>235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235</v>
      </c>
      <c r="AW1817" s="8" t="s">
        <v>235</v>
      </c>
      <c r="AX1817" s="4" t="s">
        <v>235</v>
      </c>
      <c r="AY1817" s="8" t="s">
        <v>235</v>
      </c>
      <c r="AZ1817" s="7" t="s">
        <v>235</v>
      </c>
      <c r="BA1817" s="7" t="s">
        <v>235</v>
      </c>
      <c r="BB1817" s="7"/>
      <c r="BC1817" s="4" t="s">
        <v>235</v>
      </c>
      <c r="BD1817" s="8" t="s">
        <v>235</v>
      </c>
      <c r="BE1817" s="4" t="s">
        <v>235</v>
      </c>
      <c r="BF1817" s="8" t="s">
        <v>235</v>
      </c>
      <c r="BG1817" s="7" t="s">
        <v>235</v>
      </c>
      <c r="BH1817" s="7" t="s">
        <v>235</v>
      </c>
      <c r="BI1817" s="7"/>
      <c r="BJ1817" s="4">
        <v>37</v>
      </c>
      <c r="BK1817" s="8">
        <v>2091.56</v>
      </c>
      <c r="BL1817" s="2" t="s">
        <v>6680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6681</v>
      </c>
      <c r="BV1817" s="2" t="s">
        <v>235</v>
      </c>
      <c r="BW1817" s="2" t="s">
        <v>235</v>
      </c>
      <c r="BX1817" s="2" t="s">
        <v>244</v>
      </c>
      <c r="BY1817" s="2" t="s">
        <v>245</v>
      </c>
      <c r="BZ1817" s="2" t="s">
        <v>232</v>
      </c>
      <c r="CA1817" s="2" t="s">
        <v>235</v>
      </c>
      <c r="CB1817" s="2" t="s">
        <v>235</v>
      </c>
      <c r="CC1817" s="2" t="s">
        <v>248</v>
      </c>
      <c r="CD1817" s="2" t="s">
        <v>248</v>
      </c>
      <c r="CE1817" s="2" t="s">
        <v>235</v>
      </c>
      <c r="CF1817" s="4">
        <v>396</v>
      </c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>
        <v>400</v>
      </c>
      <c r="GE1817" s="4">
        <v>382</v>
      </c>
      <c r="GF1817" s="4">
        <v>369</v>
      </c>
      <c r="GG1817" s="4">
        <v>356</v>
      </c>
      <c r="GH1817" s="4">
        <v>343</v>
      </c>
      <c r="GI1817" s="4">
        <v>330</v>
      </c>
      <c r="GJ1817" s="4">
        <v>316</v>
      </c>
      <c r="GK1817" s="4">
        <v>302</v>
      </c>
      <c r="GL1817" s="4">
        <v>288</v>
      </c>
      <c r="GM1817" s="4">
        <v>274</v>
      </c>
      <c r="GN1817" s="4">
        <v>257</v>
      </c>
      <c r="GO1817" s="4">
        <v>235</v>
      </c>
      <c r="GP1817" s="4">
        <v>212</v>
      </c>
      <c r="GQ1817" s="4">
        <v>165</v>
      </c>
      <c r="GR1817" s="4">
        <v>140</v>
      </c>
      <c r="GS1817" s="4">
        <v>118</v>
      </c>
      <c r="GT1817" s="4">
        <v>106</v>
      </c>
      <c r="GU1817" s="4">
        <v>97</v>
      </c>
      <c r="GV1817" s="4">
        <v>392</v>
      </c>
      <c r="GW1817" s="4">
        <v>379</v>
      </c>
      <c r="GX1817" s="4">
        <v>366</v>
      </c>
      <c r="GY1817" s="4">
        <v>353</v>
      </c>
      <c r="GZ1817" s="4">
        <v>340</v>
      </c>
      <c r="HA1817" s="4">
        <v>327</v>
      </c>
      <c r="HB1817" s="4">
        <v>314</v>
      </c>
      <c r="HC1817" s="4">
        <v>300</v>
      </c>
      <c r="HD1817" s="19">
        <v>28.6</v>
      </c>
      <c r="HE1817" s="19">
        <v>29.4</v>
      </c>
      <c r="HF1817" s="19">
        <v>28.4</v>
      </c>
      <c r="HG1817" s="19">
        <v>25.4</v>
      </c>
      <c r="HH1817" s="19">
        <v>24.5</v>
      </c>
      <c r="HI1817" s="19">
        <v>23.6</v>
      </c>
      <c r="HJ1817" s="19">
        <v>21.1</v>
      </c>
      <c r="HK1817" s="19">
        <v>17.8</v>
      </c>
      <c r="HL1817" s="19">
        <v>15.2</v>
      </c>
      <c r="HM1817" s="19">
        <v>10.1</v>
      </c>
      <c r="HN1817" s="19">
        <v>8.9</v>
      </c>
      <c r="HO1817" s="19">
        <v>8.1</v>
      </c>
      <c r="HP1817" s="19">
        <v>8.2</v>
      </c>
      <c r="HQ1817" s="19">
        <v>9.7</v>
      </c>
      <c r="HR1817" s="19">
        <v>10</v>
      </c>
      <c r="HS1817" s="19">
        <v>9.8</v>
      </c>
      <c r="HT1817" s="19">
        <v>8.8</v>
      </c>
      <c r="HU1817" s="19">
        <v>7.5</v>
      </c>
      <c r="HV1817" s="19">
        <v>30.2</v>
      </c>
      <c r="HW1817" s="19">
        <v>29.2</v>
      </c>
      <c r="HX1817" s="19">
        <v>28.2</v>
      </c>
      <c r="HY1817" s="19">
        <v>27.2</v>
      </c>
      <c r="HZ1817" s="19">
        <v>26.2</v>
      </c>
      <c r="IA1817" s="19">
        <v>25.2</v>
      </c>
      <c r="IB1817" s="19">
        <v>24.2</v>
      </c>
      <c r="IC1817" s="19">
        <v>23.1</v>
      </c>
    </row>
    <row r="1818">
      <c r="A1818" s="2" t="s">
        <v>6682</v>
      </c>
      <c r="B1818" s="2" t="s">
        <v>871</v>
      </c>
      <c r="C1818" s="2" t="s">
        <v>324</v>
      </c>
      <c r="D1818" s="2" t="s">
        <v>361</v>
      </c>
      <c r="E1818" s="2" t="s">
        <v>872</v>
      </c>
      <c r="F1818" s="2" t="s">
        <v>6677</v>
      </c>
      <c r="G1818" s="2" t="s">
        <v>1887</v>
      </c>
      <c r="H1818" s="2" t="s">
        <v>6678</v>
      </c>
      <c r="I1818" s="2" t="s">
        <v>1861</v>
      </c>
      <c r="J1818" s="2" t="s">
        <v>270</v>
      </c>
      <c r="K1818" s="2" t="s">
        <v>612</v>
      </c>
      <c r="L1818" s="3">
        <v>53.63</v>
      </c>
      <c r="M1818" s="3">
        <v>56.31</v>
      </c>
      <c r="N1818" s="3">
        <v>119.99</v>
      </c>
      <c r="O1818" s="2" t="s">
        <v>232</v>
      </c>
      <c r="P1818" s="2" t="s">
        <v>878</v>
      </c>
      <c r="Q1818" s="2" t="s">
        <v>234</v>
      </c>
      <c r="R1818" s="2" t="s">
        <v>235</v>
      </c>
      <c r="S1818" s="2" t="s">
        <v>235</v>
      </c>
      <c r="T1818" s="2" t="s">
        <v>879</v>
      </c>
      <c r="U1818" s="2" t="s">
        <v>742</v>
      </c>
      <c r="V1818" s="2" t="s">
        <v>420</v>
      </c>
      <c r="W1818" s="2" t="s">
        <v>329</v>
      </c>
      <c r="X1818" s="2" t="s">
        <v>682</v>
      </c>
      <c r="Y1818" s="2" t="s">
        <v>6683</v>
      </c>
      <c r="Z1818" s="4">
        <v>272</v>
      </c>
      <c r="AA1818" s="4">
        <f>=ROUNDDOWN(27.2,0)</f>
      </c>
      <c r="AB1818" s="5">
        <v>10</v>
      </c>
      <c r="AC1818" s="2" t="s">
        <v>235</v>
      </c>
      <c r="AD1818" s="4"/>
      <c r="AE1818" s="4"/>
      <c r="AF1818" s="6">
        <v>64</v>
      </c>
      <c r="AG1818" s="6"/>
      <c r="AH1818" s="7">
        <v>1</v>
      </c>
      <c r="AI1818" s="4"/>
      <c r="AJ1818" s="4">
        <f>=ROUNDDOWN({0},0)</f>
      </c>
      <c r="AK1818" s="5"/>
      <c r="AL1818" s="2" t="s">
        <v>235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235</v>
      </c>
      <c r="AW1818" s="8" t="s">
        <v>235</v>
      </c>
      <c r="AX1818" s="4" t="s">
        <v>235</v>
      </c>
      <c r="AY1818" s="8" t="s">
        <v>235</v>
      </c>
      <c r="AZ1818" s="7" t="s">
        <v>235</v>
      </c>
      <c r="BA1818" s="7" t="s">
        <v>235</v>
      </c>
      <c r="BB1818" s="7"/>
      <c r="BC1818" s="4" t="s">
        <v>235</v>
      </c>
      <c r="BD1818" s="8" t="s">
        <v>235</v>
      </c>
      <c r="BE1818" s="4" t="s">
        <v>235</v>
      </c>
      <c r="BF1818" s="8" t="s">
        <v>235</v>
      </c>
      <c r="BG1818" s="7" t="s">
        <v>235</v>
      </c>
      <c r="BH1818" s="7" t="s">
        <v>235</v>
      </c>
      <c r="BI1818" s="7"/>
      <c r="BJ1818" s="4">
        <v>26</v>
      </c>
      <c r="BK1818" s="8">
        <v>1621.42</v>
      </c>
      <c r="BL1818" s="2" t="s">
        <v>4328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6681</v>
      </c>
      <c r="BV1818" s="2" t="s">
        <v>235</v>
      </c>
      <c r="BW1818" s="2" t="s">
        <v>235</v>
      </c>
      <c r="BX1818" s="2" t="s">
        <v>244</v>
      </c>
      <c r="BY1818" s="2" t="s">
        <v>245</v>
      </c>
      <c r="BZ1818" s="2" t="s">
        <v>232</v>
      </c>
      <c r="CA1818" s="2" t="s">
        <v>235</v>
      </c>
      <c r="CB1818" s="2" t="s">
        <v>4668</v>
      </c>
      <c r="CC1818" s="2" t="s">
        <v>248</v>
      </c>
      <c r="CD1818" s="2" t="s">
        <v>248</v>
      </c>
      <c r="CE1818" s="2" t="s">
        <v>235</v>
      </c>
      <c r="CF1818" s="4">
        <v>272</v>
      </c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>
        <v>277</v>
      </c>
      <c r="GE1818" s="4">
        <v>261</v>
      </c>
      <c r="GF1818" s="4">
        <v>251</v>
      </c>
      <c r="GG1818" s="4">
        <v>241</v>
      </c>
      <c r="GH1818" s="4">
        <v>231</v>
      </c>
      <c r="GI1818" s="4">
        <v>221</v>
      </c>
      <c r="GJ1818" s="4">
        <v>210</v>
      </c>
      <c r="GK1818" s="4">
        <v>199</v>
      </c>
      <c r="GL1818" s="4">
        <v>188</v>
      </c>
      <c r="GM1818" s="4">
        <v>177</v>
      </c>
      <c r="GN1818" s="4">
        <v>165</v>
      </c>
      <c r="GO1818" s="4">
        <v>150</v>
      </c>
      <c r="GP1818" s="4">
        <v>133</v>
      </c>
      <c r="GQ1818" s="4">
        <v>101</v>
      </c>
      <c r="GR1818" s="4">
        <v>84</v>
      </c>
      <c r="GS1818" s="4">
        <v>69</v>
      </c>
      <c r="GT1818" s="4">
        <v>60</v>
      </c>
      <c r="GU1818" s="4">
        <v>53</v>
      </c>
      <c r="GV1818" s="4">
        <v>302</v>
      </c>
      <c r="GW1818" s="4">
        <v>292</v>
      </c>
      <c r="GX1818" s="4">
        <v>282</v>
      </c>
      <c r="GY1818" s="4">
        <v>272</v>
      </c>
      <c r="GZ1818" s="4">
        <v>262</v>
      </c>
      <c r="HA1818" s="4">
        <v>252</v>
      </c>
      <c r="HB1818" s="4">
        <v>242</v>
      </c>
      <c r="HC1818" s="4">
        <v>231</v>
      </c>
      <c r="HD1818" s="19">
        <v>23.1</v>
      </c>
      <c r="HE1818" s="19">
        <v>26.1</v>
      </c>
      <c r="HF1818" s="19">
        <v>25.1</v>
      </c>
      <c r="HG1818" s="19">
        <v>24.1</v>
      </c>
      <c r="HH1818" s="19">
        <v>21</v>
      </c>
      <c r="HI1818" s="19">
        <v>20.1</v>
      </c>
      <c r="HJ1818" s="19">
        <v>19.1</v>
      </c>
      <c r="HK1818" s="19">
        <v>16.6</v>
      </c>
      <c r="HL1818" s="19">
        <v>13.4</v>
      </c>
      <c r="HM1818" s="19">
        <v>9.3</v>
      </c>
      <c r="HN1818" s="19">
        <v>8.3</v>
      </c>
      <c r="HO1818" s="19">
        <v>7.5</v>
      </c>
      <c r="HP1818" s="19">
        <v>7.4</v>
      </c>
      <c r="HQ1818" s="19">
        <v>8.4</v>
      </c>
      <c r="HR1818" s="19">
        <v>8.4</v>
      </c>
      <c r="HS1818" s="19">
        <v>7.7</v>
      </c>
      <c r="HT1818" s="19">
        <v>6</v>
      </c>
      <c r="HU1818" s="19">
        <v>5.3</v>
      </c>
      <c r="HV1818" s="19">
        <v>30.2</v>
      </c>
      <c r="HW1818" s="19">
        <v>29.2</v>
      </c>
      <c r="HX1818" s="19">
        <v>28.2</v>
      </c>
      <c r="HY1818" s="19">
        <v>27.2</v>
      </c>
      <c r="HZ1818" s="19">
        <v>26.2</v>
      </c>
      <c r="IA1818" s="19">
        <v>25.2</v>
      </c>
      <c r="IB1818" s="19">
        <v>24.2</v>
      </c>
      <c r="IC1818" s="19">
        <v>23.1</v>
      </c>
    </row>
    <row r="1819">
      <c r="A1819" s="2" t="s">
        <v>6684</v>
      </c>
      <c r="B1819" s="2" t="s">
        <v>871</v>
      </c>
      <c r="C1819" s="2" t="s">
        <v>324</v>
      </c>
      <c r="D1819" s="2" t="s">
        <v>361</v>
      </c>
      <c r="E1819" s="2" t="s">
        <v>872</v>
      </c>
      <c r="F1819" s="2" t="s">
        <v>6677</v>
      </c>
      <c r="G1819" s="2" t="s">
        <v>1887</v>
      </c>
      <c r="H1819" s="2" t="s">
        <v>6678</v>
      </c>
      <c r="I1819" s="2" t="s">
        <v>1861</v>
      </c>
      <c r="J1819" s="2" t="s">
        <v>272</v>
      </c>
      <c r="K1819" s="2" t="s">
        <v>612</v>
      </c>
      <c r="L1819" s="3">
        <v>53.68</v>
      </c>
      <c r="M1819" s="3">
        <v>56.36</v>
      </c>
      <c r="N1819" s="3">
        <v>119.99</v>
      </c>
      <c r="O1819" s="2" t="s">
        <v>232</v>
      </c>
      <c r="P1819" s="2" t="s">
        <v>878</v>
      </c>
      <c r="Q1819" s="2" t="s">
        <v>234</v>
      </c>
      <c r="R1819" s="2" t="s">
        <v>235</v>
      </c>
      <c r="S1819" s="2" t="s">
        <v>235</v>
      </c>
      <c r="T1819" s="2" t="s">
        <v>879</v>
      </c>
      <c r="U1819" s="2" t="s">
        <v>742</v>
      </c>
      <c r="V1819" s="2" t="s">
        <v>420</v>
      </c>
      <c r="W1819" s="2" t="s">
        <v>329</v>
      </c>
      <c r="X1819" s="2" t="s">
        <v>682</v>
      </c>
      <c r="Y1819" s="2" t="s">
        <v>6683</v>
      </c>
      <c r="Z1819" s="4">
        <v>42</v>
      </c>
      <c r="AA1819" s="4">
        <f>=ROUNDDOWN(5.25,0)</f>
      </c>
      <c r="AB1819" s="5">
        <v>8</v>
      </c>
      <c r="AC1819" s="2" t="s">
        <v>235</v>
      </c>
      <c r="AD1819" s="4"/>
      <c r="AE1819" s="4"/>
      <c r="AF1819" s="6">
        <v>64</v>
      </c>
      <c r="AG1819" s="6"/>
      <c r="AH1819" s="7">
        <v>1</v>
      </c>
      <c r="AI1819" s="4"/>
      <c r="AJ1819" s="4">
        <f>=ROUNDDOWN({0},0)</f>
      </c>
      <c r="AK1819" s="5"/>
      <c r="AL1819" s="2" t="s">
        <v>235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235</v>
      </c>
      <c r="AW1819" s="8" t="s">
        <v>235</v>
      </c>
      <c r="AX1819" s="4" t="s">
        <v>235</v>
      </c>
      <c r="AY1819" s="8" t="s">
        <v>235</v>
      </c>
      <c r="AZ1819" s="7" t="s">
        <v>235</v>
      </c>
      <c r="BA1819" s="7" t="s">
        <v>235</v>
      </c>
      <c r="BB1819" s="7"/>
      <c r="BC1819" s="4" t="s">
        <v>235</v>
      </c>
      <c r="BD1819" s="8" t="s">
        <v>235</v>
      </c>
      <c r="BE1819" s="4" t="s">
        <v>235</v>
      </c>
      <c r="BF1819" s="8" t="s">
        <v>235</v>
      </c>
      <c r="BG1819" s="7" t="s">
        <v>235</v>
      </c>
      <c r="BH1819" s="7" t="s">
        <v>235</v>
      </c>
      <c r="BI1819" s="7"/>
      <c r="BJ1819" s="4">
        <v>29</v>
      </c>
      <c r="BK1819" s="8">
        <v>1821.27</v>
      </c>
      <c r="BL1819" s="2" t="s">
        <v>4318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6681</v>
      </c>
      <c r="BV1819" s="2" t="s">
        <v>235</v>
      </c>
      <c r="BW1819" s="2" t="s">
        <v>235</v>
      </c>
      <c r="BX1819" s="2" t="s">
        <v>244</v>
      </c>
      <c r="BY1819" s="2" t="s">
        <v>245</v>
      </c>
      <c r="BZ1819" s="2" t="s">
        <v>232</v>
      </c>
      <c r="CA1819" s="2" t="s">
        <v>235</v>
      </c>
      <c r="CB1819" s="2" t="s">
        <v>3792</v>
      </c>
      <c r="CC1819" s="2" t="s">
        <v>248</v>
      </c>
      <c r="CD1819" s="2" t="s">
        <v>248</v>
      </c>
      <c r="CE1819" s="2" t="s">
        <v>235</v>
      </c>
      <c r="CF1819" s="4">
        <v>42</v>
      </c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>
        <v>44</v>
      </c>
      <c r="GE1819" s="4">
        <v>33</v>
      </c>
      <c r="GF1819" s="4">
        <v>25</v>
      </c>
      <c r="GG1819" s="4">
        <v>17</v>
      </c>
      <c r="GH1819" s="4">
        <v>9</v>
      </c>
      <c r="GI1819" s="4">
        <v>1</v>
      </c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>
        <v>242</v>
      </c>
      <c r="GW1819" s="4">
        <v>234</v>
      </c>
      <c r="GX1819" s="4">
        <v>226</v>
      </c>
      <c r="GY1819" s="4">
        <v>218</v>
      </c>
      <c r="GZ1819" s="4">
        <v>210</v>
      </c>
      <c r="HA1819" s="4">
        <v>202</v>
      </c>
      <c r="HB1819" s="4">
        <v>194</v>
      </c>
      <c r="HC1819" s="4">
        <v>185</v>
      </c>
      <c r="HD1819" s="19">
        <v>4.9</v>
      </c>
      <c r="HE1819" s="19">
        <v>4.1</v>
      </c>
      <c r="HF1819" s="19">
        <v>3.1</v>
      </c>
      <c r="HG1819" s="19">
        <v>2.1</v>
      </c>
      <c r="HH1819" s="19">
        <v>1</v>
      </c>
      <c r="HI1819" s="19">
        <v>0.1</v>
      </c>
      <c r="HJ1819" s="20">
        <v>0</v>
      </c>
      <c r="HK1819" s="20">
        <v>0</v>
      </c>
      <c r="HL1819" s="20">
        <v>0</v>
      </c>
      <c r="HM1819" s="20">
        <v>0</v>
      </c>
      <c r="HN1819" s="20">
        <v>0</v>
      </c>
      <c r="HO1819" s="20">
        <v>0</v>
      </c>
      <c r="HP1819" s="20">
        <v>0</v>
      </c>
      <c r="HQ1819" s="20">
        <v>0</v>
      </c>
      <c r="HR1819" s="20">
        <v>0</v>
      </c>
      <c r="HS1819" s="20">
        <v>0</v>
      </c>
      <c r="HT1819" s="20">
        <v>0</v>
      </c>
      <c r="HU1819" s="20">
        <v>0</v>
      </c>
      <c r="HV1819" s="19">
        <v>30.3</v>
      </c>
      <c r="HW1819" s="19">
        <v>29.3</v>
      </c>
      <c r="HX1819" s="19">
        <v>28.3</v>
      </c>
      <c r="HY1819" s="19">
        <v>27.3</v>
      </c>
      <c r="HZ1819" s="19">
        <v>26.3</v>
      </c>
      <c r="IA1819" s="19">
        <v>25.3</v>
      </c>
      <c r="IB1819" s="19">
        <v>24.3</v>
      </c>
      <c r="IC1819" s="19">
        <v>23.1</v>
      </c>
    </row>
    <row r="1820">
      <c r="A1820" s="2" t="s">
        <v>6685</v>
      </c>
      <c r="B1820" s="2" t="s">
        <v>871</v>
      </c>
      <c r="C1820" s="2" t="s">
        <v>324</v>
      </c>
      <c r="D1820" s="2" t="s">
        <v>361</v>
      </c>
      <c r="E1820" s="2" t="s">
        <v>872</v>
      </c>
      <c r="F1820" s="2" t="s">
        <v>6677</v>
      </c>
      <c r="G1820" s="2" t="s">
        <v>1887</v>
      </c>
      <c r="H1820" s="2" t="s">
        <v>6678</v>
      </c>
      <c r="I1820" s="2" t="s">
        <v>1861</v>
      </c>
      <c r="J1820" s="2" t="s">
        <v>261</v>
      </c>
      <c r="K1820" s="2" t="s">
        <v>292</v>
      </c>
      <c r="L1820" s="3">
        <v>48.38</v>
      </c>
      <c r="M1820" s="3">
        <v>50.8</v>
      </c>
      <c r="N1820" s="3">
        <v>109.99</v>
      </c>
      <c r="O1820" s="2" t="s">
        <v>232</v>
      </c>
      <c r="P1820" s="2" t="s">
        <v>878</v>
      </c>
      <c r="Q1820" s="2" t="s">
        <v>234</v>
      </c>
      <c r="R1820" s="2" t="s">
        <v>235</v>
      </c>
      <c r="S1820" s="2" t="s">
        <v>235</v>
      </c>
      <c r="T1820" s="2" t="s">
        <v>879</v>
      </c>
      <c r="U1820" s="2" t="s">
        <v>742</v>
      </c>
      <c r="V1820" s="2" t="s">
        <v>420</v>
      </c>
      <c r="W1820" s="2" t="s">
        <v>329</v>
      </c>
      <c r="X1820" s="2" t="s">
        <v>682</v>
      </c>
      <c r="Y1820" s="2" t="s">
        <v>6683</v>
      </c>
      <c r="Z1820" s="4">
        <v>298</v>
      </c>
      <c r="AA1820" s="4">
        <f>=ROUNDDOWN(47.3015873015873,0)</f>
      </c>
      <c r="AB1820" s="5">
        <v>6.3</v>
      </c>
      <c r="AC1820" s="2" t="s">
        <v>235</v>
      </c>
      <c r="AD1820" s="4"/>
      <c r="AE1820" s="4"/>
      <c r="AF1820" s="6">
        <v>64</v>
      </c>
      <c r="AG1820" s="6"/>
      <c r="AH1820" s="7">
        <v>1</v>
      </c>
      <c r="AI1820" s="4"/>
      <c r="AJ1820" s="4">
        <f>=ROUNDDOWN({0},0)</f>
      </c>
      <c r="AK1820" s="5"/>
      <c r="AL1820" s="2" t="s">
        <v>235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235</v>
      </c>
      <c r="AW1820" s="8" t="s">
        <v>235</v>
      </c>
      <c r="AX1820" s="4" t="s">
        <v>235</v>
      </c>
      <c r="AY1820" s="8" t="s">
        <v>235</v>
      </c>
      <c r="AZ1820" s="7" t="s">
        <v>235</v>
      </c>
      <c r="BA1820" s="7" t="s">
        <v>235</v>
      </c>
      <c r="BB1820" s="7"/>
      <c r="BC1820" s="4" t="s">
        <v>235</v>
      </c>
      <c r="BD1820" s="8" t="s">
        <v>235</v>
      </c>
      <c r="BE1820" s="4" t="s">
        <v>235</v>
      </c>
      <c r="BF1820" s="8" t="s">
        <v>235</v>
      </c>
      <c r="BG1820" s="7" t="s">
        <v>235</v>
      </c>
      <c r="BH1820" s="7" t="s">
        <v>235</v>
      </c>
      <c r="BI1820" s="7"/>
      <c r="BJ1820" s="4">
        <v>27</v>
      </c>
      <c r="BK1820" s="8">
        <v>1517.44</v>
      </c>
      <c r="BL1820" s="2" t="s">
        <v>1645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6681</v>
      </c>
      <c r="BV1820" s="2" t="s">
        <v>235</v>
      </c>
      <c r="BW1820" s="2" t="s">
        <v>235</v>
      </c>
      <c r="BX1820" s="2" t="s">
        <v>244</v>
      </c>
      <c r="BY1820" s="2" t="s">
        <v>245</v>
      </c>
      <c r="BZ1820" s="2" t="s">
        <v>232</v>
      </c>
      <c r="CA1820" s="2" t="s">
        <v>235</v>
      </c>
      <c r="CB1820" s="2" t="s">
        <v>6554</v>
      </c>
      <c r="CC1820" s="2" t="s">
        <v>248</v>
      </c>
      <c r="CD1820" s="2" t="s">
        <v>248</v>
      </c>
      <c r="CE1820" s="2" t="s">
        <v>235</v>
      </c>
      <c r="CF1820" s="4">
        <v>298</v>
      </c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>
        <v>298</v>
      </c>
      <c r="GE1820" s="4">
        <v>291</v>
      </c>
      <c r="GF1820" s="4">
        <v>285</v>
      </c>
      <c r="GG1820" s="4">
        <v>279</v>
      </c>
      <c r="GH1820" s="4">
        <v>273</v>
      </c>
      <c r="GI1820" s="4">
        <v>267</v>
      </c>
      <c r="GJ1820" s="4">
        <v>260</v>
      </c>
      <c r="GK1820" s="4">
        <v>253</v>
      </c>
      <c r="GL1820" s="4">
        <v>246</v>
      </c>
      <c r="GM1820" s="4">
        <v>239</v>
      </c>
      <c r="GN1820" s="4">
        <v>231</v>
      </c>
      <c r="GO1820" s="4">
        <v>221</v>
      </c>
      <c r="GP1820" s="4">
        <v>210</v>
      </c>
      <c r="GQ1820" s="4">
        <v>188</v>
      </c>
      <c r="GR1820" s="4">
        <v>177</v>
      </c>
      <c r="GS1820" s="4">
        <v>167</v>
      </c>
      <c r="GT1820" s="4">
        <v>162</v>
      </c>
      <c r="GU1820" s="4">
        <v>158</v>
      </c>
      <c r="GV1820" s="4">
        <v>384</v>
      </c>
      <c r="GW1820" s="4">
        <v>378</v>
      </c>
      <c r="GX1820" s="4">
        <v>372</v>
      </c>
      <c r="GY1820" s="4">
        <v>366</v>
      </c>
      <c r="GZ1820" s="4">
        <v>360</v>
      </c>
      <c r="HA1820" s="4">
        <v>354</v>
      </c>
      <c r="HB1820" s="4">
        <v>348</v>
      </c>
      <c r="HC1820" s="4">
        <v>341</v>
      </c>
      <c r="HD1820" s="19">
        <v>49.7</v>
      </c>
      <c r="HE1820" s="19">
        <v>48.5</v>
      </c>
      <c r="HF1820" s="19">
        <v>47.5</v>
      </c>
      <c r="HG1820" s="19">
        <v>46.5</v>
      </c>
      <c r="HH1820" s="19">
        <v>39</v>
      </c>
      <c r="HI1820" s="19">
        <v>38.1</v>
      </c>
      <c r="HJ1820" s="19">
        <v>37.1</v>
      </c>
      <c r="HK1820" s="19">
        <v>31.6</v>
      </c>
      <c r="HL1820" s="19">
        <v>27.3</v>
      </c>
      <c r="HM1820" s="19">
        <v>18.4</v>
      </c>
      <c r="HN1820" s="19">
        <v>16.5</v>
      </c>
      <c r="HO1820" s="19">
        <v>15.8</v>
      </c>
      <c r="HP1820" s="19">
        <v>17.5</v>
      </c>
      <c r="HQ1820" s="19">
        <v>23.5</v>
      </c>
      <c r="HR1820" s="19">
        <v>29.5</v>
      </c>
      <c r="HS1820" s="19">
        <v>27.8</v>
      </c>
      <c r="HT1820" s="19">
        <v>27</v>
      </c>
      <c r="HU1820" s="19">
        <v>26.3</v>
      </c>
      <c r="HV1820" s="19">
        <v>64</v>
      </c>
      <c r="HW1820" s="19">
        <v>63</v>
      </c>
      <c r="HX1820" s="19">
        <v>62</v>
      </c>
      <c r="HY1820" s="19">
        <v>61</v>
      </c>
      <c r="HZ1820" s="19">
        <v>60</v>
      </c>
      <c r="IA1820" s="19">
        <v>59</v>
      </c>
      <c r="IB1820" s="19">
        <v>58</v>
      </c>
      <c r="IC1820" s="19">
        <v>56.8</v>
      </c>
    </row>
    <row r="1821">
      <c r="A1821" s="2" t="s">
        <v>6686</v>
      </c>
      <c r="B1821" s="2" t="s">
        <v>871</v>
      </c>
      <c r="C1821" s="2" t="s">
        <v>324</v>
      </c>
      <c r="D1821" s="2" t="s">
        <v>361</v>
      </c>
      <c r="E1821" s="2" t="s">
        <v>872</v>
      </c>
      <c r="F1821" s="2" t="s">
        <v>6677</v>
      </c>
      <c r="G1821" s="2" t="s">
        <v>1887</v>
      </c>
      <c r="H1821" s="2" t="s">
        <v>6678</v>
      </c>
      <c r="I1821" s="2" t="s">
        <v>1861</v>
      </c>
      <c r="J1821" s="2" t="s">
        <v>270</v>
      </c>
      <c r="K1821" s="2" t="s">
        <v>292</v>
      </c>
      <c r="L1821" s="3">
        <v>53.63</v>
      </c>
      <c r="M1821" s="3">
        <v>56.31</v>
      </c>
      <c r="N1821" s="3">
        <v>119.99</v>
      </c>
      <c r="O1821" s="2" t="s">
        <v>232</v>
      </c>
      <c r="P1821" s="2" t="s">
        <v>878</v>
      </c>
      <c r="Q1821" s="2" t="s">
        <v>234</v>
      </c>
      <c r="R1821" s="2" t="s">
        <v>235</v>
      </c>
      <c r="S1821" s="2" t="s">
        <v>235</v>
      </c>
      <c r="T1821" s="2" t="s">
        <v>879</v>
      </c>
      <c r="U1821" s="2" t="s">
        <v>742</v>
      </c>
      <c r="V1821" s="2" t="s">
        <v>420</v>
      </c>
      <c r="W1821" s="2" t="s">
        <v>329</v>
      </c>
      <c r="X1821" s="2" t="s">
        <v>682</v>
      </c>
      <c r="Y1821" s="2" t="s">
        <v>6683</v>
      </c>
      <c r="Z1821" s="4">
        <v>215</v>
      </c>
      <c r="AA1821" s="4">
        <f>=ROUNDDOWN(40.5660377358491,0)</f>
      </c>
      <c r="AB1821" s="5">
        <v>5.3</v>
      </c>
      <c r="AC1821" s="2" t="s">
        <v>235</v>
      </c>
      <c r="AD1821" s="4"/>
      <c r="AE1821" s="4"/>
      <c r="AF1821" s="6">
        <v>64</v>
      </c>
      <c r="AG1821" s="6"/>
      <c r="AH1821" s="7">
        <v>1</v>
      </c>
      <c r="AI1821" s="4"/>
      <c r="AJ1821" s="4">
        <f>=ROUNDDOWN({0},0)</f>
      </c>
      <c r="AK1821" s="5"/>
      <c r="AL1821" s="2" t="s">
        <v>235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235</v>
      </c>
      <c r="AW1821" s="8" t="s">
        <v>235</v>
      </c>
      <c r="AX1821" s="4" t="s">
        <v>235</v>
      </c>
      <c r="AY1821" s="8" t="s">
        <v>235</v>
      </c>
      <c r="AZ1821" s="7" t="s">
        <v>235</v>
      </c>
      <c r="BA1821" s="7" t="s">
        <v>235</v>
      </c>
      <c r="BB1821" s="7"/>
      <c r="BC1821" s="4" t="s">
        <v>235</v>
      </c>
      <c r="BD1821" s="8" t="s">
        <v>235</v>
      </c>
      <c r="BE1821" s="4" t="s">
        <v>235</v>
      </c>
      <c r="BF1821" s="8" t="s">
        <v>235</v>
      </c>
      <c r="BG1821" s="7" t="s">
        <v>235</v>
      </c>
      <c r="BH1821" s="7" t="s">
        <v>235</v>
      </c>
      <c r="BI1821" s="7"/>
      <c r="BJ1821" s="4">
        <v>15</v>
      </c>
      <c r="BK1821" s="8">
        <v>926.52</v>
      </c>
      <c r="BL1821" s="2" t="s">
        <v>4328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6681</v>
      </c>
      <c r="BV1821" s="2" t="s">
        <v>235</v>
      </c>
      <c r="BW1821" s="2" t="s">
        <v>235</v>
      </c>
      <c r="BX1821" s="2" t="s">
        <v>244</v>
      </c>
      <c r="BY1821" s="2" t="s">
        <v>245</v>
      </c>
      <c r="BZ1821" s="2" t="s">
        <v>232</v>
      </c>
      <c r="CA1821" s="2" t="s">
        <v>235</v>
      </c>
      <c r="CB1821" s="2" t="s">
        <v>5255</v>
      </c>
      <c r="CC1821" s="2" t="s">
        <v>248</v>
      </c>
      <c r="CD1821" s="2" t="s">
        <v>248</v>
      </c>
      <c r="CE1821" s="2" t="s">
        <v>235</v>
      </c>
      <c r="CF1821" s="4">
        <v>215</v>
      </c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>
        <v>219</v>
      </c>
      <c r="GE1821" s="4">
        <v>210</v>
      </c>
      <c r="GF1821" s="4">
        <v>205</v>
      </c>
      <c r="GG1821" s="4">
        <v>200</v>
      </c>
      <c r="GH1821" s="4">
        <v>195</v>
      </c>
      <c r="GI1821" s="4">
        <v>190</v>
      </c>
      <c r="GJ1821" s="4">
        <v>184</v>
      </c>
      <c r="GK1821" s="4">
        <v>178</v>
      </c>
      <c r="GL1821" s="4">
        <v>172</v>
      </c>
      <c r="GM1821" s="4">
        <v>166</v>
      </c>
      <c r="GN1821" s="4">
        <v>160</v>
      </c>
      <c r="GO1821" s="4">
        <v>152</v>
      </c>
      <c r="GP1821" s="4">
        <v>143</v>
      </c>
      <c r="GQ1821" s="4">
        <v>127</v>
      </c>
      <c r="GR1821" s="4">
        <v>118</v>
      </c>
      <c r="GS1821" s="4">
        <v>110</v>
      </c>
      <c r="GT1821" s="4">
        <v>105</v>
      </c>
      <c r="GU1821" s="4">
        <v>101</v>
      </c>
      <c r="GV1821" s="4">
        <v>310</v>
      </c>
      <c r="GW1821" s="4">
        <v>305</v>
      </c>
      <c r="GX1821" s="4">
        <v>300</v>
      </c>
      <c r="GY1821" s="4">
        <v>295</v>
      </c>
      <c r="GZ1821" s="4">
        <v>290</v>
      </c>
      <c r="HA1821" s="4">
        <v>285</v>
      </c>
      <c r="HB1821" s="4">
        <v>280</v>
      </c>
      <c r="HC1821" s="4">
        <v>274</v>
      </c>
      <c r="HD1821" s="19">
        <v>36.5</v>
      </c>
      <c r="HE1821" s="19">
        <v>42</v>
      </c>
      <c r="HF1821" s="19">
        <v>41</v>
      </c>
      <c r="HG1821" s="19">
        <v>33.3</v>
      </c>
      <c r="HH1821" s="19">
        <v>32.5</v>
      </c>
      <c r="HI1821" s="19">
        <v>31.7</v>
      </c>
      <c r="HJ1821" s="19">
        <v>30.7</v>
      </c>
      <c r="HK1821" s="19">
        <v>29.7</v>
      </c>
      <c r="HL1821" s="19">
        <v>24.6</v>
      </c>
      <c r="HM1821" s="19">
        <v>16.6</v>
      </c>
      <c r="HN1821" s="19">
        <v>16</v>
      </c>
      <c r="HO1821" s="19">
        <v>15.2</v>
      </c>
      <c r="HP1821" s="19">
        <v>14.3</v>
      </c>
      <c r="HQ1821" s="19">
        <v>21.2</v>
      </c>
      <c r="HR1821" s="19">
        <v>19.7</v>
      </c>
      <c r="HS1821" s="19">
        <v>22</v>
      </c>
      <c r="HT1821" s="19">
        <v>21</v>
      </c>
      <c r="HU1821" s="19">
        <v>20.2</v>
      </c>
      <c r="HV1821" s="19">
        <v>62</v>
      </c>
      <c r="HW1821" s="19">
        <v>61</v>
      </c>
      <c r="HX1821" s="19">
        <v>60</v>
      </c>
      <c r="HY1821" s="19">
        <v>59</v>
      </c>
      <c r="HZ1821" s="19">
        <v>58</v>
      </c>
      <c r="IA1821" s="19">
        <v>57</v>
      </c>
      <c r="IB1821" s="19">
        <v>56</v>
      </c>
      <c r="IC1821" s="19">
        <v>54.8</v>
      </c>
    </row>
    <row r="1822">
      <c r="A1822" s="2" t="s">
        <v>6687</v>
      </c>
      <c r="B1822" s="2" t="s">
        <v>1139</v>
      </c>
      <c r="C1822" s="2" t="s">
        <v>324</v>
      </c>
      <c r="D1822" s="2" t="s">
        <v>5956</v>
      </c>
      <c r="E1822" s="2" t="s">
        <v>6688</v>
      </c>
      <c r="F1822" s="2" t="s">
        <v>6689</v>
      </c>
      <c r="G1822" s="2" t="s">
        <v>6689</v>
      </c>
      <c r="H1822" s="2" t="s">
        <v>6689</v>
      </c>
      <c r="I1822" s="2" t="s">
        <v>6690</v>
      </c>
      <c r="J1822" s="2" t="s">
        <v>611</v>
      </c>
      <c r="K1822" s="2" t="s">
        <v>6691</v>
      </c>
      <c r="L1822" s="3">
        <v>23.63</v>
      </c>
      <c r="M1822" s="3">
        <v>24.81</v>
      </c>
      <c r="N1822" s="3">
        <v>52.99</v>
      </c>
      <c r="O1822" s="2" t="s">
        <v>232</v>
      </c>
      <c r="P1822" s="2" t="s">
        <v>878</v>
      </c>
      <c r="Q1822" s="2" t="s">
        <v>234</v>
      </c>
      <c r="R1822" s="2" t="s">
        <v>235</v>
      </c>
      <c r="S1822" s="2" t="s">
        <v>235</v>
      </c>
      <c r="T1822" s="2" t="s">
        <v>263</v>
      </c>
      <c r="U1822" s="2" t="s">
        <v>807</v>
      </c>
      <c r="V1822" s="2" t="s">
        <v>420</v>
      </c>
      <c r="W1822" s="2" t="s">
        <v>682</v>
      </c>
      <c r="X1822" s="2" t="s">
        <v>235</v>
      </c>
      <c r="Y1822" s="2" t="s">
        <v>235</v>
      </c>
      <c r="Z1822" s="4"/>
      <c r="AA1822" s="4">
        <f>=ROUNDDOWN({0},0)</f>
      </c>
      <c r="AB1822" s="5"/>
      <c r="AC1822" s="2" t="s">
        <v>6692</v>
      </c>
      <c r="AD1822" s="4">
        <v>1016</v>
      </c>
      <c r="AE1822" s="4">
        <v>1016</v>
      </c>
      <c r="AF1822" s="6">
        <v>77</v>
      </c>
      <c r="AG1822" s="6"/>
      <c r="AH1822" s="7"/>
      <c r="AI1822" s="4"/>
      <c r="AJ1822" s="4">
        <f>=ROUNDDOWN({0},0)</f>
      </c>
      <c r="AK1822" s="5"/>
      <c r="AL1822" s="2" t="s">
        <v>235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235</v>
      </c>
      <c r="AW1822" s="8" t="s">
        <v>235</v>
      </c>
      <c r="AX1822" s="4" t="s">
        <v>235</v>
      </c>
      <c r="AY1822" s="8" t="s">
        <v>235</v>
      </c>
      <c r="AZ1822" s="7" t="s">
        <v>235</v>
      </c>
      <c r="BA1822" s="7" t="s">
        <v>235</v>
      </c>
      <c r="BB1822" s="7"/>
      <c r="BC1822" s="4" t="s">
        <v>235</v>
      </c>
      <c r="BD1822" s="8" t="s">
        <v>235</v>
      </c>
      <c r="BE1822" s="4" t="s">
        <v>235</v>
      </c>
      <c r="BF1822" s="8" t="s">
        <v>235</v>
      </c>
      <c r="BG1822" s="7" t="s">
        <v>235</v>
      </c>
      <c r="BH1822" s="7" t="s">
        <v>235</v>
      </c>
      <c r="BI1822" s="7"/>
      <c r="BJ1822" s="4"/>
      <c r="BK1822" s="8"/>
      <c r="BL1822" s="2" t="s">
        <v>235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330</v>
      </c>
      <c r="BV1822" s="2" t="s">
        <v>235</v>
      </c>
      <c r="BW1822" s="2" t="s">
        <v>235</v>
      </c>
      <c r="BX1822" s="2" t="s">
        <v>330</v>
      </c>
      <c r="BY1822" s="2" t="s">
        <v>331</v>
      </c>
      <c r="BZ1822" s="2" t="s">
        <v>232</v>
      </c>
      <c r="CA1822" s="2" t="s">
        <v>235</v>
      </c>
      <c r="CB1822" s="2" t="s">
        <v>235</v>
      </c>
      <c r="CC1822" s="2" t="s">
        <v>248</v>
      </c>
      <c r="CD1822" s="2" t="s">
        <v>248</v>
      </c>
      <c r="CE1822" s="2" t="s">
        <v>235</v>
      </c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>
        <v>1016</v>
      </c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>
        <v>1016</v>
      </c>
      <c r="GN1822" s="4">
        <v>1016</v>
      </c>
      <c r="GO1822" s="4">
        <v>1016</v>
      </c>
      <c r="GP1822" s="4">
        <v>1016</v>
      </c>
      <c r="GQ1822" s="4">
        <v>1016</v>
      </c>
      <c r="GR1822" s="4">
        <v>1016</v>
      </c>
      <c r="GS1822" s="4">
        <v>1016</v>
      </c>
      <c r="GT1822" s="4">
        <v>1016</v>
      </c>
      <c r="GU1822" s="4">
        <v>1016</v>
      </c>
      <c r="GV1822" s="4">
        <v>1016</v>
      </c>
      <c r="GW1822" s="4">
        <v>1016</v>
      </c>
      <c r="GX1822" s="4">
        <v>1016</v>
      </c>
      <c r="GY1822" s="4">
        <v>1016</v>
      </c>
      <c r="GZ1822" s="4">
        <v>1016</v>
      </c>
      <c r="HA1822" s="4">
        <v>1016</v>
      </c>
      <c r="HB1822" s="4">
        <v>1016</v>
      </c>
      <c r="HC1822" s="4">
        <v>1016</v>
      </c>
      <c r="HD1822" s="9"/>
      <c r="HE1822" s="9"/>
      <c r="HF1822" s="9"/>
      <c r="HG1822" s="9"/>
      <c r="HH1822" s="9"/>
      <c r="HI1822" s="9"/>
      <c r="HJ1822" s="9"/>
      <c r="HK1822" s="9"/>
      <c r="HL1822" s="9"/>
      <c r="HM1822" s="9"/>
      <c r="HN1822" s="9"/>
      <c r="HO1822" s="9"/>
      <c r="HP1822" s="9"/>
      <c r="HQ1822" s="9"/>
      <c r="HR1822" s="9"/>
      <c r="HS1822" s="9"/>
      <c r="HT1822" s="9"/>
      <c r="HU1822" s="9"/>
      <c r="HV1822" s="9"/>
      <c r="HW1822" s="9"/>
      <c r="HX1822" s="9"/>
      <c r="HY1822" s="9"/>
      <c r="HZ1822" s="9"/>
      <c r="IA1822" s="9"/>
      <c r="IB1822" s="9"/>
      <c r="IC1822" s="9"/>
    </row>
    <row r="1823">
      <c r="A1823" s="2" t="s">
        <v>6693</v>
      </c>
      <c r="B1823" s="2" t="s">
        <v>1139</v>
      </c>
      <c r="C1823" s="2" t="s">
        <v>324</v>
      </c>
      <c r="D1823" s="2" t="s">
        <v>1152</v>
      </c>
      <c r="E1823" s="2" t="s">
        <v>1153</v>
      </c>
      <c r="F1823" s="2" t="s">
        <v>6689</v>
      </c>
      <c r="G1823" s="2" t="s">
        <v>6689</v>
      </c>
      <c r="H1823" s="2" t="s">
        <v>6689</v>
      </c>
      <c r="I1823" s="2" t="s">
        <v>6694</v>
      </c>
      <c r="J1823" s="2" t="s">
        <v>6695</v>
      </c>
      <c r="K1823" s="2" t="s">
        <v>6691</v>
      </c>
      <c r="L1823" s="3">
        <v>10.696451</v>
      </c>
      <c r="M1823" s="3">
        <v>11.24</v>
      </c>
      <c r="N1823" s="3">
        <v>23.99</v>
      </c>
      <c r="O1823" s="2" t="s">
        <v>232</v>
      </c>
      <c r="P1823" s="2" t="s">
        <v>878</v>
      </c>
      <c r="Q1823" s="2" t="s">
        <v>234</v>
      </c>
      <c r="R1823" s="2" t="s">
        <v>235</v>
      </c>
      <c r="S1823" s="2" t="s">
        <v>235</v>
      </c>
      <c r="T1823" s="2" t="s">
        <v>501</v>
      </c>
      <c r="U1823" s="2" t="s">
        <v>807</v>
      </c>
      <c r="V1823" s="2" t="s">
        <v>808</v>
      </c>
      <c r="W1823" s="2" t="s">
        <v>682</v>
      </c>
      <c r="X1823" s="2" t="s">
        <v>235</v>
      </c>
      <c r="Y1823" s="2" t="s">
        <v>235</v>
      </c>
      <c r="Z1823" s="4"/>
      <c r="AA1823" s="4">
        <f>=ROUNDDOWN({0},0)</f>
      </c>
      <c r="AB1823" s="5"/>
      <c r="AC1823" s="2" t="s">
        <v>6692</v>
      </c>
      <c r="AD1823" s="4">
        <v>360</v>
      </c>
      <c r="AE1823" s="4">
        <v>360</v>
      </c>
      <c r="AF1823" s="6">
        <v>77</v>
      </c>
      <c r="AG1823" s="6"/>
      <c r="AH1823" s="7"/>
      <c r="AI1823" s="4"/>
      <c r="AJ1823" s="4">
        <f>=ROUNDDOWN({0},0)</f>
      </c>
      <c r="AK1823" s="5"/>
      <c r="AL1823" s="2" t="s">
        <v>235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235</v>
      </c>
      <c r="AW1823" s="8" t="s">
        <v>235</v>
      </c>
      <c r="AX1823" s="4" t="s">
        <v>235</v>
      </c>
      <c r="AY1823" s="8" t="s">
        <v>235</v>
      </c>
      <c r="AZ1823" s="7" t="s">
        <v>235</v>
      </c>
      <c r="BA1823" s="7" t="s">
        <v>235</v>
      </c>
      <c r="BB1823" s="7"/>
      <c r="BC1823" s="4" t="s">
        <v>235</v>
      </c>
      <c r="BD1823" s="8" t="s">
        <v>235</v>
      </c>
      <c r="BE1823" s="4" t="s">
        <v>235</v>
      </c>
      <c r="BF1823" s="8" t="s">
        <v>235</v>
      </c>
      <c r="BG1823" s="7" t="s">
        <v>235</v>
      </c>
      <c r="BH1823" s="7" t="s">
        <v>235</v>
      </c>
      <c r="BI1823" s="7"/>
      <c r="BJ1823" s="4"/>
      <c r="BK1823" s="8"/>
      <c r="BL1823" s="2" t="s">
        <v>235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330</v>
      </c>
      <c r="BV1823" s="2" t="s">
        <v>235</v>
      </c>
      <c r="BW1823" s="2" t="s">
        <v>235</v>
      </c>
      <c r="BX1823" s="2" t="s">
        <v>330</v>
      </c>
      <c r="BY1823" s="2" t="s">
        <v>331</v>
      </c>
      <c r="BZ1823" s="2" t="s">
        <v>232</v>
      </c>
      <c r="CA1823" s="2" t="s">
        <v>235</v>
      </c>
      <c r="CB1823" s="2" t="s">
        <v>235</v>
      </c>
      <c r="CC1823" s="2" t="s">
        <v>248</v>
      </c>
      <c r="CD1823" s="2" t="s">
        <v>248</v>
      </c>
      <c r="CE1823" s="2" t="s">
        <v>235</v>
      </c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>
        <v>360</v>
      </c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>
        <v>360</v>
      </c>
      <c r="GN1823" s="4">
        <v>316</v>
      </c>
      <c r="GO1823" s="4">
        <v>309</v>
      </c>
      <c r="GP1823" s="4">
        <v>301</v>
      </c>
      <c r="GQ1823" s="4">
        <v>293</v>
      </c>
      <c r="GR1823" s="4">
        <v>282</v>
      </c>
      <c r="GS1823" s="4">
        <v>271</v>
      </c>
      <c r="GT1823" s="4">
        <v>261</v>
      </c>
      <c r="GU1823" s="4">
        <v>248</v>
      </c>
      <c r="GV1823" s="4">
        <v>235</v>
      </c>
      <c r="GW1823" s="4">
        <v>222</v>
      </c>
      <c r="GX1823" s="4">
        <v>209</v>
      </c>
      <c r="GY1823" s="4">
        <v>193</v>
      </c>
      <c r="GZ1823" s="4">
        <v>174</v>
      </c>
      <c r="HA1823" s="4">
        <v>155</v>
      </c>
      <c r="HB1823" s="4">
        <v>136</v>
      </c>
      <c r="HC1823" s="4">
        <v>117</v>
      </c>
      <c r="HD1823" s="9"/>
      <c r="HE1823" s="9"/>
      <c r="HF1823" s="9"/>
      <c r="HG1823" s="9"/>
      <c r="HH1823" s="9"/>
      <c r="HI1823" s="9"/>
      <c r="HJ1823" s="9"/>
      <c r="HK1823" s="9"/>
      <c r="HL1823" s="9"/>
      <c r="HM1823" s="19">
        <v>21.2</v>
      </c>
      <c r="HN1823" s="19">
        <v>39.5</v>
      </c>
      <c r="HO1823" s="19">
        <v>30.9</v>
      </c>
      <c r="HP1823" s="19">
        <v>30.1</v>
      </c>
      <c r="HQ1823" s="19">
        <v>26.6</v>
      </c>
      <c r="HR1823" s="19">
        <v>23.5</v>
      </c>
      <c r="HS1823" s="19">
        <v>22.6</v>
      </c>
      <c r="HT1823" s="19">
        <v>20.1</v>
      </c>
      <c r="HU1823" s="19">
        <v>17.7</v>
      </c>
      <c r="HV1823" s="19">
        <v>15.7</v>
      </c>
      <c r="HW1823" s="19">
        <v>13.1</v>
      </c>
      <c r="HX1823" s="19">
        <v>11.6</v>
      </c>
      <c r="HY1823" s="19">
        <v>10.2</v>
      </c>
      <c r="HZ1823" s="19">
        <v>8.7</v>
      </c>
      <c r="IA1823" s="19">
        <v>7.8</v>
      </c>
      <c r="IB1823" s="19">
        <v>6.8</v>
      </c>
      <c r="IC1823" s="19">
        <v>5.9</v>
      </c>
    </row>
    <row r="1824">
      <c r="A1824" s="2" t="s">
        <v>6696</v>
      </c>
      <c r="B1824" s="2" t="s">
        <v>1139</v>
      </c>
      <c r="C1824" s="2" t="s">
        <v>324</v>
      </c>
      <c r="D1824" s="2" t="s">
        <v>1152</v>
      </c>
      <c r="E1824" s="2" t="s">
        <v>1153</v>
      </c>
      <c r="F1824" s="2" t="s">
        <v>6689</v>
      </c>
      <c r="G1824" s="2" t="s">
        <v>6689</v>
      </c>
      <c r="H1824" s="2" t="s">
        <v>6689</v>
      </c>
      <c r="I1824" s="2" t="s">
        <v>6694</v>
      </c>
      <c r="J1824" s="2" t="s">
        <v>1413</v>
      </c>
      <c r="K1824" s="2" t="s">
        <v>6691</v>
      </c>
      <c r="L1824" s="3">
        <v>14.263421</v>
      </c>
      <c r="M1824" s="3">
        <v>14.97</v>
      </c>
      <c r="N1824" s="3">
        <v>31.99</v>
      </c>
      <c r="O1824" s="2" t="s">
        <v>232</v>
      </c>
      <c r="P1824" s="2" t="s">
        <v>878</v>
      </c>
      <c r="Q1824" s="2" t="s">
        <v>234</v>
      </c>
      <c r="R1824" s="2" t="s">
        <v>235</v>
      </c>
      <c r="S1824" s="2" t="s">
        <v>235</v>
      </c>
      <c r="T1824" s="2" t="s">
        <v>501</v>
      </c>
      <c r="U1824" s="2" t="s">
        <v>807</v>
      </c>
      <c r="V1824" s="2" t="s">
        <v>808</v>
      </c>
      <c r="W1824" s="2" t="s">
        <v>682</v>
      </c>
      <c r="X1824" s="2" t="s">
        <v>235</v>
      </c>
      <c r="Y1824" s="2" t="s">
        <v>235</v>
      </c>
      <c r="Z1824" s="4"/>
      <c r="AA1824" s="4">
        <f>=ROUNDDOWN({0},0)</f>
      </c>
      <c r="AB1824" s="5"/>
      <c r="AC1824" s="2" t="s">
        <v>6692</v>
      </c>
      <c r="AD1824" s="4">
        <v>726</v>
      </c>
      <c r="AE1824" s="4">
        <v>726</v>
      </c>
      <c r="AF1824" s="6">
        <v>77</v>
      </c>
      <c r="AG1824" s="6"/>
      <c r="AH1824" s="7"/>
      <c r="AI1824" s="4"/>
      <c r="AJ1824" s="4">
        <f>=ROUNDDOWN({0},0)</f>
      </c>
      <c r="AK1824" s="5"/>
      <c r="AL1824" s="2" t="s">
        <v>235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235</v>
      </c>
      <c r="AW1824" s="8" t="s">
        <v>235</v>
      </c>
      <c r="AX1824" s="4" t="s">
        <v>235</v>
      </c>
      <c r="AY1824" s="8" t="s">
        <v>235</v>
      </c>
      <c r="AZ1824" s="7" t="s">
        <v>235</v>
      </c>
      <c r="BA1824" s="7" t="s">
        <v>235</v>
      </c>
      <c r="BB1824" s="7"/>
      <c r="BC1824" s="4" t="s">
        <v>235</v>
      </c>
      <c r="BD1824" s="8" t="s">
        <v>235</v>
      </c>
      <c r="BE1824" s="4" t="s">
        <v>235</v>
      </c>
      <c r="BF1824" s="8" t="s">
        <v>235</v>
      </c>
      <c r="BG1824" s="7" t="s">
        <v>235</v>
      </c>
      <c r="BH1824" s="7" t="s">
        <v>235</v>
      </c>
      <c r="BI1824" s="7"/>
      <c r="BJ1824" s="4"/>
      <c r="BK1824" s="8"/>
      <c r="BL1824" s="2" t="s">
        <v>235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330</v>
      </c>
      <c r="BV1824" s="2" t="s">
        <v>235</v>
      </c>
      <c r="BW1824" s="2" t="s">
        <v>235</v>
      </c>
      <c r="BX1824" s="2" t="s">
        <v>330</v>
      </c>
      <c r="BY1824" s="2" t="s">
        <v>331</v>
      </c>
      <c r="BZ1824" s="2" t="s">
        <v>232</v>
      </c>
      <c r="CA1824" s="2" t="s">
        <v>235</v>
      </c>
      <c r="CB1824" s="2" t="s">
        <v>235</v>
      </c>
      <c r="CC1824" s="2" t="s">
        <v>248</v>
      </c>
      <c r="CD1824" s="2" t="s">
        <v>248</v>
      </c>
      <c r="CE1824" s="2" t="s">
        <v>235</v>
      </c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>
        <v>726</v>
      </c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>
        <v>726</v>
      </c>
      <c r="GN1824" s="4">
        <v>608</v>
      </c>
      <c r="GO1824" s="4">
        <v>591</v>
      </c>
      <c r="GP1824" s="4">
        <v>573</v>
      </c>
      <c r="GQ1824" s="4">
        <v>554</v>
      </c>
      <c r="GR1824" s="4">
        <v>528</v>
      </c>
      <c r="GS1824" s="4">
        <v>503</v>
      </c>
      <c r="GT1824" s="4">
        <v>480</v>
      </c>
      <c r="GU1824" s="4">
        <v>452</v>
      </c>
      <c r="GV1824" s="4">
        <v>424</v>
      </c>
      <c r="GW1824" s="4">
        <v>396</v>
      </c>
      <c r="GX1824" s="4">
        <v>368</v>
      </c>
      <c r="GY1824" s="4">
        <v>333</v>
      </c>
      <c r="GZ1824" s="4">
        <v>292</v>
      </c>
      <c r="HA1824" s="4">
        <v>251</v>
      </c>
      <c r="HB1824" s="4">
        <v>210</v>
      </c>
      <c r="HC1824" s="4">
        <v>169</v>
      </c>
      <c r="HD1824" s="9"/>
      <c r="HE1824" s="9"/>
      <c r="HF1824" s="9"/>
      <c r="HG1824" s="9"/>
      <c r="HH1824" s="9"/>
      <c r="HI1824" s="9"/>
      <c r="HJ1824" s="9"/>
      <c r="HK1824" s="9"/>
      <c r="HL1824" s="9"/>
      <c r="HM1824" s="19">
        <v>16.9</v>
      </c>
      <c r="HN1824" s="19">
        <v>30.4</v>
      </c>
      <c r="HO1824" s="19">
        <v>26.9</v>
      </c>
      <c r="HP1824" s="19">
        <v>24.9</v>
      </c>
      <c r="HQ1824" s="19">
        <v>21.3</v>
      </c>
      <c r="HR1824" s="19">
        <v>20.3</v>
      </c>
      <c r="HS1824" s="19">
        <v>18.6</v>
      </c>
      <c r="HT1824" s="19">
        <v>17.1</v>
      </c>
      <c r="HU1824" s="19">
        <v>15.1</v>
      </c>
      <c r="HV1824" s="19">
        <v>12.8</v>
      </c>
      <c r="HW1824" s="19">
        <v>11</v>
      </c>
      <c r="HX1824" s="19">
        <v>9.2</v>
      </c>
      <c r="HY1824" s="19">
        <v>8.1</v>
      </c>
      <c r="HZ1824" s="19">
        <v>7</v>
      </c>
      <c r="IA1824" s="19">
        <v>6</v>
      </c>
      <c r="IB1824" s="19">
        <v>5</v>
      </c>
      <c r="IC1824" s="19">
        <v>3.9</v>
      </c>
    </row>
    <row r="1825">
      <c r="A1825" s="2" t="s">
        <v>6697</v>
      </c>
      <c r="B1825" s="2" t="s">
        <v>1139</v>
      </c>
      <c r="C1825" s="2" t="s">
        <v>324</v>
      </c>
      <c r="D1825" s="2" t="s">
        <v>1152</v>
      </c>
      <c r="E1825" s="2" t="s">
        <v>1153</v>
      </c>
      <c r="F1825" s="2" t="s">
        <v>6689</v>
      </c>
      <c r="G1825" s="2" t="s">
        <v>6689</v>
      </c>
      <c r="H1825" s="2" t="s">
        <v>6689</v>
      </c>
      <c r="I1825" s="2" t="s">
        <v>6694</v>
      </c>
      <c r="J1825" s="2" t="s">
        <v>6698</v>
      </c>
      <c r="K1825" s="2" t="s">
        <v>6691</v>
      </c>
      <c r="L1825" s="3">
        <v>17.830391</v>
      </c>
      <c r="M1825" s="3">
        <v>18.72</v>
      </c>
      <c r="N1825" s="3">
        <v>39.99</v>
      </c>
      <c r="O1825" s="2" t="s">
        <v>232</v>
      </c>
      <c r="P1825" s="2" t="s">
        <v>878</v>
      </c>
      <c r="Q1825" s="2" t="s">
        <v>234</v>
      </c>
      <c r="R1825" s="2" t="s">
        <v>235</v>
      </c>
      <c r="S1825" s="2" t="s">
        <v>235</v>
      </c>
      <c r="T1825" s="2" t="s">
        <v>501</v>
      </c>
      <c r="U1825" s="2" t="s">
        <v>807</v>
      </c>
      <c r="V1825" s="2" t="s">
        <v>808</v>
      </c>
      <c r="W1825" s="2" t="s">
        <v>682</v>
      </c>
      <c r="X1825" s="2" t="s">
        <v>235</v>
      </c>
      <c r="Y1825" s="2" t="s">
        <v>235</v>
      </c>
      <c r="Z1825" s="4"/>
      <c r="AA1825" s="4">
        <f>=ROUNDDOWN({0},0)</f>
      </c>
      <c r="AB1825" s="5"/>
      <c r="AC1825" s="2" t="s">
        <v>6692</v>
      </c>
      <c r="AD1825" s="4">
        <v>420</v>
      </c>
      <c r="AE1825" s="4">
        <v>420</v>
      </c>
      <c r="AF1825" s="6">
        <v>77</v>
      </c>
      <c r="AG1825" s="6"/>
      <c r="AH1825" s="7"/>
      <c r="AI1825" s="4"/>
      <c r="AJ1825" s="4">
        <f>=ROUNDDOWN({0},0)</f>
      </c>
      <c r="AK1825" s="5"/>
      <c r="AL1825" s="2" t="s">
        <v>235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235</v>
      </c>
      <c r="AW1825" s="8" t="s">
        <v>235</v>
      </c>
      <c r="AX1825" s="4" t="s">
        <v>235</v>
      </c>
      <c r="AY1825" s="8" t="s">
        <v>235</v>
      </c>
      <c r="AZ1825" s="7" t="s">
        <v>235</v>
      </c>
      <c r="BA1825" s="7" t="s">
        <v>235</v>
      </c>
      <c r="BB1825" s="7"/>
      <c r="BC1825" s="4" t="s">
        <v>235</v>
      </c>
      <c r="BD1825" s="8" t="s">
        <v>235</v>
      </c>
      <c r="BE1825" s="4" t="s">
        <v>235</v>
      </c>
      <c r="BF1825" s="8" t="s">
        <v>235</v>
      </c>
      <c r="BG1825" s="7" t="s">
        <v>235</v>
      </c>
      <c r="BH1825" s="7" t="s">
        <v>235</v>
      </c>
      <c r="BI1825" s="7"/>
      <c r="BJ1825" s="4"/>
      <c r="BK1825" s="8"/>
      <c r="BL1825" s="2" t="s">
        <v>235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330</v>
      </c>
      <c r="BV1825" s="2" t="s">
        <v>235</v>
      </c>
      <c r="BW1825" s="2" t="s">
        <v>235</v>
      </c>
      <c r="BX1825" s="2" t="s">
        <v>330</v>
      </c>
      <c r="BY1825" s="2" t="s">
        <v>331</v>
      </c>
      <c r="BZ1825" s="2" t="s">
        <v>232</v>
      </c>
      <c r="CA1825" s="2" t="s">
        <v>235</v>
      </c>
      <c r="CB1825" s="2" t="s">
        <v>235</v>
      </c>
      <c r="CC1825" s="2" t="s">
        <v>248</v>
      </c>
      <c r="CD1825" s="2" t="s">
        <v>248</v>
      </c>
      <c r="CE1825" s="2" t="s">
        <v>235</v>
      </c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>
        <v>420</v>
      </c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>
        <v>420</v>
      </c>
      <c r="GN1825" s="4">
        <v>373</v>
      </c>
      <c r="GO1825" s="4">
        <v>366</v>
      </c>
      <c r="GP1825" s="4">
        <v>358</v>
      </c>
      <c r="GQ1825" s="4">
        <v>349</v>
      </c>
      <c r="GR1825" s="4">
        <v>336</v>
      </c>
      <c r="GS1825" s="4">
        <v>324</v>
      </c>
      <c r="GT1825" s="4">
        <v>313</v>
      </c>
      <c r="GU1825" s="4">
        <v>299</v>
      </c>
      <c r="GV1825" s="4">
        <v>285</v>
      </c>
      <c r="GW1825" s="4">
        <v>271</v>
      </c>
      <c r="GX1825" s="4">
        <v>257</v>
      </c>
      <c r="GY1825" s="4">
        <v>238</v>
      </c>
      <c r="GZ1825" s="4">
        <v>216</v>
      </c>
      <c r="HA1825" s="4">
        <v>194</v>
      </c>
      <c r="HB1825" s="4">
        <v>172</v>
      </c>
      <c r="HC1825" s="4">
        <v>150</v>
      </c>
      <c r="HD1825" s="9"/>
      <c r="HE1825" s="9"/>
      <c r="HF1825" s="9"/>
      <c r="HG1825" s="9"/>
      <c r="HH1825" s="9"/>
      <c r="HI1825" s="9"/>
      <c r="HJ1825" s="9"/>
      <c r="HK1825" s="9"/>
      <c r="HL1825" s="9"/>
      <c r="HM1825" s="19">
        <v>23.3</v>
      </c>
      <c r="HN1825" s="19">
        <v>41.4</v>
      </c>
      <c r="HO1825" s="19">
        <v>36.6</v>
      </c>
      <c r="HP1825" s="19">
        <v>32.5</v>
      </c>
      <c r="HQ1825" s="19">
        <v>29.1</v>
      </c>
      <c r="HR1825" s="19">
        <v>25.8</v>
      </c>
      <c r="HS1825" s="19">
        <v>24.9</v>
      </c>
      <c r="HT1825" s="19">
        <v>22.4</v>
      </c>
      <c r="HU1825" s="19">
        <v>19.9</v>
      </c>
      <c r="HV1825" s="19">
        <v>16.8</v>
      </c>
      <c r="HW1825" s="19">
        <v>14.3</v>
      </c>
      <c r="HX1825" s="19">
        <v>12.2</v>
      </c>
      <c r="HY1825" s="19">
        <v>10.8</v>
      </c>
      <c r="HZ1825" s="19">
        <v>9.4</v>
      </c>
      <c r="IA1825" s="19">
        <v>8.4</v>
      </c>
      <c r="IB1825" s="19">
        <v>7.5</v>
      </c>
      <c r="IC1825" s="19">
        <v>6.3</v>
      </c>
    </row>
    <row r="1826">
      <c r="A1826" s="2" t="s">
        <v>6699</v>
      </c>
      <c r="B1826" s="2" t="s">
        <v>1139</v>
      </c>
      <c r="C1826" s="2" t="s">
        <v>324</v>
      </c>
      <c r="D1826" s="2" t="s">
        <v>1152</v>
      </c>
      <c r="E1826" s="2" t="s">
        <v>1153</v>
      </c>
      <c r="F1826" s="2" t="s">
        <v>6689</v>
      </c>
      <c r="G1826" s="2" t="s">
        <v>6689</v>
      </c>
      <c r="H1826" s="2" t="s">
        <v>6689</v>
      </c>
      <c r="I1826" s="2" t="s">
        <v>6694</v>
      </c>
      <c r="J1826" s="2" t="s">
        <v>6700</v>
      </c>
      <c r="K1826" s="2" t="s">
        <v>6691</v>
      </c>
      <c r="L1826" s="3">
        <v>22.289103</v>
      </c>
      <c r="M1826" s="3">
        <v>23.4</v>
      </c>
      <c r="N1826" s="3">
        <v>49.99</v>
      </c>
      <c r="O1826" s="2" t="s">
        <v>232</v>
      </c>
      <c r="P1826" s="2" t="s">
        <v>878</v>
      </c>
      <c r="Q1826" s="2" t="s">
        <v>234</v>
      </c>
      <c r="R1826" s="2" t="s">
        <v>235</v>
      </c>
      <c r="S1826" s="2" t="s">
        <v>235</v>
      </c>
      <c r="T1826" s="2" t="s">
        <v>501</v>
      </c>
      <c r="U1826" s="2" t="s">
        <v>807</v>
      </c>
      <c r="V1826" s="2" t="s">
        <v>808</v>
      </c>
      <c r="W1826" s="2" t="s">
        <v>682</v>
      </c>
      <c r="X1826" s="2" t="s">
        <v>235</v>
      </c>
      <c r="Y1826" s="2" t="s">
        <v>235</v>
      </c>
      <c r="Z1826" s="4"/>
      <c r="AA1826" s="4">
        <f>=ROUNDDOWN({0},0)</f>
      </c>
      <c r="AB1826" s="5"/>
      <c r="AC1826" s="2" t="s">
        <v>6692</v>
      </c>
      <c r="AD1826" s="4">
        <v>336</v>
      </c>
      <c r="AE1826" s="4">
        <v>336</v>
      </c>
      <c r="AF1826" s="6">
        <v>77</v>
      </c>
      <c r="AG1826" s="6"/>
      <c r="AH1826" s="7"/>
      <c r="AI1826" s="4"/>
      <c r="AJ1826" s="4">
        <f>=ROUNDDOWN({0},0)</f>
      </c>
      <c r="AK1826" s="5"/>
      <c r="AL1826" s="2" t="s">
        <v>235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235</v>
      </c>
      <c r="AW1826" s="8" t="s">
        <v>235</v>
      </c>
      <c r="AX1826" s="4" t="s">
        <v>235</v>
      </c>
      <c r="AY1826" s="8" t="s">
        <v>235</v>
      </c>
      <c r="AZ1826" s="7" t="s">
        <v>235</v>
      </c>
      <c r="BA1826" s="7" t="s">
        <v>235</v>
      </c>
      <c r="BB1826" s="7"/>
      <c r="BC1826" s="4" t="s">
        <v>235</v>
      </c>
      <c r="BD1826" s="8" t="s">
        <v>235</v>
      </c>
      <c r="BE1826" s="4" t="s">
        <v>235</v>
      </c>
      <c r="BF1826" s="8" t="s">
        <v>235</v>
      </c>
      <c r="BG1826" s="7" t="s">
        <v>235</v>
      </c>
      <c r="BH1826" s="7" t="s">
        <v>235</v>
      </c>
      <c r="BI1826" s="7"/>
      <c r="BJ1826" s="4"/>
      <c r="BK1826" s="8"/>
      <c r="BL1826" s="2" t="s">
        <v>235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330</v>
      </c>
      <c r="BV1826" s="2" t="s">
        <v>235</v>
      </c>
      <c r="BW1826" s="2" t="s">
        <v>235</v>
      </c>
      <c r="BX1826" s="2" t="s">
        <v>330</v>
      </c>
      <c r="BY1826" s="2" t="s">
        <v>331</v>
      </c>
      <c r="BZ1826" s="2" t="s">
        <v>232</v>
      </c>
      <c r="CA1826" s="2" t="s">
        <v>235</v>
      </c>
      <c r="CB1826" s="2" t="s">
        <v>235</v>
      </c>
      <c r="CC1826" s="2" t="s">
        <v>248</v>
      </c>
      <c r="CD1826" s="2" t="s">
        <v>248</v>
      </c>
      <c r="CE1826" s="2" t="s">
        <v>235</v>
      </c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>
        <v>336</v>
      </c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>
        <v>336</v>
      </c>
      <c r="GN1826" s="4">
        <v>292</v>
      </c>
      <c r="GO1826" s="4">
        <v>285</v>
      </c>
      <c r="GP1826" s="4">
        <v>278</v>
      </c>
      <c r="GQ1826" s="4">
        <v>270</v>
      </c>
      <c r="GR1826" s="4">
        <v>259</v>
      </c>
      <c r="GS1826" s="4">
        <v>249</v>
      </c>
      <c r="GT1826" s="4">
        <v>239</v>
      </c>
      <c r="GU1826" s="4">
        <v>227</v>
      </c>
      <c r="GV1826" s="4">
        <v>215</v>
      </c>
      <c r="GW1826" s="4">
        <v>203</v>
      </c>
      <c r="GX1826" s="4">
        <v>191</v>
      </c>
      <c r="GY1826" s="4">
        <v>176</v>
      </c>
      <c r="GZ1826" s="4">
        <v>158</v>
      </c>
      <c r="HA1826" s="4">
        <v>140</v>
      </c>
      <c r="HB1826" s="4">
        <v>122</v>
      </c>
      <c r="HC1826" s="4">
        <v>104</v>
      </c>
      <c r="HD1826" s="9"/>
      <c r="HE1826" s="9"/>
      <c r="HF1826" s="9"/>
      <c r="HG1826" s="9"/>
      <c r="HH1826" s="9"/>
      <c r="HI1826" s="9"/>
      <c r="HJ1826" s="9"/>
      <c r="HK1826" s="9"/>
      <c r="HL1826" s="9"/>
      <c r="HM1826" s="19">
        <v>21</v>
      </c>
      <c r="HN1826" s="19">
        <v>36.5</v>
      </c>
      <c r="HO1826" s="19">
        <v>31.7</v>
      </c>
      <c r="HP1826" s="19">
        <v>27.8</v>
      </c>
      <c r="HQ1826" s="19">
        <v>24.5</v>
      </c>
      <c r="HR1826" s="19">
        <v>23.5</v>
      </c>
      <c r="HS1826" s="19">
        <v>20.8</v>
      </c>
      <c r="HT1826" s="19">
        <v>19.9</v>
      </c>
      <c r="HU1826" s="19">
        <v>17.5</v>
      </c>
      <c r="HV1826" s="19">
        <v>15.4</v>
      </c>
      <c r="HW1826" s="19">
        <v>12.7</v>
      </c>
      <c r="HX1826" s="19">
        <v>11.2</v>
      </c>
      <c r="HY1826" s="19">
        <v>9.8</v>
      </c>
      <c r="HZ1826" s="19">
        <v>8.8</v>
      </c>
      <c r="IA1826" s="19">
        <v>7.8</v>
      </c>
      <c r="IB1826" s="19">
        <v>6.8</v>
      </c>
      <c r="IC1826" s="19">
        <v>5.5</v>
      </c>
    </row>
    <row r="1827">
      <c r="A1827" s="2" t="s">
        <v>6701</v>
      </c>
      <c r="B1827" s="2" t="s">
        <v>1139</v>
      </c>
      <c r="C1827" s="2" t="s">
        <v>324</v>
      </c>
      <c r="D1827" s="2" t="s">
        <v>5956</v>
      </c>
      <c r="E1827" s="2" t="s">
        <v>6688</v>
      </c>
      <c r="F1827" s="2" t="s">
        <v>6689</v>
      </c>
      <c r="G1827" s="2" t="s">
        <v>6689</v>
      </c>
      <c r="H1827" s="2" t="s">
        <v>6689</v>
      </c>
      <c r="I1827" s="2" t="s">
        <v>6690</v>
      </c>
      <c r="J1827" s="2" t="s">
        <v>611</v>
      </c>
      <c r="K1827" s="2" t="s">
        <v>6702</v>
      </c>
      <c r="L1827" s="3">
        <v>23.63</v>
      </c>
      <c r="M1827" s="3">
        <v>24.81</v>
      </c>
      <c r="N1827" s="3">
        <v>52.99</v>
      </c>
      <c r="O1827" s="2" t="s">
        <v>232</v>
      </c>
      <c r="P1827" s="2" t="s">
        <v>878</v>
      </c>
      <c r="Q1827" s="2" t="s">
        <v>234</v>
      </c>
      <c r="R1827" s="2" t="s">
        <v>235</v>
      </c>
      <c r="S1827" s="2" t="s">
        <v>235</v>
      </c>
      <c r="T1827" s="2" t="s">
        <v>263</v>
      </c>
      <c r="U1827" s="2" t="s">
        <v>807</v>
      </c>
      <c r="V1827" s="2" t="s">
        <v>420</v>
      </c>
      <c r="W1827" s="2" t="s">
        <v>682</v>
      </c>
      <c r="X1827" s="2" t="s">
        <v>235</v>
      </c>
      <c r="Y1827" s="2" t="s">
        <v>235</v>
      </c>
      <c r="Z1827" s="4"/>
      <c r="AA1827" s="4">
        <f>=ROUNDDOWN({0},0)</f>
      </c>
      <c r="AB1827" s="5"/>
      <c r="AC1827" s="2" t="s">
        <v>6692</v>
      </c>
      <c r="AD1827" s="4">
        <v>1160</v>
      </c>
      <c r="AE1827" s="4">
        <v>1160</v>
      </c>
      <c r="AF1827" s="6">
        <v>77</v>
      </c>
      <c r="AG1827" s="6"/>
      <c r="AH1827" s="7"/>
      <c r="AI1827" s="4"/>
      <c r="AJ1827" s="4">
        <f>=ROUNDDOWN({0},0)</f>
      </c>
      <c r="AK1827" s="5"/>
      <c r="AL1827" s="2" t="s">
        <v>235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235</v>
      </c>
      <c r="AW1827" s="8" t="s">
        <v>235</v>
      </c>
      <c r="AX1827" s="4" t="s">
        <v>235</v>
      </c>
      <c r="AY1827" s="8" t="s">
        <v>235</v>
      </c>
      <c r="AZ1827" s="7" t="s">
        <v>235</v>
      </c>
      <c r="BA1827" s="7" t="s">
        <v>235</v>
      </c>
      <c r="BB1827" s="7"/>
      <c r="BC1827" s="4" t="s">
        <v>235</v>
      </c>
      <c r="BD1827" s="8" t="s">
        <v>235</v>
      </c>
      <c r="BE1827" s="4" t="s">
        <v>235</v>
      </c>
      <c r="BF1827" s="8" t="s">
        <v>235</v>
      </c>
      <c r="BG1827" s="7" t="s">
        <v>235</v>
      </c>
      <c r="BH1827" s="7" t="s">
        <v>235</v>
      </c>
      <c r="BI1827" s="7"/>
      <c r="BJ1827" s="4"/>
      <c r="BK1827" s="8"/>
      <c r="BL1827" s="2" t="s">
        <v>235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330</v>
      </c>
      <c r="BV1827" s="2" t="s">
        <v>235</v>
      </c>
      <c r="BW1827" s="2" t="s">
        <v>235</v>
      </c>
      <c r="BX1827" s="2" t="s">
        <v>330</v>
      </c>
      <c r="BY1827" s="2" t="s">
        <v>331</v>
      </c>
      <c r="BZ1827" s="2" t="s">
        <v>232</v>
      </c>
      <c r="CA1827" s="2" t="s">
        <v>235</v>
      </c>
      <c r="CB1827" s="2" t="s">
        <v>235</v>
      </c>
      <c r="CC1827" s="2" t="s">
        <v>248</v>
      </c>
      <c r="CD1827" s="2" t="s">
        <v>248</v>
      </c>
      <c r="CE1827" s="2" t="s">
        <v>235</v>
      </c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>
        <v>1160</v>
      </c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>
        <v>1160</v>
      </c>
      <c r="GN1827" s="4">
        <v>1160</v>
      </c>
      <c r="GO1827" s="4">
        <v>1160</v>
      </c>
      <c r="GP1827" s="4">
        <v>1160</v>
      </c>
      <c r="GQ1827" s="4">
        <v>1160</v>
      </c>
      <c r="GR1827" s="4">
        <v>1160</v>
      </c>
      <c r="GS1827" s="4">
        <v>1160</v>
      </c>
      <c r="GT1827" s="4">
        <v>1160</v>
      </c>
      <c r="GU1827" s="4">
        <v>1160</v>
      </c>
      <c r="GV1827" s="4">
        <v>1160</v>
      </c>
      <c r="GW1827" s="4">
        <v>1160</v>
      </c>
      <c r="GX1827" s="4">
        <v>1160</v>
      </c>
      <c r="GY1827" s="4">
        <v>1160</v>
      </c>
      <c r="GZ1827" s="4">
        <v>1160</v>
      </c>
      <c r="HA1827" s="4">
        <v>1160</v>
      </c>
      <c r="HB1827" s="4">
        <v>1160</v>
      </c>
      <c r="HC1827" s="4">
        <v>1160</v>
      </c>
      <c r="HD1827" s="9"/>
      <c r="HE1827" s="9"/>
      <c r="HF1827" s="9"/>
      <c r="HG1827" s="9"/>
      <c r="HH1827" s="9"/>
      <c r="HI1827" s="9"/>
      <c r="HJ1827" s="9"/>
      <c r="HK1827" s="9"/>
      <c r="HL1827" s="9"/>
      <c r="HM1827" s="9"/>
      <c r="HN1827" s="9"/>
      <c r="HO1827" s="9"/>
      <c r="HP1827" s="9"/>
      <c r="HQ1827" s="9"/>
      <c r="HR1827" s="9"/>
      <c r="HS1827" s="9"/>
      <c r="HT1827" s="9"/>
      <c r="HU1827" s="9"/>
      <c r="HV1827" s="9"/>
      <c r="HW1827" s="9"/>
      <c r="HX1827" s="9"/>
      <c r="HY1827" s="9"/>
      <c r="HZ1827" s="9"/>
      <c r="IA1827" s="9"/>
      <c r="IB1827" s="9"/>
      <c r="IC1827" s="9"/>
    </row>
    <row r="1828">
      <c r="A1828" s="2" t="s">
        <v>6703</v>
      </c>
      <c r="B1828" s="2" t="s">
        <v>1139</v>
      </c>
      <c r="C1828" s="2" t="s">
        <v>324</v>
      </c>
      <c r="D1828" s="2" t="s">
        <v>1152</v>
      </c>
      <c r="E1828" s="2" t="s">
        <v>1153</v>
      </c>
      <c r="F1828" s="2" t="s">
        <v>6689</v>
      </c>
      <c r="G1828" s="2" t="s">
        <v>6689</v>
      </c>
      <c r="H1828" s="2" t="s">
        <v>6689</v>
      </c>
      <c r="I1828" s="2" t="s">
        <v>6694</v>
      </c>
      <c r="J1828" s="2" t="s">
        <v>6695</v>
      </c>
      <c r="K1828" s="2" t="s">
        <v>6702</v>
      </c>
      <c r="L1828" s="3">
        <v>10.696451</v>
      </c>
      <c r="M1828" s="3">
        <v>11.24</v>
      </c>
      <c r="N1828" s="3">
        <v>23.99</v>
      </c>
      <c r="O1828" s="2" t="s">
        <v>232</v>
      </c>
      <c r="P1828" s="2" t="s">
        <v>878</v>
      </c>
      <c r="Q1828" s="2" t="s">
        <v>234</v>
      </c>
      <c r="R1828" s="2" t="s">
        <v>235</v>
      </c>
      <c r="S1828" s="2" t="s">
        <v>235</v>
      </c>
      <c r="T1828" s="2" t="s">
        <v>501</v>
      </c>
      <c r="U1828" s="2" t="s">
        <v>807</v>
      </c>
      <c r="V1828" s="2" t="s">
        <v>808</v>
      </c>
      <c r="W1828" s="2" t="s">
        <v>682</v>
      </c>
      <c r="X1828" s="2" t="s">
        <v>235</v>
      </c>
      <c r="Y1828" s="2" t="s">
        <v>235</v>
      </c>
      <c r="Z1828" s="4"/>
      <c r="AA1828" s="4">
        <f>=ROUNDDOWN({0},0)</f>
      </c>
      <c r="AB1828" s="5"/>
      <c r="AC1828" s="2" t="s">
        <v>6692</v>
      </c>
      <c r="AD1828" s="4">
        <v>390</v>
      </c>
      <c r="AE1828" s="4">
        <v>390</v>
      </c>
      <c r="AF1828" s="6">
        <v>77</v>
      </c>
      <c r="AG1828" s="6"/>
      <c r="AH1828" s="7"/>
      <c r="AI1828" s="4"/>
      <c r="AJ1828" s="4">
        <f>=ROUNDDOWN({0},0)</f>
      </c>
      <c r="AK1828" s="5"/>
      <c r="AL1828" s="2" t="s">
        <v>235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235</v>
      </c>
      <c r="AW1828" s="8" t="s">
        <v>235</v>
      </c>
      <c r="AX1828" s="4" t="s">
        <v>235</v>
      </c>
      <c r="AY1828" s="8" t="s">
        <v>235</v>
      </c>
      <c r="AZ1828" s="7" t="s">
        <v>235</v>
      </c>
      <c r="BA1828" s="7" t="s">
        <v>235</v>
      </c>
      <c r="BB1828" s="7"/>
      <c r="BC1828" s="4" t="s">
        <v>235</v>
      </c>
      <c r="BD1828" s="8" t="s">
        <v>235</v>
      </c>
      <c r="BE1828" s="4" t="s">
        <v>235</v>
      </c>
      <c r="BF1828" s="8" t="s">
        <v>235</v>
      </c>
      <c r="BG1828" s="7" t="s">
        <v>235</v>
      </c>
      <c r="BH1828" s="7" t="s">
        <v>235</v>
      </c>
      <c r="BI1828" s="7"/>
      <c r="BJ1828" s="4"/>
      <c r="BK1828" s="8"/>
      <c r="BL1828" s="2" t="s">
        <v>235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330</v>
      </c>
      <c r="BV1828" s="2" t="s">
        <v>235</v>
      </c>
      <c r="BW1828" s="2" t="s">
        <v>235</v>
      </c>
      <c r="BX1828" s="2" t="s">
        <v>330</v>
      </c>
      <c r="BY1828" s="2" t="s">
        <v>331</v>
      </c>
      <c r="BZ1828" s="2" t="s">
        <v>232</v>
      </c>
      <c r="CA1828" s="2" t="s">
        <v>235</v>
      </c>
      <c r="CB1828" s="2" t="s">
        <v>235</v>
      </c>
      <c r="CC1828" s="2" t="s">
        <v>248</v>
      </c>
      <c r="CD1828" s="2" t="s">
        <v>248</v>
      </c>
      <c r="CE1828" s="2" t="s">
        <v>235</v>
      </c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>
        <v>390</v>
      </c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>
        <v>390</v>
      </c>
      <c r="GN1828" s="4">
        <v>346</v>
      </c>
      <c r="GO1828" s="4">
        <v>339</v>
      </c>
      <c r="GP1828" s="4">
        <v>331</v>
      </c>
      <c r="GQ1828" s="4">
        <v>323</v>
      </c>
      <c r="GR1828" s="4">
        <v>311</v>
      </c>
      <c r="GS1828" s="4">
        <v>299</v>
      </c>
      <c r="GT1828" s="4">
        <v>288</v>
      </c>
      <c r="GU1828" s="4">
        <v>274</v>
      </c>
      <c r="GV1828" s="4">
        <v>260</v>
      </c>
      <c r="GW1828" s="4">
        <v>246</v>
      </c>
      <c r="GX1828" s="4">
        <v>232</v>
      </c>
      <c r="GY1828" s="4">
        <v>214</v>
      </c>
      <c r="GZ1828" s="4">
        <v>193</v>
      </c>
      <c r="HA1828" s="4">
        <v>172</v>
      </c>
      <c r="HB1828" s="4">
        <v>151</v>
      </c>
      <c r="HC1828" s="4">
        <v>130</v>
      </c>
      <c r="HD1828" s="9"/>
      <c r="HE1828" s="9"/>
      <c r="HF1828" s="9"/>
      <c r="HG1828" s="9"/>
      <c r="HH1828" s="9"/>
      <c r="HI1828" s="9"/>
      <c r="HJ1828" s="9"/>
      <c r="HK1828" s="9"/>
      <c r="HL1828" s="9"/>
      <c r="HM1828" s="19">
        <v>22.9</v>
      </c>
      <c r="HN1828" s="19">
        <v>38.4</v>
      </c>
      <c r="HO1828" s="19">
        <v>33.9</v>
      </c>
      <c r="HP1828" s="19">
        <v>30.1</v>
      </c>
      <c r="HQ1828" s="19">
        <v>26.9</v>
      </c>
      <c r="HR1828" s="19">
        <v>23.9</v>
      </c>
      <c r="HS1828" s="19">
        <v>23</v>
      </c>
      <c r="HT1828" s="19">
        <v>20.6</v>
      </c>
      <c r="HU1828" s="19">
        <v>18.3</v>
      </c>
      <c r="HV1828" s="19">
        <v>15.3</v>
      </c>
      <c r="HW1828" s="19">
        <v>13.7</v>
      </c>
      <c r="HX1828" s="19">
        <v>11.6</v>
      </c>
      <c r="HY1828" s="19">
        <v>10.2</v>
      </c>
      <c r="HZ1828" s="19">
        <v>8.8</v>
      </c>
      <c r="IA1828" s="19">
        <v>7.8</v>
      </c>
      <c r="IB1828" s="19">
        <v>6.9</v>
      </c>
      <c r="IC1828" s="19">
        <v>5.9</v>
      </c>
    </row>
    <row r="1829">
      <c r="A1829" s="2" t="s">
        <v>6704</v>
      </c>
      <c r="B1829" s="2" t="s">
        <v>1139</v>
      </c>
      <c r="C1829" s="2" t="s">
        <v>324</v>
      </c>
      <c r="D1829" s="2" t="s">
        <v>1152</v>
      </c>
      <c r="E1829" s="2" t="s">
        <v>1153</v>
      </c>
      <c r="F1829" s="2" t="s">
        <v>6689</v>
      </c>
      <c r="G1829" s="2" t="s">
        <v>6689</v>
      </c>
      <c r="H1829" s="2" t="s">
        <v>6689</v>
      </c>
      <c r="I1829" s="2" t="s">
        <v>6694</v>
      </c>
      <c r="J1829" s="2" t="s">
        <v>1413</v>
      </c>
      <c r="K1829" s="2" t="s">
        <v>6702</v>
      </c>
      <c r="L1829" s="3">
        <v>14.263421</v>
      </c>
      <c r="M1829" s="3">
        <v>14.97</v>
      </c>
      <c r="N1829" s="3">
        <v>31.99</v>
      </c>
      <c r="O1829" s="2" t="s">
        <v>232</v>
      </c>
      <c r="P1829" s="2" t="s">
        <v>878</v>
      </c>
      <c r="Q1829" s="2" t="s">
        <v>234</v>
      </c>
      <c r="R1829" s="2" t="s">
        <v>235</v>
      </c>
      <c r="S1829" s="2" t="s">
        <v>235</v>
      </c>
      <c r="T1829" s="2" t="s">
        <v>501</v>
      </c>
      <c r="U1829" s="2" t="s">
        <v>807</v>
      </c>
      <c r="V1829" s="2" t="s">
        <v>808</v>
      </c>
      <c r="W1829" s="2" t="s">
        <v>682</v>
      </c>
      <c r="X1829" s="2" t="s">
        <v>235</v>
      </c>
      <c r="Y1829" s="2" t="s">
        <v>235</v>
      </c>
      <c r="Z1829" s="4"/>
      <c r="AA1829" s="4">
        <f>=ROUNDDOWN({0},0)</f>
      </c>
      <c r="AB1829" s="5"/>
      <c r="AC1829" s="2" t="s">
        <v>6692</v>
      </c>
      <c r="AD1829" s="4">
        <v>822</v>
      </c>
      <c r="AE1829" s="4">
        <v>822</v>
      </c>
      <c r="AF1829" s="6">
        <v>77</v>
      </c>
      <c r="AG1829" s="6"/>
      <c r="AH1829" s="7"/>
      <c r="AI1829" s="4"/>
      <c r="AJ1829" s="4">
        <f>=ROUNDDOWN({0},0)</f>
      </c>
      <c r="AK1829" s="5"/>
      <c r="AL1829" s="2" t="s">
        <v>235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235</v>
      </c>
      <c r="AW1829" s="8" t="s">
        <v>235</v>
      </c>
      <c r="AX1829" s="4" t="s">
        <v>235</v>
      </c>
      <c r="AY1829" s="8" t="s">
        <v>235</v>
      </c>
      <c r="AZ1829" s="7" t="s">
        <v>235</v>
      </c>
      <c r="BA1829" s="7" t="s">
        <v>235</v>
      </c>
      <c r="BB1829" s="7"/>
      <c r="BC1829" s="4" t="s">
        <v>235</v>
      </c>
      <c r="BD1829" s="8" t="s">
        <v>235</v>
      </c>
      <c r="BE1829" s="4" t="s">
        <v>235</v>
      </c>
      <c r="BF1829" s="8" t="s">
        <v>235</v>
      </c>
      <c r="BG1829" s="7" t="s">
        <v>235</v>
      </c>
      <c r="BH1829" s="7" t="s">
        <v>235</v>
      </c>
      <c r="BI1829" s="7"/>
      <c r="BJ1829" s="4"/>
      <c r="BK1829" s="8"/>
      <c r="BL1829" s="2" t="s">
        <v>235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330</v>
      </c>
      <c r="BV1829" s="2" t="s">
        <v>235</v>
      </c>
      <c r="BW1829" s="2" t="s">
        <v>235</v>
      </c>
      <c r="BX1829" s="2" t="s">
        <v>330</v>
      </c>
      <c r="BY1829" s="2" t="s">
        <v>331</v>
      </c>
      <c r="BZ1829" s="2" t="s">
        <v>232</v>
      </c>
      <c r="CA1829" s="2" t="s">
        <v>235</v>
      </c>
      <c r="CB1829" s="2" t="s">
        <v>235</v>
      </c>
      <c r="CC1829" s="2" t="s">
        <v>248</v>
      </c>
      <c r="CD1829" s="2" t="s">
        <v>248</v>
      </c>
      <c r="CE1829" s="2" t="s">
        <v>235</v>
      </c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>
        <v>822</v>
      </c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>
        <v>822</v>
      </c>
      <c r="GN1829" s="4">
        <v>704</v>
      </c>
      <c r="GO1829" s="4">
        <v>687</v>
      </c>
      <c r="GP1829" s="4">
        <v>668</v>
      </c>
      <c r="GQ1829" s="4">
        <v>648</v>
      </c>
      <c r="GR1829" s="4">
        <v>621</v>
      </c>
      <c r="GS1829" s="4">
        <v>595</v>
      </c>
      <c r="GT1829" s="4">
        <v>570</v>
      </c>
      <c r="GU1829" s="4">
        <v>539</v>
      </c>
      <c r="GV1829" s="4">
        <v>508</v>
      </c>
      <c r="GW1829" s="4">
        <v>477</v>
      </c>
      <c r="GX1829" s="4">
        <v>446</v>
      </c>
      <c r="GY1829" s="4">
        <v>407</v>
      </c>
      <c r="GZ1829" s="4">
        <v>362</v>
      </c>
      <c r="HA1829" s="4">
        <v>317</v>
      </c>
      <c r="HB1829" s="4">
        <v>272</v>
      </c>
      <c r="HC1829" s="4">
        <v>227</v>
      </c>
      <c r="HD1829" s="9"/>
      <c r="HE1829" s="9"/>
      <c r="HF1829" s="9"/>
      <c r="HG1829" s="9"/>
      <c r="HH1829" s="9"/>
      <c r="HI1829" s="9"/>
      <c r="HJ1829" s="9"/>
      <c r="HK1829" s="9"/>
      <c r="HL1829" s="9"/>
      <c r="HM1829" s="19">
        <v>18.7</v>
      </c>
      <c r="HN1829" s="19">
        <v>33.5</v>
      </c>
      <c r="HO1829" s="19">
        <v>29.9</v>
      </c>
      <c r="HP1829" s="19">
        <v>27.8</v>
      </c>
      <c r="HQ1829" s="19">
        <v>24</v>
      </c>
      <c r="HR1829" s="19">
        <v>22.2</v>
      </c>
      <c r="HS1829" s="19">
        <v>19.8</v>
      </c>
      <c r="HT1829" s="19">
        <v>18.4</v>
      </c>
      <c r="HU1829" s="19">
        <v>16.3</v>
      </c>
      <c r="HV1829" s="19">
        <v>14.1</v>
      </c>
      <c r="HW1829" s="19">
        <v>11.9</v>
      </c>
      <c r="HX1829" s="19">
        <v>10.1</v>
      </c>
      <c r="HY1829" s="19">
        <v>9</v>
      </c>
      <c r="HZ1829" s="19">
        <v>7.9</v>
      </c>
      <c r="IA1829" s="19">
        <v>6.9</v>
      </c>
      <c r="IB1829" s="19">
        <v>5.9</v>
      </c>
      <c r="IC1829" s="19">
        <v>4.8</v>
      </c>
    </row>
    <row r="1830">
      <c r="A1830" s="2" t="s">
        <v>6705</v>
      </c>
      <c r="B1830" s="2" t="s">
        <v>1139</v>
      </c>
      <c r="C1830" s="2" t="s">
        <v>324</v>
      </c>
      <c r="D1830" s="2" t="s">
        <v>1152</v>
      </c>
      <c r="E1830" s="2" t="s">
        <v>1153</v>
      </c>
      <c r="F1830" s="2" t="s">
        <v>6689</v>
      </c>
      <c r="G1830" s="2" t="s">
        <v>6689</v>
      </c>
      <c r="H1830" s="2" t="s">
        <v>6689</v>
      </c>
      <c r="I1830" s="2" t="s">
        <v>6694</v>
      </c>
      <c r="J1830" s="2" t="s">
        <v>6698</v>
      </c>
      <c r="K1830" s="2" t="s">
        <v>6702</v>
      </c>
      <c r="L1830" s="3">
        <v>17.830391</v>
      </c>
      <c r="M1830" s="3">
        <v>18.72</v>
      </c>
      <c r="N1830" s="3">
        <v>39.99</v>
      </c>
      <c r="O1830" s="2" t="s">
        <v>232</v>
      </c>
      <c r="P1830" s="2" t="s">
        <v>878</v>
      </c>
      <c r="Q1830" s="2" t="s">
        <v>234</v>
      </c>
      <c r="R1830" s="2" t="s">
        <v>235</v>
      </c>
      <c r="S1830" s="2" t="s">
        <v>235</v>
      </c>
      <c r="T1830" s="2" t="s">
        <v>501</v>
      </c>
      <c r="U1830" s="2" t="s">
        <v>807</v>
      </c>
      <c r="V1830" s="2" t="s">
        <v>808</v>
      </c>
      <c r="W1830" s="2" t="s">
        <v>682</v>
      </c>
      <c r="X1830" s="2" t="s">
        <v>235</v>
      </c>
      <c r="Y1830" s="2" t="s">
        <v>235</v>
      </c>
      <c r="Z1830" s="4"/>
      <c r="AA1830" s="4">
        <f>=ROUNDDOWN({0},0)</f>
      </c>
      <c r="AB1830" s="5"/>
      <c r="AC1830" s="2" t="s">
        <v>6692</v>
      </c>
      <c r="AD1830" s="4">
        <v>456</v>
      </c>
      <c r="AE1830" s="4">
        <v>456</v>
      </c>
      <c r="AF1830" s="6">
        <v>77</v>
      </c>
      <c r="AG1830" s="6"/>
      <c r="AH1830" s="7"/>
      <c r="AI1830" s="4"/>
      <c r="AJ1830" s="4">
        <f>=ROUNDDOWN({0},0)</f>
      </c>
      <c r="AK1830" s="5"/>
      <c r="AL1830" s="2" t="s">
        <v>235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235</v>
      </c>
      <c r="AW1830" s="8" t="s">
        <v>235</v>
      </c>
      <c r="AX1830" s="4" t="s">
        <v>235</v>
      </c>
      <c r="AY1830" s="8" t="s">
        <v>235</v>
      </c>
      <c r="AZ1830" s="7" t="s">
        <v>235</v>
      </c>
      <c r="BA1830" s="7" t="s">
        <v>235</v>
      </c>
      <c r="BB1830" s="7"/>
      <c r="BC1830" s="4" t="s">
        <v>235</v>
      </c>
      <c r="BD1830" s="8" t="s">
        <v>235</v>
      </c>
      <c r="BE1830" s="4" t="s">
        <v>235</v>
      </c>
      <c r="BF1830" s="8" t="s">
        <v>235</v>
      </c>
      <c r="BG1830" s="7" t="s">
        <v>235</v>
      </c>
      <c r="BH1830" s="7" t="s">
        <v>235</v>
      </c>
      <c r="BI1830" s="7"/>
      <c r="BJ1830" s="4"/>
      <c r="BK1830" s="8"/>
      <c r="BL1830" s="2" t="s">
        <v>235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330</v>
      </c>
      <c r="BV1830" s="2" t="s">
        <v>235</v>
      </c>
      <c r="BW1830" s="2" t="s">
        <v>235</v>
      </c>
      <c r="BX1830" s="2" t="s">
        <v>330</v>
      </c>
      <c r="BY1830" s="2" t="s">
        <v>331</v>
      </c>
      <c r="BZ1830" s="2" t="s">
        <v>232</v>
      </c>
      <c r="CA1830" s="2" t="s">
        <v>235</v>
      </c>
      <c r="CB1830" s="2" t="s">
        <v>235</v>
      </c>
      <c r="CC1830" s="2" t="s">
        <v>248</v>
      </c>
      <c r="CD1830" s="2" t="s">
        <v>248</v>
      </c>
      <c r="CE1830" s="2" t="s">
        <v>235</v>
      </c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>
        <v>456</v>
      </c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>
        <v>456</v>
      </c>
      <c r="GN1830" s="4">
        <v>409</v>
      </c>
      <c r="GO1830" s="4">
        <v>401</v>
      </c>
      <c r="GP1830" s="4">
        <v>393</v>
      </c>
      <c r="GQ1830" s="4">
        <v>384</v>
      </c>
      <c r="GR1830" s="4">
        <v>371</v>
      </c>
      <c r="GS1830" s="4">
        <v>358</v>
      </c>
      <c r="GT1830" s="4">
        <v>347</v>
      </c>
      <c r="GU1830" s="4">
        <v>332</v>
      </c>
      <c r="GV1830" s="4">
        <v>317</v>
      </c>
      <c r="GW1830" s="4">
        <v>302</v>
      </c>
      <c r="GX1830" s="4">
        <v>287</v>
      </c>
      <c r="GY1830" s="4">
        <v>268</v>
      </c>
      <c r="GZ1830" s="4">
        <v>245</v>
      </c>
      <c r="HA1830" s="4">
        <v>222</v>
      </c>
      <c r="HB1830" s="4">
        <v>199</v>
      </c>
      <c r="HC1830" s="4">
        <v>176</v>
      </c>
      <c r="HD1830" s="9"/>
      <c r="HE1830" s="9"/>
      <c r="HF1830" s="9"/>
      <c r="HG1830" s="9"/>
      <c r="HH1830" s="9"/>
      <c r="HI1830" s="9"/>
      <c r="HJ1830" s="9"/>
      <c r="HK1830" s="9"/>
      <c r="HL1830" s="9"/>
      <c r="HM1830" s="19">
        <v>25.3</v>
      </c>
      <c r="HN1830" s="19">
        <v>40.9</v>
      </c>
      <c r="HO1830" s="19">
        <v>36.5</v>
      </c>
      <c r="HP1830" s="19">
        <v>32.8</v>
      </c>
      <c r="HQ1830" s="19">
        <v>29.5</v>
      </c>
      <c r="HR1830" s="19">
        <v>26.5</v>
      </c>
      <c r="HS1830" s="19">
        <v>25.6</v>
      </c>
      <c r="HT1830" s="19">
        <v>23.1</v>
      </c>
      <c r="HU1830" s="19">
        <v>20.8</v>
      </c>
      <c r="HV1830" s="19">
        <v>17.6</v>
      </c>
      <c r="HW1830" s="19">
        <v>15.1</v>
      </c>
      <c r="HX1830" s="19">
        <v>13</v>
      </c>
      <c r="HY1830" s="19">
        <v>11.7</v>
      </c>
      <c r="HZ1830" s="19">
        <v>10.2</v>
      </c>
      <c r="IA1830" s="19">
        <v>9.3</v>
      </c>
      <c r="IB1830" s="19">
        <v>8.3</v>
      </c>
      <c r="IC1830" s="19">
        <v>7.3</v>
      </c>
    </row>
    <row r="1831">
      <c r="A1831" s="2" t="s">
        <v>6706</v>
      </c>
      <c r="B1831" s="2" t="s">
        <v>1139</v>
      </c>
      <c r="C1831" s="2" t="s">
        <v>324</v>
      </c>
      <c r="D1831" s="2" t="s">
        <v>1152</v>
      </c>
      <c r="E1831" s="2" t="s">
        <v>1153</v>
      </c>
      <c r="F1831" s="2" t="s">
        <v>6689</v>
      </c>
      <c r="G1831" s="2" t="s">
        <v>6689</v>
      </c>
      <c r="H1831" s="2" t="s">
        <v>6689</v>
      </c>
      <c r="I1831" s="2" t="s">
        <v>6694</v>
      </c>
      <c r="J1831" s="2" t="s">
        <v>6700</v>
      </c>
      <c r="K1831" s="2" t="s">
        <v>6702</v>
      </c>
      <c r="L1831" s="3">
        <v>22.289103</v>
      </c>
      <c r="M1831" s="3">
        <v>23.4</v>
      </c>
      <c r="N1831" s="3">
        <v>49.99</v>
      </c>
      <c r="O1831" s="2" t="s">
        <v>232</v>
      </c>
      <c r="P1831" s="2" t="s">
        <v>878</v>
      </c>
      <c r="Q1831" s="2" t="s">
        <v>234</v>
      </c>
      <c r="R1831" s="2" t="s">
        <v>235</v>
      </c>
      <c r="S1831" s="2" t="s">
        <v>235</v>
      </c>
      <c r="T1831" s="2" t="s">
        <v>501</v>
      </c>
      <c r="U1831" s="2" t="s">
        <v>807</v>
      </c>
      <c r="V1831" s="2" t="s">
        <v>808</v>
      </c>
      <c r="W1831" s="2" t="s">
        <v>682</v>
      </c>
      <c r="X1831" s="2" t="s">
        <v>235</v>
      </c>
      <c r="Y1831" s="2" t="s">
        <v>235</v>
      </c>
      <c r="Z1831" s="4"/>
      <c r="AA1831" s="4">
        <f>=ROUNDDOWN({0},0)</f>
      </c>
      <c r="AB1831" s="5"/>
      <c r="AC1831" s="2" t="s">
        <v>6692</v>
      </c>
      <c r="AD1831" s="4">
        <v>366</v>
      </c>
      <c r="AE1831" s="4">
        <v>366</v>
      </c>
      <c r="AF1831" s="6">
        <v>77</v>
      </c>
      <c r="AG1831" s="6"/>
      <c r="AH1831" s="7"/>
      <c r="AI1831" s="4"/>
      <c r="AJ1831" s="4">
        <f>=ROUNDDOWN({0},0)</f>
      </c>
      <c r="AK1831" s="5"/>
      <c r="AL1831" s="2" t="s">
        <v>235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235</v>
      </c>
      <c r="AW1831" s="8" t="s">
        <v>235</v>
      </c>
      <c r="AX1831" s="4" t="s">
        <v>235</v>
      </c>
      <c r="AY1831" s="8" t="s">
        <v>235</v>
      </c>
      <c r="AZ1831" s="7" t="s">
        <v>235</v>
      </c>
      <c r="BA1831" s="7" t="s">
        <v>235</v>
      </c>
      <c r="BB1831" s="7"/>
      <c r="BC1831" s="4" t="s">
        <v>235</v>
      </c>
      <c r="BD1831" s="8" t="s">
        <v>235</v>
      </c>
      <c r="BE1831" s="4" t="s">
        <v>235</v>
      </c>
      <c r="BF1831" s="8" t="s">
        <v>235</v>
      </c>
      <c r="BG1831" s="7" t="s">
        <v>235</v>
      </c>
      <c r="BH1831" s="7" t="s">
        <v>235</v>
      </c>
      <c r="BI1831" s="7"/>
      <c r="BJ1831" s="4"/>
      <c r="BK1831" s="8"/>
      <c r="BL1831" s="2" t="s">
        <v>235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330</v>
      </c>
      <c r="BV1831" s="2" t="s">
        <v>235</v>
      </c>
      <c r="BW1831" s="2" t="s">
        <v>235</v>
      </c>
      <c r="BX1831" s="2" t="s">
        <v>330</v>
      </c>
      <c r="BY1831" s="2" t="s">
        <v>331</v>
      </c>
      <c r="BZ1831" s="2" t="s">
        <v>232</v>
      </c>
      <c r="CA1831" s="2" t="s">
        <v>235</v>
      </c>
      <c r="CB1831" s="2" t="s">
        <v>235</v>
      </c>
      <c r="CC1831" s="2" t="s">
        <v>248</v>
      </c>
      <c r="CD1831" s="2" t="s">
        <v>248</v>
      </c>
      <c r="CE1831" s="2" t="s">
        <v>235</v>
      </c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>
        <v>366</v>
      </c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>
        <v>366</v>
      </c>
      <c r="GN1831" s="4">
        <v>322</v>
      </c>
      <c r="GO1831" s="4">
        <v>315</v>
      </c>
      <c r="GP1831" s="4">
        <v>307</v>
      </c>
      <c r="GQ1831" s="4">
        <v>299</v>
      </c>
      <c r="GR1831" s="4">
        <v>287</v>
      </c>
      <c r="GS1831" s="4">
        <v>276</v>
      </c>
      <c r="GT1831" s="4">
        <v>266</v>
      </c>
      <c r="GU1831" s="4">
        <v>253</v>
      </c>
      <c r="GV1831" s="4">
        <v>240</v>
      </c>
      <c r="GW1831" s="4">
        <v>227</v>
      </c>
      <c r="GX1831" s="4">
        <v>214</v>
      </c>
      <c r="GY1831" s="4">
        <v>197</v>
      </c>
      <c r="GZ1831" s="4">
        <v>177</v>
      </c>
      <c r="HA1831" s="4">
        <v>157</v>
      </c>
      <c r="HB1831" s="4">
        <v>137</v>
      </c>
      <c r="HC1831" s="4">
        <v>117</v>
      </c>
      <c r="HD1831" s="9"/>
      <c r="HE1831" s="9"/>
      <c r="HF1831" s="9"/>
      <c r="HG1831" s="9"/>
      <c r="HH1831" s="9"/>
      <c r="HI1831" s="9"/>
      <c r="HJ1831" s="9"/>
      <c r="HK1831" s="9"/>
      <c r="HL1831" s="9"/>
      <c r="HM1831" s="19">
        <v>21.5</v>
      </c>
      <c r="HN1831" s="19">
        <v>35.8</v>
      </c>
      <c r="HO1831" s="19">
        <v>31.5</v>
      </c>
      <c r="HP1831" s="19">
        <v>30.7</v>
      </c>
      <c r="HQ1831" s="19">
        <v>24.9</v>
      </c>
      <c r="HR1831" s="19">
        <v>23.9</v>
      </c>
      <c r="HS1831" s="19">
        <v>23</v>
      </c>
      <c r="HT1831" s="19">
        <v>20.5</v>
      </c>
      <c r="HU1831" s="19">
        <v>18.1</v>
      </c>
      <c r="HV1831" s="19">
        <v>15</v>
      </c>
      <c r="HW1831" s="19">
        <v>12.6</v>
      </c>
      <c r="HX1831" s="19">
        <v>11.3</v>
      </c>
      <c r="HY1831" s="19">
        <v>9.9</v>
      </c>
      <c r="HZ1831" s="19">
        <v>8.9</v>
      </c>
      <c r="IA1831" s="19">
        <v>7.9</v>
      </c>
      <c r="IB1831" s="19">
        <v>6.9</v>
      </c>
      <c r="IC1831" s="19">
        <v>5.6</v>
      </c>
    </row>
    <row r="1832">
      <c r="A1832" s="2" t="s">
        <v>6707</v>
      </c>
      <c r="B1832" s="2" t="s">
        <v>1139</v>
      </c>
      <c r="C1832" s="2" t="s">
        <v>324</v>
      </c>
      <c r="D1832" s="2" t="s">
        <v>1152</v>
      </c>
      <c r="E1832" s="2" t="s">
        <v>1153</v>
      </c>
      <c r="F1832" s="2" t="s">
        <v>6689</v>
      </c>
      <c r="G1832" s="2" t="s">
        <v>6689</v>
      </c>
      <c r="H1832" s="2" t="s">
        <v>6689</v>
      </c>
      <c r="I1832" s="2" t="s">
        <v>6694</v>
      </c>
      <c r="J1832" s="2" t="s">
        <v>6695</v>
      </c>
      <c r="K1832" s="2" t="s">
        <v>4691</v>
      </c>
      <c r="L1832" s="3">
        <v>10.696451</v>
      </c>
      <c r="M1832" s="3">
        <v>11.24</v>
      </c>
      <c r="N1832" s="3">
        <v>23.99</v>
      </c>
      <c r="O1832" s="2" t="s">
        <v>232</v>
      </c>
      <c r="P1832" s="2" t="s">
        <v>878</v>
      </c>
      <c r="Q1832" s="2" t="s">
        <v>234</v>
      </c>
      <c r="R1832" s="2" t="s">
        <v>235</v>
      </c>
      <c r="S1832" s="2" t="s">
        <v>235</v>
      </c>
      <c r="T1832" s="2" t="s">
        <v>501</v>
      </c>
      <c r="U1832" s="2" t="s">
        <v>807</v>
      </c>
      <c r="V1832" s="2" t="s">
        <v>808</v>
      </c>
      <c r="W1832" s="2" t="s">
        <v>682</v>
      </c>
      <c r="X1832" s="2" t="s">
        <v>235</v>
      </c>
      <c r="Y1832" s="2" t="s">
        <v>235</v>
      </c>
      <c r="Z1832" s="4"/>
      <c r="AA1832" s="4">
        <f>=ROUNDDOWN({0},0)</f>
      </c>
      <c r="AB1832" s="5"/>
      <c r="AC1832" s="2" t="s">
        <v>6692</v>
      </c>
      <c r="AD1832" s="4">
        <v>390</v>
      </c>
      <c r="AE1832" s="4">
        <v>390</v>
      </c>
      <c r="AF1832" s="6">
        <v>77</v>
      </c>
      <c r="AG1832" s="6"/>
      <c r="AH1832" s="7"/>
      <c r="AI1832" s="4"/>
      <c r="AJ1832" s="4">
        <f>=ROUNDDOWN({0},0)</f>
      </c>
      <c r="AK1832" s="5"/>
      <c r="AL1832" s="2" t="s">
        <v>235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235</v>
      </c>
      <c r="AW1832" s="8" t="s">
        <v>235</v>
      </c>
      <c r="AX1832" s="4" t="s">
        <v>235</v>
      </c>
      <c r="AY1832" s="8" t="s">
        <v>235</v>
      </c>
      <c r="AZ1832" s="7" t="s">
        <v>235</v>
      </c>
      <c r="BA1832" s="7" t="s">
        <v>235</v>
      </c>
      <c r="BB1832" s="7"/>
      <c r="BC1832" s="4" t="s">
        <v>235</v>
      </c>
      <c r="BD1832" s="8" t="s">
        <v>235</v>
      </c>
      <c r="BE1832" s="4" t="s">
        <v>235</v>
      </c>
      <c r="BF1832" s="8" t="s">
        <v>235</v>
      </c>
      <c r="BG1832" s="7" t="s">
        <v>235</v>
      </c>
      <c r="BH1832" s="7" t="s">
        <v>235</v>
      </c>
      <c r="BI1832" s="7"/>
      <c r="BJ1832" s="4"/>
      <c r="BK1832" s="8"/>
      <c r="BL1832" s="2" t="s">
        <v>235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330</v>
      </c>
      <c r="BV1832" s="2" t="s">
        <v>235</v>
      </c>
      <c r="BW1832" s="2" t="s">
        <v>235</v>
      </c>
      <c r="BX1832" s="2" t="s">
        <v>330</v>
      </c>
      <c r="BY1832" s="2" t="s">
        <v>331</v>
      </c>
      <c r="BZ1832" s="2" t="s">
        <v>232</v>
      </c>
      <c r="CA1832" s="2" t="s">
        <v>235</v>
      </c>
      <c r="CB1832" s="2" t="s">
        <v>235</v>
      </c>
      <c r="CC1832" s="2" t="s">
        <v>248</v>
      </c>
      <c r="CD1832" s="2" t="s">
        <v>248</v>
      </c>
      <c r="CE1832" s="2" t="s">
        <v>235</v>
      </c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>
        <v>390</v>
      </c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>
        <v>390</v>
      </c>
      <c r="GN1832" s="4">
        <v>346</v>
      </c>
      <c r="GO1832" s="4">
        <v>339</v>
      </c>
      <c r="GP1832" s="4">
        <v>331</v>
      </c>
      <c r="GQ1832" s="4">
        <v>323</v>
      </c>
      <c r="GR1832" s="4">
        <v>311</v>
      </c>
      <c r="GS1832" s="4">
        <v>299</v>
      </c>
      <c r="GT1832" s="4">
        <v>288</v>
      </c>
      <c r="GU1832" s="4">
        <v>274</v>
      </c>
      <c r="GV1832" s="4">
        <v>260</v>
      </c>
      <c r="GW1832" s="4">
        <v>246</v>
      </c>
      <c r="GX1832" s="4">
        <v>232</v>
      </c>
      <c r="GY1832" s="4">
        <v>214</v>
      </c>
      <c r="GZ1832" s="4">
        <v>193</v>
      </c>
      <c r="HA1832" s="4">
        <v>172</v>
      </c>
      <c r="HB1832" s="4">
        <v>151</v>
      </c>
      <c r="HC1832" s="4">
        <v>130</v>
      </c>
      <c r="HD1832" s="9"/>
      <c r="HE1832" s="9"/>
      <c r="HF1832" s="9"/>
      <c r="HG1832" s="9"/>
      <c r="HH1832" s="9"/>
      <c r="HI1832" s="9"/>
      <c r="HJ1832" s="9"/>
      <c r="HK1832" s="9"/>
      <c r="HL1832" s="9"/>
      <c r="HM1832" s="19">
        <v>22.9</v>
      </c>
      <c r="HN1832" s="19">
        <v>38.4</v>
      </c>
      <c r="HO1832" s="19">
        <v>33.9</v>
      </c>
      <c r="HP1832" s="19">
        <v>30.1</v>
      </c>
      <c r="HQ1832" s="19">
        <v>26.9</v>
      </c>
      <c r="HR1832" s="19">
        <v>23.9</v>
      </c>
      <c r="HS1832" s="19">
        <v>23</v>
      </c>
      <c r="HT1832" s="19">
        <v>20.6</v>
      </c>
      <c r="HU1832" s="19">
        <v>18.3</v>
      </c>
      <c r="HV1832" s="19">
        <v>15.3</v>
      </c>
      <c r="HW1832" s="19">
        <v>13.7</v>
      </c>
      <c r="HX1832" s="19">
        <v>11.6</v>
      </c>
      <c r="HY1832" s="19">
        <v>10.2</v>
      </c>
      <c r="HZ1832" s="19">
        <v>8.8</v>
      </c>
      <c r="IA1832" s="19">
        <v>7.8</v>
      </c>
      <c r="IB1832" s="19">
        <v>6.9</v>
      </c>
      <c r="IC1832" s="19">
        <v>5.9</v>
      </c>
    </row>
    <row r="1833">
      <c r="A1833" s="2" t="s">
        <v>6708</v>
      </c>
      <c r="B1833" s="2" t="s">
        <v>1139</v>
      </c>
      <c r="C1833" s="2" t="s">
        <v>324</v>
      </c>
      <c r="D1833" s="2" t="s">
        <v>1152</v>
      </c>
      <c r="E1833" s="2" t="s">
        <v>1153</v>
      </c>
      <c r="F1833" s="2" t="s">
        <v>6689</v>
      </c>
      <c r="G1833" s="2" t="s">
        <v>6689</v>
      </c>
      <c r="H1833" s="2" t="s">
        <v>6689</v>
      </c>
      <c r="I1833" s="2" t="s">
        <v>6694</v>
      </c>
      <c r="J1833" s="2" t="s">
        <v>1413</v>
      </c>
      <c r="K1833" s="2" t="s">
        <v>4691</v>
      </c>
      <c r="L1833" s="3">
        <v>14.263421</v>
      </c>
      <c r="M1833" s="3">
        <v>14.97</v>
      </c>
      <c r="N1833" s="3">
        <v>31.99</v>
      </c>
      <c r="O1833" s="2" t="s">
        <v>232</v>
      </c>
      <c r="P1833" s="2" t="s">
        <v>878</v>
      </c>
      <c r="Q1833" s="2" t="s">
        <v>234</v>
      </c>
      <c r="R1833" s="2" t="s">
        <v>235</v>
      </c>
      <c r="S1833" s="2" t="s">
        <v>235</v>
      </c>
      <c r="T1833" s="2" t="s">
        <v>501</v>
      </c>
      <c r="U1833" s="2" t="s">
        <v>807</v>
      </c>
      <c r="V1833" s="2" t="s">
        <v>808</v>
      </c>
      <c r="W1833" s="2" t="s">
        <v>682</v>
      </c>
      <c r="X1833" s="2" t="s">
        <v>235</v>
      </c>
      <c r="Y1833" s="2" t="s">
        <v>235</v>
      </c>
      <c r="Z1833" s="4"/>
      <c r="AA1833" s="4">
        <f>=ROUNDDOWN({0},0)</f>
      </c>
      <c r="AB1833" s="5"/>
      <c r="AC1833" s="2" t="s">
        <v>6692</v>
      </c>
      <c r="AD1833" s="4">
        <v>822</v>
      </c>
      <c r="AE1833" s="4">
        <v>822</v>
      </c>
      <c r="AF1833" s="6">
        <v>77</v>
      </c>
      <c r="AG1833" s="6"/>
      <c r="AH1833" s="7"/>
      <c r="AI1833" s="4"/>
      <c r="AJ1833" s="4">
        <f>=ROUNDDOWN({0},0)</f>
      </c>
      <c r="AK1833" s="5"/>
      <c r="AL1833" s="2" t="s">
        <v>235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235</v>
      </c>
      <c r="AW1833" s="8" t="s">
        <v>235</v>
      </c>
      <c r="AX1833" s="4" t="s">
        <v>235</v>
      </c>
      <c r="AY1833" s="8" t="s">
        <v>235</v>
      </c>
      <c r="AZ1833" s="7" t="s">
        <v>235</v>
      </c>
      <c r="BA1833" s="7" t="s">
        <v>235</v>
      </c>
      <c r="BB1833" s="7"/>
      <c r="BC1833" s="4" t="s">
        <v>235</v>
      </c>
      <c r="BD1833" s="8" t="s">
        <v>235</v>
      </c>
      <c r="BE1833" s="4" t="s">
        <v>235</v>
      </c>
      <c r="BF1833" s="8" t="s">
        <v>235</v>
      </c>
      <c r="BG1833" s="7" t="s">
        <v>235</v>
      </c>
      <c r="BH1833" s="7" t="s">
        <v>235</v>
      </c>
      <c r="BI1833" s="7"/>
      <c r="BJ1833" s="4"/>
      <c r="BK1833" s="8"/>
      <c r="BL1833" s="2" t="s">
        <v>235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330</v>
      </c>
      <c r="BV1833" s="2" t="s">
        <v>235</v>
      </c>
      <c r="BW1833" s="2" t="s">
        <v>235</v>
      </c>
      <c r="BX1833" s="2" t="s">
        <v>330</v>
      </c>
      <c r="BY1833" s="2" t="s">
        <v>331</v>
      </c>
      <c r="BZ1833" s="2" t="s">
        <v>232</v>
      </c>
      <c r="CA1833" s="2" t="s">
        <v>235</v>
      </c>
      <c r="CB1833" s="2" t="s">
        <v>235</v>
      </c>
      <c r="CC1833" s="2" t="s">
        <v>248</v>
      </c>
      <c r="CD1833" s="2" t="s">
        <v>248</v>
      </c>
      <c r="CE1833" s="2" t="s">
        <v>235</v>
      </c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>
        <v>822</v>
      </c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>
        <v>822</v>
      </c>
      <c r="GN1833" s="4">
        <v>704</v>
      </c>
      <c r="GO1833" s="4">
        <v>687</v>
      </c>
      <c r="GP1833" s="4">
        <v>668</v>
      </c>
      <c r="GQ1833" s="4">
        <v>648</v>
      </c>
      <c r="GR1833" s="4">
        <v>621</v>
      </c>
      <c r="GS1833" s="4">
        <v>595</v>
      </c>
      <c r="GT1833" s="4">
        <v>570</v>
      </c>
      <c r="GU1833" s="4">
        <v>539</v>
      </c>
      <c r="GV1833" s="4">
        <v>508</v>
      </c>
      <c r="GW1833" s="4">
        <v>477</v>
      </c>
      <c r="GX1833" s="4">
        <v>446</v>
      </c>
      <c r="GY1833" s="4">
        <v>407</v>
      </c>
      <c r="GZ1833" s="4">
        <v>362</v>
      </c>
      <c r="HA1833" s="4">
        <v>317</v>
      </c>
      <c r="HB1833" s="4">
        <v>272</v>
      </c>
      <c r="HC1833" s="4">
        <v>227</v>
      </c>
      <c r="HD1833" s="9"/>
      <c r="HE1833" s="9"/>
      <c r="HF1833" s="9"/>
      <c r="HG1833" s="9"/>
      <c r="HH1833" s="9"/>
      <c r="HI1833" s="9"/>
      <c r="HJ1833" s="9"/>
      <c r="HK1833" s="9"/>
      <c r="HL1833" s="9"/>
      <c r="HM1833" s="19">
        <v>18.7</v>
      </c>
      <c r="HN1833" s="19">
        <v>33.5</v>
      </c>
      <c r="HO1833" s="19">
        <v>29.9</v>
      </c>
      <c r="HP1833" s="19">
        <v>27.8</v>
      </c>
      <c r="HQ1833" s="19">
        <v>24</v>
      </c>
      <c r="HR1833" s="19">
        <v>22.2</v>
      </c>
      <c r="HS1833" s="19">
        <v>19.8</v>
      </c>
      <c r="HT1833" s="19">
        <v>18.4</v>
      </c>
      <c r="HU1833" s="19">
        <v>16.3</v>
      </c>
      <c r="HV1833" s="19">
        <v>14.1</v>
      </c>
      <c r="HW1833" s="19">
        <v>11.9</v>
      </c>
      <c r="HX1833" s="19">
        <v>10.1</v>
      </c>
      <c r="HY1833" s="19">
        <v>9</v>
      </c>
      <c r="HZ1833" s="19">
        <v>7.9</v>
      </c>
      <c r="IA1833" s="19">
        <v>6.9</v>
      </c>
      <c r="IB1833" s="19">
        <v>5.9</v>
      </c>
      <c r="IC1833" s="19">
        <v>4.8</v>
      </c>
    </row>
    <row r="1834">
      <c r="A1834" s="2" t="s">
        <v>6709</v>
      </c>
      <c r="B1834" s="2" t="s">
        <v>1139</v>
      </c>
      <c r="C1834" s="2" t="s">
        <v>324</v>
      </c>
      <c r="D1834" s="2" t="s">
        <v>1152</v>
      </c>
      <c r="E1834" s="2" t="s">
        <v>1153</v>
      </c>
      <c r="F1834" s="2" t="s">
        <v>6689</v>
      </c>
      <c r="G1834" s="2" t="s">
        <v>6689</v>
      </c>
      <c r="H1834" s="2" t="s">
        <v>6689</v>
      </c>
      <c r="I1834" s="2" t="s">
        <v>6694</v>
      </c>
      <c r="J1834" s="2" t="s">
        <v>6698</v>
      </c>
      <c r="K1834" s="2" t="s">
        <v>4691</v>
      </c>
      <c r="L1834" s="3">
        <v>17.830391</v>
      </c>
      <c r="M1834" s="3">
        <v>18.72</v>
      </c>
      <c r="N1834" s="3">
        <v>39.99</v>
      </c>
      <c r="O1834" s="2" t="s">
        <v>232</v>
      </c>
      <c r="P1834" s="2" t="s">
        <v>878</v>
      </c>
      <c r="Q1834" s="2" t="s">
        <v>234</v>
      </c>
      <c r="R1834" s="2" t="s">
        <v>235</v>
      </c>
      <c r="S1834" s="2" t="s">
        <v>235</v>
      </c>
      <c r="T1834" s="2" t="s">
        <v>501</v>
      </c>
      <c r="U1834" s="2" t="s">
        <v>807</v>
      </c>
      <c r="V1834" s="2" t="s">
        <v>808</v>
      </c>
      <c r="W1834" s="2" t="s">
        <v>682</v>
      </c>
      <c r="X1834" s="2" t="s">
        <v>235</v>
      </c>
      <c r="Y1834" s="2" t="s">
        <v>235</v>
      </c>
      <c r="Z1834" s="4"/>
      <c r="AA1834" s="4">
        <f>=ROUNDDOWN({0},0)</f>
      </c>
      <c r="AB1834" s="5"/>
      <c r="AC1834" s="2" t="s">
        <v>6692</v>
      </c>
      <c r="AD1834" s="4">
        <v>456</v>
      </c>
      <c r="AE1834" s="4">
        <v>456</v>
      </c>
      <c r="AF1834" s="6">
        <v>77</v>
      </c>
      <c r="AG1834" s="6"/>
      <c r="AH1834" s="7"/>
      <c r="AI1834" s="4"/>
      <c r="AJ1834" s="4">
        <f>=ROUNDDOWN({0},0)</f>
      </c>
      <c r="AK1834" s="5"/>
      <c r="AL1834" s="2" t="s">
        <v>235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235</v>
      </c>
      <c r="AW1834" s="8" t="s">
        <v>235</v>
      </c>
      <c r="AX1834" s="4" t="s">
        <v>235</v>
      </c>
      <c r="AY1834" s="8" t="s">
        <v>235</v>
      </c>
      <c r="AZ1834" s="7" t="s">
        <v>235</v>
      </c>
      <c r="BA1834" s="7" t="s">
        <v>235</v>
      </c>
      <c r="BB1834" s="7"/>
      <c r="BC1834" s="4" t="s">
        <v>235</v>
      </c>
      <c r="BD1834" s="8" t="s">
        <v>235</v>
      </c>
      <c r="BE1834" s="4" t="s">
        <v>235</v>
      </c>
      <c r="BF1834" s="8" t="s">
        <v>235</v>
      </c>
      <c r="BG1834" s="7" t="s">
        <v>235</v>
      </c>
      <c r="BH1834" s="7" t="s">
        <v>235</v>
      </c>
      <c r="BI1834" s="7"/>
      <c r="BJ1834" s="4"/>
      <c r="BK1834" s="8"/>
      <c r="BL1834" s="2" t="s">
        <v>235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330</v>
      </c>
      <c r="BV1834" s="2" t="s">
        <v>235</v>
      </c>
      <c r="BW1834" s="2" t="s">
        <v>235</v>
      </c>
      <c r="BX1834" s="2" t="s">
        <v>330</v>
      </c>
      <c r="BY1834" s="2" t="s">
        <v>331</v>
      </c>
      <c r="BZ1834" s="2" t="s">
        <v>232</v>
      </c>
      <c r="CA1834" s="2" t="s">
        <v>235</v>
      </c>
      <c r="CB1834" s="2" t="s">
        <v>235</v>
      </c>
      <c r="CC1834" s="2" t="s">
        <v>248</v>
      </c>
      <c r="CD1834" s="2" t="s">
        <v>248</v>
      </c>
      <c r="CE1834" s="2" t="s">
        <v>235</v>
      </c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>
        <v>456</v>
      </c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>
        <v>456</v>
      </c>
      <c r="GN1834" s="4">
        <v>409</v>
      </c>
      <c r="GO1834" s="4">
        <v>401</v>
      </c>
      <c r="GP1834" s="4">
        <v>393</v>
      </c>
      <c r="GQ1834" s="4">
        <v>384</v>
      </c>
      <c r="GR1834" s="4">
        <v>371</v>
      </c>
      <c r="GS1834" s="4">
        <v>358</v>
      </c>
      <c r="GT1834" s="4">
        <v>347</v>
      </c>
      <c r="GU1834" s="4">
        <v>332</v>
      </c>
      <c r="GV1834" s="4">
        <v>317</v>
      </c>
      <c r="GW1834" s="4">
        <v>302</v>
      </c>
      <c r="GX1834" s="4">
        <v>287</v>
      </c>
      <c r="GY1834" s="4">
        <v>268</v>
      </c>
      <c r="GZ1834" s="4">
        <v>245</v>
      </c>
      <c r="HA1834" s="4">
        <v>222</v>
      </c>
      <c r="HB1834" s="4">
        <v>199</v>
      </c>
      <c r="HC1834" s="4">
        <v>176</v>
      </c>
      <c r="HD1834" s="9"/>
      <c r="HE1834" s="9"/>
      <c r="HF1834" s="9"/>
      <c r="HG1834" s="9"/>
      <c r="HH1834" s="9"/>
      <c r="HI1834" s="9"/>
      <c r="HJ1834" s="9"/>
      <c r="HK1834" s="9"/>
      <c r="HL1834" s="9"/>
      <c r="HM1834" s="19">
        <v>25.3</v>
      </c>
      <c r="HN1834" s="19">
        <v>40.9</v>
      </c>
      <c r="HO1834" s="19">
        <v>36.5</v>
      </c>
      <c r="HP1834" s="19">
        <v>32.8</v>
      </c>
      <c r="HQ1834" s="19">
        <v>29.5</v>
      </c>
      <c r="HR1834" s="19">
        <v>26.5</v>
      </c>
      <c r="HS1834" s="19">
        <v>25.6</v>
      </c>
      <c r="HT1834" s="19">
        <v>23.1</v>
      </c>
      <c r="HU1834" s="19">
        <v>20.8</v>
      </c>
      <c r="HV1834" s="19">
        <v>17.6</v>
      </c>
      <c r="HW1834" s="19">
        <v>15.1</v>
      </c>
      <c r="HX1834" s="19">
        <v>13</v>
      </c>
      <c r="HY1834" s="19">
        <v>11.7</v>
      </c>
      <c r="HZ1834" s="19">
        <v>10.2</v>
      </c>
      <c r="IA1834" s="19">
        <v>9.3</v>
      </c>
      <c r="IB1834" s="19">
        <v>8.3</v>
      </c>
      <c r="IC1834" s="19">
        <v>7.3</v>
      </c>
    </row>
    <row r="1835">
      <c r="A1835" s="2" t="s">
        <v>6710</v>
      </c>
      <c r="B1835" s="2" t="s">
        <v>1139</v>
      </c>
      <c r="C1835" s="2" t="s">
        <v>324</v>
      </c>
      <c r="D1835" s="2" t="s">
        <v>1152</v>
      </c>
      <c r="E1835" s="2" t="s">
        <v>1153</v>
      </c>
      <c r="F1835" s="2" t="s">
        <v>6689</v>
      </c>
      <c r="G1835" s="2" t="s">
        <v>6689</v>
      </c>
      <c r="H1835" s="2" t="s">
        <v>6689</v>
      </c>
      <c r="I1835" s="2" t="s">
        <v>6694</v>
      </c>
      <c r="J1835" s="2" t="s">
        <v>6700</v>
      </c>
      <c r="K1835" s="2" t="s">
        <v>4691</v>
      </c>
      <c r="L1835" s="3">
        <v>22.289103</v>
      </c>
      <c r="M1835" s="3">
        <v>23.4</v>
      </c>
      <c r="N1835" s="3">
        <v>49.99</v>
      </c>
      <c r="O1835" s="2" t="s">
        <v>232</v>
      </c>
      <c r="P1835" s="2" t="s">
        <v>878</v>
      </c>
      <c r="Q1835" s="2" t="s">
        <v>234</v>
      </c>
      <c r="R1835" s="2" t="s">
        <v>235</v>
      </c>
      <c r="S1835" s="2" t="s">
        <v>235</v>
      </c>
      <c r="T1835" s="2" t="s">
        <v>501</v>
      </c>
      <c r="U1835" s="2" t="s">
        <v>807</v>
      </c>
      <c r="V1835" s="2" t="s">
        <v>808</v>
      </c>
      <c r="W1835" s="2" t="s">
        <v>682</v>
      </c>
      <c r="X1835" s="2" t="s">
        <v>235</v>
      </c>
      <c r="Y1835" s="2" t="s">
        <v>235</v>
      </c>
      <c r="Z1835" s="4"/>
      <c r="AA1835" s="4">
        <f>=ROUNDDOWN({0},0)</f>
      </c>
      <c r="AB1835" s="5"/>
      <c r="AC1835" s="2" t="s">
        <v>6692</v>
      </c>
      <c r="AD1835" s="4">
        <v>366</v>
      </c>
      <c r="AE1835" s="4">
        <v>366</v>
      </c>
      <c r="AF1835" s="6">
        <v>77</v>
      </c>
      <c r="AG1835" s="6"/>
      <c r="AH1835" s="7"/>
      <c r="AI1835" s="4"/>
      <c r="AJ1835" s="4">
        <f>=ROUNDDOWN({0},0)</f>
      </c>
      <c r="AK1835" s="5"/>
      <c r="AL1835" s="2" t="s">
        <v>235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235</v>
      </c>
      <c r="AW1835" s="8" t="s">
        <v>235</v>
      </c>
      <c r="AX1835" s="4" t="s">
        <v>235</v>
      </c>
      <c r="AY1835" s="8" t="s">
        <v>235</v>
      </c>
      <c r="AZ1835" s="7" t="s">
        <v>235</v>
      </c>
      <c r="BA1835" s="7" t="s">
        <v>235</v>
      </c>
      <c r="BB1835" s="7"/>
      <c r="BC1835" s="4" t="s">
        <v>235</v>
      </c>
      <c r="BD1835" s="8" t="s">
        <v>235</v>
      </c>
      <c r="BE1835" s="4" t="s">
        <v>235</v>
      </c>
      <c r="BF1835" s="8" t="s">
        <v>235</v>
      </c>
      <c r="BG1835" s="7" t="s">
        <v>235</v>
      </c>
      <c r="BH1835" s="7" t="s">
        <v>235</v>
      </c>
      <c r="BI1835" s="7"/>
      <c r="BJ1835" s="4"/>
      <c r="BK1835" s="8"/>
      <c r="BL1835" s="2" t="s">
        <v>235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330</v>
      </c>
      <c r="BV1835" s="2" t="s">
        <v>235</v>
      </c>
      <c r="BW1835" s="2" t="s">
        <v>235</v>
      </c>
      <c r="BX1835" s="2" t="s">
        <v>330</v>
      </c>
      <c r="BY1835" s="2" t="s">
        <v>331</v>
      </c>
      <c r="BZ1835" s="2" t="s">
        <v>232</v>
      </c>
      <c r="CA1835" s="2" t="s">
        <v>235</v>
      </c>
      <c r="CB1835" s="2" t="s">
        <v>235</v>
      </c>
      <c r="CC1835" s="2" t="s">
        <v>248</v>
      </c>
      <c r="CD1835" s="2" t="s">
        <v>248</v>
      </c>
      <c r="CE1835" s="2" t="s">
        <v>235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>
        <v>366</v>
      </c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>
        <v>366</v>
      </c>
      <c r="GN1835" s="4">
        <v>322</v>
      </c>
      <c r="GO1835" s="4">
        <v>315</v>
      </c>
      <c r="GP1835" s="4">
        <v>307</v>
      </c>
      <c r="GQ1835" s="4">
        <v>299</v>
      </c>
      <c r="GR1835" s="4">
        <v>287</v>
      </c>
      <c r="GS1835" s="4">
        <v>276</v>
      </c>
      <c r="GT1835" s="4">
        <v>266</v>
      </c>
      <c r="GU1835" s="4">
        <v>253</v>
      </c>
      <c r="GV1835" s="4">
        <v>240</v>
      </c>
      <c r="GW1835" s="4">
        <v>227</v>
      </c>
      <c r="GX1835" s="4">
        <v>214</v>
      </c>
      <c r="GY1835" s="4">
        <v>197</v>
      </c>
      <c r="GZ1835" s="4">
        <v>177</v>
      </c>
      <c r="HA1835" s="4">
        <v>157</v>
      </c>
      <c r="HB1835" s="4">
        <v>137</v>
      </c>
      <c r="HC1835" s="4">
        <v>117</v>
      </c>
      <c r="HD1835" s="9"/>
      <c r="HE1835" s="9"/>
      <c r="HF1835" s="9"/>
      <c r="HG1835" s="9"/>
      <c r="HH1835" s="9"/>
      <c r="HI1835" s="9"/>
      <c r="HJ1835" s="9"/>
      <c r="HK1835" s="9"/>
      <c r="HL1835" s="9"/>
      <c r="HM1835" s="19">
        <v>21.5</v>
      </c>
      <c r="HN1835" s="19">
        <v>35.8</v>
      </c>
      <c r="HO1835" s="19">
        <v>31.5</v>
      </c>
      <c r="HP1835" s="19">
        <v>30.7</v>
      </c>
      <c r="HQ1835" s="19">
        <v>24.9</v>
      </c>
      <c r="HR1835" s="19">
        <v>23.9</v>
      </c>
      <c r="HS1835" s="19">
        <v>23</v>
      </c>
      <c r="HT1835" s="19">
        <v>20.5</v>
      </c>
      <c r="HU1835" s="19">
        <v>18.1</v>
      </c>
      <c r="HV1835" s="19">
        <v>15</v>
      </c>
      <c r="HW1835" s="19">
        <v>12.6</v>
      </c>
      <c r="HX1835" s="9"/>
      <c r="HY1835" s="19">
        <v>9.9</v>
      </c>
      <c r="HZ1835" s="19">
        <v>8.9</v>
      </c>
      <c r="IA1835" s="19">
        <v>7.9</v>
      </c>
      <c r="IB1835" s="19">
        <v>6.9</v>
      </c>
      <c r="IC1835" s="19">
        <v>5.6</v>
      </c>
    </row>
    <row r="1836">
      <c r="A1836" s="2" t="s">
        <v>6711</v>
      </c>
      <c r="B1836" s="2" t="s">
        <v>1139</v>
      </c>
      <c r="C1836" s="2" t="s">
        <v>324</v>
      </c>
      <c r="D1836" s="2" t="s">
        <v>1152</v>
      </c>
      <c r="E1836" s="2" t="s">
        <v>1153</v>
      </c>
      <c r="F1836" s="2" t="s">
        <v>6689</v>
      </c>
      <c r="G1836" s="2" t="s">
        <v>6689</v>
      </c>
      <c r="H1836" s="2" t="s">
        <v>6689</v>
      </c>
      <c r="I1836" s="2" t="s">
        <v>6694</v>
      </c>
      <c r="J1836" s="2" t="s">
        <v>6695</v>
      </c>
      <c r="K1836" s="2" t="s">
        <v>6712</v>
      </c>
      <c r="L1836" s="3">
        <v>10.696451</v>
      </c>
      <c r="M1836" s="3">
        <v>11.24</v>
      </c>
      <c r="N1836" s="3">
        <v>23.99</v>
      </c>
      <c r="O1836" s="2" t="s">
        <v>232</v>
      </c>
      <c r="P1836" s="2" t="s">
        <v>878</v>
      </c>
      <c r="Q1836" s="2" t="s">
        <v>234</v>
      </c>
      <c r="R1836" s="2" t="s">
        <v>235</v>
      </c>
      <c r="S1836" s="2" t="s">
        <v>235</v>
      </c>
      <c r="T1836" s="2" t="s">
        <v>501</v>
      </c>
      <c r="U1836" s="2" t="s">
        <v>807</v>
      </c>
      <c r="V1836" s="2" t="s">
        <v>808</v>
      </c>
      <c r="W1836" s="2" t="s">
        <v>682</v>
      </c>
      <c r="X1836" s="2" t="s">
        <v>235</v>
      </c>
      <c r="Y1836" s="2" t="s">
        <v>235</v>
      </c>
      <c r="Z1836" s="4"/>
      <c r="AA1836" s="4">
        <f>=ROUNDDOWN({0},0)</f>
      </c>
      <c r="AB1836" s="5"/>
      <c r="AC1836" s="2" t="s">
        <v>6692</v>
      </c>
      <c r="AD1836" s="4">
        <v>390</v>
      </c>
      <c r="AE1836" s="4">
        <v>390</v>
      </c>
      <c r="AF1836" s="6">
        <v>77</v>
      </c>
      <c r="AG1836" s="6"/>
      <c r="AH1836" s="7"/>
      <c r="AI1836" s="4"/>
      <c r="AJ1836" s="4">
        <f>=ROUNDDOWN({0},0)</f>
      </c>
      <c r="AK1836" s="5"/>
      <c r="AL1836" s="2" t="s">
        <v>235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235</v>
      </c>
      <c r="AW1836" s="8" t="s">
        <v>235</v>
      </c>
      <c r="AX1836" s="4" t="s">
        <v>235</v>
      </c>
      <c r="AY1836" s="8" t="s">
        <v>235</v>
      </c>
      <c r="AZ1836" s="7" t="s">
        <v>235</v>
      </c>
      <c r="BA1836" s="7" t="s">
        <v>235</v>
      </c>
      <c r="BB1836" s="7"/>
      <c r="BC1836" s="4" t="s">
        <v>235</v>
      </c>
      <c r="BD1836" s="8" t="s">
        <v>235</v>
      </c>
      <c r="BE1836" s="4" t="s">
        <v>235</v>
      </c>
      <c r="BF1836" s="8" t="s">
        <v>235</v>
      </c>
      <c r="BG1836" s="7" t="s">
        <v>235</v>
      </c>
      <c r="BH1836" s="7" t="s">
        <v>235</v>
      </c>
      <c r="BI1836" s="7"/>
      <c r="BJ1836" s="4"/>
      <c r="BK1836" s="8"/>
      <c r="BL1836" s="2" t="s">
        <v>235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330</v>
      </c>
      <c r="BV1836" s="2" t="s">
        <v>235</v>
      </c>
      <c r="BW1836" s="2" t="s">
        <v>235</v>
      </c>
      <c r="BX1836" s="2" t="s">
        <v>330</v>
      </c>
      <c r="BY1836" s="2" t="s">
        <v>331</v>
      </c>
      <c r="BZ1836" s="2" t="s">
        <v>232</v>
      </c>
      <c r="CA1836" s="2" t="s">
        <v>235</v>
      </c>
      <c r="CB1836" s="2" t="s">
        <v>235</v>
      </c>
      <c r="CC1836" s="2" t="s">
        <v>248</v>
      </c>
      <c r="CD1836" s="2" t="s">
        <v>248</v>
      </c>
      <c r="CE1836" s="2" t="s">
        <v>235</v>
      </c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>
        <v>390</v>
      </c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>
        <v>390</v>
      </c>
      <c r="GN1836" s="4">
        <v>346</v>
      </c>
      <c r="GO1836" s="4">
        <v>339</v>
      </c>
      <c r="GP1836" s="4">
        <v>331</v>
      </c>
      <c r="GQ1836" s="4">
        <v>323</v>
      </c>
      <c r="GR1836" s="4">
        <v>311</v>
      </c>
      <c r="GS1836" s="4">
        <v>300</v>
      </c>
      <c r="GT1836" s="4">
        <v>290</v>
      </c>
      <c r="GU1836" s="4">
        <v>277</v>
      </c>
      <c r="GV1836" s="4">
        <v>264</v>
      </c>
      <c r="GW1836" s="4">
        <v>251</v>
      </c>
      <c r="GX1836" s="4">
        <v>238</v>
      </c>
      <c r="GY1836" s="4">
        <v>221</v>
      </c>
      <c r="GZ1836" s="4">
        <v>201</v>
      </c>
      <c r="HA1836" s="4">
        <v>181</v>
      </c>
      <c r="HB1836" s="4">
        <v>161</v>
      </c>
      <c r="HC1836" s="4">
        <v>141</v>
      </c>
      <c r="HD1836" s="9"/>
      <c r="HE1836" s="9"/>
      <c r="HF1836" s="9"/>
      <c r="HG1836" s="9"/>
      <c r="HH1836" s="9"/>
      <c r="HI1836" s="9"/>
      <c r="HJ1836" s="9"/>
      <c r="HK1836" s="9"/>
      <c r="HL1836" s="9"/>
      <c r="HM1836" s="19">
        <v>22.9</v>
      </c>
      <c r="HN1836" s="19">
        <v>38.4</v>
      </c>
      <c r="HO1836" s="19">
        <v>33.9</v>
      </c>
      <c r="HP1836" s="19">
        <v>33.1</v>
      </c>
      <c r="HQ1836" s="19">
        <v>26.9</v>
      </c>
      <c r="HR1836" s="19">
        <v>25.9</v>
      </c>
      <c r="HS1836" s="19">
        <v>25</v>
      </c>
      <c r="HT1836" s="19">
        <v>22.3</v>
      </c>
      <c r="HU1836" s="19">
        <v>19.8</v>
      </c>
      <c r="HV1836" s="19">
        <v>16.5</v>
      </c>
      <c r="HW1836" s="19">
        <v>13.9</v>
      </c>
      <c r="HX1836" s="19">
        <v>12.5</v>
      </c>
      <c r="HY1836" s="19">
        <v>11.1</v>
      </c>
      <c r="HZ1836" s="19">
        <v>10.1</v>
      </c>
      <c r="IA1836" s="19">
        <v>9.1</v>
      </c>
      <c r="IB1836" s="19">
        <v>8.1</v>
      </c>
      <c r="IC1836" s="19">
        <v>6.7</v>
      </c>
    </row>
    <row r="1837">
      <c r="A1837" s="2" t="s">
        <v>6713</v>
      </c>
      <c r="B1837" s="2" t="s">
        <v>1139</v>
      </c>
      <c r="C1837" s="2" t="s">
        <v>324</v>
      </c>
      <c r="D1837" s="2" t="s">
        <v>1152</v>
      </c>
      <c r="E1837" s="2" t="s">
        <v>1153</v>
      </c>
      <c r="F1837" s="2" t="s">
        <v>6689</v>
      </c>
      <c r="G1837" s="2" t="s">
        <v>6689</v>
      </c>
      <c r="H1837" s="2" t="s">
        <v>6689</v>
      </c>
      <c r="I1837" s="2" t="s">
        <v>6694</v>
      </c>
      <c r="J1837" s="2" t="s">
        <v>1413</v>
      </c>
      <c r="K1837" s="2" t="s">
        <v>6712</v>
      </c>
      <c r="L1837" s="3">
        <v>14.263421</v>
      </c>
      <c r="M1837" s="3">
        <v>14.97</v>
      </c>
      <c r="N1837" s="3">
        <v>31.99</v>
      </c>
      <c r="O1837" s="2" t="s">
        <v>232</v>
      </c>
      <c r="P1837" s="2" t="s">
        <v>878</v>
      </c>
      <c r="Q1837" s="2" t="s">
        <v>234</v>
      </c>
      <c r="R1837" s="2" t="s">
        <v>235</v>
      </c>
      <c r="S1837" s="2" t="s">
        <v>235</v>
      </c>
      <c r="T1837" s="2" t="s">
        <v>501</v>
      </c>
      <c r="U1837" s="2" t="s">
        <v>807</v>
      </c>
      <c r="V1837" s="2" t="s">
        <v>808</v>
      </c>
      <c r="W1837" s="2" t="s">
        <v>682</v>
      </c>
      <c r="X1837" s="2" t="s">
        <v>235</v>
      </c>
      <c r="Y1837" s="2" t="s">
        <v>235</v>
      </c>
      <c r="Z1837" s="4"/>
      <c r="AA1837" s="4">
        <f>=ROUNDDOWN({0},0)</f>
      </c>
      <c r="AB1837" s="5"/>
      <c r="AC1837" s="2" t="s">
        <v>6692</v>
      </c>
      <c r="AD1837" s="4">
        <v>804</v>
      </c>
      <c r="AE1837" s="4">
        <v>804</v>
      </c>
      <c r="AF1837" s="6">
        <v>77</v>
      </c>
      <c r="AG1837" s="6"/>
      <c r="AH1837" s="7"/>
      <c r="AI1837" s="4"/>
      <c r="AJ1837" s="4">
        <f>=ROUNDDOWN({0},0)</f>
      </c>
      <c r="AK1837" s="5"/>
      <c r="AL1837" s="2" t="s">
        <v>235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235</v>
      </c>
      <c r="AW1837" s="8" t="s">
        <v>235</v>
      </c>
      <c r="AX1837" s="4" t="s">
        <v>235</v>
      </c>
      <c r="AY1837" s="8" t="s">
        <v>235</v>
      </c>
      <c r="AZ1837" s="7" t="s">
        <v>235</v>
      </c>
      <c r="BA1837" s="7" t="s">
        <v>235</v>
      </c>
      <c r="BB1837" s="7"/>
      <c r="BC1837" s="4" t="s">
        <v>235</v>
      </c>
      <c r="BD1837" s="8" t="s">
        <v>235</v>
      </c>
      <c r="BE1837" s="4" t="s">
        <v>235</v>
      </c>
      <c r="BF1837" s="8" t="s">
        <v>235</v>
      </c>
      <c r="BG1837" s="7" t="s">
        <v>235</v>
      </c>
      <c r="BH1837" s="7" t="s">
        <v>235</v>
      </c>
      <c r="BI1837" s="7"/>
      <c r="BJ1837" s="4"/>
      <c r="BK1837" s="8"/>
      <c r="BL1837" s="2" t="s">
        <v>235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330</v>
      </c>
      <c r="BV1837" s="2" t="s">
        <v>235</v>
      </c>
      <c r="BW1837" s="2" t="s">
        <v>235</v>
      </c>
      <c r="BX1837" s="2" t="s">
        <v>330</v>
      </c>
      <c r="BY1837" s="2" t="s">
        <v>331</v>
      </c>
      <c r="BZ1837" s="2" t="s">
        <v>232</v>
      </c>
      <c r="CA1837" s="2" t="s">
        <v>235</v>
      </c>
      <c r="CB1837" s="2" t="s">
        <v>235</v>
      </c>
      <c r="CC1837" s="2" t="s">
        <v>248</v>
      </c>
      <c r="CD1837" s="2" t="s">
        <v>248</v>
      </c>
      <c r="CE1837" s="2" t="s">
        <v>235</v>
      </c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>
        <v>804</v>
      </c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>
        <v>804</v>
      </c>
      <c r="GN1837" s="4">
        <v>686</v>
      </c>
      <c r="GO1837" s="4">
        <v>669</v>
      </c>
      <c r="GP1837" s="4">
        <v>650</v>
      </c>
      <c r="GQ1837" s="4">
        <v>630</v>
      </c>
      <c r="GR1837" s="4">
        <v>603</v>
      </c>
      <c r="GS1837" s="4">
        <v>577</v>
      </c>
      <c r="GT1837" s="4">
        <v>553</v>
      </c>
      <c r="GU1837" s="4">
        <v>523</v>
      </c>
      <c r="GV1837" s="4">
        <v>493</v>
      </c>
      <c r="GW1837" s="4">
        <v>463</v>
      </c>
      <c r="GX1837" s="4">
        <v>433</v>
      </c>
      <c r="GY1837" s="4">
        <v>395</v>
      </c>
      <c r="GZ1837" s="4">
        <v>351</v>
      </c>
      <c r="HA1837" s="4">
        <v>307</v>
      </c>
      <c r="HB1837" s="4">
        <v>263</v>
      </c>
      <c r="HC1837" s="4">
        <v>219</v>
      </c>
      <c r="HD1837" s="9"/>
      <c r="HE1837" s="9"/>
      <c r="HF1837" s="9"/>
      <c r="HG1837" s="9"/>
      <c r="HH1837" s="9"/>
      <c r="HI1837" s="9"/>
      <c r="HJ1837" s="9"/>
      <c r="HK1837" s="9"/>
      <c r="HL1837" s="9"/>
      <c r="HM1837" s="19">
        <v>18.3</v>
      </c>
      <c r="HN1837" s="19">
        <v>32.7</v>
      </c>
      <c r="HO1837" s="19">
        <v>29.1</v>
      </c>
      <c r="HP1837" s="19">
        <v>27.1</v>
      </c>
      <c r="HQ1837" s="19">
        <v>23.3</v>
      </c>
      <c r="HR1837" s="19">
        <v>21.5</v>
      </c>
      <c r="HS1837" s="19">
        <v>20.6</v>
      </c>
      <c r="HT1837" s="19">
        <v>18.4</v>
      </c>
      <c r="HU1837" s="19">
        <v>16.3</v>
      </c>
      <c r="HV1837" s="19">
        <v>13.7</v>
      </c>
      <c r="HW1837" s="19">
        <v>11.9</v>
      </c>
      <c r="HX1837" s="19">
        <v>10.3</v>
      </c>
      <c r="HY1837" s="19">
        <v>9</v>
      </c>
      <c r="HZ1837" s="19">
        <v>7.8</v>
      </c>
      <c r="IA1837" s="19">
        <v>6.8</v>
      </c>
      <c r="IB1837" s="19">
        <v>5.7</v>
      </c>
      <c r="IC1837" s="19">
        <v>4.8</v>
      </c>
    </row>
    <row r="1838">
      <c r="A1838" s="2" t="s">
        <v>6714</v>
      </c>
      <c r="B1838" s="2" t="s">
        <v>1139</v>
      </c>
      <c r="C1838" s="2" t="s">
        <v>324</v>
      </c>
      <c r="D1838" s="2" t="s">
        <v>1152</v>
      </c>
      <c r="E1838" s="2" t="s">
        <v>1153</v>
      </c>
      <c r="F1838" s="2" t="s">
        <v>6689</v>
      </c>
      <c r="G1838" s="2" t="s">
        <v>6689</v>
      </c>
      <c r="H1838" s="2" t="s">
        <v>6689</v>
      </c>
      <c r="I1838" s="2" t="s">
        <v>6694</v>
      </c>
      <c r="J1838" s="2" t="s">
        <v>6698</v>
      </c>
      <c r="K1838" s="2" t="s">
        <v>6712</v>
      </c>
      <c r="L1838" s="3">
        <v>17.830391</v>
      </c>
      <c r="M1838" s="3">
        <v>18.72</v>
      </c>
      <c r="N1838" s="3">
        <v>39.99</v>
      </c>
      <c r="O1838" s="2" t="s">
        <v>232</v>
      </c>
      <c r="P1838" s="2" t="s">
        <v>878</v>
      </c>
      <c r="Q1838" s="2" t="s">
        <v>234</v>
      </c>
      <c r="R1838" s="2" t="s">
        <v>235</v>
      </c>
      <c r="S1838" s="2" t="s">
        <v>235</v>
      </c>
      <c r="T1838" s="2" t="s">
        <v>501</v>
      </c>
      <c r="U1838" s="2" t="s">
        <v>807</v>
      </c>
      <c r="V1838" s="2" t="s">
        <v>808</v>
      </c>
      <c r="W1838" s="2" t="s">
        <v>682</v>
      </c>
      <c r="X1838" s="2" t="s">
        <v>235</v>
      </c>
      <c r="Y1838" s="2" t="s">
        <v>235</v>
      </c>
      <c r="Z1838" s="4"/>
      <c r="AA1838" s="4">
        <f>=ROUNDDOWN({0},0)</f>
      </c>
      <c r="AB1838" s="5"/>
      <c r="AC1838" s="2" t="s">
        <v>6692</v>
      </c>
      <c r="AD1838" s="4">
        <v>450</v>
      </c>
      <c r="AE1838" s="4">
        <v>450</v>
      </c>
      <c r="AF1838" s="6">
        <v>77</v>
      </c>
      <c r="AG1838" s="6"/>
      <c r="AH1838" s="7"/>
      <c r="AI1838" s="4"/>
      <c r="AJ1838" s="4">
        <f>=ROUNDDOWN({0},0)</f>
      </c>
      <c r="AK1838" s="5"/>
      <c r="AL1838" s="2" t="s">
        <v>235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235</v>
      </c>
      <c r="AW1838" s="8" t="s">
        <v>235</v>
      </c>
      <c r="AX1838" s="4" t="s">
        <v>235</v>
      </c>
      <c r="AY1838" s="8" t="s">
        <v>235</v>
      </c>
      <c r="AZ1838" s="7" t="s">
        <v>235</v>
      </c>
      <c r="BA1838" s="7" t="s">
        <v>235</v>
      </c>
      <c r="BB1838" s="7"/>
      <c r="BC1838" s="4" t="s">
        <v>235</v>
      </c>
      <c r="BD1838" s="8" t="s">
        <v>235</v>
      </c>
      <c r="BE1838" s="4" t="s">
        <v>235</v>
      </c>
      <c r="BF1838" s="8" t="s">
        <v>235</v>
      </c>
      <c r="BG1838" s="7" t="s">
        <v>235</v>
      </c>
      <c r="BH1838" s="7" t="s">
        <v>235</v>
      </c>
      <c r="BI1838" s="7"/>
      <c r="BJ1838" s="4"/>
      <c r="BK1838" s="8"/>
      <c r="BL1838" s="2" t="s">
        <v>235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330</v>
      </c>
      <c r="BV1838" s="2" t="s">
        <v>235</v>
      </c>
      <c r="BW1838" s="2" t="s">
        <v>235</v>
      </c>
      <c r="BX1838" s="2" t="s">
        <v>330</v>
      </c>
      <c r="BY1838" s="2" t="s">
        <v>331</v>
      </c>
      <c r="BZ1838" s="2" t="s">
        <v>232</v>
      </c>
      <c r="CA1838" s="2" t="s">
        <v>235</v>
      </c>
      <c r="CB1838" s="2" t="s">
        <v>235</v>
      </c>
      <c r="CC1838" s="2" t="s">
        <v>248</v>
      </c>
      <c r="CD1838" s="2" t="s">
        <v>248</v>
      </c>
      <c r="CE1838" s="2" t="s">
        <v>235</v>
      </c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>
        <v>450</v>
      </c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>
        <v>450</v>
      </c>
      <c r="GN1838" s="4">
        <v>403</v>
      </c>
      <c r="GO1838" s="4">
        <v>395</v>
      </c>
      <c r="GP1838" s="4">
        <v>387</v>
      </c>
      <c r="GQ1838" s="4">
        <v>378</v>
      </c>
      <c r="GR1838" s="4">
        <v>365</v>
      </c>
      <c r="GS1838" s="4">
        <v>352</v>
      </c>
      <c r="GT1838" s="4">
        <v>341</v>
      </c>
      <c r="GU1838" s="4">
        <v>326</v>
      </c>
      <c r="GV1838" s="4">
        <v>311</v>
      </c>
      <c r="GW1838" s="4">
        <v>296</v>
      </c>
      <c r="GX1838" s="4">
        <v>281</v>
      </c>
      <c r="GY1838" s="4">
        <v>262</v>
      </c>
      <c r="GZ1838" s="4">
        <v>239</v>
      </c>
      <c r="HA1838" s="4">
        <v>216</v>
      </c>
      <c r="HB1838" s="4">
        <v>193</v>
      </c>
      <c r="HC1838" s="4">
        <v>170</v>
      </c>
      <c r="HD1838" s="9"/>
      <c r="HE1838" s="9"/>
      <c r="HF1838" s="9"/>
      <c r="HG1838" s="9"/>
      <c r="HH1838" s="9"/>
      <c r="HI1838" s="9"/>
      <c r="HJ1838" s="9"/>
      <c r="HK1838" s="9"/>
      <c r="HL1838" s="9"/>
      <c r="HM1838" s="19">
        <v>25</v>
      </c>
      <c r="HN1838" s="19">
        <v>40.3</v>
      </c>
      <c r="HO1838" s="19">
        <v>35.9</v>
      </c>
      <c r="HP1838" s="19">
        <v>32.3</v>
      </c>
      <c r="HQ1838" s="19">
        <v>29.1</v>
      </c>
      <c r="HR1838" s="19">
        <v>26.1</v>
      </c>
      <c r="HS1838" s="19">
        <v>25.1</v>
      </c>
      <c r="HT1838" s="19">
        <v>22.7</v>
      </c>
      <c r="HU1838" s="19">
        <v>20.4</v>
      </c>
      <c r="HV1838" s="19">
        <v>17.3</v>
      </c>
      <c r="HW1838" s="19">
        <v>14.8</v>
      </c>
      <c r="HX1838" s="19">
        <v>12.8</v>
      </c>
      <c r="HY1838" s="19">
        <v>11.4</v>
      </c>
      <c r="HZ1838" s="19">
        <v>10</v>
      </c>
      <c r="IA1838" s="19">
        <v>9</v>
      </c>
      <c r="IB1838" s="19">
        <v>8</v>
      </c>
      <c r="IC1838" s="19">
        <v>7.1</v>
      </c>
    </row>
    <row r="1839">
      <c r="A1839" s="2" t="s">
        <v>6715</v>
      </c>
      <c r="B1839" s="2" t="s">
        <v>1139</v>
      </c>
      <c r="C1839" s="2" t="s">
        <v>324</v>
      </c>
      <c r="D1839" s="2" t="s">
        <v>1152</v>
      </c>
      <c r="E1839" s="2" t="s">
        <v>1153</v>
      </c>
      <c r="F1839" s="2" t="s">
        <v>6689</v>
      </c>
      <c r="G1839" s="2" t="s">
        <v>6689</v>
      </c>
      <c r="H1839" s="2" t="s">
        <v>6689</v>
      </c>
      <c r="I1839" s="2" t="s">
        <v>6694</v>
      </c>
      <c r="J1839" s="2" t="s">
        <v>6700</v>
      </c>
      <c r="K1839" s="2" t="s">
        <v>6712</v>
      </c>
      <c r="L1839" s="3">
        <v>22.289103</v>
      </c>
      <c r="M1839" s="3">
        <v>23.4</v>
      </c>
      <c r="N1839" s="3">
        <v>49.99</v>
      </c>
      <c r="O1839" s="2" t="s">
        <v>232</v>
      </c>
      <c r="P1839" s="2" t="s">
        <v>878</v>
      </c>
      <c r="Q1839" s="2" t="s">
        <v>234</v>
      </c>
      <c r="R1839" s="2" t="s">
        <v>235</v>
      </c>
      <c r="S1839" s="2" t="s">
        <v>235</v>
      </c>
      <c r="T1839" s="2" t="s">
        <v>501</v>
      </c>
      <c r="U1839" s="2" t="s">
        <v>807</v>
      </c>
      <c r="V1839" s="2" t="s">
        <v>808</v>
      </c>
      <c r="W1839" s="2" t="s">
        <v>682</v>
      </c>
      <c r="X1839" s="2" t="s">
        <v>235</v>
      </c>
      <c r="Y1839" s="2" t="s">
        <v>235</v>
      </c>
      <c r="Z1839" s="4"/>
      <c r="AA1839" s="4">
        <f>=ROUNDDOWN({0},0)</f>
      </c>
      <c r="AB1839" s="5"/>
      <c r="AC1839" s="2" t="s">
        <v>6692</v>
      </c>
      <c r="AD1839" s="4">
        <v>360</v>
      </c>
      <c r="AE1839" s="4">
        <v>360</v>
      </c>
      <c r="AF1839" s="6">
        <v>77</v>
      </c>
      <c r="AG1839" s="6"/>
      <c r="AH1839" s="7"/>
      <c r="AI1839" s="4"/>
      <c r="AJ1839" s="4">
        <f>=ROUNDDOWN({0},0)</f>
      </c>
      <c r="AK1839" s="5"/>
      <c r="AL1839" s="2" t="s">
        <v>235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235</v>
      </c>
      <c r="AW1839" s="8" t="s">
        <v>235</v>
      </c>
      <c r="AX1839" s="4" t="s">
        <v>235</v>
      </c>
      <c r="AY1839" s="8" t="s">
        <v>235</v>
      </c>
      <c r="AZ1839" s="7" t="s">
        <v>235</v>
      </c>
      <c r="BA1839" s="7" t="s">
        <v>235</v>
      </c>
      <c r="BB1839" s="7"/>
      <c r="BC1839" s="4" t="s">
        <v>235</v>
      </c>
      <c r="BD1839" s="8" t="s">
        <v>235</v>
      </c>
      <c r="BE1839" s="4" t="s">
        <v>235</v>
      </c>
      <c r="BF1839" s="8" t="s">
        <v>235</v>
      </c>
      <c r="BG1839" s="7" t="s">
        <v>235</v>
      </c>
      <c r="BH1839" s="7" t="s">
        <v>235</v>
      </c>
      <c r="BI1839" s="7"/>
      <c r="BJ1839" s="4"/>
      <c r="BK1839" s="8"/>
      <c r="BL1839" s="2" t="s">
        <v>235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330</v>
      </c>
      <c r="BV1839" s="2" t="s">
        <v>235</v>
      </c>
      <c r="BW1839" s="2" t="s">
        <v>235</v>
      </c>
      <c r="BX1839" s="2" t="s">
        <v>330</v>
      </c>
      <c r="BY1839" s="2" t="s">
        <v>331</v>
      </c>
      <c r="BZ1839" s="2" t="s">
        <v>232</v>
      </c>
      <c r="CA1839" s="2" t="s">
        <v>235</v>
      </c>
      <c r="CB1839" s="2" t="s">
        <v>235</v>
      </c>
      <c r="CC1839" s="2" t="s">
        <v>248</v>
      </c>
      <c r="CD1839" s="2" t="s">
        <v>248</v>
      </c>
      <c r="CE1839" s="2" t="s">
        <v>235</v>
      </c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>
        <v>360</v>
      </c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>
        <v>360</v>
      </c>
      <c r="GN1839" s="4">
        <v>316</v>
      </c>
      <c r="GO1839" s="4">
        <v>309</v>
      </c>
      <c r="GP1839" s="4">
        <v>301</v>
      </c>
      <c r="GQ1839" s="4">
        <v>293</v>
      </c>
      <c r="GR1839" s="4">
        <v>282</v>
      </c>
      <c r="GS1839" s="4">
        <v>271</v>
      </c>
      <c r="GT1839" s="4">
        <v>261</v>
      </c>
      <c r="GU1839" s="4">
        <v>248</v>
      </c>
      <c r="GV1839" s="4">
        <v>235</v>
      </c>
      <c r="GW1839" s="4">
        <v>222</v>
      </c>
      <c r="GX1839" s="4">
        <v>209</v>
      </c>
      <c r="GY1839" s="4">
        <v>193</v>
      </c>
      <c r="GZ1839" s="4">
        <v>174</v>
      </c>
      <c r="HA1839" s="4">
        <v>155</v>
      </c>
      <c r="HB1839" s="4">
        <v>136</v>
      </c>
      <c r="HC1839" s="4">
        <v>117</v>
      </c>
      <c r="HD1839" s="9"/>
      <c r="HE1839" s="9"/>
      <c r="HF1839" s="9"/>
      <c r="HG1839" s="9"/>
      <c r="HH1839" s="9"/>
      <c r="HI1839" s="9"/>
      <c r="HJ1839" s="9"/>
      <c r="HK1839" s="9"/>
      <c r="HL1839" s="9"/>
      <c r="HM1839" s="19">
        <v>21.2</v>
      </c>
      <c r="HN1839" s="19">
        <v>39.5</v>
      </c>
      <c r="HO1839" s="19">
        <v>30.9</v>
      </c>
      <c r="HP1839" s="19">
        <v>30.1</v>
      </c>
      <c r="HQ1839" s="19">
        <v>26.6</v>
      </c>
      <c r="HR1839" s="19">
        <v>23.5</v>
      </c>
      <c r="HS1839" s="19">
        <v>22.6</v>
      </c>
      <c r="HT1839" s="19">
        <v>20.1</v>
      </c>
      <c r="HU1839" s="19">
        <v>17.7</v>
      </c>
      <c r="HV1839" s="19">
        <v>15.7</v>
      </c>
      <c r="HW1839" s="19">
        <v>13.1</v>
      </c>
      <c r="HX1839" s="19">
        <v>11.6</v>
      </c>
      <c r="HY1839" s="19">
        <v>10.2</v>
      </c>
      <c r="HZ1839" s="19">
        <v>8.7</v>
      </c>
      <c r="IA1839" s="19">
        <v>7.8</v>
      </c>
      <c r="IB1839" s="19">
        <v>6.8</v>
      </c>
      <c r="IC1839" s="19">
        <v>5.9</v>
      </c>
    </row>
    <row r="1840">
      <c r="A1840" s="2" t="s">
        <v>6716</v>
      </c>
      <c r="B1840" s="2" t="s">
        <v>1139</v>
      </c>
      <c r="C1840" s="2" t="s">
        <v>324</v>
      </c>
      <c r="D1840" s="2" t="s">
        <v>5956</v>
      </c>
      <c r="E1840" s="2" t="s">
        <v>6688</v>
      </c>
      <c r="F1840" s="2" t="s">
        <v>6689</v>
      </c>
      <c r="G1840" s="2" t="s">
        <v>6689</v>
      </c>
      <c r="H1840" s="2" t="s">
        <v>6689</v>
      </c>
      <c r="I1840" s="2" t="s">
        <v>6690</v>
      </c>
      <c r="J1840" s="2" t="s">
        <v>611</v>
      </c>
      <c r="K1840" s="2" t="s">
        <v>6717</v>
      </c>
      <c r="L1840" s="3">
        <v>23.63</v>
      </c>
      <c r="M1840" s="3">
        <v>24.81</v>
      </c>
      <c r="N1840" s="3">
        <v>52.99</v>
      </c>
      <c r="O1840" s="2" t="s">
        <v>232</v>
      </c>
      <c r="P1840" s="2" t="s">
        <v>878</v>
      </c>
      <c r="Q1840" s="2" t="s">
        <v>234</v>
      </c>
      <c r="R1840" s="2" t="s">
        <v>235</v>
      </c>
      <c r="S1840" s="2" t="s">
        <v>235</v>
      </c>
      <c r="T1840" s="2" t="s">
        <v>263</v>
      </c>
      <c r="U1840" s="2" t="s">
        <v>807</v>
      </c>
      <c r="V1840" s="2" t="s">
        <v>420</v>
      </c>
      <c r="W1840" s="2" t="s">
        <v>682</v>
      </c>
      <c r="X1840" s="2" t="s">
        <v>235</v>
      </c>
      <c r="Y1840" s="2" t="s">
        <v>235</v>
      </c>
      <c r="Z1840" s="4"/>
      <c r="AA1840" s="4">
        <f>=ROUNDDOWN({0},0)</f>
      </c>
      <c r="AB1840" s="5"/>
      <c r="AC1840" s="2" t="s">
        <v>6692</v>
      </c>
      <c r="AD1840" s="4">
        <v>1016</v>
      </c>
      <c r="AE1840" s="4">
        <v>1016</v>
      </c>
      <c r="AF1840" s="6">
        <v>77</v>
      </c>
      <c r="AG1840" s="6"/>
      <c r="AH1840" s="7"/>
      <c r="AI1840" s="4"/>
      <c r="AJ1840" s="4">
        <f>=ROUNDDOWN({0},0)</f>
      </c>
      <c r="AK1840" s="5"/>
      <c r="AL1840" s="2" t="s">
        <v>235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 t="s">
        <v>235</v>
      </c>
      <c r="BD1840" s="8" t="s">
        <v>235</v>
      </c>
      <c r="BE1840" s="4" t="s">
        <v>235</v>
      </c>
      <c r="BF1840" s="8" t="s">
        <v>235</v>
      </c>
      <c r="BG1840" s="7" t="s">
        <v>235</v>
      </c>
      <c r="BH1840" s="7" t="s">
        <v>235</v>
      </c>
      <c r="BI1840" s="7"/>
      <c r="BJ1840" s="4"/>
      <c r="BK1840" s="8"/>
      <c r="BL1840" s="2" t="s">
        <v>235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330</v>
      </c>
      <c r="BV1840" s="2" t="s">
        <v>235</v>
      </c>
      <c r="BW1840" s="2" t="s">
        <v>235</v>
      </c>
      <c r="BX1840" s="2" t="s">
        <v>330</v>
      </c>
      <c r="BY1840" s="2" t="s">
        <v>331</v>
      </c>
      <c r="BZ1840" s="2" t="s">
        <v>232</v>
      </c>
      <c r="CA1840" s="2" t="s">
        <v>235</v>
      </c>
      <c r="CB1840" s="2" t="s">
        <v>235</v>
      </c>
      <c r="CC1840" s="2" t="s">
        <v>248</v>
      </c>
      <c r="CD1840" s="2" t="s">
        <v>248</v>
      </c>
      <c r="CE1840" s="2" t="s">
        <v>235</v>
      </c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>
        <v>1016</v>
      </c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>
        <v>1016</v>
      </c>
      <c r="GN1840" s="4">
        <v>1016</v>
      </c>
      <c r="GO1840" s="4">
        <v>1016</v>
      </c>
      <c r="GP1840" s="4">
        <v>1016</v>
      </c>
      <c r="GQ1840" s="4">
        <v>1016</v>
      </c>
      <c r="GR1840" s="4">
        <v>1016</v>
      </c>
      <c r="GS1840" s="4">
        <v>1016</v>
      </c>
      <c r="GT1840" s="4">
        <v>1016</v>
      </c>
      <c r="GU1840" s="4">
        <v>1016</v>
      </c>
      <c r="GV1840" s="4">
        <v>1016</v>
      </c>
      <c r="GW1840" s="4">
        <v>1016</v>
      </c>
      <c r="GX1840" s="4">
        <v>1016</v>
      </c>
      <c r="GY1840" s="4">
        <v>1016</v>
      </c>
      <c r="GZ1840" s="4">
        <v>1016</v>
      </c>
      <c r="HA1840" s="4">
        <v>1016</v>
      </c>
      <c r="HB1840" s="4">
        <v>1016</v>
      </c>
      <c r="HC1840" s="4">
        <v>1016</v>
      </c>
      <c r="HD1840" s="9"/>
      <c r="HE1840" s="9"/>
      <c r="HF1840" s="9"/>
      <c r="HG1840" s="9"/>
      <c r="HH1840" s="9"/>
      <c r="HI1840" s="9"/>
      <c r="HJ1840" s="9"/>
      <c r="HK1840" s="9"/>
      <c r="HL1840" s="9"/>
      <c r="HM1840" s="9"/>
      <c r="HN1840" s="9"/>
      <c r="HO1840" s="9"/>
      <c r="HP1840" s="9"/>
      <c r="HQ1840" s="9"/>
      <c r="HR1840" s="9"/>
      <c r="HS1840" s="9"/>
      <c r="HT1840" s="9"/>
      <c r="HU1840" s="9"/>
      <c r="HV1840" s="9"/>
      <c r="HW1840" s="9"/>
      <c r="HX1840" s="9"/>
      <c r="HY1840" s="9"/>
      <c r="HZ1840" s="9"/>
      <c r="IA1840" s="9"/>
      <c r="IB1840" s="9"/>
      <c r="IC1840" s="9"/>
    </row>
    <row r="1841">
      <c r="A1841" s="2" t="s">
        <v>6718</v>
      </c>
      <c r="B1841" s="2" t="s">
        <v>1139</v>
      </c>
      <c r="C1841" s="2" t="s">
        <v>324</v>
      </c>
      <c r="D1841" s="2" t="s">
        <v>5956</v>
      </c>
      <c r="E1841" s="2" t="s">
        <v>6688</v>
      </c>
      <c r="F1841" s="2" t="s">
        <v>6689</v>
      </c>
      <c r="G1841" s="2" t="s">
        <v>6689</v>
      </c>
      <c r="H1841" s="2" t="s">
        <v>6689</v>
      </c>
      <c r="I1841" s="2" t="s">
        <v>6690</v>
      </c>
      <c r="J1841" s="2" t="s">
        <v>611</v>
      </c>
      <c r="K1841" s="2" t="s">
        <v>6587</v>
      </c>
      <c r="L1841" s="3">
        <v>23.63</v>
      </c>
      <c r="M1841" s="3">
        <v>24.81</v>
      </c>
      <c r="N1841" s="3">
        <v>52.99</v>
      </c>
      <c r="O1841" s="2" t="s">
        <v>232</v>
      </c>
      <c r="P1841" s="2" t="s">
        <v>878</v>
      </c>
      <c r="Q1841" s="2" t="s">
        <v>234</v>
      </c>
      <c r="R1841" s="2" t="s">
        <v>235</v>
      </c>
      <c r="S1841" s="2" t="s">
        <v>235</v>
      </c>
      <c r="T1841" s="2" t="s">
        <v>263</v>
      </c>
      <c r="U1841" s="2" t="s">
        <v>807</v>
      </c>
      <c r="V1841" s="2" t="s">
        <v>420</v>
      </c>
      <c r="W1841" s="2" t="s">
        <v>682</v>
      </c>
      <c r="X1841" s="2" t="s">
        <v>235</v>
      </c>
      <c r="Y1841" s="2" t="s">
        <v>235</v>
      </c>
      <c r="Z1841" s="4"/>
      <c r="AA1841" s="4">
        <f>=ROUNDDOWN({0},0)</f>
      </c>
      <c r="AB1841" s="5"/>
      <c r="AC1841" s="2" t="s">
        <v>6692</v>
      </c>
      <c r="AD1841" s="4">
        <v>1112</v>
      </c>
      <c r="AE1841" s="4">
        <v>1112</v>
      </c>
      <c r="AF1841" s="6">
        <v>77</v>
      </c>
      <c r="AG1841" s="6"/>
      <c r="AH1841" s="7"/>
      <c r="AI1841" s="4"/>
      <c r="AJ1841" s="4">
        <f>=ROUNDDOWN({0},0)</f>
      </c>
      <c r="AK1841" s="5"/>
      <c r="AL1841" s="2" t="s">
        <v>235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235</v>
      </c>
      <c r="BD1841" s="8" t="s">
        <v>235</v>
      </c>
      <c r="BE1841" s="4" t="s">
        <v>235</v>
      </c>
      <c r="BF1841" s="8" t="s">
        <v>235</v>
      </c>
      <c r="BG1841" s="7" t="s">
        <v>235</v>
      </c>
      <c r="BH1841" s="7" t="s">
        <v>235</v>
      </c>
      <c r="BI1841" s="7"/>
      <c r="BJ1841" s="4"/>
      <c r="BK1841" s="8"/>
      <c r="BL1841" s="2" t="s">
        <v>235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330</v>
      </c>
      <c r="BV1841" s="2" t="s">
        <v>235</v>
      </c>
      <c r="BW1841" s="2" t="s">
        <v>235</v>
      </c>
      <c r="BX1841" s="2" t="s">
        <v>330</v>
      </c>
      <c r="BY1841" s="2" t="s">
        <v>331</v>
      </c>
      <c r="BZ1841" s="2" t="s">
        <v>232</v>
      </c>
      <c r="CA1841" s="2" t="s">
        <v>235</v>
      </c>
      <c r="CB1841" s="2" t="s">
        <v>235</v>
      </c>
      <c r="CC1841" s="2" t="s">
        <v>248</v>
      </c>
      <c r="CD1841" s="2" t="s">
        <v>248</v>
      </c>
      <c r="CE1841" s="2" t="s">
        <v>235</v>
      </c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>
        <v>1112</v>
      </c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>
        <v>1112</v>
      </c>
      <c r="GN1841" s="4">
        <v>1112</v>
      </c>
      <c r="GO1841" s="4">
        <v>1112</v>
      </c>
      <c r="GP1841" s="4">
        <v>1112</v>
      </c>
      <c r="GQ1841" s="4">
        <v>1112</v>
      </c>
      <c r="GR1841" s="4">
        <v>1112</v>
      </c>
      <c r="GS1841" s="4">
        <v>1112</v>
      </c>
      <c r="GT1841" s="4">
        <v>1112</v>
      </c>
      <c r="GU1841" s="4">
        <v>1112</v>
      </c>
      <c r="GV1841" s="4">
        <v>1112</v>
      </c>
      <c r="GW1841" s="4">
        <v>1112</v>
      </c>
      <c r="GX1841" s="4">
        <v>1112</v>
      </c>
      <c r="GY1841" s="4">
        <v>1112</v>
      </c>
      <c r="GZ1841" s="4">
        <v>1112</v>
      </c>
      <c r="HA1841" s="4">
        <v>1112</v>
      </c>
      <c r="HB1841" s="4">
        <v>1112</v>
      </c>
      <c r="HC1841" s="4">
        <v>1112</v>
      </c>
      <c r="HD1841" s="9"/>
      <c r="HE1841" s="9"/>
      <c r="HF1841" s="9"/>
      <c r="HG1841" s="9"/>
      <c r="HH1841" s="9"/>
      <c r="HI1841" s="9"/>
      <c r="HJ1841" s="9"/>
      <c r="HK1841" s="9"/>
      <c r="HL1841" s="9"/>
      <c r="HM1841" s="9"/>
      <c r="HN1841" s="9"/>
      <c r="HO1841" s="9"/>
      <c r="HP1841" s="9"/>
      <c r="HQ1841" s="9"/>
      <c r="HR1841" s="9"/>
      <c r="HS1841" s="9"/>
      <c r="HT1841" s="9"/>
      <c r="HU1841" s="9"/>
      <c r="HV1841" s="9"/>
      <c r="HW1841" s="9"/>
      <c r="HX1841" s="9"/>
      <c r="HY1841" s="9"/>
      <c r="HZ1841" s="9"/>
      <c r="IA1841" s="9"/>
      <c r="IB1841" s="9"/>
      <c r="IC1841" s="9"/>
    </row>
    <row r="1842">
      <c r="A1842" s="2" t="s">
        <v>6719</v>
      </c>
      <c r="B1842" s="2" t="s">
        <v>1139</v>
      </c>
      <c r="C1842" s="2" t="s">
        <v>324</v>
      </c>
      <c r="D1842" s="2" t="s">
        <v>5956</v>
      </c>
      <c r="E1842" s="2" t="s">
        <v>6688</v>
      </c>
      <c r="F1842" s="2" t="s">
        <v>6689</v>
      </c>
      <c r="G1842" s="2" t="s">
        <v>6689</v>
      </c>
      <c r="H1842" s="2" t="s">
        <v>6689</v>
      </c>
      <c r="I1842" s="2" t="s">
        <v>6690</v>
      </c>
      <c r="J1842" s="2" t="s">
        <v>611</v>
      </c>
      <c r="K1842" s="2" t="s">
        <v>6720</v>
      </c>
      <c r="L1842" s="3">
        <v>23.63</v>
      </c>
      <c r="M1842" s="3">
        <v>24.81</v>
      </c>
      <c r="N1842" s="3">
        <v>52.99</v>
      </c>
      <c r="O1842" s="2" t="s">
        <v>232</v>
      </c>
      <c r="P1842" s="2" t="s">
        <v>878</v>
      </c>
      <c r="Q1842" s="2" t="s">
        <v>234</v>
      </c>
      <c r="R1842" s="2" t="s">
        <v>235</v>
      </c>
      <c r="S1842" s="2" t="s">
        <v>235</v>
      </c>
      <c r="T1842" s="2" t="s">
        <v>263</v>
      </c>
      <c r="U1842" s="2" t="s">
        <v>807</v>
      </c>
      <c r="V1842" s="2" t="s">
        <v>420</v>
      </c>
      <c r="W1842" s="2" t="s">
        <v>682</v>
      </c>
      <c r="X1842" s="2" t="s">
        <v>235</v>
      </c>
      <c r="Y1842" s="2" t="s">
        <v>235</v>
      </c>
      <c r="Z1842" s="4"/>
      <c r="AA1842" s="4">
        <f>=ROUNDDOWN({0},0)</f>
      </c>
      <c r="AB1842" s="5"/>
      <c r="AC1842" s="2" t="s">
        <v>6692</v>
      </c>
      <c r="AD1842" s="4">
        <v>1064</v>
      </c>
      <c r="AE1842" s="4">
        <v>1064</v>
      </c>
      <c r="AF1842" s="6">
        <v>77</v>
      </c>
      <c r="AG1842" s="6"/>
      <c r="AH1842" s="7"/>
      <c r="AI1842" s="4"/>
      <c r="AJ1842" s="4">
        <f>=ROUNDDOWN({0},0)</f>
      </c>
      <c r="AK1842" s="5"/>
      <c r="AL1842" s="2" t="s">
        <v>235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235</v>
      </c>
      <c r="BD1842" s="8" t="s">
        <v>235</v>
      </c>
      <c r="BE1842" s="4" t="s">
        <v>235</v>
      </c>
      <c r="BF1842" s="8" t="s">
        <v>235</v>
      </c>
      <c r="BG1842" s="7" t="s">
        <v>235</v>
      </c>
      <c r="BH1842" s="7" t="s">
        <v>235</v>
      </c>
      <c r="BI1842" s="7"/>
      <c r="BJ1842" s="4"/>
      <c r="BK1842" s="8"/>
      <c r="BL1842" s="2" t="s">
        <v>235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330</v>
      </c>
      <c r="BV1842" s="2" t="s">
        <v>235</v>
      </c>
      <c r="BW1842" s="2" t="s">
        <v>235</v>
      </c>
      <c r="BX1842" s="2" t="s">
        <v>330</v>
      </c>
      <c r="BY1842" s="2" t="s">
        <v>331</v>
      </c>
      <c r="BZ1842" s="2" t="s">
        <v>232</v>
      </c>
      <c r="CA1842" s="2" t="s">
        <v>235</v>
      </c>
      <c r="CB1842" s="2" t="s">
        <v>235</v>
      </c>
      <c r="CC1842" s="2" t="s">
        <v>248</v>
      </c>
      <c r="CD1842" s="2" t="s">
        <v>248</v>
      </c>
      <c r="CE1842" s="2" t="s">
        <v>235</v>
      </c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>
        <v>1064</v>
      </c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>
        <v>1064</v>
      </c>
      <c r="GN1842" s="4">
        <v>1064</v>
      </c>
      <c r="GO1842" s="4">
        <v>1064</v>
      </c>
      <c r="GP1842" s="4">
        <v>1064</v>
      </c>
      <c r="GQ1842" s="4">
        <v>1064</v>
      </c>
      <c r="GR1842" s="4">
        <v>1064</v>
      </c>
      <c r="GS1842" s="4">
        <v>1064</v>
      </c>
      <c r="GT1842" s="4">
        <v>1064</v>
      </c>
      <c r="GU1842" s="4">
        <v>1064</v>
      </c>
      <c r="GV1842" s="4">
        <v>1064</v>
      </c>
      <c r="GW1842" s="4">
        <v>1064</v>
      </c>
      <c r="GX1842" s="4">
        <v>1064</v>
      </c>
      <c r="GY1842" s="4">
        <v>1064</v>
      </c>
      <c r="GZ1842" s="4">
        <v>1064</v>
      </c>
      <c r="HA1842" s="4">
        <v>1064</v>
      </c>
      <c r="HB1842" s="4">
        <v>1064</v>
      </c>
      <c r="HC1842" s="4">
        <v>1064</v>
      </c>
      <c r="HD1842" s="9"/>
      <c r="HE1842" s="9"/>
      <c r="HF1842" s="9"/>
      <c r="HG1842" s="9"/>
      <c r="HH1842" s="9"/>
      <c r="HI1842" s="9"/>
      <c r="HJ1842" s="9"/>
      <c r="HK1842" s="9"/>
      <c r="HL1842" s="9"/>
      <c r="HM1842" s="9"/>
      <c r="HN1842" s="9"/>
      <c r="HO1842" s="9"/>
      <c r="HP1842" s="9"/>
      <c r="HQ1842" s="9"/>
      <c r="HR1842" s="9"/>
      <c r="HS1842" s="9"/>
      <c r="HT1842" s="9"/>
      <c r="HU1842" s="9"/>
      <c r="HV1842" s="9"/>
      <c r="HW1842" s="9"/>
      <c r="HX1842" s="9"/>
      <c r="HY1842" s="9"/>
      <c r="HZ1842" s="9"/>
      <c r="IA1842" s="9"/>
      <c r="IB1842" s="9"/>
      <c r="IC1842" s="9"/>
    </row>
    <row r="1843">
      <c r="A1843" s="2" t="s">
        <v>6721</v>
      </c>
      <c r="B1843" s="2" t="s">
        <v>871</v>
      </c>
      <c r="C1843" s="2" t="s">
        <v>853</v>
      </c>
      <c r="D1843" s="2" t="s">
        <v>361</v>
      </c>
      <c r="E1843" s="2" t="s">
        <v>1024</v>
      </c>
      <c r="F1843" s="2" t="s">
        <v>6722</v>
      </c>
      <c r="G1843" s="2" t="s">
        <v>6723</v>
      </c>
      <c r="H1843" s="2" t="s">
        <v>6724</v>
      </c>
      <c r="I1843" s="2" t="s">
        <v>6725</v>
      </c>
      <c r="J1843" s="2" t="s">
        <v>250</v>
      </c>
      <c r="K1843" s="2" t="s">
        <v>6726</v>
      </c>
      <c r="L1843" s="3">
        <v>42.61</v>
      </c>
      <c r="M1843" s="3">
        <v>44.74</v>
      </c>
      <c r="N1843" s="3">
        <v>94.99</v>
      </c>
      <c r="O1843" s="2" t="s">
        <v>232</v>
      </c>
      <c r="P1843" s="2" t="s">
        <v>233</v>
      </c>
      <c r="Q1843" s="2" t="s">
        <v>234</v>
      </c>
      <c r="R1843" s="2" t="s">
        <v>235</v>
      </c>
      <c r="S1843" s="2" t="s">
        <v>6727</v>
      </c>
      <c r="T1843" s="2" t="s">
        <v>501</v>
      </c>
      <c r="U1843" s="2" t="s">
        <v>3619</v>
      </c>
      <c r="V1843" s="2" t="s">
        <v>1222</v>
      </c>
      <c r="W1843" s="2" t="s">
        <v>239</v>
      </c>
      <c r="X1843" s="2" t="s">
        <v>1798</v>
      </c>
      <c r="Y1843" s="2" t="s">
        <v>795</v>
      </c>
      <c r="Z1843" s="4">
        <v>174</v>
      </c>
      <c r="AA1843" s="4">
        <f>=ROUNDDOWN(193.333333333333,0)</f>
      </c>
      <c r="AB1843" s="5">
        <v>0.9</v>
      </c>
      <c r="AC1843" s="2" t="s">
        <v>235</v>
      </c>
      <c r="AD1843" s="4"/>
      <c r="AE1843" s="4"/>
      <c r="AF1843" s="6">
        <v>64</v>
      </c>
      <c r="AG1843" s="6"/>
      <c r="AH1843" s="7">
        <v>1</v>
      </c>
      <c r="AI1843" s="4"/>
      <c r="AJ1843" s="4">
        <f>=ROUNDDOWN({0},0)</f>
      </c>
      <c r="AK1843" s="5"/>
      <c r="AL1843" s="2" t="s">
        <v>235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235</v>
      </c>
      <c r="AW1843" s="8" t="s">
        <v>235</v>
      </c>
      <c r="AX1843" s="4" t="s">
        <v>235</v>
      </c>
      <c r="AY1843" s="8" t="s">
        <v>235</v>
      </c>
      <c r="AZ1843" s="7" t="s">
        <v>235</v>
      </c>
      <c r="BA1843" s="7" t="s">
        <v>235</v>
      </c>
      <c r="BB1843" s="7"/>
      <c r="BC1843" s="4" t="s">
        <v>235</v>
      </c>
      <c r="BD1843" s="8" t="s">
        <v>235</v>
      </c>
      <c r="BE1843" s="4" t="s">
        <v>235</v>
      </c>
      <c r="BF1843" s="8" t="s">
        <v>235</v>
      </c>
      <c r="BG1843" s="7" t="s">
        <v>235</v>
      </c>
      <c r="BH1843" s="7" t="s">
        <v>235</v>
      </c>
      <c r="BI1843" s="7"/>
      <c r="BJ1843" s="4">
        <v>5</v>
      </c>
      <c r="BK1843" s="8">
        <v>230.3</v>
      </c>
      <c r="BL1843" s="2" t="s">
        <v>6728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6729</v>
      </c>
      <c r="BV1843" s="2" t="s">
        <v>243</v>
      </c>
      <c r="BW1843" s="2" t="s">
        <v>235</v>
      </c>
      <c r="BX1843" s="2" t="s">
        <v>383</v>
      </c>
      <c r="BY1843" s="2" t="s">
        <v>245</v>
      </c>
      <c r="BZ1843" s="2" t="s">
        <v>232</v>
      </c>
      <c r="CA1843" s="2" t="s">
        <v>970</v>
      </c>
      <c r="CB1843" s="2" t="s">
        <v>3189</v>
      </c>
      <c r="CC1843" s="2" t="s">
        <v>248</v>
      </c>
      <c r="CD1843" s="2" t="s">
        <v>248</v>
      </c>
      <c r="CE1843" s="2" t="s">
        <v>235</v>
      </c>
      <c r="CF1843" s="4">
        <v>174</v>
      </c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>
        <v>174</v>
      </c>
      <c r="GE1843" s="4">
        <v>173</v>
      </c>
      <c r="GF1843" s="4">
        <v>172</v>
      </c>
      <c r="GG1843" s="4">
        <v>171</v>
      </c>
      <c r="GH1843" s="4">
        <v>170</v>
      </c>
      <c r="GI1843" s="4">
        <v>169</v>
      </c>
      <c r="GJ1843" s="4">
        <v>168</v>
      </c>
      <c r="GK1843" s="4">
        <v>167</v>
      </c>
      <c r="GL1843" s="4">
        <v>166</v>
      </c>
      <c r="GM1843" s="4">
        <v>165</v>
      </c>
      <c r="GN1843" s="4">
        <v>164</v>
      </c>
      <c r="GO1843" s="4">
        <v>162</v>
      </c>
      <c r="GP1843" s="4">
        <v>160</v>
      </c>
      <c r="GQ1843" s="4">
        <v>156</v>
      </c>
      <c r="GR1843" s="4">
        <v>153</v>
      </c>
      <c r="GS1843" s="4">
        <v>149</v>
      </c>
      <c r="GT1843" s="4">
        <v>147</v>
      </c>
      <c r="GU1843" s="4">
        <v>146</v>
      </c>
      <c r="GV1843" s="4">
        <v>145</v>
      </c>
      <c r="GW1843" s="4">
        <v>144</v>
      </c>
      <c r="GX1843" s="4">
        <v>143</v>
      </c>
      <c r="GY1843" s="4">
        <v>142</v>
      </c>
      <c r="GZ1843" s="4">
        <v>141</v>
      </c>
      <c r="HA1843" s="4">
        <v>140</v>
      </c>
      <c r="HB1843" s="4">
        <v>139</v>
      </c>
      <c r="HC1843" s="4">
        <v>138</v>
      </c>
      <c r="HD1843" s="19">
        <v>174</v>
      </c>
      <c r="HE1843" s="19">
        <v>173</v>
      </c>
      <c r="HF1843" s="19">
        <v>172</v>
      </c>
      <c r="HG1843" s="19">
        <v>171</v>
      </c>
      <c r="HH1843" s="19">
        <v>170</v>
      </c>
      <c r="HI1843" s="19">
        <v>169</v>
      </c>
      <c r="HJ1843" s="19">
        <v>168</v>
      </c>
      <c r="HK1843" s="19">
        <v>167</v>
      </c>
      <c r="HL1843" s="19">
        <v>83</v>
      </c>
      <c r="HM1843" s="19">
        <v>82.5</v>
      </c>
      <c r="HN1843" s="19">
        <v>54.7</v>
      </c>
      <c r="HO1843" s="19">
        <v>54</v>
      </c>
      <c r="HP1843" s="19">
        <v>53.3</v>
      </c>
      <c r="HQ1843" s="19">
        <v>78</v>
      </c>
      <c r="HR1843" s="19">
        <v>76.5</v>
      </c>
      <c r="HS1843" s="19">
        <v>149</v>
      </c>
      <c r="HT1843" s="19">
        <v>147</v>
      </c>
      <c r="HU1843" s="19">
        <v>146</v>
      </c>
      <c r="HV1843" s="19">
        <v>145</v>
      </c>
      <c r="HW1843" s="19">
        <v>144</v>
      </c>
      <c r="HX1843" s="19">
        <v>143</v>
      </c>
      <c r="HY1843" s="19">
        <v>142</v>
      </c>
      <c r="HZ1843" s="19">
        <v>141</v>
      </c>
      <c r="IA1843" s="19">
        <v>140</v>
      </c>
      <c r="IB1843" s="19">
        <v>139</v>
      </c>
      <c r="IC1843" s="19">
        <v>138</v>
      </c>
    </row>
    <row r="1844">
      <c r="A1844" s="2" t="s">
        <v>6730</v>
      </c>
      <c r="B1844" s="2" t="s">
        <v>871</v>
      </c>
      <c r="C1844" s="2" t="s">
        <v>853</v>
      </c>
      <c r="D1844" s="2" t="s">
        <v>361</v>
      </c>
      <c r="E1844" s="2" t="s">
        <v>1024</v>
      </c>
      <c r="F1844" s="2" t="s">
        <v>6722</v>
      </c>
      <c r="G1844" s="2" t="s">
        <v>6723</v>
      </c>
      <c r="H1844" s="2" t="s">
        <v>6724</v>
      </c>
      <c r="I1844" s="2" t="s">
        <v>6725</v>
      </c>
      <c r="J1844" s="2" t="s">
        <v>261</v>
      </c>
      <c r="K1844" s="2" t="s">
        <v>6726</v>
      </c>
      <c r="L1844" s="3">
        <v>48.8</v>
      </c>
      <c r="M1844" s="3">
        <v>51.24</v>
      </c>
      <c r="N1844" s="3">
        <v>109.99</v>
      </c>
      <c r="O1844" s="2" t="s">
        <v>232</v>
      </c>
      <c r="P1844" s="2" t="s">
        <v>233</v>
      </c>
      <c r="Q1844" s="2" t="s">
        <v>234</v>
      </c>
      <c r="R1844" s="2" t="s">
        <v>235</v>
      </c>
      <c r="S1844" s="2" t="s">
        <v>6727</v>
      </c>
      <c r="T1844" s="2" t="s">
        <v>501</v>
      </c>
      <c r="U1844" s="2" t="s">
        <v>3619</v>
      </c>
      <c r="V1844" s="2" t="s">
        <v>1222</v>
      </c>
      <c r="W1844" s="2" t="s">
        <v>239</v>
      </c>
      <c r="X1844" s="2" t="s">
        <v>1798</v>
      </c>
      <c r="Y1844" s="2" t="s">
        <v>795</v>
      </c>
      <c r="Z1844" s="4">
        <v>220</v>
      </c>
      <c r="AA1844" s="4">
        <f>=ROUNDDOWN(146.666666666667,0)</f>
      </c>
      <c r="AB1844" s="5">
        <v>1.5</v>
      </c>
      <c r="AC1844" s="2" t="s">
        <v>235</v>
      </c>
      <c r="AD1844" s="4"/>
      <c r="AE1844" s="4"/>
      <c r="AF1844" s="6">
        <v>64</v>
      </c>
      <c r="AG1844" s="6"/>
      <c r="AH1844" s="7">
        <v>1</v>
      </c>
      <c r="AI1844" s="4"/>
      <c r="AJ1844" s="4">
        <f>=ROUNDDOWN({0},0)</f>
      </c>
      <c r="AK1844" s="5"/>
      <c r="AL1844" s="2" t="s">
        <v>235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235</v>
      </c>
      <c r="AW1844" s="8" t="s">
        <v>235</v>
      </c>
      <c r="AX1844" s="4" t="s">
        <v>235</v>
      </c>
      <c r="AY1844" s="8" t="s">
        <v>235</v>
      </c>
      <c r="AZ1844" s="7" t="s">
        <v>235</v>
      </c>
      <c r="BA1844" s="7" t="s">
        <v>235</v>
      </c>
      <c r="BB1844" s="7"/>
      <c r="BC1844" s="4" t="s">
        <v>235</v>
      </c>
      <c r="BD1844" s="8" t="s">
        <v>235</v>
      </c>
      <c r="BE1844" s="4" t="s">
        <v>235</v>
      </c>
      <c r="BF1844" s="8" t="s">
        <v>235</v>
      </c>
      <c r="BG1844" s="7" t="s">
        <v>235</v>
      </c>
      <c r="BH1844" s="7" t="s">
        <v>235</v>
      </c>
      <c r="BI1844" s="7"/>
      <c r="BJ1844" s="4">
        <v>3</v>
      </c>
      <c r="BK1844" s="8">
        <v>156.12</v>
      </c>
      <c r="BL1844" s="2" t="s">
        <v>4335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6729</v>
      </c>
      <c r="BV1844" s="2" t="s">
        <v>243</v>
      </c>
      <c r="BW1844" s="2" t="s">
        <v>235</v>
      </c>
      <c r="BX1844" s="2" t="s">
        <v>383</v>
      </c>
      <c r="BY1844" s="2" t="s">
        <v>245</v>
      </c>
      <c r="BZ1844" s="2" t="s">
        <v>232</v>
      </c>
      <c r="CA1844" s="2" t="s">
        <v>970</v>
      </c>
      <c r="CB1844" s="2" t="s">
        <v>6731</v>
      </c>
      <c r="CC1844" s="2" t="s">
        <v>248</v>
      </c>
      <c r="CD1844" s="2" t="s">
        <v>248</v>
      </c>
      <c r="CE1844" s="2" t="s">
        <v>235</v>
      </c>
      <c r="CF1844" s="4">
        <v>220</v>
      </c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>
        <v>221</v>
      </c>
      <c r="GE1844" s="4">
        <v>211</v>
      </c>
      <c r="GF1844" s="4">
        <v>209</v>
      </c>
      <c r="GG1844" s="4">
        <v>207</v>
      </c>
      <c r="GH1844" s="4">
        <v>205</v>
      </c>
      <c r="GI1844" s="4">
        <v>203</v>
      </c>
      <c r="GJ1844" s="4">
        <v>199</v>
      </c>
      <c r="GK1844" s="4">
        <v>197</v>
      </c>
      <c r="GL1844" s="4">
        <v>195</v>
      </c>
      <c r="GM1844" s="4">
        <v>194</v>
      </c>
      <c r="GN1844" s="4">
        <v>191</v>
      </c>
      <c r="GO1844" s="4">
        <v>189</v>
      </c>
      <c r="GP1844" s="4">
        <v>187</v>
      </c>
      <c r="GQ1844" s="4">
        <v>183</v>
      </c>
      <c r="GR1844" s="4">
        <v>179</v>
      </c>
      <c r="GS1844" s="4">
        <v>174</v>
      </c>
      <c r="GT1844" s="4">
        <v>171</v>
      </c>
      <c r="GU1844" s="4">
        <v>168</v>
      </c>
      <c r="GV1844" s="4">
        <v>166</v>
      </c>
      <c r="GW1844" s="4">
        <v>164</v>
      </c>
      <c r="GX1844" s="4">
        <v>162</v>
      </c>
      <c r="GY1844" s="4">
        <v>160</v>
      </c>
      <c r="GZ1844" s="4">
        <v>158</v>
      </c>
      <c r="HA1844" s="4">
        <v>156</v>
      </c>
      <c r="HB1844" s="4">
        <v>154</v>
      </c>
      <c r="HC1844" s="4">
        <v>152</v>
      </c>
      <c r="HD1844" s="19">
        <v>55.3</v>
      </c>
      <c r="HE1844" s="19">
        <v>105.5</v>
      </c>
      <c r="HF1844" s="19">
        <v>104.5</v>
      </c>
      <c r="HG1844" s="19">
        <v>103.5</v>
      </c>
      <c r="HH1844" s="19">
        <v>102.5</v>
      </c>
      <c r="HI1844" s="19">
        <v>101.5</v>
      </c>
      <c r="HJ1844" s="19">
        <v>99.5</v>
      </c>
      <c r="HK1844" s="19">
        <v>98.5</v>
      </c>
      <c r="HL1844" s="19">
        <v>97.5</v>
      </c>
      <c r="HM1844" s="19">
        <v>64.7</v>
      </c>
      <c r="HN1844" s="19">
        <v>63.7</v>
      </c>
      <c r="HO1844" s="19">
        <v>47.3</v>
      </c>
      <c r="HP1844" s="19">
        <v>46.8</v>
      </c>
      <c r="HQ1844" s="19">
        <v>45.8</v>
      </c>
      <c r="HR1844" s="19">
        <v>59.7</v>
      </c>
      <c r="HS1844" s="19">
        <v>87</v>
      </c>
      <c r="HT1844" s="19">
        <v>85.5</v>
      </c>
      <c r="HU1844" s="19">
        <v>84</v>
      </c>
      <c r="HV1844" s="19">
        <v>83</v>
      </c>
      <c r="HW1844" s="19">
        <v>82</v>
      </c>
      <c r="HX1844" s="19">
        <v>81</v>
      </c>
      <c r="HY1844" s="19">
        <v>80</v>
      </c>
      <c r="HZ1844" s="19">
        <v>79</v>
      </c>
      <c r="IA1844" s="19">
        <v>78</v>
      </c>
      <c r="IB1844" s="19">
        <v>77</v>
      </c>
      <c r="IC1844" s="19">
        <v>76</v>
      </c>
    </row>
    <row r="1845">
      <c r="A1845" s="2" t="s">
        <v>6732</v>
      </c>
      <c r="B1845" s="2" t="s">
        <v>1071</v>
      </c>
      <c r="C1845" s="2" t="s">
        <v>893</v>
      </c>
      <c r="D1845" s="2" t="s">
        <v>4819</v>
      </c>
      <c r="E1845" s="2" t="s">
        <v>4820</v>
      </c>
      <c r="F1845" s="2" t="s">
        <v>6733</v>
      </c>
      <c r="G1845" s="2" t="s">
        <v>6733</v>
      </c>
      <c r="H1845" s="2" t="s">
        <v>6733</v>
      </c>
      <c r="I1845" s="2" t="s">
        <v>6734</v>
      </c>
      <c r="J1845" s="2" t="s">
        <v>897</v>
      </c>
      <c r="K1845" s="2" t="s">
        <v>1733</v>
      </c>
      <c r="L1845" s="3">
        <v>237.5</v>
      </c>
      <c r="M1845" s="3">
        <v>249.38</v>
      </c>
      <c r="N1845" s="3">
        <v>449</v>
      </c>
      <c r="O1845" s="2" t="s">
        <v>232</v>
      </c>
      <c r="P1845" s="2" t="s">
        <v>878</v>
      </c>
      <c r="Q1845" s="2" t="s">
        <v>234</v>
      </c>
      <c r="R1845" s="2" t="s">
        <v>235</v>
      </c>
      <c r="S1845" s="2" t="s">
        <v>6735</v>
      </c>
      <c r="T1845" s="2" t="s">
        <v>235</v>
      </c>
      <c r="U1845" s="2" t="s">
        <v>235</v>
      </c>
      <c r="V1845" s="2" t="s">
        <v>238</v>
      </c>
      <c r="W1845" s="2" t="s">
        <v>1052</v>
      </c>
      <c r="X1845" s="2" t="s">
        <v>235</v>
      </c>
      <c r="Y1845" s="2" t="s">
        <v>235</v>
      </c>
      <c r="Z1845" s="4"/>
      <c r="AA1845" s="4">
        <f>=ROUNDDOWN({0},0)</f>
      </c>
      <c r="AB1845" s="5"/>
      <c r="AC1845" s="2" t="s">
        <v>187</v>
      </c>
      <c r="AD1845" s="4">
        <v>200</v>
      </c>
      <c r="AE1845" s="4">
        <v>300</v>
      </c>
      <c r="AF1845" s="6">
        <v>74</v>
      </c>
      <c r="AG1845" s="6"/>
      <c r="AH1845" s="7"/>
      <c r="AI1845" s="4"/>
      <c r="AJ1845" s="4">
        <f>=ROUNDDOWN({0},0)</f>
      </c>
      <c r="AK1845" s="5"/>
      <c r="AL1845" s="2" t="s">
        <v>235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/>
      <c r="BK1845" s="8"/>
      <c r="BL1845" s="2" t="s">
        <v>235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330</v>
      </c>
      <c r="BV1845" s="2" t="s">
        <v>235</v>
      </c>
      <c r="BW1845" s="2" t="s">
        <v>235</v>
      </c>
      <c r="BX1845" s="2" t="s">
        <v>330</v>
      </c>
      <c r="BY1845" s="2" t="s">
        <v>331</v>
      </c>
      <c r="BZ1845" s="2" t="s">
        <v>232</v>
      </c>
      <c r="CA1845" s="2" t="s">
        <v>235</v>
      </c>
      <c r="CB1845" s="2" t="s">
        <v>235</v>
      </c>
      <c r="CC1845" s="2" t="s">
        <v>248</v>
      </c>
      <c r="CD1845" s="2" t="s">
        <v>248</v>
      </c>
      <c r="CE1845" s="2" t="s">
        <v>235</v>
      </c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>
        <v>200</v>
      </c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>
        <v>100</v>
      </c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>
        <v>200</v>
      </c>
      <c r="GP1845" s="4">
        <v>196</v>
      </c>
      <c r="GQ1845" s="4">
        <v>180</v>
      </c>
      <c r="GR1845" s="4">
        <v>165</v>
      </c>
      <c r="GS1845" s="4">
        <v>156</v>
      </c>
      <c r="GT1845" s="4">
        <v>149</v>
      </c>
      <c r="GU1845" s="4">
        <v>241</v>
      </c>
      <c r="GV1845" s="4">
        <v>233</v>
      </c>
      <c r="GW1845" s="4">
        <v>226</v>
      </c>
      <c r="GX1845" s="4">
        <v>217</v>
      </c>
      <c r="GY1845" s="4">
        <v>210</v>
      </c>
      <c r="GZ1845" s="4">
        <v>200</v>
      </c>
      <c r="HA1845" s="4">
        <v>189</v>
      </c>
      <c r="HB1845" s="4">
        <v>178</v>
      </c>
      <c r="HC1845" s="4">
        <v>166</v>
      </c>
      <c r="HD1845" s="9"/>
      <c r="HE1845" s="9"/>
      <c r="HF1845" s="9"/>
      <c r="HG1845" s="9"/>
      <c r="HH1845" s="9"/>
      <c r="HI1845" s="9"/>
      <c r="HJ1845" s="9"/>
      <c r="HK1845" s="9"/>
      <c r="HL1845" s="9"/>
      <c r="HM1845" s="9"/>
      <c r="HN1845" s="9"/>
      <c r="HO1845" s="19">
        <v>18.2</v>
      </c>
      <c r="HP1845" s="19">
        <v>16.3</v>
      </c>
      <c r="HQ1845" s="19">
        <v>18</v>
      </c>
      <c r="HR1845" s="19">
        <v>20.6</v>
      </c>
      <c r="HS1845" s="19">
        <v>19.5</v>
      </c>
      <c r="HT1845" s="19">
        <v>18.6</v>
      </c>
      <c r="HU1845" s="19">
        <v>30.1</v>
      </c>
      <c r="HV1845" s="19">
        <v>29.1</v>
      </c>
      <c r="HW1845" s="19">
        <v>25.1</v>
      </c>
      <c r="HX1845" s="19">
        <v>21.7</v>
      </c>
      <c r="HY1845" s="19">
        <v>19.1</v>
      </c>
      <c r="HZ1845" s="19">
        <v>18.2</v>
      </c>
      <c r="IA1845" s="19">
        <v>15.8</v>
      </c>
      <c r="IB1845" s="19">
        <v>14.8</v>
      </c>
      <c r="IC1845" s="19">
        <v>13.8</v>
      </c>
    </row>
    <row r="1846">
      <c r="A1846" s="2" t="s">
        <v>6736</v>
      </c>
      <c r="B1846" s="2" t="s">
        <v>1071</v>
      </c>
      <c r="C1846" s="2" t="s">
        <v>324</v>
      </c>
      <c r="D1846" s="2" t="s">
        <v>4819</v>
      </c>
      <c r="E1846" s="2" t="s">
        <v>330</v>
      </c>
      <c r="F1846" s="2" t="s">
        <v>6737</v>
      </c>
      <c r="G1846" s="2" t="s">
        <v>6738</v>
      </c>
      <c r="H1846" s="2" t="s">
        <v>6739</v>
      </c>
      <c r="I1846" s="2" t="s">
        <v>235</v>
      </c>
      <c r="J1846" s="2" t="s">
        <v>6740</v>
      </c>
      <c r="K1846" s="2" t="s">
        <v>735</v>
      </c>
      <c r="L1846" s="3">
        <v>103.03</v>
      </c>
      <c r="M1846" s="3"/>
      <c r="N1846" s="3"/>
      <c r="O1846" s="2" t="s">
        <v>327</v>
      </c>
      <c r="P1846" s="2" t="s">
        <v>235</v>
      </c>
      <c r="Q1846" s="2" t="s">
        <v>235</v>
      </c>
      <c r="R1846" s="2" t="s">
        <v>2425</v>
      </c>
      <c r="S1846" s="2" t="s">
        <v>235</v>
      </c>
      <c r="T1846" s="2" t="s">
        <v>235</v>
      </c>
      <c r="U1846" s="2" t="s">
        <v>235</v>
      </c>
      <c r="V1846" s="2" t="s">
        <v>235</v>
      </c>
      <c r="W1846" s="2" t="s">
        <v>235</v>
      </c>
      <c r="X1846" s="2" t="s">
        <v>235</v>
      </c>
      <c r="Y1846" s="2" t="s">
        <v>235</v>
      </c>
      <c r="Z1846" s="4"/>
      <c r="AA1846" s="4">
        <f>=ROUNDDOWN({0},0)</f>
      </c>
      <c r="AB1846" s="5"/>
      <c r="AC1846" s="2" t="s">
        <v>235</v>
      </c>
      <c r="AD1846" s="4"/>
      <c r="AE1846" s="4"/>
      <c r="AF1846" s="6"/>
      <c r="AG1846" s="6"/>
      <c r="AH1846" s="7"/>
      <c r="AI1846" s="4"/>
      <c r="AJ1846" s="4">
        <f>=ROUNDDOWN({0},0)</f>
      </c>
      <c r="AK1846" s="5"/>
      <c r="AL1846" s="2" t="s">
        <v>235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235</v>
      </c>
      <c r="BD1846" s="8" t="s">
        <v>235</v>
      </c>
      <c r="BE1846" s="4" t="s">
        <v>235</v>
      </c>
      <c r="BF1846" s="8" t="s">
        <v>235</v>
      </c>
      <c r="BG1846" s="7" t="s">
        <v>235</v>
      </c>
      <c r="BH1846" s="7" t="s">
        <v>235</v>
      </c>
      <c r="BI1846" s="7"/>
      <c r="BJ1846" s="4"/>
      <c r="BK1846" s="8"/>
      <c r="BL1846" s="2" t="s">
        <v>235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235</v>
      </c>
      <c r="BV1846" s="2" t="s">
        <v>235</v>
      </c>
      <c r="BW1846" s="2" t="s">
        <v>235</v>
      </c>
      <c r="BX1846" s="2" t="s">
        <v>235</v>
      </c>
      <c r="BY1846" s="2" t="s">
        <v>235</v>
      </c>
      <c r="BZ1846" s="2" t="s">
        <v>235</v>
      </c>
      <c r="CA1846" s="2" t="s">
        <v>235</v>
      </c>
      <c r="CB1846" s="2" t="s">
        <v>235</v>
      </c>
      <c r="CC1846" s="2" t="s">
        <v>235</v>
      </c>
      <c r="CD1846" s="2" t="s">
        <v>235</v>
      </c>
      <c r="CE1846" s="2" t="s">
        <v>235</v>
      </c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9"/>
      <c r="HE1846" s="9"/>
      <c r="HF1846" s="9"/>
      <c r="HG1846" s="9"/>
      <c r="HH1846" s="9"/>
      <c r="HI1846" s="9"/>
      <c r="HJ1846" s="9"/>
      <c r="HK1846" s="9"/>
      <c r="HL1846" s="9"/>
      <c r="HM1846" s="9"/>
      <c r="HN1846" s="9"/>
      <c r="HO1846" s="9"/>
      <c r="HP1846" s="9"/>
      <c r="HQ1846" s="9"/>
      <c r="HR1846" s="9"/>
      <c r="HS1846" s="9"/>
      <c r="HT1846" s="9"/>
      <c r="HU1846" s="9"/>
      <c r="HV1846" s="9"/>
      <c r="HW1846" s="9"/>
      <c r="HX1846" s="9"/>
      <c r="HY1846" s="9"/>
      <c r="HZ1846" s="9"/>
      <c r="IA1846" s="9"/>
      <c r="IB1846" s="9"/>
      <c r="IC1846" s="9"/>
    </row>
    <row r="1847">
      <c r="A1847" s="2" t="s">
        <v>6741</v>
      </c>
      <c r="B1847" s="2" t="s">
        <v>1071</v>
      </c>
      <c r="C1847" s="2" t="s">
        <v>324</v>
      </c>
      <c r="D1847" s="2" t="s">
        <v>4819</v>
      </c>
      <c r="E1847" s="2" t="s">
        <v>330</v>
      </c>
      <c r="F1847" s="2" t="s">
        <v>6737</v>
      </c>
      <c r="G1847" s="2" t="s">
        <v>6738</v>
      </c>
      <c r="H1847" s="2" t="s">
        <v>6739</v>
      </c>
      <c r="I1847" s="2" t="s">
        <v>235</v>
      </c>
      <c r="J1847" s="2" t="s">
        <v>6742</v>
      </c>
      <c r="K1847" s="2" t="s">
        <v>6743</v>
      </c>
      <c r="L1847" s="3">
        <v>146.98</v>
      </c>
      <c r="M1847" s="3"/>
      <c r="N1847" s="3"/>
      <c r="O1847" s="2" t="s">
        <v>327</v>
      </c>
      <c r="P1847" s="2" t="s">
        <v>235</v>
      </c>
      <c r="Q1847" s="2" t="s">
        <v>235</v>
      </c>
      <c r="R1847" s="2" t="s">
        <v>2425</v>
      </c>
      <c r="S1847" s="2" t="s">
        <v>235</v>
      </c>
      <c r="T1847" s="2" t="s">
        <v>235</v>
      </c>
      <c r="U1847" s="2" t="s">
        <v>235</v>
      </c>
      <c r="V1847" s="2" t="s">
        <v>235</v>
      </c>
      <c r="W1847" s="2" t="s">
        <v>235</v>
      </c>
      <c r="X1847" s="2" t="s">
        <v>235</v>
      </c>
      <c r="Y1847" s="2" t="s">
        <v>235</v>
      </c>
      <c r="Z1847" s="4"/>
      <c r="AA1847" s="4">
        <f>=ROUNDDOWN({0},0)</f>
      </c>
      <c r="AB1847" s="5"/>
      <c r="AC1847" s="2" t="s">
        <v>235</v>
      </c>
      <c r="AD1847" s="4"/>
      <c r="AE1847" s="4"/>
      <c r="AF1847" s="6"/>
      <c r="AG1847" s="6"/>
      <c r="AH1847" s="7"/>
      <c r="AI1847" s="4"/>
      <c r="AJ1847" s="4">
        <f>=ROUNDDOWN({0},0)</f>
      </c>
      <c r="AK1847" s="5"/>
      <c r="AL1847" s="2" t="s">
        <v>235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235</v>
      </c>
      <c r="BD1847" s="8" t="s">
        <v>235</v>
      </c>
      <c r="BE1847" s="4" t="s">
        <v>235</v>
      </c>
      <c r="BF1847" s="8" t="s">
        <v>235</v>
      </c>
      <c r="BG1847" s="7" t="s">
        <v>235</v>
      </c>
      <c r="BH1847" s="7" t="s">
        <v>235</v>
      </c>
      <c r="BI1847" s="7"/>
      <c r="BJ1847" s="4"/>
      <c r="BK1847" s="8"/>
      <c r="BL1847" s="2" t="s">
        <v>235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235</v>
      </c>
      <c r="BV1847" s="2" t="s">
        <v>235</v>
      </c>
      <c r="BW1847" s="2" t="s">
        <v>235</v>
      </c>
      <c r="BX1847" s="2" t="s">
        <v>235</v>
      </c>
      <c r="BY1847" s="2" t="s">
        <v>235</v>
      </c>
      <c r="BZ1847" s="2" t="s">
        <v>235</v>
      </c>
      <c r="CA1847" s="2" t="s">
        <v>235</v>
      </c>
      <c r="CB1847" s="2" t="s">
        <v>235</v>
      </c>
      <c r="CC1847" s="2" t="s">
        <v>235</v>
      </c>
      <c r="CD1847" s="2" t="s">
        <v>235</v>
      </c>
      <c r="CE1847" s="2" t="s">
        <v>235</v>
      </c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9"/>
      <c r="HE1847" s="9"/>
      <c r="HF1847" s="9"/>
      <c r="HG1847" s="9"/>
      <c r="HH1847" s="9"/>
      <c r="HI1847" s="9"/>
      <c r="HJ1847" s="9"/>
      <c r="HK1847" s="9"/>
      <c r="HL1847" s="9"/>
      <c r="HM1847" s="9"/>
      <c r="HN1847" s="9"/>
      <c r="HO1847" s="9"/>
      <c r="HP1847" s="9"/>
      <c r="HQ1847" s="9"/>
      <c r="HR1847" s="9"/>
      <c r="HS1847" s="9"/>
      <c r="HT1847" s="9"/>
      <c r="HU1847" s="9"/>
      <c r="HV1847" s="9"/>
      <c r="HW1847" s="9"/>
      <c r="HX1847" s="9"/>
      <c r="HY1847" s="9"/>
      <c r="HZ1847" s="9"/>
      <c r="IA1847" s="9"/>
      <c r="IB1847" s="9"/>
      <c r="IC1847" s="9"/>
    </row>
    <row r="1848">
      <c r="A1848" s="2" t="s">
        <v>6744</v>
      </c>
      <c r="B1848" s="2" t="s">
        <v>817</v>
      </c>
      <c r="C1848" s="2" t="s">
        <v>893</v>
      </c>
      <c r="D1848" s="2" t="s">
        <v>818</v>
      </c>
      <c r="E1848" s="2" t="s">
        <v>1689</v>
      </c>
      <c r="F1848" s="2" t="s">
        <v>6745</v>
      </c>
      <c r="G1848" s="2" t="s">
        <v>6745</v>
      </c>
      <c r="H1848" s="2" t="s">
        <v>6745</v>
      </c>
      <c r="I1848" s="2" t="s">
        <v>4210</v>
      </c>
      <c r="J1848" s="2" t="s">
        <v>897</v>
      </c>
      <c r="K1848" s="2" t="s">
        <v>231</v>
      </c>
      <c r="L1848" s="3">
        <v>41.27</v>
      </c>
      <c r="M1848" s="3">
        <v>43.33</v>
      </c>
      <c r="N1848" s="3">
        <v>84.99</v>
      </c>
      <c r="O1848" s="2" t="s">
        <v>407</v>
      </c>
      <c r="P1848" s="2" t="s">
        <v>408</v>
      </c>
      <c r="Q1848" s="2" t="s">
        <v>234</v>
      </c>
      <c r="R1848" s="2" t="s">
        <v>235</v>
      </c>
      <c r="S1848" s="2" t="s">
        <v>6746</v>
      </c>
      <c r="T1848" s="2" t="s">
        <v>235</v>
      </c>
      <c r="U1848" s="2" t="s">
        <v>552</v>
      </c>
      <c r="V1848" s="2" t="s">
        <v>824</v>
      </c>
      <c r="W1848" s="2" t="s">
        <v>682</v>
      </c>
      <c r="X1848" s="2" t="s">
        <v>235</v>
      </c>
      <c r="Y1848" s="2" t="s">
        <v>240</v>
      </c>
      <c r="Z1848" s="4">
        <v>11</v>
      </c>
      <c r="AA1848" s="4">
        <f>=ROUNDDOWN(5.5,0)</f>
      </c>
      <c r="AB1848" s="5">
        <v>2</v>
      </c>
      <c r="AC1848" s="2" t="s">
        <v>235</v>
      </c>
      <c r="AD1848" s="4"/>
      <c r="AE1848" s="4"/>
      <c r="AF1848" s="6">
        <v>61</v>
      </c>
      <c r="AG1848" s="6"/>
      <c r="AH1848" s="7">
        <v>1</v>
      </c>
      <c r="AI1848" s="4"/>
      <c r="AJ1848" s="4">
        <f>=ROUNDDOWN({0},0)</f>
      </c>
      <c r="AK1848" s="5"/>
      <c r="AL1848" s="2" t="s">
        <v>235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6</v>
      </c>
      <c r="BK1848" s="8">
        <v>317.49</v>
      </c>
      <c r="BL1848" s="2" t="s">
        <v>6747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6748</v>
      </c>
      <c r="BV1848" s="2" t="s">
        <v>828</v>
      </c>
      <c r="BW1848" s="2" t="s">
        <v>235</v>
      </c>
      <c r="BX1848" s="2" t="s">
        <v>414</v>
      </c>
      <c r="BY1848" s="2" t="s">
        <v>245</v>
      </c>
      <c r="BZ1848" s="2" t="s">
        <v>232</v>
      </c>
      <c r="CA1848" s="2" t="s">
        <v>1066</v>
      </c>
      <c r="CB1848" s="2" t="s">
        <v>5613</v>
      </c>
      <c r="CC1848" s="2" t="s">
        <v>248</v>
      </c>
      <c r="CD1848" s="2" t="s">
        <v>248</v>
      </c>
      <c r="CE1848" s="2" t="s">
        <v>235</v>
      </c>
      <c r="CF1848" s="4"/>
      <c r="CG1848" s="4">
        <v>11</v>
      </c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>
        <v>11</v>
      </c>
      <c r="GE1848" s="4">
        <v>9</v>
      </c>
      <c r="GF1848" s="4">
        <v>7</v>
      </c>
      <c r="GG1848" s="4">
        <v>5</v>
      </c>
      <c r="GH1848" s="4">
        <v>3</v>
      </c>
      <c r="GI1848" s="4">
        <v>1</v>
      </c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19">
        <v>5.5</v>
      </c>
      <c r="HE1848" s="19">
        <v>4.5</v>
      </c>
      <c r="HF1848" s="19">
        <v>3.5</v>
      </c>
      <c r="HG1848" s="19">
        <v>2.5</v>
      </c>
      <c r="HH1848" s="19">
        <v>1.5</v>
      </c>
      <c r="HI1848" s="19">
        <v>0.5</v>
      </c>
      <c r="HJ1848" s="20">
        <v>0</v>
      </c>
      <c r="HK1848" s="20">
        <v>0</v>
      </c>
      <c r="HL1848" s="20">
        <v>0</v>
      </c>
      <c r="HM1848" s="20">
        <v>0</v>
      </c>
      <c r="HN1848" s="20">
        <v>0</v>
      </c>
      <c r="HO1848" s="20">
        <v>0</v>
      </c>
      <c r="HP1848" s="20">
        <v>0</v>
      </c>
      <c r="HQ1848" s="20">
        <v>0</v>
      </c>
      <c r="HR1848" s="20">
        <v>0</v>
      </c>
      <c r="HS1848" s="20">
        <v>0</v>
      </c>
      <c r="HT1848" s="20">
        <v>0</v>
      </c>
      <c r="HU1848" s="20">
        <v>0</v>
      </c>
      <c r="HV1848" s="20">
        <v>0</v>
      </c>
      <c r="HW1848" s="20">
        <v>0</v>
      </c>
      <c r="HX1848" s="20">
        <v>0</v>
      </c>
      <c r="HY1848" s="20">
        <v>0</v>
      </c>
      <c r="HZ1848" s="20">
        <v>0</v>
      </c>
      <c r="IA1848" s="20">
        <v>0</v>
      </c>
      <c r="IB1848" s="20">
        <v>0</v>
      </c>
      <c r="IC1848" s="20">
        <v>0</v>
      </c>
    </row>
    <row r="1849">
      <c r="A1849" s="2" t="s">
        <v>6749</v>
      </c>
      <c r="B1849" s="2" t="s">
        <v>871</v>
      </c>
      <c r="C1849" s="2" t="s">
        <v>6750</v>
      </c>
      <c r="D1849" s="2" t="s">
        <v>361</v>
      </c>
      <c r="E1849" s="2" t="s">
        <v>872</v>
      </c>
      <c r="F1849" s="2" t="s">
        <v>6751</v>
      </c>
      <c r="G1849" s="2" t="s">
        <v>6752</v>
      </c>
      <c r="H1849" s="2" t="s">
        <v>6753</v>
      </c>
      <c r="I1849" s="2" t="s">
        <v>6754</v>
      </c>
      <c r="J1849" s="2" t="s">
        <v>365</v>
      </c>
      <c r="K1849" s="2" t="s">
        <v>231</v>
      </c>
      <c r="L1849" s="3">
        <v>60.9</v>
      </c>
      <c r="M1849" s="3">
        <v>63.94</v>
      </c>
      <c r="N1849" s="3">
        <v>119.99</v>
      </c>
      <c r="O1849" s="2" t="s">
        <v>232</v>
      </c>
      <c r="P1849" s="2" t="s">
        <v>233</v>
      </c>
      <c r="Q1849" s="2" t="s">
        <v>234</v>
      </c>
      <c r="R1849" s="2" t="s">
        <v>235</v>
      </c>
      <c r="S1849" s="2" t="s">
        <v>6755</v>
      </c>
      <c r="T1849" s="2" t="s">
        <v>235</v>
      </c>
      <c r="U1849" s="2" t="s">
        <v>282</v>
      </c>
      <c r="V1849" s="2" t="s">
        <v>1472</v>
      </c>
      <c r="W1849" s="2" t="s">
        <v>1157</v>
      </c>
      <c r="X1849" s="2" t="s">
        <v>6756</v>
      </c>
      <c r="Y1849" s="2" t="s">
        <v>240</v>
      </c>
      <c r="Z1849" s="4">
        <v>73</v>
      </c>
      <c r="AA1849" s="4">
        <f>=ROUNDDOWN(36.5,0)</f>
      </c>
      <c r="AB1849" s="5">
        <v>2</v>
      </c>
      <c r="AC1849" s="2" t="s">
        <v>235</v>
      </c>
      <c r="AD1849" s="4"/>
      <c r="AE1849" s="4"/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235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8</v>
      </c>
      <c r="BK1849" s="8">
        <v>524.93</v>
      </c>
      <c r="BL1849" s="2" t="s">
        <v>6757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6758</v>
      </c>
      <c r="BV1849" s="2" t="s">
        <v>243</v>
      </c>
      <c r="BW1849" s="2" t="s">
        <v>235</v>
      </c>
      <c r="BX1849" s="2" t="s">
        <v>244</v>
      </c>
      <c r="BY1849" s="2" t="s">
        <v>245</v>
      </c>
      <c r="BZ1849" s="2" t="s">
        <v>232</v>
      </c>
      <c r="CA1849" s="2" t="s">
        <v>252</v>
      </c>
      <c r="CB1849" s="2" t="s">
        <v>1280</v>
      </c>
      <c r="CC1849" s="2" t="s">
        <v>248</v>
      </c>
      <c r="CD1849" s="2" t="s">
        <v>248</v>
      </c>
      <c r="CE1849" s="2" t="s">
        <v>235</v>
      </c>
      <c r="CF1849" s="4">
        <v>72</v>
      </c>
      <c r="CG1849" s="4">
        <v>1</v>
      </c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>
        <v>75</v>
      </c>
      <c r="GE1849" s="4">
        <v>65</v>
      </c>
      <c r="GF1849" s="4">
        <v>63</v>
      </c>
      <c r="GG1849" s="4">
        <v>61</v>
      </c>
      <c r="GH1849" s="4">
        <v>58</v>
      </c>
      <c r="GI1849" s="4">
        <v>56</v>
      </c>
      <c r="GJ1849" s="4">
        <v>52</v>
      </c>
      <c r="GK1849" s="4">
        <v>50</v>
      </c>
      <c r="GL1849" s="4">
        <v>47</v>
      </c>
      <c r="GM1849" s="4">
        <v>45</v>
      </c>
      <c r="GN1849" s="4">
        <v>43</v>
      </c>
      <c r="GO1849" s="4">
        <v>40</v>
      </c>
      <c r="GP1849" s="4">
        <v>38</v>
      </c>
      <c r="GQ1849" s="4">
        <v>34</v>
      </c>
      <c r="GR1849" s="4">
        <v>32</v>
      </c>
      <c r="GS1849" s="4">
        <v>29</v>
      </c>
      <c r="GT1849" s="4">
        <v>27</v>
      </c>
      <c r="GU1849" s="4">
        <v>25</v>
      </c>
      <c r="GV1849" s="4">
        <v>23</v>
      </c>
      <c r="GW1849" s="4">
        <v>66</v>
      </c>
      <c r="GX1849" s="4">
        <v>64</v>
      </c>
      <c r="GY1849" s="4">
        <v>62</v>
      </c>
      <c r="GZ1849" s="4">
        <v>60</v>
      </c>
      <c r="HA1849" s="4">
        <v>58</v>
      </c>
      <c r="HB1849" s="4">
        <v>56</v>
      </c>
      <c r="HC1849" s="4">
        <v>54</v>
      </c>
      <c r="HD1849" s="19">
        <v>18.8</v>
      </c>
      <c r="HE1849" s="19">
        <v>32.5</v>
      </c>
      <c r="HF1849" s="19">
        <v>21</v>
      </c>
      <c r="HG1849" s="19">
        <v>20.3</v>
      </c>
      <c r="HH1849" s="19">
        <v>19.3</v>
      </c>
      <c r="HI1849" s="19">
        <v>18.7</v>
      </c>
      <c r="HJ1849" s="19">
        <v>26</v>
      </c>
      <c r="HK1849" s="19">
        <v>25</v>
      </c>
      <c r="HL1849" s="19">
        <v>23.5</v>
      </c>
      <c r="HM1849" s="19">
        <v>15</v>
      </c>
      <c r="HN1849" s="19">
        <v>14.3</v>
      </c>
      <c r="HO1849" s="19">
        <v>13.3</v>
      </c>
      <c r="HP1849" s="19">
        <v>12.7</v>
      </c>
      <c r="HQ1849" s="19">
        <v>17</v>
      </c>
      <c r="HR1849" s="19">
        <v>16</v>
      </c>
      <c r="HS1849" s="19">
        <v>14.5</v>
      </c>
      <c r="HT1849" s="19">
        <v>13.5</v>
      </c>
      <c r="HU1849" s="19">
        <v>12.5</v>
      </c>
      <c r="HV1849" s="19">
        <v>11.5</v>
      </c>
      <c r="HW1849" s="19">
        <v>33</v>
      </c>
      <c r="HX1849" s="19">
        <v>32</v>
      </c>
      <c r="HY1849" s="19">
        <v>31</v>
      </c>
      <c r="HZ1849" s="19">
        <v>30</v>
      </c>
      <c r="IA1849" s="19">
        <v>29</v>
      </c>
      <c r="IB1849" s="19">
        <v>28</v>
      </c>
      <c r="IC1849" s="19">
        <v>27</v>
      </c>
    </row>
    <row r="1850">
      <c r="A1850" s="2" t="s">
        <v>6759</v>
      </c>
      <c r="B1850" s="2" t="s">
        <v>871</v>
      </c>
      <c r="C1850" s="2" t="s">
        <v>853</v>
      </c>
      <c r="D1850" s="2" t="s">
        <v>361</v>
      </c>
      <c r="E1850" s="2" t="s">
        <v>872</v>
      </c>
      <c r="F1850" s="2" t="s">
        <v>6760</v>
      </c>
      <c r="G1850" s="2" t="s">
        <v>6761</v>
      </c>
      <c r="H1850" s="2" t="s">
        <v>6762</v>
      </c>
      <c r="I1850" s="2" t="s">
        <v>6763</v>
      </c>
      <c r="J1850" s="2" t="s">
        <v>365</v>
      </c>
      <c r="K1850" s="2" t="s">
        <v>4349</v>
      </c>
      <c r="L1850" s="3">
        <v>41.95</v>
      </c>
      <c r="M1850" s="3">
        <v>44.05</v>
      </c>
      <c r="N1850" s="3">
        <v>89.99</v>
      </c>
      <c r="O1850" s="2" t="s">
        <v>232</v>
      </c>
      <c r="P1850" s="2" t="s">
        <v>233</v>
      </c>
      <c r="Q1850" s="2" t="s">
        <v>234</v>
      </c>
      <c r="R1850" s="2" t="s">
        <v>235</v>
      </c>
      <c r="S1850" s="2" t="s">
        <v>6764</v>
      </c>
      <c r="T1850" s="2" t="s">
        <v>2295</v>
      </c>
      <c r="U1850" s="2" t="s">
        <v>264</v>
      </c>
      <c r="V1850" s="2" t="s">
        <v>238</v>
      </c>
      <c r="W1850" s="2" t="s">
        <v>239</v>
      </c>
      <c r="X1850" s="2" t="s">
        <v>1157</v>
      </c>
      <c r="Y1850" s="2" t="s">
        <v>2400</v>
      </c>
      <c r="Z1850" s="4">
        <v>942</v>
      </c>
      <c r="AA1850" s="4">
        <f>=ROUNDDOWN(157,0)</f>
      </c>
      <c r="AB1850" s="5">
        <v>6</v>
      </c>
      <c r="AC1850" s="2" t="s">
        <v>235</v>
      </c>
      <c r="AD1850" s="4"/>
      <c r="AE1850" s="4"/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235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2</v>
      </c>
      <c r="BK1850" s="8">
        <v>95.59</v>
      </c>
      <c r="BL1850" s="2" t="s">
        <v>3136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6765</v>
      </c>
      <c r="BV1850" s="2" t="s">
        <v>243</v>
      </c>
      <c r="BW1850" s="2" t="s">
        <v>235</v>
      </c>
      <c r="BX1850" s="2" t="s">
        <v>244</v>
      </c>
      <c r="BY1850" s="2" t="s">
        <v>245</v>
      </c>
      <c r="BZ1850" s="2" t="s">
        <v>232</v>
      </c>
      <c r="CA1850" s="2" t="s">
        <v>1485</v>
      </c>
      <c r="CB1850" s="2" t="s">
        <v>2954</v>
      </c>
      <c r="CC1850" s="2" t="s">
        <v>248</v>
      </c>
      <c r="CD1850" s="2" t="s">
        <v>248</v>
      </c>
      <c r="CE1850" s="2" t="s">
        <v>235</v>
      </c>
      <c r="CF1850" s="4">
        <v>942</v>
      </c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>
        <v>943</v>
      </c>
      <c r="GE1850" s="4">
        <v>939</v>
      </c>
      <c r="GF1850" s="4">
        <v>937</v>
      </c>
      <c r="GG1850" s="4">
        <v>935</v>
      </c>
      <c r="GH1850" s="4">
        <v>933</v>
      </c>
      <c r="GI1850" s="4">
        <v>932</v>
      </c>
      <c r="GJ1850" s="4">
        <v>929</v>
      </c>
      <c r="GK1850" s="4">
        <v>927</v>
      </c>
      <c r="GL1850" s="4">
        <v>925</v>
      </c>
      <c r="GM1850" s="4">
        <v>923</v>
      </c>
      <c r="GN1850" s="4">
        <v>918</v>
      </c>
      <c r="GO1850" s="4">
        <v>912</v>
      </c>
      <c r="GP1850" s="4">
        <v>905</v>
      </c>
      <c r="GQ1850" s="4">
        <v>898</v>
      </c>
      <c r="GR1850" s="4">
        <v>884</v>
      </c>
      <c r="GS1850" s="4">
        <v>874</v>
      </c>
      <c r="GT1850" s="4">
        <v>867</v>
      </c>
      <c r="GU1850" s="4">
        <v>865</v>
      </c>
      <c r="GV1850" s="4">
        <v>863</v>
      </c>
      <c r="GW1850" s="4">
        <v>860</v>
      </c>
      <c r="GX1850" s="4">
        <v>858</v>
      </c>
      <c r="GY1850" s="4">
        <v>856</v>
      </c>
      <c r="GZ1850" s="4">
        <v>854</v>
      </c>
      <c r="HA1850" s="4">
        <v>852</v>
      </c>
      <c r="HB1850" s="4">
        <v>850</v>
      </c>
      <c r="HC1850" s="4">
        <v>848</v>
      </c>
      <c r="HD1850" s="19">
        <v>471.5</v>
      </c>
      <c r="HE1850" s="19">
        <v>469.5</v>
      </c>
      <c r="HF1850" s="19">
        <v>468.5</v>
      </c>
      <c r="HG1850" s="19">
        <v>467.5</v>
      </c>
      <c r="HH1850" s="19">
        <v>466.5</v>
      </c>
      <c r="HI1850" s="19">
        <v>466</v>
      </c>
      <c r="HJ1850" s="19">
        <v>309.7</v>
      </c>
      <c r="HK1850" s="19">
        <v>231.8</v>
      </c>
      <c r="HL1850" s="19">
        <v>185</v>
      </c>
      <c r="HM1850" s="19">
        <v>153.8</v>
      </c>
      <c r="HN1850" s="19">
        <v>114.8</v>
      </c>
      <c r="HO1850" s="19">
        <v>91.2</v>
      </c>
      <c r="HP1850" s="19">
        <v>90.5</v>
      </c>
      <c r="HQ1850" s="19">
        <v>112.3</v>
      </c>
      <c r="HR1850" s="19">
        <v>176.8</v>
      </c>
      <c r="HS1850" s="19">
        <v>218.5</v>
      </c>
      <c r="HT1850" s="19">
        <v>433.5</v>
      </c>
      <c r="HU1850" s="19">
        <v>432.5</v>
      </c>
      <c r="HV1850" s="19">
        <v>431.5</v>
      </c>
      <c r="HW1850" s="19">
        <v>430</v>
      </c>
      <c r="HX1850" s="19">
        <v>429</v>
      </c>
      <c r="HY1850" s="19">
        <v>428</v>
      </c>
      <c r="HZ1850" s="19">
        <v>427</v>
      </c>
      <c r="IA1850" s="19">
        <v>426</v>
      </c>
      <c r="IB1850" s="19">
        <v>425</v>
      </c>
      <c r="IC1850" s="19">
        <v>424</v>
      </c>
    </row>
    <row r="1851">
      <c r="A1851" s="2" t="s">
        <v>6766</v>
      </c>
      <c r="B1851" s="2" t="s">
        <v>852</v>
      </c>
      <c r="C1851" s="2" t="s">
        <v>324</v>
      </c>
      <c r="D1851" s="2" t="s">
        <v>854</v>
      </c>
      <c r="E1851" s="2" t="s">
        <v>1549</v>
      </c>
      <c r="F1851" s="2" t="s">
        <v>6767</v>
      </c>
      <c r="G1851" s="2" t="s">
        <v>6768</v>
      </c>
      <c r="H1851" s="2" t="s">
        <v>6769</v>
      </c>
      <c r="I1851" s="2" t="s">
        <v>6770</v>
      </c>
      <c r="J1851" s="2" t="s">
        <v>1237</v>
      </c>
      <c r="K1851" s="2" t="s">
        <v>506</v>
      </c>
      <c r="L1851" s="3">
        <v>14.62</v>
      </c>
      <c r="M1851" s="3">
        <v>15.35</v>
      </c>
      <c r="N1851" s="3">
        <v>34.99</v>
      </c>
      <c r="O1851" s="2" t="s">
        <v>232</v>
      </c>
      <c r="P1851" s="2" t="s">
        <v>233</v>
      </c>
      <c r="Q1851" s="2" t="s">
        <v>234</v>
      </c>
      <c r="R1851" s="2" t="s">
        <v>235</v>
      </c>
      <c r="S1851" s="2" t="s">
        <v>6771</v>
      </c>
      <c r="T1851" s="2" t="s">
        <v>235</v>
      </c>
      <c r="U1851" s="2" t="s">
        <v>807</v>
      </c>
      <c r="V1851" s="2" t="s">
        <v>238</v>
      </c>
      <c r="W1851" s="2" t="s">
        <v>2060</v>
      </c>
      <c r="X1851" s="2" t="s">
        <v>1549</v>
      </c>
      <c r="Y1851" s="2" t="s">
        <v>6772</v>
      </c>
      <c r="Z1851" s="4">
        <v>132</v>
      </c>
      <c r="AA1851" s="4">
        <f>=ROUNDDOWN(77.6470588235294,0)</f>
      </c>
      <c r="AB1851" s="5">
        <v>1.7</v>
      </c>
      <c r="AC1851" s="2" t="s">
        <v>235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235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235</v>
      </c>
      <c r="BD1851" s="8" t="s">
        <v>235</v>
      </c>
      <c r="BE1851" s="4" t="s">
        <v>235</v>
      </c>
      <c r="BF1851" s="8" t="s">
        <v>235</v>
      </c>
      <c r="BG1851" s="7" t="s">
        <v>235</v>
      </c>
      <c r="BH1851" s="7" t="s">
        <v>235</v>
      </c>
      <c r="BI1851" s="7"/>
      <c r="BJ1851" s="4">
        <v>2</v>
      </c>
      <c r="BK1851" s="8">
        <v>32.52</v>
      </c>
      <c r="BL1851" s="2" t="s">
        <v>1907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6773</v>
      </c>
      <c r="BV1851" s="2" t="s">
        <v>867</v>
      </c>
      <c r="BW1851" s="2" t="s">
        <v>235</v>
      </c>
      <c r="BX1851" s="2" t="s">
        <v>244</v>
      </c>
      <c r="BY1851" s="2" t="s">
        <v>245</v>
      </c>
      <c r="BZ1851" s="2" t="s">
        <v>232</v>
      </c>
      <c r="CA1851" s="2" t="s">
        <v>4414</v>
      </c>
      <c r="CB1851" s="2" t="s">
        <v>6774</v>
      </c>
      <c r="CC1851" s="2" t="s">
        <v>248</v>
      </c>
      <c r="CD1851" s="2" t="s">
        <v>248</v>
      </c>
      <c r="CE1851" s="2" t="s">
        <v>235</v>
      </c>
      <c r="CF1851" s="4">
        <v>132</v>
      </c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>
        <v>132</v>
      </c>
      <c r="GE1851" s="4">
        <v>130</v>
      </c>
      <c r="GF1851" s="4">
        <v>128</v>
      </c>
      <c r="GG1851" s="4">
        <v>126</v>
      </c>
      <c r="GH1851" s="4">
        <v>124</v>
      </c>
      <c r="GI1851" s="4">
        <v>122</v>
      </c>
      <c r="GJ1851" s="4">
        <v>120</v>
      </c>
      <c r="GK1851" s="4">
        <v>118</v>
      </c>
      <c r="GL1851" s="4">
        <v>116</v>
      </c>
      <c r="GM1851" s="4">
        <v>114</v>
      </c>
      <c r="GN1851" s="4">
        <v>112</v>
      </c>
      <c r="GO1851" s="4">
        <v>109</v>
      </c>
      <c r="GP1851" s="4">
        <v>107</v>
      </c>
      <c r="GQ1851" s="4">
        <v>104</v>
      </c>
      <c r="GR1851" s="4">
        <v>102</v>
      </c>
      <c r="GS1851" s="4">
        <v>100</v>
      </c>
      <c r="GT1851" s="4">
        <v>98</v>
      </c>
      <c r="GU1851" s="4">
        <v>96</v>
      </c>
      <c r="GV1851" s="4">
        <v>94</v>
      </c>
      <c r="GW1851" s="4">
        <v>92</v>
      </c>
      <c r="GX1851" s="4">
        <v>90</v>
      </c>
      <c r="GY1851" s="4">
        <v>88</v>
      </c>
      <c r="GZ1851" s="4">
        <v>86</v>
      </c>
      <c r="HA1851" s="4">
        <v>84</v>
      </c>
      <c r="HB1851" s="4">
        <v>82</v>
      </c>
      <c r="HC1851" s="4">
        <v>80</v>
      </c>
      <c r="HD1851" s="19">
        <v>66</v>
      </c>
      <c r="HE1851" s="19">
        <v>65</v>
      </c>
      <c r="HF1851" s="19">
        <v>64</v>
      </c>
      <c r="HG1851" s="19">
        <v>63</v>
      </c>
      <c r="HH1851" s="19">
        <v>62</v>
      </c>
      <c r="HI1851" s="19">
        <v>61</v>
      </c>
      <c r="HJ1851" s="19">
        <v>60</v>
      </c>
      <c r="HK1851" s="19">
        <v>59</v>
      </c>
      <c r="HL1851" s="19">
        <v>58</v>
      </c>
      <c r="HM1851" s="19">
        <v>57</v>
      </c>
      <c r="HN1851" s="19">
        <v>56</v>
      </c>
      <c r="HO1851" s="19">
        <v>54.5</v>
      </c>
      <c r="HP1851" s="19">
        <v>53.5</v>
      </c>
      <c r="HQ1851" s="19">
        <v>52</v>
      </c>
      <c r="HR1851" s="19">
        <v>51</v>
      </c>
      <c r="HS1851" s="19">
        <v>50</v>
      </c>
      <c r="HT1851" s="19">
        <v>49</v>
      </c>
      <c r="HU1851" s="19">
        <v>48</v>
      </c>
      <c r="HV1851" s="19">
        <v>47</v>
      </c>
      <c r="HW1851" s="19">
        <v>46</v>
      </c>
      <c r="HX1851" s="19">
        <v>45</v>
      </c>
      <c r="HY1851" s="19">
        <v>44</v>
      </c>
      <c r="HZ1851" s="19">
        <v>43</v>
      </c>
      <c r="IA1851" s="19">
        <v>42</v>
      </c>
      <c r="IB1851" s="19">
        <v>41</v>
      </c>
      <c r="IC1851" s="19">
        <v>40</v>
      </c>
    </row>
    <row r="1852">
      <c r="A1852" s="2" t="s">
        <v>6775</v>
      </c>
      <c r="B1852" s="2" t="s">
        <v>852</v>
      </c>
      <c r="C1852" s="2" t="s">
        <v>324</v>
      </c>
      <c r="D1852" s="2" t="s">
        <v>854</v>
      </c>
      <c r="E1852" s="2" t="s">
        <v>1549</v>
      </c>
      <c r="F1852" s="2" t="s">
        <v>6767</v>
      </c>
      <c r="G1852" s="2" t="s">
        <v>6768</v>
      </c>
      <c r="H1852" s="2" t="s">
        <v>6769</v>
      </c>
      <c r="I1852" s="2" t="s">
        <v>6770</v>
      </c>
      <c r="J1852" s="2" t="s">
        <v>1237</v>
      </c>
      <c r="K1852" s="2" t="s">
        <v>316</v>
      </c>
      <c r="L1852" s="3">
        <v>14.62</v>
      </c>
      <c r="M1852" s="3">
        <v>15.35</v>
      </c>
      <c r="N1852" s="3">
        <v>34.99</v>
      </c>
      <c r="O1852" s="2" t="s">
        <v>232</v>
      </c>
      <c r="P1852" s="2" t="s">
        <v>1282</v>
      </c>
      <c r="Q1852" s="2" t="s">
        <v>234</v>
      </c>
      <c r="R1852" s="2" t="s">
        <v>235</v>
      </c>
      <c r="S1852" s="2" t="s">
        <v>6776</v>
      </c>
      <c r="T1852" s="2" t="s">
        <v>235</v>
      </c>
      <c r="U1852" s="2" t="s">
        <v>807</v>
      </c>
      <c r="V1852" s="2" t="s">
        <v>238</v>
      </c>
      <c r="W1852" s="2" t="s">
        <v>2060</v>
      </c>
      <c r="X1852" s="2" t="s">
        <v>1549</v>
      </c>
      <c r="Y1852" s="2" t="s">
        <v>6772</v>
      </c>
      <c r="Z1852" s="4">
        <v>132</v>
      </c>
      <c r="AA1852" s="4">
        <f>=ROUNDDOWN(23.1578947368421,0)</f>
      </c>
      <c r="AB1852" s="5">
        <v>5.7</v>
      </c>
      <c r="AC1852" s="2" t="s">
        <v>235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235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235</v>
      </c>
      <c r="BD1852" s="8" t="s">
        <v>235</v>
      </c>
      <c r="BE1852" s="4" t="s">
        <v>235</v>
      </c>
      <c r="BF1852" s="8" t="s">
        <v>235</v>
      </c>
      <c r="BG1852" s="7" t="s">
        <v>235</v>
      </c>
      <c r="BH1852" s="7" t="s">
        <v>235</v>
      </c>
      <c r="BI1852" s="7"/>
      <c r="BJ1852" s="4">
        <v>27</v>
      </c>
      <c r="BK1852" s="8">
        <v>443.05</v>
      </c>
      <c r="BL1852" s="2" t="s">
        <v>6777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6773</v>
      </c>
      <c r="BV1852" s="2" t="s">
        <v>867</v>
      </c>
      <c r="BW1852" s="2" t="s">
        <v>235</v>
      </c>
      <c r="BX1852" s="2" t="s">
        <v>244</v>
      </c>
      <c r="BY1852" s="2" t="s">
        <v>245</v>
      </c>
      <c r="BZ1852" s="2" t="s">
        <v>232</v>
      </c>
      <c r="CA1852" s="2" t="s">
        <v>4414</v>
      </c>
      <c r="CB1852" s="2" t="s">
        <v>6778</v>
      </c>
      <c r="CC1852" s="2" t="s">
        <v>248</v>
      </c>
      <c r="CD1852" s="2" t="s">
        <v>248</v>
      </c>
      <c r="CE1852" s="2" t="s">
        <v>235</v>
      </c>
      <c r="CF1852" s="4">
        <v>132</v>
      </c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>
        <v>136</v>
      </c>
      <c r="GE1852" s="4">
        <v>130</v>
      </c>
      <c r="GF1852" s="4">
        <v>125</v>
      </c>
      <c r="GG1852" s="4">
        <v>120</v>
      </c>
      <c r="GH1852" s="4">
        <v>115</v>
      </c>
      <c r="GI1852" s="4">
        <v>110</v>
      </c>
      <c r="GJ1852" s="4">
        <v>105</v>
      </c>
      <c r="GK1852" s="4">
        <v>100</v>
      </c>
      <c r="GL1852" s="4">
        <v>95</v>
      </c>
      <c r="GM1852" s="4">
        <v>90</v>
      </c>
      <c r="GN1852" s="4">
        <v>84</v>
      </c>
      <c r="GO1852" s="4">
        <v>77</v>
      </c>
      <c r="GP1852" s="4">
        <v>70</v>
      </c>
      <c r="GQ1852" s="4">
        <v>60</v>
      </c>
      <c r="GR1852" s="4">
        <v>54</v>
      </c>
      <c r="GS1852" s="4">
        <v>47</v>
      </c>
      <c r="GT1852" s="4">
        <v>41</v>
      </c>
      <c r="GU1852" s="4">
        <v>35</v>
      </c>
      <c r="GV1852" s="4">
        <v>29</v>
      </c>
      <c r="GW1852" s="4">
        <v>139</v>
      </c>
      <c r="GX1852" s="4">
        <v>133</v>
      </c>
      <c r="GY1852" s="4">
        <v>127</v>
      </c>
      <c r="GZ1852" s="4">
        <v>121</v>
      </c>
      <c r="HA1852" s="4">
        <v>115</v>
      </c>
      <c r="HB1852" s="4">
        <v>109</v>
      </c>
      <c r="HC1852" s="4">
        <v>102</v>
      </c>
      <c r="HD1852" s="19">
        <v>27.2</v>
      </c>
      <c r="HE1852" s="19">
        <v>26</v>
      </c>
      <c r="HF1852" s="19">
        <v>25</v>
      </c>
      <c r="HG1852" s="19">
        <v>24</v>
      </c>
      <c r="HH1852" s="19">
        <v>23</v>
      </c>
      <c r="HI1852" s="19">
        <v>22</v>
      </c>
      <c r="HJ1852" s="19">
        <v>21</v>
      </c>
      <c r="HK1852" s="19">
        <v>16.7</v>
      </c>
      <c r="HL1852" s="19">
        <v>15.8</v>
      </c>
      <c r="HM1852" s="19">
        <v>11.3</v>
      </c>
      <c r="HN1852" s="19">
        <v>10.5</v>
      </c>
      <c r="HO1852" s="19">
        <v>9.6</v>
      </c>
      <c r="HP1852" s="19">
        <v>10</v>
      </c>
      <c r="HQ1852" s="19">
        <v>10</v>
      </c>
      <c r="HR1852" s="19">
        <v>9</v>
      </c>
      <c r="HS1852" s="19">
        <v>7.8</v>
      </c>
      <c r="HT1852" s="19">
        <v>6.8</v>
      </c>
      <c r="HU1852" s="19">
        <v>5.8</v>
      </c>
      <c r="HV1852" s="19">
        <v>4.8</v>
      </c>
      <c r="HW1852" s="19">
        <v>23.2</v>
      </c>
      <c r="HX1852" s="19">
        <v>22.2</v>
      </c>
      <c r="HY1852" s="19">
        <v>21.2</v>
      </c>
      <c r="HZ1852" s="19">
        <v>20.2</v>
      </c>
      <c r="IA1852" s="19">
        <v>19.2</v>
      </c>
      <c r="IB1852" s="19">
        <v>18.2</v>
      </c>
      <c r="IC1852" s="19">
        <v>17</v>
      </c>
    </row>
    <row r="1853">
      <c r="A1853" s="2" t="s">
        <v>6779</v>
      </c>
      <c r="B1853" s="2" t="s">
        <v>905</v>
      </c>
      <c r="C1853" s="2" t="s">
        <v>324</v>
      </c>
      <c r="D1853" s="2" t="s">
        <v>990</v>
      </c>
      <c r="E1853" s="2" t="s">
        <v>991</v>
      </c>
      <c r="F1853" s="2" t="s">
        <v>4924</v>
      </c>
      <c r="G1853" s="2" t="s">
        <v>3816</v>
      </c>
      <c r="H1853" s="2" t="s">
        <v>3816</v>
      </c>
      <c r="I1853" s="2" t="s">
        <v>6780</v>
      </c>
      <c r="J1853" s="2" t="s">
        <v>993</v>
      </c>
      <c r="K1853" s="2" t="s">
        <v>1196</v>
      </c>
      <c r="L1853" s="3">
        <v>26.65</v>
      </c>
      <c r="M1853" s="3">
        <v>27.98</v>
      </c>
      <c r="N1853" s="3">
        <v>54.99</v>
      </c>
      <c r="O1853" s="2" t="s">
        <v>232</v>
      </c>
      <c r="P1853" s="2" t="s">
        <v>233</v>
      </c>
      <c r="Q1853" s="2" t="s">
        <v>234</v>
      </c>
      <c r="R1853" s="2" t="s">
        <v>235</v>
      </c>
      <c r="S1853" s="2" t="s">
        <v>6781</v>
      </c>
      <c r="T1853" s="2" t="s">
        <v>235</v>
      </c>
      <c r="U1853" s="2" t="s">
        <v>807</v>
      </c>
      <c r="V1853" s="2" t="s">
        <v>238</v>
      </c>
      <c r="W1853" s="2" t="s">
        <v>239</v>
      </c>
      <c r="X1853" s="2" t="s">
        <v>235</v>
      </c>
      <c r="Y1853" s="2" t="s">
        <v>1936</v>
      </c>
      <c r="Z1853" s="4">
        <v>384</v>
      </c>
      <c r="AA1853" s="4">
        <f>=ROUNDDOWN(96,0)</f>
      </c>
      <c r="AB1853" s="5">
        <v>4</v>
      </c>
      <c r="AC1853" s="2" t="s">
        <v>235</v>
      </c>
      <c r="AD1853" s="4"/>
      <c r="AE1853" s="4"/>
      <c r="AF1853" s="6">
        <v>64</v>
      </c>
      <c r="AG1853" s="6"/>
      <c r="AH1853" s="7">
        <v>1</v>
      </c>
      <c r="AI1853" s="4"/>
      <c r="AJ1853" s="4">
        <f>=ROUNDDOWN({0},0)</f>
      </c>
      <c r="AK1853" s="5"/>
      <c r="AL1853" s="2" t="s">
        <v>235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 t="s">
        <v>235</v>
      </c>
      <c r="BD1853" s="8" t="s">
        <v>235</v>
      </c>
      <c r="BE1853" s="4" t="s">
        <v>235</v>
      </c>
      <c r="BF1853" s="8" t="s">
        <v>235</v>
      </c>
      <c r="BG1853" s="7" t="s">
        <v>235</v>
      </c>
      <c r="BH1853" s="7" t="s">
        <v>235</v>
      </c>
      <c r="BI1853" s="7"/>
      <c r="BJ1853" s="4">
        <v>6</v>
      </c>
      <c r="BK1853" s="8">
        <v>192.6</v>
      </c>
      <c r="BL1853" s="2" t="s">
        <v>4361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6782</v>
      </c>
      <c r="BV1853" s="2" t="s">
        <v>243</v>
      </c>
      <c r="BW1853" s="2" t="s">
        <v>235</v>
      </c>
      <c r="BX1853" s="2" t="s">
        <v>244</v>
      </c>
      <c r="BY1853" s="2" t="s">
        <v>245</v>
      </c>
      <c r="BZ1853" s="2" t="s">
        <v>232</v>
      </c>
      <c r="CA1853" s="2" t="s">
        <v>5359</v>
      </c>
      <c r="CB1853" s="2" t="s">
        <v>2587</v>
      </c>
      <c r="CC1853" s="2" t="s">
        <v>248</v>
      </c>
      <c r="CD1853" s="2" t="s">
        <v>248</v>
      </c>
      <c r="CE1853" s="2" t="s">
        <v>235</v>
      </c>
      <c r="CF1853" s="4">
        <v>384</v>
      </c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>
        <v>384</v>
      </c>
      <c r="GE1853" s="4">
        <v>372</v>
      </c>
      <c r="GF1853" s="4">
        <v>365</v>
      </c>
      <c r="GG1853" s="4">
        <v>358</v>
      </c>
      <c r="GH1853" s="4">
        <v>350</v>
      </c>
      <c r="GI1853" s="4">
        <v>332</v>
      </c>
      <c r="GJ1853" s="4">
        <v>311</v>
      </c>
      <c r="GK1853" s="4">
        <v>296</v>
      </c>
      <c r="GL1853" s="4">
        <v>277</v>
      </c>
      <c r="GM1853" s="4">
        <v>263</v>
      </c>
      <c r="GN1853" s="4">
        <v>249</v>
      </c>
      <c r="GO1853" s="4">
        <v>226</v>
      </c>
      <c r="GP1853" s="4">
        <v>202</v>
      </c>
      <c r="GQ1853" s="4">
        <v>163</v>
      </c>
      <c r="GR1853" s="4">
        <v>133</v>
      </c>
      <c r="GS1853" s="4">
        <v>95</v>
      </c>
      <c r="GT1853" s="4">
        <v>76</v>
      </c>
      <c r="GU1853" s="4">
        <v>60</v>
      </c>
      <c r="GV1853" s="4">
        <v>44</v>
      </c>
      <c r="GW1853" s="4">
        <v>40</v>
      </c>
      <c r="GX1853" s="4">
        <v>36</v>
      </c>
      <c r="GY1853" s="4">
        <v>32</v>
      </c>
      <c r="GZ1853" s="4">
        <v>28</v>
      </c>
      <c r="HA1853" s="4">
        <v>24</v>
      </c>
      <c r="HB1853" s="4">
        <v>20</v>
      </c>
      <c r="HC1853" s="4">
        <v>56</v>
      </c>
      <c r="HD1853" s="19">
        <v>48</v>
      </c>
      <c r="HE1853" s="19">
        <v>37.2</v>
      </c>
      <c r="HF1853" s="19">
        <v>26.1</v>
      </c>
      <c r="HG1853" s="19">
        <v>22.4</v>
      </c>
      <c r="HH1853" s="19">
        <v>19.4</v>
      </c>
      <c r="HI1853" s="19">
        <v>19.5</v>
      </c>
      <c r="HJ1853" s="19">
        <v>19.4</v>
      </c>
      <c r="HK1853" s="19">
        <v>16.4</v>
      </c>
      <c r="HL1853" s="19">
        <v>14.6</v>
      </c>
      <c r="HM1853" s="19">
        <v>10.5</v>
      </c>
      <c r="HN1853" s="19">
        <v>8.6</v>
      </c>
      <c r="HO1853" s="19">
        <v>6.8</v>
      </c>
      <c r="HP1853" s="19">
        <v>6.3</v>
      </c>
      <c r="HQ1853" s="19">
        <v>6.3</v>
      </c>
      <c r="HR1853" s="19">
        <v>6</v>
      </c>
      <c r="HS1853" s="19">
        <v>6.8</v>
      </c>
      <c r="HT1853" s="19">
        <v>7.6</v>
      </c>
      <c r="HU1853" s="19">
        <v>8.6</v>
      </c>
      <c r="HV1853" s="19">
        <v>11</v>
      </c>
      <c r="HW1853" s="19">
        <v>10</v>
      </c>
      <c r="HX1853" s="19">
        <v>9</v>
      </c>
      <c r="HY1853" s="19">
        <v>8</v>
      </c>
      <c r="HZ1853" s="19">
        <v>7</v>
      </c>
      <c r="IA1853" s="19">
        <v>6</v>
      </c>
      <c r="IB1853" s="19">
        <v>5</v>
      </c>
      <c r="IC1853" s="19">
        <v>14</v>
      </c>
    </row>
    <row r="1854">
      <c r="A1854" s="2" t="s">
        <v>6783</v>
      </c>
      <c r="B1854" s="2" t="s">
        <v>905</v>
      </c>
      <c r="C1854" s="2" t="s">
        <v>324</v>
      </c>
      <c r="D1854" s="2" t="s">
        <v>990</v>
      </c>
      <c r="E1854" s="2" t="s">
        <v>991</v>
      </c>
      <c r="F1854" s="2" t="s">
        <v>4924</v>
      </c>
      <c r="G1854" s="2" t="s">
        <v>3816</v>
      </c>
      <c r="H1854" s="2" t="s">
        <v>3816</v>
      </c>
      <c r="I1854" s="2" t="s">
        <v>6780</v>
      </c>
      <c r="J1854" s="2" t="s">
        <v>993</v>
      </c>
      <c r="K1854" s="2" t="s">
        <v>3700</v>
      </c>
      <c r="L1854" s="3">
        <v>26.65</v>
      </c>
      <c r="M1854" s="3">
        <v>27.98</v>
      </c>
      <c r="N1854" s="3">
        <v>54.99</v>
      </c>
      <c r="O1854" s="2" t="s">
        <v>232</v>
      </c>
      <c r="P1854" s="2" t="s">
        <v>965</v>
      </c>
      <c r="Q1854" s="2" t="s">
        <v>234</v>
      </c>
      <c r="R1854" s="2" t="s">
        <v>235</v>
      </c>
      <c r="S1854" s="2" t="s">
        <v>6784</v>
      </c>
      <c r="T1854" s="2" t="s">
        <v>235</v>
      </c>
      <c r="U1854" s="2" t="s">
        <v>807</v>
      </c>
      <c r="V1854" s="2" t="s">
        <v>238</v>
      </c>
      <c r="W1854" s="2" t="s">
        <v>239</v>
      </c>
      <c r="X1854" s="2" t="s">
        <v>235</v>
      </c>
      <c r="Y1854" s="2" t="s">
        <v>5973</v>
      </c>
      <c r="Z1854" s="4">
        <v>475</v>
      </c>
      <c r="AA1854" s="4">
        <f>=ROUNDDOWN(431.818181818182,0)</f>
      </c>
      <c r="AB1854" s="5">
        <v>1.1</v>
      </c>
      <c r="AC1854" s="2" t="s">
        <v>235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235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235</v>
      </c>
      <c r="BD1854" s="8" t="s">
        <v>235</v>
      </c>
      <c r="BE1854" s="4" t="s">
        <v>235</v>
      </c>
      <c r="BF1854" s="8" t="s">
        <v>235</v>
      </c>
      <c r="BG1854" s="7" t="s">
        <v>235</v>
      </c>
      <c r="BH1854" s="7" t="s">
        <v>235</v>
      </c>
      <c r="BI1854" s="7"/>
      <c r="BJ1854" s="4">
        <v>1</v>
      </c>
      <c r="BK1854" s="8">
        <v>30.41</v>
      </c>
      <c r="BL1854" s="2" t="s">
        <v>1184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6782</v>
      </c>
      <c r="BV1854" s="2" t="s">
        <v>243</v>
      </c>
      <c r="BW1854" s="2" t="s">
        <v>235</v>
      </c>
      <c r="BX1854" s="2" t="s">
        <v>244</v>
      </c>
      <c r="BY1854" s="2" t="s">
        <v>245</v>
      </c>
      <c r="BZ1854" s="2" t="s">
        <v>232</v>
      </c>
      <c r="CA1854" s="2" t="s">
        <v>5359</v>
      </c>
      <c r="CB1854" s="2" t="s">
        <v>5534</v>
      </c>
      <c r="CC1854" s="2" t="s">
        <v>248</v>
      </c>
      <c r="CD1854" s="2" t="s">
        <v>248</v>
      </c>
      <c r="CE1854" s="2" t="s">
        <v>235</v>
      </c>
      <c r="CF1854" s="4">
        <v>282</v>
      </c>
      <c r="CG1854" s="4"/>
      <c r="CH1854" s="4"/>
      <c r="CI1854" s="4">
        <v>193</v>
      </c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>
        <v>475</v>
      </c>
      <c r="GE1854" s="4">
        <v>474</v>
      </c>
      <c r="GF1854" s="4">
        <v>473</v>
      </c>
      <c r="GG1854" s="4">
        <v>472</v>
      </c>
      <c r="GH1854" s="4">
        <v>471</v>
      </c>
      <c r="GI1854" s="4">
        <v>463</v>
      </c>
      <c r="GJ1854" s="4">
        <v>455</v>
      </c>
      <c r="GK1854" s="4">
        <v>447</v>
      </c>
      <c r="GL1854" s="4">
        <v>439</v>
      </c>
      <c r="GM1854" s="4">
        <v>431</v>
      </c>
      <c r="GN1854" s="4">
        <v>419</v>
      </c>
      <c r="GO1854" s="4">
        <v>398</v>
      </c>
      <c r="GP1854" s="4">
        <v>376</v>
      </c>
      <c r="GQ1854" s="4">
        <v>339</v>
      </c>
      <c r="GR1854" s="4">
        <v>311</v>
      </c>
      <c r="GS1854" s="4">
        <v>273</v>
      </c>
      <c r="GT1854" s="4">
        <v>254</v>
      </c>
      <c r="GU1854" s="4">
        <v>238</v>
      </c>
      <c r="GV1854" s="4">
        <v>222</v>
      </c>
      <c r="GW1854" s="4">
        <v>218</v>
      </c>
      <c r="GX1854" s="4">
        <v>214</v>
      </c>
      <c r="GY1854" s="4">
        <v>210</v>
      </c>
      <c r="GZ1854" s="4">
        <v>209</v>
      </c>
      <c r="HA1854" s="4">
        <v>208</v>
      </c>
      <c r="HB1854" s="4">
        <v>207</v>
      </c>
      <c r="HC1854" s="4">
        <v>206</v>
      </c>
      <c r="HD1854" s="19">
        <v>475</v>
      </c>
      <c r="HE1854" s="19">
        <v>158</v>
      </c>
      <c r="HF1854" s="19">
        <v>118.3</v>
      </c>
      <c r="HG1854" s="19">
        <v>78.7</v>
      </c>
      <c r="HH1854" s="19">
        <v>58.9</v>
      </c>
      <c r="HI1854" s="19">
        <v>57.9</v>
      </c>
      <c r="HJ1854" s="19">
        <v>50.6</v>
      </c>
      <c r="HK1854" s="19">
        <v>37.3</v>
      </c>
      <c r="HL1854" s="19">
        <v>27.4</v>
      </c>
      <c r="HM1854" s="19">
        <v>18.7</v>
      </c>
      <c r="HN1854" s="19">
        <v>15.5</v>
      </c>
      <c r="HO1854" s="19">
        <v>12.8</v>
      </c>
      <c r="HP1854" s="19">
        <v>12.5</v>
      </c>
      <c r="HQ1854" s="19">
        <v>13.6</v>
      </c>
      <c r="HR1854" s="19">
        <v>14.1</v>
      </c>
      <c r="HS1854" s="19">
        <v>19.5</v>
      </c>
      <c r="HT1854" s="19">
        <v>25.4</v>
      </c>
      <c r="HU1854" s="19">
        <v>34</v>
      </c>
      <c r="HV1854" s="19">
        <v>74</v>
      </c>
      <c r="HW1854" s="19">
        <v>109</v>
      </c>
      <c r="HX1854" s="19">
        <v>107</v>
      </c>
      <c r="HY1854" s="19">
        <v>210</v>
      </c>
      <c r="HZ1854" s="19">
        <v>209</v>
      </c>
      <c r="IA1854" s="19">
        <v>208</v>
      </c>
      <c r="IB1854" s="19">
        <v>207</v>
      </c>
      <c r="IC1854" s="19">
        <v>206</v>
      </c>
    </row>
    <row r="1855">
      <c r="A1855" s="2" t="s">
        <v>6785</v>
      </c>
      <c r="B1855" s="2" t="s">
        <v>871</v>
      </c>
      <c r="C1855" s="2" t="s">
        <v>1381</v>
      </c>
      <c r="D1855" s="2" t="s">
        <v>361</v>
      </c>
      <c r="E1855" s="2" t="s">
        <v>924</v>
      </c>
      <c r="F1855" s="2" t="s">
        <v>6786</v>
      </c>
      <c r="G1855" s="2" t="s">
        <v>6786</v>
      </c>
      <c r="H1855" s="2" t="s">
        <v>6786</v>
      </c>
      <c r="I1855" s="2" t="s">
        <v>924</v>
      </c>
      <c r="J1855" s="2" t="s">
        <v>365</v>
      </c>
      <c r="K1855" s="2" t="s">
        <v>378</v>
      </c>
      <c r="L1855" s="3">
        <v>90.75</v>
      </c>
      <c r="M1855" s="3">
        <v>95.29</v>
      </c>
      <c r="N1855" s="3">
        <v>219.99</v>
      </c>
      <c r="O1855" s="2" t="s">
        <v>232</v>
      </c>
      <c r="P1855" s="2" t="s">
        <v>878</v>
      </c>
      <c r="Q1855" s="2" t="s">
        <v>234</v>
      </c>
      <c r="R1855" s="2" t="s">
        <v>235</v>
      </c>
      <c r="S1855" s="2" t="s">
        <v>235</v>
      </c>
      <c r="T1855" s="2" t="s">
        <v>263</v>
      </c>
      <c r="U1855" s="2" t="s">
        <v>552</v>
      </c>
      <c r="V1855" s="2" t="s">
        <v>420</v>
      </c>
      <c r="W1855" s="2" t="s">
        <v>235</v>
      </c>
      <c r="X1855" s="2" t="s">
        <v>235</v>
      </c>
      <c r="Y1855" s="2" t="s">
        <v>235</v>
      </c>
      <c r="Z1855" s="4"/>
      <c r="AA1855" s="4">
        <f>=ROUNDDOWN({0},0)</f>
      </c>
      <c r="AB1855" s="5"/>
      <c r="AC1855" s="2" t="s">
        <v>235</v>
      </c>
      <c r="AD1855" s="4"/>
      <c r="AE1855" s="4"/>
      <c r="AF1855" s="6"/>
      <c r="AG1855" s="6"/>
      <c r="AH1855" s="7"/>
      <c r="AI1855" s="4"/>
      <c r="AJ1855" s="4">
        <f>=ROUNDDOWN({0},0)</f>
      </c>
      <c r="AK1855" s="5"/>
      <c r="AL1855" s="2" t="s">
        <v>235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235</v>
      </c>
      <c r="AW1855" s="8" t="s">
        <v>235</v>
      </c>
      <c r="AX1855" s="4" t="s">
        <v>235</v>
      </c>
      <c r="AY1855" s="8" t="s">
        <v>235</v>
      </c>
      <c r="AZ1855" s="7" t="s">
        <v>235</v>
      </c>
      <c r="BA1855" s="7" t="s">
        <v>235</v>
      </c>
      <c r="BB1855" s="7"/>
      <c r="BC1855" s="4" t="s">
        <v>235</v>
      </c>
      <c r="BD1855" s="8" t="s">
        <v>235</v>
      </c>
      <c r="BE1855" s="4" t="s">
        <v>235</v>
      </c>
      <c r="BF1855" s="8" t="s">
        <v>235</v>
      </c>
      <c r="BG1855" s="7" t="s">
        <v>235</v>
      </c>
      <c r="BH1855" s="7" t="s">
        <v>235</v>
      </c>
      <c r="BI1855" s="7"/>
      <c r="BJ1855" s="4"/>
      <c r="BK1855" s="8"/>
      <c r="BL1855" s="2" t="s">
        <v>235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330</v>
      </c>
      <c r="BV1855" s="2" t="s">
        <v>235</v>
      </c>
      <c r="BW1855" s="2" t="s">
        <v>235</v>
      </c>
      <c r="BX1855" s="2" t="s">
        <v>330</v>
      </c>
      <c r="BY1855" s="2" t="s">
        <v>6787</v>
      </c>
      <c r="BZ1855" s="2" t="s">
        <v>232</v>
      </c>
      <c r="CA1855" s="2" t="s">
        <v>235</v>
      </c>
      <c r="CB1855" s="2" t="s">
        <v>235</v>
      </c>
      <c r="CC1855" s="2" t="s">
        <v>248</v>
      </c>
      <c r="CD1855" s="2" t="s">
        <v>248</v>
      </c>
      <c r="CE1855" s="2" t="s">
        <v>235</v>
      </c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9"/>
      <c r="HE1855" s="9"/>
      <c r="HF1855" s="9"/>
      <c r="HG1855" s="9"/>
      <c r="HH1855" s="9"/>
      <c r="HI1855" s="9"/>
      <c r="HJ1855" s="9"/>
      <c r="HK1855" s="9"/>
      <c r="HL1855" s="9"/>
      <c r="HM1855" s="9"/>
      <c r="HN1855" s="9"/>
      <c r="HO1855" s="9"/>
      <c r="HP1855" s="9"/>
      <c r="HQ1855" s="9"/>
      <c r="HR1855" s="9"/>
      <c r="HS1855" s="9"/>
      <c r="HT1855" s="9"/>
      <c r="HU1855" s="9"/>
      <c r="HV1855" s="9"/>
      <c r="HW1855" s="9"/>
      <c r="HX1855" s="9"/>
      <c r="HY1855" s="9"/>
      <c r="HZ1855" s="9"/>
      <c r="IA1855" s="9"/>
      <c r="IB1855" s="9"/>
      <c r="IC1855" s="9"/>
    </row>
    <row r="1856">
      <c r="A1856" s="2" t="s">
        <v>6788</v>
      </c>
      <c r="B1856" s="2" t="s">
        <v>871</v>
      </c>
      <c r="C1856" s="2" t="s">
        <v>1381</v>
      </c>
      <c r="D1856" s="2" t="s">
        <v>361</v>
      </c>
      <c r="E1856" s="2" t="s">
        <v>924</v>
      </c>
      <c r="F1856" s="2" t="s">
        <v>6786</v>
      </c>
      <c r="G1856" s="2" t="s">
        <v>6786</v>
      </c>
      <c r="H1856" s="2" t="s">
        <v>6786</v>
      </c>
      <c r="I1856" s="2" t="s">
        <v>924</v>
      </c>
      <c r="J1856" s="2" t="s">
        <v>372</v>
      </c>
      <c r="K1856" s="2" t="s">
        <v>378</v>
      </c>
      <c r="L1856" s="3">
        <v>103.12</v>
      </c>
      <c r="M1856" s="3">
        <v>108.28</v>
      </c>
      <c r="N1856" s="3">
        <v>249.99</v>
      </c>
      <c r="O1856" s="2" t="s">
        <v>232</v>
      </c>
      <c r="P1856" s="2" t="s">
        <v>878</v>
      </c>
      <c r="Q1856" s="2" t="s">
        <v>234</v>
      </c>
      <c r="R1856" s="2" t="s">
        <v>235</v>
      </c>
      <c r="S1856" s="2" t="s">
        <v>235</v>
      </c>
      <c r="T1856" s="2" t="s">
        <v>263</v>
      </c>
      <c r="U1856" s="2" t="s">
        <v>552</v>
      </c>
      <c r="V1856" s="2" t="s">
        <v>420</v>
      </c>
      <c r="W1856" s="2" t="s">
        <v>235</v>
      </c>
      <c r="X1856" s="2" t="s">
        <v>235</v>
      </c>
      <c r="Y1856" s="2" t="s">
        <v>235</v>
      </c>
      <c r="Z1856" s="4"/>
      <c r="AA1856" s="4">
        <f>=ROUNDDOWN({0},0)</f>
      </c>
      <c r="AB1856" s="5"/>
      <c r="AC1856" s="2" t="s">
        <v>235</v>
      </c>
      <c r="AD1856" s="4"/>
      <c r="AE1856" s="4"/>
      <c r="AF1856" s="6"/>
      <c r="AG1856" s="6"/>
      <c r="AH1856" s="7"/>
      <c r="AI1856" s="4"/>
      <c r="AJ1856" s="4">
        <f>=ROUNDDOWN({0},0)</f>
      </c>
      <c r="AK1856" s="5"/>
      <c r="AL1856" s="2" t="s">
        <v>235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235</v>
      </c>
      <c r="AW1856" s="8" t="s">
        <v>235</v>
      </c>
      <c r="AX1856" s="4" t="s">
        <v>235</v>
      </c>
      <c r="AY1856" s="8" t="s">
        <v>235</v>
      </c>
      <c r="AZ1856" s="7" t="s">
        <v>235</v>
      </c>
      <c r="BA1856" s="7" t="s">
        <v>235</v>
      </c>
      <c r="BB1856" s="7"/>
      <c r="BC1856" s="4" t="s">
        <v>235</v>
      </c>
      <c r="BD1856" s="8" t="s">
        <v>235</v>
      </c>
      <c r="BE1856" s="4" t="s">
        <v>235</v>
      </c>
      <c r="BF1856" s="8" t="s">
        <v>235</v>
      </c>
      <c r="BG1856" s="7" t="s">
        <v>235</v>
      </c>
      <c r="BH1856" s="7" t="s">
        <v>235</v>
      </c>
      <c r="BI1856" s="7"/>
      <c r="BJ1856" s="4"/>
      <c r="BK1856" s="8"/>
      <c r="BL1856" s="2" t="s">
        <v>235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330</v>
      </c>
      <c r="BV1856" s="2" t="s">
        <v>235</v>
      </c>
      <c r="BW1856" s="2" t="s">
        <v>235</v>
      </c>
      <c r="BX1856" s="2" t="s">
        <v>330</v>
      </c>
      <c r="BY1856" s="2" t="s">
        <v>6787</v>
      </c>
      <c r="BZ1856" s="2" t="s">
        <v>232</v>
      </c>
      <c r="CA1856" s="2" t="s">
        <v>235</v>
      </c>
      <c r="CB1856" s="2" t="s">
        <v>235</v>
      </c>
      <c r="CC1856" s="2" t="s">
        <v>248</v>
      </c>
      <c r="CD1856" s="2" t="s">
        <v>248</v>
      </c>
      <c r="CE1856" s="2" t="s">
        <v>235</v>
      </c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9"/>
      <c r="HE1856" s="9"/>
      <c r="HF1856" s="9"/>
      <c r="HG1856" s="9"/>
      <c r="HH1856" s="9"/>
      <c r="HI1856" s="9"/>
      <c r="HJ1856" s="9"/>
      <c r="HK1856" s="9"/>
      <c r="HL1856" s="9"/>
      <c r="HM1856" s="9"/>
      <c r="HN1856" s="9"/>
      <c r="HO1856" s="9"/>
      <c r="HP1856" s="9"/>
      <c r="HQ1856" s="9"/>
      <c r="HR1856" s="9"/>
      <c r="HS1856" s="9"/>
      <c r="HT1856" s="9"/>
      <c r="HU1856" s="9"/>
      <c r="HV1856" s="9"/>
      <c r="HW1856" s="9"/>
      <c r="HX1856" s="9"/>
      <c r="HY1856" s="9"/>
      <c r="HZ1856" s="9"/>
      <c r="IA1856" s="9"/>
      <c r="IB1856" s="9"/>
      <c r="IC1856" s="9"/>
    </row>
    <row r="1857">
      <c r="A1857" s="2" t="s">
        <v>6789</v>
      </c>
      <c r="B1857" s="2" t="s">
        <v>871</v>
      </c>
      <c r="C1857" s="2" t="s">
        <v>403</v>
      </c>
      <c r="D1857" s="2" t="s">
        <v>361</v>
      </c>
      <c r="E1857" s="2" t="s">
        <v>872</v>
      </c>
      <c r="F1857" s="2" t="s">
        <v>6790</v>
      </c>
      <c r="G1857" s="2" t="s">
        <v>6791</v>
      </c>
      <c r="H1857" s="2" t="s">
        <v>6792</v>
      </c>
      <c r="I1857" s="2" t="s">
        <v>6793</v>
      </c>
      <c r="J1857" s="2" t="s">
        <v>394</v>
      </c>
      <c r="K1857" s="2" t="s">
        <v>378</v>
      </c>
      <c r="L1857" s="3">
        <v>50.53</v>
      </c>
      <c r="M1857" s="3">
        <v>53.06</v>
      </c>
      <c r="N1857" s="3">
        <v>89.99</v>
      </c>
      <c r="O1857" s="2" t="s">
        <v>232</v>
      </c>
      <c r="P1857" s="2" t="s">
        <v>878</v>
      </c>
      <c r="Q1857" s="2" t="s">
        <v>234</v>
      </c>
      <c r="R1857" s="2" t="s">
        <v>235</v>
      </c>
      <c r="S1857" s="2" t="s">
        <v>235</v>
      </c>
      <c r="T1857" s="2" t="s">
        <v>501</v>
      </c>
      <c r="U1857" s="2" t="s">
        <v>742</v>
      </c>
      <c r="V1857" s="2" t="s">
        <v>420</v>
      </c>
      <c r="W1857" s="2" t="s">
        <v>682</v>
      </c>
      <c r="X1857" s="2" t="s">
        <v>235</v>
      </c>
      <c r="Y1857" s="2" t="s">
        <v>235</v>
      </c>
      <c r="Z1857" s="4"/>
      <c r="AA1857" s="4">
        <f>=ROUNDDOWN({0},0)</f>
      </c>
      <c r="AB1857" s="5"/>
      <c r="AC1857" s="2" t="s">
        <v>181</v>
      </c>
      <c r="AD1857" s="4">
        <v>56</v>
      </c>
      <c r="AE1857" s="4">
        <v>56</v>
      </c>
      <c r="AF1857" s="6">
        <v>78</v>
      </c>
      <c r="AG1857" s="6"/>
      <c r="AH1857" s="7"/>
      <c r="AI1857" s="4"/>
      <c r="AJ1857" s="4">
        <f>=ROUNDDOWN({0},0)</f>
      </c>
      <c r="AK1857" s="5"/>
      <c r="AL1857" s="2" t="s">
        <v>235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235</v>
      </c>
      <c r="AW1857" s="8" t="s">
        <v>235</v>
      </c>
      <c r="AX1857" s="4" t="s">
        <v>235</v>
      </c>
      <c r="AY1857" s="8" t="s">
        <v>235</v>
      </c>
      <c r="AZ1857" s="7" t="s">
        <v>235</v>
      </c>
      <c r="BA1857" s="7" t="s">
        <v>235</v>
      </c>
      <c r="BB1857" s="7" t="s">
        <v>235</v>
      </c>
      <c r="BC1857" s="4" t="s">
        <v>235</v>
      </c>
      <c r="BD1857" s="8" t="s">
        <v>235</v>
      </c>
      <c r="BE1857" s="4" t="s">
        <v>235</v>
      </c>
      <c r="BF1857" s="8" t="s">
        <v>235</v>
      </c>
      <c r="BG1857" s="7" t="s">
        <v>235</v>
      </c>
      <c r="BH1857" s="7" t="s">
        <v>235</v>
      </c>
      <c r="BI1857" s="7"/>
      <c r="BJ1857" s="4"/>
      <c r="BK1857" s="8"/>
      <c r="BL1857" s="2" t="s">
        <v>235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330</v>
      </c>
      <c r="BV1857" s="2" t="s">
        <v>235</v>
      </c>
      <c r="BW1857" s="2" t="s">
        <v>235</v>
      </c>
      <c r="BX1857" s="2" t="s">
        <v>330</v>
      </c>
      <c r="BY1857" s="2" t="s">
        <v>331</v>
      </c>
      <c r="BZ1857" s="2" t="s">
        <v>232</v>
      </c>
      <c r="CA1857" s="2" t="s">
        <v>235</v>
      </c>
      <c r="CB1857" s="2" t="s">
        <v>235</v>
      </c>
      <c r="CC1857" s="2" t="s">
        <v>248</v>
      </c>
      <c r="CD1857" s="2" t="s">
        <v>248</v>
      </c>
      <c r="CE1857" s="2" t="s">
        <v>235</v>
      </c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>
        <v>56</v>
      </c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>
        <v>56</v>
      </c>
      <c r="GO1857" s="4">
        <v>54</v>
      </c>
      <c r="GP1857" s="4">
        <v>54</v>
      </c>
      <c r="GQ1857" s="4">
        <v>52</v>
      </c>
      <c r="GR1857" s="4">
        <v>52</v>
      </c>
      <c r="GS1857" s="4">
        <v>51</v>
      </c>
      <c r="GT1857" s="4">
        <v>50</v>
      </c>
      <c r="GU1857" s="4">
        <v>50</v>
      </c>
      <c r="GV1857" s="4">
        <v>49</v>
      </c>
      <c r="GW1857" s="4">
        <v>47</v>
      </c>
      <c r="GX1857" s="4">
        <v>45</v>
      </c>
      <c r="GY1857" s="4">
        <v>44</v>
      </c>
      <c r="GZ1857" s="4">
        <v>42</v>
      </c>
      <c r="HA1857" s="4">
        <v>41</v>
      </c>
      <c r="HB1857" s="4">
        <v>37</v>
      </c>
      <c r="HC1857" s="4">
        <v>35</v>
      </c>
      <c r="HD1857" s="9"/>
      <c r="HE1857" s="9"/>
      <c r="HF1857" s="9"/>
      <c r="HG1857" s="9"/>
      <c r="HH1857" s="9"/>
      <c r="HI1857" s="9"/>
      <c r="HJ1857" s="9"/>
      <c r="HK1857" s="9"/>
      <c r="HL1857" s="9"/>
      <c r="HM1857" s="9"/>
      <c r="HN1857" s="19">
        <v>56</v>
      </c>
      <c r="HO1857" s="19">
        <v>54</v>
      </c>
      <c r="HP1857" s="19">
        <v>54</v>
      </c>
      <c r="HQ1857" s="9"/>
      <c r="HR1857" s="19">
        <v>52</v>
      </c>
      <c r="HS1857" s="19">
        <v>51</v>
      </c>
      <c r="HT1857" s="19">
        <v>50</v>
      </c>
      <c r="HU1857" s="19">
        <v>25</v>
      </c>
      <c r="HV1857" s="19">
        <v>24.5</v>
      </c>
      <c r="HW1857" s="19">
        <v>23.5</v>
      </c>
      <c r="HX1857" s="19">
        <v>22.5</v>
      </c>
      <c r="HY1857" s="19">
        <v>22</v>
      </c>
      <c r="HZ1857" s="19">
        <v>14</v>
      </c>
      <c r="IA1857" s="19">
        <v>13.7</v>
      </c>
      <c r="IB1857" s="19">
        <v>18.5</v>
      </c>
      <c r="IC1857" s="19">
        <v>17.5</v>
      </c>
    </row>
    <row r="1858">
      <c r="A1858" s="2" t="s">
        <v>6794</v>
      </c>
      <c r="B1858" s="2" t="s">
        <v>871</v>
      </c>
      <c r="C1858" s="2" t="s">
        <v>403</v>
      </c>
      <c r="D1858" s="2" t="s">
        <v>1452</v>
      </c>
      <c r="E1858" s="2" t="s">
        <v>1453</v>
      </c>
      <c r="F1858" s="2" t="s">
        <v>6790</v>
      </c>
      <c r="G1858" s="2" t="s">
        <v>6791</v>
      </c>
      <c r="H1858" s="2" t="s">
        <v>6792</v>
      </c>
      <c r="I1858" s="2" t="s">
        <v>6795</v>
      </c>
      <c r="J1858" s="2" t="s">
        <v>394</v>
      </c>
      <c r="K1858" s="2" t="s">
        <v>378</v>
      </c>
      <c r="L1858" s="3">
        <v>46.28</v>
      </c>
      <c r="M1858" s="3">
        <v>48.59</v>
      </c>
      <c r="N1858" s="3">
        <v>89</v>
      </c>
      <c r="O1858" s="2" t="s">
        <v>232</v>
      </c>
      <c r="P1858" s="2" t="s">
        <v>878</v>
      </c>
      <c r="Q1858" s="2" t="s">
        <v>234</v>
      </c>
      <c r="R1858" s="2" t="s">
        <v>235</v>
      </c>
      <c r="S1858" s="2" t="s">
        <v>235</v>
      </c>
      <c r="T1858" s="2" t="s">
        <v>501</v>
      </c>
      <c r="U1858" s="2" t="s">
        <v>614</v>
      </c>
      <c r="V1858" s="2" t="s">
        <v>420</v>
      </c>
      <c r="W1858" s="2" t="s">
        <v>682</v>
      </c>
      <c r="X1858" s="2" t="s">
        <v>235</v>
      </c>
      <c r="Y1858" s="2" t="s">
        <v>235</v>
      </c>
      <c r="Z1858" s="4"/>
      <c r="AA1858" s="4">
        <f>=ROUNDDOWN({0},0)</f>
      </c>
      <c r="AB1858" s="5"/>
      <c r="AC1858" s="2" t="s">
        <v>191</v>
      </c>
      <c r="AD1858" s="4">
        <v>45</v>
      </c>
      <c r="AE1858" s="4">
        <v>45</v>
      </c>
      <c r="AF1858" s="6">
        <v>78</v>
      </c>
      <c r="AG1858" s="6"/>
      <c r="AH1858" s="7"/>
      <c r="AI1858" s="4"/>
      <c r="AJ1858" s="4">
        <f>=ROUNDDOWN({0},0)</f>
      </c>
      <c r="AK1858" s="5"/>
      <c r="AL1858" s="2" t="s">
        <v>235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235</v>
      </c>
      <c r="AW1858" s="8" t="s">
        <v>235</v>
      </c>
      <c r="AX1858" s="4" t="s">
        <v>235</v>
      </c>
      <c r="AY1858" s="8" t="s">
        <v>235</v>
      </c>
      <c r="AZ1858" s="7" t="s">
        <v>235</v>
      </c>
      <c r="BA1858" s="7" t="s">
        <v>235</v>
      </c>
      <c r="BB1858" s="7" t="s">
        <v>235</v>
      </c>
      <c r="BC1858" s="4" t="s">
        <v>235</v>
      </c>
      <c r="BD1858" s="8" t="s">
        <v>235</v>
      </c>
      <c r="BE1858" s="4" t="s">
        <v>235</v>
      </c>
      <c r="BF1858" s="8" t="s">
        <v>235</v>
      </c>
      <c r="BG1858" s="7" t="s">
        <v>235</v>
      </c>
      <c r="BH1858" s="7" t="s">
        <v>235</v>
      </c>
      <c r="BI1858" s="7"/>
      <c r="BJ1858" s="4"/>
      <c r="BK1858" s="8"/>
      <c r="BL1858" s="2" t="s">
        <v>235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330</v>
      </c>
      <c r="BV1858" s="2" t="s">
        <v>235</v>
      </c>
      <c r="BW1858" s="2" t="s">
        <v>235</v>
      </c>
      <c r="BX1858" s="2" t="s">
        <v>330</v>
      </c>
      <c r="BY1858" s="2" t="s">
        <v>331</v>
      </c>
      <c r="BZ1858" s="2" t="s">
        <v>232</v>
      </c>
      <c r="CA1858" s="2" t="s">
        <v>235</v>
      </c>
      <c r="CB1858" s="2" t="s">
        <v>235</v>
      </c>
      <c r="CC1858" s="2" t="s">
        <v>248</v>
      </c>
      <c r="CD1858" s="2" t="s">
        <v>248</v>
      </c>
      <c r="CE1858" s="2" t="s">
        <v>235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>
        <v>45</v>
      </c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>
        <v>45</v>
      </c>
      <c r="GQ1858" s="4">
        <v>44</v>
      </c>
      <c r="GR1858" s="4">
        <v>44</v>
      </c>
      <c r="GS1858" s="4">
        <v>43</v>
      </c>
      <c r="GT1858" s="4">
        <v>43</v>
      </c>
      <c r="GU1858" s="4">
        <v>43</v>
      </c>
      <c r="GV1858" s="4">
        <v>41</v>
      </c>
      <c r="GW1858" s="4">
        <v>40</v>
      </c>
      <c r="GX1858" s="4">
        <v>37</v>
      </c>
      <c r="GY1858" s="4">
        <v>36</v>
      </c>
      <c r="GZ1858" s="4">
        <v>33</v>
      </c>
      <c r="HA1858" s="4">
        <v>32</v>
      </c>
      <c r="HB1858" s="4">
        <v>30</v>
      </c>
      <c r="HC1858" s="4">
        <v>28</v>
      </c>
      <c r="HD1858" s="9"/>
      <c r="HE1858" s="9"/>
      <c r="HF1858" s="9"/>
      <c r="HG1858" s="9"/>
      <c r="HH1858" s="9"/>
      <c r="HI1858" s="9"/>
      <c r="HJ1858" s="9"/>
      <c r="HK1858" s="9"/>
      <c r="HL1858" s="9"/>
      <c r="HM1858" s="9"/>
      <c r="HN1858" s="9"/>
      <c r="HO1858" s="9"/>
      <c r="HP1858" s="20">
        <v>0</v>
      </c>
      <c r="HQ1858" s="9"/>
      <c r="HR1858" s="19">
        <v>44</v>
      </c>
      <c r="HS1858" s="19">
        <v>43</v>
      </c>
      <c r="HT1858" s="19">
        <v>21.5</v>
      </c>
      <c r="HU1858" s="19">
        <v>21.5</v>
      </c>
      <c r="HV1858" s="19">
        <v>20.5</v>
      </c>
      <c r="HW1858" s="19">
        <v>20</v>
      </c>
      <c r="HX1858" s="19">
        <v>18.5</v>
      </c>
      <c r="HY1858" s="19">
        <v>18</v>
      </c>
      <c r="HZ1858" s="19">
        <v>16.5</v>
      </c>
      <c r="IA1858" s="19">
        <v>16</v>
      </c>
      <c r="IB1858" s="19">
        <v>15</v>
      </c>
      <c r="IC1858" s="19">
        <v>9.3</v>
      </c>
    </row>
    <row r="1859">
      <c r="A1859" s="2" t="s">
        <v>6796</v>
      </c>
      <c r="B1859" s="2" t="s">
        <v>871</v>
      </c>
      <c r="C1859" s="2" t="s">
        <v>403</v>
      </c>
      <c r="D1859" s="2" t="s">
        <v>361</v>
      </c>
      <c r="E1859" s="2" t="s">
        <v>872</v>
      </c>
      <c r="F1859" s="2" t="s">
        <v>6790</v>
      </c>
      <c r="G1859" s="2" t="s">
        <v>6791</v>
      </c>
      <c r="H1859" s="2" t="s">
        <v>6792</v>
      </c>
      <c r="I1859" s="2" t="s">
        <v>4925</v>
      </c>
      <c r="J1859" s="2" t="s">
        <v>250</v>
      </c>
      <c r="K1859" s="2" t="s">
        <v>378</v>
      </c>
      <c r="L1859" s="3">
        <v>55.59</v>
      </c>
      <c r="M1859" s="3">
        <v>58.37</v>
      </c>
      <c r="N1859" s="3">
        <v>99.99</v>
      </c>
      <c r="O1859" s="2" t="s">
        <v>232</v>
      </c>
      <c r="P1859" s="2" t="s">
        <v>878</v>
      </c>
      <c r="Q1859" s="2" t="s">
        <v>234</v>
      </c>
      <c r="R1859" s="2" t="s">
        <v>235</v>
      </c>
      <c r="S1859" s="2" t="s">
        <v>235</v>
      </c>
      <c r="T1859" s="2" t="s">
        <v>501</v>
      </c>
      <c r="U1859" s="2" t="s">
        <v>3619</v>
      </c>
      <c r="V1859" s="2" t="s">
        <v>420</v>
      </c>
      <c r="W1859" s="2" t="s">
        <v>682</v>
      </c>
      <c r="X1859" s="2" t="s">
        <v>235</v>
      </c>
      <c r="Y1859" s="2" t="s">
        <v>235</v>
      </c>
      <c r="Z1859" s="4"/>
      <c r="AA1859" s="4">
        <f>=ROUNDDOWN({0},0)</f>
      </c>
      <c r="AB1859" s="5"/>
      <c r="AC1859" s="2" t="s">
        <v>181</v>
      </c>
      <c r="AD1859" s="4">
        <v>93</v>
      </c>
      <c r="AE1859" s="4">
        <v>93</v>
      </c>
      <c r="AF1859" s="6">
        <v>78</v>
      </c>
      <c r="AG1859" s="6"/>
      <c r="AH1859" s="7"/>
      <c r="AI1859" s="4"/>
      <c r="AJ1859" s="4">
        <f>=ROUNDDOWN({0},0)</f>
      </c>
      <c r="AK1859" s="5"/>
      <c r="AL1859" s="2" t="s">
        <v>235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235</v>
      </c>
      <c r="AW1859" s="8" t="s">
        <v>235</v>
      </c>
      <c r="AX1859" s="4" t="s">
        <v>235</v>
      </c>
      <c r="AY1859" s="8" t="s">
        <v>235</v>
      </c>
      <c r="AZ1859" s="7" t="s">
        <v>235</v>
      </c>
      <c r="BA1859" s="7" t="s">
        <v>235</v>
      </c>
      <c r="BB1859" s="7" t="s">
        <v>235</v>
      </c>
      <c r="BC1859" s="4" t="s">
        <v>235</v>
      </c>
      <c r="BD1859" s="8" t="s">
        <v>235</v>
      </c>
      <c r="BE1859" s="4" t="s">
        <v>235</v>
      </c>
      <c r="BF1859" s="8" t="s">
        <v>235</v>
      </c>
      <c r="BG1859" s="7" t="s">
        <v>235</v>
      </c>
      <c r="BH1859" s="7" t="s">
        <v>235</v>
      </c>
      <c r="BI1859" s="7"/>
      <c r="BJ1859" s="4"/>
      <c r="BK1859" s="8"/>
      <c r="BL1859" s="2" t="s">
        <v>235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330</v>
      </c>
      <c r="BV1859" s="2" t="s">
        <v>235</v>
      </c>
      <c r="BW1859" s="2" t="s">
        <v>235</v>
      </c>
      <c r="BX1859" s="2" t="s">
        <v>330</v>
      </c>
      <c r="BY1859" s="2" t="s">
        <v>331</v>
      </c>
      <c r="BZ1859" s="2" t="s">
        <v>232</v>
      </c>
      <c r="CA1859" s="2" t="s">
        <v>235</v>
      </c>
      <c r="CB1859" s="2" t="s">
        <v>235</v>
      </c>
      <c r="CC1859" s="2" t="s">
        <v>248</v>
      </c>
      <c r="CD1859" s="2" t="s">
        <v>248</v>
      </c>
      <c r="CE1859" s="2" t="s">
        <v>235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>
        <v>93</v>
      </c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>
        <v>93</v>
      </c>
      <c r="GO1859" s="4">
        <v>90</v>
      </c>
      <c r="GP1859" s="4">
        <v>88</v>
      </c>
      <c r="GQ1859" s="4">
        <v>87</v>
      </c>
      <c r="GR1859" s="4">
        <v>86</v>
      </c>
      <c r="GS1859" s="4">
        <v>83</v>
      </c>
      <c r="GT1859" s="4">
        <v>82</v>
      </c>
      <c r="GU1859" s="4">
        <v>80</v>
      </c>
      <c r="GV1859" s="4">
        <v>77</v>
      </c>
      <c r="GW1859" s="4">
        <v>71</v>
      </c>
      <c r="GX1859" s="4">
        <v>68</v>
      </c>
      <c r="GY1859" s="4">
        <v>61</v>
      </c>
      <c r="GZ1859" s="4">
        <v>57</v>
      </c>
      <c r="HA1859" s="4">
        <v>52</v>
      </c>
      <c r="HB1859" s="4">
        <v>48</v>
      </c>
      <c r="HC1859" s="4">
        <v>44</v>
      </c>
      <c r="HD1859" s="9"/>
      <c r="HE1859" s="9"/>
      <c r="HF1859" s="9"/>
      <c r="HG1859" s="9"/>
      <c r="HH1859" s="9"/>
      <c r="HI1859" s="9"/>
      <c r="HJ1859" s="9"/>
      <c r="HK1859" s="9"/>
      <c r="HL1859" s="9"/>
      <c r="HM1859" s="9"/>
      <c r="HN1859" s="19">
        <v>46.5</v>
      </c>
      <c r="HO1859" s="19">
        <v>45</v>
      </c>
      <c r="HP1859" s="19">
        <v>44</v>
      </c>
      <c r="HQ1859" s="19">
        <v>43.5</v>
      </c>
      <c r="HR1859" s="19">
        <v>43</v>
      </c>
      <c r="HS1859" s="19">
        <v>27.7</v>
      </c>
      <c r="HT1859" s="19">
        <v>20.5</v>
      </c>
      <c r="HU1859" s="19">
        <v>16</v>
      </c>
      <c r="HV1859" s="19">
        <v>15.4</v>
      </c>
      <c r="HW1859" s="19">
        <v>14.2</v>
      </c>
      <c r="HX1859" s="19">
        <v>13.6</v>
      </c>
      <c r="HY1859" s="19">
        <v>15.3</v>
      </c>
      <c r="HZ1859" s="19">
        <v>14.3</v>
      </c>
      <c r="IA1859" s="19">
        <v>13</v>
      </c>
      <c r="IB1859" s="19">
        <v>12</v>
      </c>
      <c r="IC1859" s="19">
        <v>11</v>
      </c>
    </row>
    <row r="1860">
      <c r="A1860" s="2" t="s">
        <v>6797</v>
      </c>
      <c r="B1860" s="2" t="s">
        <v>871</v>
      </c>
      <c r="C1860" s="2" t="s">
        <v>403</v>
      </c>
      <c r="D1860" s="2" t="s">
        <v>1452</v>
      </c>
      <c r="E1860" s="2" t="s">
        <v>1453</v>
      </c>
      <c r="F1860" s="2" t="s">
        <v>6790</v>
      </c>
      <c r="G1860" s="2" t="s">
        <v>6791</v>
      </c>
      <c r="H1860" s="2" t="s">
        <v>6792</v>
      </c>
      <c r="I1860" s="2" t="s">
        <v>6798</v>
      </c>
      <c r="J1860" s="2" t="s">
        <v>250</v>
      </c>
      <c r="K1860" s="2" t="s">
        <v>378</v>
      </c>
      <c r="L1860" s="3">
        <v>54.45</v>
      </c>
      <c r="M1860" s="3">
        <v>57.17</v>
      </c>
      <c r="N1860" s="3">
        <v>99</v>
      </c>
      <c r="O1860" s="2" t="s">
        <v>232</v>
      </c>
      <c r="P1860" s="2" t="s">
        <v>878</v>
      </c>
      <c r="Q1860" s="2" t="s">
        <v>234</v>
      </c>
      <c r="R1860" s="2" t="s">
        <v>235</v>
      </c>
      <c r="S1860" s="2" t="s">
        <v>235</v>
      </c>
      <c r="T1860" s="2" t="s">
        <v>501</v>
      </c>
      <c r="U1860" s="2" t="s">
        <v>785</v>
      </c>
      <c r="V1860" s="2" t="s">
        <v>420</v>
      </c>
      <c r="W1860" s="2" t="s">
        <v>682</v>
      </c>
      <c r="X1860" s="2" t="s">
        <v>235</v>
      </c>
      <c r="Y1860" s="2" t="s">
        <v>235</v>
      </c>
      <c r="Z1860" s="4"/>
      <c r="AA1860" s="4">
        <f>=ROUNDDOWN({0},0)</f>
      </c>
      <c r="AB1860" s="5"/>
      <c r="AC1860" s="2" t="s">
        <v>191</v>
      </c>
      <c r="AD1860" s="4">
        <v>71</v>
      </c>
      <c r="AE1860" s="4">
        <v>71</v>
      </c>
      <c r="AF1860" s="6">
        <v>78</v>
      </c>
      <c r="AG1860" s="6"/>
      <c r="AH1860" s="7"/>
      <c r="AI1860" s="4"/>
      <c r="AJ1860" s="4">
        <f>=ROUNDDOWN({0},0)</f>
      </c>
      <c r="AK1860" s="5"/>
      <c r="AL1860" s="2" t="s">
        <v>235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235</v>
      </c>
      <c r="AW1860" s="8" t="s">
        <v>235</v>
      </c>
      <c r="AX1860" s="4" t="s">
        <v>235</v>
      </c>
      <c r="AY1860" s="8" t="s">
        <v>235</v>
      </c>
      <c r="AZ1860" s="7" t="s">
        <v>235</v>
      </c>
      <c r="BA1860" s="7" t="s">
        <v>235</v>
      </c>
      <c r="BB1860" s="7" t="s">
        <v>235</v>
      </c>
      <c r="BC1860" s="4" t="s">
        <v>235</v>
      </c>
      <c r="BD1860" s="8" t="s">
        <v>235</v>
      </c>
      <c r="BE1860" s="4" t="s">
        <v>235</v>
      </c>
      <c r="BF1860" s="8" t="s">
        <v>235</v>
      </c>
      <c r="BG1860" s="7" t="s">
        <v>235</v>
      </c>
      <c r="BH1860" s="7" t="s">
        <v>235</v>
      </c>
      <c r="BI1860" s="7"/>
      <c r="BJ1860" s="4"/>
      <c r="BK1860" s="8"/>
      <c r="BL1860" s="2" t="s">
        <v>235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330</v>
      </c>
      <c r="BV1860" s="2" t="s">
        <v>235</v>
      </c>
      <c r="BW1860" s="2" t="s">
        <v>235</v>
      </c>
      <c r="BX1860" s="2" t="s">
        <v>330</v>
      </c>
      <c r="BY1860" s="2" t="s">
        <v>331</v>
      </c>
      <c r="BZ1860" s="2" t="s">
        <v>232</v>
      </c>
      <c r="CA1860" s="2" t="s">
        <v>235</v>
      </c>
      <c r="CB1860" s="2" t="s">
        <v>235</v>
      </c>
      <c r="CC1860" s="2" t="s">
        <v>248</v>
      </c>
      <c r="CD1860" s="2" t="s">
        <v>248</v>
      </c>
      <c r="CE1860" s="2" t="s">
        <v>235</v>
      </c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>
        <v>71</v>
      </c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>
        <v>71</v>
      </c>
      <c r="GQ1860" s="4">
        <v>71</v>
      </c>
      <c r="GR1860" s="4">
        <v>70</v>
      </c>
      <c r="GS1860" s="4">
        <v>69</v>
      </c>
      <c r="GT1860" s="4">
        <v>69</v>
      </c>
      <c r="GU1860" s="4">
        <v>68</v>
      </c>
      <c r="GV1860" s="4">
        <v>67</v>
      </c>
      <c r="GW1860" s="4">
        <v>65</v>
      </c>
      <c r="GX1860" s="4">
        <v>63</v>
      </c>
      <c r="GY1860" s="4">
        <v>61</v>
      </c>
      <c r="GZ1860" s="4">
        <v>60</v>
      </c>
      <c r="HA1860" s="4">
        <v>59</v>
      </c>
      <c r="HB1860" s="4">
        <v>57</v>
      </c>
      <c r="HC1860" s="4">
        <v>54</v>
      </c>
      <c r="HD1860" s="9"/>
      <c r="HE1860" s="9"/>
      <c r="HF1860" s="9"/>
      <c r="HG1860" s="9"/>
      <c r="HH1860" s="9"/>
      <c r="HI1860" s="9"/>
      <c r="HJ1860" s="9"/>
      <c r="HK1860" s="9"/>
      <c r="HL1860" s="9"/>
      <c r="HM1860" s="9"/>
      <c r="HN1860" s="9"/>
      <c r="HO1860" s="9"/>
      <c r="HP1860" s="9"/>
      <c r="HQ1860" s="19">
        <v>71</v>
      </c>
      <c r="HR1860" s="19">
        <v>70</v>
      </c>
      <c r="HS1860" s="19">
        <v>69</v>
      </c>
      <c r="HT1860" s="19">
        <v>34.5</v>
      </c>
      <c r="HU1860" s="19">
        <v>34</v>
      </c>
      <c r="HV1860" s="19">
        <v>33.5</v>
      </c>
      <c r="HW1860" s="19">
        <v>32.5</v>
      </c>
      <c r="HX1860" s="19">
        <v>31.5</v>
      </c>
      <c r="HY1860" s="19">
        <v>30.5</v>
      </c>
      <c r="HZ1860" s="19">
        <v>30</v>
      </c>
      <c r="IA1860" s="19">
        <v>19.7</v>
      </c>
      <c r="IB1860" s="19">
        <v>19</v>
      </c>
      <c r="IC1860" s="19">
        <v>18</v>
      </c>
    </row>
    <row r="1861">
      <c r="A1861" s="2" t="s">
        <v>6799</v>
      </c>
      <c r="B1861" s="2" t="s">
        <v>871</v>
      </c>
      <c r="C1861" s="2" t="s">
        <v>403</v>
      </c>
      <c r="D1861" s="2" t="s">
        <v>361</v>
      </c>
      <c r="E1861" s="2" t="s">
        <v>872</v>
      </c>
      <c r="F1861" s="2" t="s">
        <v>6790</v>
      </c>
      <c r="G1861" s="2" t="s">
        <v>6791</v>
      </c>
      <c r="H1861" s="2" t="s">
        <v>6792</v>
      </c>
      <c r="I1861" s="2" t="s">
        <v>4925</v>
      </c>
      <c r="J1861" s="2" t="s">
        <v>261</v>
      </c>
      <c r="K1861" s="2" t="s">
        <v>378</v>
      </c>
      <c r="L1861" s="3">
        <v>60.65</v>
      </c>
      <c r="M1861" s="3">
        <v>63.68</v>
      </c>
      <c r="N1861" s="3">
        <v>109.99</v>
      </c>
      <c r="O1861" s="2" t="s">
        <v>232</v>
      </c>
      <c r="P1861" s="2" t="s">
        <v>878</v>
      </c>
      <c r="Q1861" s="2" t="s">
        <v>234</v>
      </c>
      <c r="R1861" s="2" t="s">
        <v>235</v>
      </c>
      <c r="S1861" s="2" t="s">
        <v>235</v>
      </c>
      <c r="T1861" s="2" t="s">
        <v>501</v>
      </c>
      <c r="U1861" s="2" t="s">
        <v>3619</v>
      </c>
      <c r="V1861" s="2" t="s">
        <v>420</v>
      </c>
      <c r="W1861" s="2" t="s">
        <v>682</v>
      </c>
      <c r="X1861" s="2" t="s">
        <v>235</v>
      </c>
      <c r="Y1861" s="2" t="s">
        <v>235</v>
      </c>
      <c r="Z1861" s="4"/>
      <c r="AA1861" s="4">
        <f>=ROUNDDOWN({0},0)</f>
      </c>
      <c r="AB1861" s="5"/>
      <c r="AC1861" s="2" t="s">
        <v>181</v>
      </c>
      <c r="AD1861" s="4">
        <v>392</v>
      </c>
      <c r="AE1861" s="4">
        <v>392</v>
      </c>
      <c r="AF1861" s="6">
        <v>78</v>
      </c>
      <c r="AG1861" s="6"/>
      <c r="AH1861" s="7"/>
      <c r="AI1861" s="4"/>
      <c r="AJ1861" s="4">
        <f>=ROUNDDOWN({0},0)</f>
      </c>
      <c r="AK1861" s="5"/>
      <c r="AL1861" s="2" t="s">
        <v>235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235</v>
      </c>
      <c r="AW1861" s="8" t="s">
        <v>235</v>
      </c>
      <c r="AX1861" s="4" t="s">
        <v>235</v>
      </c>
      <c r="AY1861" s="8" t="s">
        <v>235</v>
      </c>
      <c r="AZ1861" s="7" t="s">
        <v>235</v>
      </c>
      <c r="BA1861" s="7" t="s">
        <v>235</v>
      </c>
      <c r="BB1861" s="7" t="s">
        <v>235</v>
      </c>
      <c r="BC1861" s="4" t="s">
        <v>235</v>
      </c>
      <c r="BD1861" s="8" t="s">
        <v>235</v>
      </c>
      <c r="BE1861" s="4" t="s">
        <v>235</v>
      </c>
      <c r="BF1861" s="8" t="s">
        <v>235</v>
      </c>
      <c r="BG1861" s="7" t="s">
        <v>235</v>
      </c>
      <c r="BH1861" s="7" t="s">
        <v>235</v>
      </c>
      <c r="BI1861" s="7"/>
      <c r="BJ1861" s="4"/>
      <c r="BK1861" s="8"/>
      <c r="BL1861" s="2" t="s">
        <v>235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330</v>
      </c>
      <c r="BV1861" s="2" t="s">
        <v>235</v>
      </c>
      <c r="BW1861" s="2" t="s">
        <v>235</v>
      </c>
      <c r="BX1861" s="2" t="s">
        <v>330</v>
      </c>
      <c r="BY1861" s="2" t="s">
        <v>331</v>
      </c>
      <c r="BZ1861" s="2" t="s">
        <v>232</v>
      </c>
      <c r="CA1861" s="2" t="s">
        <v>235</v>
      </c>
      <c r="CB1861" s="2" t="s">
        <v>235</v>
      </c>
      <c r="CC1861" s="2" t="s">
        <v>248</v>
      </c>
      <c r="CD1861" s="2" t="s">
        <v>248</v>
      </c>
      <c r="CE1861" s="2" t="s">
        <v>235</v>
      </c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>
        <v>392</v>
      </c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>
        <v>392</v>
      </c>
      <c r="GO1861" s="4">
        <v>377</v>
      </c>
      <c r="GP1861" s="4">
        <v>371</v>
      </c>
      <c r="GQ1861" s="4">
        <v>363</v>
      </c>
      <c r="GR1861" s="4">
        <v>356</v>
      </c>
      <c r="GS1861" s="4">
        <v>344</v>
      </c>
      <c r="GT1861" s="4">
        <v>336</v>
      </c>
      <c r="GU1861" s="4">
        <v>322</v>
      </c>
      <c r="GV1861" s="4">
        <v>307</v>
      </c>
      <c r="GW1861" s="4">
        <v>284</v>
      </c>
      <c r="GX1861" s="4">
        <v>267</v>
      </c>
      <c r="GY1861" s="4">
        <v>255</v>
      </c>
      <c r="GZ1861" s="4">
        <v>244</v>
      </c>
      <c r="HA1861" s="4">
        <v>230</v>
      </c>
      <c r="HB1861" s="4">
        <v>206</v>
      </c>
      <c r="HC1861" s="4">
        <v>190</v>
      </c>
      <c r="HD1861" s="9"/>
      <c r="HE1861" s="9"/>
      <c r="HF1861" s="9"/>
      <c r="HG1861" s="9"/>
      <c r="HH1861" s="9"/>
      <c r="HI1861" s="9"/>
      <c r="HJ1861" s="9"/>
      <c r="HK1861" s="9"/>
      <c r="HL1861" s="9"/>
      <c r="HM1861" s="9"/>
      <c r="HN1861" s="19">
        <v>43.6</v>
      </c>
      <c r="HO1861" s="19">
        <v>47.1</v>
      </c>
      <c r="HP1861" s="19">
        <v>41.2</v>
      </c>
      <c r="HQ1861" s="19">
        <v>36.3</v>
      </c>
      <c r="HR1861" s="19">
        <v>29.7</v>
      </c>
      <c r="HS1861" s="19">
        <v>22.9</v>
      </c>
      <c r="HT1861" s="19">
        <v>19.8</v>
      </c>
      <c r="HU1861" s="19">
        <v>18.9</v>
      </c>
      <c r="HV1861" s="19">
        <v>19.2</v>
      </c>
      <c r="HW1861" s="19">
        <v>20.3</v>
      </c>
      <c r="HX1861" s="19">
        <v>17.8</v>
      </c>
      <c r="HY1861" s="19">
        <v>15.9</v>
      </c>
      <c r="HZ1861" s="19">
        <v>12.8</v>
      </c>
      <c r="IA1861" s="19">
        <v>12.1</v>
      </c>
      <c r="IB1861" s="19">
        <v>12.9</v>
      </c>
      <c r="IC1861" s="19">
        <v>12.7</v>
      </c>
    </row>
    <row r="1862">
      <c r="A1862" s="2" t="s">
        <v>6800</v>
      </c>
      <c r="B1862" s="2" t="s">
        <v>871</v>
      </c>
      <c r="C1862" s="2" t="s">
        <v>403</v>
      </c>
      <c r="D1862" s="2" t="s">
        <v>1452</v>
      </c>
      <c r="E1862" s="2" t="s">
        <v>1453</v>
      </c>
      <c r="F1862" s="2" t="s">
        <v>6790</v>
      </c>
      <c r="G1862" s="2" t="s">
        <v>6791</v>
      </c>
      <c r="H1862" s="2" t="s">
        <v>6792</v>
      </c>
      <c r="I1862" s="2" t="s">
        <v>6798</v>
      </c>
      <c r="J1862" s="2" t="s">
        <v>261</v>
      </c>
      <c r="K1862" s="2" t="s">
        <v>378</v>
      </c>
      <c r="L1862" s="3">
        <v>59.95</v>
      </c>
      <c r="M1862" s="3">
        <v>62.95</v>
      </c>
      <c r="N1862" s="3">
        <v>109</v>
      </c>
      <c r="O1862" s="2" t="s">
        <v>232</v>
      </c>
      <c r="P1862" s="2" t="s">
        <v>878</v>
      </c>
      <c r="Q1862" s="2" t="s">
        <v>234</v>
      </c>
      <c r="R1862" s="2" t="s">
        <v>235</v>
      </c>
      <c r="S1862" s="2" t="s">
        <v>235</v>
      </c>
      <c r="T1862" s="2" t="s">
        <v>501</v>
      </c>
      <c r="U1862" s="2" t="s">
        <v>785</v>
      </c>
      <c r="V1862" s="2" t="s">
        <v>420</v>
      </c>
      <c r="W1862" s="2" t="s">
        <v>682</v>
      </c>
      <c r="X1862" s="2" t="s">
        <v>235</v>
      </c>
      <c r="Y1862" s="2" t="s">
        <v>235</v>
      </c>
      <c r="Z1862" s="4"/>
      <c r="AA1862" s="4">
        <f>=ROUNDDOWN({0},0)</f>
      </c>
      <c r="AB1862" s="5"/>
      <c r="AC1862" s="2" t="s">
        <v>191</v>
      </c>
      <c r="AD1862" s="4">
        <v>249</v>
      </c>
      <c r="AE1862" s="4">
        <v>249</v>
      </c>
      <c r="AF1862" s="6">
        <v>78</v>
      </c>
      <c r="AG1862" s="6"/>
      <c r="AH1862" s="7"/>
      <c r="AI1862" s="4"/>
      <c r="AJ1862" s="4">
        <f>=ROUNDDOWN({0},0)</f>
      </c>
      <c r="AK1862" s="5"/>
      <c r="AL1862" s="2" t="s">
        <v>235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235</v>
      </c>
      <c r="AW1862" s="8" t="s">
        <v>235</v>
      </c>
      <c r="AX1862" s="4" t="s">
        <v>235</v>
      </c>
      <c r="AY1862" s="8" t="s">
        <v>235</v>
      </c>
      <c r="AZ1862" s="7" t="s">
        <v>235</v>
      </c>
      <c r="BA1862" s="7" t="s">
        <v>235</v>
      </c>
      <c r="BB1862" s="7" t="s">
        <v>235</v>
      </c>
      <c r="BC1862" s="4" t="s">
        <v>235</v>
      </c>
      <c r="BD1862" s="8" t="s">
        <v>235</v>
      </c>
      <c r="BE1862" s="4" t="s">
        <v>235</v>
      </c>
      <c r="BF1862" s="8" t="s">
        <v>235</v>
      </c>
      <c r="BG1862" s="7" t="s">
        <v>235</v>
      </c>
      <c r="BH1862" s="7" t="s">
        <v>235</v>
      </c>
      <c r="BI1862" s="7"/>
      <c r="BJ1862" s="4"/>
      <c r="BK1862" s="8"/>
      <c r="BL1862" s="2" t="s">
        <v>235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330</v>
      </c>
      <c r="BV1862" s="2" t="s">
        <v>235</v>
      </c>
      <c r="BW1862" s="2" t="s">
        <v>235</v>
      </c>
      <c r="BX1862" s="2" t="s">
        <v>330</v>
      </c>
      <c r="BY1862" s="2" t="s">
        <v>331</v>
      </c>
      <c r="BZ1862" s="2" t="s">
        <v>232</v>
      </c>
      <c r="CA1862" s="2" t="s">
        <v>235</v>
      </c>
      <c r="CB1862" s="2" t="s">
        <v>235</v>
      </c>
      <c r="CC1862" s="2" t="s">
        <v>248</v>
      </c>
      <c r="CD1862" s="2" t="s">
        <v>248</v>
      </c>
      <c r="CE1862" s="2" t="s">
        <v>235</v>
      </c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>
        <v>249</v>
      </c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>
        <v>249</v>
      </c>
      <c r="GQ1862" s="4">
        <v>239</v>
      </c>
      <c r="GR1862" s="4">
        <v>235</v>
      </c>
      <c r="GS1862" s="4">
        <v>228</v>
      </c>
      <c r="GT1862" s="4">
        <v>223</v>
      </c>
      <c r="GU1862" s="4">
        <v>218</v>
      </c>
      <c r="GV1862" s="4">
        <v>213</v>
      </c>
      <c r="GW1862" s="4">
        <v>206</v>
      </c>
      <c r="GX1862" s="4">
        <v>198</v>
      </c>
      <c r="GY1862" s="4">
        <v>192</v>
      </c>
      <c r="GZ1862" s="4">
        <v>180</v>
      </c>
      <c r="HA1862" s="4">
        <v>172</v>
      </c>
      <c r="HB1862" s="4">
        <v>162</v>
      </c>
      <c r="HC1862" s="4">
        <v>150</v>
      </c>
      <c r="HD1862" s="9"/>
      <c r="HE1862" s="9"/>
      <c r="HF1862" s="9"/>
      <c r="HG1862" s="9"/>
      <c r="HH1862" s="9"/>
      <c r="HI1862" s="9"/>
      <c r="HJ1862" s="9"/>
      <c r="HK1862" s="9"/>
      <c r="HL1862" s="9"/>
      <c r="HM1862" s="9"/>
      <c r="HN1862" s="9"/>
      <c r="HO1862" s="9"/>
      <c r="HP1862" s="19">
        <v>41.5</v>
      </c>
      <c r="HQ1862" s="19">
        <v>47.8</v>
      </c>
      <c r="HR1862" s="19">
        <v>39.2</v>
      </c>
      <c r="HS1862" s="19">
        <v>38</v>
      </c>
      <c r="HT1862" s="19">
        <v>37.2</v>
      </c>
      <c r="HU1862" s="19">
        <v>36.3</v>
      </c>
      <c r="HV1862" s="19">
        <v>26.6</v>
      </c>
      <c r="HW1862" s="19">
        <v>25.8</v>
      </c>
      <c r="HX1862" s="19">
        <v>22</v>
      </c>
      <c r="HY1862" s="19">
        <v>19.2</v>
      </c>
      <c r="HZ1862" s="19">
        <v>16.4</v>
      </c>
      <c r="IA1862" s="19">
        <v>14.3</v>
      </c>
      <c r="IB1862" s="19">
        <v>14.7</v>
      </c>
      <c r="IC1862" s="19">
        <v>12.5</v>
      </c>
    </row>
    <row r="1863">
      <c r="A1863" s="2" t="s">
        <v>6801</v>
      </c>
      <c r="B1863" s="2" t="s">
        <v>871</v>
      </c>
      <c r="C1863" s="2" t="s">
        <v>403</v>
      </c>
      <c r="D1863" s="2" t="s">
        <v>361</v>
      </c>
      <c r="E1863" s="2" t="s">
        <v>872</v>
      </c>
      <c r="F1863" s="2" t="s">
        <v>6790</v>
      </c>
      <c r="G1863" s="2" t="s">
        <v>6791</v>
      </c>
      <c r="H1863" s="2" t="s">
        <v>6792</v>
      </c>
      <c r="I1863" s="2" t="s">
        <v>4925</v>
      </c>
      <c r="J1863" s="2" t="s">
        <v>270</v>
      </c>
      <c r="K1863" s="2" t="s">
        <v>378</v>
      </c>
      <c r="L1863" s="3">
        <v>65.7</v>
      </c>
      <c r="M1863" s="3">
        <v>68.98</v>
      </c>
      <c r="N1863" s="3">
        <v>119.99</v>
      </c>
      <c r="O1863" s="2" t="s">
        <v>232</v>
      </c>
      <c r="P1863" s="2" t="s">
        <v>878</v>
      </c>
      <c r="Q1863" s="2" t="s">
        <v>234</v>
      </c>
      <c r="R1863" s="2" t="s">
        <v>235</v>
      </c>
      <c r="S1863" s="2" t="s">
        <v>235</v>
      </c>
      <c r="T1863" s="2" t="s">
        <v>501</v>
      </c>
      <c r="U1863" s="2" t="s">
        <v>3619</v>
      </c>
      <c r="V1863" s="2" t="s">
        <v>420</v>
      </c>
      <c r="W1863" s="2" t="s">
        <v>682</v>
      </c>
      <c r="X1863" s="2" t="s">
        <v>235</v>
      </c>
      <c r="Y1863" s="2" t="s">
        <v>235</v>
      </c>
      <c r="Z1863" s="4"/>
      <c r="AA1863" s="4">
        <f>=ROUNDDOWN({0},0)</f>
      </c>
      <c r="AB1863" s="5"/>
      <c r="AC1863" s="2" t="s">
        <v>181</v>
      </c>
      <c r="AD1863" s="4">
        <v>302</v>
      </c>
      <c r="AE1863" s="4">
        <v>302</v>
      </c>
      <c r="AF1863" s="6">
        <v>78</v>
      </c>
      <c r="AG1863" s="6"/>
      <c r="AH1863" s="7"/>
      <c r="AI1863" s="4"/>
      <c r="AJ1863" s="4">
        <f>=ROUNDDOWN({0},0)</f>
      </c>
      <c r="AK1863" s="5"/>
      <c r="AL1863" s="2" t="s">
        <v>235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235</v>
      </c>
      <c r="AW1863" s="8" t="s">
        <v>235</v>
      </c>
      <c r="AX1863" s="4" t="s">
        <v>235</v>
      </c>
      <c r="AY1863" s="8" t="s">
        <v>235</v>
      </c>
      <c r="AZ1863" s="7" t="s">
        <v>235</v>
      </c>
      <c r="BA1863" s="7" t="s">
        <v>235</v>
      </c>
      <c r="BB1863" s="7" t="s">
        <v>235</v>
      </c>
      <c r="BC1863" s="4" t="s">
        <v>235</v>
      </c>
      <c r="BD1863" s="8" t="s">
        <v>235</v>
      </c>
      <c r="BE1863" s="4" t="s">
        <v>235</v>
      </c>
      <c r="BF1863" s="8" t="s">
        <v>235</v>
      </c>
      <c r="BG1863" s="7" t="s">
        <v>235</v>
      </c>
      <c r="BH1863" s="7" t="s">
        <v>235</v>
      </c>
      <c r="BI1863" s="7"/>
      <c r="BJ1863" s="4"/>
      <c r="BK1863" s="8"/>
      <c r="BL1863" s="2" t="s">
        <v>235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330</v>
      </c>
      <c r="BV1863" s="2" t="s">
        <v>235</v>
      </c>
      <c r="BW1863" s="2" t="s">
        <v>235</v>
      </c>
      <c r="BX1863" s="2" t="s">
        <v>330</v>
      </c>
      <c r="BY1863" s="2" t="s">
        <v>331</v>
      </c>
      <c r="BZ1863" s="2" t="s">
        <v>232</v>
      </c>
      <c r="CA1863" s="2" t="s">
        <v>235</v>
      </c>
      <c r="CB1863" s="2" t="s">
        <v>235</v>
      </c>
      <c r="CC1863" s="2" t="s">
        <v>248</v>
      </c>
      <c r="CD1863" s="2" t="s">
        <v>248</v>
      </c>
      <c r="CE1863" s="2" t="s">
        <v>235</v>
      </c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>
        <v>302</v>
      </c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>
        <v>302</v>
      </c>
      <c r="GO1863" s="4">
        <v>292</v>
      </c>
      <c r="GP1863" s="4">
        <v>287</v>
      </c>
      <c r="GQ1863" s="4">
        <v>280</v>
      </c>
      <c r="GR1863" s="4">
        <v>277</v>
      </c>
      <c r="GS1863" s="4">
        <v>269</v>
      </c>
      <c r="GT1863" s="4">
        <v>262</v>
      </c>
      <c r="GU1863" s="4">
        <v>254</v>
      </c>
      <c r="GV1863" s="4">
        <v>247</v>
      </c>
      <c r="GW1863" s="4">
        <v>229</v>
      </c>
      <c r="GX1863" s="4">
        <v>220</v>
      </c>
      <c r="GY1863" s="4">
        <v>213</v>
      </c>
      <c r="GZ1863" s="4">
        <v>200</v>
      </c>
      <c r="HA1863" s="4">
        <v>185</v>
      </c>
      <c r="HB1863" s="4">
        <v>159</v>
      </c>
      <c r="HC1863" s="4">
        <v>142</v>
      </c>
      <c r="HD1863" s="9"/>
      <c r="HE1863" s="9"/>
      <c r="HF1863" s="9"/>
      <c r="HG1863" s="9"/>
      <c r="HH1863" s="9"/>
      <c r="HI1863" s="9"/>
      <c r="HJ1863" s="9"/>
      <c r="HK1863" s="9"/>
      <c r="HL1863" s="9"/>
      <c r="HM1863" s="9"/>
      <c r="HN1863" s="19">
        <v>50.3</v>
      </c>
      <c r="HO1863" s="19">
        <v>48.7</v>
      </c>
      <c r="HP1863" s="19">
        <v>47.8</v>
      </c>
      <c r="HQ1863" s="19">
        <v>46.7</v>
      </c>
      <c r="HR1863" s="19">
        <v>34.6</v>
      </c>
      <c r="HS1863" s="19">
        <v>26.9</v>
      </c>
      <c r="HT1863" s="19">
        <v>26.2</v>
      </c>
      <c r="HU1863" s="19">
        <v>25.4</v>
      </c>
      <c r="HV1863" s="19">
        <v>20.6</v>
      </c>
      <c r="HW1863" s="19">
        <v>20.8</v>
      </c>
      <c r="HX1863" s="19">
        <v>14.7</v>
      </c>
      <c r="HY1863" s="19">
        <v>11.8</v>
      </c>
      <c r="HZ1863" s="19">
        <v>11.1</v>
      </c>
      <c r="IA1863" s="19">
        <v>11.6</v>
      </c>
      <c r="IB1863" s="19">
        <v>12.2</v>
      </c>
      <c r="IC1863" s="19">
        <v>14.2</v>
      </c>
    </row>
    <row r="1864">
      <c r="A1864" s="2" t="s">
        <v>6802</v>
      </c>
      <c r="B1864" s="2" t="s">
        <v>871</v>
      </c>
      <c r="C1864" s="2" t="s">
        <v>403</v>
      </c>
      <c r="D1864" s="2" t="s">
        <v>1452</v>
      </c>
      <c r="E1864" s="2" t="s">
        <v>1453</v>
      </c>
      <c r="F1864" s="2" t="s">
        <v>6790</v>
      </c>
      <c r="G1864" s="2" t="s">
        <v>6791</v>
      </c>
      <c r="H1864" s="2" t="s">
        <v>6792</v>
      </c>
      <c r="I1864" s="2" t="s">
        <v>6798</v>
      </c>
      <c r="J1864" s="2" t="s">
        <v>270</v>
      </c>
      <c r="K1864" s="2" t="s">
        <v>378</v>
      </c>
      <c r="L1864" s="3">
        <v>65.45</v>
      </c>
      <c r="M1864" s="3">
        <v>68.72</v>
      </c>
      <c r="N1864" s="3">
        <v>119</v>
      </c>
      <c r="O1864" s="2" t="s">
        <v>232</v>
      </c>
      <c r="P1864" s="2" t="s">
        <v>878</v>
      </c>
      <c r="Q1864" s="2" t="s">
        <v>234</v>
      </c>
      <c r="R1864" s="2" t="s">
        <v>235</v>
      </c>
      <c r="S1864" s="2" t="s">
        <v>235</v>
      </c>
      <c r="T1864" s="2" t="s">
        <v>501</v>
      </c>
      <c r="U1864" s="2" t="s">
        <v>785</v>
      </c>
      <c r="V1864" s="2" t="s">
        <v>420</v>
      </c>
      <c r="W1864" s="2" t="s">
        <v>682</v>
      </c>
      <c r="X1864" s="2" t="s">
        <v>235</v>
      </c>
      <c r="Y1864" s="2" t="s">
        <v>235</v>
      </c>
      <c r="Z1864" s="4"/>
      <c r="AA1864" s="4">
        <f>=ROUNDDOWN({0},0)</f>
      </c>
      <c r="AB1864" s="5"/>
      <c r="AC1864" s="2" t="s">
        <v>191</v>
      </c>
      <c r="AD1864" s="4">
        <v>150</v>
      </c>
      <c r="AE1864" s="4">
        <v>150</v>
      </c>
      <c r="AF1864" s="6">
        <v>78</v>
      </c>
      <c r="AG1864" s="6"/>
      <c r="AH1864" s="7"/>
      <c r="AI1864" s="4"/>
      <c r="AJ1864" s="4">
        <f>=ROUNDDOWN({0},0)</f>
      </c>
      <c r="AK1864" s="5"/>
      <c r="AL1864" s="2" t="s">
        <v>235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235</v>
      </c>
      <c r="AW1864" s="8" t="s">
        <v>235</v>
      </c>
      <c r="AX1864" s="4" t="s">
        <v>235</v>
      </c>
      <c r="AY1864" s="8" t="s">
        <v>235</v>
      </c>
      <c r="AZ1864" s="7" t="s">
        <v>235</v>
      </c>
      <c r="BA1864" s="7" t="s">
        <v>235</v>
      </c>
      <c r="BB1864" s="7" t="s">
        <v>235</v>
      </c>
      <c r="BC1864" s="4" t="s">
        <v>235</v>
      </c>
      <c r="BD1864" s="8" t="s">
        <v>235</v>
      </c>
      <c r="BE1864" s="4" t="s">
        <v>235</v>
      </c>
      <c r="BF1864" s="8" t="s">
        <v>235</v>
      </c>
      <c r="BG1864" s="7" t="s">
        <v>235</v>
      </c>
      <c r="BH1864" s="7" t="s">
        <v>235</v>
      </c>
      <c r="BI1864" s="7"/>
      <c r="BJ1864" s="4"/>
      <c r="BK1864" s="8"/>
      <c r="BL1864" s="2" t="s">
        <v>235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330</v>
      </c>
      <c r="BV1864" s="2" t="s">
        <v>235</v>
      </c>
      <c r="BW1864" s="2" t="s">
        <v>235</v>
      </c>
      <c r="BX1864" s="2" t="s">
        <v>330</v>
      </c>
      <c r="BY1864" s="2" t="s">
        <v>331</v>
      </c>
      <c r="BZ1864" s="2" t="s">
        <v>232</v>
      </c>
      <c r="CA1864" s="2" t="s">
        <v>235</v>
      </c>
      <c r="CB1864" s="2" t="s">
        <v>235</v>
      </c>
      <c r="CC1864" s="2" t="s">
        <v>248</v>
      </c>
      <c r="CD1864" s="2" t="s">
        <v>248</v>
      </c>
      <c r="CE1864" s="2" t="s">
        <v>235</v>
      </c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>
        <v>150</v>
      </c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>
        <v>150</v>
      </c>
      <c r="GQ1864" s="4">
        <v>145</v>
      </c>
      <c r="GR1864" s="4">
        <v>143</v>
      </c>
      <c r="GS1864" s="4">
        <v>139</v>
      </c>
      <c r="GT1864" s="4">
        <v>133</v>
      </c>
      <c r="GU1864" s="4">
        <v>129</v>
      </c>
      <c r="GV1864" s="4">
        <v>125</v>
      </c>
      <c r="GW1864" s="4">
        <v>121</v>
      </c>
      <c r="GX1864" s="4">
        <v>116</v>
      </c>
      <c r="GY1864" s="4">
        <v>111</v>
      </c>
      <c r="GZ1864" s="4">
        <v>104</v>
      </c>
      <c r="HA1864" s="4">
        <v>96</v>
      </c>
      <c r="HB1864" s="4">
        <v>88</v>
      </c>
      <c r="HC1864" s="4">
        <v>82</v>
      </c>
      <c r="HD1864" s="9"/>
      <c r="HE1864" s="9"/>
      <c r="HF1864" s="9"/>
      <c r="HG1864" s="9"/>
      <c r="HH1864" s="9"/>
      <c r="HI1864" s="9"/>
      <c r="HJ1864" s="9"/>
      <c r="HK1864" s="9"/>
      <c r="HL1864" s="9"/>
      <c r="HM1864" s="9"/>
      <c r="HN1864" s="9"/>
      <c r="HO1864" s="9"/>
      <c r="HP1864" s="19">
        <v>37.5</v>
      </c>
      <c r="HQ1864" s="19">
        <v>36.3</v>
      </c>
      <c r="HR1864" s="19">
        <v>35.8</v>
      </c>
      <c r="HS1864" s="19">
        <v>34.8</v>
      </c>
      <c r="HT1864" s="19">
        <v>33.3</v>
      </c>
      <c r="HU1864" s="19">
        <v>32.3</v>
      </c>
      <c r="HV1864" s="19">
        <v>25</v>
      </c>
      <c r="HW1864" s="19">
        <v>20.2</v>
      </c>
      <c r="HX1864" s="19">
        <v>16.6</v>
      </c>
      <c r="HY1864" s="19">
        <v>15.9</v>
      </c>
      <c r="HZ1864" s="19">
        <v>14.9</v>
      </c>
      <c r="IA1864" s="19">
        <v>13.7</v>
      </c>
      <c r="IB1864" s="19">
        <v>12.6</v>
      </c>
      <c r="IC1864" s="19">
        <v>11.7</v>
      </c>
    </row>
    <row r="1865">
      <c r="A1865" s="2" t="s">
        <v>6803</v>
      </c>
      <c r="B1865" s="2" t="s">
        <v>871</v>
      </c>
      <c r="C1865" s="2" t="s">
        <v>403</v>
      </c>
      <c r="D1865" s="2" t="s">
        <v>361</v>
      </c>
      <c r="E1865" s="2" t="s">
        <v>872</v>
      </c>
      <c r="F1865" s="2" t="s">
        <v>6790</v>
      </c>
      <c r="G1865" s="2" t="s">
        <v>6791</v>
      </c>
      <c r="H1865" s="2" t="s">
        <v>6792</v>
      </c>
      <c r="I1865" s="2" t="s">
        <v>4925</v>
      </c>
      <c r="J1865" s="2" t="s">
        <v>272</v>
      </c>
      <c r="K1865" s="2" t="s">
        <v>378</v>
      </c>
      <c r="L1865" s="3">
        <v>65.7</v>
      </c>
      <c r="M1865" s="3">
        <v>68.98</v>
      </c>
      <c r="N1865" s="3">
        <v>119.99</v>
      </c>
      <c r="O1865" s="2" t="s">
        <v>232</v>
      </c>
      <c r="P1865" s="2" t="s">
        <v>878</v>
      </c>
      <c r="Q1865" s="2" t="s">
        <v>234</v>
      </c>
      <c r="R1865" s="2" t="s">
        <v>235</v>
      </c>
      <c r="S1865" s="2" t="s">
        <v>235</v>
      </c>
      <c r="T1865" s="2" t="s">
        <v>501</v>
      </c>
      <c r="U1865" s="2" t="s">
        <v>3619</v>
      </c>
      <c r="V1865" s="2" t="s">
        <v>420</v>
      </c>
      <c r="W1865" s="2" t="s">
        <v>682</v>
      </c>
      <c r="X1865" s="2" t="s">
        <v>235</v>
      </c>
      <c r="Y1865" s="2" t="s">
        <v>235</v>
      </c>
      <c r="Z1865" s="4"/>
      <c r="AA1865" s="4">
        <f>=ROUNDDOWN({0},0)</f>
      </c>
      <c r="AB1865" s="5"/>
      <c r="AC1865" s="2" t="s">
        <v>181</v>
      </c>
      <c r="AD1865" s="4">
        <v>111</v>
      </c>
      <c r="AE1865" s="4">
        <v>111</v>
      </c>
      <c r="AF1865" s="6">
        <v>78</v>
      </c>
      <c r="AG1865" s="6"/>
      <c r="AH1865" s="7"/>
      <c r="AI1865" s="4"/>
      <c r="AJ1865" s="4">
        <f>=ROUNDDOWN({0},0)</f>
      </c>
      <c r="AK1865" s="5"/>
      <c r="AL1865" s="2" t="s">
        <v>235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235</v>
      </c>
      <c r="AW1865" s="8" t="s">
        <v>235</v>
      </c>
      <c r="AX1865" s="4" t="s">
        <v>235</v>
      </c>
      <c r="AY1865" s="8" t="s">
        <v>235</v>
      </c>
      <c r="AZ1865" s="7" t="s">
        <v>235</v>
      </c>
      <c r="BA1865" s="7" t="s">
        <v>235</v>
      </c>
      <c r="BB1865" s="7" t="s">
        <v>235</v>
      </c>
      <c r="BC1865" s="4" t="s">
        <v>235</v>
      </c>
      <c r="BD1865" s="8" t="s">
        <v>235</v>
      </c>
      <c r="BE1865" s="4" t="s">
        <v>235</v>
      </c>
      <c r="BF1865" s="8" t="s">
        <v>235</v>
      </c>
      <c r="BG1865" s="7" t="s">
        <v>235</v>
      </c>
      <c r="BH1865" s="7" t="s">
        <v>235</v>
      </c>
      <c r="BI1865" s="7"/>
      <c r="BJ1865" s="4"/>
      <c r="BK1865" s="8"/>
      <c r="BL1865" s="2" t="s">
        <v>235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330</v>
      </c>
      <c r="BV1865" s="2" t="s">
        <v>235</v>
      </c>
      <c r="BW1865" s="2" t="s">
        <v>235</v>
      </c>
      <c r="BX1865" s="2" t="s">
        <v>330</v>
      </c>
      <c r="BY1865" s="2" t="s">
        <v>331</v>
      </c>
      <c r="BZ1865" s="2" t="s">
        <v>232</v>
      </c>
      <c r="CA1865" s="2" t="s">
        <v>235</v>
      </c>
      <c r="CB1865" s="2" t="s">
        <v>235</v>
      </c>
      <c r="CC1865" s="2" t="s">
        <v>248</v>
      </c>
      <c r="CD1865" s="2" t="s">
        <v>248</v>
      </c>
      <c r="CE1865" s="2" t="s">
        <v>235</v>
      </c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>
        <v>111</v>
      </c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>
        <v>111</v>
      </c>
      <c r="GO1865" s="4">
        <v>107</v>
      </c>
      <c r="GP1865" s="4">
        <v>106</v>
      </c>
      <c r="GQ1865" s="4">
        <v>104</v>
      </c>
      <c r="GR1865" s="4">
        <v>103</v>
      </c>
      <c r="GS1865" s="4">
        <v>102</v>
      </c>
      <c r="GT1865" s="4">
        <v>100</v>
      </c>
      <c r="GU1865" s="4">
        <v>97</v>
      </c>
      <c r="GV1865" s="4">
        <v>94</v>
      </c>
      <c r="GW1865" s="4">
        <v>91</v>
      </c>
      <c r="GX1865" s="4">
        <v>88</v>
      </c>
      <c r="GY1865" s="4">
        <v>87</v>
      </c>
      <c r="GZ1865" s="4">
        <v>82</v>
      </c>
      <c r="HA1865" s="4">
        <v>77</v>
      </c>
      <c r="HB1865" s="4">
        <v>72</v>
      </c>
      <c r="HC1865" s="4">
        <v>68</v>
      </c>
      <c r="HD1865" s="9"/>
      <c r="HE1865" s="9"/>
      <c r="HF1865" s="9"/>
      <c r="HG1865" s="9"/>
      <c r="HH1865" s="9"/>
      <c r="HI1865" s="9"/>
      <c r="HJ1865" s="9"/>
      <c r="HK1865" s="9"/>
      <c r="HL1865" s="9"/>
      <c r="HM1865" s="9"/>
      <c r="HN1865" s="19">
        <v>55.5</v>
      </c>
      <c r="HO1865" s="19">
        <v>107</v>
      </c>
      <c r="HP1865" s="19">
        <v>53</v>
      </c>
      <c r="HQ1865" s="19">
        <v>52</v>
      </c>
      <c r="HR1865" s="19">
        <v>51.5</v>
      </c>
      <c r="HS1865" s="19">
        <v>34</v>
      </c>
      <c r="HT1865" s="19">
        <v>33.3</v>
      </c>
      <c r="HU1865" s="19">
        <v>48.5</v>
      </c>
      <c r="HV1865" s="19">
        <v>31.3</v>
      </c>
      <c r="HW1865" s="19">
        <v>22.8</v>
      </c>
      <c r="HX1865" s="19">
        <v>22</v>
      </c>
      <c r="HY1865" s="19">
        <v>17.4</v>
      </c>
      <c r="HZ1865" s="19">
        <v>16.4</v>
      </c>
      <c r="IA1865" s="19">
        <v>15.4</v>
      </c>
      <c r="IB1865" s="19">
        <v>14.4</v>
      </c>
      <c r="IC1865" s="19">
        <v>17</v>
      </c>
    </row>
    <row r="1866">
      <c r="A1866" s="2" t="s">
        <v>6804</v>
      </c>
      <c r="B1866" s="2" t="s">
        <v>871</v>
      </c>
      <c r="C1866" s="2" t="s">
        <v>403</v>
      </c>
      <c r="D1866" s="2" t="s">
        <v>1452</v>
      </c>
      <c r="E1866" s="2" t="s">
        <v>1453</v>
      </c>
      <c r="F1866" s="2" t="s">
        <v>6790</v>
      </c>
      <c r="G1866" s="2" t="s">
        <v>6791</v>
      </c>
      <c r="H1866" s="2" t="s">
        <v>6792</v>
      </c>
      <c r="I1866" s="2" t="s">
        <v>6798</v>
      </c>
      <c r="J1866" s="2" t="s">
        <v>272</v>
      </c>
      <c r="K1866" s="2" t="s">
        <v>378</v>
      </c>
      <c r="L1866" s="3">
        <v>65.45</v>
      </c>
      <c r="M1866" s="3">
        <v>68.72</v>
      </c>
      <c r="N1866" s="3">
        <v>119</v>
      </c>
      <c r="O1866" s="2" t="s">
        <v>232</v>
      </c>
      <c r="P1866" s="2" t="s">
        <v>878</v>
      </c>
      <c r="Q1866" s="2" t="s">
        <v>234</v>
      </c>
      <c r="R1866" s="2" t="s">
        <v>235</v>
      </c>
      <c r="S1866" s="2" t="s">
        <v>235</v>
      </c>
      <c r="T1866" s="2" t="s">
        <v>501</v>
      </c>
      <c r="U1866" s="2" t="s">
        <v>785</v>
      </c>
      <c r="V1866" s="2" t="s">
        <v>420</v>
      </c>
      <c r="W1866" s="2" t="s">
        <v>682</v>
      </c>
      <c r="X1866" s="2" t="s">
        <v>235</v>
      </c>
      <c r="Y1866" s="2" t="s">
        <v>235</v>
      </c>
      <c r="Z1866" s="4"/>
      <c r="AA1866" s="4">
        <f>=ROUNDDOWN({0},0)</f>
      </c>
      <c r="AB1866" s="5"/>
      <c r="AC1866" s="2" t="s">
        <v>191</v>
      </c>
      <c r="AD1866" s="4">
        <v>68</v>
      </c>
      <c r="AE1866" s="4">
        <v>68</v>
      </c>
      <c r="AF1866" s="6">
        <v>78</v>
      </c>
      <c r="AG1866" s="6"/>
      <c r="AH1866" s="7"/>
      <c r="AI1866" s="4"/>
      <c r="AJ1866" s="4">
        <f>=ROUNDDOWN({0},0)</f>
      </c>
      <c r="AK1866" s="5"/>
      <c r="AL1866" s="2" t="s">
        <v>235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235</v>
      </c>
      <c r="AW1866" s="8" t="s">
        <v>235</v>
      </c>
      <c r="AX1866" s="4" t="s">
        <v>235</v>
      </c>
      <c r="AY1866" s="8" t="s">
        <v>235</v>
      </c>
      <c r="AZ1866" s="7" t="s">
        <v>235</v>
      </c>
      <c r="BA1866" s="7" t="s">
        <v>235</v>
      </c>
      <c r="BB1866" s="7" t="s">
        <v>235</v>
      </c>
      <c r="BC1866" s="4" t="s">
        <v>235</v>
      </c>
      <c r="BD1866" s="8" t="s">
        <v>235</v>
      </c>
      <c r="BE1866" s="4" t="s">
        <v>235</v>
      </c>
      <c r="BF1866" s="8" t="s">
        <v>235</v>
      </c>
      <c r="BG1866" s="7" t="s">
        <v>235</v>
      </c>
      <c r="BH1866" s="7" t="s">
        <v>235</v>
      </c>
      <c r="BI1866" s="7"/>
      <c r="BJ1866" s="4"/>
      <c r="BK1866" s="8"/>
      <c r="BL1866" s="2" t="s">
        <v>235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330</v>
      </c>
      <c r="BV1866" s="2" t="s">
        <v>235</v>
      </c>
      <c r="BW1866" s="2" t="s">
        <v>235</v>
      </c>
      <c r="BX1866" s="2" t="s">
        <v>330</v>
      </c>
      <c r="BY1866" s="2" t="s">
        <v>331</v>
      </c>
      <c r="BZ1866" s="2" t="s">
        <v>232</v>
      </c>
      <c r="CA1866" s="2" t="s">
        <v>235</v>
      </c>
      <c r="CB1866" s="2" t="s">
        <v>235</v>
      </c>
      <c r="CC1866" s="2" t="s">
        <v>248</v>
      </c>
      <c r="CD1866" s="2" t="s">
        <v>248</v>
      </c>
      <c r="CE1866" s="2" t="s">
        <v>235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>
        <v>68</v>
      </c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>
        <v>68</v>
      </c>
      <c r="GQ1866" s="4">
        <v>64</v>
      </c>
      <c r="GR1866" s="4">
        <v>63</v>
      </c>
      <c r="GS1866" s="4">
        <v>62</v>
      </c>
      <c r="GT1866" s="4">
        <v>61</v>
      </c>
      <c r="GU1866" s="4">
        <v>60</v>
      </c>
      <c r="GV1866" s="4">
        <v>58</v>
      </c>
      <c r="GW1866" s="4">
        <v>58</v>
      </c>
      <c r="GX1866" s="4">
        <v>56</v>
      </c>
      <c r="GY1866" s="4">
        <v>54</v>
      </c>
      <c r="GZ1866" s="4">
        <v>52</v>
      </c>
      <c r="HA1866" s="4">
        <v>49</v>
      </c>
      <c r="HB1866" s="4">
        <v>46</v>
      </c>
      <c r="HC1866" s="4">
        <v>43</v>
      </c>
      <c r="HD1866" s="9"/>
      <c r="HE1866" s="9"/>
      <c r="HF1866" s="9"/>
      <c r="HG1866" s="9"/>
      <c r="HH1866" s="9"/>
      <c r="HI1866" s="9"/>
      <c r="HJ1866" s="9"/>
      <c r="HK1866" s="9"/>
      <c r="HL1866" s="9"/>
      <c r="HM1866" s="9"/>
      <c r="HN1866" s="9"/>
      <c r="HO1866" s="9"/>
      <c r="HP1866" s="19">
        <v>34</v>
      </c>
      <c r="HQ1866" s="19">
        <v>64</v>
      </c>
      <c r="HR1866" s="19">
        <v>63</v>
      </c>
      <c r="HS1866" s="19">
        <v>62</v>
      </c>
      <c r="HT1866" s="19">
        <v>61</v>
      </c>
      <c r="HU1866" s="19">
        <v>30</v>
      </c>
      <c r="HV1866" s="19">
        <v>29</v>
      </c>
      <c r="HW1866" s="19">
        <v>29</v>
      </c>
      <c r="HX1866" s="19">
        <v>28</v>
      </c>
      <c r="HY1866" s="19">
        <v>18</v>
      </c>
      <c r="HZ1866" s="19">
        <v>26</v>
      </c>
      <c r="IA1866" s="19">
        <v>24.5</v>
      </c>
      <c r="IB1866" s="19">
        <v>23</v>
      </c>
      <c r="IC1866" s="19">
        <v>21.5</v>
      </c>
    </row>
    <row r="1867">
      <c r="A1867" s="2" t="s">
        <v>6805</v>
      </c>
      <c r="B1867" s="2" t="s">
        <v>800</v>
      </c>
      <c r="C1867" s="2" t="s">
        <v>893</v>
      </c>
      <c r="D1867" s="2" t="s">
        <v>894</v>
      </c>
      <c r="E1867" s="2" t="s">
        <v>895</v>
      </c>
      <c r="F1867" s="2" t="s">
        <v>6806</v>
      </c>
      <c r="G1867" s="2" t="s">
        <v>6806</v>
      </c>
      <c r="H1867" s="2" t="s">
        <v>6806</v>
      </c>
      <c r="I1867" s="2" t="s">
        <v>6807</v>
      </c>
      <c r="J1867" s="2" t="s">
        <v>897</v>
      </c>
      <c r="K1867" s="2" t="s">
        <v>6808</v>
      </c>
      <c r="L1867" s="3">
        <v>16.43</v>
      </c>
      <c r="M1867" s="3">
        <v>17.25</v>
      </c>
      <c r="N1867" s="3">
        <v>34.99</v>
      </c>
      <c r="O1867" s="2" t="s">
        <v>485</v>
      </c>
      <c r="P1867" s="2" t="s">
        <v>408</v>
      </c>
      <c r="Q1867" s="2" t="s">
        <v>234</v>
      </c>
      <c r="R1867" s="2" t="s">
        <v>235</v>
      </c>
      <c r="S1867" s="2" t="s">
        <v>235</v>
      </c>
      <c r="T1867" s="2" t="s">
        <v>235</v>
      </c>
      <c r="U1867" s="2" t="s">
        <v>807</v>
      </c>
      <c r="V1867" s="2" t="s">
        <v>808</v>
      </c>
      <c r="W1867" s="2" t="s">
        <v>809</v>
      </c>
      <c r="X1867" s="2" t="s">
        <v>235</v>
      </c>
      <c r="Y1867" s="2" t="s">
        <v>1019</v>
      </c>
      <c r="Z1867" s="4">
        <v>120</v>
      </c>
      <c r="AA1867" s="4">
        <f>=ROUNDDOWN(133.333333333333,0)</f>
      </c>
      <c r="AB1867" s="5">
        <v>0.9</v>
      </c>
      <c r="AC1867" s="2" t="s">
        <v>235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235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235</v>
      </c>
      <c r="BD1867" s="8" t="s">
        <v>235</v>
      </c>
      <c r="BE1867" s="4" t="s">
        <v>235</v>
      </c>
      <c r="BF1867" s="8" t="s">
        <v>235</v>
      </c>
      <c r="BG1867" s="7" t="s">
        <v>235</v>
      </c>
      <c r="BH1867" s="7" t="s">
        <v>235</v>
      </c>
      <c r="BI1867" s="7"/>
      <c r="BJ1867" s="4">
        <v>4</v>
      </c>
      <c r="BK1867" s="8">
        <v>20.08</v>
      </c>
      <c r="BL1867" s="2" t="s">
        <v>1122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6809</v>
      </c>
      <c r="BV1867" s="2" t="s">
        <v>813</v>
      </c>
      <c r="BW1867" s="2" t="s">
        <v>235</v>
      </c>
      <c r="BX1867" s="2" t="s">
        <v>414</v>
      </c>
      <c r="BY1867" s="2" t="s">
        <v>245</v>
      </c>
      <c r="BZ1867" s="2" t="s">
        <v>232</v>
      </c>
      <c r="CA1867" s="2" t="s">
        <v>4633</v>
      </c>
      <c r="CB1867" s="2" t="s">
        <v>5910</v>
      </c>
      <c r="CC1867" s="2" t="s">
        <v>248</v>
      </c>
      <c r="CD1867" s="2" t="s">
        <v>248</v>
      </c>
      <c r="CE1867" s="2" t="s">
        <v>235</v>
      </c>
      <c r="CF1867" s="4"/>
      <c r="CG1867" s="4">
        <v>120</v>
      </c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>
        <v>122</v>
      </c>
      <c r="GE1867" s="4">
        <v>119</v>
      </c>
      <c r="GF1867" s="4">
        <v>118</v>
      </c>
      <c r="GG1867" s="4">
        <v>117</v>
      </c>
      <c r="GH1867" s="4">
        <v>116</v>
      </c>
      <c r="GI1867" s="4">
        <v>115</v>
      </c>
      <c r="GJ1867" s="4">
        <v>114</v>
      </c>
      <c r="GK1867" s="4">
        <v>113</v>
      </c>
      <c r="GL1867" s="4">
        <v>112</v>
      </c>
      <c r="GM1867" s="4">
        <v>111</v>
      </c>
      <c r="GN1867" s="4">
        <v>110</v>
      </c>
      <c r="GO1867" s="4">
        <v>109</v>
      </c>
      <c r="GP1867" s="4">
        <v>108</v>
      </c>
      <c r="GQ1867" s="4">
        <v>107</v>
      </c>
      <c r="GR1867" s="4">
        <v>106</v>
      </c>
      <c r="GS1867" s="4">
        <v>105</v>
      </c>
      <c r="GT1867" s="4">
        <v>104</v>
      </c>
      <c r="GU1867" s="4">
        <v>103</v>
      </c>
      <c r="GV1867" s="4">
        <v>102</v>
      </c>
      <c r="GW1867" s="4">
        <v>101</v>
      </c>
      <c r="GX1867" s="4">
        <v>100</v>
      </c>
      <c r="GY1867" s="4">
        <v>99</v>
      </c>
      <c r="GZ1867" s="4">
        <v>98</v>
      </c>
      <c r="HA1867" s="4">
        <v>97</v>
      </c>
      <c r="HB1867" s="4">
        <v>96</v>
      </c>
      <c r="HC1867" s="4">
        <v>95</v>
      </c>
      <c r="HD1867" s="19">
        <v>61</v>
      </c>
      <c r="HE1867" s="19">
        <v>119</v>
      </c>
      <c r="HF1867" s="19">
        <v>118</v>
      </c>
      <c r="HG1867" s="19">
        <v>117</v>
      </c>
      <c r="HH1867" s="19">
        <v>116</v>
      </c>
      <c r="HI1867" s="19">
        <v>115</v>
      </c>
      <c r="HJ1867" s="19">
        <v>114</v>
      </c>
      <c r="HK1867" s="19">
        <v>113</v>
      </c>
      <c r="HL1867" s="19">
        <v>112</v>
      </c>
      <c r="HM1867" s="19">
        <v>111</v>
      </c>
      <c r="HN1867" s="19">
        <v>110</v>
      </c>
      <c r="HO1867" s="19">
        <v>109</v>
      </c>
      <c r="HP1867" s="19">
        <v>108</v>
      </c>
      <c r="HQ1867" s="19">
        <v>107</v>
      </c>
      <c r="HR1867" s="19">
        <v>106</v>
      </c>
      <c r="HS1867" s="19">
        <v>105</v>
      </c>
      <c r="HT1867" s="19">
        <v>104</v>
      </c>
      <c r="HU1867" s="19">
        <v>103</v>
      </c>
      <c r="HV1867" s="19">
        <v>102</v>
      </c>
      <c r="HW1867" s="19">
        <v>101</v>
      </c>
      <c r="HX1867" s="19">
        <v>100</v>
      </c>
      <c r="HY1867" s="19">
        <v>99</v>
      </c>
      <c r="HZ1867" s="19">
        <v>98</v>
      </c>
      <c r="IA1867" s="19">
        <v>97</v>
      </c>
      <c r="IB1867" s="19">
        <v>96</v>
      </c>
      <c r="IC1867" s="19">
        <v>95</v>
      </c>
    </row>
    <row r="1868">
      <c r="A1868" s="2" t="s">
        <v>6810</v>
      </c>
      <c r="B1868" s="2" t="s">
        <v>871</v>
      </c>
      <c r="C1868" s="2" t="s">
        <v>403</v>
      </c>
      <c r="D1868" s="2" t="s">
        <v>361</v>
      </c>
      <c r="E1868" s="2" t="s">
        <v>872</v>
      </c>
      <c r="F1868" s="2" t="s">
        <v>6790</v>
      </c>
      <c r="G1868" s="2" t="s">
        <v>6791</v>
      </c>
      <c r="H1868" s="2" t="s">
        <v>6792</v>
      </c>
      <c r="I1868" s="2" t="s">
        <v>6793</v>
      </c>
      <c r="J1868" s="2" t="s">
        <v>394</v>
      </c>
      <c r="K1868" s="2" t="s">
        <v>600</v>
      </c>
      <c r="L1868" s="3">
        <v>50.53</v>
      </c>
      <c r="M1868" s="3">
        <v>53.06</v>
      </c>
      <c r="N1868" s="3">
        <v>89.99</v>
      </c>
      <c r="O1868" s="2" t="s">
        <v>232</v>
      </c>
      <c r="P1868" s="2" t="s">
        <v>878</v>
      </c>
      <c r="Q1868" s="2" t="s">
        <v>234</v>
      </c>
      <c r="R1868" s="2" t="s">
        <v>235</v>
      </c>
      <c r="S1868" s="2" t="s">
        <v>235</v>
      </c>
      <c r="T1868" s="2" t="s">
        <v>501</v>
      </c>
      <c r="U1868" s="2" t="s">
        <v>742</v>
      </c>
      <c r="V1868" s="2" t="s">
        <v>420</v>
      </c>
      <c r="W1868" s="2" t="s">
        <v>682</v>
      </c>
      <c r="X1868" s="2" t="s">
        <v>235</v>
      </c>
      <c r="Y1868" s="2" t="s">
        <v>235</v>
      </c>
      <c r="Z1868" s="4"/>
      <c r="AA1868" s="4">
        <f>=ROUNDDOWN({0},0)</f>
      </c>
      <c r="AB1868" s="5"/>
      <c r="AC1868" s="2" t="s">
        <v>181</v>
      </c>
      <c r="AD1868" s="4">
        <v>68</v>
      </c>
      <c r="AE1868" s="4">
        <v>68</v>
      </c>
      <c r="AF1868" s="6">
        <v>78</v>
      </c>
      <c r="AG1868" s="6"/>
      <c r="AH1868" s="7"/>
      <c r="AI1868" s="4"/>
      <c r="AJ1868" s="4">
        <f>=ROUNDDOWN({0},0)</f>
      </c>
      <c r="AK1868" s="5"/>
      <c r="AL1868" s="2" t="s">
        <v>235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235</v>
      </c>
      <c r="AW1868" s="8" t="s">
        <v>235</v>
      </c>
      <c r="AX1868" s="4" t="s">
        <v>235</v>
      </c>
      <c r="AY1868" s="8" t="s">
        <v>235</v>
      </c>
      <c r="AZ1868" s="7" t="s">
        <v>235</v>
      </c>
      <c r="BA1868" s="7" t="s">
        <v>235</v>
      </c>
      <c r="BB1868" s="7" t="s">
        <v>235</v>
      </c>
      <c r="BC1868" s="4" t="s">
        <v>235</v>
      </c>
      <c r="BD1868" s="8" t="s">
        <v>235</v>
      </c>
      <c r="BE1868" s="4" t="s">
        <v>235</v>
      </c>
      <c r="BF1868" s="8" t="s">
        <v>235</v>
      </c>
      <c r="BG1868" s="7" t="s">
        <v>235</v>
      </c>
      <c r="BH1868" s="7" t="s">
        <v>235</v>
      </c>
      <c r="BI1868" s="7"/>
      <c r="BJ1868" s="4"/>
      <c r="BK1868" s="8"/>
      <c r="BL1868" s="2" t="s">
        <v>235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330</v>
      </c>
      <c r="BV1868" s="2" t="s">
        <v>235</v>
      </c>
      <c r="BW1868" s="2" t="s">
        <v>235</v>
      </c>
      <c r="BX1868" s="2" t="s">
        <v>330</v>
      </c>
      <c r="BY1868" s="2" t="s">
        <v>331</v>
      </c>
      <c r="BZ1868" s="2" t="s">
        <v>232</v>
      </c>
      <c r="CA1868" s="2" t="s">
        <v>235</v>
      </c>
      <c r="CB1868" s="2" t="s">
        <v>235</v>
      </c>
      <c r="CC1868" s="2" t="s">
        <v>248</v>
      </c>
      <c r="CD1868" s="2" t="s">
        <v>248</v>
      </c>
      <c r="CE1868" s="2" t="s">
        <v>235</v>
      </c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>
        <v>68</v>
      </c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>
        <v>68</v>
      </c>
      <c r="GO1868" s="4">
        <v>66</v>
      </c>
      <c r="GP1868" s="4">
        <v>66</v>
      </c>
      <c r="GQ1868" s="4">
        <v>64</v>
      </c>
      <c r="GR1868" s="4">
        <v>64</v>
      </c>
      <c r="GS1868" s="4">
        <v>63</v>
      </c>
      <c r="GT1868" s="4">
        <v>62</v>
      </c>
      <c r="GU1868" s="4">
        <v>62</v>
      </c>
      <c r="GV1868" s="4">
        <v>61</v>
      </c>
      <c r="GW1868" s="4">
        <v>59</v>
      </c>
      <c r="GX1868" s="4">
        <v>57</v>
      </c>
      <c r="GY1868" s="4">
        <v>56</v>
      </c>
      <c r="GZ1868" s="4">
        <v>54</v>
      </c>
      <c r="HA1868" s="4">
        <v>53</v>
      </c>
      <c r="HB1868" s="4">
        <v>49</v>
      </c>
      <c r="HC1868" s="4">
        <v>47</v>
      </c>
      <c r="HD1868" s="9"/>
      <c r="HE1868" s="9"/>
      <c r="HF1868" s="9"/>
      <c r="HG1868" s="9"/>
      <c r="HH1868" s="9"/>
      <c r="HI1868" s="9"/>
      <c r="HJ1868" s="9"/>
      <c r="HK1868" s="9"/>
      <c r="HL1868" s="9"/>
      <c r="HM1868" s="9"/>
      <c r="HN1868" s="19">
        <v>68</v>
      </c>
      <c r="HO1868" s="19">
        <v>66</v>
      </c>
      <c r="HP1868" s="19">
        <v>66</v>
      </c>
      <c r="HQ1868" s="9"/>
      <c r="HR1868" s="19">
        <v>64</v>
      </c>
      <c r="HS1868" s="19">
        <v>63</v>
      </c>
      <c r="HT1868" s="19">
        <v>62</v>
      </c>
      <c r="HU1868" s="19">
        <v>31</v>
      </c>
      <c r="HV1868" s="19">
        <v>30.5</v>
      </c>
      <c r="HW1868" s="19">
        <v>29.5</v>
      </c>
      <c r="HX1868" s="19">
        <v>28.5</v>
      </c>
      <c r="HY1868" s="19">
        <v>28</v>
      </c>
      <c r="HZ1868" s="19">
        <v>18</v>
      </c>
      <c r="IA1868" s="19">
        <v>17.7</v>
      </c>
      <c r="IB1868" s="19">
        <v>24.5</v>
      </c>
      <c r="IC1868" s="19">
        <v>23.5</v>
      </c>
    </row>
    <row r="1869">
      <c r="A1869" s="2" t="s">
        <v>6811</v>
      </c>
      <c r="B1869" s="2" t="s">
        <v>871</v>
      </c>
      <c r="C1869" s="2" t="s">
        <v>403</v>
      </c>
      <c r="D1869" s="2" t="s">
        <v>1452</v>
      </c>
      <c r="E1869" s="2" t="s">
        <v>1453</v>
      </c>
      <c r="F1869" s="2" t="s">
        <v>6790</v>
      </c>
      <c r="G1869" s="2" t="s">
        <v>6791</v>
      </c>
      <c r="H1869" s="2" t="s">
        <v>6792</v>
      </c>
      <c r="I1869" s="2" t="s">
        <v>6795</v>
      </c>
      <c r="J1869" s="2" t="s">
        <v>394</v>
      </c>
      <c r="K1869" s="2" t="s">
        <v>600</v>
      </c>
      <c r="L1869" s="3">
        <v>46.28</v>
      </c>
      <c r="M1869" s="3">
        <v>48.59</v>
      </c>
      <c r="N1869" s="3">
        <v>89</v>
      </c>
      <c r="O1869" s="2" t="s">
        <v>232</v>
      </c>
      <c r="P1869" s="2" t="s">
        <v>878</v>
      </c>
      <c r="Q1869" s="2" t="s">
        <v>234</v>
      </c>
      <c r="R1869" s="2" t="s">
        <v>235</v>
      </c>
      <c r="S1869" s="2" t="s">
        <v>235</v>
      </c>
      <c r="T1869" s="2" t="s">
        <v>501</v>
      </c>
      <c r="U1869" s="2" t="s">
        <v>614</v>
      </c>
      <c r="V1869" s="2" t="s">
        <v>420</v>
      </c>
      <c r="W1869" s="2" t="s">
        <v>682</v>
      </c>
      <c r="X1869" s="2" t="s">
        <v>235</v>
      </c>
      <c r="Y1869" s="2" t="s">
        <v>235</v>
      </c>
      <c r="Z1869" s="4"/>
      <c r="AA1869" s="4">
        <f>=ROUNDDOWN({0},0)</f>
      </c>
      <c r="AB1869" s="5"/>
      <c r="AC1869" s="2" t="s">
        <v>191</v>
      </c>
      <c r="AD1869" s="4">
        <v>45</v>
      </c>
      <c r="AE1869" s="4">
        <v>45</v>
      </c>
      <c r="AF1869" s="6">
        <v>78</v>
      </c>
      <c r="AG1869" s="6"/>
      <c r="AH1869" s="7"/>
      <c r="AI1869" s="4"/>
      <c r="AJ1869" s="4">
        <f>=ROUNDDOWN({0},0)</f>
      </c>
      <c r="AK1869" s="5"/>
      <c r="AL1869" s="2" t="s">
        <v>235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235</v>
      </c>
      <c r="AW1869" s="8" t="s">
        <v>235</v>
      </c>
      <c r="AX1869" s="4" t="s">
        <v>235</v>
      </c>
      <c r="AY1869" s="8" t="s">
        <v>235</v>
      </c>
      <c r="AZ1869" s="7" t="s">
        <v>235</v>
      </c>
      <c r="BA1869" s="7" t="s">
        <v>235</v>
      </c>
      <c r="BB1869" s="7" t="s">
        <v>235</v>
      </c>
      <c r="BC1869" s="4" t="s">
        <v>235</v>
      </c>
      <c r="BD1869" s="8" t="s">
        <v>235</v>
      </c>
      <c r="BE1869" s="4" t="s">
        <v>235</v>
      </c>
      <c r="BF1869" s="8" t="s">
        <v>235</v>
      </c>
      <c r="BG1869" s="7" t="s">
        <v>235</v>
      </c>
      <c r="BH1869" s="7" t="s">
        <v>235</v>
      </c>
      <c r="BI1869" s="7"/>
      <c r="BJ1869" s="4"/>
      <c r="BK1869" s="8"/>
      <c r="BL1869" s="2" t="s">
        <v>235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330</v>
      </c>
      <c r="BV1869" s="2" t="s">
        <v>235</v>
      </c>
      <c r="BW1869" s="2" t="s">
        <v>235</v>
      </c>
      <c r="BX1869" s="2" t="s">
        <v>330</v>
      </c>
      <c r="BY1869" s="2" t="s">
        <v>331</v>
      </c>
      <c r="BZ1869" s="2" t="s">
        <v>232</v>
      </c>
      <c r="CA1869" s="2" t="s">
        <v>235</v>
      </c>
      <c r="CB1869" s="2" t="s">
        <v>235</v>
      </c>
      <c r="CC1869" s="2" t="s">
        <v>248</v>
      </c>
      <c r="CD1869" s="2" t="s">
        <v>248</v>
      </c>
      <c r="CE1869" s="2" t="s">
        <v>235</v>
      </c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>
        <v>45</v>
      </c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>
        <v>45</v>
      </c>
      <c r="GQ1869" s="4">
        <v>44</v>
      </c>
      <c r="GR1869" s="4">
        <v>44</v>
      </c>
      <c r="GS1869" s="4">
        <v>43</v>
      </c>
      <c r="GT1869" s="4">
        <v>43</v>
      </c>
      <c r="GU1869" s="4">
        <v>43</v>
      </c>
      <c r="GV1869" s="4">
        <v>41</v>
      </c>
      <c r="GW1869" s="4">
        <v>40</v>
      </c>
      <c r="GX1869" s="4">
        <v>37</v>
      </c>
      <c r="GY1869" s="4">
        <v>36</v>
      </c>
      <c r="GZ1869" s="4">
        <v>33</v>
      </c>
      <c r="HA1869" s="4">
        <v>32</v>
      </c>
      <c r="HB1869" s="4">
        <v>30</v>
      </c>
      <c r="HC1869" s="4">
        <v>28</v>
      </c>
      <c r="HD1869" s="9"/>
      <c r="HE1869" s="9"/>
      <c r="HF1869" s="9"/>
      <c r="HG1869" s="9"/>
      <c r="HH1869" s="9"/>
      <c r="HI1869" s="9"/>
      <c r="HJ1869" s="9"/>
      <c r="HK1869" s="9"/>
      <c r="HL1869" s="9"/>
      <c r="HM1869" s="9"/>
      <c r="HN1869" s="9"/>
      <c r="HO1869" s="9"/>
      <c r="HP1869" s="20">
        <v>0</v>
      </c>
      <c r="HQ1869" s="9"/>
      <c r="HR1869" s="19">
        <v>44</v>
      </c>
      <c r="HS1869" s="19">
        <v>43</v>
      </c>
      <c r="HT1869" s="19">
        <v>21.5</v>
      </c>
      <c r="HU1869" s="19">
        <v>21.5</v>
      </c>
      <c r="HV1869" s="19">
        <v>20.5</v>
      </c>
      <c r="HW1869" s="19">
        <v>20</v>
      </c>
      <c r="HX1869" s="19">
        <v>18.5</v>
      </c>
      <c r="HY1869" s="19">
        <v>18</v>
      </c>
      <c r="HZ1869" s="19">
        <v>16.5</v>
      </c>
      <c r="IA1869" s="19">
        <v>16</v>
      </c>
      <c r="IB1869" s="19">
        <v>15</v>
      </c>
      <c r="IC1869" s="19">
        <v>9.3</v>
      </c>
    </row>
    <row r="1870">
      <c r="A1870" s="2" t="s">
        <v>6812</v>
      </c>
      <c r="B1870" s="2" t="s">
        <v>871</v>
      </c>
      <c r="C1870" s="2" t="s">
        <v>403</v>
      </c>
      <c r="D1870" s="2" t="s">
        <v>361</v>
      </c>
      <c r="E1870" s="2" t="s">
        <v>872</v>
      </c>
      <c r="F1870" s="2" t="s">
        <v>6790</v>
      </c>
      <c r="G1870" s="2" t="s">
        <v>6791</v>
      </c>
      <c r="H1870" s="2" t="s">
        <v>6792</v>
      </c>
      <c r="I1870" s="2" t="s">
        <v>4925</v>
      </c>
      <c r="J1870" s="2" t="s">
        <v>250</v>
      </c>
      <c r="K1870" s="2" t="s">
        <v>600</v>
      </c>
      <c r="L1870" s="3">
        <v>55.59</v>
      </c>
      <c r="M1870" s="3">
        <v>58.37</v>
      </c>
      <c r="N1870" s="3">
        <v>99.99</v>
      </c>
      <c r="O1870" s="2" t="s">
        <v>232</v>
      </c>
      <c r="P1870" s="2" t="s">
        <v>878</v>
      </c>
      <c r="Q1870" s="2" t="s">
        <v>234</v>
      </c>
      <c r="R1870" s="2" t="s">
        <v>235</v>
      </c>
      <c r="S1870" s="2" t="s">
        <v>235</v>
      </c>
      <c r="T1870" s="2" t="s">
        <v>501</v>
      </c>
      <c r="U1870" s="2" t="s">
        <v>3619</v>
      </c>
      <c r="V1870" s="2" t="s">
        <v>420</v>
      </c>
      <c r="W1870" s="2" t="s">
        <v>682</v>
      </c>
      <c r="X1870" s="2" t="s">
        <v>235</v>
      </c>
      <c r="Y1870" s="2" t="s">
        <v>235</v>
      </c>
      <c r="Z1870" s="4"/>
      <c r="AA1870" s="4">
        <f>=ROUNDDOWN({0},0)</f>
      </c>
      <c r="AB1870" s="5"/>
      <c r="AC1870" s="2" t="s">
        <v>181</v>
      </c>
      <c r="AD1870" s="4">
        <v>113</v>
      </c>
      <c r="AE1870" s="4">
        <v>113</v>
      </c>
      <c r="AF1870" s="6">
        <v>78</v>
      </c>
      <c r="AG1870" s="6"/>
      <c r="AH1870" s="7"/>
      <c r="AI1870" s="4"/>
      <c r="AJ1870" s="4">
        <f>=ROUNDDOWN({0},0)</f>
      </c>
      <c r="AK1870" s="5"/>
      <c r="AL1870" s="2" t="s">
        <v>235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235</v>
      </c>
      <c r="AW1870" s="8" t="s">
        <v>235</v>
      </c>
      <c r="AX1870" s="4" t="s">
        <v>235</v>
      </c>
      <c r="AY1870" s="8" t="s">
        <v>235</v>
      </c>
      <c r="AZ1870" s="7" t="s">
        <v>235</v>
      </c>
      <c r="BA1870" s="7" t="s">
        <v>235</v>
      </c>
      <c r="BB1870" s="7" t="s">
        <v>235</v>
      </c>
      <c r="BC1870" s="4" t="s">
        <v>235</v>
      </c>
      <c r="BD1870" s="8" t="s">
        <v>235</v>
      </c>
      <c r="BE1870" s="4" t="s">
        <v>235</v>
      </c>
      <c r="BF1870" s="8" t="s">
        <v>235</v>
      </c>
      <c r="BG1870" s="7" t="s">
        <v>235</v>
      </c>
      <c r="BH1870" s="7" t="s">
        <v>235</v>
      </c>
      <c r="BI1870" s="7"/>
      <c r="BJ1870" s="4"/>
      <c r="BK1870" s="8"/>
      <c r="BL1870" s="2" t="s">
        <v>235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330</v>
      </c>
      <c r="BV1870" s="2" t="s">
        <v>235</v>
      </c>
      <c r="BW1870" s="2" t="s">
        <v>235</v>
      </c>
      <c r="BX1870" s="2" t="s">
        <v>330</v>
      </c>
      <c r="BY1870" s="2" t="s">
        <v>331</v>
      </c>
      <c r="BZ1870" s="2" t="s">
        <v>232</v>
      </c>
      <c r="CA1870" s="2" t="s">
        <v>235</v>
      </c>
      <c r="CB1870" s="2" t="s">
        <v>235</v>
      </c>
      <c r="CC1870" s="2" t="s">
        <v>248</v>
      </c>
      <c r="CD1870" s="2" t="s">
        <v>248</v>
      </c>
      <c r="CE1870" s="2" t="s">
        <v>235</v>
      </c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>
        <v>113</v>
      </c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>
        <v>113</v>
      </c>
      <c r="GO1870" s="4">
        <v>110</v>
      </c>
      <c r="GP1870" s="4">
        <v>108</v>
      </c>
      <c r="GQ1870" s="4">
        <v>107</v>
      </c>
      <c r="GR1870" s="4">
        <v>106</v>
      </c>
      <c r="GS1870" s="4">
        <v>103</v>
      </c>
      <c r="GT1870" s="4">
        <v>102</v>
      </c>
      <c r="GU1870" s="4">
        <v>100</v>
      </c>
      <c r="GV1870" s="4">
        <v>97</v>
      </c>
      <c r="GW1870" s="4">
        <v>91</v>
      </c>
      <c r="GX1870" s="4">
        <v>88</v>
      </c>
      <c r="GY1870" s="4">
        <v>81</v>
      </c>
      <c r="GZ1870" s="4">
        <v>77</v>
      </c>
      <c r="HA1870" s="4">
        <v>72</v>
      </c>
      <c r="HB1870" s="4">
        <v>68</v>
      </c>
      <c r="HC1870" s="4">
        <v>64</v>
      </c>
      <c r="HD1870" s="9"/>
      <c r="HE1870" s="9"/>
      <c r="HF1870" s="9"/>
      <c r="HG1870" s="9"/>
      <c r="HH1870" s="9"/>
      <c r="HI1870" s="9"/>
      <c r="HJ1870" s="9"/>
      <c r="HK1870" s="9"/>
      <c r="HL1870" s="9"/>
      <c r="HM1870" s="9"/>
      <c r="HN1870" s="19">
        <v>56.5</v>
      </c>
      <c r="HO1870" s="19">
        <v>55</v>
      </c>
      <c r="HP1870" s="19">
        <v>54</v>
      </c>
      <c r="HQ1870" s="19">
        <v>53.5</v>
      </c>
      <c r="HR1870" s="19">
        <v>53</v>
      </c>
      <c r="HS1870" s="19">
        <v>34.3</v>
      </c>
      <c r="HT1870" s="19">
        <v>25.5</v>
      </c>
      <c r="HU1870" s="19">
        <v>20</v>
      </c>
      <c r="HV1870" s="19">
        <v>19.4</v>
      </c>
      <c r="HW1870" s="19">
        <v>18.2</v>
      </c>
      <c r="HX1870" s="19">
        <v>17.6</v>
      </c>
      <c r="HY1870" s="19">
        <v>20.3</v>
      </c>
      <c r="HZ1870" s="9"/>
      <c r="IA1870" s="19">
        <v>18</v>
      </c>
      <c r="IB1870" s="19">
        <v>17</v>
      </c>
      <c r="IC1870" s="19">
        <v>16</v>
      </c>
    </row>
    <row r="1871">
      <c r="A1871" s="2" t="s">
        <v>6813</v>
      </c>
      <c r="B1871" s="2" t="s">
        <v>871</v>
      </c>
      <c r="C1871" s="2" t="s">
        <v>403</v>
      </c>
      <c r="D1871" s="2" t="s">
        <v>1452</v>
      </c>
      <c r="E1871" s="2" t="s">
        <v>1453</v>
      </c>
      <c r="F1871" s="2" t="s">
        <v>6790</v>
      </c>
      <c r="G1871" s="2" t="s">
        <v>6791</v>
      </c>
      <c r="H1871" s="2" t="s">
        <v>6792</v>
      </c>
      <c r="I1871" s="2" t="s">
        <v>6798</v>
      </c>
      <c r="J1871" s="2" t="s">
        <v>250</v>
      </c>
      <c r="K1871" s="2" t="s">
        <v>600</v>
      </c>
      <c r="L1871" s="3">
        <v>54.45</v>
      </c>
      <c r="M1871" s="3">
        <v>57.17</v>
      </c>
      <c r="N1871" s="3">
        <v>99</v>
      </c>
      <c r="O1871" s="2" t="s">
        <v>232</v>
      </c>
      <c r="P1871" s="2" t="s">
        <v>878</v>
      </c>
      <c r="Q1871" s="2" t="s">
        <v>234</v>
      </c>
      <c r="R1871" s="2" t="s">
        <v>235</v>
      </c>
      <c r="S1871" s="2" t="s">
        <v>235</v>
      </c>
      <c r="T1871" s="2" t="s">
        <v>501</v>
      </c>
      <c r="U1871" s="2" t="s">
        <v>785</v>
      </c>
      <c r="V1871" s="2" t="s">
        <v>420</v>
      </c>
      <c r="W1871" s="2" t="s">
        <v>682</v>
      </c>
      <c r="X1871" s="2" t="s">
        <v>235</v>
      </c>
      <c r="Y1871" s="2" t="s">
        <v>235</v>
      </c>
      <c r="Z1871" s="4"/>
      <c r="AA1871" s="4">
        <f>=ROUNDDOWN({0},0)</f>
      </c>
      <c r="AB1871" s="5"/>
      <c r="AC1871" s="2" t="s">
        <v>191</v>
      </c>
      <c r="AD1871" s="4">
        <v>71</v>
      </c>
      <c r="AE1871" s="4">
        <v>71</v>
      </c>
      <c r="AF1871" s="6">
        <v>78</v>
      </c>
      <c r="AG1871" s="6"/>
      <c r="AH1871" s="7"/>
      <c r="AI1871" s="4"/>
      <c r="AJ1871" s="4">
        <f>=ROUNDDOWN({0},0)</f>
      </c>
      <c r="AK1871" s="5"/>
      <c r="AL1871" s="2" t="s">
        <v>235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235</v>
      </c>
      <c r="AW1871" s="8" t="s">
        <v>235</v>
      </c>
      <c r="AX1871" s="4" t="s">
        <v>235</v>
      </c>
      <c r="AY1871" s="8" t="s">
        <v>235</v>
      </c>
      <c r="AZ1871" s="7" t="s">
        <v>235</v>
      </c>
      <c r="BA1871" s="7" t="s">
        <v>235</v>
      </c>
      <c r="BB1871" s="7" t="s">
        <v>235</v>
      </c>
      <c r="BC1871" s="4" t="s">
        <v>235</v>
      </c>
      <c r="BD1871" s="8" t="s">
        <v>235</v>
      </c>
      <c r="BE1871" s="4" t="s">
        <v>235</v>
      </c>
      <c r="BF1871" s="8" t="s">
        <v>235</v>
      </c>
      <c r="BG1871" s="7" t="s">
        <v>235</v>
      </c>
      <c r="BH1871" s="7" t="s">
        <v>235</v>
      </c>
      <c r="BI1871" s="7"/>
      <c r="BJ1871" s="4"/>
      <c r="BK1871" s="8"/>
      <c r="BL1871" s="2" t="s">
        <v>235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330</v>
      </c>
      <c r="BV1871" s="2" t="s">
        <v>235</v>
      </c>
      <c r="BW1871" s="2" t="s">
        <v>235</v>
      </c>
      <c r="BX1871" s="2" t="s">
        <v>330</v>
      </c>
      <c r="BY1871" s="2" t="s">
        <v>331</v>
      </c>
      <c r="BZ1871" s="2" t="s">
        <v>232</v>
      </c>
      <c r="CA1871" s="2" t="s">
        <v>235</v>
      </c>
      <c r="CB1871" s="2" t="s">
        <v>235</v>
      </c>
      <c r="CC1871" s="2" t="s">
        <v>248</v>
      </c>
      <c r="CD1871" s="2" t="s">
        <v>248</v>
      </c>
      <c r="CE1871" s="2" t="s">
        <v>235</v>
      </c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>
        <v>71</v>
      </c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>
        <v>71</v>
      </c>
      <c r="GQ1871" s="4">
        <v>71</v>
      </c>
      <c r="GR1871" s="4">
        <v>70</v>
      </c>
      <c r="GS1871" s="4">
        <v>69</v>
      </c>
      <c r="GT1871" s="4">
        <v>69</v>
      </c>
      <c r="GU1871" s="4">
        <v>68</v>
      </c>
      <c r="GV1871" s="4">
        <v>67</v>
      </c>
      <c r="GW1871" s="4">
        <v>65</v>
      </c>
      <c r="GX1871" s="4">
        <v>63</v>
      </c>
      <c r="GY1871" s="4">
        <v>61</v>
      </c>
      <c r="GZ1871" s="4">
        <v>60</v>
      </c>
      <c r="HA1871" s="4">
        <v>59</v>
      </c>
      <c r="HB1871" s="4">
        <v>57</v>
      </c>
      <c r="HC1871" s="4">
        <v>54</v>
      </c>
      <c r="HD1871" s="9"/>
      <c r="HE1871" s="9"/>
      <c r="HF1871" s="9"/>
      <c r="HG1871" s="9"/>
      <c r="HH1871" s="9"/>
      <c r="HI1871" s="9"/>
      <c r="HJ1871" s="9"/>
      <c r="HK1871" s="9"/>
      <c r="HL1871" s="9"/>
      <c r="HM1871" s="9"/>
      <c r="HN1871" s="9"/>
      <c r="HO1871" s="9"/>
      <c r="HP1871" s="9"/>
      <c r="HQ1871" s="19">
        <v>71</v>
      </c>
      <c r="HR1871" s="19">
        <v>70</v>
      </c>
      <c r="HS1871" s="19">
        <v>69</v>
      </c>
      <c r="HT1871" s="19">
        <v>34.5</v>
      </c>
      <c r="HU1871" s="19">
        <v>34</v>
      </c>
      <c r="HV1871" s="19">
        <v>33.5</v>
      </c>
      <c r="HW1871" s="19">
        <v>32.5</v>
      </c>
      <c r="HX1871" s="19">
        <v>31.5</v>
      </c>
      <c r="HY1871" s="19">
        <v>30.5</v>
      </c>
      <c r="HZ1871" s="19">
        <v>30</v>
      </c>
      <c r="IA1871" s="19">
        <v>19.7</v>
      </c>
      <c r="IB1871" s="19">
        <v>19</v>
      </c>
      <c r="IC1871" s="19">
        <v>18</v>
      </c>
    </row>
    <row r="1872">
      <c r="A1872" s="2" t="s">
        <v>6814</v>
      </c>
      <c r="B1872" s="2" t="s">
        <v>871</v>
      </c>
      <c r="C1872" s="2" t="s">
        <v>403</v>
      </c>
      <c r="D1872" s="2" t="s">
        <v>361</v>
      </c>
      <c r="E1872" s="2" t="s">
        <v>872</v>
      </c>
      <c r="F1872" s="2" t="s">
        <v>6790</v>
      </c>
      <c r="G1872" s="2" t="s">
        <v>6791</v>
      </c>
      <c r="H1872" s="2" t="s">
        <v>6792</v>
      </c>
      <c r="I1872" s="2" t="s">
        <v>4925</v>
      </c>
      <c r="J1872" s="2" t="s">
        <v>261</v>
      </c>
      <c r="K1872" s="2" t="s">
        <v>600</v>
      </c>
      <c r="L1872" s="3">
        <v>60.65</v>
      </c>
      <c r="M1872" s="3">
        <v>63.68</v>
      </c>
      <c r="N1872" s="3">
        <v>109.99</v>
      </c>
      <c r="O1872" s="2" t="s">
        <v>232</v>
      </c>
      <c r="P1872" s="2" t="s">
        <v>878</v>
      </c>
      <c r="Q1872" s="2" t="s">
        <v>234</v>
      </c>
      <c r="R1872" s="2" t="s">
        <v>235</v>
      </c>
      <c r="S1872" s="2" t="s">
        <v>235</v>
      </c>
      <c r="T1872" s="2" t="s">
        <v>501</v>
      </c>
      <c r="U1872" s="2" t="s">
        <v>3619</v>
      </c>
      <c r="V1872" s="2" t="s">
        <v>420</v>
      </c>
      <c r="W1872" s="2" t="s">
        <v>682</v>
      </c>
      <c r="X1872" s="2" t="s">
        <v>235</v>
      </c>
      <c r="Y1872" s="2" t="s">
        <v>235</v>
      </c>
      <c r="Z1872" s="4"/>
      <c r="AA1872" s="4">
        <f>=ROUNDDOWN({0},0)</f>
      </c>
      <c r="AB1872" s="5"/>
      <c r="AC1872" s="2" t="s">
        <v>181</v>
      </c>
      <c r="AD1872" s="4">
        <v>476</v>
      </c>
      <c r="AE1872" s="4">
        <v>476</v>
      </c>
      <c r="AF1872" s="6">
        <v>78</v>
      </c>
      <c r="AG1872" s="6"/>
      <c r="AH1872" s="7"/>
      <c r="AI1872" s="4"/>
      <c r="AJ1872" s="4">
        <f>=ROUNDDOWN({0},0)</f>
      </c>
      <c r="AK1872" s="5"/>
      <c r="AL1872" s="2" t="s">
        <v>235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235</v>
      </c>
      <c r="AW1872" s="8" t="s">
        <v>235</v>
      </c>
      <c r="AX1872" s="4" t="s">
        <v>235</v>
      </c>
      <c r="AY1872" s="8" t="s">
        <v>235</v>
      </c>
      <c r="AZ1872" s="7" t="s">
        <v>235</v>
      </c>
      <c r="BA1872" s="7" t="s">
        <v>235</v>
      </c>
      <c r="BB1872" s="7" t="s">
        <v>235</v>
      </c>
      <c r="BC1872" s="4" t="s">
        <v>235</v>
      </c>
      <c r="BD1872" s="8" t="s">
        <v>235</v>
      </c>
      <c r="BE1872" s="4" t="s">
        <v>235</v>
      </c>
      <c r="BF1872" s="8" t="s">
        <v>235</v>
      </c>
      <c r="BG1872" s="7" t="s">
        <v>235</v>
      </c>
      <c r="BH1872" s="7" t="s">
        <v>235</v>
      </c>
      <c r="BI1872" s="7"/>
      <c r="BJ1872" s="4"/>
      <c r="BK1872" s="8"/>
      <c r="BL1872" s="2" t="s">
        <v>235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330</v>
      </c>
      <c r="BV1872" s="2" t="s">
        <v>235</v>
      </c>
      <c r="BW1872" s="2" t="s">
        <v>235</v>
      </c>
      <c r="BX1872" s="2" t="s">
        <v>330</v>
      </c>
      <c r="BY1872" s="2" t="s">
        <v>331</v>
      </c>
      <c r="BZ1872" s="2" t="s">
        <v>232</v>
      </c>
      <c r="CA1872" s="2" t="s">
        <v>235</v>
      </c>
      <c r="CB1872" s="2" t="s">
        <v>235</v>
      </c>
      <c r="CC1872" s="2" t="s">
        <v>248</v>
      </c>
      <c r="CD1872" s="2" t="s">
        <v>248</v>
      </c>
      <c r="CE1872" s="2" t="s">
        <v>235</v>
      </c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>
        <v>476</v>
      </c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>
        <v>476</v>
      </c>
      <c r="GO1872" s="4">
        <v>458</v>
      </c>
      <c r="GP1872" s="4">
        <v>450</v>
      </c>
      <c r="GQ1872" s="4">
        <v>440</v>
      </c>
      <c r="GR1872" s="4">
        <v>432</v>
      </c>
      <c r="GS1872" s="4">
        <v>417</v>
      </c>
      <c r="GT1872" s="4">
        <v>407</v>
      </c>
      <c r="GU1872" s="4">
        <v>390</v>
      </c>
      <c r="GV1872" s="4">
        <v>372</v>
      </c>
      <c r="GW1872" s="4">
        <v>343</v>
      </c>
      <c r="GX1872" s="4">
        <v>323</v>
      </c>
      <c r="GY1872" s="4">
        <v>308</v>
      </c>
      <c r="GZ1872" s="4">
        <v>295</v>
      </c>
      <c r="HA1872" s="4">
        <v>278</v>
      </c>
      <c r="HB1872" s="4">
        <v>248</v>
      </c>
      <c r="HC1872" s="4">
        <v>229</v>
      </c>
      <c r="HD1872" s="9"/>
      <c r="HE1872" s="9"/>
      <c r="HF1872" s="9"/>
      <c r="HG1872" s="9"/>
      <c r="HH1872" s="9"/>
      <c r="HI1872" s="9"/>
      <c r="HJ1872" s="9"/>
      <c r="HK1872" s="9"/>
      <c r="HL1872" s="9"/>
      <c r="HM1872" s="9"/>
      <c r="HN1872" s="19">
        <v>43.3</v>
      </c>
      <c r="HO1872" s="19">
        <v>45.8</v>
      </c>
      <c r="HP1872" s="19">
        <v>40.9</v>
      </c>
      <c r="HQ1872" s="19">
        <v>36.7</v>
      </c>
      <c r="HR1872" s="19">
        <v>28.8</v>
      </c>
      <c r="HS1872" s="19">
        <v>23.2</v>
      </c>
      <c r="HT1872" s="19">
        <v>19.4</v>
      </c>
      <c r="HU1872" s="19">
        <v>19.5</v>
      </c>
      <c r="HV1872" s="19">
        <v>19.6</v>
      </c>
      <c r="HW1872" s="19">
        <v>21.4</v>
      </c>
      <c r="HX1872" s="19">
        <v>17</v>
      </c>
      <c r="HY1872" s="19">
        <v>15.4</v>
      </c>
      <c r="HZ1872" s="19">
        <v>12.8</v>
      </c>
      <c r="IA1872" s="19">
        <v>12.1</v>
      </c>
      <c r="IB1872" s="19">
        <v>13.1</v>
      </c>
      <c r="IC1872" s="19">
        <v>12.7</v>
      </c>
    </row>
    <row r="1873">
      <c r="A1873" s="2" t="s">
        <v>6815</v>
      </c>
      <c r="B1873" s="2" t="s">
        <v>871</v>
      </c>
      <c r="C1873" s="2" t="s">
        <v>403</v>
      </c>
      <c r="D1873" s="2" t="s">
        <v>1452</v>
      </c>
      <c r="E1873" s="2" t="s">
        <v>1453</v>
      </c>
      <c r="F1873" s="2" t="s">
        <v>6790</v>
      </c>
      <c r="G1873" s="2" t="s">
        <v>6791</v>
      </c>
      <c r="H1873" s="2" t="s">
        <v>6792</v>
      </c>
      <c r="I1873" s="2" t="s">
        <v>6798</v>
      </c>
      <c r="J1873" s="2" t="s">
        <v>261</v>
      </c>
      <c r="K1873" s="2" t="s">
        <v>600</v>
      </c>
      <c r="L1873" s="3">
        <v>59.95</v>
      </c>
      <c r="M1873" s="3">
        <v>62.95</v>
      </c>
      <c r="N1873" s="3">
        <v>109</v>
      </c>
      <c r="O1873" s="2" t="s">
        <v>232</v>
      </c>
      <c r="P1873" s="2" t="s">
        <v>878</v>
      </c>
      <c r="Q1873" s="2" t="s">
        <v>234</v>
      </c>
      <c r="R1873" s="2" t="s">
        <v>235</v>
      </c>
      <c r="S1873" s="2" t="s">
        <v>235</v>
      </c>
      <c r="T1873" s="2" t="s">
        <v>501</v>
      </c>
      <c r="U1873" s="2" t="s">
        <v>785</v>
      </c>
      <c r="V1873" s="2" t="s">
        <v>420</v>
      </c>
      <c r="W1873" s="2" t="s">
        <v>682</v>
      </c>
      <c r="X1873" s="2" t="s">
        <v>235</v>
      </c>
      <c r="Y1873" s="2" t="s">
        <v>235</v>
      </c>
      <c r="Z1873" s="4"/>
      <c r="AA1873" s="4">
        <f>=ROUNDDOWN({0},0)</f>
      </c>
      <c r="AB1873" s="5"/>
      <c r="AC1873" s="2" t="s">
        <v>191</v>
      </c>
      <c r="AD1873" s="4">
        <v>249</v>
      </c>
      <c r="AE1873" s="4">
        <v>249</v>
      </c>
      <c r="AF1873" s="6">
        <v>78</v>
      </c>
      <c r="AG1873" s="6"/>
      <c r="AH1873" s="7"/>
      <c r="AI1873" s="4"/>
      <c r="AJ1873" s="4">
        <f>=ROUNDDOWN({0},0)</f>
      </c>
      <c r="AK1873" s="5"/>
      <c r="AL1873" s="2" t="s">
        <v>235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235</v>
      </c>
      <c r="AW1873" s="8" t="s">
        <v>235</v>
      </c>
      <c r="AX1873" s="4" t="s">
        <v>235</v>
      </c>
      <c r="AY1873" s="8" t="s">
        <v>235</v>
      </c>
      <c r="AZ1873" s="7" t="s">
        <v>235</v>
      </c>
      <c r="BA1873" s="7" t="s">
        <v>235</v>
      </c>
      <c r="BB1873" s="7" t="s">
        <v>235</v>
      </c>
      <c r="BC1873" s="4" t="s">
        <v>235</v>
      </c>
      <c r="BD1873" s="8" t="s">
        <v>235</v>
      </c>
      <c r="BE1873" s="4" t="s">
        <v>235</v>
      </c>
      <c r="BF1873" s="8" t="s">
        <v>235</v>
      </c>
      <c r="BG1873" s="7" t="s">
        <v>235</v>
      </c>
      <c r="BH1873" s="7" t="s">
        <v>235</v>
      </c>
      <c r="BI1873" s="7"/>
      <c r="BJ1873" s="4"/>
      <c r="BK1873" s="8"/>
      <c r="BL1873" s="2" t="s">
        <v>235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330</v>
      </c>
      <c r="BV1873" s="2" t="s">
        <v>235</v>
      </c>
      <c r="BW1873" s="2" t="s">
        <v>235</v>
      </c>
      <c r="BX1873" s="2" t="s">
        <v>330</v>
      </c>
      <c r="BY1873" s="2" t="s">
        <v>331</v>
      </c>
      <c r="BZ1873" s="2" t="s">
        <v>232</v>
      </c>
      <c r="CA1873" s="2" t="s">
        <v>235</v>
      </c>
      <c r="CB1873" s="2" t="s">
        <v>235</v>
      </c>
      <c r="CC1873" s="2" t="s">
        <v>248</v>
      </c>
      <c r="CD1873" s="2" t="s">
        <v>248</v>
      </c>
      <c r="CE1873" s="2" t="s">
        <v>235</v>
      </c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>
        <v>249</v>
      </c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>
        <v>249</v>
      </c>
      <c r="GQ1873" s="4">
        <v>239</v>
      </c>
      <c r="GR1873" s="4">
        <v>235</v>
      </c>
      <c r="GS1873" s="4">
        <v>228</v>
      </c>
      <c r="GT1873" s="4">
        <v>223</v>
      </c>
      <c r="GU1873" s="4">
        <v>218</v>
      </c>
      <c r="GV1873" s="4">
        <v>213</v>
      </c>
      <c r="GW1873" s="4">
        <v>206</v>
      </c>
      <c r="GX1873" s="4">
        <v>198</v>
      </c>
      <c r="GY1873" s="4">
        <v>192</v>
      </c>
      <c r="GZ1873" s="4">
        <v>180</v>
      </c>
      <c r="HA1873" s="4">
        <v>172</v>
      </c>
      <c r="HB1873" s="4">
        <v>162</v>
      </c>
      <c r="HC1873" s="4">
        <v>150</v>
      </c>
      <c r="HD1873" s="9"/>
      <c r="HE1873" s="9"/>
      <c r="HF1873" s="9"/>
      <c r="HG1873" s="9"/>
      <c r="HH1873" s="9"/>
      <c r="HI1873" s="9"/>
      <c r="HJ1873" s="9"/>
      <c r="HK1873" s="9"/>
      <c r="HL1873" s="9"/>
      <c r="HM1873" s="9"/>
      <c r="HN1873" s="9"/>
      <c r="HO1873" s="9"/>
      <c r="HP1873" s="19">
        <v>41.5</v>
      </c>
      <c r="HQ1873" s="19">
        <v>47.8</v>
      </c>
      <c r="HR1873" s="19">
        <v>39.2</v>
      </c>
      <c r="HS1873" s="19">
        <v>38</v>
      </c>
      <c r="HT1873" s="19">
        <v>37.2</v>
      </c>
      <c r="HU1873" s="19">
        <v>36.3</v>
      </c>
      <c r="HV1873" s="19">
        <v>26.6</v>
      </c>
      <c r="HW1873" s="19">
        <v>25.8</v>
      </c>
      <c r="HX1873" s="19">
        <v>22</v>
      </c>
      <c r="HY1873" s="19">
        <v>19.2</v>
      </c>
      <c r="HZ1873" s="19">
        <v>16.4</v>
      </c>
      <c r="IA1873" s="19">
        <v>14.3</v>
      </c>
      <c r="IB1873" s="19">
        <v>14.7</v>
      </c>
      <c r="IC1873" s="19">
        <v>12.5</v>
      </c>
    </row>
    <row r="1874">
      <c r="A1874" s="2" t="s">
        <v>6816</v>
      </c>
      <c r="B1874" s="2" t="s">
        <v>871</v>
      </c>
      <c r="C1874" s="2" t="s">
        <v>403</v>
      </c>
      <c r="D1874" s="2" t="s">
        <v>361</v>
      </c>
      <c r="E1874" s="2" t="s">
        <v>872</v>
      </c>
      <c r="F1874" s="2" t="s">
        <v>6790</v>
      </c>
      <c r="G1874" s="2" t="s">
        <v>6791</v>
      </c>
      <c r="H1874" s="2" t="s">
        <v>6792</v>
      </c>
      <c r="I1874" s="2" t="s">
        <v>4925</v>
      </c>
      <c r="J1874" s="2" t="s">
        <v>270</v>
      </c>
      <c r="K1874" s="2" t="s">
        <v>600</v>
      </c>
      <c r="L1874" s="3">
        <v>65.7</v>
      </c>
      <c r="M1874" s="3">
        <v>68.98</v>
      </c>
      <c r="N1874" s="3">
        <v>119.99</v>
      </c>
      <c r="O1874" s="2" t="s">
        <v>232</v>
      </c>
      <c r="P1874" s="2" t="s">
        <v>878</v>
      </c>
      <c r="Q1874" s="2" t="s">
        <v>234</v>
      </c>
      <c r="R1874" s="2" t="s">
        <v>235</v>
      </c>
      <c r="S1874" s="2" t="s">
        <v>235</v>
      </c>
      <c r="T1874" s="2" t="s">
        <v>501</v>
      </c>
      <c r="U1874" s="2" t="s">
        <v>3619</v>
      </c>
      <c r="V1874" s="2" t="s">
        <v>420</v>
      </c>
      <c r="W1874" s="2" t="s">
        <v>682</v>
      </c>
      <c r="X1874" s="2" t="s">
        <v>235</v>
      </c>
      <c r="Y1874" s="2" t="s">
        <v>235</v>
      </c>
      <c r="Z1874" s="4"/>
      <c r="AA1874" s="4">
        <f>=ROUNDDOWN({0},0)</f>
      </c>
      <c r="AB1874" s="5"/>
      <c r="AC1874" s="2" t="s">
        <v>181</v>
      </c>
      <c r="AD1874" s="4">
        <v>367</v>
      </c>
      <c r="AE1874" s="4">
        <v>367</v>
      </c>
      <c r="AF1874" s="6">
        <v>78</v>
      </c>
      <c r="AG1874" s="6"/>
      <c r="AH1874" s="7"/>
      <c r="AI1874" s="4"/>
      <c r="AJ1874" s="4">
        <f>=ROUNDDOWN({0},0)</f>
      </c>
      <c r="AK1874" s="5"/>
      <c r="AL1874" s="2" t="s">
        <v>235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235</v>
      </c>
      <c r="AW1874" s="8" t="s">
        <v>235</v>
      </c>
      <c r="AX1874" s="4" t="s">
        <v>235</v>
      </c>
      <c r="AY1874" s="8" t="s">
        <v>235</v>
      </c>
      <c r="AZ1874" s="7" t="s">
        <v>235</v>
      </c>
      <c r="BA1874" s="7" t="s">
        <v>235</v>
      </c>
      <c r="BB1874" s="7" t="s">
        <v>235</v>
      </c>
      <c r="BC1874" s="4" t="s">
        <v>235</v>
      </c>
      <c r="BD1874" s="8" t="s">
        <v>235</v>
      </c>
      <c r="BE1874" s="4" t="s">
        <v>235</v>
      </c>
      <c r="BF1874" s="8" t="s">
        <v>235</v>
      </c>
      <c r="BG1874" s="7" t="s">
        <v>235</v>
      </c>
      <c r="BH1874" s="7" t="s">
        <v>235</v>
      </c>
      <c r="BI1874" s="7"/>
      <c r="BJ1874" s="4"/>
      <c r="BK1874" s="8"/>
      <c r="BL1874" s="2" t="s">
        <v>235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330</v>
      </c>
      <c r="BV1874" s="2" t="s">
        <v>235</v>
      </c>
      <c r="BW1874" s="2" t="s">
        <v>235</v>
      </c>
      <c r="BX1874" s="2" t="s">
        <v>330</v>
      </c>
      <c r="BY1874" s="2" t="s">
        <v>331</v>
      </c>
      <c r="BZ1874" s="2" t="s">
        <v>232</v>
      </c>
      <c r="CA1874" s="2" t="s">
        <v>235</v>
      </c>
      <c r="CB1874" s="2" t="s">
        <v>235</v>
      </c>
      <c r="CC1874" s="2" t="s">
        <v>248</v>
      </c>
      <c r="CD1874" s="2" t="s">
        <v>248</v>
      </c>
      <c r="CE1874" s="2" t="s">
        <v>235</v>
      </c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>
        <v>367</v>
      </c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>
        <v>367</v>
      </c>
      <c r="GO1874" s="4">
        <v>357</v>
      </c>
      <c r="GP1874" s="4">
        <v>352</v>
      </c>
      <c r="GQ1874" s="4">
        <v>344</v>
      </c>
      <c r="GR1874" s="4">
        <v>339</v>
      </c>
      <c r="GS1874" s="4">
        <v>329</v>
      </c>
      <c r="GT1874" s="4">
        <v>321</v>
      </c>
      <c r="GU1874" s="4">
        <v>312</v>
      </c>
      <c r="GV1874" s="4">
        <v>304</v>
      </c>
      <c r="GW1874" s="4">
        <v>283</v>
      </c>
      <c r="GX1874" s="4">
        <v>272</v>
      </c>
      <c r="GY1874" s="4">
        <v>264</v>
      </c>
      <c r="GZ1874" s="4">
        <v>249</v>
      </c>
      <c r="HA1874" s="4">
        <v>231</v>
      </c>
      <c r="HB1874" s="4">
        <v>201</v>
      </c>
      <c r="HC1874" s="4">
        <v>180</v>
      </c>
      <c r="HD1874" s="9"/>
      <c r="HE1874" s="9"/>
      <c r="HF1874" s="9"/>
      <c r="HG1874" s="9"/>
      <c r="HH1874" s="9"/>
      <c r="HI1874" s="9"/>
      <c r="HJ1874" s="9"/>
      <c r="HK1874" s="9"/>
      <c r="HL1874" s="9"/>
      <c r="HM1874" s="9"/>
      <c r="HN1874" s="19">
        <v>52.4</v>
      </c>
      <c r="HO1874" s="19">
        <v>51</v>
      </c>
      <c r="HP1874" s="19">
        <v>44</v>
      </c>
      <c r="HQ1874" s="19">
        <v>43</v>
      </c>
      <c r="HR1874" s="19">
        <v>37.7</v>
      </c>
      <c r="HS1874" s="19">
        <v>27.4</v>
      </c>
      <c r="HT1874" s="19">
        <v>26.8</v>
      </c>
      <c r="HU1874" s="19">
        <v>26</v>
      </c>
      <c r="HV1874" s="19">
        <v>21.7</v>
      </c>
      <c r="HW1874" s="19">
        <v>21.8</v>
      </c>
      <c r="HX1874" s="19">
        <v>15.1</v>
      </c>
      <c r="HY1874" s="19">
        <v>12.6</v>
      </c>
      <c r="HZ1874" s="19">
        <v>11.3</v>
      </c>
      <c r="IA1874" s="19">
        <v>12.2</v>
      </c>
      <c r="IB1874" s="19">
        <v>13.4</v>
      </c>
      <c r="IC1874" s="19">
        <v>15</v>
      </c>
    </row>
    <row r="1875">
      <c r="A1875" s="2" t="s">
        <v>6817</v>
      </c>
      <c r="B1875" s="2" t="s">
        <v>871</v>
      </c>
      <c r="C1875" s="2" t="s">
        <v>403</v>
      </c>
      <c r="D1875" s="2" t="s">
        <v>1452</v>
      </c>
      <c r="E1875" s="2" t="s">
        <v>1453</v>
      </c>
      <c r="F1875" s="2" t="s">
        <v>6790</v>
      </c>
      <c r="G1875" s="2" t="s">
        <v>6791</v>
      </c>
      <c r="H1875" s="2" t="s">
        <v>6792</v>
      </c>
      <c r="I1875" s="2" t="s">
        <v>6798</v>
      </c>
      <c r="J1875" s="2" t="s">
        <v>270</v>
      </c>
      <c r="K1875" s="2" t="s">
        <v>600</v>
      </c>
      <c r="L1875" s="3">
        <v>65.45</v>
      </c>
      <c r="M1875" s="3">
        <v>68.72</v>
      </c>
      <c r="N1875" s="3">
        <v>119</v>
      </c>
      <c r="O1875" s="2" t="s">
        <v>232</v>
      </c>
      <c r="P1875" s="2" t="s">
        <v>878</v>
      </c>
      <c r="Q1875" s="2" t="s">
        <v>234</v>
      </c>
      <c r="R1875" s="2" t="s">
        <v>235</v>
      </c>
      <c r="S1875" s="2" t="s">
        <v>235</v>
      </c>
      <c r="T1875" s="2" t="s">
        <v>501</v>
      </c>
      <c r="U1875" s="2" t="s">
        <v>785</v>
      </c>
      <c r="V1875" s="2" t="s">
        <v>420</v>
      </c>
      <c r="W1875" s="2" t="s">
        <v>682</v>
      </c>
      <c r="X1875" s="2" t="s">
        <v>235</v>
      </c>
      <c r="Y1875" s="2" t="s">
        <v>235</v>
      </c>
      <c r="Z1875" s="4"/>
      <c r="AA1875" s="4">
        <f>=ROUNDDOWN({0},0)</f>
      </c>
      <c r="AB1875" s="5"/>
      <c r="AC1875" s="2" t="s">
        <v>191</v>
      </c>
      <c r="AD1875" s="4">
        <v>150</v>
      </c>
      <c r="AE1875" s="4">
        <v>150</v>
      </c>
      <c r="AF1875" s="6">
        <v>78</v>
      </c>
      <c r="AG1875" s="6"/>
      <c r="AH1875" s="7"/>
      <c r="AI1875" s="4"/>
      <c r="AJ1875" s="4">
        <f>=ROUNDDOWN({0},0)</f>
      </c>
      <c r="AK1875" s="5"/>
      <c r="AL1875" s="2" t="s">
        <v>235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235</v>
      </c>
      <c r="AW1875" s="8" t="s">
        <v>235</v>
      </c>
      <c r="AX1875" s="4" t="s">
        <v>235</v>
      </c>
      <c r="AY1875" s="8" t="s">
        <v>235</v>
      </c>
      <c r="AZ1875" s="7" t="s">
        <v>235</v>
      </c>
      <c r="BA1875" s="7" t="s">
        <v>235</v>
      </c>
      <c r="BB1875" s="7" t="s">
        <v>235</v>
      </c>
      <c r="BC1875" s="4" t="s">
        <v>235</v>
      </c>
      <c r="BD1875" s="8" t="s">
        <v>235</v>
      </c>
      <c r="BE1875" s="4" t="s">
        <v>235</v>
      </c>
      <c r="BF1875" s="8" t="s">
        <v>235</v>
      </c>
      <c r="BG1875" s="7" t="s">
        <v>235</v>
      </c>
      <c r="BH1875" s="7" t="s">
        <v>235</v>
      </c>
      <c r="BI1875" s="7"/>
      <c r="BJ1875" s="4"/>
      <c r="BK1875" s="8"/>
      <c r="BL1875" s="2" t="s">
        <v>235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330</v>
      </c>
      <c r="BV1875" s="2" t="s">
        <v>235</v>
      </c>
      <c r="BW1875" s="2" t="s">
        <v>235</v>
      </c>
      <c r="BX1875" s="2" t="s">
        <v>330</v>
      </c>
      <c r="BY1875" s="2" t="s">
        <v>331</v>
      </c>
      <c r="BZ1875" s="2" t="s">
        <v>232</v>
      </c>
      <c r="CA1875" s="2" t="s">
        <v>235</v>
      </c>
      <c r="CB1875" s="2" t="s">
        <v>235</v>
      </c>
      <c r="CC1875" s="2" t="s">
        <v>248</v>
      </c>
      <c r="CD1875" s="2" t="s">
        <v>248</v>
      </c>
      <c r="CE1875" s="2" t="s">
        <v>235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>
        <v>150</v>
      </c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>
        <v>150</v>
      </c>
      <c r="GQ1875" s="4">
        <v>145</v>
      </c>
      <c r="GR1875" s="4">
        <v>143</v>
      </c>
      <c r="GS1875" s="4">
        <v>139</v>
      </c>
      <c r="GT1875" s="4">
        <v>133</v>
      </c>
      <c r="GU1875" s="4">
        <v>129</v>
      </c>
      <c r="GV1875" s="4">
        <v>125</v>
      </c>
      <c r="GW1875" s="4">
        <v>121</v>
      </c>
      <c r="GX1875" s="4">
        <v>116</v>
      </c>
      <c r="GY1875" s="4">
        <v>111</v>
      </c>
      <c r="GZ1875" s="4">
        <v>104</v>
      </c>
      <c r="HA1875" s="4">
        <v>96</v>
      </c>
      <c r="HB1875" s="4">
        <v>88</v>
      </c>
      <c r="HC1875" s="4">
        <v>82</v>
      </c>
      <c r="HD1875" s="9"/>
      <c r="HE1875" s="9"/>
      <c r="HF1875" s="9"/>
      <c r="HG1875" s="9"/>
      <c r="HH1875" s="9"/>
      <c r="HI1875" s="9"/>
      <c r="HJ1875" s="9"/>
      <c r="HK1875" s="9"/>
      <c r="HL1875" s="9"/>
      <c r="HM1875" s="9"/>
      <c r="HN1875" s="9"/>
      <c r="HO1875" s="9"/>
      <c r="HP1875" s="19">
        <v>37.5</v>
      </c>
      <c r="HQ1875" s="19">
        <v>36.3</v>
      </c>
      <c r="HR1875" s="19">
        <v>35.8</v>
      </c>
      <c r="HS1875" s="19">
        <v>34.8</v>
      </c>
      <c r="HT1875" s="19">
        <v>33.3</v>
      </c>
      <c r="HU1875" s="19">
        <v>32.3</v>
      </c>
      <c r="HV1875" s="19">
        <v>25</v>
      </c>
      <c r="HW1875" s="19">
        <v>20.2</v>
      </c>
      <c r="HX1875" s="19">
        <v>16.6</v>
      </c>
      <c r="HY1875" s="19">
        <v>15.9</v>
      </c>
      <c r="HZ1875" s="19">
        <v>14.9</v>
      </c>
      <c r="IA1875" s="19">
        <v>13.7</v>
      </c>
      <c r="IB1875" s="19">
        <v>12.6</v>
      </c>
      <c r="IC1875" s="19">
        <v>11.7</v>
      </c>
    </row>
    <row r="1876">
      <c r="A1876" s="2" t="s">
        <v>6818</v>
      </c>
      <c r="B1876" s="2" t="s">
        <v>871</v>
      </c>
      <c r="C1876" s="2" t="s">
        <v>403</v>
      </c>
      <c r="D1876" s="2" t="s">
        <v>361</v>
      </c>
      <c r="E1876" s="2" t="s">
        <v>872</v>
      </c>
      <c r="F1876" s="2" t="s">
        <v>6790</v>
      </c>
      <c r="G1876" s="2" t="s">
        <v>6791</v>
      </c>
      <c r="H1876" s="2" t="s">
        <v>6792</v>
      </c>
      <c r="I1876" s="2" t="s">
        <v>4925</v>
      </c>
      <c r="J1876" s="2" t="s">
        <v>272</v>
      </c>
      <c r="K1876" s="2" t="s">
        <v>600</v>
      </c>
      <c r="L1876" s="3">
        <v>65.7</v>
      </c>
      <c r="M1876" s="3">
        <v>68.98</v>
      </c>
      <c r="N1876" s="3">
        <v>119.99</v>
      </c>
      <c r="O1876" s="2" t="s">
        <v>232</v>
      </c>
      <c r="P1876" s="2" t="s">
        <v>878</v>
      </c>
      <c r="Q1876" s="2" t="s">
        <v>234</v>
      </c>
      <c r="R1876" s="2" t="s">
        <v>235</v>
      </c>
      <c r="S1876" s="2" t="s">
        <v>235</v>
      </c>
      <c r="T1876" s="2" t="s">
        <v>501</v>
      </c>
      <c r="U1876" s="2" t="s">
        <v>3619</v>
      </c>
      <c r="V1876" s="2" t="s">
        <v>420</v>
      </c>
      <c r="W1876" s="2" t="s">
        <v>682</v>
      </c>
      <c r="X1876" s="2" t="s">
        <v>235</v>
      </c>
      <c r="Y1876" s="2" t="s">
        <v>235</v>
      </c>
      <c r="Z1876" s="4"/>
      <c r="AA1876" s="4">
        <f>=ROUNDDOWN({0},0)</f>
      </c>
      <c r="AB1876" s="5"/>
      <c r="AC1876" s="2" t="s">
        <v>181</v>
      </c>
      <c r="AD1876" s="4">
        <v>135</v>
      </c>
      <c r="AE1876" s="4">
        <v>135</v>
      </c>
      <c r="AF1876" s="6">
        <v>78</v>
      </c>
      <c r="AG1876" s="6"/>
      <c r="AH1876" s="7"/>
      <c r="AI1876" s="4"/>
      <c r="AJ1876" s="4">
        <f>=ROUNDDOWN({0},0)</f>
      </c>
      <c r="AK1876" s="5"/>
      <c r="AL1876" s="2" t="s">
        <v>235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235</v>
      </c>
      <c r="AW1876" s="8" t="s">
        <v>235</v>
      </c>
      <c r="AX1876" s="4" t="s">
        <v>235</v>
      </c>
      <c r="AY1876" s="8" t="s">
        <v>235</v>
      </c>
      <c r="AZ1876" s="7" t="s">
        <v>235</v>
      </c>
      <c r="BA1876" s="7" t="s">
        <v>235</v>
      </c>
      <c r="BB1876" s="7" t="s">
        <v>235</v>
      </c>
      <c r="BC1876" s="4" t="s">
        <v>235</v>
      </c>
      <c r="BD1876" s="8" t="s">
        <v>235</v>
      </c>
      <c r="BE1876" s="4" t="s">
        <v>235</v>
      </c>
      <c r="BF1876" s="8" t="s">
        <v>235</v>
      </c>
      <c r="BG1876" s="7" t="s">
        <v>235</v>
      </c>
      <c r="BH1876" s="7" t="s">
        <v>235</v>
      </c>
      <c r="BI1876" s="7"/>
      <c r="BJ1876" s="4"/>
      <c r="BK1876" s="8"/>
      <c r="BL1876" s="2" t="s">
        <v>235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330</v>
      </c>
      <c r="BV1876" s="2" t="s">
        <v>235</v>
      </c>
      <c r="BW1876" s="2" t="s">
        <v>235</v>
      </c>
      <c r="BX1876" s="2" t="s">
        <v>330</v>
      </c>
      <c r="BY1876" s="2" t="s">
        <v>331</v>
      </c>
      <c r="BZ1876" s="2" t="s">
        <v>232</v>
      </c>
      <c r="CA1876" s="2" t="s">
        <v>235</v>
      </c>
      <c r="CB1876" s="2" t="s">
        <v>235</v>
      </c>
      <c r="CC1876" s="2" t="s">
        <v>248</v>
      </c>
      <c r="CD1876" s="2" t="s">
        <v>248</v>
      </c>
      <c r="CE1876" s="2" t="s">
        <v>235</v>
      </c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>
        <v>135</v>
      </c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>
        <v>135</v>
      </c>
      <c r="GO1876" s="4">
        <v>130</v>
      </c>
      <c r="GP1876" s="4">
        <v>128</v>
      </c>
      <c r="GQ1876" s="4">
        <v>125</v>
      </c>
      <c r="GR1876" s="4">
        <v>123</v>
      </c>
      <c r="GS1876" s="4">
        <v>120</v>
      </c>
      <c r="GT1876" s="4">
        <v>116</v>
      </c>
      <c r="GU1876" s="4">
        <v>110</v>
      </c>
      <c r="GV1876" s="4">
        <v>106</v>
      </c>
      <c r="GW1876" s="4">
        <v>101</v>
      </c>
      <c r="GX1876" s="4">
        <v>96</v>
      </c>
      <c r="GY1876" s="4">
        <v>94</v>
      </c>
      <c r="GZ1876" s="4">
        <v>88</v>
      </c>
      <c r="HA1876" s="4">
        <v>81</v>
      </c>
      <c r="HB1876" s="4">
        <v>73</v>
      </c>
      <c r="HC1876" s="4">
        <v>66</v>
      </c>
      <c r="HD1876" s="9"/>
      <c r="HE1876" s="9"/>
      <c r="HF1876" s="9"/>
      <c r="HG1876" s="9"/>
      <c r="HH1876" s="9"/>
      <c r="HI1876" s="9"/>
      <c r="HJ1876" s="9"/>
      <c r="HK1876" s="9"/>
      <c r="HL1876" s="9"/>
      <c r="HM1876" s="9"/>
      <c r="HN1876" s="19">
        <v>45</v>
      </c>
      <c r="HO1876" s="19">
        <v>65</v>
      </c>
      <c r="HP1876" s="19">
        <v>42.7</v>
      </c>
      <c r="HQ1876" s="19">
        <v>31.3</v>
      </c>
      <c r="HR1876" s="19">
        <v>30.8</v>
      </c>
      <c r="HS1876" s="19">
        <v>24</v>
      </c>
      <c r="HT1876" s="19">
        <v>23.2</v>
      </c>
      <c r="HU1876" s="19">
        <v>27.5</v>
      </c>
      <c r="HV1876" s="19">
        <v>26.5</v>
      </c>
      <c r="HW1876" s="19">
        <v>20.2</v>
      </c>
      <c r="HX1876" s="19">
        <v>16</v>
      </c>
      <c r="HY1876" s="19">
        <v>13.4</v>
      </c>
      <c r="HZ1876" s="19">
        <v>12.6</v>
      </c>
      <c r="IA1876" s="19">
        <v>10.1</v>
      </c>
      <c r="IB1876" s="19">
        <v>9.1</v>
      </c>
      <c r="IC1876" s="19">
        <v>9.4</v>
      </c>
    </row>
    <row r="1877">
      <c r="A1877" s="2" t="s">
        <v>6819</v>
      </c>
      <c r="B1877" s="2" t="s">
        <v>871</v>
      </c>
      <c r="C1877" s="2" t="s">
        <v>403</v>
      </c>
      <c r="D1877" s="2" t="s">
        <v>1452</v>
      </c>
      <c r="E1877" s="2" t="s">
        <v>1453</v>
      </c>
      <c r="F1877" s="2" t="s">
        <v>6790</v>
      </c>
      <c r="G1877" s="2" t="s">
        <v>6791</v>
      </c>
      <c r="H1877" s="2" t="s">
        <v>6792</v>
      </c>
      <c r="I1877" s="2" t="s">
        <v>6798</v>
      </c>
      <c r="J1877" s="2" t="s">
        <v>272</v>
      </c>
      <c r="K1877" s="2" t="s">
        <v>600</v>
      </c>
      <c r="L1877" s="3">
        <v>65.45</v>
      </c>
      <c r="M1877" s="3">
        <v>68.72</v>
      </c>
      <c r="N1877" s="3">
        <v>119</v>
      </c>
      <c r="O1877" s="2" t="s">
        <v>232</v>
      </c>
      <c r="P1877" s="2" t="s">
        <v>878</v>
      </c>
      <c r="Q1877" s="2" t="s">
        <v>234</v>
      </c>
      <c r="R1877" s="2" t="s">
        <v>235</v>
      </c>
      <c r="S1877" s="2" t="s">
        <v>235</v>
      </c>
      <c r="T1877" s="2" t="s">
        <v>501</v>
      </c>
      <c r="U1877" s="2" t="s">
        <v>785</v>
      </c>
      <c r="V1877" s="2" t="s">
        <v>420</v>
      </c>
      <c r="W1877" s="2" t="s">
        <v>682</v>
      </c>
      <c r="X1877" s="2" t="s">
        <v>235</v>
      </c>
      <c r="Y1877" s="2" t="s">
        <v>235</v>
      </c>
      <c r="Z1877" s="4"/>
      <c r="AA1877" s="4">
        <f>=ROUNDDOWN({0},0)</f>
      </c>
      <c r="AB1877" s="5"/>
      <c r="AC1877" s="2" t="s">
        <v>191</v>
      </c>
      <c r="AD1877" s="4">
        <v>68</v>
      </c>
      <c r="AE1877" s="4">
        <v>68</v>
      </c>
      <c r="AF1877" s="6">
        <v>78</v>
      </c>
      <c r="AG1877" s="6"/>
      <c r="AH1877" s="7"/>
      <c r="AI1877" s="4"/>
      <c r="AJ1877" s="4">
        <f>=ROUNDDOWN({0},0)</f>
      </c>
      <c r="AK1877" s="5"/>
      <c r="AL1877" s="2" t="s">
        <v>235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235</v>
      </c>
      <c r="AW1877" s="8" t="s">
        <v>235</v>
      </c>
      <c r="AX1877" s="4" t="s">
        <v>235</v>
      </c>
      <c r="AY1877" s="8" t="s">
        <v>235</v>
      </c>
      <c r="AZ1877" s="7" t="s">
        <v>235</v>
      </c>
      <c r="BA1877" s="7" t="s">
        <v>235</v>
      </c>
      <c r="BB1877" s="7" t="s">
        <v>235</v>
      </c>
      <c r="BC1877" s="4" t="s">
        <v>235</v>
      </c>
      <c r="BD1877" s="8" t="s">
        <v>235</v>
      </c>
      <c r="BE1877" s="4" t="s">
        <v>235</v>
      </c>
      <c r="BF1877" s="8" t="s">
        <v>235</v>
      </c>
      <c r="BG1877" s="7" t="s">
        <v>235</v>
      </c>
      <c r="BH1877" s="7" t="s">
        <v>235</v>
      </c>
      <c r="BI1877" s="7"/>
      <c r="BJ1877" s="4"/>
      <c r="BK1877" s="8"/>
      <c r="BL1877" s="2" t="s">
        <v>235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330</v>
      </c>
      <c r="BV1877" s="2" t="s">
        <v>235</v>
      </c>
      <c r="BW1877" s="2" t="s">
        <v>235</v>
      </c>
      <c r="BX1877" s="2" t="s">
        <v>330</v>
      </c>
      <c r="BY1877" s="2" t="s">
        <v>331</v>
      </c>
      <c r="BZ1877" s="2" t="s">
        <v>232</v>
      </c>
      <c r="CA1877" s="2" t="s">
        <v>235</v>
      </c>
      <c r="CB1877" s="2" t="s">
        <v>235</v>
      </c>
      <c r="CC1877" s="2" t="s">
        <v>248</v>
      </c>
      <c r="CD1877" s="2" t="s">
        <v>248</v>
      </c>
      <c r="CE1877" s="2" t="s">
        <v>235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>
        <v>68</v>
      </c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>
        <v>68</v>
      </c>
      <c r="GQ1877" s="4">
        <v>64</v>
      </c>
      <c r="GR1877" s="4">
        <v>63</v>
      </c>
      <c r="GS1877" s="4">
        <v>62</v>
      </c>
      <c r="GT1877" s="4">
        <v>61</v>
      </c>
      <c r="GU1877" s="4">
        <v>60</v>
      </c>
      <c r="GV1877" s="4">
        <v>58</v>
      </c>
      <c r="GW1877" s="4">
        <v>58</v>
      </c>
      <c r="GX1877" s="4">
        <v>56</v>
      </c>
      <c r="GY1877" s="4">
        <v>54</v>
      </c>
      <c r="GZ1877" s="4">
        <v>52</v>
      </c>
      <c r="HA1877" s="4">
        <v>49</v>
      </c>
      <c r="HB1877" s="4">
        <v>46</v>
      </c>
      <c r="HC1877" s="4">
        <v>43</v>
      </c>
      <c r="HD1877" s="9"/>
      <c r="HE1877" s="9"/>
      <c r="HF1877" s="9"/>
      <c r="HG1877" s="9"/>
      <c r="HH1877" s="9"/>
      <c r="HI1877" s="9"/>
      <c r="HJ1877" s="9"/>
      <c r="HK1877" s="9"/>
      <c r="HL1877" s="9"/>
      <c r="HM1877" s="9"/>
      <c r="HN1877" s="9"/>
      <c r="HO1877" s="9"/>
      <c r="HP1877" s="19">
        <v>34</v>
      </c>
      <c r="HQ1877" s="19">
        <v>64</v>
      </c>
      <c r="HR1877" s="19">
        <v>63</v>
      </c>
      <c r="HS1877" s="19">
        <v>62</v>
      </c>
      <c r="HT1877" s="19">
        <v>61</v>
      </c>
      <c r="HU1877" s="19">
        <v>30</v>
      </c>
      <c r="HV1877" s="19">
        <v>29</v>
      </c>
      <c r="HW1877" s="19">
        <v>29</v>
      </c>
      <c r="HX1877" s="19">
        <v>28</v>
      </c>
      <c r="HY1877" s="19">
        <v>18</v>
      </c>
      <c r="HZ1877" s="19">
        <v>26</v>
      </c>
      <c r="IA1877" s="19">
        <v>24.5</v>
      </c>
      <c r="IB1877" s="19">
        <v>23</v>
      </c>
      <c r="IC1877" s="19">
        <v>21.5</v>
      </c>
    </row>
    <row r="1878">
      <c r="A1878" s="2" t="s">
        <v>6820</v>
      </c>
      <c r="B1878" s="2" t="s">
        <v>871</v>
      </c>
      <c r="C1878" s="2" t="s">
        <v>403</v>
      </c>
      <c r="D1878" s="2" t="s">
        <v>361</v>
      </c>
      <c r="E1878" s="2" t="s">
        <v>1024</v>
      </c>
      <c r="F1878" s="2" t="s">
        <v>6790</v>
      </c>
      <c r="G1878" s="2" t="s">
        <v>6791</v>
      </c>
      <c r="H1878" s="2" t="s">
        <v>6792</v>
      </c>
      <c r="I1878" s="2" t="s">
        <v>6793</v>
      </c>
      <c r="J1878" s="2" t="s">
        <v>394</v>
      </c>
      <c r="K1878" s="2" t="s">
        <v>2029</v>
      </c>
      <c r="L1878" s="3">
        <v>50.53</v>
      </c>
      <c r="M1878" s="3">
        <v>53.06</v>
      </c>
      <c r="N1878" s="3">
        <v>89.99</v>
      </c>
      <c r="O1878" s="2" t="s">
        <v>232</v>
      </c>
      <c r="P1878" s="2" t="s">
        <v>1282</v>
      </c>
      <c r="Q1878" s="2" t="s">
        <v>234</v>
      </c>
      <c r="R1878" s="2" t="s">
        <v>235</v>
      </c>
      <c r="S1878" s="2" t="s">
        <v>6821</v>
      </c>
      <c r="T1878" s="2" t="s">
        <v>501</v>
      </c>
      <c r="U1878" s="2" t="s">
        <v>742</v>
      </c>
      <c r="V1878" s="2" t="s">
        <v>420</v>
      </c>
      <c r="W1878" s="2" t="s">
        <v>682</v>
      </c>
      <c r="X1878" s="2" t="s">
        <v>235</v>
      </c>
      <c r="Y1878" s="2" t="s">
        <v>240</v>
      </c>
      <c r="Z1878" s="4">
        <v>129</v>
      </c>
      <c r="AA1878" s="4">
        <f>=ROUNDDOWN(39.0909090909091,0)</f>
      </c>
      <c r="AB1878" s="5">
        <v>3.3</v>
      </c>
      <c r="AC1878" s="2" t="s">
        <v>235</v>
      </c>
      <c r="AD1878" s="4"/>
      <c r="AE1878" s="4"/>
      <c r="AF1878" s="6">
        <v>78</v>
      </c>
      <c r="AG1878" s="6"/>
      <c r="AH1878" s="7">
        <v>1</v>
      </c>
      <c r="AI1878" s="4"/>
      <c r="AJ1878" s="4">
        <f>=ROUNDDOWN({0},0)</f>
      </c>
      <c r="AK1878" s="5"/>
      <c r="AL1878" s="2" t="s">
        <v>235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235</v>
      </c>
      <c r="AW1878" s="8" t="s">
        <v>235</v>
      </c>
      <c r="AX1878" s="4" t="s">
        <v>235</v>
      </c>
      <c r="AY1878" s="8" t="s">
        <v>235</v>
      </c>
      <c r="AZ1878" s="7" t="s">
        <v>235</v>
      </c>
      <c r="BA1878" s="7" t="s">
        <v>235</v>
      </c>
      <c r="BB1878" s="7" t="s">
        <v>235</v>
      </c>
      <c r="BC1878" s="4" t="s">
        <v>235</v>
      </c>
      <c r="BD1878" s="8" t="s">
        <v>235</v>
      </c>
      <c r="BE1878" s="4" t="s">
        <v>235</v>
      </c>
      <c r="BF1878" s="8" t="s">
        <v>235</v>
      </c>
      <c r="BG1878" s="7" t="s">
        <v>235</v>
      </c>
      <c r="BH1878" s="7" t="s">
        <v>235</v>
      </c>
      <c r="BI1878" s="7"/>
      <c r="BJ1878" s="4">
        <v>7</v>
      </c>
      <c r="BK1878" s="8">
        <v>443.24</v>
      </c>
      <c r="BL1878" s="2" t="s">
        <v>6822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6823</v>
      </c>
      <c r="BV1878" s="2" t="s">
        <v>243</v>
      </c>
      <c r="BW1878" s="2" t="s">
        <v>235</v>
      </c>
      <c r="BX1878" s="2" t="s">
        <v>383</v>
      </c>
      <c r="BY1878" s="2" t="s">
        <v>245</v>
      </c>
      <c r="BZ1878" s="2" t="s">
        <v>232</v>
      </c>
      <c r="CA1878" s="2" t="s">
        <v>252</v>
      </c>
      <c r="CB1878" s="2" t="s">
        <v>6824</v>
      </c>
      <c r="CC1878" s="2" t="s">
        <v>248</v>
      </c>
      <c r="CD1878" s="2" t="s">
        <v>248</v>
      </c>
      <c r="CE1878" s="2" t="s">
        <v>235</v>
      </c>
      <c r="CF1878" s="4">
        <v>129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>
        <v>129</v>
      </c>
      <c r="GE1878" s="4">
        <v>126</v>
      </c>
      <c r="GF1878" s="4">
        <v>120</v>
      </c>
      <c r="GG1878" s="4">
        <v>115</v>
      </c>
      <c r="GH1878" s="4">
        <v>112</v>
      </c>
      <c r="GI1878" s="4">
        <v>107</v>
      </c>
      <c r="GJ1878" s="4">
        <v>103</v>
      </c>
      <c r="GK1878" s="4">
        <v>98</v>
      </c>
      <c r="GL1878" s="4">
        <v>93</v>
      </c>
      <c r="GM1878" s="4">
        <v>90</v>
      </c>
      <c r="GN1878" s="4">
        <v>86</v>
      </c>
      <c r="GO1878" s="4">
        <v>82</v>
      </c>
      <c r="GP1878" s="4">
        <v>79</v>
      </c>
      <c r="GQ1878" s="4">
        <v>66</v>
      </c>
      <c r="GR1878" s="4">
        <v>61</v>
      </c>
      <c r="GS1878" s="4">
        <v>57</v>
      </c>
      <c r="GT1878" s="4">
        <v>54</v>
      </c>
      <c r="GU1878" s="4">
        <v>50</v>
      </c>
      <c r="GV1878" s="4">
        <v>47</v>
      </c>
      <c r="GW1878" s="4">
        <v>42</v>
      </c>
      <c r="GX1878" s="4">
        <v>41</v>
      </c>
      <c r="GY1878" s="4">
        <v>84</v>
      </c>
      <c r="GZ1878" s="4">
        <v>81</v>
      </c>
      <c r="HA1878" s="4">
        <v>77</v>
      </c>
      <c r="HB1878" s="4">
        <v>69</v>
      </c>
      <c r="HC1878" s="4">
        <v>67</v>
      </c>
      <c r="HD1878" s="19">
        <v>32.3</v>
      </c>
      <c r="HE1878" s="19">
        <v>25.2</v>
      </c>
      <c r="HF1878" s="19">
        <v>30</v>
      </c>
      <c r="HG1878" s="19">
        <v>28.8</v>
      </c>
      <c r="HH1878" s="19">
        <v>22.4</v>
      </c>
      <c r="HI1878" s="19">
        <v>26.8</v>
      </c>
      <c r="HJ1878" s="19">
        <v>25.8</v>
      </c>
      <c r="HK1878" s="19">
        <v>24.5</v>
      </c>
      <c r="HL1878" s="19">
        <v>23.3</v>
      </c>
      <c r="HM1878" s="19">
        <v>15</v>
      </c>
      <c r="HN1878" s="19">
        <v>14.3</v>
      </c>
      <c r="HO1878" s="19">
        <v>13.7</v>
      </c>
      <c r="HP1878" s="19">
        <v>13.2</v>
      </c>
      <c r="HQ1878" s="19">
        <v>16.5</v>
      </c>
      <c r="HR1878" s="19">
        <v>15.3</v>
      </c>
      <c r="HS1878" s="19">
        <v>14.3</v>
      </c>
      <c r="HT1878" s="19">
        <v>18</v>
      </c>
      <c r="HU1878" s="19">
        <v>16.7</v>
      </c>
      <c r="HV1878" s="19">
        <v>15.7</v>
      </c>
      <c r="HW1878" s="19">
        <v>21</v>
      </c>
      <c r="HX1878" s="19">
        <v>10.3</v>
      </c>
      <c r="HY1878" s="19">
        <v>21</v>
      </c>
      <c r="HZ1878" s="19">
        <v>20.3</v>
      </c>
      <c r="IA1878" s="19">
        <v>19.3</v>
      </c>
      <c r="IB1878" s="19">
        <v>23</v>
      </c>
      <c r="IC1878" s="19">
        <v>33.5</v>
      </c>
    </row>
    <row r="1879">
      <c r="A1879" s="2" t="s">
        <v>6825</v>
      </c>
      <c r="B1879" s="2" t="s">
        <v>871</v>
      </c>
      <c r="C1879" s="2" t="s">
        <v>403</v>
      </c>
      <c r="D1879" s="2" t="s">
        <v>1452</v>
      </c>
      <c r="E1879" s="2" t="s">
        <v>1024</v>
      </c>
      <c r="F1879" s="2" t="s">
        <v>6790</v>
      </c>
      <c r="G1879" s="2" t="s">
        <v>6791</v>
      </c>
      <c r="H1879" s="2" t="s">
        <v>6792</v>
      </c>
      <c r="I1879" s="2" t="s">
        <v>6795</v>
      </c>
      <c r="J1879" s="2" t="s">
        <v>394</v>
      </c>
      <c r="K1879" s="2" t="s">
        <v>2029</v>
      </c>
      <c r="L1879" s="3">
        <v>46.28</v>
      </c>
      <c r="M1879" s="3">
        <v>48.59</v>
      </c>
      <c r="N1879" s="3">
        <v>89</v>
      </c>
      <c r="O1879" s="2" t="s">
        <v>232</v>
      </c>
      <c r="P1879" s="2" t="s">
        <v>233</v>
      </c>
      <c r="Q1879" s="2" t="s">
        <v>234</v>
      </c>
      <c r="R1879" s="2" t="s">
        <v>235</v>
      </c>
      <c r="S1879" s="2" t="s">
        <v>6821</v>
      </c>
      <c r="T1879" s="2" t="s">
        <v>501</v>
      </c>
      <c r="U1879" s="2" t="s">
        <v>614</v>
      </c>
      <c r="V1879" s="2" t="s">
        <v>420</v>
      </c>
      <c r="W1879" s="2" t="s">
        <v>682</v>
      </c>
      <c r="X1879" s="2" t="s">
        <v>235</v>
      </c>
      <c r="Y1879" s="2" t="s">
        <v>240</v>
      </c>
      <c r="Z1879" s="4">
        <v>83</v>
      </c>
      <c r="AA1879" s="4">
        <f>=ROUNDDOWN(92.2222222222222,0)</f>
      </c>
      <c r="AB1879" s="5">
        <v>0.9</v>
      </c>
      <c r="AC1879" s="2" t="s">
        <v>235</v>
      </c>
      <c r="AD1879" s="4"/>
      <c r="AE1879" s="4"/>
      <c r="AF1879" s="6">
        <v>78</v>
      </c>
      <c r="AG1879" s="6"/>
      <c r="AH1879" s="7">
        <v>1</v>
      </c>
      <c r="AI1879" s="4"/>
      <c r="AJ1879" s="4">
        <f>=ROUNDDOWN({0},0)</f>
      </c>
      <c r="AK1879" s="5"/>
      <c r="AL1879" s="2" t="s">
        <v>235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235</v>
      </c>
      <c r="AW1879" s="8" t="s">
        <v>235</v>
      </c>
      <c r="AX1879" s="4" t="s">
        <v>235</v>
      </c>
      <c r="AY1879" s="8" t="s">
        <v>235</v>
      </c>
      <c r="AZ1879" s="7" t="s">
        <v>235</v>
      </c>
      <c r="BA1879" s="7" t="s">
        <v>235</v>
      </c>
      <c r="BB1879" s="7" t="s">
        <v>235</v>
      </c>
      <c r="BC1879" s="4" t="s">
        <v>235</v>
      </c>
      <c r="BD1879" s="8" t="s">
        <v>235</v>
      </c>
      <c r="BE1879" s="4" t="s">
        <v>235</v>
      </c>
      <c r="BF1879" s="8" t="s">
        <v>235</v>
      </c>
      <c r="BG1879" s="7" t="s">
        <v>235</v>
      </c>
      <c r="BH1879" s="7" t="s">
        <v>235</v>
      </c>
      <c r="BI1879" s="7"/>
      <c r="BJ1879" s="4">
        <v>3</v>
      </c>
      <c r="BK1879" s="8">
        <v>142.87</v>
      </c>
      <c r="BL1879" s="2" t="s">
        <v>412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6826</v>
      </c>
      <c r="BV1879" s="2" t="s">
        <v>243</v>
      </c>
      <c r="BW1879" s="2" t="s">
        <v>235</v>
      </c>
      <c r="BX1879" s="2" t="s">
        <v>244</v>
      </c>
      <c r="BY1879" s="2" t="s">
        <v>245</v>
      </c>
      <c r="BZ1879" s="2" t="s">
        <v>232</v>
      </c>
      <c r="CA1879" s="2" t="s">
        <v>252</v>
      </c>
      <c r="CB1879" s="2" t="s">
        <v>6827</v>
      </c>
      <c r="CC1879" s="2" t="s">
        <v>248</v>
      </c>
      <c r="CD1879" s="2" t="s">
        <v>248</v>
      </c>
      <c r="CE1879" s="2" t="s">
        <v>235</v>
      </c>
      <c r="CF1879" s="4">
        <v>83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>
        <v>83</v>
      </c>
      <c r="GE1879" s="4">
        <v>82</v>
      </c>
      <c r="GF1879" s="4">
        <v>81</v>
      </c>
      <c r="GG1879" s="4">
        <v>80</v>
      </c>
      <c r="GH1879" s="4">
        <v>79</v>
      </c>
      <c r="GI1879" s="4">
        <v>78</v>
      </c>
      <c r="GJ1879" s="4">
        <v>76</v>
      </c>
      <c r="GK1879" s="4">
        <v>75</v>
      </c>
      <c r="GL1879" s="4">
        <v>74</v>
      </c>
      <c r="GM1879" s="4">
        <v>74</v>
      </c>
      <c r="GN1879" s="4">
        <v>73</v>
      </c>
      <c r="GO1879" s="4">
        <v>72</v>
      </c>
      <c r="GP1879" s="4">
        <v>71</v>
      </c>
      <c r="GQ1879" s="4">
        <v>71</v>
      </c>
      <c r="GR1879" s="4">
        <v>70</v>
      </c>
      <c r="GS1879" s="4">
        <v>69</v>
      </c>
      <c r="GT1879" s="4">
        <v>69</v>
      </c>
      <c r="GU1879" s="4">
        <v>68</v>
      </c>
      <c r="GV1879" s="4">
        <v>67</v>
      </c>
      <c r="GW1879" s="4">
        <v>66</v>
      </c>
      <c r="GX1879" s="4">
        <v>65</v>
      </c>
      <c r="GY1879" s="4">
        <v>65</v>
      </c>
      <c r="GZ1879" s="4">
        <v>64</v>
      </c>
      <c r="HA1879" s="4">
        <v>64</v>
      </c>
      <c r="HB1879" s="4">
        <v>63</v>
      </c>
      <c r="HC1879" s="4">
        <v>61</v>
      </c>
      <c r="HD1879" s="19">
        <v>83</v>
      </c>
      <c r="HE1879" s="19">
        <v>82</v>
      </c>
      <c r="HF1879" s="19">
        <v>81</v>
      </c>
      <c r="HG1879" s="19">
        <v>80</v>
      </c>
      <c r="HH1879" s="19">
        <v>79</v>
      </c>
      <c r="HI1879" s="19">
        <v>78</v>
      </c>
      <c r="HJ1879" s="19">
        <v>76</v>
      </c>
      <c r="HK1879" s="19">
        <v>75</v>
      </c>
      <c r="HL1879" s="19">
        <v>74</v>
      </c>
      <c r="HM1879" s="19">
        <v>74</v>
      </c>
      <c r="HN1879" s="19">
        <v>73</v>
      </c>
      <c r="HO1879" s="19">
        <v>72</v>
      </c>
      <c r="HP1879" s="9"/>
      <c r="HQ1879" s="19">
        <v>71</v>
      </c>
      <c r="HR1879" s="19">
        <v>70</v>
      </c>
      <c r="HS1879" s="19">
        <v>69</v>
      </c>
      <c r="HT1879" s="19">
        <v>69</v>
      </c>
      <c r="HU1879" s="19">
        <v>68</v>
      </c>
      <c r="HV1879" s="19">
        <v>67</v>
      </c>
      <c r="HW1879" s="20">
        <v>0</v>
      </c>
      <c r="HX1879" s="9"/>
      <c r="HY1879" s="19">
        <v>65</v>
      </c>
      <c r="HZ1879" s="19">
        <v>64</v>
      </c>
      <c r="IA1879" s="19">
        <v>32</v>
      </c>
      <c r="IB1879" s="19">
        <v>31.5</v>
      </c>
      <c r="IC1879" s="19">
        <v>30.5</v>
      </c>
    </row>
    <row r="1880">
      <c r="A1880" s="2" t="s">
        <v>6828</v>
      </c>
      <c r="B1880" s="2" t="s">
        <v>905</v>
      </c>
      <c r="C1880" s="2" t="s">
        <v>832</v>
      </c>
      <c r="D1880" s="2" t="s">
        <v>1539</v>
      </c>
      <c r="E1880" s="2" t="s">
        <v>1839</v>
      </c>
      <c r="F1880" s="2" t="s">
        <v>6829</v>
      </c>
      <c r="G1880" s="2" t="s">
        <v>6829</v>
      </c>
      <c r="H1880" s="2" t="s">
        <v>6829</v>
      </c>
      <c r="I1880" s="2" t="s">
        <v>6830</v>
      </c>
      <c r="J1880" s="2" t="s">
        <v>1542</v>
      </c>
      <c r="K1880" s="2" t="s">
        <v>6831</v>
      </c>
      <c r="L1880" s="3">
        <v>22.28</v>
      </c>
      <c r="M1880" s="3">
        <v>23.39</v>
      </c>
      <c r="N1880" s="3">
        <v>59.99</v>
      </c>
      <c r="O1880" s="2" t="s">
        <v>407</v>
      </c>
      <c r="P1880" s="2" t="s">
        <v>408</v>
      </c>
      <c r="Q1880" s="2" t="s">
        <v>234</v>
      </c>
      <c r="R1880" s="2" t="s">
        <v>235</v>
      </c>
      <c r="S1880" s="2" t="s">
        <v>235</v>
      </c>
      <c r="T1880" s="2" t="s">
        <v>912</v>
      </c>
      <c r="U1880" s="2" t="s">
        <v>807</v>
      </c>
      <c r="V1880" s="2" t="s">
        <v>238</v>
      </c>
      <c r="W1880" s="2" t="s">
        <v>329</v>
      </c>
      <c r="X1880" s="2" t="s">
        <v>235</v>
      </c>
      <c r="Y1880" s="2" t="s">
        <v>6130</v>
      </c>
      <c r="Z1880" s="4">
        <v>74</v>
      </c>
      <c r="AA1880" s="4">
        <f>=ROUNDDOWN(37,0)</f>
      </c>
      <c r="AB1880" s="5">
        <v>2</v>
      </c>
      <c r="AC1880" s="2" t="s">
        <v>235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235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235</v>
      </c>
      <c r="BD1880" s="8" t="s">
        <v>235</v>
      </c>
      <c r="BE1880" s="4" t="s">
        <v>235</v>
      </c>
      <c r="BF1880" s="8" t="s">
        <v>235</v>
      </c>
      <c r="BG1880" s="7" t="s">
        <v>235</v>
      </c>
      <c r="BH1880" s="7" t="s">
        <v>235</v>
      </c>
      <c r="BI1880" s="7"/>
      <c r="BJ1880" s="4"/>
      <c r="BK1880" s="8"/>
      <c r="BL1880" s="2" t="s">
        <v>597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6832</v>
      </c>
      <c r="BV1880" s="2" t="s">
        <v>243</v>
      </c>
      <c r="BW1880" s="2" t="s">
        <v>235</v>
      </c>
      <c r="BX1880" s="2" t="s">
        <v>414</v>
      </c>
      <c r="BY1880" s="2" t="s">
        <v>245</v>
      </c>
      <c r="BZ1880" s="2" t="s">
        <v>232</v>
      </c>
      <c r="CA1880" s="2" t="s">
        <v>6833</v>
      </c>
      <c r="CB1880" s="2" t="s">
        <v>2324</v>
      </c>
      <c r="CC1880" s="2" t="s">
        <v>248</v>
      </c>
      <c r="CD1880" s="2" t="s">
        <v>248</v>
      </c>
      <c r="CE1880" s="2" t="s">
        <v>235</v>
      </c>
      <c r="CF1880" s="4">
        <v>74</v>
      </c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>
        <v>76</v>
      </c>
      <c r="GE1880" s="4">
        <v>64</v>
      </c>
      <c r="GF1880" s="4">
        <v>62</v>
      </c>
      <c r="GG1880" s="4">
        <v>60</v>
      </c>
      <c r="GH1880" s="4">
        <v>58</v>
      </c>
      <c r="GI1880" s="4">
        <v>56</v>
      </c>
      <c r="GJ1880" s="4">
        <v>54</v>
      </c>
      <c r="GK1880" s="4">
        <v>52</v>
      </c>
      <c r="GL1880" s="4">
        <v>50</v>
      </c>
      <c r="GM1880" s="4">
        <v>48</v>
      </c>
      <c r="GN1880" s="4">
        <v>46</v>
      </c>
      <c r="GO1880" s="4">
        <v>43</v>
      </c>
      <c r="GP1880" s="4">
        <v>41</v>
      </c>
      <c r="GQ1880" s="4">
        <v>35</v>
      </c>
      <c r="GR1880" s="4">
        <v>30</v>
      </c>
      <c r="GS1880" s="4">
        <v>24</v>
      </c>
      <c r="GT1880" s="4">
        <v>21</v>
      </c>
      <c r="GU1880" s="4">
        <v>19</v>
      </c>
      <c r="GV1880" s="4">
        <v>16</v>
      </c>
      <c r="GW1880" s="4">
        <v>13</v>
      </c>
      <c r="GX1880" s="4">
        <v>9</v>
      </c>
      <c r="GY1880" s="4">
        <v>5</v>
      </c>
      <c r="GZ1880" s="4">
        <v>1</v>
      </c>
      <c r="HA1880" s="4"/>
      <c r="HB1880" s="4"/>
      <c r="HC1880" s="4"/>
      <c r="HD1880" s="19">
        <v>19</v>
      </c>
      <c r="HE1880" s="19">
        <v>32</v>
      </c>
      <c r="HF1880" s="19">
        <v>31</v>
      </c>
      <c r="HG1880" s="19">
        <v>30</v>
      </c>
      <c r="HH1880" s="19">
        <v>29</v>
      </c>
      <c r="HI1880" s="19">
        <v>28</v>
      </c>
      <c r="HJ1880" s="19">
        <v>27</v>
      </c>
      <c r="HK1880" s="19">
        <v>26</v>
      </c>
      <c r="HL1880" s="19">
        <v>25</v>
      </c>
      <c r="HM1880" s="19">
        <v>16</v>
      </c>
      <c r="HN1880" s="19">
        <v>11.5</v>
      </c>
      <c r="HO1880" s="19">
        <v>8.6</v>
      </c>
      <c r="HP1880" s="19">
        <v>8.2</v>
      </c>
      <c r="HQ1880" s="19">
        <v>8.8</v>
      </c>
      <c r="HR1880" s="19">
        <v>7.5</v>
      </c>
      <c r="HS1880" s="19">
        <v>8</v>
      </c>
      <c r="HT1880" s="19">
        <v>7</v>
      </c>
      <c r="HU1880" s="19">
        <v>4.8</v>
      </c>
      <c r="HV1880" s="19">
        <v>4</v>
      </c>
      <c r="HW1880" s="19">
        <v>3.3</v>
      </c>
      <c r="HX1880" s="19">
        <v>2.3</v>
      </c>
      <c r="HY1880" s="19">
        <v>1.7</v>
      </c>
      <c r="HZ1880" s="19">
        <v>0.3</v>
      </c>
      <c r="IA1880" s="20">
        <v>0</v>
      </c>
      <c r="IB1880" s="20">
        <v>0</v>
      </c>
      <c r="IC1880" s="20">
        <v>0</v>
      </c>
    </row>
    <row r="1881">
      <c r="A1881" s="2" t="s">
        <v>6834</v>
      </c>
      <c r="B1881" s="2" t="s">
        <v>905</v>
      </c>
      <c r="C1881" s="2" t="s">
        <v>832</v>
      </c>
      <c r="D1881" s="2" t="s">
        <v>1539</v>
      </c>
      <c r="E1881" s="2" t="s">
        <v>1839</v>
      </c>
      <c r="F1881" s="2" t="s">
        <v>6829</v>
      </c>
      <c r="G1881" s="2" t="s">
        <v>6829</v>
      </c>
      <c r="H1881" s="2" t="s">
        <v>6829</v>
      </c>
      <c r="I1881" s="2" t="s">
        <v>6830</v>
      </c>
      <c r="J1881" s="2" t="s">
        <v>1542</v>
      </c>
      <c r="K1881" s="2" t="s">
        <v>292</v>
      </c>
      <c r="L1881" s="3">
        <v>22.28</v>
      </c>
      <c r="M1881" s="3">
        <v>23.39</v>
      </c>
      <c r="N1881" s="3">
        <v>59.99</v>
      </c>
      <c r="O1881" s="2" t="s">
        <v>407</v>
      </c>
      <c r="P1881" s="2" t="s">
        <v>408</v>
      </c>
      <c r="Q1881" s="2" t="s">
        <v>234</v>
      </c>
      <c r="R1881" s="2" t="s">
        <v>235</v>
      </c>
      <c r="S1881" s="2" t="s">
        <v>235</v>
      </c>
      <c r="T1881" s="2" t="s">
        <v>912</v>
      </c>
      <c r="U1881" s="2" t="s">
        <v>807</v>
      </c>
      <c r="V1881" s="2" t="s">
        <v>238</v>
      </c>
      <c r="W1881" s="2" t="s">
        <v>329</v>
      </c>
      <c r="X1881" s="2" t="s">
        <v>235</v>
      </c>
      <c r="Y1881" s="2" t="s">
        <v>6130</v>
      </c>
      <c r="Z1881" s="4">
        <v>82</v>
      </c>
      <c r="AA1881" s="4">
        <f>=ROUNDDOWN(82,0)</f>
      </c>
      <c r="AB1881" s="5">
        <v>1</v>
      </c>
      <c r="AC1881" s="2" t="s">
        <v>235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235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 t="s">
        <v>235</v>
      </c>
      <c r="BD1881" s="8" t="s">
        <v>235</v>
      </c>
      <c r="BE1881" s="4" t="s">
        <v>235</v>
      </c>
      <c r="BF1881" s="8" t="s">
        <v>235</v>
      </c>
      <c r="BG1881" s="7" t="s">
        <v>235</v>
      </c>
      <c r="BH1881" s="7" t="s">
        <v>235</v>
      </c>
      <c r="BI1881" s="7"/>
      <c r="BJ1881" s="4">
        <v>2</v>
      </c>
      <c r="BK1881" s="8">
        <v>34.38</v>
      </c>
      <c r="BL1881" s="2" t="s">
        <v>6835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6832</v>
      </c>
      <c r="BV1881" s="2" t="s">
        <v>243</v>
      </c>
      <c r="BW1881" s="2" t="s">
        <v>235</v>
      </c>
      <c r="BX1881" s="2" t="s">
        <v>414</v>
      </c>
      <c r="BY1881" s="2" t="s">
        <v>245</v>
      </c>
      <c r="BZ1881" s="2" t="s">
        <v>232</v>
      </c>
      <c r="CA1881" s="2" t="s">
        <v>6833</v>
      </c>
      <c r="CB1881" s="2" t="s">
        <v>6836</v>
      </c>
      <c r="CC1881" s="2" t="s">
        <v>248</v>
      </c>
      <c r="CD1881" s="2" t="s">
        <v>248</v>
      </c>
      <c r="CE1881" s="2" t="s">
        <v>235</v>
      </c>
      <c r="CF1881" s="4">
        <v>82</v>
      </c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>
        <v>82</v>
      </c>
      <c r="GE1881" s="4">
        <v>80</v>
      </c>
      <c r="GF1881" s="4">
        <v>78</v>
      </c>
      <c r="GG1881" s="4">
        <v>76</v>
      </c>
      <c r="GH1881" s="4">
        <v>74</v>
      </c>
      <c r="GI1881" s="4">
        <v>72</v>
      </c>
      <c r="GJ1881" s="4">
        <v>70</v>
      </c>
      <c r="GK1881" s="4">
        <v>68</v>
      </c>
      <c r="GL1881" s="4">
        <v>66</v>
      </c>
      <c r="GM1881" s="4">
        <v>64</v>
      </c>
      <c r="GN1881" s="4">
        <v>62</v>
      </c>
      <c r="GO1881" s="4">
        <v>59</v>
      </c>
      <c r="GP1881" s="4">
        <v>57</v>
      </c>
      <c r="GQ1881" s="4">
        <v>51</v>
      </c>
      <c r="GR1881" s="4">
        <v>46</v>
      </c>
      <c r="GS1881" s="4">
        <v>42</v>
      </c>
      <c r="GT1881" s="4">
        <v>40</v>
      </c>
      <c r="GU1881" s="4">
        <v>39</v>
      </c>
      <c r="GV1881" s="4">
        <v>37</v>
      </c>
      <c r="GW1881" s="4">
        <v>35</v>
      </c>
      <c r="GX1881" s="4">
        <v>33</v>
      </c>
      <c r="GY1881" s="4">
        <v>31</v>
      </c>
      <c r="GZ1881" s="4">
        <v>29</v>
      </c>
      <c r="HA1881" s="4">
        <v>28</v>
      </c>
      <c r="HB1881" s="4">
        <v>27</v>
      </c>
      <c r="HC1881" s="4">
        <v>26</v>
      </c>
      <c r="HD1881" s="19">
        <v>41</v>
      </c>
      <c r="HE1881" s="19">
        <v>40</v>
      </c>
      <c r="HF1881" s="19">
        <v>39</v>
      </c>
      <c r="HG1881" s="19">
        <v>38</v>
      </c>
      <c r="HH1881" s="19">
        <v>37</v>
      </c>
      <c r="HI1881" s="19">
        <v>36</v>
      </c>
      <c r="HJ1881" s="19">
        <v>35</v>
      </c>
      <c r="HK1881" s="19">
        <v>34</v>
      </c>
      <c r="HL1881" s="19">
        <v>33</v>
      </c>
      <c r="HM1881" s="19">
        <v>21.3</v>
      </c>
      <c r="HN1881" s="19">
        <v>15.5</v>
      </c>
      <c r="HO1881" s="19">
        <v>14.8</v>
      </c>
      <c r="HP1881" s="19">
        <v>14.3</v>
      </c>
      <c r="HQ1881" s="19">
        <v>17</v>
      </c>
      <c r="HR1881" s="19">
        <v>23</v>
      </c>
      <c r="HS1881" s="19">
        <v>21</v>
      </c>
      <c r="HT1881" s="19">
        <v>20</v>
      </c>
      <c r="HU1881" s="19">
        <v>19.5</v>
      </c>
      <c r="HV1881" s="19">
        <v>18.5</v>
      </c>
      <c r="HW1881" s="19">
        <v>17.5</v>
      </c>
      <c r="HX1881" s="19">
        <v>16.5</v>
      </c>
      <c r="HY1881" s="19">
        <v>31</v>
      </c>
      <c r="HZ1881" s="19">
        <v>29</v>
      </c>
      <c r="IA1881" s="19">
        <v>28</v>
      </c>
      <c r="IB1881" s="19">
        <v>13.5</v>
      </c>
      <c r="IC1881" s="19">
        <v>13</v>
      </c>
    </row>
    <row r="1882">
      <c r="A1882" s="2" t="s">
        <v>6837</v>
      </c>
      <c r="B1882" s="2" t="s">
        <v>1529</v>
      </c>
      <c r="C1882" s="2" t="s">
        <v>1381</v>
      </c>
      <c r="D1882" s="2" t="s">
        <v>1086</v>
      </c>
      <c r="E1882" s="2" t="s">
        <v>4253</v>
      </c>
      <c r="F1882" s="2" t="s">
        <v>6838</v>
      </c>
      <c r="G1882" s="2" t="s">
        <v>6838</v>
      </c>
      <c r="H1882" s="2" t="s">
        <v>6838</v>
      </c>
      <c r="I1882" s="2" t="s">
        <v>1087</v>
      </c>
      <c r="J1882" s="2" t="s">
        <v>897</v>
      </c>
      <c r="K1882" s="2" t="s">
        <v>612</v>
      </c>
      <c r="L1882" s="3">
        <v>267.86</v>
      </c>
      <c r="M1882" s="3">
        <v>281.25</v>
      </c>
      <c r="N1882" s="3">
        <v>799</v>
      </c>
      <c r="O1882" s="2" t="s">
        <v>232</v>
      </c>
      <c r="P1882" s="2" t="s">
        <v>1533</v>
      </c>
      <c r="Q1882" s="2" t="s">
        <v>492</v>
      </c>
      <c r="R1882" s="2" t="s">
        <v>235</v>
      </c>
      <c r="S1882" s="2" t="s">
        <v>235</v>
      </c>
      <c r="T1882" s="2" t="s">
        <v>235</v>
      </c>
      <c r="U1882" s="2" t="s">
        <v>807</v>
      </c>
      <c r="V1882" s="2" t="s">
        <v>238</v>
      </c>
      <c r="W1882" s="2" t="s">
        <v>235</v>
      </c>
      <c r="X1882" s="2" t="s">
        <v>235</v>
      </c>
      <c r="Y1882" s="2" t="s">
        <v>1938</v>
      </c>
      <c r="Z1882" s="4">
        <v>83</v>
      </c>
      <c r="AA1882" s="4">
        <f>=ROUNDDOWN({0},0)</f>
      </c>
      <c r="AB1882" s="5"/>
      <c r="AC1882" s="2" t="s">
        <v>235</v>
      </c>
      <c r="AD1882" s="4"/>
      <c r="AE1882" s="4"/>
      <c r="AF1882" s="6"/>
      <c r="AG1882" s="6"/>
      <c r="AH1882" s="7">
        <v>1</v>
      </c>
      <c r="AI1882" s="4"/>
      <c r="AJ1882" s="4">
        <f>=ROUNDDOWN({0},0)</f>
      </c>
      <c r="AK1882" s="5"/>
      <c r="AL1882" s="2" t="s">
        <v>235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235</v>
      </c>
      <c r="BD1882" s="8" t="s">
        <v>235</v>
      </c>
      <c r="BE1882" s="4" t="s">
        <v>235</v>
      </c>
      <c r="BF1882" s="8" t="s">
        <v>235</v>
      </c>
      <c r="BG1882" s="7" t="s">
        <v>235</v>
      </c>
      <c r="BH1882" s="7" t="s">
        <v>235</v>
      </c>
      <c r="BI1882" s="7"/>
      <c r="BJ1882" s="4"/>
      <c r="BK1882" s="8"/>
      <c r="BL1882" s="2" t="s">
        <v>900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6839</v>
      </c>
      <c r="BV1882" s="2" t="s">
        <v>1424</v>
      </c>
      <c r="BW1882" s="2" t="s">
        <v>235</v>
      </c>
      <c r="BX1882" s="2" t="s">
        <v>244</v>
      </c>
      <c r="BY1882" s="2" t="s">
        <v>245</v>
      </c>
      <c r="BZ1882" s="2" t="s">
        <v>232</v>
      </c>
      <c r="CA1882" s="2" t="s">
        <v>4835</v>
      </c>
      <c r="CB1882" s="2" t="s">
        <v>235</v>
      </c>
      <c r="CC1882" s="2" t="s">
        <v>248</v>
      </c>
      <c r="CD1882" s="2" t="s">
        <v>248</v>
      </c>
      <c r="CE1882" s="2" t="s">
        <v>235</v>
      </c>
      <c r="CF1882" s="4"/>
      <c r="CG1882" s="4">
        <v>18</v>
      </c>
      <c r="CH1882" s="4"/>
      <c r="CI1882" s="4">
        <v>65</v>
      </c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9"/>
      <c r="HE1882" s="9"/>
      <c r="HF1882" s="9"/>
      <c r="HG1882" s="9"/>
      <c r="HH1882" s="9"/>
      <c r="HI1882" s="9"/>
      <c r="HJ1882" s="9"/>
      <c r="HK1882" s="9"/>
      <c r="HL1882" s="9"/>
      <c r="HM1882" s="9"/>
      <c r="HN1882" s="9"/>
      <c r="HO1882" s="9"/>
      <c r="HP1882" s="9"/>
      <c r="HQ1882" s="9"/>
      <c r="HR1882" s="9"/>
      <c r="HS1882" s="9"/>
      <c r="HT1882" s="9"/>
      <c r="HU1882" s="9"/>
      <c r="HV1882" s="9"/>
      <c r="HW1882" s="9"/>
      <c r="HX1882" s="9"/>
      <c r="HY1882" s="9"/>
      <c r="HZ1882" s="9"/>
      <c r="IA1882" s="9"/>
      <c r="IB1882" s="9"/>
      <c r="IC1882" s="9"/>
    </row>
    <row r="1883">
      <c r="A1883" s="2" t="s">
        <v>6840</v>
      </c>
      <c r="B1883" s="2" t="s">
        <v>1529</v>
      </c>
      <c r="C1883" s="2" t="s">
        <v>1381</v>
      </c>
      <c r="D1883" s="2" t="s">
        <v>1086</v>
      </c>
      <c r="E1883" s="2" t="s">
        <v>4253</v>
      </c>
      <c r="F1883" s="2" t="s">
        <v>6838</v>
      </c>
      <c r="G1883" s="2" t="s">
        <v>6838</v>
      </c>
      <c r="H1883" s="2" t="s">
        <v>6838</v>
      </c>
      <c r="I1883" s="2" t="s">
        <v>1087</v>
      </c>
      <c r="J1883" s="2" t="s">
        <v>897</v>
      </c>
      <c r="K1883" s="2" t="s">
        <v>1238</v>
      </c>
      <c r="L1883" s="3">
        <v>267.86</v>
      </c>
      <c r="M1883" s="3">
        <v>281.25</v>
      </c>
      <c r="N1883" s="3">
        <v>799</v>
      </c>
      <c r="O1883" s="2" t="s">
        <v>232</v>
      </c>
      <c r="P1883" s="2" t="s">
        <v>1533</v>
      </c>
      <c r="Q1883" s="2" t="s">
        <v>492</v>
      </c>
      <c r="R1883" s="2" t="s">
        <v>235</v>
      </c>
      <c r="S1883" s="2" t="s">
        <v>235</v>
      </c>
      <c r="T1883" s="2" t="s">
        <v>235</v>
      </c>
      <c r="U1883" s="2" t="s">
        <v>807</v>
      </c>
      <c r="V1883" s="2" t="s">
        <v>238</v>
      </c>
      <c r="W1883" s="2" t="s">
        <v>235</v>
      </c>
      <c r="X1883" s="2" t="s">
        <v>235</v>
      </c>
      <c r="Y1883" s="2" t="s">
        <v>1938</v>
      </c>
      <c r="Z1883" s="4">
        <v>71</v>
      </c>
      <c r="AA1883" s="4">
        <f>=ROUNDDOWN(177.5,0)</f>
      </c>
      <c r="AB1883" s="5">
        <v>0.4</v>
      </c>
      <c r="AC1883" s="2" t="s">
        <v>235</v>
      </c>
      <c r="AD1883" s="4"/>
      <c r="AE1883" s="4"/>
      <c r="AF1883" s="6"/>
      <c r="AG1883" s="6"/>
      <c r="AH1883" s="7">
        <v>1</v>
      </c>
      <c r="AI1883" s="4"/>
      <c r="AJ1883" s="4">
        <f>=ROUNDDOWN({0},0)</f>
      </c>
      <c r="AK1883" s="5"/>
      <c r="AL1883" s="2" t="s">
        <v>235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 t="s">
        <v>235</v>
      </c>
      <c r="BD1883" s="8" t="s">
        <v>235</v>
      </c>
      <c r="BE1883" s="4" t="s">
        <v>235</v>
      </c>
      <c r="BF1883" s="8" t="s">
        <v>235</v>
      </c>
      <c r="BG1883" s="7" t="s">
        <v>235</v>
      </c>
      <c r="BH1883" s="7" t="s">
        <v>235</v>
      </c>
      <c r="BI1883" s="7"/>
      <c r="BJ1883" s="4">
        <v>2</v>
      </c>
      <c r="BK1883" s="8">
        <v>480.92</v>
      </c>
      <c r="BL1883" s="2" t="s">
        <v>900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6839</v>
      </c>
      <c r="BV1883" s="2" t="s">
        <v>1424</v>
      </c>
      <c r="BW1883" s="2" t="s">
        <v>235</v>
      </c>
      <c r="BX1883" s="2" t="s">
        <v>244</v>
      </c>
      <c r="BY1883" s="2" t="s">
        <v>245</v>
      </c>
      <c r="BZ1883" s="2" t="s">
        <v>232</v>
      </c>
      <c r="CA1883" s="2" t="s">
        <v>4835</v>
      </c>
      <c r="CB1883" s="2" t="s">
        <v>1327</v>
      </c>
      <c r="CC1883" s="2" t="s">
        <v>248</v>
      </c>
      <c r="CD1883" s="2" t="s">
        <v>248</v>
      </c>
      <c r="CE1883" s="2" t="s">
        <v>235</v>
      </c>
      <c r="CF1883" s="4"/>
      <c r="CG1883" s="4">
        <v>71</v>
      </c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9"/>
      <c r="HE1883" s="9"/>
      <c r="HF1883" s="9"/>
      <c r="HG1883" s="9"/>
      <c r="HH1883" s="9"/>
      <c r="HI1883" s="9"/>
      <c r="HJ1883" s="9"/>
      <c r="HK1883" s="9"/>
      <c r="HL1883" s="9"/>
      <c r="HM1883" s="9"/>
      <c r="HN1883" s="9"/>
      <c r="HO1883" s="9"/>
      <c r="HP1883" s="9"/>
      <c r="HQ1883" s="9"/>
      <c r="HR1883" s="9"/>
      <c r="HS1883" s="9"/>
      <c r="HT1883" s="9"/>
      <c r="HU1883" s="9"/>
      <c r="HV1883" s="9"/>
      <c r="HW1883" s="9"/>
      <c r="HX1883" s="9"/>
      <c r="HY1883" s="9"/>
      <c r="HZ1883" s="9"/>
      <c r="IA1883" s="9"/>
      <c r="IB1883" s="9"/>
      <c r="IC1883" s="9"/>
    </row>
    <row r="1884">
      <c r="A1884" s="2" t="s">
        <v>6841</v>
      </c>
      <c r="B1884" s="2" t="s">
        <v>1529</v>
      </c>
      <c r="C1884" s="2" t="s">
        <v>1381</v>
      </c>
      <c r="D1884" s="2" t="s">
        <v>1086</v>
      </c>
      <c r="E1884" s="2" t="s">
        <v>4253</v>
      </c>
      <c r="F1884" s="2" t="s">
        <v>6838</v>
      </c>
      <c r="G1884" s="2" t="s">
        <v>6838</v>
      </c>
      <c r="H1884" s="2" t="s">
        <v>6838</v>
      </c>
      <c r="I1884" s="2" t="s">
        <v>1087</v>
      </c>
      <c r="J1884" s="2" t="s">
        <v>897</v>
      </c>
      <c r="K1884" s="2" t="s">
        <v>3700</v>
      </c>
      <c r="L1884" s="3">
        <v>267.86</v>
      </c>
      <c r="M1884" s="3">
        <v>281.25</v>
      </c>
      <c r="N1884" s="3">
        <v>799</v>
      </c>
      <c r="O1884" s="2" t="s">
        <v>232</v>
      </c>
      <c r="P1884" s="2" t="s">
        <v>1533</v>
      </c>
      <c r="Q1884" s="2" t="s">
        <v>492</v>
      </c>
      <c r="R1884" s="2" t="s">
        <v>235</v>
      </c>
      <c r="S1884" s="2" t="s">
        <v>235</v>
      </c>
      <c r="T1884" s="2" t="s">
        <v>235</v>
      </c>
      <c r="U1884" s="2" t="s">
        <v>807</v>
      </c>
      <c r="V1884" s="2" t="s">
        <v>238</v>
      </c>
      <c r="W1884" s="2" t="s">
        <v>235</v>
      </c>
      <c r="X1884" s="2" t="s">
        <v>235</v>
      </c>
      <c r="Y1884" s="2" t="s">
        <v>5925</v>
      </c>
      <c r="Z1884" s="4">
        <v>44</v>
      </c>
      <c r="AA1884" s="4">
        <f>=ROUNDDOWN({0},0)</f>
      </c>
      <c r="AB1884" s="5"/>
      <c r="AC1884" s="2" t="s">
        <v>235</v>
      </c>
      <c r="AD1884" s="4"/>
      <c r="AE1884" s="4"/>
      <c r="AF1884" s="6"/>
      <c r="AG1884" s="6"/>
      <c r="AH1884" s="7">
        <v>1</v>
      </c>
      <c r="AI1884" s="4"/>
      <c r="AJ1884" s="4">
        <f>=ROUNDDOWN({0},0)</f>
      </c>
      <c r="AK1884" s="5"/>
      <c r="AL1884" s="2" t="s">
        <v>235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 t="s">
        <v>235</v>
      </c>
      <c r="BD1884" s="8" t="s">
        <v>235</v>
      </c>
      <c r="BE1884" s="4" t="s">
        <v>235</v>
      </c>
      <c r="BF1884" s="8" t="s">
        <v>235</v>
      </c>
      <c r="BG1884" s="7" t="s">
        <v>235</v>
      </c>
      <c r="BH1884" s="7" t="s">
        <v>235</v>
      </c>
      <c r="BI1884" s="7"/>
      <c r="BJ1884" s="4"/>
      <c r="BK1884" s="8"/>
      <c r="BL1884" s="2" t="s">
        <v>235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6839</v>
      </c>
      <c r="BV1884" s="2" t="s">
        <v>1424</v>
      </c>
      <c r="BW1884" s="2" t="s">
        <v>235</v>
      </c>
      <c r="BX1884" s="2" t="s">
        <v>244</v>
      </c>
      <c r="BY1884" s="2" t="s">
        <v>245</v>
      </c>
      <c r="BZ1884" s="2" t="s">
        <v>232</v>
      </c>
      <c r="CA1884" s="2" t="s">
        <v>4835</v>
      </c>
      <c r="CB1884" s="2" t="s">
        <v>235</v>
      </c>
      <c r="CC1884" s="2" t="s">
        <v>248</v>
      </c>
      <c r="CD1884" s="2" t="s">
        <v>248</v>
      </c>
      <c r="CE1884" s="2" t="s">
        <v>235</v>
      </c>
      <c r="CF1884" s="4"/>
      <c r="CG1884" s="4">
        <v>21</v>
      </c>
      <c r="CH1884" s="4"/>
      <c r="CI1884" s="4">
        <v>23</v>
      </c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9"/>
      <c r="HE1884" s="9"/>
      <c r="HF1884" s="9"/>
      <c r="HG1884" s="9"/>
      <c r="HH1884" s="9"/>
      <c r="HI1884" s="9"/>
      <c r="HJ1884" s="9"/>
      <c r="HK1884" s="9"/>
      <c r="HL1884" s="9"/>
      <c r="HM1884" s="9"/>
      <c r="HN1884" s="9"/>
      <c r="HO1884" s="9"/>
      <c r="HP1884" s="9"/>
      <c r="HQ1884" s="9"/>
      <c r="HR1884" s="9"/>
      <c r="HS1884" s="9"/>
      <c r="HT1884" s="9"/>
      <c r="HU1884" s="9"/>
      <c r="HV1884" s="9"/>
      <c r="HW1884" s="9"/>
      <c r="HX1884" s="9"/>
      <c r="HY1884" s="9"/>
      <c r="HZ1884" s="9"/>
      <c r="IA1884" s="9"/>
      <c r="IB1884" s="9"/>
      <c r="IC1884" s="9"/>
    </row>
    <row r="1885">
      <c r="A1885" s="2" t="s">
        <v>6842</v>
      </c>
      <c r="B1885" s="2" t="s">
        <v>905</v>
      </c>
      <c r="C1885" s="2" t="s">
        <v>324</v>
      </c>
      <c r="D1885" s="2" t="s">
        <v>990</v>
      </c>
      <c r="E1885" s="2" t="s">
        <v>991</v>
      </c>
      <c r="F1885" s="2" t="s">
        <v>6843</v>
      </c>
      <c r="G1885" s="2" t="s">
        <v>6844</v>
      </c>
      <c r="H1885" s="2" t="s">
        <v>6844</v>
      </c>
      <c r="I1885" s="2" t="s">
        <v>6845</v>
      </c>
      <c r="J1885" s="2" t="s">
        <v>3871</v>
      </c>
      <c r="K1885" s="2" t="s">
        <v>506</v>
      </c>
      <c r="L1885" s="3">
        <v>16.34</v>
      </c>
      <c r="M1885" s="3">
        <v>17.16</v>
      </c>
      <c r="N1885" s="3">
        <v>34.99</v>
      </c>
      <c r="O1885" s="2" t="s">
        <v>232</v>
      </c>
      <c r="P1885" s="2" t="s">
        <v>233</v>
      </c>
      <c r="Q1885" s="2" t="s">
        <v>234</v>
      </c>
      <c r="R1885" s="2" t="s">
        <v>235</v>
      </c>
      <c r="S1885" s="2" t="s">
        <v>6846</v>
      </c>
      <c r="T1885" s="2" t="s">
        <v>912</v>
      </c>
      <c r="U1885" s="2" t="s">
        <v>807</v>
      </c>
      <c r="V1885" s="2" t="s">
        <v>824</v>
      </c>
      <c r="W1885" s="2" t="s">
        <v>682</v>
      </c>
      <c r="X1885" s="2" t="s">
        <v>329</v>
      </c>
      <c r="Y1885" s="2" t="s">
        <v>6847</v>
      </c>
      <c r="Z1885" s="4">
        <v>1042</v>
      </c>
      <c r="AA1885" s="4">
        <f>=ROUNDDOWN(359.310344827586,0)</f>
      </c>
      <c r="AB1885" s="5">
        <v>2.9</v>
      </c>
      <c r="AC1885" s="2" t="s">
        <v>235</v>
      </c>
      <c r="AD1885" s="4"/>
      <c r="AE1885" s="4"/>
      <c r="AF1885" s="6">
        <v>64</v>
      </c>
      <c r="AG1885" s="6"/>
      <c r="AH1885" s="7">
        <v>1</v>
      </c>
      <c r="AI1885" s="4"/>
      <c r="AJ1885" s="4">
        <f>=ROUNDDOWN({0},0)</f>
      </c>
      <c r="AK1885" s="5"/>
      <c r="AL1885" s="2" t="s">
        <v>235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235</v>
      </c>
      <c r="BD1885" s="8" t="s">
        <v>235</v>
      </c>
      <c r="BE1885" s="4" t="s">
        <v>235</v>
      </c>
      <c r="BF1885" s="8" t="s">
        <v>235</v>
      </c>
      <c r="BG1885" s="7" t="s">
        <v>235</v>
      </c>
      <c r="BH1885" s="7" t="s">
        <v>235</v>
      </c>
      <c r="BI1885" s="7"/>
      <c r="BJ1885" s="4">
        <v>15</v>
      </c>
      <c r="BK1885" s="8">
        <v>271.41</v>
      </c>
      <c r="BL1885" s="2" t="s">
        <v>6848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6849</v>
      </c>
      <c r="BV1885" s="2" t="s">
        <v>243</v>
      </c>
      <c r="BW1885" s="2" t="s">
        <v>235</v>
      </c>
      <c r="BX1885" s="2" t="s">
        <v>244</v>
      </c>
      <c r="BY1885" s="2" t="s">
        <v>245</v>
      </c>
      <c r="BZ1885" s="2" t="s">
        <v>232</v>
      </c>
      <c r="CA1885" s="2" t="s">
        <v>6847</v>
      </c>
      <c r="CB1885" s="2" t="s">
        <v>1445</v>
      </c>
      <c r="CC1885" s="2" t="s">
        <v>248</v>
      </c>
      <c r="CD1885" s="2" t="s">
        <v>248</v>
      </c>
      <c r="CE1885" s="2" t="s">
        <v>235</v>
      </c>
      <c r="CF1885" s="4">
        <v>1042</v>
      </c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>
        <v>1044</v>
      </c>
      <c r="GE1885" s="4">
        <v>1037</v>
      </c>
      <c r="GF1885" s="4">
        <v>1032</v>
      </c>
      <c r="GG1885" s="4">
        <v>1027</v>
      </c>
      <c r="GH1885" s="4">
        <v>1022</v>
      </c>
      <c r="GI1885" s="4">
        <v>1004</v>
      </c>
      <c r="GJ1885" s="4">
        <v>986</v>
      </c>
      <c r="GK1885" s="4">
        <v>968</v>
      </c>
      <c r="GL1885" s="4">
        <v>950</v>
      </c>
      <c r="GM1885" s="4">
        <v>932</v>
      </c>
      <c r="GN1885" s="4">
        <v>906</v>
      </c>
      <c r="GO1885" s="4">
        <v>822</v>
      </c>
      <c r="GP1885" s="4">
        <v>727</v>
      </c>
      <c r="GQ1885" s="4">
        <v>500</v>
      </c>
      <c r="GR1885" s="4">
        <v>436</v>
      </c>
      <c r="GS1885" s="4">
        <v>345</v>
      </c>
      <c r="GT1885" s="4">
        <v>281</v>
      </c>
      <c r="GU1885" s="4">
        <v>271</v>
      </c>
      <c r="GV1885" s="4">
        <v>258</v>
      </c>
      <c r="GW1885" s="4">
        <v>246</v>
      </c>
      <c r="GX1885" s="4">
        <v>234</v>
      </c>
      <c r="GY1885" s="4">
        <v>222</v>
      </c>
      <c r="GZ1885" s="4">
        <v>216</v>
      </c>
      <c r="HA1885" s="4">
        <v>213</v>
      </c>
      <c r="HB1885" s="4">
        <v>210</v>
      </c>
      <c r="HC1885" s="4">
        <v>207</v>
      </c>
      <c r="HD1885" s="19">
        <v>174</v>
      </c>
      <c r="HE1885" s="19">
        <v>129.6</v>
      </c>
      <c r="HF1885" s="19">
        <v>86</v>
      </c>
      <c r="HG1885" s="19">
        <v>68.5</v>
      </c>
      <c r="HH1885" s="19">
        <v>56.8</v>
      </c>
      <c r="HI1885" s="19">
        <v>55.8</v>
      </c>
      <c r="HJ1885" s="19">
        <v>49.3</v>
      </c>
      <c r="HK1885" s="19">
        <v>26.9</v>
      </c>
      <c r="HL1885" s="19">
        <v>17</v>
      </c>
      <c r="HM1885" s="19">
        <v>8.6</v>
      </c>
      <c r="HN1885" s="19">
        <v>7.7</v>
      </c>
      <c r="HO1885" s="19">
        <v>6.9</v>
      </c>
      <c r="HP1885" s="19">
        <v>6.5</v>
      </c>
      <c r="HQ1885" s="19">
        <v>8.8</v>
      </c>
      <c r="HR1885" s="19">
        <v>9.9</v>
      </c>
      <c r="HS1885" s="19">
        <v>13.8</v>
      </c>
      <c r="HT1885" s="19">
        <v>23.4</v>
      </c>
      <c r="HU1885" s="19">
        <v>22.6</v>
      </c>
      <c r="HV1885" s="19">
        <v>25.8</v>
      </c>
      <c r="HW1885" s="19">
        <v>30.8</v>
      </c>
      <c r="HX1885" s="19">
        <v>39</v>
      </c>
      <c r="HY1885" s="19">
        <v>55.5</v>
      </c>
      <c r="HZ1885" s="19">
        <v>72</v>
      </c>
      <c r="IA1885" s="19">
        <v>71</v>
      </c>
      <c r="IB1885" s="19">
        <v>70</v>
      </c>
      <c r="IC1885" s="19">
        <v>69</v>
      </c>
    </row>
    <row r="1886">
      <c r="A1886" s="2" t="s">
        <v>6850</v>
      </c>
      <c r="B1886" s="2" t="s">
        <v>905</v>
      </c>
      <c r="C1886" s="2" t="s">
        <v>324</v>
      </c>
      <c r="D1886" s="2" t="s">
        <v>990</v>
      </c>
      <c r="E1886" s="2" t="s">
        <v>991</v>
      </c>
      <c r="F1886" s="2" t="s">
        <v>6843</v>
      </c>
      <c r="G1886" s="2" t="s">
        <v>6844</v>
      </c>
      <c r="H1886" s="2" t="s">
        <v>6844</v>
      </c>
      <c r="I1886" s="2" t="s">
        <v>6845</v>
      </c>
      <c r="J1886" s="2" t="s">
        <v>3871</v>
      </c>
      <c r="K1886" s="2" t="s">
        <v>292</v>
      </c>
      <c r="L1886" s="3">
        <v>16.34</v>
      </c>
      <c r="M1886" s="3">
        <v>17.16</v>
      </c>
      <c r="N1886" s="3">
        <v>34.99</v>
      </c>
      <c r="O1886" s="2" t="s">
        <v>232</v>
      </c>
      <c r="P1886" s="2" t="s">
        <v>233</v>
      </c>
      <c r="Q1886" s="2" t="s">
        <v>234</v>
      </c>
      <c r="R1886" s="2" t="s">
        <v>235</v>
      </c>
      <c r="S1886" s="2" t="s">
        <v>6851</v>
      </c>
      <c r="T1886" s="2" t="s">
        <v>912</v>
      </c>
      <c r="U1886" s="2" t="s">
        <v>235</v>
      </c>
      <c r="V1886" s="2" t="s">
        <v>824</v>
      </c>
      <c r="W1886" s="2" t="s">
        <v>682</v>
      </c>
      <c r="X1886" s="2" t="s">
        <v>329</v>
      </c>
      <c r="Y1886" s="2" t="s">
        <v>6852</v>
      </c>
      <c r="Z1886" s="4">
        <v>1414</v>
      </c>
      <c r="AA1886" s="4">
        <f>=ROUNDDOWN(141.4,0)</f>
      </c>
      <c r="AB1886" s="5">
        <v>10</v>
      </c>
      <c r="AC1886" s="2" t="s">
        <v>235</v>
      </c>
      <c r="AD1886" s="4"/>
      <c r="AE1886" s="4"/>
      <c r="AF1886" s="6">
        <v>64</v>
      </c>
      <c r="AG1886" s="6">
        <v>47</v>
      </c>
      <c r="AH1886" s="7">
        <v>1</v>
      </c>
      <c r="AI1886" s="4"/>
      <c r="AJ1886" s="4">
        <f>=ROUNDDOWN({0},0)</f>
      </c>
      <c r="AK1886" s="5"/>
      <c r="AL1886" s="2" t="s">
        <v>235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235</v>
      </c>
      <c r="BD1886" s="8" t="s">
        <v>235</v>
      </c>
      <c r="BE1886" s="4" t="s">
        <v>235</v>
      </c>
      <c r="BF1886" s="8" t="s">
        <v>235</v>
      </c>
      <c r="BG1886" s="7" t="s">
        <v>235</v>
      </c>
      <c r="BH1886" s="7" t="s">
        <v>235</v>
      </c>
      <c r="BI1886" s="7"/>
      <c r="BJ1886" s="4">
        <v>34</v>
      </c>
      <c r="BK1886" s="8">
        <v>625.91</v>
      </c>
      <c r="BL1886" s="2" t="s">
        <v>6853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6849</v>
      </c>
      <c r="BV1886" s="2" t="s">
        <v>243</v>
      </c>
      <c r="BW1886" s="2" t="s">
        <v>235</v>
      </c>
      <c r="BX1886" s="2" t="s">
        <v>244</v>
      </c>
      <c r="BY1886" s="2" t="s">
        <v>245</v>
      </c>
      <c r="BZ1886" s="2" t="s">
        <v>232</v>
      </c>
      <c r="CA1886" s="2" t="s">
        <v>4688</v>
      </c>
      <c r="CB1886" s="2" t="s">
        <v>6854</v>
      </c>
      <c r="CC1886" s="2" t="s">
        <v>248</v>
      </c>
      <c r="CD1886" s="2" t="s">
        <v>248</v>
      </c>
      <c r="CE1886" s="2" t="s">
        <v>235</v>
      </c>
      <c r="CF1886" s="4">
        <v>1079</v>
      </c>
      <c r="CG1886" s="4"/>
      <c r="CH1886" s="4"/>
      <c r="CI1886" s="4">
        <v>335</v>
      </c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>
        <v>1420</v>
      </c>
      <c r="GE1886" s="4">
        <v>1397</v>
      </c>
      <c r="GF1886" s="4">
        <v>1379</v>
      </c>
      <c r="GG1886" s="4">
        <v>1361</v>
      </c>
      <c r="GH1886" s="4">
        <v>1343</v>
      </c>
      <c r="GI1886" s="4">
        <v>1319</v>
      </c>
      <c r="GJ1886" s="4">
        <v>1295</v>
      </c>
      <c r="GK1886" s="4">
        <v>1271</v>
      </c>
      <c r="GL1886" s="4">
        <v>1247</v>
      </c>
      <c r="GM1886" s="4">
        <v>1223</v>
      </c>
      <c r="GN1886" s="4">
        <v>1189</v>
      </c>
      <c r="GO1886" s="4">
        <v>1077</v>
      </c>
      <c r="GP1886" s="4">
        <v>949</v>
      </c>
      <c r="GQ1886" s="4">
        <v>655</v>
      </c>
      <c r="GR1886" s="4">
        <v>578</v>
      </c>
      <c r="GS1886" s="4">
        <v>470</v>
      </c>
      <c r="GT1886" s="4">
        <v>393</v>
      </c>
      <c r="GU1886" s="4">
        <v>380</v>
      </c>
      <c r="GV1886" s="4">
        <v>364</v>
      </c>
      <c r="GW1886" s="4">
        <v>350</v>
      </c>
      <c r="GX1886" s="4">
        <v>336</v>
      </c>
      <c r="GY1886" s="4">
        <v>322</v>
      </c>
      <c r="GZ1886" s="4">
        <v>304</v>
      </c>
      <c r="HA1886" s="4">
        <v>295</v>
      </c>
      <c r="HB1886" s="4">
        <v>286</v>
      </c>
      <c r="HC1886" s="4">
        <v>276</v>
      </c>
      <c r="HD1886" s="19">
        <v>69.2</v>
      </c>
      <c r="HE1886" s="19">
        <v>69.1</v>
      </c>
      <c r="HF1886" s="19">
        <v>60.2</v>
      </c>
      <c r="HG1886" s="19">
        <v>57.9</v>
      </c>
      <c r="HH1886" s="19">
        <v>56</v>
      </c>
      <c r="HI1886" s="19">
        <v>55</v>
      </c>
      <c r="HJ1886" s="19">
        <v>49.8</v>
      </c>
      <c r="HK1886" s="19">
        <v>26.5</v>
      </c>
      <c r="HL1886" s="19">
        <v>16.9</v>
      </c>
      <c r="HM1886" s="19">
        <v>8.1</v>
      </c>
      <c r="HN1886" s="19">
        <v>6.9</v>
      </c>
      <c r="HO1886" s="19">
        <v>5.9</v>
      </c>
      <c r="HP1886" s="19">
        <v>5.3</v>
      </c>
      <c r="HQ1886" s="19">
        <v>4.8</v>
      </c>
      <c r="HR1886" s="19">
        <v>5.4</v>
      </c>
      <c r="HS1886" s="19">
        <v>7.9</v>
      </c>
      <c r="HT1886" s="19">
        <v>14.1</v>
      </c>
      <c r="HU1886" s="19">
        <v>13.6</v>
      </c>
      <c r="HV1886" s="19">
        <v>12.2</v>
      </c>
      <c r="HW1886" s="19">
        <v>12.5</v>
      </c>
      <c r="HX1886" s="19">
        <v>14</v>
      </c>
      <c r="HY1886" s="19">
        <v>13.4</v>
      </c>
      <c r="HZ1886" s="19">
        <v>16.9</v>
      </c>
      <c r="IA1886" s="19">
        <v>16.4</v>
      </c>
      <c r="IB1886" s="19">
        <v>15.9</v>
      </c>
      <c r="IC1886" s="19">
        <v>15.4</v>
      </c>
    </row>
    <row r="1887">
      <c r="A1887" s="2" t="s">
        <v>6855</v>
      </c>
      <c r="B1887" s="2" t="s">
        <v>871</v>
      </c>
      <c r="C1887" s="2" t="s">
        <v>2384</v>
      </c>
      <c r="D1887" s="2" t="s">
        <v>1539</v>
      </c>
      <c r="E1887" s="2" t="s">
        <v>1540</v>
      </c>
      <c r="F1887" s="2" t="s">
        <v>6856</v>
      </c>
      <c r="G1887" s="2" t="s">
        <v>6856</v>
      </c>
      <c r="H1887" s="2" t="s">
        <v>6856</v>
      </c>
      <c r="I1887" s="2" t="s">
        <v>6857</v>
      </c>
      <c r="J1887" s="2" t="s">
        <v>1988</v>
      </c>
      <c r="K1887" s="2" t="s">
        <v>6858</v>
      </c>
      <c r="L1887" s="3">
        <v>18</v>
      </c>
      <c r="M1887" s="3">
        <v>18.9</v>
      </c>
      <c r="N1887" s="3">
        <v>44.99</v>
      </c>
      <c r="O1887" s="2" t="s">
        <v>232</v>
      </c>
      <c r="P1887" s="2" t="s">
        <v>336</v>
      </c>
      <c r="Q1887" s="2" t="s">
        <v>234</v>
      </c>
      <c r="R1887" s="2" t="s">
        <v>235</v>
      </c>
      <c r="S1887" s="2" t="s">
        <v>6859</v>
      </c>
      <c r="T1887" s="2" t="s">
        <v>263</v>
      </c>
      <c r="U1887" s="2" t="s">
        <v>807</v>
      </c>
      <c r="V1887" s="2" t="s">
        <v>880</v>
      </c>
      <c r="W1887" s="2" t="s">
        <v>682</v>
      </c>
      <c r="X1887" s="2" t="s">
        <v>235</v>
      </c>
      <c r="Y1887" s="2" t="s">
        <v>6860</v>
      </c>
      <c r="Z1887" s="4">
        <v>57</v>
      </c>
      <c r="AA1887" s="4">
        <f>=ROUNDDOWN(11.4,0)</f>
      </c>
      <c r="AB1887" s="5">
        <v>5</v>
      </c>
      <c r="AC1887" s="2" t="s">
        <v>266</v>
      </c>
      <c r="AD1887" s="4">
        <v>180</v>
      </c>
      <c r="AE1887" s="4">
        <v>180</v>
      </c>
      <c r="AF1887" s="6">
        <v>76</v>
      </c>
      <c r="AG1887" s="6"/>
      <c r="AH1887" s="7">
        <v>1</v>
      </c>
      <c r="AI1887" s="4"/>
      <c r="AJ1887" s="4">
        <f>=ROUNDDOWN({0},0)</f>
      </c>
      <c r="AK1887" s="5"/>
      <c r="AL1887" s="2" t="s">
        <v>235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17</v>
      </c>
      <c r="BK1887" s="8">
        <v>342.82</v>
      </c>
      <c r="BL1887" s="2" t="s">
        <v>3252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6861</v>
      </c>
      <c r="BV1887" s="2" t="s">
        <v>243</v>
      </c>
      <c r="BW1887" s="2" t="s">
        <v>235</v>
      </c>
      <c r="BX1887" s="2" t="s">
        <v>244</v>
      </c>
      <c r="BY1887" s="2" t="s">
        <v>245</v>
      </c>
      <c r="BZ1887" s="2" t="s">
        <v>232</v>
      </c>
      <c r="CA1887" s="2" t="s">
        <v>3020</v>
      </c>
      <c r="CB1887" s="2" t="s">
        <v>6862</v>
      </c>
      <c r="CC1887" s="2" t="s">
        <v>248</v>
      </c>
      <c r="CD1887" s="2" t="s">
        <v>248</v>
      </c>
      <c r="CE1887" s="2" t="s">
        <v>235</v>
      </c>
      <c r="CF1887" s="4">
        <v>57</v>
      </c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>
        <v>180</v>
      </c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>
        <v>58</v>
      </c>
      <c r="GE1887" s="4">
        <v>223</v>
      </c>
      <c r="GF1887" s="4">
        <v>219</v>
      </c>
      <c r="GG1887" s="4">
        <v>217</v>
      </c>
      <c r="GH1887" s="4">
        <v>214</v>
      </c>
      <c r="GI1887" s="4">
        <v>211</v>
      </c>
      <c r="GJ1887" s="4">
        <v>201</v>
      </c>
      <c r="GK1887" s="4">
        <v>194</v>
      </c>
      <c r="GL1887" s="4">
        <v>190</v>
      </c>
      <c r="GM1887" s="4">
        <v>188</v>
      </c>
      <c r="GN1887" s="4">
        <v>182</v>
      </c>
      <c r="GO1887" s="4">
        <v>176</v>
      </c>
      <c r="GP1887" s="4">
        <v>168</v>
      </c>
      <c r="GQ1887" s="4">
        <v>160</v>
      </c>
      <c r="GR1887" s="4">
        <v>146</v>
      </c>
      <c r="GS1887" s="4">
        <v>143</v>
      </c>
      <c r="GT1887" s="4">
        <v>140</v>
      </c>
      <c r="GU1887" s="4">
        <v>137</v>
      </c>
      <c r="GV1887" s="4">
        <v>132</v>
      </c>
      <c r="GW1887" s="4">
        <v>127</v>
      </c>
      <c r="GX1887" s="4">
        <v>124</v>
      </c>
      <c r="GY1887" s="4">
        <v>119</v>
      </c>
      <c r="GZ1887" s="4">
        <v>115</v>
      </c>
      <c r="HA1887" s="4">
        <v>110</v>
      </c>
      <c r="HB1887" s="4">
        <v>105</v>
      </c>
      <c r="HC1887" s="4">
        <v>101</v>
      </c>
      <c r="HD1887" s="19">
        <v>9.7</v>
      </c>
      <c r="HE1887" s="19">
        <v>74.3</v>
      </c>
      <c r="HF1887" s="19">
        <v>54.8</v>
      </c>
      <c r="HG1887" s="19">
        <v>36.2</v>
      </c>
      <c r="HH1887" s="19">
        <v>35.7</v>
      </c>
      <c r="HI1887" s="19">
        <v>35.2</v>
      </c>
      <c r="HJ1887" s="19">
        <v>40.2</v>
      </c>
      <c r="HK1887" s="19">
        <v>48.5</v>
      </c>
      <c r="HL1887" s="19">
        <v>31.7</v>
      </c>
      <c r="HM1887" s="19">
        <v>26.9</v>
      </c>
      <c r="HN1887" s="19">
        <v>20.2</v>
      </c>
      <c r="HO1887" s="19">
        <v>22</v>
      </c>
      <c r="HP1887" s="19">
        <v>24</v>
      </c>
      <c r="HQ1887" s="19">
        <v>26.7</v>
      </c>
      <c r="HR1887" s="19">
        <v>36.5</v>
      </c>
      <c r="HS1887" s="19">
        <v>35.8</v>
      </c>
      <c r="HT1887" s="19">
        <v>35</v>
      </c>
      <c r="HU1887" s="19">
        <v>34.3</v>
      </c>
      <c r="HV1887" s="19">
        <v>33</v>
      </c>
      <c r="HW1887" s="19">
        <v>31.8</v>
      </c>
      <c r="HX1887" s="19">
        <v>24.8</v>
      </c>
      <c r="HY1887" s="19">
        <v>29.8</v>
      </c>
      <c r="HZ1887" s="19">
        <v>28.8</v>
      </c>
      <c r="IA1887" s="19">
        <v>27.5</v>
      </c>
      <c r="IB1887" s="19">
        <v>26.3</v>
      </c>
      <c r="IC1887" s="19">
        <v>25.3</v>
      </c>
    </row>
    <row r="1888">
      <c r="A1888" s="2" t="s">
        <v>6863</v>
      </c>
      <c r="B1888" s="2" t="s">
        <v>871</v>
      </c>
      <c r="C1888" s="2" t="s">
        <v>324</v>
      </c>
      <c r="D1888" s="2" t="s">
        <v>361</v>
      </c>
      <c r="E1888" s="2" t="s">
        <v>872</v>
      </c>
      <c r="F1888" s="2" t="s">
        <v>6864</v>
      </c>
      <c r="G1888" s="2" t="s">
        <v>6865</v>
      </c>
      <c r="H1888" s="2" t="s">
        <v>4671</v>
      </c>
      <c r="I1888" s="2" t="s">
        <v>6866</v>
      </c>
      <c r="J1888" s="2" t="s">
        <v>272</v>
      </c>
      <c r="K1888" s="2" t="s">
        <v>231</v>
      </c>
      <c r="L1888" s="3">
        <v>64</v>
      </c>
      <c r="M1888" s="3">
        <v>67.2</v>
      </c>
      <c r="N1888" s="3">
        <v>139.99</v>
      </c>
      <c r="O1888" s="2" t="s">
        <v>232</v>
      </c>
      <c r="P1888" s="2" t="s">
        <v>878</v>
      </c>
      <c r="Q1888" s="2" t="s">
        <v>234</v>
      </c>
      <c r="R1888" s="2" t="s">
        <v>235</v>
      </c>
      <c r="S1888" s="2" t="s">
        <v>235</v>
      </c>
      <c r="T1888" s="2" t="s">
        <v>328</v>
      </c>
      <c r="U1888" s="2" t="s">
        <v>742</v>
      </c>
      <c r="V1888" s="2" t="s">
        <v>880</v>
      </c>
      <c r="W1888" s="2" t="s">
        <v>881</v>
      </c>
      <c r="X1888" s="2" t="s">
        <v>882</v>
      </c>
      <c r="Y1888" s="2" t="s">
        <v>6867</v>
      </c>
      <c r="Z1888" s="4"/>
      <c r="AA1888" s="4">
        <f>=ROUNDDOWN({0},0)</f>
      </c>
      <c r="AB1888" s="5">
        <v>9</v>
      </c>
      <c r="AC1888" s="2" t="s">
        <v>208</v>
      </c>
      <c r="AD1888" s="4">
        <v>190</v>
      </c>
      <c r="AE1888" s="4">
        <v>190</v>
      </c>
      <c r="AF1888" s="6">
        <v>82</v>
      </c>
      <c r="AG1888" s="6"/>
      <c r="AH1888" s="7">
        <v>0</v>
      </c>
      <c r="AI1888" s="4"/>
      <c r="AJ1888" s="4">
        <f>=ROUNDDOWN({0},0)</f>
      </c>
      <c r="AK1888" s="5"/>
      <c r="AL1888" s="2" t="s">
        <v>235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/>
      <c r="BK1888" s="8"/>
      <c r="BL1888" s="2" t="s">
        <v>235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6868</v>
      </c>
      <c r="BV1888" s="2" t="s">
        <v>235</v>
      </c>
      <c r="BW1888" s="2" t="s">
        <v>235</v>
      </c>
      <c r="BX1888" s="2" t="s">
        <v>244</v>
      </c>
      <c r="BY1888" s="2" t="s">
        <v>245</v>
      </c>
      <c r="BZ1888" s="2" t="s">
        <v>232</v>
      </c>
      <c r="CA1888" s="2" t="s">
        <v>235</v>
      </c>
      <c r="CB1888" s="2" t="s">
        <v>6869</v>
      </c>
      <c r="CC1888" s="2" t="s">
        <v>248</v>
      </c>
      <c r="CD1888" s="2" t="s">
        <v>248</v>
      </c>
      <c r="CE1888" s="2" t="s">
        <v>235</v>
      </c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>
        <v>190</v>
      </c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>
        <v>190</v>
      </c>
      <c r="GU1888" s="4">
        <v>141</v>
      </c>
      <c r="GV1888" s="4">
        <v>131</v>
      </c>
      <c r="GW1888" s="4">
        <v>122</v>
      </c>
      <c r="GX1888" s="4">
        <v>113</v>
      </c>
      <c r="GY1888" s="4">
        <v>104</v>
      </c>
      <c r="GZ1888" s="4">
        <v>95</v>
      </c>
      <c r="HA1888" s="4">
        <v>86</v>
      </c>
      <c r="HB1888" s="4">
        <v>77</v>
      </c>
      <c r="HC1888" s="4">
        <v>68</v>
      </c>
      <c r="HD1888" s="20">
        <v>0</v>
      </c>
      <c r="HE1888" s="20">
        <v>0</v>
      </c>
      <c r="HF1888" s="20">
        <v>0</v>
      </c>
      <c r="HG1888" s="20">
        <v>0</v>
      </c>
      <c r="HH1888" s="20">
        <v>0</v>
      </c>
      <c r="HI1888" s="20">
        <v>0</v>
      </c>
      <c r="HJ1888" s="20">
        <v>0</v>
      </c>
      <c r="HK1888" s="20">
        <v>0</v>
      </c>
      <c r="HL1888" s="20">
        <v>0</v>
      </c>
      <c r="HM1888" s="20">
        <v>0</v>
      </c>
      <c r="HN1888" s="20">
        <v>0</v>
      </c>
      <c r="HO1888" s="20">
        <v>0</v>
      </c>
      <c r="HP1888" s="20">
        <v>0</v>
      </c>
      <c r="HQ1888" s="20">
        <v>0</v>
      </c>
      <c r="HR1888" s="20">
        <v>0</v>
      </c>
      <c r="HS1888" s="20">
        <v>0</v>
      </c>
      <c r="HT1888" s="19">
        <v>10</v>
      </c>
      <c r="HU1888" s="19">
        <v>15.7</v>
      </c>
      <c r="HV1888" s="19">
        <v>14.6</v>
      </c>
      <c r="HW1888" s="19">
        <v>13.6</v>
      </c>
      <c r="HX1888" s="19">
        <v>12.6</v>
      </c>
      <c r="HY1888" s="19">
        <v>11.6</v>
      </c>
      <c r="HZ1888" s="19">
        <v>10.6</v>
      </c>
      <c r="IA1888" s="19">
        <v>9.6</v>
      </c>
      <c r="IB1888" s="19">
        <v>8.6</v>
      </c>
      <c r="IC1888" s="19">
        <v>7.6</v>
      </c>
    </row>
    <row r="1889">
      <c r="A1889" s="2" t="s">
        <v>6870</v>
      </c>
      <c r="B1889" s="2" t="s">
        <v>852</v>
      </c>
      <c r="C1889" s="2" t="s">
        <v>324</v>
      </c>
      <c r="D1889" s="2" t="s">
        <v>854</v>
      </c>
      <c r="E1889" s="2" t="s">
        <v>855</v>
      </c>
      <c r="F1889" s="2" t="s">
        <v>6871</v>
      </c>
      <c r="G1889" s="2" t="s">
        <v>5966</v>
      </c>
      <c r="H1889" s="2" t="s">
        <v>6872</v>
      </c>
      <c r="I1889" s="2" t="s">
        <v>6873</v>
      </c>
      <c r="J1889" s="2" t="s">
        <v>860</v>
      </c>
      <c r="K1889" s="2" t="s">
        <v>6874</v>
      </c>
      <c r="L1889" s="3">
        <v>17.49</v>
      </c>
      <c r="M1889" s="3">
        <v>18.36</v>
      </c>
      <c r="N1889" s="3">
        <v>39.99</v>
      </c>
      <c r="O1889" s="2" t="s">
        <v>232</v>
      </c>
      <c r="P1889" s="2" t="s">
        <v>878</v>
      </c>
      <c r="Q1889" s="2" t="s">
        <v>234</v>
      </c>
      <c r="R1889" s="2" t="s">
        <v>235</v>
      </c>
      <c r="S1889" s="2" t="s">
        <v>6875</v>
      </c>
      <c r="T1889" s="2" t="s">
        <v>235</v>
      </c>
      <c r="U1889" s="2" t="s">
        <v>807</v>
      </c>
      <c r="V1889" s="2" t="s">
        <v>3806</v>
      </c>
      <c r="W1889" s="2" t="s">
        <v>235</v>
      </c>
      <c r="X1889" s="2" t="s">
        <v>235</v>
      </c>
      <c r="Y1889" s="2" t="s">
        <v>3807</v>
      </c>
      <c r="Z1889" s="4">
        <v>1518</v>
      </c>
      <c r="AA1889" s="4">
        <f>=ROUNDDOWN(506,0)</f>
      </c>
      <c r="AB1889" s="5">
        <v>3</v>
      </c>
      <c r="AC1889" s="2" t="s">
        <v>235</v>
      </c>
      <c r="AD1889" s="4"/>
      <c r="AE1889" s="4"/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235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235</v>
      </c>
      <c r="AW1889" s="8" t="s">
        <v>235</v>
      </c>
      <c r="AX1889" s="4" t="s">
        <v>235</v>
      </c>
      <c r="AY1889" s="8" t="s">
        <v>235</v>
      </c>
      <c r="AZ1889" s="7" t="s">
        <v>235</v>
      </c>
      <c r="BA1889" s="7" t="s">
        <v>235</v>
      </c>
      <c r="BB1889" s="7"/>
      <c r="BC1889" s="4" t="s">
        <v>235</v>
      </c>
      <c r="BD1889" s="8" t="s">
        <v>235</v>
      </c>
      <c r="BE1889" s="4" t="s">
        <v>235</v>
      </c>
      <c r="BF1889" s="8" t="s">
        <v>235</v>
      </c>
      <c r="BG1889" s="7" t="s">
        <v>235</v>
      </c>
      <c r="BH1889" s="7" t="s">
        <v>235</v>
      </c>
      <c r="BI1889" s="7"/>
      <c r="BJ1889" s="4">
        <v>2</v>
      </c>
      <c r="BK1889" s="8">
        <v>39.08</v>
      </c>
      <c r="BL1889" s="2" t="s">
        <v>6876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6877</v>
      </c>
      <c r="BV1889" s="2" t="s">
        <v>867</v>
      </c>
      <c r="BW1889" s="2" t="s">
        <v>235</v>
      </c>
      <c r="BX1889" s="2" t="s">
        <v>244</v>
      </c>
      <c r="BY1889" s="2" t="s">
        <v>245</v>
      </c>
      <c r="BZ1889" s="2" t="s">
        <v>232</v>
      </c>
      <c r="CA1889" s="2" t="s">
        <v>3810</v>
      </c>
      <c r="CB1889" s="2" t="s">
        <v>235</v>
      </c>
      <c r="CC1889" s="2" t="s">
        <v>248</v>
      </c>
      <c r="CD1889" s="2" t="s">
        <v>248</v>
      </c>
      <c r="CE1889" s="2" t="s">
        <v>235</v>
      </c>
      <c r="CF1889" s="4">
        <v>1191</v>
      </c>
      <c r="CG1889" s="4"/>
      <c r="CH1889" s="4"/>
      <c r="CI1889" s="4">
        <v>327</v>
      </c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>
        <v>1518</v>
      </c>
      <c r="GE1889" s="4">
        <v>1516</v>
      </c>
      <c r="GF1889" s="4">
        <v>1514</v>
      </c>
      <c r="GG1889" s="4">
        <v>1512</v>
      </c>
      <c r="GH1889" s="4">
        <v>1510</v>
      </c>
      <c r="GI1889" s="4">
        <v>1508</v>
      </c>
      <c r="GJ1889" s="4">
        <v>1506</v>
      </c>
      <c r="GK1889" s="4">
        <v>1504</v>
      </c>
      <c r="GL1889" s="4">
        <v>1502</v>
      </c>
      <c r="GM1889" s="4">
        <v>1500</v>
      </c>
      <c r="GN1889" s="4">
        <v>1497</v>
      </c>
      <c r="GO1889" s="4">
        <v>1494</v>
      </c>
      <c r="GP1889" s="4">
        <v>1491</v>
      </c>
      <c r="GQ1889" s="4">
        <v>1488</v>
      </c>
      <c r="GR1889" s="4">
        <v>1485</v>
      </c>
      <c r="GS1889" s="4">
        <v>1482</v>
      </c>
      <c r="GT1889" s="4">
        <v>1480</v>
      </c>
      <c r="GU1889" s="4">
        <v>1478</v>
      </c>
      <c r="GV1889" s="4">
        <v>1476</v>
      </c>
      <c r="GW1889" s="4">
        <v>1474</v>
      </c>
      <c r="GX1889" s="4">
        <v>1472</v>
      </c>
      <c r="GY1889" s="4">
        <v>1470</v>
      </c>
      <c r="GZ1889" s="4">
        <v>1468</v>
      </c>
      <c r="HA1889" s="4">
        <v>1466</v>
      </c>
      <c r="HB1889" s="4">
        <v>1464</v>
      </c>
      <c r="HC1889" s="4">
        <v>1462</v>
      </c>
      <c r="HD1889" s="19">
        <v>759</v>
      </c>
      <c r="HE1889" s="19">
        <v>758</v>
      </c>
      <c r="HF1889" s="19">
        <v>757</v>
      </c>
      <c r="HG1889" s="19">
        <v>756</v>
      </c>
      <c r="HH1889" s="19">
        <v>755</v>
      </c>
      <c r="HI1889" s="19">
        <v>754</v>
      </c>
      <c r="HJ1889" s="19">
        <v>753</v>
      </c>
      <c r="HK1889" s="19">
        <v>752</v>
      </c>
      <c r="HL1889" s="19">
        <v>500.7</v>
      </c>
      <c r="HM1889" s="19">
        <v>500</v>
      </c>
      <c r="HN1889" s="19">
        <v>499</v>
      </c>
      <c r="HO1889" s="19">
        <v>498</v>
      </c>
      <c r="HP1889" s="19">
        <v>497</v>
      </c>
      <c r="HQ1889" s="19">
        <v>744</v>
      </c>
      <c r="HR1889" s="19">
        <v>742.5</v>
      </c>
      <c r="HS1889" s="19">
        <v>741</v>
      </c>
      <c r="HT1889" s="19">
        <v>740</v>
      </c>
      <c r="HU1889" s="19">
        <v>739</v>
      </c>
      <c r="HV1889" s="19">
        <v>738</v>
      </c>
      <c r="HW1889" s="19">
        <v>737</v>
      </c>
      <c r="HX1889" s="19">
        <v>736</v>
      </c>
      <c r="HY1889" s="19">
        <v>735</v>
      </c>
      <c r="HZ1889" s="19">
        <v>734</v>
      </c>
      <c r="IA1889" s="19">
        <v>733</v>
      </c>
      <c r="IB1889" s="19">
        <v>732</v>
      </c>
      <c r="IC1889" s="19">
        <v>731</v>
      </c>
    </row>
    <row r="1890">
      <c r="A1890" s="2" t="s">
        <v>6878</v>
      </c>
      <c r="B1890" s="2" t="s">
        <v>852</v>
      </c>
      <c r="C1890" s="2" t="s">
        <v>324</v>
      </c>
      <c r="D1890" s="2" t="s">
        <v>854</v>
      </c>
      <c r="E1890" s="2" t="s">
        <v>855</v>
      </c>
      <c r="F1890" s="2" t="s">
        <v>6871</v>
      </c>
      <c r="G1890" s="2" t="s">
        <v>5966</v>
      </c>
      <c r="H1890" s="2" t="s">
        <v>6872</v>
      </c>
      <c r="I1890" s="2" t="s">
        <v>6873</v>
      </c>
      <c r="J1890" s="2" t="s">
        <v>1130</v>
      </c>
      <c r="K1890" s="2" t="s">
        <v>6874</v>
      </c>
      <c r="L1890" s="3">
        <v>19.71</v>
      </c>
      <c r="M1890" s="3">
        <v>20.7</v>
      </c>
      <c r="N1890" s="3">
        <v>44.99</v>
      </c>
      <c r="O1890" s="2" t="s">
        <v>232</v>
      </c>
      <c r="P1890" s="2" t="s">
        <v>878</v>
      </c>
      <c r="Q1890" s="2" t="s">
        <v>234</v>
      </c>
      <c r="R1890" s="2" t="s">
        <v>235</v>
      </c>
      <c r="S1890" s="2" t="s">
        <v>6875</v>
      </c>
      <c r="T1890" s="2" t="s">
        <v>235</v>
      </c>
      <c r="U1890" s="2" t="s">
        <v>807</v>
      </c>
      <c r="V1890" s="2" t="s">
        <v>3806</v>
      </c>
      <c r="W1890" s="2" t="s">
        <v>235</v>
      </c>
      <c r="X1890" s="2" t="s">
        <v>235</v>
      </c>
      <c r="Y1890" s="2" t="s">
        <v>3807</v>
      </c>
      <c r="Z1890" s="4">
        <v>806</v>
      </c>
      <c r="AA1890" s="4">
        <f>=ROUNDDOWN(268.666666666667,0)</f>
      </c>
      <c r="AB1890" s="5">
        <v>3</v>
      </c>
      <c r="AC1890" s="2" t="s">
        <v>235</v>
      </c>
      <c r="AD1890" s="4"/>
      <c r="AE1890" s="4"/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235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235</v>
      </c>
      <c r="AW1890" s="8" t="s">
        <v>235</v>
      </c>
      <c r="AX1890" s="4" t="s">
        <v>235</v>
      </c>
      <c r="AY1890" s="8" t="s">
        <v>235</v>
      </c>
      <c r="AZ1890" s="7" t="s">
        <v>235</v>
      </c>
      <c r="BA1890" s="7" t="s">
        <v>235</v>
      </c>
      <c r="BB1890" s="7"/>
      <c r="BC1890" s="4" t="s">
        <v>235</v>
      </c>
      <c r="BD1890" s="8" t="s">
        <v>235</v>
      </c>
      <c r="BE1890" s="4" t="s">
        <v>235</v>
      </c>
      <c r="BF1890" s="8" t="s">
        <v>235</v>
      </c>
      <c r="BG1890" s="7" t="s">
        <v>235</v>
      </c>
      <c r="BH1890" s="7" t="s">
        <v>235</v>
      </c>
      <c r="BI1890" s="7"/>
      <c r="BJ1890" s="4">
        <v>6</v>
      </c>
      <c r="BK1890" s="8">
        <v>248.06</v>
      </c>
      <c r="BL1890" s="2" t="s">
        <v>6879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6877</v>
      </c>
      <c r="BV1890" s="2" t="s">
        <v>867</v>
      </c>
      <c r="BW1890" s="2" t="s">
        <v>235</v>
      </c>
      <c r="BX1890" s="2" t="s">
        <v>244</v>
      </c>
      <c r="BY1890" s="2" t="s">
        <v>245</v>
      </c>
      <c r="BZ1890" s="2" t="s">
        <v>232</v>
      </c>
      <c r="CA1890" s="2" t="s">
        <v>3810</v>
      </c>
      <c r="CB1890" s="2" t="s">
        <v>3219</v>
      </c>
      <c r="CC1890" s="2" t="s">
        <v>248</v>
      </c>
      <c r="CD1890" s="2" t="s">
        <v>248</v>
      </c>
      <c r="CE1890" s="2" t="s">
        <v>235</v>
      </c>
      <c r="CF1890" s="4">
        <v>658</v>
      </c>
      <c r="CG1890" s="4"/>
      <c r="CH1890" s="4"/>
      <c r="CI1890" s="4">
        <v>148</v>
      </c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>
        <v>806</v>
      </c>
      <c r="GE1890" s="4">
        <v>804</v>
      </c>
      <c r="GF1890" s="4">
        <v>802</v>
      </c>
      <c r="GG1890" s="4">
        <v>800</v>
      </c>
      <c r="GH1890" s="4">
        <v>798</v>
      </c>
      <c r="GI1890" s="4">
        <v>796</v>
      </c>
      <c r="GJ1890" s="4">
        <v>794</v>
      </c>
      <c r="GK1890" s="4">
        <v>792</v>
      </c>
      <c r="GL1890" s="4">
        <v>789</v>
      </c>
      <c r="GM1890" s="4">
        <v>786</v>
      </c>
      <c r="GN1890" s="4">
        <v>782</v>
      </c>
      <c r="GO1890" s="4">
        <v>778</v>
      </c>
      <c r="GP1890" s="4">
        <v>774</v>
      </c>
      <c r="GQ1890" s="4">
        <v>770</v>
      </c>
      <c r="GR1890" s="4">
        <v>766</v>
      </c>
      <c r="GS1890" s="4">
        <v>762</v>
      </c>
      <c r="GT1890" s="4">
        <v>759</v>
      </c>
      <c r="GU1890" s="4">
        <v>756</v>
      </c>
      <c r="GV1890" s="4">
        <v>753</v>
      </c>
      <c r="GW1890" s="4">
        <v>750</v>
      </c>
      <c r="GX1890" s="4">
        <v>747</v>
      </c>
      <c r="GY1890" s="4">
        <v>744</v>
      </c>
      <c r="GZ1890" s="4">
        <v>741</v>
      </c>
      <c r="HA1890" s="4">
        <v>738</v>
      </c>
      <c r="HB1890" s="4">
        <v>735</v>
      </c>
      <c r="HC1890" s="4">
        <v>732</v>
      </c>
      <c r="HD1890" s="19">
        <v>403</v>
      </c>
      <c r="HE1890" s="19">
        <v>402</v>
      </c>
      <c r="HF1890" s="19">
        <v>401</v>
      </c>
      <c r="HG1890" s="19">
        <v>400</v>
      </c>
      <c r="HH1890" s="19">
        <v>399</v>
      </c>
      <c r="HI1890" s="19">
        <v>398</v>
      </c>
      <c r="HJ1890" s="19">
        <v>264.7</v>
      </c>
      <c r="HK1890" s="19">
        <v>198</v>
      </c>
      <c r="HL1890" s="19">
        <v>197.3</v>
      </c>
      <c r="HM1890" s="19">
        <v>196.5</v>
      </c>
      <c r="HN1890" s="19">
        <v>195.5</v>
      </c>
      <c r="HO1890" s="19">
        <v>194.5</v>
      </c>
      <c r="HP1890" s="19">
        <v>193.5</v>
      </c>
      <c r="HQ1890" s="19">
        <v>192.5</v>
      </c>
      <c r="HR1890" s="19">
        <v>255.3</v>
      </c>
      <c r="HS1890" s="19">
        <v>254</v>
      </c>
      <c r="HT1890" s="19">
        <v>253</v>
      </c>
      <c r="HU1890" s="19">
        <v>252</v>
      </c>
      <c r="HV1890" s="19">
        <v>251</v>
      </c>
      <c r="HW1890" s="19">
        <v>250</v>
      </c>
      <c r="HX1890" s="19">
        <v>249</v>
      </c>
      <c r="HY1890" s="19">
        <v>248</v>
      </c>
      <c r="HZ1890" s="19">
        <v>247</v>
      </c>
      <c r="IA1890" s="19">
        <v>246</v>
      </c>
      <c r="IB1890" s="19">
        <v>245</v>
      </c>
      <c r="IC1890" s="19">
        <v>244</v>
      </c>
    </row>
    <row r="1891">
      <c r="A1891" s="2" t="s">
        <v>6880</v>
      </c>
      <c r="B1891" s="2" t="s">
        <v>1529</v>
      </c>
      <c r="C1891" s="2" t="s">
        <v>1381</v>
      </c>
      <c r="D1891" s="2" t="s">
        <v>4778</v>
      </c>
      <c r="E1891" s="2" t="s">
        <v>4779</v>
      </c>
      <c r="F1891" s="2" t="s">
        <v>6881</v>
      </c>
      <c r="G1891" s="2" t="s">
        <v>6881</v>
      </c>
      <c r="H1891" s="2" t="s">
        <v>6881</v>
      </c>
      <c r="I1891" s="2" t="s">
        <v>6882</v>
      </c>
      <c r="J1891" s="2" t="s">
        <v>897</v>
      </c>
      <c r="K1891" s="2" t="s">
        <v>6883</v>
      </c>
      <c r="L1891" s="3">
        <v>500</v>
      </c>
      <c r="M1891" s="3">
        <v>525</v>
      </c>
      <c r="N1891" s="3">
        <v>1499</v>
      </c>
      <c r="O1891" s="2" t="s">
        <v>232</v>
      </c>
      <c r="P1891" s="2" t="s">
        <v>1533</v>
      </c>
      <c r="Q1891" s="2" t="s">
        <v>492</v>
      </c>
      <c r="R1891" s="2" t="s">
        <v>235</v>
      </c>
      <c r="S1891" s="2" t="s">
        <v>235</v>
      </c>
      <c r="T1891" s="2" t="s">
        <v>235</v>
      </c>
      <c r="U1891" s="2" t="s">
        <v>807</v>
      </c>
      <c r="V1891" s="2" t="s">
        <v>238</v>
      </c>
      <c r="W1891" s="2" t="s">
        <v>235</v>
      </c>
      <c r="X1891" s="2" t="s">
        <v>235</v>
      </c>
      <c r="Y1891" s="2" t="s">
        <v>931</v>
      </c>
      <c r="Z1891" s="4"/>
      <c r="AA1891" s="4">
        <f>=ROUNDDOWN({0},0)</f>
      </c>
      <c r="AB1891" s="5"/>
      <c r="AC1891" s="2" t="s">
        <v>235</v>
      </c>
      <c r="AD1891" s="4"/>
      <c r="AE1891" s="4"/>
      <c r="AF1891" s="6"/>
      <c r="AG1891" s="6"/>
      <c r="AH1891" s="7">
        <v>0</v>
      </c>
      <c r="AI1891" s="4"/>
      <c r="AJ1891" s="4">
        <f>=ROUNDDOWN({0},0)</f>
      </c>
      <c r="AK1891" s="5"/>
      <c r="AL1891" s="2" t="s">
        <v>235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/>
      <c r="BK1891" s="8"/>
      <c r="BL1891" s="2" t="s">
        <v>900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6884</v>
      </c>
      <c r="BV1891" s="2" t="s">
        <v>4384</v>
      </c>
      <c r="BW1891" s="2" t="s">
        <v>235</v>
      </c>
      <c r="BX1891" s="2" t="s">
        <v>244</v>
      </c>
      <c r="BY1891" s="2" t="s">
        <v>245</v>
      </c>
      <c r="BZ1891" s="2" t="s">
        <v>232</v>
      </c>
      <c r="CA1891" s="2" t="s">
        <v>1536</v>
      </c>
      <c r="CB1891" s="2" t="s">
        <v>2829</v>
      </c>
      <c r="CC1891" s="2" t="s">
        <v>248</v>
      </c>
      <c r="CD1891" s="2" t="s">
        <v>248</v>
      </c>
      <c r="CE1891" s="2" t="s">
        <v>235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9"/>
      <c r="HE1891" s="9"/>
      <c r="HF1891" s="9"/>
      <c r="HG1891" s="9"/>
      <c r="HH1891" s="9"/>
      <c r="HI1891" s="9"/>
      <c r="HJ1891" s="9"/>
      <c r="HK1891" s="9"/>
      <c r="HL1891" s="9"/>
      <c r="HM1891" s="9"/>
      <c r="HN1891" s="9"/>
      <c r="HO1891" s="9"/>
      <c r="HP1891" s="9"/>
      <c r="HQ1891" s="9"/>
      <c r="HR1891" s="9"/>
      <c r="HS1891" s="9"/>
      <c r="HT1891" s="9"/>
      <c r="HU1891" s="9"/>
      <c r="HV1891" s="9"/>
      <c r="HW1891" s="9"/>
      <c r="HX1891" s="9"/>
      <c r="HY1891" s="9"/>
      <c r="HZ1891" s="9"/>
      <c r="IA1891" s="9"/>
      <c r="IB1891" s="9"/>
      <c r="IC1891" s="9"/>
    </row>
    <row r="1892">
      <c r="A1892" s="2" t="s">
        <v>6885</v>
      </c>
      <c r="B1892" s="2" t="s">
        <v>852</v>
      </c>
      <c r="C1892" s="2" t="s">
        <v>324</v>
      </c>
      <c r="D1892" s="2" t="s">
        <v>854</v>
      </c>
      <c r="E1892" s="2" t="s">
        <v>855</v>
      </c>
      <c r="F1892" s="2" t="s">
        <v>6886</v>
      </c>
      <c r="G1892" s="2" t="s">
        <v>6887</v>
      </c>
      <c r="H1892" s="2" t="s">
        <v>6888</v>
      </c>
      <c r="I1892" s="2" t="s">
        <v>6889</v>
      </c>
      <c r="J1892" s="2" t="s">
        <v>1237</v>
      </c>
      <c r="K1892" s="2" t="s">
        <v>6890</v>
      </c>
      <c r="L1892" s="3">
        <v>14.48</v>
      </c>
      <c r="M1892" s="3">
        <v>15.2</v>
      </c>
      <c r="N1892" s="3">
        <v>34.99</v>
      </c>
      <c r="O1892" s="2" t="s">
        <v>232</v>
      </c>
      <c r="P1892" s="2" t="s">
        <v>233</v>
      </c>
      <c r="Q1892" s="2" t="s">
        <v>234</v>
      </c>
      <c r="R1892" s="2" t="s">
        <v>235</v>
      </c>
      <c r="S1892" s="2" t="s">
        <v>6891</v>
      </c>
      <c r="T1892" s="2" t="s">
        <v>235</v>
      </c>
      <c r="U1892" s="2" t="s">
        <v>807</v>
      </c>
      <c r="V1892" s="2" t="s">
        <v>2182</v>
      </c>
      <c r="W1892" s="2" t="s">
        <v>682</v>
      </c>
      <c r="X1892" s="2" t="s">
        <v>1242</v>
      </c>
      <c r="Y1892" s="2" t="s">
        <v>240</v>
      </c>
      <c r="Z1892" s="4">
        <v>230</v>
      </c>
      <c r="AA1892" s="4">
        <f>=ROUNDDOWN(43.3962264150943,0)</f>
      </c>
      <c r="AB1892" s="5">
        <v>5.3</v>
      </c>
      <c r="AC1892" s="2" t="s">
        <v>235</v>
      </c>
      <c r="AD1892" s="4"/>
      <c r="AE1892" s="4"/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235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235</v>
      </c>
      <c r="BD1892" s="8" t="s">
        <v>235</v>
      </c>
      <c r="BE1892" s="4" t="s">
        <v>235</v>
      </c>
      <c r="BF1892" s="8" t="s">
        <v>235</v>
      </c>
      <c r="BG1892" s="7" t="s">
        <v>235</v>
      </c>
      <c r="BH1892" s="7" t="s">
        <v>235</v>
      </c>
      <c r="BI1892" s="7"/>
      <c r="BJ1892" s="4">
        <v>26</v>
      </c>
      <c r="BK1892" s="8">
        <v>368.34</v>
      </c>
      <c r="BL1892" s="2" t="s">
        <v>6892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6893</v>
      </c>
      <c r="BV1892" s="2" t="s">
        <v>867</v>
      </c>
      <c r="BW1892" s="2" t="s">
        <v>235</v>
      </c>
      <c r="BX1892" s="2" t="s">
        <v>244</v>
      </c>
      <c r="BY1892" s="2" t="s">
        <v>245</v>
      </c>
      <c r="BZ1892" s="2" t="s">
        <v>232</v>
      </c>
      <c r="CA1892" s="2" t="s">
        <v>4498</v>
      </c>
      <c r="CB1892" s="2" t="s">
        <v>1067</v>
      </c>
      <c r="CC1892" s="2" t="s">
        <v>248</v>
      </c>
      <c r="CD1892" s="2" t="s">
        <v>248</v>
      </c>
      <c r="CE1892" s="2" t="s">
        <v>235</v>
      </c>
      <c r="CF1892" s="4">
        <v>230</v>
      </c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>
        <v>232</v>
      </c>
      <c r="GE1892" s="4">
        <v>226</v>
      </c>
      <c r="GF1892" s="4">
        <v>221</v>
      </c>
      <c r="GG1892" s="4">
        <v>216</v>
      </c>
      <c r="GH1892" s="4">
        <v>211</v>
      </c>
      <c r="GI1892" s="4">
        <v>206</v>
      </c>
      <c r="GJ1892" s="4">
        <v>201</v>
      </c>
      <c r="GK1892" s="4">
        <v>196</v>
      </c>
      <c r="GL1892" s="4">
        <v>191</v>
      </c>
      <c r="GM1892" s="4">
        <v>186</v>
      </c>
      <c r="GN1892" s="4">
        <v>180</v>
      </c>
      <c r="GO1892" s="4">
        <v>173</v>
      </c>
      <c r="GP1892" s="4">
        <v>167</v>
      </c>
      <c r="GQ1892" s="4">
        <v>158</v>
      </c>
      <c r="GR1892" s="4">
        <v>153</v>
      </c>
      <c r="GS1892" s="4">
        <v>147</v>
      </c>
      <c r="GT1892" s="4">
        <v>142</v>
      </c>
      <c r="GU1892" s="4">
        <v>137</v>
      </c>
      <c r="GV1892" s="4">
        <v>132</v>
      </c>
      <c r="GW1892" s="4">
        <v>272</v>
      </c>
      <c r="GX1892" s="4">
        <v>267</v>
      </c>
      <c r="GY1892" s="4">
        <v>262</v>
      </c>
      <c r="GZ1892" s="4">
        <v>257</v>
      </c>
      <c r="HA1892" s="4">
        <v>252</v>
      </c>
      <c r="HB1892" s="4">
        <v>247</v>
      </c>
      <c r="HC1892" s="4">
        <v>241</v>
      </c>
      <c r="HD1892" s="19">
        <v>46.4</v>
      </c>
      <c r="HE1892" s="19">
        <v>45.2</v>
      </c>
      <c r="HF1892" s="19">
        <v>44.2</v>
      </c>
      <c r="HG1892" s="19">
        <v>43.2</v>
      </c>
      <c r="HH1892" s="19">
        <v>42.2</v>
      </c>
      <c r="HI1892" s="19">
        <v>41.2</v>
      </c>
      <c r="HJ1892" s="19">
        <v>40.2</v>
      </c>
      <c r="HK1892" s="19">
        <v>32.7</v>
      </c>
      <c r="HL1892" s="19">
        <v>31.8</v>
      </c>
      <c r="HM1892" s="19">
        <v>26.6</v>
      </c>
      <c r="HN1892" s="19">
        <v>25.7</v>
      </c>
      <c r="HO1892" s="19">
        <v>28.8</v>
      </c>
      <c r="HP1892" s="19">
        <v>27.8</v>
      </c>
      <c r="HQ1892" s="19">
        <v>31.6</v>
      </c>
      <c r="HR1892" s="19">
        <v>30.6</v>
      </c>
      <c r="HS1892" s="19">
        <v>29.4</v>
      </c>
      <c r="HT1892" s="19">
        <v>28.4</v>
      </c>
      <c r="HU1892" s="19">
        <v>27.4</v>
      </c>
      <c r="HV1892" s="19">
        <v>26.4</v>
      </c>
      <c r="HW1892" s="19">
        <v>54.4</v>
      </c>
      <c r="HX1892" s="19">
        <v>53.4</v>
      </c>
      <c r="HY1892" s="19">
        <v>52.4</v>
      </c>
      <c r="HZ1892" s="19">
        <v>51.4</v>
      </c>
      <c r="IA1892" s="19">
        <v>50.4</v>
      </c>
      <c r="IB1892" s="19">
        <v>49.4</v>
      </c>
      <c r="IC1892" s="19">
        <v>48.2</v>
      </c>
    </row>
    <row r="1893">
      <c r="A1893" s="2" t="s">
        <v>6894</v>
      </c>
      <c r="B1893" s="2" t="s">
        <v>852</v>
      </c>
      <c r="C1893" s="2" t="s">
        <v>324</v>
      </c>
      <c r="D1893" s="2" t="s">
        <v>854</v>
      </c>
      <c r="E1893" s="2" t="s">
        <v>855</v>
      </c>
      <c r="F1893" s="2" t="s">
        <v>6886</v>
      </c>
      <c r="G1893" s="2" t="s">
        <v>6887</v>
      </c>
      <c r="H1893" s="2" t="s">
        <v>6888</v>
      </c>
      <c r="I1893" s="2" t="s">
        <v>6889</v>
      </c>
      <c r="J1893" s="2" t="s">
        <v>1130</v>
      </c>
      <c r="K1893" s="2" t="s">
        <v>6895</v>
      </c>
      <c r="L1893" s="3">
        <v>18.4</v>
      </c>
      <c r="M1893" s="3">
        <v>19.32</v>
      </c>
      <c r="N1893" s="3">
        <v>39.99</v>
      </c>
      <c r="O1893" s="2" t="s">
        <v>485</v>
      </c>
      <c r="P1893" s="2" t="s">
        <v>408</v>
      </c>
      <c r="Q1893" s="2" t="s">
        <v>234</v>
      </c>
      <c r="R1893" s="2" t="s">
        <v>235</v>
      </c>
      <c r="S1893" s="2" t="s">
        <v>6896</v>
      </c>
      <c r="T1893" s="2" t="s">
        <v>235</v>
      </c>
      <c r="U1893" s="2" t="s">
        <v>807</v>
      </c>
      <c r="V1893" s="2" t="s">
        <v>2182</v>
      </c>
      <c r="W1893" s="2" t="s">
        <v>682</v>
      </c>
      <c r="X1893" s="2" t="s">
        <v>235</v>
      </c>
      <c r="Y1893" s="2" t="s">
        <v>240</v>
      </c>
      <c r="Z1893" s="4"/>
      <c r="AA1893" s="4">
        <f>=ROUNDDOWN({0},0)</f>
      </c>
      <c r="AB1893" s="5">
        <v>3</v>
      </c>
      <c r="AC1893" s="2" t="s">
        <v>235</v>
      </c>
      <c r="AD1893" s="4"/>
      <c r="AE1893" s="4"/>
      <c r="AF1893" s="6">
        <v>65</v>
      </c>
      <c r="AG1893" s="6"/>
      <c r="AH1893" s="7">
        <v>0</v>
      </c>
      <c r="AI1893" s="4"/>
      <c r="AJ1893" s="4">
        <f>=ROUNDDOWN({0},0)</f>
      </c>
      <c r="AK1893" s="5"/>
      <c r="AL1893" s="2" t="s">
        <v>235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235</v>
      </c>
      <c r="BD1893" s="8" t="s">
        <v>235</v>
      </c>
      <c r="BE1893" s="4" t="s">
        <v>235</v>
      </c>
      <c r="BF1893" s="8" t="s">
        <v>235</v>
      </c>
      <c r="BG1893" s="7" t="s">
        <v>235</v>
      </c>
      <c r="BH1893" s="7" t="s">
        <v>235</v>
      </c>
      <c r="BI1893" s="7"/>
      <c r="BJ1893" s="4"/>
      <c r="BK1893" s="8"/>
      <c r="BL1893" s="2" t="s">
        <v>1580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6893</v>
      </c>
      <c r="BV1893" s="2" t="s">
        <v>867</v>
      </c>
      <c r="BW1893" s="2" t="s">
        <v>235</v>
      </c>
      <c r="BX1893" s="2" t="s">
        <v>414</v>
      </c>
      <c r="BY1893" s="2" t="s">
        <v>245</v>
      </c>
      <c r="BZ1893" s="2" t="s">
        <v>232</v>
      </c>
      <c r="CA1893" s="2" t="s">
        <v>252</v>
      </c>
      <c r="CB1893" s="2" t="s">
        <v>1435</v>
      </c>
      <c r="CC1893" s="2" t="s">
        <v>492</v>
      </c>
      <c r="CD1893" s="2" t="s">
        <v>248</v>
      </c>
      <c r="CE1893" s="2" t="s">
        <v>235</v>
      </c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20">
        <v>0</v>
      </c>
      <c r="HE1893" s="20">
        <v>0</v>
      </c>
      <c r="HF1893" s="20">
        <v>0</v>
      </c>
      <c r="HG1893" s="20">
        <v>0</v>
      </c>
      <c r="HH1893" s="20">
        <v>0</v>
      </c>
      <c r="HI1893" s="20">
        <v>0</v>
      </c>
      <c r="HJ1893" s="20">
        <v>0</v>
      </c>
      <c r="HK1893" s="20">
        <v>0</v>
      </c>
      <c r="HL1893" s="20">
        <v>0</v>
      </c>
      <c r="HM1893" s="20">
        <v>0</v>
      </c>
      <c r="HN1893" s="20">
        <v>0</v>
      </c>
      <c r="HO1893" s="20">
        <v>0</v>
      </c>
      <c r="HP1893" s="20">
        <v>0</v>
      </c>
      <c r="HQ1893" s="20">
        <v>0</v>
      </c>
      <c r="HR1893" s="20">
        <v>0</v>
      </c>
      <c r="HS1893" s="20">
        <v>0</v>
      </c>
      <c r="HT1893" s="20">
        <v>0</v>
      </c>
      <c r="HU1893" s="20">
        <v>0</v>
      </c>
      <c r="HV1893" s="20">
        <v>0</v>
      </c>
      <c r="HW1893" s="20">
        <v>0</v>
      </c>
      <c r="HX1893" s="20">
        <v>0</v>
      </c>
      <c r="HY1893" s="20">
        <v>0</v>
      </c>
      <c r="HZ1893" s="20">
        <v>0</v>
      </c>
      <c r="IA1893" s="20">
        <v>0</v>
      </c>
      <c r="IB1893" s="20">
        <v>0</v>
      </c>
      <c r="IC1893" s="20">
        <v>0</v>
      </c>
    </row>
    <row r="1894">
      <c r="A1894" s="2" t="s">
        <v>6897</v>
      </c>
      <c r="B1894" s="2" t="s">
        <v>852</v>
      </c>
      <c r="C1894" s="2" t="s">
        <v>324</v>
      </c>
      <c r="D1894" s="2" t="s">
        <v>854</v>
      </c>
      <c r="E1894" s="2" t="s">
        <v>855</v>
      </c>
      <c r="F1894" s="2" t="s">
        <v>6886</v>
      </c>
      <c r="G1894" s="2" t="s">
        <v>6887</v>
      </c>
      <c r="H1894" s="2" t="s">
        <v>6888</v>
      </c>
      <c r="I1894" s="2" t="s">
        <v>6889</v>
      </c>
      <c r="J1894" s="2" t="s">
        <v>1224</v>
      </c>
      <c r="K1894" s="2" t="s">
        <v>6898</v>
      </c>
      <c r="L1894" s="3">
        <v>22.14</v>
      </c>
      <c r="M1894" s="3">
        <v>23.25</v>
      </c>
      <c r="N1894" s="3">
        <v>49.99</v>
      </c>
      <c r="O1894" s="2" t="s">
        <v>232</v>
      </c>
      <c r="P1894" s="2" t="s">
        <v>233</v>
      </c>
      <c r="Q1894" s="2" t="s">
        <v>234</v>
      </c>
      <c r="R1894" s="2" t="s">
        <v>235</v>
      </c>
      <c r="S1894" s="2" t="s">
        <v>6899</v>
      </c>
      <c r="T1894" s="2" t="s">
        <v>235</v>
      </c>
      <c r="U1894" s="2" t="s">
        <v>807</v>
      </c>
      <c r="V1894" s="2" t="s">
        <v>2182</v>
      </c>
      <c r="W1894" s="2" t="s">
        <v>682</v>
      </c>
      <c r="X1894" s="2" t="s">
        <v>1242</v>
      </c>
      <c r="Y1894" s="2" t="s">
        <v>240</v>
      </c>
      <c r="Z1894" s="4">
        <v>101</v>
      </c>
      <c r="AA1894" s="4">
        <f>=ROUNDDOWN(50.5,0)</f>
      </c>
      <c r="AB1894" s="5">
        <v>2</v>
      </c>
      <c r="AC1894" s="2" t="s">
        <v>235</v>
      </c>
      <c r="AD1894" s="4"/>
      <c r="AE1894" s="4"/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235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235</v>
      </c>
      <c r="BD1894" s="8" t="s">
        <v>235</v>
      </c>
      <c r="BE1894" s="4" t="s">
        <v>235</v>
      </c>
      <c r="BF1894" s="8" t="s">
        <v>235</v>
      </c>
      <c r="BG1894" s="7" t="s">
        <v>235</v>
      </c>
      <c r="BH1894" s="7" t="s">
        <v>235</v>
      </c>
      <c r="BI1894" s="7"/>
      <c r="BJ1894" s="4"/>
      <c r="BK1894" s="8"/>
      <c r="BL1894" s="2" t="s">
        <v>2751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6893</v>
      </c>
      <c r="BV1894" s="2" t="s">
        <v>867</v>
      </c>
      <c r="BW1894" s="2" t="s">
        <v>235</v>
      </c>
      <c r="BX1894" s="2" t="s">
        <v>244</v>
      </c>
      <c r="BY1894" s="2" t="s">
        <v>245</v>
      </c>
      <c r="BZ1894" s="2" t="s">
        <v>232</v>
      </c>
      <c r="CA1894" s="2" t="s">
        <v>252</v>
      </c>
      <c r="CB1894" s="2" t="s">
        <v>6900</v>
      </c>
      <c r="CC1894" s="2" t="s">
        <v>248</v>
      </c>
      <c r="CD1894" s="2" t="s">
        <v>248</v>
      </c>
      <c r="CE1894" s="2" t="s">
        <v>235</v>
      </c>
      <c r="CF1894" s="4">
        <v>101</v>
      </c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>
        <v>101</v>
      </c>
      <c r="GE1894" s="4">
        <v>99</v>
      </c>
      <c r="GF1894" s="4">
        <v>97</v>
      </c>
      <c r="GG1894" s="4">
        <v>95</v>
      </c>
      <c r="GH1894" s="4">
        <v>93</v>
      </c>
      <c r="GI1894" s="4">
        <v>91</v>
      </c>
      <c r="GJ1894" s="4">
        <v>89</v>
      </c>
      <c r="GK1894" s="4">
        <v>87</v>
      </c>
      <c r="GL1894" s="4">
        <v>85</v>
      </c>
      <c r="GM1894" s="4">
        <v>83</v>
      </c>
      <c r="GN1894" s="4">
        <v>81</v>
      </c>
      <c r="GO1894" s="4">
        <v>78</v>
      </c>
      <c r="GP1894" s="4">
        <v>75</v>
      </c>
      <c r="GQ1894" s="4">
        <v>71</v>
      </c>
      <c r="GR1894" s="4">
        <v>68</v>
      </c>
      <c r="GS1894" s="4">
        <v>64</v>
      </c>
      <c r="GT1894" s="4">
        <v>62</v>
      </c>
      <c r="GU1894" s="4">
        <v>60</v>
      </c>
      <c r="GV1894" s="4">
        <v>58</v>
      </c>
      <c r="GW1894" s="4">
        <v>56</v>
      </c>
      <c r="GX1894" s="4">
        <v>54</v>
      </c>
      <c r="GY1894" s="4">
        <v>52</v>
      </c>
      <c r="GZ1894" s="4">
        <v>50</v>
      </c>
      <c r="HA1894" s="4">
        <v>48</v>
      </c>
      <c r="HB1894" s="4">
        <v>46</v>
      </c>
      <c r="HC1894" s="4">
        <v>44</v>
      </c>
      <c r="HD1894" s="19">
        <v>50.5</v>
      </c>
      <c r="HE1894" s="19">
        <v>49.5</v>
      </c>
      <c r="HF1894" s="19">
        <v>48.5</v>
      </c>
      <c r="HG1894" s="19">
        <v>47.5</v>
      </c>
      <c r="HH1894" s="19">
        <v>46.5</v>
      </c>
      <c r="HI1894" s="19">
        <v>45.5</v>
      </c>
      <c r="HJ1894" s="19">
        <v>44.5</v>
      </c>
      <c r="HK1894" s="19">
        <v>43.5</v>
      </c>
      <c r="HL1894" s="19">
        <v>42.5</v>
      </c>
      <c r="HM1894" s="19">
        <v>27.7</v>
      </c>
      <c r="HN1894" s="19">
        <v>27</v>
      </c>
      <c r="HO1894" s="19">
        <v>19.5</v>
      </c>
      <c r="HP1894" s="19">
        <v>25</v>
      </c>
      <c r="HQ1894" s="19">
        <v>23.7</v>
      </c>
      <c r="HR1894" s="19">
        <v>34</v>
      </c>
      <c r="HS1894" s="19">
        <v>32</v>
      </c>
      <c r="HT1894" s="19">
        <v>31</v>
      </c>
      <c r="HU1894" s="19">
        <v>30</v>
      </c>
      <c r="HV1894" s="19">
        <v>29</v>
      </c>
      <c r="HW1894" s="19">
        <v>28</v>
      </c>
      <c r="HX1894" s="19">
        <v>27</v>
      </c>
      <c r="HY1894" s="19">
        <v>26</v>
      </c>
      <c r="HZ1894" s="19">
        <v>25</v>
      </c>
      <c r="IA1894" s="19">
        <v>24</v>
      </c>
      <c r="IB1894" s="19">
        <v>23</v>
      </c>
      <c r="IC1894" s="19">
        <v>22</v>
      </c>
    </row>
    <row r="1895">
      <c r="A1895" s="2" t="s">
        <v>6901</v>
      </c>
      <c r="B1895" s="2" t="s">
        <v>323</v>
      </c>
      <c r="C1895" s="2" t="s">
        <v>403</v>
      </c>
      <c r="D1895" s="2" t="s">
        <v>257</v>
      </c>
      <c r="E1895" s="2" t="s">
        <v>258</v>
      </c>
      <c r="F1895" s="2" t="s">
        <v>6499</v>
      </c>
      <c r="G1895" s="2" t="s">
        <v>6499</v>
      </c>
      <c r="H1895" s="2" t="s">
        <v>6499</v>
      </c>
      <c r="I1895" s="2" t="s">
        <v>6902</v>
      </c>
      <c r="J1895" s="2" t="s">
        <v>272</v>
      </c>
      <c r="K1895" s="2" t="s">
        <v>231</v>
      </c>
      <c r="L1895" s="3">
        <v>22.7</v>
      </c>
      <c r="M1895" s="3">
        <v>23.84</v>
      </c>
      <c r="N1895" s="3">
        <v>48.99</v>
      </c>
      <c r="O1895" s="2" t="s">
        <v>232</v>
      </c>
      <c r="P1895" s="2" t="s">
        <v>233</v>
      </c>
      <c r="Q1895" s="2" t="s">
        <v>234</v>
      </c>
      <c r="R1895" s="2" t="s">
        <v>235</v>
      </c>
      <c r="S1895" s="2" t="s">
        <v>6903</v>
      </c>
      <c r="T1895" s="2" t="s">
        <v>6499</v>
      </c>
      <c r="U1895" s="2" t="s">
        <v>614</v>
      </c>
      <c r="V1895" s="2" t="s">
        <v>238</v>
      </c>
      <c r="W1895" s="2" t="s">
        <v>239</v>
      </c>
      <c r="X1895" s="2" t="s">
        <v>682</v>
      </c>
      <c r="Y1895" s="2" t="s">
        <v>4084</v>
      </c>
      <c r="Z1895" s="4">
        <v>338</v>
      </c>
      <c r="AA1895" s="4">
        <f>=ROUNDDOWN(65,0)</f>
      </c>
      <c r="AB1895" s="5">
        <v>5.2</v>
      </c>
      <c r="AC1895" s="2" t="s">
        <v>235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235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235</v>
      </c>
      <c r="BD1895" s="8" t="s">
        <v>235</v>
      </c>
      <c r="BE1895" s="4" t="s">
        <v>235</v>
      </c>
      <c r="BF1895" s="8" t="s">
        <v>235</v>
      </c>
      <c r="BG1895" s="7" t="s">
        <v>235</v>
      </c>
      <c r="BH1895" s="7" t="s">
        <v>235</v>
      </c>
      <c r="BI1895" s="7"/>
      <c r="BJ1895" s="4">
        <v>19</v>
      </c>
      <c r="BK1895" s="8">
        <v>476.33</v>
      </c>
      <c r="BL1895" s="2" t="s">
        <v>6904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6905</v>
      </c>
      <c r="BV1895" s="2" t="s">
        <v>243</v>
      </c>
      <c r="BW1895" s="2" t="s">
        <v>235</v>
      </c>
      <c r="BX1895" s="2" t="s">
        <v>685</v>
      </c>
      <c r="BY1895" s="2" t="s">
        <v>245</v>
      </c>
      <c r="BZ1895" s="2" t="s">
        <v>232</v>
      </c>
      <c r="CA1895" s="2" t="s">
        <v>3481</v>
      </c>
      <c r="CB1895" s="2" t="s">
        <v>1873</v>
      </c>
      <c r="CC1895" s="2" t="s">
        <v>248</v>
      </c>
      <c r="CD1895" s="2" t="s">
        <v>248</v>
      </c>
      <c r="CE1895" s="2" t="s">
        <v>235</v>
      </c>
      <c r="CF1895" s="4">
        <v>61</v>
      </c>
      <c r="CG1895" s="4"/>
      <c r="CH1895" s="4"/>
      <c r="CI1895" s="4">
        <v>277</v>
      </c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>
        <v>339</v>
      </c>
      <c r="GE1895" s="4">
        <v>334</v>
      </c>
      <c r="GF1895" s="4">
        <v>330</v>
      </c>
      <c r="GG1895" s="4">
        <v>326</v>
      </c>
      <c r="GH1895" s="4">
        <v>322</v>
      </c>
      <c r="GI1895" s="4">
        <v>318</v>
      </c>
      <c r="GJ1895" s="4">
        <v>314</v>
      </c>
      <c r="GK1895" s="4">
        <v>309</v>
      </c>
      <c r="GL1895" s="4">
        <v>302</v>
      </c>
      <c r="GM1895" s="4">
        <v>297</v>
      </c>
      <c r="GN1895" s="4">
        <v>290</v>
      </c>
      <c r="GO1895" s="4">
        <v>281</v>
      </c>
      <c r="GP1895" s="4">
        <v>273</v>
      </c>
      <c r="GQ1895" s="4">
        <v>255</v>
      </c>
      <c r="GR1895" s="4">
        <v>243</v>
      </c>
      <c r="GS1895" s="4">
        <v>232</v>
      </c>
      <c r="GT1895" s="4">
        <v>225</v>
      </c>
      <c r="GU1895" s="4">
        <v>217</v>
      </c>
      <c r="GV1895" s="4">
        <v>212</v>
      </c>
      <c r="GW1895" s="4">
        <v>207</v>
      </c>
      <c r="GX1895" s="4">
        <v>202</v>
      </c>
      <c r="GY1895" s="4">
        <v>197</v>
      </c>
      <c r="GZ1895" s="4">
        <v>192</v>
      </c>
      <c r="HA1895" s="4">
        <v>187</v>
      </c>
      <c r="HB1895" s="4">
        <v>182</v>
      </c>
      <c r="HC1895" s="4">
        <v>176</v>
      </c>
      <c r="HD1895" s="19">
        <v>84.8</v>
      </c>
      <c r="HE1895" s="19">
        <v>83.5</v>
      </c>
      <c r="HF1895" s="19">
        <v>82.5</v>
      </c>
      <c r="HG1895" s="19">
        <v>81.5</v>
      </c>
      <c r="HH1895" s="19">
        <v>64.4</v>
      </c>
      <c r="HI1895" s="19">
        <v>63.6</v>
      </c>
      <c r="HJ1895" s="19">
        <v>52.3</v>
      </c>
      <c r="HK1895" s="19">
        <v>44.1</v>
      </c>
      <c r="HL1895" s="19">
        <v>43.1</v>
      </c>
      <c r="HM1895" s="19">
        <v>29.7</v>
      </c>
      <c r="HN1895" s="19">
        <v>24.2</v>
      </c>
      <c r="HO1895" s="19">
        <v>23.4</v>
      </c>
      <c r="HP1895" s="19">
        <v>22.8</v>
      </c>
      <c r="HQ1895" s="19">
        <v>25.5</v>
      </c>
      <c r="HR1895" s="19">
        <v>30.4</v>
      </c>
      <c r="HS1895" s="19">
        <v>38.7</v>
      </c>
      <c r="HT1895" s="19">
        <v>37.5</v>
      </c>
      <c r="HU1895" s="19">
        <v>43.4</v>
      </c>
      <c r="HV1895" s="19">
        <v>42.4</v>
      </c>
      <c r="HW1895" s="19">
        <v>41.4</v>
      </c>
      <c r="HX1895" s="19">
        <v>40.4</v>
      </c>
      <c r="HY1895" s="19">
        <v>39.4</v>
      </c>
      <c r="HZ1895" s="19">
        <v>38.4</v>
      </c>
      <c r="IA1895" s="19">
        <v>37.4</v>
      </c>
      <c r="IB1895" s="19">
        <v>36.4</v>
      </c>
      <c r="IC1895" s="19">
        <v>35.2</v>
      </c>
    </row>
    <row r="1896">
      <c r="A1896" s="2" t="s">
        <v>6906</v>
      </c>
      <c r="B1896" s="2" t="s">
        <v>323</v>
      </c>
      <c r="C1896" s="2" t="s">
        <v>403</v>
      </c>
      <c r="D1896" s="2" t="s">
        <v>257</v>
      </c>
      <c r="E1896" s="2" t="s">
        <v>258</v>
      </c>
      <c r="F1896" s="2" t="s">
        <v>6499</v>
      </c>
      <c r="G1896" s="2" t="s">
        <v>6499</v>
      </c>
      <c r="H1896" s="2" t="s">
        <v>6499</v>
      </c>
      <c r="I1896" s="2" t="s">
        <v>6902</v>
      </c>
      <c r="J1896" s="2" t="s">
        <v>394</v>
      </c>
      <c r="K1896" s="2" t="s">
        <v>4079</v>
      </c>
      <c r="L1896" s="3">
        <v>13.85</v>
      </c>
      <c r="M1896" s="3">
        <v>14.54</v>
      </c>
      <c r="N1896" s="3">
        <v>29.99</v>
      </c>
      <c r="O1896" s="2" t="s">
        <v>232</v>
      </c>
      <c r="P1896" s="2" t="s">
        <v>233</v>
      </c>
      <c r="Q1896" s="2" t="s">
        <v>234</v>
      </c>
      <c r="R1896" s="2" t="s">
        <v>235</v>
      </c>
      <c r="S1896" s="2" t="s">
        <v>6907</v>
      </c>
      <c r="T1896" s="2" t="s">
        <v>6499</v>
      </c>
      <c r="U1896" s="2" t="s">
        <v>264</v>
      </c>
      <c r="V1896" s="2" t="s">
        <v>238</v>
      </c>
      <c r="W1896" s="2" t="s">
        <v>239</v>
      </c>
      <c r="X1896" s="2" t="s">
        <v>682</v>
      </c>
      <c r="Y1896" s="2" t="s">
        <v>4084</v>
      </c>
      <c r="Z1896" s="4">
        <v>345</v>
      </c>
      <c r="AA1896" s="4">
        <f>=ROUNDDOWN(57.5,0)</f>
      </c>
      <c r="AB1896" s="5">
        <v>6</v>
      </c>
      <c r="AC1896" s="2" t="s">
        <v>235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235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235</v>
      </c>
      <c r="AW1896" s="8" t="s">
        <v>235</v>
      </c>
      <c r="AX1896" s="4" t="s">
        <v>235</v>
      </c>
      <c r="AY1896" s="8" t="s">
        <v>235</v>
      </c>
      <c r="AZ1896" s="7" t="s">
        <v>235</v>
      </c>
      <c r="BA1896" s="7" t="s">
        <v>235</v>
      </c>
      <c r="BB1896" s="7"/>
      <c r="BC1896" s="4" t="s">
        <v>235</v>
      </c>
      <c r="BD1896" s="8" t="s">
        <v>235</v>
      </c>
      <c r="BE1896" s="4" t="s">
        <v>235</v>
      </c>
      <c r="BF1896" s="8" t="s">
        <v>235</v>
      </c>
      <c r="BG1896" s="7" t="s">
        <v>235</v>
      </c>
      <c r="BH1896" s="7" t="s">
        <v>235</v>
      </c>
      <c r="BI1896" s="7"/>
      <c r="BJ1896" s="4">
        <v>20</v>
      </c>
      <c r="BK1896" s="8">
        <v>334.73</v>
      </c>
      <c r="BL1896" s="2" t="s">
        <v>6908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6905</v>
      </c>
      <c r="BV1896" s="2" t="s">
        <v>243</v>
      </c>
      <c r="BW1896" s="2" t="s">
        <v>235</v>
      </c>
      <c r="BX1896" s="2" t="s">
        <v>685</v>
      </c>
      <c r="BY1896" s="2" t="s">
        <v>245</v>
      </c>
      <c r="BZ1896" s="2" t="s">
        <v>232</v>
      </c>
      <c r="CA1896" s="2" t="s">
        <v>3481</v>
      </c>
      <c r="CB1896" s="2" t="s">
        <v>5243</v>
      </c>
      <c r="CC1896" s="2" t="s">
        <v>248</v>
      </c>
      <c r="CD1896" s="2" t="s">
        <v>248</v>
      </c>
      <c r="CE1896" s="2" t="s">
        <v>235</v>
      </c>
      <c r="CF1896" s="4">
        <v>247</v>
      </c>
      <c r="CG1896" s="4"/>
      <c r="CH1896" s="4"/>
      <c r="CI1896" s="4">
        <v>98</v>
      </c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>
        <v>350</v>
      </c>
      <c r="GE1896" s="4">
        <v>343</v>
      </c>
      <c r="GF1896" s="4">
        <v>339</v>
      </c>
      <c r="GG1896" s="4">
        <v>335</v>
      </c>
      <c r="GH1896" s="4">
        <v>328</v>
      </c>
      <c r="GI1896" s="4">
        <v>319</v>
      </c>
      <c r="GJ1896" s="4">
        <v>303</v>
      </c>
      <c r="GK1896" s="4">
        <v>292</v>
      </c>
      <c r="GL1896" s="4">
        <v>281</v>
      </c>
      <c r="GM1896" s="4">
        <v>273</v>
      </c>
      <c r="GN1896" s="4">
        <v>265</v>
      </c>
      <c r="GO1896" s="4">
        <v>256</v>
      </c>
      <c r="GP1896" s="4">
        <v>244</v>
      </c>
      <c r="GQ1896" s="4">
        <v>218</v>
      </c>
      <c r="GR1896" s="4">
        <v>202</v>
      </c>
      <c r="GS1896" s="4">
        <v>186</v>
      </c>
      <c r="GT1896" s="4">
        <v>175</v>
      </c>
      <c r="GU1896" s="4">
        <v>166</v>
      </c>
      <c r="GV1896" s="4">
        <v>160</v>
      </c>
      <c r="GW1896" s="4">
        <v>154</v>
      </c>
      <c r="GX1896" s="4">
        <v>148</v>
      </c>
      <c r="GY1896" s="4">
        <v>142</v>
      </c>
      <c r="GZ1896" s="4">
        <v>136</v>
      </c>
      <c r="HA1896" s="4">
        <v>130</v>
      </c>
      <c r="HB1896" s="4">
        <v>124</v>
      </c>
      <c r="HC1896" s="4">
        <v>117</v>
      </c>
      <c r="HD1896" s="19">
        <v>58.3</v>
      </c>
      <c r="HE1896" s="19">
        <v>57.2</v>
      </c>
      <c r="HF1896" s="19">
        <v>37.7</v>
      </c>
      <c r="HG1896" s="19">
        <v>30.5</v>
      </c>
      <c r="HH1896" s="19">
        <v>27.3</v>
      </c>
      <c r="HI1896" s="19">
        <v>26.6</v>
      </c>
      <c r="HJ1896" s="19">
        <v>30.3</v>
      </c>
      <c r="HK1896" s="19">
        <v>32.4</v>
      </c>
      <c r="HL1896" s="19">
        <v>31.2</v>
      </c>
      <c r="HM1896" s="19">
        <v>19.5</v>
      </c>
      <c r="HN1896" s="19">
        <v>16.6</v>
      </c>
      <c r="HO1896" s="19">
        <v>14.2</v>
      </c>
      <c r="HP1896" s="19">
        <v>14.4</v>
      </c>
      <c r="HQ1896" s="19">
        <v>16.8</v>
      </c>
      <c r="HR1896" s="19">
        <v>20.2</v>
      </c>
      <c r="HS1896" s="19">
        <v>23.3</v>
      </c>
      <c r="HT1896" s="19">
        <v>25</v>
      </c>
      <c r="HU1896" s="19">
        <v>27.7</v>
      </c>
      <c r="HV1896" s="19">
        <v>26.7</v>
      </c>
      <c r="HW1896" s="19">
        <v>25.7</v>
      </c>
      <c r="HX1896" s="19">
        <v>24.7</v>
      </c>
      <c r="HY1896" s="19">
        <v>23.7</v>
      </c>
      <c r="HZ1896" s="19">
        <v>22.7</v>
      </c>
      <c r="IA1896" s="19">
        <v>21.7</v>
      </c>
      <c r="IB1896" s="19">
        <v>20.7</v>
      </c>
      <c r="IC1896" s="19">
        <v>19.5</v>
      </c>
    </row>
    <row r="1897">
      <c r="A1897" s="2" t="s">
        <v>6909</v>
      </c>
      <c r="B1897" s="2" t="s">
        <v>323</v>
      </c>
      <c r="C1897" s="2" t="s">
        <v>403</v>
      </c>
      <c r="D1897" s="2" t="s">
        <v>257</v>
      </c>
      <c r="E1897" s="2" t="s">
        <v>258</v>
      </c>
      <c r="F1897" s="2" t="s">
        <v>6499</v>
      </c>
      <c r="G1897" s="2" t="s">
        <v>6499</v>
      </c>
      <c r="H1897" s="2" t="s">
        <v>6499</v>
      </c>
      <c r="I1897" s="2" t="s">
        <v>6902</v>
      </c>
      <c r="J1897" s="2" t="s">
        <v>261</v>
      </c>
      <c r="K1897" s="2" t="s">
        <v>4079</v>
      </c>
      <c r="L1897" s="3">
        <v>19.98</v>
      </c>
      <c r="M1897" s="3">
        <v>20.98</v>
      </c>
      <c r="N1897" s="3">
        <v>40.99</v>
      </c>
      <c r="O1897" s="2" t="s">
        <v>232</v>
      </c>
      <c r="P1897" s="2" t="s">
        <v>336</v>
      </c>
      <c r="Q1897" s="2" t="s">
        <v>234</v>
      </c>
      <c r="R1897" s="2" t="s">
        <v>235</v>
      </c>
      <c r="S1897" s="2" t="s">
        <v>6907</v>
      </c>
      <c r="T1897" s="2" t="s">
        <v>6499</v>
      </c>
      <c r="U1897" s="2" t="s">
        <v>614</v>
      </c>
      <c r="V1897" s="2" t="s">
        <v>238</v>
      </c>
      <c r="W1897" s="2" t="s">
        <v>239</v>
      </c>
      <c r="X1897" s="2" t="s">
        <v>682</v>
      </c>
      <c r="Y1897" s="2" t="s">
        <v>6910</v>
      </c>
      <c r="Z1897" s="4">
        <v>992</v>
      </c>
      <c r="AA1897" s="4">
        <f>=ROUNDDOWN(33.0666666666667,0)</f>
      </c>
      <c r="AB1897" s="5">
        <v>30</v>
      </c>
      <c r="AC1897" s="2" t="s">
        <v>2275</v>
      </c>
      <c r="AD1897" s="4">
        <v>720</v>
      </c>
      <c r="AE1897" s="4">
        <v>720</v>
      </c>
      <c r="AF1897" s="6">
        <v>65</v>
      </c>
      <c r="AG1897" s="6"/>
      <c r="AH1897" s="7">
        <v>0</v>
      </c>
      <c r="AI1897" s="4"/>
      <c r="AJ1897" s="4">
        <f>=ROUNDDOWN({0},0)</f>
      </c>
      <c r="AK1897" s="5"/>
      <c r="AL1897" s="2" t="s">
        <v>235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235</v>
      </c>
      <c r="AW1897" s="8" t="s">
        <v>235</v>
      </c>
      <c r="AX1897" s="4" t="s">
        <v>235</v>
      </c>
      <c r="AY1897" s="8" t="s">
        <v>235</v>
      </c>
      <c r="AZ1897" s="7" t="s">
        <v>235</v>
      </c>
      <c r="BA1897" s="7" t="s">
        <v>235</v>
      </c>
      <c r="BB1897" s="7"/>
      <c r="BC1897" s="4" t="s">
        <v>235</v>
      </c>
      <c r="BD1897" s="8" t="s">
        <v>235</v>
      </c>
      <c r="BE1897" s="4" t="s">
        <v>235</v>
      </c>
      <c r="BF1897" s="8" t="s">
        <v>235</v>
      </c>
      <c r="BG1897" s="7" t="s">
        <v>235</v>
      </c>
      <c r="BH1897" s="7" t="s">
        <v>235</v>
      </c>
      <c r="BI1897" s="7"/>
      <c r="BJ1897" s="4">
        <v>2</v>
      </c>
      <c r="BK1897" s="8">
        <v>80.48</v>
      </c>
      <c r="BL1897" s="2" t="s">
        <v>6911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6905</v>
      </c>
      <c r="BV1897" s="2" t="s">
        <v>243</v>
      </c>
      <c r="BW1897" s="2" t="s">
        <v>235</v>
      </c>
      <c r="BX1897" s="2" t="s">
        <v>685</v>
      </c>
      <c r="BY1897" s="2" t="s">
        <v>245</v>
      </c>
      <c r="BZ1897" s="2" t="s">
        <v>232</v>
      </c>
      <c r="CA1897" s="2" t="s">
        <v>3481</v>
      </c>
      <c r="CB1897" s="2" t="s">
        <v>2190</v>
      </c>
      <c r="CC1897" s="2" t="s">
        <v>248</v>
      </c>
      <c r="CD1897" s="2" t="s">
        <v>248</v>
      </c>
      <c r="CE1897" s="2" t="s">
        <v>235</v>
      </c>
      <c r="CF1897" s="4"/>
      <c r="CG1897" s="4"/>
      <c r="CH1897" s="4"/>
      <c r="CI1897" s="4">
        <v>992</v>
      </c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>
        <v>720</v>
      </c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>
        <v>998</v>
      </c>
      <c r="GE1897" s="4">
        <v>1686</v>
      </c>
      <c r="GF1897" s="4">
        <v>1660</v>
      </c>
      <c r="GG1897" s="4">
        <v>1634</v>
      </c>
      <c r="GH1897" s="4">
        <v>1608</v>
      </c>
      <c r="GI1897" s="4">
        <v>1582</v>
      </c>
      <c r="GJ1897" s="4">
        <v>1556</v>
      </c>
      <c r="GK1897" s="4">
        <v>1526</v>
      </c>
      <c r="GL1897" s="4">
        <v>1488</v>
      </c>
      <c r="GM1897" s="4">
        <v>1454</v>
      </c>
      <c r="GN1897" s="4">
        <v>1418</v>
      </c>
      <c r="GO1897" s="4">
        <v>1367</v>
      </c>
      <c r="GP1897" s="4">
        <v>1308</v>
      </c>
      <c r="GQ1897" s="4">
        <v>1171</v>
      </c>
      <c r="GR1897" s="4">
        <v>1089</v>
      </c>
      <c r="GS1897" s="4">
        <v>1007</v>
      </c>
      <c r="GT1897" s="4">
        <v>951</v>
      </c>
      <c r="GU1897" s="4">
        <v>903</v>
      </c>
      <c r="GV1897" s="4">
        <v>869</v>
      </c>
      <c r="GW1897" s="4">
        <v>836</v>
      </c>
      <c r="GX1897" s="4">
        <v>803</v>
      </c>
      <c r="GY1897" s="4">
        <v>770</v>
      </c>
      <c r="GZ1897" s="4">
        <v>737</v>
      </c>
      <c r="HA1897" s="4">
        <v>704</v>
      </c>
      <c r="HB1897" s="4">
        <v>671</v>
      </c>
      <c r="HC1897" s="4">
        <v>636</v>
      </c>
      <c r="HD1897" s="19">
        <v>35.6</v>
      </c>
      <c r="HE1897" s="19">
        <v>64.8</v>
      </c>
      <c r="HF1897" s="19">
        <v>63.8</v>
      </c>
      <c r="HG1897" s="19">
        <v>60.5</v>
      </c>
      <c r="HH1897" s="19">
        <v>53.6</v>
      </c>
      <c r="HI1897" s="19">
        <v>49.4</v>
      </c>
      <c r="HJ1897" s="19">
        <v>45.8</v>
      </c>
      <c r="HK1897" s="19">
        <v>38.2</v>
      </c>
      <c r="HL1897" s="19">
        <v>33.1</v>
      </c>
      <c r="HM1897" s="19">
        <v>20.5</v>
      </c>
      <c r="HN1897" s="19">
        <v>17.3</v>
      </c>
      <c r="HO1897" s="19">
        <v>15.2</v>
      </c>
      <c r="HP1897" s="19">
        <v>14.7</v>
      </c>
      <c r="HQ1897" s="19">
        <v>17.5</v>
      </c>
      <c r="HR1897" s="19">
        <v>19.8</v>
      </c>
      <c r="HS1897" s="19">
        <v>23.4</v>
      </c>
      <c r="HT1897" s="19">
        <v>25.7</v>
      </c>
      <c r="HU1897" s="19">
        <v>27.4</v>
      </c>
      <c r="HV1897" s="19">
        <v>26.3</v>
      </c>
      <c r="HW1897" s="19">
        <v>25.3</v>
      </c>
      <c r="HX1897" s="19">
        <v>24.3</v>
      </c>
      <c r="HY1897" s="19">
        <v>22.6</v>
      </c>
      <c r="HZ1897" s="19">
        <v>21.7</v>
      </c>
      <c r="IA1897" s="19">
        <v>21.3</v>
      </c>
      <c r="IB1897" s="19">
        <v>21</v>
      </c>
      <c r="IC1897" s="19">
        <v>20.5</v>
      </c>
    </row>
    <row r="1898">
      <c r="A1898" s="2" t="s">
        <v>6912</v>
      </c>
      <c r="B1898" s="2" t="s">
        <v>323</v>
      </c>
      <c r="C1898" s="2" t="s">
        <v>403</v>
      </c>
      <c r="D1898" s="2" t="s">
        <v>274</v>
      </c>
      <c r="E1898" s="2" t="s">
        <v>275</v>
      </c>
      <c r="F1898" s="2" t="s">
        <v>6499</v>
      </c>
      <c r="G1898" s="2" t="s">
        <v>6499</v>
      </c>
      <c r="H1898" s="2" t="s">
        <v>6499</v>
      </c>
      <c r="I1898" s="2" t="s">
        <v>6516</v>
      </c>
      <c r="J1898" s="2" t="s">
        <v>270</v>
      </c>
      <c r="K1898" s="2" t="s">
        <v>4079</v>
      </c>
      <c r="L1898" s="3">
        <v>6.18</v>
      </c>
      <c r="M1898" s="3">
        <v>6.49</v>
      </c>
      <c r="N1898" s="3">
        <v>13.99</v>
      </c>
      <c r="O1898" s="2" t="s">
        <v>232</v>
      </c>
      <c r="P1898" s="2" t="s">
        <v>233</v>
      </c>
      <c r="Q1898" s="2" t="s">
        <v>234</v>
      </c>
      <c r="R1898" s="2" t="s">
        <v>235</v>
      </c>
      <c r="S1898" s="2" t="s">
        <v>6907</v>
      </c>
      <c r="T1898" s="2" t="s">
        <v>6499</v>
      </c>
      <c r="U1898" s="2" t="s">
        <v>278</v>
      </c>
      <c r="V1898" s="2" t="s">
        <v>238</v>
      </c>
      <c r="W1898" s="2" t="s">
        <v>239</v>
      </c>
      <c r="X1898" s="2" t="s">
        <v>682</v>
      </c>
      <c r="Y1898" s="2" t="s">
        <v>1033</v>
      </c>
      <c r="Z1898" s="4">
        <v>228</v>
      </c>
      <c r="AA1898" s="4">
        <f>=ROUNDDOWN(6.47727272727273,0)</f>
      </c>
      <c r="AB1898" s="5">
        <v>35.2</v>
      </c>
      <c r="AC1898" s="2" t="s">
        <v>6913</v>
      </c>
      <c r="AD1898" s="4">
        <v>760</v>
      </c>
      <c r="AE1898" s="4">
        <v>960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235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235</v>
      </c>
      <c r="AW1898" s="8" t="s">
        <v>235</v>
      </c>
      <c r="AX1898" s="4" t="s">
        <v>235</v>
      </c>
      <c r="AY1898" s="8" t="s">
        <v>235</v>
      </c>
      <c r="AZ1898" s="7" t="s">
        <v>235</v>
      </c>
      <c r="BA1898" s="7" t="s">
        <v>235</v>
      </c>
      <c r="BB1898" s="7" t="s">
        <v>235</v>
      </c>
      <c r="BC1898" s="4" t="s">
        <v>235</v>
      </c>
      <c r="BD1898" s="8" t="s">
        <v>235</v>
      </c>
      <c r="BE1898" s="4" t="s">
        <v>235</v>
      </c>
      <c r="BF1898" s="8" t="s">
        <v>235</v>
      </c>
      <c r="BG1898" s="7" t="s">
        <v>235</v>
      </c>
      <c r="BH1898" s="7" t="s">
        <v>235</v>
      </c>
      <c r="BI1898" s="7"/>
      <c r="BJ1898" s="4">
        <v>168</v>
      </c>
      <c r="BK1898" s="8">
        <v>1159.03</v>
      </c>
      <c r="BL1898" s="2" t="s">
        <v>6914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6517</v>
      </c>
      <c r="BV1898" s="2" t="s">
        <v>243</v>
      </c>
      <c r="BW1898" s="2" t="s">
        <v>235</v>
      </c>
      <c r="BX1898" s="2" t="s">
        <v>244</v>
      </c>
      <c r="BY1898" s="2" t="s">
        <v>245</v>
      </c>
      <c r="BZ1898" s="2" t="s">
        <v>232</v>
      </c>
      <c r="CA1898" s="2" t="s">
        <v>3481</v>
      </c>
      <c r="CB1898" s="2" t="s">
        <v>5243</v>
      </c>
      <c r="CC1898" s="2" t="s">
        <v>248</v>
      </c>
      <c r="CD1898" s="2" t="s">
        <v>248</v>
      </c>
      <c r="CE1898" s="2" t="s">
        <v>235</v>
      </c>
      <c r="CF1898" s="4">
        <v>226</v>
      </c>
      <c r="CG1898" s="4"/>
      <c r="CH1898" s="4"/>
      <c r="CI1898" s="4">
        <v>2</v>
      </c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>
        <v>760</v>
      </c>
      <c r="CX1898" s="4">
        <v>200</v>
      </c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>
        <v>236</v>
      </c>
      <c r="GE1898" s="4">
        <v>1155</v>
      </c>
      <c r="GF1898" s="4">
        <v>1121</v>
      </c>
      <c r="GG1898" s="4">
        <v>1087</v>
      </c>
      <c r="GH1898" s="4">
        <v>1053</v>
      </c>
      <c r="GI1898" s="4">
        <v>1019</v>
      </c>
      <c r="GJ1898" s="4">
        <v>982</v>
      </c>
      <c r="GK1898" s="4">
        <v>937</v>
      </c>
      <c r="GL1898" s="4">
        <v>896</v>
      </c>
      <c r="GM1898" s="4">
        <v>858</v>
      </c>
      <c r="GN1898" s="4">
        <v>813</v>
      </c>
      <c r="GO1898" s="4">
        <v>743</v>
      </c>
      <c r="GP1898" s="4">
        <v>656</v>
      </c>
      <c r="GQ1898" s="4">
        <v>426</v>
      </c>
      <c r="GR1898" s="4">
        <v>240</v>
      </c>
      <c r="GS1898" s="4">
        <v>116</v>
      </c>
      <c r="GT1898" s="4">
        <v>39</v>
      </c>
      <c r="GU1898" s="4"/>
      <c r="GV1898" s="4"/>
      <c r="GW1898" s="4"/>
      <c r="GX1898" s="4"/>
      <c r="GY1898" s="4"/>
      <c r="GZ1898" s="4"/>
      <c r="HA1898" s="4"/>
      <c r="HB1898" s="4"/>
      <c r="HC1898" s="4"/>
      <c r="HD1898" s="19">
        <v>6.6</v>
      </c>
      <c r="HE1898" s="19">
        <v>34</v>
      </c>
      <c r="HF1898" s="19">
        <v>32</v>
      </c>
      <c r="HG1898" s="19">
        <v>28.6</v>
      </c>
      <c r="HH1898" s="19">
        <v>27</v>
      </c>
      <c r="HI1898" s="19">
        <v>25.5</v>
      </c>
      <c r="HJ1898" s="19">
        <v>23.4</v>
      </c>
      <c r="HK1898" s="19">
        <v>19.5</v>
      </c>
      <c r="HL1898" s="19">
        <v>14.9</v>
      </c>
      <c r="HM1898" s="19">
        <v>7.9</v>
      </c>
      <c r="HN1898" s="19">
        <v>5.7</v>
      </c>
      <c r="HO1898" s="19">
        <v>4.7</v>
      </c>
      <c r="HP1898" s="19">
        <v>4.3</v>
      </c>
      <c r="HQ1898" s="19">
        <v>3.7</v>
      </c>
      <c r="HR1898" s="19">
        <v>3.1</v>
      </c>
      <c r="HS1898" s="19">
        <v>2</v>
      </c>
      <c r="HT1898" s="19">
        <v>0.8</v>
      </c>
      <c r="HU1898" s="20">
        <v>0</v>
      </c>
      <c r="HV1898" s="20">
        <v>0</v>
      </c>
      <c r="HW1898" s="20">
        <v>0</v>
      </c>
      <c r="HX1898" s="20">
        <v>0</v>
      </c>
      <c r="HY1898" s="20">
        <v>0</v>
      </c>
      <c r="HZ1898" s="20">
        <v>0</v>
      </c>
      <c r="IA1898" s="20">
        <v>0</v>
      </c>
      <c r="IB1898" s="20">
        <v>0</v>
      </c>
      <c r="IC1898" s="20">
        <v>0</v>
      </c>
    </row>
    <row r="1899">
      <c r="A1899" s="2" t="s">
        <v>6915</v>
      </c>
      <c r="B1899" s="2" t="s">
        <v>323</v>
      </c>
      <c r="C1899" s="2" t="s">
        <v>403</v>
      </c>
      <c r="D1899" s="2" t="s">
        <v>257</v>
      </c>
      <c r="E1899" s="2" t="s">
        <v>258</v>
      </c>
      <c r="F1899" s="2" t="s">
        <v>6499</v>
      </c>
      <c r="G1899" s="2" t="s">
        <v>6499</v>
      </c>
      <c r="H1899" s="2" t="s">
        <v>6499</v>
      </c>
      <c r="I1899" s="2" t="s">
        <v>6902</v>
      </c>
      <c r="J1899" s="2" t="s">
        <v>270</v>
      </c>
      <c r="K1899" s="2" t="s">
        <v>4079</v>
      </c>
      <c r="L1899" s="3">
        <v>22.65</v>
      </c>
      <c r="M1899" s="3">
        <v>23.78</v>
      </c>
      <c r="N1899" s="3">
        <v>48.99</v>
      </c>
      <c r="O1899" s="2" t="s">
        <v>232</v>
      </c>
      <c r="P1899" s="2" t="s">
        <v>233</v>
      </c>
      <c r="Q1899" s="2" t="s">
        <v>234</v>
      </c>
      <c r="R1899" s="2" t="s">
        <v>235</v>
      </c>
      <c r="S1899" s="2" t="s">
        <v>6907</v>
      </c>
      <c r="T1899" s="2" t="s">
        <v>6499</v>
      </c>
      <c r="U1899" s="2" t="s">
        <v>614</v>
      </c>
      <c r="V1899" s="2" t="s">
        <v>238</v>
      </c>
      <c r="W1899" s="2" t="s">
        <v>239</v>
      </c>
      <c r="X1899" s="2" t="s">
        <v>682</v>
      </c>
      <c r="Y1899" s="2" t="s">
        <v>4084</v>
      </c>
      <c r="Z1899" s="4">
        <v>667</v>
      </c>
      <c r="AA1899" s="4">
        <f>=ROUNDDOWN(27.7916666666667,0)</f>
      </c>
      <c r="AB1899" s="5">
        <v>24</v>
      </c>
      <c r="AC1899" s="2" t="s">
        <v>6913</v>
      </c>
      <c r="AD1899" s="4">
        <v>324</v>
      </c>
      <c r="AE1899" s="4">
        <v>874</v>
      </c>
      <c r="AF1899" s="6">
        <v>65</v>
      </c>
      <c r="AG1899" s="6"/>
      <c r="AH1899" s="7">
        <v>0.0323</v>
      </c>
      <c r="AI1899" s="4"/>
      <c r="AJ1899" s="4">
        <f>=ROUNDDOWN({0},0)</f>
      </c>
      <c r="AK1899" s="5"/>
      <c r="AL1899" s="2" t="s">
        <v>235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235</v>
      </c>
      <c r="AW1899" s="8" t="s">
        <v>235</v>
      </c>
      <c r="AX1899" s="4" t="s">
        <v>235</v>
      </c>
      <c r="AY1899" s="8" t="s">
        <v>235</v>
      </c>
      <c r="AZ1899" s="7" t="s">
        <v>235</v>
      </c>
      <c r="BA1899" s="7" t="s">
        <v>235</v>
      </c>
      <c r="BB1899" s="7" t="s">
        <v>235</v>
      </c>
      <c r="BC1899" s="4" t="s">
        <v>235</v>
      </c>
      <c r="BD1899" s="8" t="s">
        <v>235</v>
      </c>
      <c r="BE1899" s="4" t="s">
        <v>235</v>
      </c>
      <c r="BF1899" s="8" t="s">
        <v>235</v>
      </c>
      <c r="BG1899" s="7" t="s">
        <v>235</v>
      </c>
      <c r="BH1899" s="7" t="s">
        <v>235</v>
      </c>
      <c r="BI1899" s="7"/>
      <c r="BJ1899" s="4">
        <v>6</v>
      </c>
      <c r="BK1899" s="8">
        <v>140.92</v>
      </c>
      <c r="BL1899" s="2" t="s">
        <v>2673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6905</v>
      </c>
      <c r="BV1899" s="2" t="s">
        <v>243</v>
      </c>
      <c r="BW1899" s="2" t="s">
        <v>235</v>
      </c>
      <c r="BX1899" s="2" t="s">
        <v>685</v>
      </c>
      <c r="BY1899" s="2" t="s">
        <v>245</v>
      </c>
      <c r="BZ1899" s="2" t="s">
        <v>232</v>
      </c>
      <c r="CA1899" s="2" t="s">
        <v>3481</v>
      </c>
      <c r="CB1899" s="2" t="s">
        <v>2190</v>
      </c>
      <c r="CC1899" s="2" t="s">
        <v>248</v>
      </c>
      <c r="CD1899" s="2" t="s">
        <v>248</v>
      </c>
      <c r="CE1899" s="2" t="s">
        <v>235</v>
      </c>
      <c r="CF1899" s="4"/>
      <c r="CG1899" s="4"/>
      <c r="CH1899" s="4"/>
      <c r="CI1899" s="4">
        <v>491</v>
      </c>
      <c r="CJ1899" s="4"/>
      <c r="CK1899" s="4"/>
      <c r="CL1899" s="4"/>
      <c r="CM1899" s="4"/>
      <c r="CN1899" s="4"/>
      <c r="CO1899" s="4"/>
      <c r="CP1899" s="4"/>
      <c r="CQ1899" s="4">
        <v>176</v>
      </c>
      <c r="CR1899" s="4"/>
      <c r="CS1899" s="4"/>
      <c r="CT1899" s="4"/>
      <c r="CU1899" s="4"/>
      <c r="CV1899" s="4"/>
      <c r="CW1899" s="4">
        <v>324</v>
      </c>
      <c r="CX1899" s="4">
        <v>550</v>
      </c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>
        <v>674</v>
      </c>
      <c r="GE1899" s="4">
        <v>1520</v>
      </c>
      <c r="GF1899" s="4">
        <v>1498</v>
      </c>
      <c r="GG1899" s="4">
        <v>1476</v>
      </c>
      <c r="GH1899" s="4">
        <v>1454</v>
      </c>
      <c r="GI1899" s="4">
        <v>1432</v>
      </c>
      <c r="GJ1899" s="4">
        <v>1408</v>
      </c>
      <c r="GK1899" s="4">
        <v>1380</v>
      </c>
      <c r="GL1899" s="4">
        <v>1354</v>
      </c>
      <c r="GM1899" s="4">
        <v>1328</v>
      </c>
      <c r="GN1899" s="4">
        <v>1301</v>
      </c>
      <c r="GO1899" s="4">
        <v>1262</v>
      </c>
      <c r="GP1899" s="4">
        <v>1216</v>
      </c>
      <c r="GQ1899" s="4">
        <v>1091</v>
      </c>
      <c r="GR1899" s="4">
        <v>1027</v>
      </c>
      <c r="GS1899" s="4">
        <v>979</v>
      </c>
      <c r="GT1899" s="4">
        <v>937</v>
      </c>
      <c r="GU1899" s="4">
        <v>898</v>
      </c>
      <c r="GV1899" s="4">
        <v>872</v>
      </c>
      <c r="GW1899" s="4">
        <v>846</v>
      </c>
      <c r="GX1899" s="4">
        <v>820</v>
      </c>
      <c r="GY1899" s="4">
        <v>794</v>
      </c>
      <c r="GZ1899" s="4">
        <v>768</v>
      </c>
      <c r="HA1899" s="4">
        <v>742</v>
      </c>
      <c r="HB1899" s="4">
        <v>716</v>
      </c>
      <c r="HC1899" s="4">
        <v>688</v>
      </c>
      <c r="HD1899" s="19">
        <v>28.1</v>
      </c>
      <c r="HE1899" s="19">
        <v>69.1</v>
      </c>
      <c r="HF1899" s="19">
        <v>68.1</v>
      </c>
      <c r="HG1899" s="19">
        <v>61.5</v>
      </c>
      <c r="HH1899" s="19">
        <v>58.2</v>
      </c>
      <c r="HI1899" s="19">
        <v>55.1</v>
      </c>
      <c r="HJ1899" s="19">
        <v>52.1</v>
      </c>
      <c r="HK1899" s="19">
        <v>46</v>
      </c>
      <c r="HL1899" s="19">
        <v>39.8</v>
      </c>
      <c r="HM1899" s="19">
        <v>22.5</v>
      </c>
      <c r="HN1899" s="19">
        <v>19.1</v>
      </c>
      <c r="HO1899" s="19">
        <v>17.8</v>
      </c>
      <c r="HP1899" s="19">
        <v>17.4</v>
      </c>
      <c r="HQ1899" s="19">
        <v>22.7</v>
      </c>
      <c r="HR1899" s="19">
        <v>26.3</v>
      </c>
      <c r="HS1899" s="19">
        <v>29.7</v>
      </c>
      <c r="HT1899" s="19">
        <v>32.3</v>
      </c>
      <c r="HU1899" s="19">
        <v>34.5</v>
      </c>
      <c r="HV1899" s="19">
        <v>33.5</v>
      </c>
      <c r="HW1899" s="19">
        <v>32.5</v>
      </c>
      <c r="HX1899" s="19">
        <v>31.5</v>
      </c>
      <c r="HY1899" s="19">
        <v>30.5</v>
      </c>
      <c r="HZ1899" s="19">
        <v>29.5</v>
      </c>
      <c r="IA1899" s="19">
        <v>28.5</v>
      </c>
      <c r="IB1899" s="19">
        <v>27.5</v>
      </c>
      <c r="IC1899" s="19">
        <v>28.7</v>
      </c>
    </row>
    <row r="1900">
      <c r="A1900" s="2" t="s">
        <v>6916</v>
      </c>
      <c r="B1900" s="2" t="s">
        <v>323</v>
      </c>
      <c r="C1900" s="2" t="s">
        <v>403</v>
      </c>
      <c r="D1900" s="2" t="s">
        <v>274</v>
      </c>
      <c r="E1900" s="2" t="s">
        <v>275</v>
      </c>
      <c r="F1900" s="2" t="s">
        <v>6499</v>
      </c>
      <c r="G1900" s="2" t="s">
        <v>6499</v>
      </c>
      <c r="H1900" s="2" t="s">
        <v>6499</v>
      </c>
      <c r="I1900" s="2" t="s">
        <v>6516</v>
      </c>
      <c r="J1900" s="2" t="s">
        <v>5272</v>
      </c>
      <c r="K1900" s="2" t="s">
        <v>4079</v>
      </c>
      <c r="L1900" s="3">
        <v>5.69</v>
      </c>
      <c r="M1900" s="3">
        <v>5.97</v>
      </c>
      <c r="N1900" s="3">
        <v>12.99</v>
      </c>
      <c r="O1900" s="2" t="s">
        <v>232</v>
      </c>
      <c r="P1900" s="2" t="s">
        <v>233</v>
      </c>
      <c r="Q1900" s="2" t="s">
        <v>234</v>
      </c>
      <c r="R1900" s="2" t="s">
        <v>235</v>
      </c>
      <c r="S1900" s="2" t="s">
        <v>6907</v>
      </c>
      <c r="T1900" s="2" t="s">
        <v>6499</v>
      </c>
      <c r="U1900" s="2" t="s">
        <v>278</v>
      </c>
      <c r="V1900" s="2" t="s">
        <v>238</v>
      </c>
      <c r="W1900" s="2" t="s">
        <v>239</v>
      </c>
      <c r="X1900" s="2" t="s">
        <v>682</v>
      </c>
      <c r="Y1900" s="2" t="s">
        <v>1033</v>
      </c>
      <c r="Z1900" s="4">
        <v>561</v>
      </c>
      <c r="AA1900" s="4">
        <f>=ROUNDDOWN(12.4944320712695,0)</f>
      </c>
      <c r="AB1900" s="5">
        <v>44.9</v>
      </c>
      <c r="AC1900" s="2" t="s">
        <v>6913</v>
      </c>
      <c r="AD1900" s="4">
        <v>1000</v>
      </c>
      <c r="AE1900" s="4">
        <v>1200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235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235</v>
      </c>
      <c r="AW1900" s="8" t="s">
        <v>235</v>
      </c>
      <c r="AX1900" s="4" t="s">
        <v>235</v>
      </c>
      <c r="AY1900" s="8" t="s">
        <v>235</v>
      </c>
      <c r="AZ1900" s="7" t="s">
        <v>235</v>
      </c>
      <c r="BA1900" s="7" t="s">
        <v>235</v>
      </c>
      <c r="BB1900" s="7"/>
      <c r="BC1900" s="4" t="s">
        <v>235</v>
      </c>
      <c r="BD1900" s="8" t="s">
        <v>235</v>
      </c>
      <c r="BE1900" s="4" t="s">
        <v>235</v>
      </c>
      <c r="BF1900" s="8" t="s">
        <v>235</v>
      </c>
      <c r="BG1900" s="7" t="s">
        <v>235</v>
      </c>
      <c r="BH1900" s="7" t="s">
        <v>235</v>
      </c>
      <c r="BI1900" s="7"/>
      <c r="BJ1900" s="4">
        <v>193</v>
      </c>
      <c r="BK1900" s="8">
        <v>1227.52</v>
      </c>
      <c r="BL1900" s="2" t="s">
        <v>6917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6517</v>
      </c>
      <c r="BV1900" s="2" t="s">
        <v>243</v>
      </c>
      <c r="BW1900" s="2" t="s">
        <v>235</v>
      </c>
      <c r="BX1900" s="2" t="s">
        <v>244</v>
      </c>
      <c r="BY1900" s="2" t="s">
        <v>245</v>
      </c>
      <c r="BZ1900" s="2" t="s">
        <v>232</v>
      </c>
      <c r="CA1900" s="2" t="s">
        <v>3481</v>
      </c>
      <c r="CB1900" s="2" t="s">
        <v>2187</v>
      </c>
      <c r="CC1900" s="2" t="s">
        <v>248</v>
      </c>
      <c r="CD1900" s="2" t="s">
        <v>248</v>
      </c>
      <c r="CE1900" s="2" t="s">
        <v>235</v>
      </c>
      <c r="CF1900" s="4">
        <v>561</v>
      </c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>
        <v>1000</v>
      </c>
      <c r="CX1900" s="4">
        <v>200</v>
      </c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>
        <v>577</v>
      </c>
      <c r="GE1900" s="4">
        <v>1724</v>
      </c>
      <c r="GF1900" s="4">
        <v>1680</v>
      </c>
      <c r="GG1900" s="4">
        <v>1636</v>
      </c>
      <c r="GH1900" s="4">
        <v>1592</v>
      </c>
      <c r="GI1900" s="4">
        <v>1548</v>
      </c>
      <c r="GJ1900" s="4">
        <v>1501</v>
      </c>
      <c r="GK1900" s="4">
        <v>1453</v>
      </c>
      <c r="GL1900" s="4">
        <v>1405</v>
      </c>
      <c r="GM1900" s="4">
        <v>1359</v>
      </c>
      <c r="GN1900" s="4">
        <v>1295</v>
      </c>
      <c r="GO1900" s="4">
        <v>1171</v>
      </c>
      <c r="GP1900" s="4">
        <v>994</v>
      </c>
      <c r="GQ1900" s="4">
        <v>786</v>
      </c>
      <c r="GR1900" s="4">
        <v>600</v>
      </c>
      <c r="GS1900" s="4">
        <v>436</v>
      </c>
      <c r="GT1900" s="4">
        <v>334</v>
      </c>
      <c r="GU1900" s="4">
        <v>245</v>
      </c>
      <c r="GV1900" s="4">
        <v>191</v>
      </c>
      <c r="GW1900" s="4">
        <v>137</v>
      </c>
      <c r="GX1900" s="4">
        <v>83</v>
      </c>
      <c r="GY1900" s="4">
        <v>34</v>
      </c>
      <c r="GZ1900" s="4"/>
      <c r="HA1900" s="4"/>
      <c r="HB1900" s="4"/>
      <c r="HC1900" s="4"/>
      <c r="HD1900" s="19">
        <v>12.5</v>
      </c>
      <c r="HE1900" s="19">
        <v>39.2</v>
      </c>
      <c r="HF1900" s="19">
        <v>37.3</v>
      </c>
      <c r="HG1900" s="19">
        <v>35.6</v>
      </c>
      <c r="HH1900" s="19">
        <v>33.9</v>
      </c>
      <c r="HI1900" s="19">
        <v>32.9</v>
      </c>
      <c r="HJ1900" s="19">
        <v>28.9</v>
      </c>
      <c r="HK1900" s="19">
        <v>20.8</v>
      </c>
      <c r="HL1900" s="19">
        <v>13.6</v>
      </c>
      <c r="HM1900" s="19">
        <v>9.5</v>
      </c>
      <c r="HN1900" s="19">
        <v>7.4</v>
      </c>
      <c r="HO1900" s="19">
        <v>6.4</v>
      </c>
      <c r="HP1900" s="19">
        <v>6</v>
      </c>
      <c r="HQ1900" s="19">
        <v>5.8</v>
      </c>
      <c r="HR1900" s="19">
        <v>5.9</v>
      </c>
      <c r="HS1900" s="19">
        <v>5.8</v>
      </c>
      <c r="HT1900" s="19">
        <v>5.3</v>
      </c>
      <c r="HU1900" s="19">
        <v>4.6</v>
      </c>
      <c r="HV1900" s="19">
        <v>3.7</v>
      </c>
      <c r="HW1900" s="19">
        <v>2.7</v>
      </c>
      <c r="HX1900" s="19">
        <v>1.7</v>
      </c>
      <c r="HY1900" s="19">
        <v>0.7</v>
      </c>
      <c r="HZ1900" s="20">
        <v>0</v>
      </c>
      <c r="IA1900" s="20">
        <v>0</v>
      </c>
      <c r="IB1900" s="20">
        <v>0</v>
      </c>
      <c r="IC1900" s="20">
        <v>0</v>
      </c>
    </row>
    <row r="1901">
      <c r="A1901" s="2" t="s">
        <v>6918</v>
      </c>
      <c r="B1901" s="2" t="s">
        <v>323</v>
      </c>
      <c r="C1901" s="2" t="s">
        <v>403</v>
      </c>
      <c r="D1901" s="2" t="s">
        <v>274</v>
      </c>
      <c r="E1901" s="2" t="s">
        <v>275</v>
      </c>
      <c r="F1901" s="2" t="s">
        <v>6499</v>
      </c>
      <c r="G1901" s="2" t="s">
        <v>6499</v>
      </c>
      <c r="H1901" s="2" t="s">
        <v>6499</v>
      </c>
      <c r="I1901" s="2" t="s">
        <v>6516</v>
      </c>
      <c r="J1901" s="2" t="s">
        <v>270</v>
      </c>
      <c r="K1901" s="2" t="s">
        <v>6919</v>
      </c>
      <c r="L1901" s="3">
        <v>6.18</v>
      </c>
      <c r="M1901" s="3">
        <v>6.49</v>
      </c>
      <c r="N1901" s="3">
        <v>13.99</v>
      </c>
      <c r="O1901" s="2" t="s">
        <v>232</v>
      </c>
      <c r="P1901" s="2" t="s">
        <v>233</v>
      </c>
      <c r="Q1901" s="2" t="s">
        <v>234</v>
      </c>
      <c r="R1901" s="2" t="s">
        <v>235</v>
      </c>
      <c r="S1901" s="2" t="s">
        <v>6920</v>
      </c>
      <c r="T1901" s="2" t="s">
        <v>6499</v>
      </c>
      <c r="U1901" s="2" t="s">
        <v>278</v>
      </c>
      <c r="V1901" s="2" t="s">
        <v>238</v>
      </c>
      <c r="W1901" s="2" t="s">
        <v>239</v>
      </c>
      <c r="X1901" s="2" t="s">
        <v>682</v>
      </c>
      <c r="Y1901" s="2" t="s">
        <v>1033</v>
      </c>
      <c r="Z1901" s="4">
        <v>484</v>
      </c>
      <c r="AA1901" s="4">
        <f>=ROUNDDOWN(62.0512820512821,0)</f>
      </c>
      <c r="AB1901" s="5">
        <v>7.8</v>
      </c>
      <c r="AC1901" s="2" t="s">
        <v>6913</v>
      </c>
      <c r="AD1901" s="4">
        <v>176</v>
      </c>
      <c r="AE1901" s="4">
        <v>176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235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235</v>
      </c>
      <c r="AW1901" s="8" t="s">
        <v>235</v>
      </c>
      <c r="AX1901" s="4" t="s">
        <v>235</v>
      </c>
      <c r="AY1901" s="8" t="s">
        <v>235</v>
      </c>
      <c r="AZ1901" s="7" t="s">
        <v>235</v>
      </c>
      <c r="BA1901" s="7" t="s">
        <v>235</v>
      </c>
      <c r="BB1901" s="7"/>
      <c r="BC1901" s="4" t="s">
        <v>235</v>
      </c>
      <c r="BD1901" s="8" t="s">
        <v>235</v>
      </c>
      <c r="BE1901" s="4" t="s">
        <v>235</v>
      </c>
      <c r="BF1901" s="8" t="s">
        <v>235</v>
      </c>
      <c r="BG1901" s="7" t="s">
        <v>235</v>
      </c>
      <c r="BH1901" s="7" t="s">
        <v>235</v>
      </c>
      <c r="BI1901" s="7"/>
      <c r="BJ1901" s="4">
        <v>32</v>
      </c>
      <c r="BK1901" s="8">
        <v>248.77</v>
      </c>
      <c r="BL1901" s="2" t="s">
        <v>6921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6517</v>
      </c>
      <c r="BV1901" s="2" t="s">
        <v>243</v>
      </c>
      <c r="BW1901" s="2" t="s">
        <v>235</v>
      </c>
      <c r="BX1901" s="2" t="s">
        <v>244</v>
      </c>
      <c r="BY1901" s="2" t="s">
        <v>245</v>
      </c>
      <c r="BZ1901" s="2" t="s">
        <v>232</v>
      </c>
      <c r="CA1901" s="2" t="s">
        <v>3481</v>
      </c>
      <c r="CB1901" s="2" t="s">
        <v>6922</v>
      </c>
      <c r="CC1901" s="2" t="s">
        <v>248</v>
      </c>
      <c r="CD1901" s="2" t="s">
        <v>248</v>
      </c>
      <c r="CE1901" s="2" t="s">
        <v>235</v>
      </c>
      <c r="CF1901" s="4">
        <v>317</v>
      </c>
      <c r="CG1901" s="4"/>
      <c r="CH1901" s="4"/>
      <c r="CI1901" s="4">
        <v>167</v>
      </c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>
        <v>176</v>
      </c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>
        <v>484</v>
      </c>
      <c r="GE1901" s="4">
        <v>653</v>
      </c>
      <c r="GF1901" s="4">
        <v>646</v>
      </c>
      <c r="GG1901" s="4">
        <v>639</v>
      </c>
      <c r="GH1901" s="4">
        <v>632</v>
      </c>
      <c r="GI1901" s="4">
        <v>625</v>
      </c>
      <c r="GJ1901" s="4">
        <v>617</v>
      </c>
      <c r="GK1901" s="4">
        <v>605</v>
      </c>
      <c r="GL1901" s="4">
        <v>594</v>
      </c>
      <c r="GM1901" s="4">
        <v>585</v>
      </c>
      <c r="GN1901" s="4">
        <v>575</v>
      </c>
      <c r="GO1901" s="4">
        <v>560</v>
      </c>
      <c r="GP1901" s="4">
        <v>541</v>
      </c>
      <c r="GQ1901" s="4">
        <v>493</v>
      </c>
      <c r="GR1901" s="4">
        <v>454</v>
      </c>
      <c r="GS1901" s="4">
        <v>428</v>
      </c>
      <c r="GT1901" s="4">
        <v>412</v>
      </c>
      <c r="GU1901" s="4">
        <v>396</v>
      </c>
      <c r="GV1901" s="4">
        <v>387</v>
      </c>
      <c r="GW1901" s="4">
        <v>378</v>
      </c>
      <c r="GX1901" s="4">
        <v>369</v>
      </c>
      <c r="GY1901" s="4">
        <v>360</v>
      </c>
      <c r="GZ1901" s="4">
        <v>351</v>
      </c>
      <c r="HA1901" s="4">
        <v>342</v>
      </c>
      <c r="HB1901" s="4">
        <v>333</v>
      </c>
      <c r="HC1901" s="4">
        <v>324</v>
      </c>
      <c r="HD1901" s="19">
        <v>69.1</v>
      </c>
      <c r="HE1901" s="19">
        <v>93.3</v>
      </c>
      <c r="HF1901" s="19">
        <v>92.3</v>
      </c>
      <c r="HG1901" s="19">
        <v>79.9</v>
      </c>
      <c r="HH1901" s="19">
        <v>63.2</v>
      </c>
      <c r="HI1901" s="19">
        <v>62.5</v>
      </c>
      <c r="HJ1901" s="19">
        <v>61.7</v>
      </c>
      <c r="HK1901" s="19">
        <v>55</v>
      </c>
      <c r="HL1901" s="19">
        <v>45.7</v>
      </c>
      <c r="HM1901" s="19">
        <v>25.4</v>
      </c>
      <c r="HN1901" s="19">
        <v>19.2</v>
      </c>
      <c r="HO1901" s="19">
        <v>17</v>
      </c>
      <c r="HP1901" s="19">
        <v>16.9</v>
      </c>
      <c r="HQ1901" s="19">
        <v>20.5</v>
      </c>
      <c r="HR1901" s="19">
        <v>26.7</v>
      </c>
      <c r="HS1901" s="19">
        <v>35.7</v>
      </c>
      <c r="HT1901" s="19">
        <v>37.5</v>
      </c>
      <c r="HU1901" s="19">
        <v>44</v>
      </c>
      <c r="HV1901" s="19">
        <v>43</v>
      </c>
      <c r="HW1901" s="19">
        <v>42</v>
      </c>
      <c r="HX1901" s="19">
        <v>41</v>
      </c>
      <c r="HY1901" s="19">
        <v>40</v>
      </c>
      <c r="HZ1901" s="19">
        <v>39</v>
      </c>
      <c r="IA1901" s="19">
        <v>38</v>
      </c>
      <c r="IB1901" s="19">
        <v>41.6</v>
      </c>
      <c r="IC1901" s="19">
        <v>40.5</v>
      </c>
    </row>
    <row r="1902">
      <c r="A1902" s="2" t="s">
        <v>6923</v>
      </c>
      <c r="B1902" s="2" t="s">
        <v>323</v>
      </c>
      <c r="C1902" s="2" t="s">
        <v>403</v>
      </c>
      <c r="D1902" s="2" t="s">
        <v>274</v>
      </c>
      <c r="E1902" s="2" t="s">
        <v>275</v>
      </c>
      <c r="F1902" s="2" t="s">
        <v>6499</v>
      </c>
      <c r="G1902" s="2" t="s">
        <v>6499</v>
      </c>
      <c r="H1902" s="2" t="s">
        <v>6499</v>
      </c>
      <c r="I1902" s="2" t="s">
        <v>6516</v>
      </c>
      <c r="J1902" s="2" t="s">
        <v>5272</v>
      </c>
      <c r="K1902" s="2" t="s">
        <v>6919</v>
      </c>
      <c r="L1902" s="3">
        <v>5.69</v>
      </c>
      <c r="M1902" s="3">
        <v>5.97</v>
      </c>
      <c r="N1902" s="3">
        <v>12.99</v>
      </c>
      <c r="O1902" s="2" t="s">
        <v>232</v>
      </c>
      <c r="P1902" s="2" t="s">
        <v>233</v>
      </c>
      <c r="Q1902" s="2" t="s">
        <v>234</v>
      </c>
      <c r="R1902" s="2" t="s">
        <v>235</v>
      </c>
      <c r="S1902" s="2" t="s">
        <v>6920</v>
      </c>
      <c r="T1902" s="2" t="s">
        <v>6499</v>
      </c>
      <c r="U1902" s="2" t="s">
        <v>278</v>
      </c>
      <c r="V1902" s="2" t="s">
        <v>238</v>
      </c>
      <c r="W1902" s="2" t="s">
        <v>239</v>
      </c>
      <c r="X1902" s="2" t="s">
        <v>682</v>
      </c>
      <c r="Y1902" s="2" t="s">
        <v>1033</v>
      </c>
      <c r="Z1902" s="4">
        <v>706</v>
      </c>
      <c r="AA1902" s="4">
        <f>=ROUNDDOWN(62.4778761061947,0)</f>
      </c>
      <c r="AB1902" s="5">
        <v>11.3</v>
      </c>
      <c r="AC1902" s="2" t="s">
        <v>6913</v>
      </c>
      <c r="AD1902" s="4">
        <v>304</v>
      </c>
      <c r="AE1902" s="4">
        <v>304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235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235</v>
      </c>
      <c r="AW1902" s="8" t="s">
        <v>235</v>
      </c>
      <c r="AX1902" s="4" t="s">
        <v>235</v>
      </c>
      <c r="AY1902" s="8" t="s">
        <v>235</v>
      </c>
      <c r="AZ1902" s="7" t="s">
        <v>235</v>
      </c>
      <c r="BA1902" s="7" t="s">
        <v>235</v>
      </c>
      <c r="BB1902" s="7"/>
      <c r="BC1902" s="4" t="s">
        <v>235</v>
      </c>
      <c r="BD1902" s="8" t="s">
        <v>235</v>
      </c>
      <c r="BE1902" s="4" t="s">
        <v>235</v>
      </c>
      <c r="BF1902" s="8" t="s">
        <v>235</v>
      </c>
      <c r="BG1902" s="7" t="s">
        <v>235</v>
      </c>
      <c r="BH1902" s="7" t="s">
        <v>235</v>
      </c>
      <c r="BI1902" s="7"/>
      <c r="BJ1902" s="4">
        <v>40</v>
      </c>
      <c r="BK1902" s="8">
        <v>263.85</v>
      </c>
      <c r="BL1902" s="2" t="s">
        <v>6914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6517</v>
      </c>
      <c r="BV1902" s="2" t="s">
        <v>243</v>
      </c>
      <c r="BW1902" s="2" t="s">
        <v>235</v>
      </c>
      <c r="BX1902" s="2" t="s">
        <v>244</v>
      </c>
      <c r="BY1902" s="2" t="s">
        <v>245</v>
      </c>
      <c r="BZ1902" s="2" t="s">
        <v>232</v>
      </c>
      <c r="CA1902" s="2" t="s">
        <v>3481</v>
      </c>
      <c r="CB1902" s="2" t="s">
        <v>1034</v>
      </c>
      <c r="CC1902" s="2" t="s">
        <v>248</v>
      </c>
      <c r="CD1902" s="2" t="s">
        <v>248</v>
      </c>
      <c r="CE1902" s="2" t="s">
        <v>235</v>
      </c>
      <c r="CF1902" s="4">
        <v>466</v>
      </c>
      <c r="CG1902" s="4"/>
      <c r="CH1902" s="4"/>
      <c r="CI1902" s="4">
        <v>240</v>
      </c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>
        <v>304</v>
      </c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>
        <v>707</v>
      </c>
      <c r="GE1902" s="4">
        <v>999</v>
      </c>
      <c r="GF1902" s="4">
        <v>988</v>
      </c>
      <c r="GG1902" s="4">
        <v>977</v>
      </c>
      <c r="GH1902" s="4">
        <v>966</v>
      </c>
      <c r="GI1902" s="4">
        <v>955</v>
      </c>
      <c r="GJ1902" s="4">
        <v>944</v>
      </c>
      <c r="GK1902" s="4">
        <v>933</v>
      </c>
      <c r="GL1902" s="4">
        <v>922</v>
      </c>
      <c r="GM1902" s="4">
        <v>911</v>
      </c>
      <c r="GN1902" s="4">
        <v>896</v>
      </c>
      <c r="GO1902" s="4">
        <v>865</v>
      </c>
      <c r="GP1902" s="4">
        <v>821</v>
      </c>
      <c r="GQ1902" s="4">
        <v>769</v>
      </c>
      <c r="GR1902" s="4">
        <v>723</v>
      </c>
      <c r="GS1902" s="4">
        <v>682</v>
      </c>
      <c r="GT1902" s="4">
        <v>657</v>
      </c>
      <c r="GU1902" s="4">
        <v>635</v>
      </c>
      <c r="GV1902" s="4">
        <v>622</v>
      </c>
      <c r="GW1902" s="4">
        <v>609</v>
      </c>
      <c r="GX1902" s="4">
        <v>596</v>
      </c>
      <c r="GY1902" s="4">
        <v>584</v>
      </c>
      <c r="GZ1902" s="4">
        <v>572</v>
      </c>
      <c r="HA1902" s="4">
        <v>560</v>
      </c>
      <c r="HB1902" s="4">
        <v>548</v>
      </c>
      <c r="HC1902" s="4">
        <v>535</v>
      </c>
      <c r="HD1902" s="19">
        <v>64.3</v>
      </c>
      <c r="HE1902" s="19">
        <v>90.8</v>
      </c>
      <c r="HF1902" s="19">
        <v>89.8</v>
      </c>
      <c r="HG1902" s="19">
        <v>88.8</v>
      </c>
      <c r="HH1902" s="19">
        <v>87.8</v>
      </c>
      <c r="HI1902" s="19">
        <v>86.8</v>
      </c>
      <c r="HJ1902" s="19">
        <v>78.7</v>
      </c>
      <c r="HK1902" s="19">
        <v>54.9</v>
      </c>
      <c r="HL1902" s="19">
        <v>36.9</v>
      </c>
      <c r="HM1902" s="19">
        <v>25.3</v>
      </c>
      <c r="HN1902" s="19">
        <v>20.8</v>
      </c>
      <c r="HO1902" s="19">
        <v>18.8</v>
      </c>
      <c r="HP1902" s="19">
        <v>20</v>
      </c>
      <c r="HQ1902" s="19">
        <v>22.6</v>
      </c>
      <c r="HR1902" s="19">
        <v>28.9</v>
      </c>
      <c r="HS1902" s="19">
        <v>37.9</v>
      </c>
      <c r="HT1902" s="19">
        <v>43.8</v>
      </c>
      <c r="HU1902" s="19">
        <v>48.8</v>
      </c>
      <c r="HV1902" s="19">
        <v>51.8</v>
      </c>
      <c r="HW1902" s="19">
        <v>50.8</v>
      </c>
      <c r="HX1902" s="19">
        <v>49.7</v>
      </c>
      <c r="HY1902" s="19">
        <v>48.7</v>
      </c>
      <c r="HZ1902" s="19">
        <v>47.7</v>
      </c>
      <c r="IA1902" s="19">
        <v>46.7</v>
      </c>
      <c r="IB1902" s="19">
        <v>45.7</v>
      </c>
      <c r="IC1902" s="19">
        <v>48.6</v>
      </c>
    </row>
    <row r="1903">
      <c r="A1903" s="2" t="s">
        <v>6924</v>
      </c>
      <c r="B1903" s="2" t="s">
        <v>323</v>
      </c>
      <c r="C1903" s="2" t="s">
        <v>403</v>
      </c>
      <c r="D1903" s="2" t="s">
        <v>257</v>
      </c>
      <c r="E1903" s="2" t="s">
        <v>258</v>
      </c>
      <c r="F1903" s="2" t="s">
        <v>6499</v>
      </c>
      <c r="G1903" s="2" t="s">
        <v>6499</v>
      </c>
      <c r="H1903" s="2" t="s">
        <v>6499</v>
      </c>
      <c r="I1903" s="2" t="s">
        <v>6902</v>
      </c>
      <c r="J1903" s="2" t="s">
        <v>394</v>
      </c>
      <c r="K1903" s="2" t="s">
        <v>292</v>
      </c>
      <c r="L1903" s="3">
        <v>13.85</v>
      </c>
      <c r="M1903" s="3">
        <v>14.54</v>
      </c>
      <c r="N1903" s="3">
        <v>29.99</v>
      </c>
      <c r="O1903" s="2" t="s">
        <v>232</v>
      </c>
      <c r="P1903" s="2" t="s">
        <v>233</v>
      </c>
      <c r="Q1903" s="2" t="s">
        <v>234</v>
      </c>
      <c r="R1903" s="2" t="s">
        <v>235</v>
      </c>
      <c r="S1903" s="2" t="s">
        <v>6925</v>
      </c>
      <c r="T1903" s="2" t="s">
        <v>6499</v>
      </c>
      <c r="U1903" s="2" t="s">
        <v>264</v>
      </c>
      <c r="V1903" s="2" t="s">
        <v>238</v>
      </c>
      <c r="W1903" s="2" t="s">
        <v>239</v>
      </c>
      <c r="X1903" s="2" t="s">
        <v>682</v>
      </c>
      <c r="Y1903" s="2" t="s">
        <v>6910</v>
      </c>
      <c r="Z1903" s="4">
        <v>2180</v>
      </c>
      <c r="AA1903" s="4">
        <f>=ROUNDDOWN(311.428571428571,0)</f>
      </c>
      <c r="AB1903" s="5">
        <v>7</v>
      </c>
      <c r="AC1903" s="2" t="s">
        <v>235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235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235</v>
      </c>
      <c r="BD1903" s="8" t="s">
        <v>235</v>
      </c>
      <c r="BE1903" s="4" t="s">
        <v>235</v>
      </c>
      <c r="BF1903" s="8" t="s">
        <v>235</v>
      </c>
      <c r="BG1903" s="7" t="s">
        <v>235</v>
      </c>
      <c r="BH1903" s="7" t="s">
        <v>235</v>
      </c>
      <c r="BI1903" s="7"/>
      <c r="BJ1903" s="4">
        <v>31</v>
      </c>
      <c r="BK1903" s="8">
        <v>513.81</v>
      </c>
      <c r="BL1903" s="2" t="s">
        <v>6926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6905</v>
      </c>
      <c r="BV1903" s="2" t="s">
        <v>243</v>
      </c>
      <c r="BW1903" s="2" t="s">
        <v>235</v>
      </c>
      <c r="BX1903" s="2" t="s">
        <v>685</v>
      </c>
      <c r="BY1903" s="2" t="s">
        <v>245</v>
      </c>
      <c r="BZ1903" s="2" t="s">
        <v>232</v>
      </c>
      <c r="CA1903" s="2" t="s">
        <v>3481</v>
      </c>
      <c r="CB1903" s="2" t="s">
        <v>5243</v>
      </c>
      <c r="CC1903" s="2" t="s">
        <v>248</v>
      </c>
      <c r="CD1903" s="2" t="s">
        <v>248</v>
      </c>
      <c r="CE1903" s="2" t="s">
        <v>235</v>
      </c>
      <c r="CF1903" s="4">
        <v>1180</v>
      </c>
      <c r="CG1903" s="4"/>
      <c r="CH1903" s="4"/>
      <c r="CI1903" s="4">
        <v>1000</v>
      </c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>
        <v>2212</v>
      </c>
      <c r="GE1903" s="4">
        <v>2203</v>
      </c>
      <c r="GF1903" s="4">
        <v>2197</v>
      </c>
      <c r="GG1903" s="4">
        <v>2191</v>
      </c>
      <c r="GH1903" s="4">
        <v>2185</v>
      </c>
      <c r="GI1903" s="4">
        <v>2178</v>
      </c>
      <c r="GJ1903" s="4">
        <v>2166</v>
      </c>
      <c r="GK1903" s="4">
        <v>2157</v>
      </c>
      <c r="GL1903" s="4">
        <v>2147</v>
      </c>
      <c r="GM1903" s="4">
        <v>2139</v>
      </c>
      <c r="GN1903" s="4">
        <v>2131</v>
      </c>
      <c r="GO1903" s="4">
        <v>2120</v>
      </c>
      <c r="GP1903" s="4">
        <v>2103</v>
      </c>
      <c r="GQ1903" s="4">
        <v>2066</v>
      </c>
      <c r="GR1903" s="4">
        <v>2045</v>
      </c>
      <c r="GS1903" s="4">
        <v>2023</v>
      </c>
      <c r="GT1903" s="4">
        <v>2009</v>
      </c>
      <c r="GU1903" s="4">
        <v>1997</v>
      </c>
      <c r="GV1903" s="4">
        <v>1989</v>
      </c>
      <c r="GW1903" s="4">
        <v>1981</v>
      </c>
      <c r="GX1903" s="4">
        <v>1973</v>
      </c>
      <c r="GY1903" s="4">
        <v>1965</v>
      </c>
      <c r="GZ1903" s="4">
        <v>1957</v>
      </c>
      <c r="HA1903" s="4">
        <v>1949</v>
      </c>
      <c r="HB1903" s="4">
        <v>1941</v>
      </c>
      <c r="HC1903" s="4">
        <v>1933</v>
      </c>
      <c r="HD1903" s="19">
        <v>316</v>
      </c>
      <c r="HE1903" s="19">
        <v>367.2</v>
      </c>
      <c r="HF1903" s="19">
        <v>274.6</v>
      </c>
      <c r="HG1903" s="19">
        <v>273.9</v>
      </c>
      <c r="HH1903" s="19">
        <v>218.5</v>
      </c>
      <c r="HI1903" s="19">
        <v>217.8</v>
      </c>
      <c r="HJ1903" s="19">
        <v>240.7</v>
      </c>
      <c r="HK1903" s="19">
        <v>239.7</v>
      </c>
      <c r="HL1903" s="19">
        <v>195.2</v>
      </c>
      <c r="HM1903" s="19">
        <v>118.8</v>
      </c>
      <c r="HN1903" s="19">
        <v>96.9</v>
      </c>
      <c r="HO1903" s="19">
        <v>88.3</v>
      </c>
      <c r="HP1903" s="19">
        <v>87.6</v>
      </c>
      <c r="HQ1903" s="19">
        <v>121.5</v>
      </c>
      <c r="HR1903" s="19">
        <v>146.1</v>
      </c>
      <c r="HS1903" s="19">
        <v>202.3</v>
      </c>
      <c r="HT1903" s="19">
        <v>223.2</v>
      </c>
      <c r="HU1903" s="19">
        <v>249.6</v>
      </c>
      <c r="HV1903" s="19">
        <v>248.6</v>
      </c>
      <c r="HW1903" s="19">
        <v>247.6</v>
      </c>
      <c r="HX1903" s="19">
        <v>246.6</v>
      </c>
      <c r="HY1903" s="19">
        <v>245.6</v>
      </c>
      <c r="HZ1903" s="19">
        <v>244.6</v>
      </c>
      <c r="IA1903" s="19">
        <v>243.6</v>
      </c>
      <c r="IB1903" s="19">
        <v>242.6</v>
      </c>
      <c r="IC1903" s="19">
        <v>276.1</v>
      </c>
    </row>
    <row r="1904">
      <c r="A1904" s="2" t="s">
        <v>6927</v>
      </c>
      <c r="B1904" s="2" t="s">
        <v>323</v>
      </c>
      <c r="C1904" s="2" t="s">
        <v>403</v>
      </c>
      <c r="D1904" s="2" t="s">
        <v>257</v>
      </c>
      <c r="E1904" s="2" t="s">
        <v>258</v>
      </c>
      <c r="F1904" s="2" t="s">
        <v>6499</v>
      </c>
      <c r="G1904" s="2" t="s">
        <v>6499</v>
      </c>
      <c r="H1904" s="2" t="s">
        <v>6499</v>
      </c>
      <c r="I1904" s="2" t="s">
        <v>6902</v>
      </c>
      <c r="J1904" s="2" t="s">
        <v>394</v>
      </c>
      <c r="K1904" s="2" t="s">
        <v>295</v>
      </c>
      <c r="L1904" s="3">
        <v>13.85</v>
      </c>
      <c r="M1904" s="3">
        <v>14.54</v>
      </c>
      <c r="N1904" s="3">
        <v>29.99</v>
      </c>
      <c r="O1904" s="2" t="s">
        <v>232</v>
      </c>
      <c r="P1904" s="2" t="s">
        <v>233</v>
      </c>
      <c r="Q1904" s="2" t="s">
        <v>234</v>
      </c>
      <c r="R1904" s="2" t="s">
        <v>235</v>
      </c>
      <c r="S1904" s="2" t="s">
        <v>6928</v>
      </c>
      <c r="T1904" s="2" t="s">
        <v>6499</v>
      </c>
      <c r="U1904" s="2" t="s">
        <v>264</v>
      </c>
      <c r="V1904" s="2" t="s">
        <v>238</v>
      </c>
      <c r="W1904" s="2" t="s">
        <v>239</v>
      </c>
      <c r="X1904" s="2" t="s">
        <v>682</v>
      </c>
      <c r="Y1904" s="2" t="s">
        <v>1033</v>
      </c>
      <c r="Z1904" s="4">
        <v>959</v>
      </c>
      <c r="AA1904" s="4">
        <f>=ROUNDDOWN(135.070422535211,0)</f>
      </c>
      <c r="AB1904" s="5">
        <v>7.1</v>
      </c>
      <c r="AC1904" s="2" t="s">
        <v>235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235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235</v>
      </c>
      <c r="BD1904" s="8" t="s">
        <v>235</v>
      </c>
      <c r="BE1904" s="4" t="s">
        <v>235</v>
      </c>
      <c r="BF1904" s="8" t="s">
        <v>235</v>
      </c>
      <c r="BG1904" s="7" t="s">
        <v>235</v>
      </c>
      <c r="BH1904" s="7" t="s">
        <v>235</v>
      </c>
      <c r="BI1904" s="7"/>
      <c r="BJ1904" s="4">
        <v>28</v>
      </c>
      <c r="BK1904" s="8">
        <v>545.45</v>
      </c>
      <c r="BL1904" s="2" t="s">
        <v>6929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6905</v>
      </c>
      <c r="BV1904" s="2" t="s">
        <v>243</v>
      </c>
      <c r="BW1904" s="2" t="s">
        <v>235</v>
      </c>
      <c r="BX1904" s="2" t="s">
        <v>685</v>
      </c>
      <c r="BY1904" s="2" t="s">
        <v>245</v>
      </c>
      <c r="BZ1904" s="2" t="s">
        <v>232</v>
      </c>
      <c r="CA1904" s="2" t="s">
        <v>3481</v>
      </c>
      <c r="CB1904" s="2" t="s">
        <v>934</v>
      </c>
      <c r="CC1904" s="2" t="s">
        <v>248</v>
      </c>
      <c r="CD1904" s="2" t="s">
        <v>248</v>
      </c>
      <c r="CE1904" s="2" t="s">
        <v>235</v>
      </c>
      <c r="CF1904" s="4">
        <v>503</v>
      </c>
      <c r="CG1904" s="4"/>
      <c r="CH1904" s="4"/>
      <c r="CI1904" s="4">
        <v>456</v>
      </c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>
        <v>960</v>
      </c>
      <c r="GE1904" s="4">
        <v>931</v>
      </c>
      <c r="GF1904" s="4">
        <v>923</v>
      </c>
      <c r="GG1904" s="4">
        <v>915</v>
      </c>
      <c r="GH1904" s="4">
        <v>905</v>
      </c>
      <c r="GI1904" s="4">
        <v>892</v>
      </c>
      <c r="GJ1904" s="4">
        <v>869</v>
      </c>
      <c r="GK1904" s="4">
        <v>854</v>
      </c>
      <c r="GL1904" s="4">
        <v>838</v>
      </c>
      <c r="GM1904" s="4">
        <v>826</v>
      </c>
      <c r="GN1904" s="4">
        <v>816</v>
      </c>
      <c r="GO1904" s="4">
        <v>804</v>
      </c>
      <c r="GP1904" s="4">
        <v>788</v>
      </c>
      <c r="GQ1904" s="4">
        <v>755</v>
      </c>
      <c r="GR1904" s="4">
        <v>735</v>
      </c>
      <c r="GS1904" s="4">
        <v>714</v>
      </c>
      <c r="GT1904" s="4">
        <v>700</v>
      </c>
      <c r="GU1904" s="4">
        <v>688</v>
      </c>
      <c r="GV1904" s="4">
        <v>678</v>
      </c>
      <c r="GW1904" s="4">
        <v>669</v>
      </c>
      <c r="GX1904" s="4">
        <v>660</v>
      </c>
      <c r="GY1904" s="4">
        <v>651</v>
      </c>
      <c r="GZ1904" s="4">
        <v>642</v>
      </c>
      <c r="HA1904" s="4">
        <v>633</v>
      </c>
      <c r="HB1904" s="4">
        <v>624</v>
      </c>
      <c r="HC1904" s="4">
        <v>615</v>
      </c>
      <c r="HD1904" s="19">
        <v>68.6</v>
      </c>
      <c r="HE1904" s="19">
        <v>93.1</v>
      </c>
      <c r="HF1904" s="19">
        <v>65.9</v>
      </c>
      <c r="HG1904" s="19">
        <v>61</v>
      </c>
      <c r="HH1904" s="19">
        <v>53.2</v>
      </c>
      <c r="HI1904" s="19">
        <v>55.8</v>
      </c>
      <c r="HJ1904" s="19">
        <v>66.8</v>
      </c>
      <c r="HK1904" s="19">
        <v>71.2</v>
      </c>
      <c r="HL1904" s="19">
        <v>69.8</v>
      </c>
      <c r="HM1904" s="19">
        <v>45.9</v>
      </c>
      <c r="HN1904" s="19">
        <v>40.8</v>
      </c>
      <c r="HO1904" s="19">
        <v>36.5</v>
      </c>
      <c r="HP1904" s="19">
        <v>35.8</v>
      </c>
      <c r="HQ1904" s="19">
        <v>44.4</v>
      </c>
      <c r="HR1904" s="19">
        <v>52.5</v>
      </c>
      <c r="HS1904" s="19">
        <v>64.9</v>
      </c>
      <c r="HT1904" s="19">
        <v>70</v>
      </c>
      <c r="HU1904" s="19">
        <v>76.4</v>
      </c>
      <c r="HV1904" s="19">
        <v>75.3</v>
      </c>
      <c r="HW1904" s="19">
        <v>74.3</v>
      </c>
      <c r="HX1904" s="19">
        <v>73.3</v>
      </c>
      <c r="HY1904" s="19">
        <v>72.3</v>
      </c>
      <c r="HZ1904" s="19">
        <v>71.3</v>
      </c>
      <c r="IA1904" s="19">
        <v>70.3</v>
      </c>
      <c r="IB1904" s="19">
        <v>78</v>
      </c>
      <c r="IC1904" s="19">
        <v>76.9</v>
      </c>
    </row>
    <row r="1905">
      <c r="A1905" s="2" t="s">
        <v>6930</v>
      </c>
      <c r="B1905" s="2" t="s">
        <v>323</v>
      </c>
      <c r="C1905" s="2" t="s">
        <v>403</v>
      </c>
      <c r="D1905" s="2" t="s">
        <v>257</v>
      </c>
      <c r="E1905" s="2" t="s">
        <v>258</v>
      </c>
      <c r="F1905" s="2" t="s">
        <v>6499</v>
      </c>
      <c r="G1905" s="2" t="s">
        <v>6499</v>
      </c>
      <c r="H1905" s="2" t="s">
        <v>6499</v>
      </c>
      <c r="I1905" s="2" t="s">
        <v>6902</v>
      </c>
      <c r="J1905" s="2" t="s">
        <v>394</v>
      </c>
      <c r="K1905" s="2" t="s">
        <v>1546</v>
      </c>
      <c r="L1905" s="3">
        <v>13.85</v>
      </c>
      <c r="M1905" s="3">
        <v>14.54</v>
      </c>
      <c r="N1905" s="3">
        <v>29.99</v>
      </c>
      <c r="O1905" s="2" t="s">
        <v>232</v>
      </c>
      <c r="P1905" s="2" t="s">
        <v>233</v>
      </c>
      <c r="Q1905" s="2" t="s">
        <v>234</v>
      </c>
      <c r="R1905" s="2" t="s">
        <v>235</v>
      </c>
      <c r="S1905" s="2" t="s">
        <v>6931</v>
      </c>
      <c r="T1905" s="2" t="s">
        <v>6499</v>
      </c>
      <c r="U1905" s="2" t="s">
        <v>264</v>
      </c>
      <c r="V1905" s="2" t="s">
        <v>238</v>
      </c>
      <c r="W1905" s="2" t="s">
        <v>239</v>
      </c>
      <c r="X1905" s="2" t="s">
        <v>682</v>
      </c>
      <c r="Y1905" s="2" t="s">
        <v>6910</v>
      </c>
      <c r="Z1905" s="4">
        <v>1105</v>
      </c>
      <c r="AA1905" s="4">
        <f>=ROUNDDOWN(256.976744186047,0)</f>
      </c>
      <c r="AB1905" s="5">
        <v>4.3</v>
      </c>
      <c r="AC1905" s="2" t="s">
        <v>235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235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235</v>
      </c>
      <c r="BD1905" s="8" t="s">
        <v>235</v>
      </c>
      <c r="BE1905" s="4" t="s">
        <v>235</v>
      </c>
      <c r="BF1905" s="8" t="s">
        <v>235</v>
      </c>
      <c r="BG1905" s="7" t="s">
        <v>235</v>
      </c>
      <c r="BH1905" s="7" t="s">
        <v>235</v>
      </c>
      <c r="BI1905" s="7"/>
      <c r="BJ1905" s="4">
        <v>12</v>
      </c>
      <c r="BK1905" s="8">
        <v>204.87</v>
      </c>
      <c r="BL1905" s="2" t="s">
        <v>1659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6905</v>
      </c>
      <c r="BV1905" s="2" t="s">
        <v>243</v>
      </c>
      <c r="BW1905" s="2" t="s">
        <v>235</v>
      </c>
      <c r="BX1905" s="2" t="s">
        <v>685</v>
      </c>
      <c r="BY1905" s="2" t="s">
        <v>245</v>
      </c>
      <c r="BZ1905" s="2" t="s">
        <v>232</v>
      </c>
      <c r="CA1905" s="2" t="s">
        <v>3481</v>
      </c>
      <c r="CB1905" s="2" t="s">
        <v>686</v>
      </c>
      <c r="CC1905" s="2" t="s">
        <v>248</v>
      </c>
      <c r="CD1905" s="2" t="s">
        <v>248</v>
      </c>
      <c r="CE1905" s="2" t="s">
        <v>235</v>
      </c>
      <c r="CF1905" s="4">
        <v>564</v>
      </c>
      <c r="CG1905" s="4"/>
      <c r="CH1905" s="4"/>
      <c r="CI1905" s="4">
        <v>541</v>
      </c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>
        <v>1105</v>
      </c>
      <c r="GE1905" s="4">
        <v>1102</v>
      </c>
      <c r="GF1905" s="4">
        <v>1099</v>
      </c>
      <c r="GG1905" s="4">
        <v>1096</v>
      </c>
      <c r="GH1905" s="4">
        <v>1093</v>
      </c>
      <c r="GI1905" s="4">
        <v>1090</v>
      </c>
      <c r="GJ1905" s="4">
        <v>1082</v>
      </c>
      <c r="GK1905" s="4">
        <v>1076</v>
      </c>
      <c r="GL1905" s="4">
        <v>1069</v>
      </c>
      <c r="GM1905" s="4">
        <v>1064</v>
      </c>
      <c r="GN1905" s="4">
        <v>1059</v>
      </c>
      <c r="GO1905" s="4">
        <v>1053</v>
      </c>
      <c r="GP1905" s="4">
        <v>1044</v>
      </c>
      <c r="GQ1905" s="4">
        <v>1025</v>
      </c>
      <c r="GR1905" s="4">
        <v>1014</v>
      </c>
      <c r="GS1905" s="4">
        <v>1002</v>
      </c>
      <c r="GT1905" s="4">
        <v>994</v>
      </c>
      <c r="GU1905" s="4">
        <v>988</v>
      </c>
      <c r="GV1905" s="4">
        <v>984</v>
      </c>
      <c r="GW1905" s="4">
        <v>980</v>
      </c>
      <c r="GX1905" s="4">
        <v>976</v>
      </c>
      <c r="GY1905" s="4">
        <v>972</v>
      </c>
      <c r="GZ1905" s="4">
        <v>968</v>
      </c>
      <c r="HA1905" s="4">
        <v>964</v>
      </c>
      <c r="HB1905" s="4">
        <v>960</v>
      </c>
      <c r="HC1905" s="4">
        <v>955</v>
      </c>
      <c r="HD1905" s="19">
        <v>368.3</v>
      </c>
      <c r="HE1905" s="19">
        <v>367.3</v>
      </c>
      <c r="HF1905" s="19">
        <v>274.8</v>
      </c>
      <c r="HG1905" s="19">
        <v>219.2</v>
      </c>
      <c r="HH1905" s="19">
        <v>182.2</v>
      </c>
      <c r="HI1905" s="19">
        <v>181.7</v>
      </c>
      <c r="HJ1905" s="19">
        <v>180.3</v>
      </c>
      <c r="HK1905" s="19">
        <v>179.3</v>
      </c>
      <c r="HL1905" s="19">
        <v>178.2</v>
      </c>
      <c r="HM1905" s="19">
        <v>106.4</v>
      </c>
      <c r="HN1905" s="19">
        <v>96.3</v>
      </c>
      <c r="HO1905" s="19">
        <v>81</v>
      </c>
      <c r="HP1905" s="19">
        <v>87</v>
      </c>
      <c r="HQ1905" s="19">
        <v>113.9</v>
      </c>
      <c r="HR1905" s="19">
        <v>126.8</v>
      </c>
      <c r="HS1905" s="19">
        <v>167</v>
      </c>
      <c r="HT1905" s="19">
        <v>248.5</v>
      </c>
      <c r="HU1905" s="19">
        <v>247</v>
      </c>
      <c r="HV1905" s="19">
        <v>246</v>
      </c>
      <c r="HW1905" s="19">
        <v>245</v>
      </c>
      <c r="HX1905" s="19">
        <v>244</v>
      </c>
      <c r="HY1905" s="19">
        <v>243</v>
      </c>
      <c r="HZ1905" s="19">
        <v>242</v>
      </c>
      <c r="IA1905" s="19">
        <v>241</v>
      </c>
      <c r="IB1905" s="19">
        <v>240</v>
      </c>
      <c r="IC1905" s="19">
        <v>238.8</v>
      </c>
    </row>
    <row r="1906">
      <c r="A1906" s="2" t="s">
        <v>6932</v>
      </c>
      <c r="B1906" s="2" t="s">
        <v>323</v>
      </c>
      <c r="C1906" s="2" t="s">
        <v>403</v>
      </c>
      <c r="D1906" s="2" t="s">
        <v>257</v>
      </c>
      <c r="E1906" s="2" t="s">
        <v>258</v>
      </c>
      <c r="F1906" s="2" t="s">
        <v>6499</v>
      </c>
      <c r="G1906" s="2" t="s">
        <v>6499</v>
      </c>
      <c r="H1906" s="2" t="s">
        <v>6499</v>
      </c>
      <c r="I1906" s="2" t="s">
        <v>6902</v>
      </c>
      <c r="J1906" s="2" t="s">
        <v>394</v>
      </c>
      <c r="K1906" s="2" t="s">
        <v>6858</v>
      </c>
      <c r="L1906" s="3">
        <v>13.85</v>
      </c>
      <c r="M1906" s="3">
        <v>14.54</v>
      </c>
      <c r="N1906" s="3">
        <v>29.99</v>
      </c>
      <c r="O1906" s="2" t="s">
        <v>232</v>
      </c>
      <c r="P1906" s="2" t="s">
        <v>233</v>
      </c>
      <c r="Q1906" s="2" t="s">
        <v>234</v>
      </c>
      <c r="R1906" s="2" t="s">
        <v>235</v>
      </c>
      <c r="S1906" s="2" t="s">
        <v>6933</v>
      </c>
      <c r="T1906" s="2" t="s">
        <v>6499</v>
      </c>
      <c r="U1906" s="2" t="s">
        <v>264</v>
      </c>
      <c r="V1906" s="2" t="s">
        <v>238</v>
      </c>
      <c r="W1906" s="2" t="s">
        <v>239</v>
      </c>
      <c r="X1906" s="2" t="s">
        <v>682</v>
      </c>
      <c r="Y1906" s="2" t="s">
        <v>4084</v>
      </c>
      <c r="Z1906" s="4">
        <v>762</v>
      </c>
      <c r="AA1906" s="4">
        <f>=ROUNDDOWN(50.8,0)</f>
      </c>
      <c r="AB1906" s="5">
        <v>15</v>
      </c>
      <c r="AC1906" s="2" t="s">
        <v>235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235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235</v>
      </c>
      <c r="AW1906" s="8" t="s">
        <v>235</v>
      </c>
      <c r="AX1906" s="4" t="s">
        <v>235</v>
      </c>
      <c r="AY1906" s="8" t="s">
        <v>235</v>
      </c>
      <c r="AZ1906" s="7" t="s">
        <v>235</v>
      </c>
      <c r="BA1906" s="7" t="s">
        <v>235</v>
      </c>
      <c r="BB1906" s="7"/>
      <c r="BC1906" s="4" t="s">
        <v>235</v>
      </c>
      <c r="BD1906" s="8" t="s">
        <v>235</v>
      </c>
      <c r="BE1906" s="4" t="s">
        <v>235</v>
      </c>
      <c r="BF1906" s="8" t="s">
        <v>235</v>
      </c>
      <c r="BG1906" s="7" t="s">
        <v>235</v>
      </c>
      <c r="BH1906" s="7" t="s">
        <v>235</v>
      </c>
      <c r="BI1906" s="7"/>
      <c r="BJ1906" s="4">
        <v>51</v>
      </c>
      <c r="BK1906" s="8">
        <v>756.4</v>
      </c>
      <c r="BL1906" s="2" t="s">
        <v>6934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6905</v>
      </c>
      <c r="BV1906" s="2" t="s">
        <v>243</v>
      </c>
      <c r="BW1906" s="2" t="s">
        <v>235</v>
      </c>
      <c r="BX1906" s="2" t="s">
        <v>685</v>
      </c>
      <c r="BY1906" s="2" t="s">
        <v>245</v>
      </c>
      <c r="BZ1906" s="2" t="s">
        <v>232</v>
      </c>
      <c r="CA1906" s="2" t="s">
        <v>3481</v>
      </c>
      <c r="CB1906" s="2" t="s">
        <v>934</v>
      </c>
      <c r="CC1906" s="2" t="s">
        <v>248</v>
      </c>
      <c r="CD1906" s="2" t="s">
        <v>248</v>
      </c>
      <c r="CE1906" s="2" t="s">
        <v>235</v>
      </c>
      <c r="CF1906" s="4">
        <v>60</v>
      </c>
      <c r="CG1906" s="4"/>
      <c r="CH1906" s="4"/>
      <c r="CI1906" s="4">
        <v>702</v>
      </c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>
        <v>808</v>
      </c>
      <c r="GE1906" s="4">
        <v>781</v>
      </c>
      <c r="GF1906" s="4">
        <v>771</v>
      </c>
      <c r="GG1906" s="4">
        <v>761</v>
      </c>
      <c r="GH1906" s="4">
        <v>745</v>
      </c>
      <c r="GI1906" s="4">
        <v>722</v>
      </c>
      <c r="GJ1906" s="4">
        <v>682</v>
      </c>
      <c r="GK1906" s="4">
        <v>655</v>
      </c>
      <c r="GL1906" s="4">
        <v>627</v>
      </c>
      <c r="GM1906" s="4">
        <v>606</v>
      </c>
      <c r="GN1906" s="4">
        <v>587</v>
      </c>
      <c r="GO1906" s="4">
        <v>564</v>
      </c>
      <c r="GP1906" s="4">
        <v>532</v>
      </c>
      <c r="GQ1906" s="4">
        <v>466</v>
      </c>
      <c r="GR1906" s="4">
        <v>426</v>
      </c>
      <c r="GS1906" s="4">
        <v>385</v>
      </c>
      <c r="GT1906" s="4">
        <v>357</v>
      </c>
      <c r="GU1906" s="4">
        <v>333</v>
      </c>
      <c r="GV1906" s="4">
        <v>316</v>
      </c>
      <c r="GW1906" s="4">
        <v>299</v>
      </c>
      <c r="GX1906" s="4">
        <v>283</v>
      </c>
      <c r="GY1906" s="4">
        <v>267</v>
      </c>
      <c r="GZ1906" s="4">
        <v>251</v>
      </c>
      <c r="HA1906" s="4">
        <v>235</v>
      </c>
      <c r="HB1906" s="4">
        <v>219</v>
      </c>
      <c r="HC1906" s="4">
        <v>202</v>
      </c>
      <c r="HD1906" s="19">
        <v>50.5</v>
      </c>
      <c r="HE1906" s="19">
        <v>52.1</v>
      </c>
      <c r="HF1906" s="19">
        <v>35</v>
      </c>
      <c r="HG1906" s="19">
        <v>29.3</v>
      </c>
      <c r="HH1906" s="19">
        <v>24.8</v>
      </c>
      <c r="HI1906" s="19">
        <v>24.9</v>
      </c>
      <c r="HJ1906" s="19">
        <v>28.4</v>
      </c>
      <c r="HK1906" s="19">
        <v>28.5</v>
      </c>
      <c r="HL1906" s="19">
        <v>26.1</v>
      </c>
      <c r="HM1906" s="19">
        <v>17.3</v>
      </c>
      <c r="HN1906" s="19">
        <v>14.7</v>
      </c>
      <c r="HO1906" s="19">
        <v>12.5</v>
      </c>
      <c r="HP1906" s="19">
        <v>12.1</v>
      </c>
      <c r="HQ1906" s="19">
        <v>14.1</v>
      </c>
      <c r="HR1906" s="19">
        <v>15.2</v>
      </c>
      <c r="HS1906" s="19">
        <v>17.5</v>
      </c>
      <c r="HT1906" s="19">
        <v>19.8</v>
      </c>
      <c r="HU1906" s="19">
        <v>20.8</v>
      </c>
      <c r="HV1906" s="19">
        <v>19.8</v>
      </c>
      <c r="HW1906" s="19">
        <v>18.7</v>
      </c>
      <c r="HX1906" s="19">
        <v>17.7</v>
      </c>
      <c r="HY1906" s="19">
        <v>16.7</v>
      </c>
      <c r="HZ1906" s="19">
        <v>15.7</v>
      </c>
      <c r="IA1906" s="19">
        <v>14.7</v>
      </c>
      <c r="IB1906" s="19">
        <v>13.7</v>
      </c>
      <c r="IC1906" s="19">
        <v>13.5</v>
      </c>
    </row>
    <row r="1907">
      <c r="A1907" s="2" t="s">
        <v>6935</v>
      </c>
      <c r="B1907" s="2" t="s">
        <v>323</v>
      </c>
      <c r="C1907" s="2" t="s">
        <v>403</v>
      </c>
      <c r="D1907" s="2" t="s">
        <v>274</v>
      </c>
      <c r="E1907" s="2" t="s">
        <v>275</v>
      </c>
      <c r="F1907" s="2" t="s">
        <v>6499</v>
      </c>
      <c r="G1907" s="2" t="s">
        <v>6499</v>
      </c>
      <c r="H1907" s="2" t="s">
        <v>6499</v>
      </c>
      <c r="I1907" s="2" t="s">
        <v>6516</v>
      </c>
      <c r="J1907" s="2" t="s">
        <v>270</v>
      </c>
      <c r="K1907" s="2" t="s">
        <v>6858</v>
      </c>
      <c r="L1907" s="3">
        <v>6.18</v>
      </c>
      <c r="M1907" s="3">
        <v>6.49</v>
      </c>
      <c r="N1907" s="3">
        <v>13.99</v>
      </c>
      <c r="O1907" s="2" t="s">
        <v>232</v>
      </c>
      <c r="P1907" s="2" t="s">
        <v>233</v>
      </c>
      <c r="Q1907" s="2" t="s">
        <v>234</v>
      </c>
      <c r="R1907" s="2" t="s">
        <v>235</v>
      </c>
      <c r="S1907" s="2" t="s">
        <v>6933</v>
      </c>
      <c r="T1907" s="2" t="s">
        <v>6499</v>
      </c>
      <c r="U1907" s="2" t="s">
        <v>278</v>
      </c>
      <c r="V1907" s="2" t="s">
        <v>238</v>
      </c>
      <c r="W1907" s="2" t="s">
        <v>239</v>
      </c>
      <c r="X1907" s="2" t="s">
        <v>682</v>
      </c>
      <c r="Y1907" s="2" t="s">
        <v>1033</v>
      </c>
      <c r="Z1907" s="4">
        <v>206</v>
      </c>
      <c r="AA1907" s="4">
        <f>=ROUNDDOWN(16.2204724409449,0)</f>
      </c>
      <c r="AB1907" s="5">
        <v>12.7</v>
      </c>
      <c r="AC1907" s="2" t="s">
        <v>6913</v>
      </c>
      <c r="AD1907" s="4">
        <v>224</v>
      </c>
      <c r="AE1907" s="4">
        <v>504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235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235</v>
      </c>
      <c r="AW1907" s="8" t="s">
        <v>235</v>
      </c>
      <c r="AX1907" s="4" t="s">
        <v>235</v>
      </c>
      <c r="AY1907" s="8" t="s">
        <v>235</v>
      </c>
      <c r="AZ1907" s="7" t="s">
        <v>235</v>
      </c>
      <c r="BA1907" s="7" t="s">
        <v>235</v>
      </c>
      <c r="BB1907" s="7"/>
      <c r="BC1907" s="4" t="s">
        <v>235</v>
      </c>
      <c r="BD1907" s="8" t="s">
        <v>235</v>
      </c>
      <c r="BE1907" s="4" t="s">
        <v>235</v>
      </c>
      <c r="BF1907" s="8" t="s">
        <v>235</v>
      </c>
      <c r="BG1907" s="7" t="s">
        <v>235</v>
      </c>
      <c r="BH1907" s="7" t="s">
        <v>235</v>
      </c>
      <c r="BI1907" s="7"/>
      <c r="BJ1907" s="4">
        <v>31</v>
      </c>
      <c r="BK1907" s="8">
        <v>198.8</v>
      </c>
      <c r="BL1907" s="2" t="s">
        <v>1184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6517</v>
      </c>
      <c r="BV1907" s="2" t="s">
        <v>243</v>
      </c>
      <c r="BW1907" s="2" t="s">
        <v>235</v>
      </c>
      <c r="BX1907" s="2" t="s">
        <v>244</v>
      </c>
      <c r="BY1907" s="2" t="s">
        <v>245</v>
      </c>
      <c r="BZ1907" s="2" t="s">
        <v>232</v>
      </c>
      <c r="CA1907" s="2" t="s">
        <v>3481</v>
      </c>
      <c r="CB1907" s="2" t="s">
        <v>1537</v>
      </c>
      <c r="CC1907" s="2" t="s">
        <v>248</v>
      </c>
      <c r="CD1907" s="2" t="s">
        <v>248</v>
      </c>
      <c r="CE1907" s="2" t="s">
        <v>235</v>
      </c>
      <c r="CF1907" s="4">
        <v>177</v>
      </c>
      <c r="CG1907" s="4"/>
      <c r="CH1907" s="4"/>
      <c r="CI1907" s="4">
        <v>29</v>
      </c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>
        <v>224</v>
      </c>
      <c r="CX1907" s="4">
        <v>280</v>
      </c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>
        <v>209</v>
      </c>
      <c r="GE1907" s="4">
        <v>700</v>
      </c>
      <c r="GF1907" s="4">
        <v>688</v>
      </c>
      <c r="GG1907" s="4">
        <v>676</v>
      </c>
      <c r="GH1907" s="4">
        <v>664</v>
      </c>
      <c r="GI1907" s="4">
        <v>652</v>
      </c>
      <c r="GJ1907" s="4">
        <v>640</v>
      </c>
      <c r="GK1907" s="4">
        <v>628</v>
      </c>
      <c r="GL1907" s="4">
        <v>616</v>
      </c>
      <c r="GM1907" s="4">
        <v>604</v>
      </c>
      <c r="GN1907" s="4">
        <v>590</v>
      </c>
      <c r="GO1907" s="4">
        <v>566</v>
      </c>
      <c r="GP1907" s="4">
        <v>536</v>
      </c>
      <c r="GQ1907" s="4">
        <v>456</v>
      </c>
      <c r="GR1907" s="4">
        <v>391</v>
      </c>
      <c r="GS1907" s="4">
        <v>348</v>
      </c>
      <c r="GT1907" s="4">
        <v>322</v>
      </c>
      <c r="GU1907" s="4">
        <v>297</v>
      </c>
      <c r="GV1907" s="4">
        <v>283</v>
      </c>
      <c r="GW1907" s="4">
        <v>269</v>
      </c>
      <c r="GX1907" s="4">
        <v>255</v>
      </c>
      <c r="GY1907" s="4">
        <v>242</v>
      </c>
      <c r="GZ1907" s="4">
        <v>229</v>
      </c>
      <c r="HA1907" s="4">
        <v>216</v>
      </c>
      <c r="HB1907" s="4">
        <v>203</v>
      </c>
      <c r="HC1907" s="4">
        <v>189</v>
      </c>
      <c r="HD1907" s="19">
        <v>17.4</v>
      </c>
      <c r="HE1907" s="19">
        <v>58.3</v>
      </c>
      <c r="HF1907" s="19">
        <v>57.3</v>
      </c>
      <c r="HG1907" s="19">
        <v>56.3</v>
      </c>
      <c r="HH1907" s="19">
        <v>55.3</v>
      </c>
      <c r="HI1907" s="19">
        <v>54.3</v>
      </c>
      <c r="HJ1907" s="19">
        <v>53.3</v>
      </c>
      <c r="HK1907" s="19">
        <v>39.3</v>
      </c>
      <c r="HL1907" s="19">
        <v>30.8</v>
      </c>
      <c r="HM1907" s="19">
        <v>16.3</v>
      </c>
      <c r="HN1907" s="19">
        <v>11.8</v>
      </c>
      <c r="HO1907" s="19">
        <v>10.5</v>
      </c>
      <c r="HP1907" s="19">
        <v>9.9</v>
      </c>
      <c r="HQ1907" s="19">
        <v>11.4</v>
      </c>
      <c r="HR1907" s="19">
        <v>14.5</v>
      </c>
      <c r="HS1907" s="19">
        <v>17.4</v>
      </c>
      <c r="HT1907" s="19">
        <v>18.9</v>
      </c>
      <c r="HU1907" s="19">
        <v>21.2</v>
      </c>
      <c r="HV1907" s="19">
        <v>20.2</v>
      </c>
      <c r="HW1907" s="19">
        <v>20.7</v>
      </c>
      <c r="HX1907" s="19">
        <v>19.6</v>
      </c>
      <c r="HY1907" s="19">
        <v>18.6</v>
      </c>
      <c r="HZ1907" s="19">
        <v>17.6</v>
      </c>
      <c r="IA1907" s="19">
        <v>16.6</v>
      </c>
      <c r="IB1907" s="19">
        <v>15.6</v>
      </c>
      <c r="IC1907" s="19">
        <v>15.8</v>
      </c>
    </row>
    <row r="1908">
      <c r="A1908" s="2" t="s">
        <v>6936</v>
      </c>
      <c r="B1908" s="2" t="s">
        <v>323</v>
      </c>
      <c r="C1908" s="2" t="s">
        <v>403</v>
      </c>
      <c r="D1908" s="2" t="s">
        <v>257</v>
      </c>
      <c r="E1908" s="2" t="s">
        <v>258</v>
      </c>
      <c r="F1908" s="2" t="s">
        <v>6499</v>
      </c>
      <c r="G1908" s="2" t="s">
        <v>6499</v>
      </c>
      <c r="H1908" s="2" t="s">
        <v>6499</v>
      </c>
      <c r="I1908" s="2" t="s">
        <v>6902</v>
      </c>
      <c r="J1908" s="2" t="s">
        <v>272</v>
      </c>
      <c r="K1908" s="2" t="s">
        <v>6858</v>
      </c>
      <c r="L1908" s="3">
        <v>22.7</v>
      </c>
      <c r="M1908" s="3">
        <v>23.84</v>
      </c>
      <c r="N1908" s="3">
        <v>48.99</v>
      </c>
      <c r="O1908" s="2" t="s">
        <v>232</v>
      </c>
      <c r="P1908" s="2" t="s">
        <v>233</v>
      </c>
      <c r="Q1908" s="2" t="s">
        <v>234</v>
      </c>
      <c r="R1908" s="2" t="s">
        <v>235</v>
      </c>
      <c r="S1908" s="2" t="s">
        <v>6933</v>
      </c>
      <c r="T1908" s="2" t="s">
        <v>6499</v>
      </c>
      <c r="U1908" s="2" t="s">
        <v>614</v>
      </c>
      <c r="V1908" s="2" t="s">
        <v>238</v>
      </c>
      <c r="W1908" s="2" t="s">
        <v>239</v>
      </c>
      <c r="X1908" s="2" t="s">
        <v>682</v>
      </c>
      <c r="Y1908" s="2" t="s">
        <v>4084</v>
      </c>
      <c r="Z1908" s="4">
        <v>318</v>
      </c>
      <c r="AA1908" s="4">
        <f>=ROUNDDOWN(60,0)</f>
      </c>
      <c r="AB1908" s="5">
        <v>5.3</v>
      </c>
      <c r="AC1908" s="2" t="s">
        <v>235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235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235</v>
      </c>
      <c r="AW1908" s="8" t="s">
        <v>235</v>
      </c>
      <c r="AX1908" s="4" t="s">
        <v>235</v>
      </c>
      <c r="AY1908" s="8" t="s">
        <v>235</v>
      </c>
      <c r="AZ1908" s="7" t="s">
        <v>235</v>
      </c>
      <c r="BA1908" s="7" t="s">
        <v>235</v>
      </c>
      <c r="BB1908" s="7"/>
      <c r="BC1908" s="4" t="s">
        <v>235</v>
      </c>
      <c r="BD1908" s="8" t="s">
        <v>235</v>
      </c>
      <c r="BE1908" s="4" t="s">
        <v>235</v>
      </c>
      <c r="BF1908" s="8" t="s">
        <v>235</v>
      </c>
      <c r="BG1908" s="7" t="s">
        <v>235</v>
      </c>
      <c r="BH1908" s="7" t="s">
        <v>235</v>
      </c>
      <c r="BI1908" s="7"/>
      <c r="BJ1908" s="4">
        <v>14</v>
      </c>
      <c r="BK1908" s="8">
        <v>325.62</v>
      </c>
      <c r="BL1908" s="2" t="s">
        <v>6937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6905</v>
      </c>
      <c r="BV1908" s="2" t="s">
        <v>243</v>
      </c>
      <c r="BW1908" s="2" t="s">
        <v>235</v>
      </c>
      <c r="BX1908" s="2" t="s">
        <v>685</v>
      </c>
      <c r="BY1908" s="2" t="s">
        <v>245</v>
      </c>
      <c r="BZ1908" s="2" t="s">
        <v>232</v>
      </c>
      <c r="CA1908" s="2" t="s">
        <v>3481</v>
      </c>
      <c r="CB1908" s="2" t="s">
        <v>934</v>
      </c>
      <c r="CC1908" s="2" t="s">
        <v>248</v>
      </c>
      <c r="CD1908" s="2" t="s">
        <v>248</v>
      </c>
      <c r="CE1908" s="2" t="s">
        <v>235</v>
      </c>
      <c r="CF1908" s="4">
        <v>115</v>
      </c>
      <c r="CG1908" s="4"/>
      <c r="CH1908" s="4"/>
      <c r="CI1908" s="4">
        <v>203</v>
      </c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>
        <v>318</v>
      </c>
      <c r="GE1908" s="4">
        <v>293</v>
      </c>
      <c r="GF1908" s="4">
        <v>288</v>
      </c>
      <c r="GG1908" s="4">
        <v>282</v>
      </c>
      <c r="GH1908" s="4">
        <v>274</v>
      </c>
      <c r="GI1908" s="4">
        <v>267</v>
      </c>
      <c r="GJ1908" s="4">
        <v>252</v>
      </c>
      <c r="GK1908" s="4">
        <v>242</v>
      </c>
      <c r="GL1908" s="4">
        <v>232</v>
      </c>
      <c r="GM1908" s="4">
        <v>226</v>
      </c>
      <c r="GN1908" s="4">
        <v>219</v>
      </c>
      <c r="GO1908" s="4">
        <v>212</v>
      </c>
      <c r="GP1908" s="4">
        <v>205</v>
      </c>
      <c r="GQ1908" s="4">
        <v>193</v>
      </c>
      <c r="GR1908" s="4">
        <v>184</v>
      </c>
      <c r="GS1908" s="4">
        <v>176</v>
      </c>
      <c r="GT1908" s="4">
        <v>170</v>
      </c>
      <c r="GU1908" s="4">
        <v>163</v>
      </c>
      <c r="GV1908" s="4">
        <v>157</v>
      </c>
      <c r="GW1908" s="4">
        <v>152</v>
      </c>
      <c r="GX1908" s="4">
        <v>147</v>
      </c>
      <c r="GY1908" s="4">
        <v>142</v>
      </c>
      <c r="GZ1908" s="4">
        <v>137</v>
      </c>
      <c r="HA1908" s="4">
        <v>132</v>
      </c>
      <c r="HB1908" s="4">
        <v>127</v>
      </c>
      <c r="HC1908" s="4">
        <v>122</v>
      </c>
      <c r="HD1908" s="19">
        <v>28.9</v>
      </c>
      <c r="HE1908" s="19">
        <v>48.8</v>
      </c>
      <c r="HF1908" s="19">
        <v>32</v>
      </c>
      <c r="HG1908" s="19">
        <v>28.2</v>
      </c>
      <c r="HH1908" s="19">
        <v>27.4</v>
      </c>
      <c r="HI1908" s="19">
        <v>26.7</v>
      </c>
      <c r="HJ1908" s="19">
        <v>31.5</v>
      </c>
      <c r="HK1908" s="19">
        <v>30.3</v>
      </c>
      <c r="HL1908" s="19">
        <v>33.1</v>
      </c>
      <c r="HM1908" s="19">
        <v>28.3</v>
      </c>
      <c r="HN1908" s="19">
        <v>24.3</v>
      </c>
      <c r="HO1908" s="19">
        <v>23.6</v>
      </c>
      <c r="HP1908" s="19">
        <v>22.8</v>
      </c>
      <c r="HQ1908" s="19">
        <v>24.1</v>
      </c>
      <c r="HR1908" s="19">
        <v>26.3</v>
      </c>
      <c r="HS1908" s="19">
        <v>29.3</v>
      </c>
      <c r="HT1908" s="19">
        <v>28.3</v>
      </c>
      <c r="HU1908" s="19">
        <v>32.6</v>
      </c>
      <c r="HV1908" s="19">
        <v>31.4</v>
      </c>
      <c r="HW1908" s="19">
        <v>30.4</v>
      </c>
      <c r="HX1908" s="19">
        <v>29.4</v>
      </c>
      <c r="HY1908" s="19">
        <v>28.4</v>
      </c>
      <c r="HZ1908" s="19">
        <v>27.4</v>
      </c>
      <c r="IA1908" s="19">
        <v>26.4</v>
      </c>
      <c r="IB1908" s="19">
        <v>25.4</v>
      </c>
      <c r="IC1908" s="19">
        <v>24.4</v>
      </c>
    </row>
    <row r="1909">
      <c r="A1909" s="2" t="s">
        <v>6938</v>
      </c>
      <c r="B1909" s="2" t="s">
        <v>323</v>
      </c>
      <c r="C1909" s="2" t="s">
        <v>403</v>
      </c>
      <c r="D1909" s="2" t="s">
        <v>274</v>
      </c>
      <c r="E1909" s="2" t="s">
        <v>275</v>
      </c>
      <c r="F1909" s="2" t="s">
        <v>6499</v>
      </c>
      <c r="G1909" s="2" t="s">
        <v>6499</v>
      </c>
      <c r="H1909" s="2" t="s">
        <v>6499</v>
      </c>
      <c r="I1909" s="2" t="s">
        <v>6516</v>
      </c>
      <c r="J1909" s="2" t="s">
        <v>5272</v>
      </c>
      <c r="K1909" s="2" t="s">
        <v>6858</v>
      </c>
      <c r="L1909" s="3">
        <v>5.69</v>
      </c>
      <c r="M1909" s="3">
        <v>5.97</v>
      </c>
      <c r="N1909" s="3">
        <v>12.99</v>
      </c>
      <c r="O1909" s="2" t="s">
        <v>232</v>
      </c>
      <c r="P1909" s="2" t="s">
        <v>233</v>
      </c>
      <c r="Q1909" s="2" t="s">
        <v>234</v>
      </c>
      <c r="R1909" s="2" t="s">
        <v>235</v>
      </c>
      <c r="S1909" s="2" t="s">
        <v>6933</v>
      </c>
      <c r="T1909" s="2" t="s">
        <v>6499</v>
      </c>
      <c r="U1909" s="2" t="s">
        <v>278</v>
      </c>
      <c r="V1909" s="2" t="s">
        <v>238</v>
      </c>
      <c r="W1909" s="2" t="s">
        <v>239</v>
      </c>
      <c r="X1909" s="2" t="s">
        <v>682</v>
      </c>
      <c r="Y1909" s="2" t="s">
        <v>1033</v>
      </c>
      <c r="Z1909" s="4">
        <v>289</v>
      </c>
      <c r="AA1909" s="4">
        <f>=ROUNDDOWN(10.7434944237918,0)</f>
      </c>
      <c r="AB1909" s="5">
        <v>26.9</v>
      </c>
      <c r="AC1909" s="2" t="s">
        <v>6913</v>
      </c>
      <c r="AD1909" s="4">
        <v>1232</v>
      </c>
      <c r="AE1909" s="4">
        <v>1736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235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235</v>
      </c>
      <c r="AW1909" s="8" t="s">
        <v>235</v>
      </c>
      <c r="AX1909" s="4" t="s">
        <v>235</v>
      </c>
      <c r="AY1909" s="8" t="s">
        <v>235</v>
      </c>
      <c r="AZ1909" s="7" t="s">
        <v>235</v>
      </c>
      <c r="BA1909" s="7" t="s">
        <v>235</v>
      </c>
      <c r="BB1909" s="7"/>
      <c r="BC1909" s="4" t="s">
        <v>235</v>
      </c>
      <c r="BD1909" s="8" t="s">
        <v>235</v>
      </c>
      <c r="BE1909" s="4" t="s">
        <v>235</v>
      </c>
      <c r="BF1909" s="8" t="s">
        <v>235</v>
      </c>
      <c r="BG1909" s="7" t="s">
        <v>235</v>
      </c>
      <c r="BH1909" s="7" t="s">
        <v>235</v>
      </c>
      <c r="BI1909" s="7"/>
      <c r="BJ1909" s="4">
        <v>105</v>
      </c>
      <c r="BK1909" s="8">
        <v>628.01</v>
      </c>
      <c r="BL1909" s="2" t="s">
        <v>6914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6517</v>
      </c>
      <c r="BV1909" s="2" t="s">
        <v>243</v>
      </c>
      <c r="BW1909" s="2" t="s">
        <v>235</v>
      </c>
      <c r="BX1909" s="2" t="s">
        <v>244</v>
      </c>
      <c r="BY1909" s="2" t="s">
        <v>245</v>
      </c>
      <c r="BZ1909" s="2" t="s">
        <v>232</v>
      </c>
      <c r="CA1909" s="2" t="s">
        <v>3481</v>
      </c>
      <c r="CB1909" s="2" t="s">
        <v>1982</v>
      </c>
      <c r="CC1909" s="2" t="s">
        <v>248</v>
      </c>
      <c r="CD1909" s="2" t="s">
        <v>248</v>
      </c>
      <c r="CE1909" s="2" t="s">
        <v>235</v>
      </c>
      <c r="CF1909" s="4">
        <v>289</v>
      </c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>
        <v>1232</v>
      </c>
      <c r="CX1909" s="4">
        <v>504</v>
      </c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>
        <v>294</v>
      </c>
      <c r="GE1909" s="4">
        <v>2000</v>
      </c>
      <c r="GF1909" s="4">
        <v>1973</v>
      </c>
      <c r="GG1909" s="4">
        <v>1946</v>
      </c>
      <c r="GH1909" s="4">
        <v>1919</v>
      </c>
      <c r="GI1909" s="4">
        <v>1892</v>
      </c>
      <c r="GJ1909" s="4">
        <v>1865</v>
      </c>
      <c r="GK1909" s="4">
        <v>1838</v>
      </c>
      <c r="GL1909" s="4">
        <v>1811</v>
      </c>
      <c r="GM1909" s="4">
        <v>1784</v>
      </c>
      <c r="GN1909" s="4">
        <v>1746</v>
      </c>
      <c r="GO1909" s="4">
        <v>1670</v>
      </c>
      <c r="GP1909" s="4">
        <v>1562</v>
      </c>
      <c r="GQ1909" s="4">
        <v>1435</v>
      </c>
      <c r="GR1909" s="4">
        <v>1322</v>
      </c>
      <c r="GS1909" s="4">
        <v>1222</v>
      </c>
      <c r="GT1909" s="4">
        <v>1160</v>
      </c>
      <c r="GU1909" s="4">
        <v>1106</v>
      </c>
      <c r="GV1909" s="4">
        <v>1074</v>
      </c>
      <c r="GW1909" s="4">
        <v>1042</v>
      </c>
      <c r="GX1909" s="4">
        <v>1010</v>
      </c>
      <c r="GY1909" s="4">
        <v>980</v>
      </c>
      <c r="GZ1909" s="4">
        <v>950</v>
      </c>
      <c r="HA1909" s="4">
        <v>920</v>
      </c>
      <c r="HB1909" s="4">
        <v>890</v>
      </c>
      <c r="HC1909" s="4">
        <v>858</v>
      </c>
      <c r="HD1909" s="19">
        <v>10.5</v>
      </c>
      <c r="HE1909" s="19">
        <v>74.1</v>
      </c>
      <c r="HF1909" s="19">
        <v>73.1</v>
      </c>
      <c r="HG1909" s="19">
        <v>72.1</v>
      </c>
      <c r="HH1909" s="19">
        <v>71.1</v>
      </c>
      <c r="HI1909" s="19">
        <v>70.1</v>
      </c>
      <c r="HJ1909" s="19">
        <v>62.2</v>
      </c>
      <c r="HK1909" s="19">
        <v>43.8</v>
      </c>
      <c r="HL1909" s="19">
        <v>29.2</v>
      </c>
      <c r="HM1909" s="19">
        <v>20.5</v>
      </c>
      <c r="HN1909" s="19">
        <v>16.5</v>
      </c>
      <c r="HO1909" s="19">
        <v>14.9</v>
      </c>
      <c r="HP1909" s="19">
        <v>15.6</v>
      </c>
      <c r="HQ1909" s="19">
        <v>17.5</v>
      </c>
      <c r="HR1909" s="19">
        <v>21.3</v>
      </c>
      <c r="HS1909" s="19">
        <v>27.2</v>
      </c>
      <c r="HT1909" s="19">
        <v>30.5</v>
      </c>
      <c r="HU1909" s="19">
        <v>34.6</v>
      </c>
      <c r="HV1909" s="19">
        <v>34.6</v>
      </c>
      <c r="HW1909" s="19">
        <v>34.7</v>
      </c>
      <c r="HX1909" s="19">
        <v>33.7</v>
      </c>
      <c r="HY1909" s="19">
        <v>32.7</v>
      </c>
      <c r="HZ1909" s="19">
        <v>31.7</v>
      </c>
      <c r="IA1909" s="19">
        <v>30.7</v>
      </c>
      <c r="IB1909" s="19">
        <v>30.7</v>
      </c>
      <c r="IC1909" s="19">
        <v>30.6</v>
      </c>
    </row>
    <row r="1910">
      <c r="A1910" s="2" t="s">
        <v>6939</v>
      </c>
      <c r="B1910" s="2" t="s">
        <v>323</v>
      </c>
      <c r="C1910" s="2" t="s">
        <v>403</v>
      </c>
      <c r="D1910" s="2" t="s">
        <v>274</v>
      </c>
      <c r="E1910" s="2" t="s">
        <v>275</v>
      </c>
      <c r="F1910" s="2" t="s">
        <v>6499</v>
      </c>
      <c r="G1910" s="2" t="s">
        <v>6499</v>
      </c>
      <c r="H1910" s="2" t="s">
        <v>6499</v>
      </c>
      <c r="I1910" s="2" t="s">
        <v>6516</v>
      </c>
      <c r="J1910" s="2" t="s">
        <v>270</v>
      </c>
      <c r="K1910" s="2" t="s">
        <v>6940</v>
      </c>
      <c r="L1910" s="3">
        <v>6.18</v>
      </c>
      <c r="M1910" s="3">
        <v>6.49</v>
      </c>
      <c r="N1910" s="3">
        <v>13.99</v>
      </c>
      <c r="O1910" s="2" t="s">
        <v>232</v>
      </c>
      <c r="P1910" s="2" t="s">
        <v>233</v>
      </c>
      <c r="Q1910" s="2" t="s">
        <v>234</v>
      </c>
      <c r="R1910" s="2" t="s">
        <v>235</v>
      </c>
      <c r="S1910" s="2" t="s">
        <v>6941</v>
      </c>
      <c r="T1910" s="2" t="s">
        <v>6499</v>
      </c>
      <c r="U1910" s="2" t="s">
        <v>278</v>
      </c>
      <c r="V1910" s="2" t="s">
        <v>238</v>
      </c>
      <c r="W1910" s="2" t="s">
        <v>239</v>
      </c>
      <c r="X1910" s="2" t="s">
        <v>682</v>
      </c>
      <c r="Y1910" s="2" t="s">
        <v>1033</v>
      </c>
      <c r="Z1910" s="4">
        <v>585</v>
      </c>
      <c r="AA1910" s="4">
        <f>=ROUNDDOWN(40.3448275862069,0)</f>
      </c>
      <c r="AB1910" s="5">
        <v>14.5</v>
      </c>
      <c r="AC1910" s="2" t="s">
        <v>6913</v>
      </c>
      <c r="AD1910" s="4">
        <v>56</v>
      </c>
      <c r="AE1910" s="4">
        <v>56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235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235</v>
      </c>
      <c r="AW1910" s="8" t="s">
        <v>235</v>
      </c>
      <c r="AX1910" s="4" t="s">
        <v>235</v>
      </c>
      <c r="AY1910" s="8" t="s">
        <v>235</v>
      </c>
      <c r="AZ1910" s="7" t="s">
        <v>235</v>
      </c>
      <c r="BA1910" s="7" t="s">
        <v>235</v>
      </c>
      <c r="BB1910" s="7"/>
      <c r="BC1910" s="4" t="s">
        <v>235</v>
      </c>
      <c r="BD1910" s="8" t="s">
        <v>235</v>
      </c>
      <c r="BE1910" s="4" t="s">
        <v>235</v>
      </c>
      <c r="BF1910" s="8" t="s">
        <v>235</v>
      </c>
      <c r="BG1910" s="7" t="s">
        <v>235</v>
      </c>
      <c r="BH1910" s="7" t="s">
        <v>235</v>
      </c>
      <c r="BI1910" s="7"/>
      <c r="BJ1910" s="4">
        <v>35</v>
      </c>
      <c r="BK1910" s="8">
        <v>232.74</v>
      </c>
      <c r="BL1910" s="2" t="s">
        <v>1184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6517</v>
      </c>
      <c r="BV1910" s="2" t="s">
        <v>243</v>
      </c>
      <c r="BW1910" s="2" t="s">
        <v>235</v>
      </c>
      <c r="BX1910" s="2" t="s">
        <v>244</v>
      </c>
      <c r="BY1910" s="2" t="s">
        <v>245</v>
      </c>
      <c r="BZ1910" s="2" t="s">
        <v>232</v>
      </c>
      <c r="CA1910" s="2" t="s">
        <v>3481</v>
      </c>
      <c r="CB1910" s="2" t="s">
        <v>934</v>
      </c>
      <c r="CC1910" s="2" t="s">
        <v>248</v>
      </c>
      <c r="CD1910" s="2" t="s">
        <v>248</v>
      </c>
      <c r="CE1910" s="2" t="s">
        <v>235</v>
      </c>
      <c r="CF1910" s="4">
        <v>557</v>
      </c>
      <c r="CG1910" s="4"/>
      <c r="CH1910" s="4"/>
      <c r="CI1910" s="4">
        <v>28</v>
      </c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>
        <v>56</v>
      </c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>
        <v>591</v>
      </c>
      <c r="GE1910" s="4">
        <v>629</v>
      </c>
      <c r="GF1910" s="4">
        <v>615</v>
      </c>
      <c r="GG1910" s="4">
        <v>601</v>
      </c>
      <c r="GH1910" s="4">
        <v>587</v>
      </c>
      <c r="GI1910" s="4">
        <v>573</v>
      </c>
      <c r="GJ1910" s="4">
        <v>559</v>
      </c>
      <c r="GK1910" s="4">
        <v>545</v>
      </c>
      <c r="GL1910" s="4">
        <v>530</v>
      </c>
      <c r="GM1910" s="4">
        <v>514</v>
      </c>
      <c r="GN1910" s="4">
        <v>495</v>
      </c>
      <c r="GO1910" s="4">
        <v>466</v>
      </c>
      <c r="GP1910" s="4">
        <v>430</v>
      </c>
      <c r="GQ1910" s="4">
        <v>335</v>
      </c>
      <c r="GR1910" s="4">
        <v>258</v>
      </c>
      <c r="GS1910" s="4">
        <v>207</v>
      </c>
      <c r="GT1910" s="4">
        <v>175</v>
      </c>
      <c r="GU1910" s="4">
        <v>145</v>
      </c>
      <c r="GV1910" s="4">
        <v>127</v>
      </c>
      <c r="GW1910" s="4">
        <v>109</v>
      </c>
      <c r="GX1910" s="4">
        <v>91</v>
      </c>
      <c r="GY1910" s="4">
        <v>292</v>
      </c>
      <c r="GZ1910" s="4">
        <v>276</v>
      </c>
      <c r="HA1910" s="4">
        <v>260</v>
      </c>
      <c r="HB1910" s="4">
        <v>244</v>
      </c>
      <c r="HC1910" s="4">
        <v>226</v>
      </c>
      <c r="HD1910" s="19">
        <v>39.4</v>
      </c>
      <c r="HE1910" s="19">
        <v>44.9</v>
      </c>
      <c r="HF1910" s="19">
        <v>43.9</v>
      </c>
      <c r="HG1910" s="19">
        <v>42.9</v>
      </c>
      <c r="HH1910" s="19">
        <v>41.9</v>
      </c>
      <c r="HI1910" s="19">
        <v>38.2</v>
      </c>
      <c r="HJ1910" s="19">
        <v>34.9</v>
      </c>
      <c r="HK1910" s="19">
        <v>27.3</v>
      </c>
      <c r="HL1910" s="19">
        <v>21.2</v>
      </c>
      <c r="HM1910" s="19">
        <v>11.4</v>
      </c>
      <c r="HN1910" s="19">
        <v>8.4</v>
      </c>
      <c r="HO1910" s="19">
        <v>7.2</v>
      </c>
      <c r="HP1910" s="19">
        <v>6.7</v>
      </c>
      <c r="HQ1910" s="19">
        <v>7</v>
      </c>
      <c r="HR1910" s="19">
        <v>7.8</v>
      </c>
      <c r="HS1910" s="19">
        <v>8.6</v>
      </c>
      <c r="HT1910" s="19">
        <v>8.3</v>
      </c>
      <c r="HU1910" s="19">
        <v>8.1</v>
      </c>
      <c r="HV1910" s="19">
        <v>7.5</v>
      </c>
      <c r="HW1910" s="19">
        <v>6.8</v>
      </c>
      <c r="HX1910" s="19">
        <v>5.7</v>
      </c>
      <c r="HY1910" s="19">
        <v>18.3</v>
      </c>
      <c r="HZ1910" s="19">
        <v>17.3</v>
      </c>
      <c r="IA1910" s="19">
        <v>16.3</v>
      </c>
      <c r="IB1910" s="19">
        <v>15.3</v>
      </c>
      <c r="IC1910" s="19">
        <v>15.1</v>
      </c>
    </row>
    <row r="1911">
      <c r="A1911" s="2" t="s">
        <v>6942</v>
      </c>
      <c r="B1911" s="2" t="s">
        <v>323</v>
      </c>
      <c r="C1911" s="2" t="s">
        <v>403</v>
      </c>
      <c r="D1911" s="2" t="s">
        <v>274</v>
      </c>
      <c r="E1911" s="2" t="s">
        <v>275</v>
      </c>
      <c r="F1911" s="2" t="s">
        <v>6499</v>
      </c>
      <c r="G1911" s="2" t="s">
        <v>6499</v>
      </c>
      <c r="H1911" s="2" t="s">
        <v>6499</v>
      </c>
      <c r="I1911" s="2" t="s">
        <v>6516</v>
      </c>
      <c r="J1911" s="2" t="s">
        <v>5272</v>
      </c>
      <c r="K1911" s="2" t="s">
        <v>6940</v>
      </c>
      <c r="L1911" s="3">
        <v>5.69</v>
      </c>
      <c r="M1911" s="3">
        <v>5.97</v>
      </c>
      <c r="N1911" s="3">
        <v>12.99</v>
      </c>
      <c r="O1911" s="2" t="s">
        <v>232</v>
      </c>
      <c r="P1911" s="2" t="s">
        <v>233</v>
      </c>
      <c r="Q1911" s="2" t="s">
        <v>234</v>
      </c>
      <c r="R1911" s="2" t="s">
        <v>235</v>
      </c>
      <c r="S1911" s="2" t="s">
        <v>6941</v>
      </c>
      <c r="T1911" s="2" t="s">
        <v>6499</v>
      </c>
      <c r="U1911" s="2" t="s">
        <v>278</v>
      </c>
      <c r="V1911" s="2" t="s">
        <v>238</v>
      </c>
      <c r="W1911" s="2" t="s">
        <v>239</v>
      </c>
      <c r="X1911" s="2" t="s">
        <v>682</v>
      </c>
      <c r="Y1911" s="2" t="s">
        <v>1033</v>
      </c>
      <c r="Z1911" s="4">
        <v>785</v>
      </c>
      <c r="AA1911" s="4">
        <f>=ROUNDDOWN(28.3393501805054,0)</f>
      </c>
      <c r="AB1911" s="5">
        <v>27.7</v>
      </c>
      <c r="AC1911" s="2" t="s">
        <v>6913</v>
      </c>
      <c r="AD1911" s="4">
        <v>856</v>
      </c>
      <c r="AE1911" s="4">
        <v>856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235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235</v>
      </c>
      <c r="AW1911" s="8" t="s">
        <v>235</v>
      </c>
      <c r="AX1911" s="4" t="s">
        <v>235</v>
      </c>
      <c r="AY1911" s="8" t="s">
        <v>235</v>
      </c>
      <c r="AZ1911" s="7" t="s">
        <v>235</v>
      </c>
      <c r="BA1911" s="7" t="s">
        <v>235</v>
      </c>
      <c r="BB1911" s="7"/>
      <c r="BC1911" s="4" t="s">
        <v>235</v>
      </c>
      <c r="BD1911" s="8" t="s">
        <v>235</v>
      </c>
      <c r="BE1911" s="4" t="s">
        <v>235</v>
      </c>
      <c r="BF1911" s="8" t="s">
        <v>235</v>
      </c>
      <c r="BG1911" s="7" t="s">
        <v>235</v>
      </c>
      <c r="BH1911" s="7" t="s">
        <v>235</v>
      </c>
      <c r="BI1911" s="7"/>
      <c r="BJ1911" s="4">
        <v>93</v>
      </c>
      <c r="BK1911" s="8">
        <v>585.83</v>
      </c>
      <c r="BL1911" s="2" t="s">
        <v>6914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6517</v>
      </c>
      <c r="BV1911" s="2" t="s">
        <v>243</v>
      </c>
      <c r="BW1911" s="2" t="s">
        <v>235</v>
      </c>
      <c r="BX1911" s="2" t="s">
        <v>244</v>
      </c>
      <c r="BY1911" s="2" t="s">
        <v>245</v>
      </c>
      <c r="BZ1911" s="2" t="s">
        <v>232</v>
      </c>
      <c r="CA1911" s="2" t="s">
        <v>3481</v>
      </c>
      <c r="CB1911" s="2" t="s">
        <v>1034</v>
      </c>
      <c r="CC1911" s="2" t="s">
        <v>248</v>
      </c>
      <c r="CD1911" s="2" t="s">
        <v>248</v>
      </c>
      <c r="CE1911" s="2" t="s">
        <v>235</v>
      </c>
      <c r="CF1911" s="4">
        <v>785</v>
      </c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>
        <v>856</v>
      </c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>
        <v>792</v>
      </c>
      <c r="GE1911" s="4">
        <v>1619</v>
      </c>
      <c r="GF1911" s="4">
        <v>1594</v>
      </c>
      <c r="GG1911" s="4">
        <v>1569</v>
      </c>
      <c r="GH1911" s="4">
        <v>1544</v>
      </c>
      <c r="GI1911" s="4">
        <v>1519</v>
      </c>
      <c r="GJ1911" s="4">
        <v>1494</v>
      </c>
      <c r="GK1911" s="4">
        <v>1469</v>
      </c>
      <c r="GL1911" s="4">
        <v>1439</v>
      </c>
      <c r="GM1911" s="4">
        <v>1409</v>
      </c>
      <c r="GN1911" s="4">
        <v>1370</v>
      </c>
      <c r="GO1911" s="4">
        <v>1298</v>
      </c>
      <c r="GP1911" s="4">
        <v>1196</v>
      </c>
      <c r="GQ1911" s="4">
        <v>1076</v>
      </c>
      <c r="GR1911" s="4">
        <v>969</v>
      </c>
      <c r="GS1911" s="4">
        <v>874</v>
      </c>
      <c r="GT1911" s="4">
        <v>814</v>
      </c>
      <c r="GU1911" s="4">
        <v>762</v>
      </c>
      <c r="GV1911" s="4">
        <v>730</v>
      </c>
      <c r="GW1911" s="4">
        <v>698</v>
      </c>
      <c r="GX1911" s="4">
        <v>666</v>
      </c>
      <c r="GY1911" s="4">
        <v>636</v>
      </c>
      <c r="GZ1911" s="4">
        <v>606</v>
      </c>
      <c r="HA1911" s="4">
        <v>576</v>
      </c>
      <c r="HB1911" s="4">
        <v>546</v>
      </c>
      <c r="HC1911" s="4">
        <v>514</v>
      </c>
      <c r="HD1911" s="19">
        <v>30.5</v>
      </c>
      <c r="HE1911" s="19">
        <v>64.8</v>
      </c>
      <c r="HF1911" s="19">
        <v>63.8</v>
      </c>
      <c r="HG1911" s="19">
        <v>62.8</v>
      </c>
      <c r="HH1911" s="19">
        <v>59.4</v>
      </c>
      <c r="HI1911" s="19">
        <v>54.3</v>
      </c>
      <c r="HJ1911" s="19">
        <v>48.2</v>
      </c>
      <c r="HK1911" s="19">
        <v>34.2</v>
      </c>
      <c r="HL1911" s="19">
        <v>23.6</v>
      </c>
      <c r="HM1911" s="19">
        <v>17</v>
      </c>
      <c r="HN1911" s="19">
        <v>13.7</v>
      </c>
      <c r="HO1911" s="19">
        <v>12.2</v>
      </c>
      <c r="HP1911" s="19">
        <v>12.5</v>
      </c>
      <c r="HQ1911" s="19">
        <v>13.8</v>
      </c>
      <c r="HR1911" s="19">
        <v>16.2</v>
      </c>
      <c r="HS1911" s="19">
        <v>19.9</v>
      </c>
      <c r="HT1911" s="19">
        <v>22</v>
      </c>
      <c r="HU1911" s="19">
        <v>23.8</v>
      </c>
      <c r="HV1911" s="19">
        <v>23.5</v>
      </c>
      <c r="HW1911" s="19">
        <v>23.3</v>
      </c>
      <c r="HX1911" s="19">
        <v>22.2</v>
      </c>
      <c r="HY1911" s="19">
        <v>21.2</v>
      </c>
      <c r="HZ1911" s="19">
        <v>20.2</v>
      </c>
      <c r="IA1911" s="19">
        <v>19.2</v>
      </c>
      <c r="IB1911" s="19">
        <v>18.8</v>
      </c>
      <c r="IC1911" s="19">
        <v>18.4</v>
      </c>
    </row>
    <row r="1912">
      <c r="A1912" s="2" t="s">
        <v>6943</v>
      </c>
      <c r="B1912" s="2" t="s">
        <v>323</v>
      </c>
      <c r="C1912" s="2" t="s">
        <v>403</v>
      </c>
      <c r="D1912" s="2" t="s">
        <v>257</v>
      </c>
      <c r="E1912" s="2" t="s">
        <v>258</v>
      </c>
      <c r="F1912" s="2" t="s">
        <v>6499</v>
      </c>
      <c r="G1912" s="2" t="s">
        <v>6499</v>
      </c>
      <c r="H1912" s="2" t="s">
        <v>6499</v>
      </c>
      <c r="I1912" s="2" t="s">
        <v>6902</v>
      </c>
      <c r="J1912" s="2" t="s">
        <v>394</v>
      </c>
      <c r="K1912" s="2" t="s">
        <v>309</v>
      </c>
      <c r="L1912" s="3">
        <v>13.85</v>
      </c>
      <c r="M1912" s="3">
        <v>14.54</v>
      </c>
      <c r="N1912" s="3">
        <v>29.99</v>
      </c>
      <c r="O1912" s="2" t="s">
        <v>232</v>
      </c>
      <c r="P1912" s="2" t="s">
        <v>233</v>
      </c>
      <c r="Q1912" s="2" t="s">
        <v>234</v>
      </c>
      <c r="R1912" s="2" t="s">
        <v>235</v>
      </c>
      <c r="S1912" s="2" t="s">
        <v>6944</v>
      </c>
      <c r="T1912" s="2" t="s">
        <v>6499</v>
      </c>
      <c r="U1912" s="2" t="s">
        <v>264</v>
      </c>
      <c r="V1912" s="2" t="s">
        <v>238</v>
      </c>
      <c r="W1912" s="2" t="s">
        <v>239</v>
      </c>
      <c r="X1912" s="2" t="s">
        <v>682</v>
      </c>
      <c r="Y1912" s="2" t="s">
        <v>4084</v>
      </c>
      <c r="Z1912" s="4">
        <v>346</v>
      </c>
      <c r="AA1912" s="4">
        <f>=ROUNDDOWN(43.25,0)</f>
      </c>
      <c r="AB1912" s="5">
        <v>8</v>
      </c>
      <c r="AC1912" s="2" t="s">
        <v>235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235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235</v>
      </c>
      <c r="AW1912" s="8" t="s">
        <v>235</v>
      </c>
      <c r="AX1912" s="4" t="s">
        <v>235</v>
      </c>
      <c r="AY1912" s="8" t="s">
        <v>235</v>
      </c>
      <c r="AZ1912" s="7" t="s">
        <v>235</v>
      </c>
      <c r="BA1912" s="7" t="s">
        <v>235</v>
      </c>
      <c r="BB1912" s="7"/>
      <c r="BC1912" s="4" t="s">
        <v>235</v>
      </c>
      <c r="BD1912" s="8" t="s">
        <v>235</v>
      </c>
      <c r="BE1912" s="4" t="s">
        <v>235</v>
      </c>
      <c r="BF1912" s="8" t="s">
        <v>235</v>
      </c>
      <c r="BG1912" s="7" t="s">
        <v>235</v>
      </c>
      <c r="BH1912" s="7" t="s">
        <v>235</v>
      </c>
      <c r="BI1912" s="7"/>
      <c r="BJ1912" s="4">
        <v>21</v>
      </c>
      <c r="BK1912" s="8">
        <v>326.45</v>
      </c>
      <c r="BL1912" s="2" t="s">
        <v>6945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6905</v>
      </c>
      <c r="BV1912" s="2" t="s">
        <v>243</v>
      </c>
      <c r="BW1912" s="2" t="s">
        <v>235</v>
      </c>
      <c r="BX1912" s="2" t="s">
        <v>685</v>
      </c>
      <c r="BY1912" s="2" t="s">
        <v>245</v>
      </c>
      <c r="BZ1912" s="2" t="s">
        <v>232</v>
      </c>
      <c r="CA1912" s="2" t="s">
        <v>3481</v>
      </c>
      <c r="CB1912" s="2" t="s">
        <v>1034</v>
      </c>
      <c r="CC1912" s="2" t="s">
        <v>248</v>
      </c>
      <c r="CD1912" s="2" t="s">
        <v>248</v>
      </c>
      <c r="CE1912" s="2" t="s">
        <v>235</v>
      </c>
      <c r="CF1912" s="4">
        <v>67</v>
      </c>
      <c r="CG1912" s="4"/>
      <c r="CH1912" s="4"/>
      <c r="CI1912" s="4">
        <v>279</v>
      </c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>
        <v>358</v>
      </c>
      <c r="GE1912" s="4">
        <v>333</v>
      </c>
      <c r="GF1912" s="4">
        <v>325</v>
      </c>
      <c r="GG1912" s="4">
        <v>317</v>
      </c>
      <c r="GH1912" s="4">
        <v>308</v>
      </c>
      <c r="GI1912" s="4">
        <v>297</v>
      </c>
      <c r="GJ1912" s="4">
        <v>279</v>
      </c>
      <c r="GK1912" s="4">
        <v>266</v>
      </c>
      <c r="GL1912" s="4">
        <v>253</v>
      </c>
      <c r="GM1912" s="4">
        <v>243</v>
      </c>
      <c r="GN1912" s="4">
        <v>233</v>
      </c>
      <c r="GO1912" s="4">
        <v>221</v>
      </c>
      <c r="GP1912" s="4">
        <v>203</v>
      </c>
      <c r="GQ1912" s="4">
        <v>165</v>
      </c>
      <c r="GR1912" s="4">
        <v>143</v>
      </c>
      <c r="GS1912" s="4">
        <v>120</v>
      </c>
      <c r="GT1912" s="4">
        <v>105</v>
      </c>
      <c r="GU1912" s="4">
        <v>92</v>
      </c>
      <c r="GV1912" s="4">
        <v>83</v>
      </c>
      <c r="GW1912" s="4">
        <v>74</v>
      </c>
      <c r="GX1912" s="4">
        <v>65</v>
      </c>
      <c r="GY1912" s="4">
        <v>56</v>
      </c>
      <c r="GZ1912" s="4">
        <v>47</v>
      </c>
      <c r="HA1912" s="4">
        <v>38</v>
      </c>
      <c r="HB1912" s="4">
        <v>29</v>
      </c>
      <c r="HC1912" s="4">
        <v>20</v>
      </c>
      <c r="HD1912" s="19">
        <v>29.8</v>
      </c>
      <c r="HE1912" s="19">
        <v>37</v>
      </c>
      <c r="HF1912" s="19">
        <v>27.1</v>
      </c>
      <c r="HG1912" s="19">
        <v>24.4</v>
      </c>
      <c r="HH1912" s="19">
        <v>22</v>
      </c>
      <c r="HI1912" s="19">
        <v>21.2</v>
      </c>
      <c r="HJ1912" s="19">
        <v>23.3</v>
      </c>
      <c r="HK1912" s="19">
        <v>24.2</v>
      </c>
      <c r="HL1912" s="19">
        <v>21.1</v>
      </c>
      <c r="HM1912" s="19">
        <v>12.2</v>
      </c>
      <c r="HN1912" s="19">
        <v>10.6</v>
      </c>
      <c r="HO1912" s="19">
        <v>8.8</v>
      </c>
      <c r="HP1912" s="19">
        <v>8.5</v>
      </c>
      <c r="HQ1912" s="19">
        <v>9.2</v>
      </c>
      <c r="HR1912" s="19">
        <v>9.5</v>
      </c>
      <c r="HS1912" s="19">
        <v>10</v>
      </c>
      <c r="HT1912" s="19">
        <v>10.5</v>
      </c>
      <c r="HU1912" s="19">
        <v>10.2</v>
      </c>
      <c r="HV1912" s="19">
        <v>9.2</v>
      </c>
      <c r="HW1912" s="19">
        <v>8.2</v>
      </c>
      <c r="HX1912" s="19">
        <v>7.2</v>
      </c>
      <c r="HY1912" s="19">
        <v>6.2</v>
      </c>
      <c r="HZ1912" s="19">
        <v>5.2</v>
      </c>
      <c r="IA1912" s="19">
        <v>4.2</v>
      </c>
      <c r="IB1912" s="19">
        <v>3.6</v>
      </c>
      <c r="IC1912" s="19">
        <v>2.5</v>
      </c>
    </row>
    <row r="1913">
      <c r="A1913" s="2" t="s">
        <v>6946</v>
      </c>
      <c r="B1913" s="2" t="s">
        <v>323</v>
      </c>
      <c r="C1913" s="2" t="s">
        <v>403</v>
      </c>
      <c r="D1913" s="2" t="s">
        <v>274</v>
      </c>
      <c r="E1913" s="2" t="s">
        <v>275</v>
      </c>
      <c r="F1913" s="2" t="s">
        <v>6499</v>
      </c>
      <c r="G1913" s="2" t="s">
        <v>6499</v>
      </c>
      <c r="H1913" s="2" t="s">
        <v>6499</v>
      </c>
      <c r="I1913" s="2" t="s">
        <v>6516</v>
      </c>
      <c r="J1913" s="2" t="s">
        <v>270</v>
      </c>
      <c r="K1913" s="2" t="s">
        <v>309</v>
      </c>
      <c r="L1913" s="3">
        <v>6.18</v>
      </c>
      <c r="M1913" s="3">
        <v>6.49</v>
      </c>
      <c r="N1913" s="3">
        <v>13.99</v>
      </c>
      <c r="O1913" s="2" t="s">
        <v>232</v>
      </c>
      <c r="P1913" s="2" t="s">
        <v>233</v>
      </c>
      <c r="Q1913" s="2" t="s">
        <v>234</v>
      </c>
      <c r="R1913" s="2" t="s">
        <v>235</v>
      </c>
      <c r="S1913" s="2" t="s">
        <v>6944</v>
      </c>
      <c r="T1913" s="2" t="s">
        <v>6499</v>
      </c>
      <c r="U1913" s="2" t="s">
        <v>278</v>
      </c>
      <c r="V1913" s="2" t="s">
        <v>238</v>
      </c>
      <c r="W1913" s="2" t="s">
        <v>239</v>
      </c>
      <c r="X1913" s="2" t="s">
        <v>682</v>
      </c>
      <c r="Y1913" s="2" t="s">
        <v>1033</v>
      </c>
      <c r="Z1913" s="4">
        <v>731</v>
      </c>
      <c r="AA1913" s="4">
        <f>=ROUNDDOWN(58.48,0)</f>
      </c>
      <c r="AB1913" s="5">
        <v>12.5</v>
      </c>
      <c r="AC1913" s="2" t="s">
        <v>235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235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235</v>
      </c>
      <c r="AW1913" s="8" t="s">
        <v>235</v>
      </c>
      <c r="AX1913" s="4" t="s">
        <v>235</v>
      </c>
      <c r="AY1913" s="8" t="s">
        <v>235</v>
      </c>
      <c r="AZ1913" s="7" t="s">
        <v>235</v>
      </c>
      <c r="BA1913" s="7" t="s">
        <v>235</v>
      </c>
      <c r="BB1913" s="7"/>
      <c r="BC1913" s="4" t="s">
        <v>235</v>
      </c>
      <c r="BD1913" s="8" t="s">
        <v>235</v>
      </c>
      <c r="BE1913" s="4" t="s">
        <v>235</v>
      </c>
      <c r="BF1913" s="8" t="s">
        <v>235</v>
      </c>
      <c r="BG1913" s="7" t="s">
        <v>235</v>
      </c>
      <c r="BH1913" s="7" t="s">
        <v>235</v>
      </c>
      <c r="BI1913" s="7"/>
      <c r="BJ1913" s="4">
        <v>36</v>
      </c>
      <c r="BK1913" s="8">
        <v>248.19</v>
      </c>
      <c r="BL1913" s="2" t="s">
        <v>6914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6517</v>
      </c>
      <c r="BV1913" s="2" t="s">
        <v>243</v>
      </c>
      <c r="BW1913" s="2" t="s">
        <v>235</v>
      </c>
      <c r="BX1913" s="2" t="s">
        <v>244</v>
      </c>
      <c r="BY1913" s="2" t="s">
        <v>245</v>
      </c>
      <c r="BZ1913" s="2" t="s">
        <v>232</v>
      </c>
      <c r="CA1913" s="2" t="s">
        <v>3481</v>
      </c>
      <c r="CB1913" s="2" t="s">
        <v>1426</v>
      </c>
      <c r="CC1913" s="2" t="s">
        <v>248</v>
      </c>
      <c r="CD1913" s="2" t="s">
        <v>248</v>
      </c>
      <c r="CE1913" s="2" t="s">
        <v>235</v>
      </c>
      <c r="CF1913" s="4">
        <v>318</v>
      </c>
      <c r="CG1913" s="4"/>
      <c r="CH1913" s="4"/>
      <c r="CI1913" s="4">
        <v>413</v>
      </c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>
        <v>734</v>
      </c>
      <c r="GE1913" s="4">
        <v>719</v>
      </c>
      <c r="GF1913" s="4">
        <v>706</v>
      </c>
      <c r="GG1913" s="4">
        <v>693</v>
      </c>
      <c r="GH1913" s="4">
        <v>679</v>
      </c>
      <c r="GI1913" s="4">
        <v>664</v>
      </c>
      <c r="GJ1913" s="4">
        <v>645</v>
      </c>
      <c r="GK1913" s="4">
        <v>628</v>
      </c>
      <c r="GL1913" s="4">
        <v>612</v>
      </c>
      <c r="GM1913" s="4">
        <v>598</v>
      </c>
      <c r="GN1913" s="4">
        <v>582</v>
      </c>
      <c r="GO1913" s="4">
        <v>557</v>
      </c>
      <c r="GP1913" s="4">
        <v>526</v>
      </c>
      <c r="GQ1913" s="4">
        <v>445</v>
      </c>
      <c r="GR1913" s="4">
        <v>379</v>
      </c>
      <c r="GS1913" s="4">
        <v>335</v>
      </c>
      <c r="GT1913" s="4">
        <v>308</v>
      </c>
      <c r="GU1913" s="4">
        <v>282</v>
      </c>
      <c r="GV1913" s="4">
        <v>267</v>
      </c>
      <c r="GW1913" s="4">
        <v>252</v>
      </c>
      <c r="GX1913" s="4">
        <v>237</v>
      </c>
      <c r="GY1913" s="4">
        <v>223</v>
      </c>
      <c r="GZ1913" s="4">
        <v>209</v>
      </c>
      <c r="HA1913" s="4">
        <v>195</v>
      </c>
      <c r="HB1913" s="4">
        <v>181</v>
      </c>
      <c r="HC1913" s="4">
        <v>166</v>
      </c>
      <c r="HD1913" s="19">
        <v>52.4</v>
      </c>
      <c r="HE1913" s="19">
        <v>51.4</v>
      </c>
      <c r="HF1913" s="19">
        <v>47.1</v>
      </c>
      <c r="HG1913" s="19">
        <v>43.3</v>
      </c>
      <c r="HH1913" s="19">
        <v>39.9</v>
      </c>
      <c r="HI1913" s="19">
        <v>41.5</v>
      </c>
      <c r="HJ1913" s="19">
        <v>40.3</v>
      </c>
      <c r="HK1913" s="19">
        <v>34.9</v>
      </c>
      <c r="HL1913" s="19">
        <v>27.8</v>
      </c>
      <c r="HM1913" s="19">
        <v>15.7</v>
      </c>
      <c r="HN1913" s="19">
        <v>11.4</v>
      </c>
      <c r="HO1913" s="19">
        <v>9.9</v>
      </c>
      <c r="HP1913" s="19">
        <v>9.7</v>
      </c>
      <c r="HQ1913" s="19">
        <v>10.9</v>
      </c>
      <c r="HR1913" s="19">
        <v>13.5</v>
      </c>
      <c r="HS1913" s="19">
        <v>16</v>
      </c>
      <c r="HT1913" s="19">
        <v>17.1</v>
      </c>
      <c r="HU1913" s="19">
        <v>18.8</v>
      </c>
      <c r="HV1913" s="19">
        <v>19.1</v>
      </c>
      <c r="HW1913" s="19">
        <v>18</v>
      </c>
      <c r="HX1913" s="19">
        <v>16.9</v>
      </c>
      <c r="HY1913" s="19">
        <v>15.9</v>
      </c>
      <c r="HZ1913" s="19">
        <v>14.9</v>
      </c>
      <c r="IA1913" s="19">
        <v>13.9</v>
      </c>
      <c r="IB1913" s="19">
        <v>12.9</v>
      </c>
      <c r="IC1913" s="19">
        <v>12.8</v>
      </c>
    </row>
    <row r="1914">
      <c r="A1914" s="2" t="s">
        <v>6947</v>
      </c>
      <c r="B1914" s="2" t="s">
        <v>323</v>
      </c>
      <c r="C1914" s="2" t="s">
        <v>403</v>
      </c>
      <c r="D1914" s="2" t="s">
        <v>257</v>
      </c>
      <c r="E1914" s="2" t="s">
        <v>258</v>
      </c>
      <c r="F1914" s="2" t="s">
        <v>6499</v>
      </c>
      <c r="G1914" s="2" t="s">
        <v>6499</v>
      </c>
      <c r="H1914" s="2" t="s">
        <v>6499</v>
      </c>
      <c r="I1914" s="2" t="s">
        <v>6902</v>
      </c>
      <c r="J1914" s="2" t="s">
        <v>272</v>
      </c>
      <c r="K1914" s="2" t="s">
        <v>309</v>
      </c>
      <c r="L1914" s="3">
        <v>22.7</v>
      </c>
      <c r="M1914" s="3">
        <v>23.84</v>
      </c>
      <c r="N1914" s="3">
        <v>48.99</v>
      </c>
      <c r="O1914" s="2" t="s">
        <v>232</v>
      </c>
      <c r="P1914" s="2" t="s">
        <v>233</v>
      </c>
      <c r="Q1914" s="2" t="s">
        <v>234</v>
      </c>
      <c r="R1914" s="2" t="s">
        <v>235</v>
      </c>
      <c r="S1914" s="2" t="s">
        <v>6944</v>
      </c>
      <c r="T1914" s="2" t="s">
        <v>6499</v>
      </c>
      <c r="U1914" s="2" t="s">
        <v>614</v>
      </c>
      <c r="V1914" s="2" t="s">
        <v>238</v>
      </c>
      <c r="W1914" s="2" t="s">
        <v>239</v>
      </c>
      <c r="X1914" s="2" t="s">
        <v>682</v>
      </c>
      <c r="Y1914" s="2" t="s">
        <v>4084</v>
      </c>
      <c r="Z1914" s="4">
        <v>279</v>
      </c>
      <c r="AA1914" s="4">
        <f>=ROUNDDOWN(69.75,0)</f>
      </c>
      <c r="AB1914" s="5">
        <v>4</v>
      </c>
      <c r="AC1914" s="2" t="s">
        <v>235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235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235</v>
      </c>
      <c r="AW1914" s="8" t="s">
        <v>235</v>
      </c>
      <c r="AX1914" s="4" t="s">
        <v>235</v>
      </c>
      <c r="AY1914" s="8" t="s">
        <v>235</v>
      </c>
      <c r="AZ1914" s="7" t="s">
        <v>235</v>
      </c>
      <c r="BA1914" s="7" t="s">
        <v>235</v>
      </c>
      <c r="BB1914" s="7"/>
      <c r="BC1914" s="4" t="s">
        <v>235</v>
      </c>
      <c r="BD1914" s="8" t="s">
        <v>235</v>
      </c>
      <c r="BE1914" s="4" t="s">
        <v>235</v>
      </c>
      <c r="BF1914" s="8" t="s">
        <v>235</v>
      </c>
      <c r="BG1914" s="7" t="s">
        <v>235</v>
      </c>
      <c r="BH1914" s="7" t="s">
        <v>235</v>
      </c>
      <c r="BI1914" s="7"/>
      <c r="BJ1914" s="4">
        <v>16</v>
      </c>
      <c r="BK1914" s="8">
        <v>391.84</v>
      </c>
      <c r="BL1914" s="2" t="s">
        <v>3449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6905</v>
      </c>
      <c r="BV1914" s="2" t="s">
        <v>243</v>
      </c>
      <c r="BW1914" s="2" t="s">
        <v>235</v>
      </c>
      <c r="BX1914" s="2" t="s">
        <v>685</v>
      </c>
      <c r="BY1914" s="2" t="s">
        <v>245</v>
      </c>
      <c r="BZ1914" s="2" t="s">
        <v>232</v>
      </c>
      <c r="CA1914" s="2" t="s">
        <v>3481</v>
      </c>
      <c r="CB1914" s="2" t="s">
        <v>2125</v>
      </c>
      <c r="CC1914" s="2" t="s">
        <v>248</v>
      </c>
      <c r="CD1914" s="2" t="s">
        <v>248</v>
      </c>
      <c r="CE1914" s="2" t="s">
        <v>235</v>
      </c>
      <c r="CF1914" s="4">
        <v>13</v>
      </c>
      <c r="CG1914" s="4"/>
      <c r="CH1914" s="4"/>
      <c r="CI1914" s="4">
        <v>266</v>
      </c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>
        <v>280</v>
      </c>
      <c r="GE1914" s="4">
        <v>275</v>
      </c>
      <c r="GF1914" s="4">
        <v>272</v>
      </c>
      <c r="GG1914" s="4">
        <v>269</v>
      </c>
      <c r="GH1914" s="4">
        <v>266</v>
      </c>
      <c r="GI1914" s="4">
        <v>263</v>
      </c>
      <c r="GJ1914" s="4">
        <v>260</v>
      </c>
      <c r="GK1914" s="4">
        <v>254</v>
      </c>
      <c r="GL1914" s="4">
        <v>248</v>
      </c>
      <c r="GM1914" s="4">
        <v>244</v>
      </c>
      <c r="GN1914" s="4">
        <v>238</v>
      </c>
      <c r="GO1914" s="4">
        <v>231</v>
      </c>
      <c r="GP1914" s="4">
        <v>225</v>
      </c>
      <c r="GQ1914" s="4">
        <v>211</v>
      </c>
      <c r="GR1914" s="4">
        <v>202</v>
      </c>
      <c r="GS1914" s="4">
        <v>193</v>
      </c>
      <c r="GT1914" s="4">
        <v>188</v>
      </c>
      <c r="GU1914" s="4">
        <v>182</v>
      </c>
      <c r="GV1914" s="4">
        <v>178</v>
      </c>
      <c r="GW1914" s="4">
        <v>174</v>
      </c>
      <c r="GX1914" s="4">
        <v>170</v>
      </c>
      <c r="GY1914" s="4">
        <v>166</v>
      </c>
      <c r="GZ1914" s="4">
        <v>162</v>
      </c>
      <c r="HA1914" s="4">
        <v>158</v>
      </c>
      <c r="HB1914" s="4">
        <v>154</v>
      </c>
      <c r="HC1914" s="4">
        <v>149</v>
      </c>
      <c r="HD1914" s="19">
        <v>70</v>
      </c>
      <c r="HE1914" s="19">
        <v>91.7</v>
      </c>
      <c r="HF1914" s="19">
        <v>90.7</v>
      </c>
      <c r="HG1914" s="19">
        <v>67.3</v>
      </c>
      <c r="HH1914" s="19">
        <v>66.5</v>
      </c>
      <c r="HI1914" s="19">
        <v>52.6</v>
      </c>
      <c r="HJ1914" s="19">
        <v>43.3</v>
      </c>
      <c r="HK1914" s="19">
        <v>42.3</v>
      </c>
      <c r="HL1914" s="19">
        <v>41.3</v>
      </c>
      <c r="HM1914" s="19">
        <v>30.5</v>
      </c>
      <c r="HN1914" s="19">
        <v>26.4</v>
      </c>
      <c r="HO1914" s="19">
        <v>23.1</v>
      </c>
      <c r="HP1914" s="19">
        <v>25</v>
      </c>
      <c r="HQ1914" s="19">
        <v>30.1</v>
      </c>
      <c r="HR1914" s="19">
        <v>33.7</v>
      </c>
      <c r="HS1914" s="19">
        <v>38.6</v>
      </c>
      <c r="HT1914" s="19">
        <v>47</v>
      </c>
      <c r="HU1914" s="19">
        <v>45.5</v>
      </c>
      <c r="HV1914" s="19">
        <v>44.5</v>
      </c>
      <c r="HW1914" s="19">
        <v>43.5</v>
      </c>
      <c r="HX1914" s="19">
        <v>42.5</v>
      </c>
      <c r="HY1914" s="19">
        <v>41.5</v>
      </c>
      <c r="HZ1914" s="19">
        <v>40.5</v>
      </c>
      <c r="IA1914" s="19">
        <v>39.5</v>
      </c>
      <c r="IB1914" s="19">
        <v>38.5</v>
      </c>
      <c r="IC1914" s="19">
        <v>37.3</v>
      </c>
    </row>
    <row r="1915">
      <c r="A1915" s="2" t="s">
        <v>6948</v>
      </c>
      <c r="B1915" s="2" t="s">
        <v>323</v>
      </c>
      <c r="C1915" s="2" t="s">
        <v>403</v>
      </c>
      <c r="D1915" s="2" t="s">
        <v>274</v>
      </c>
      <c r="E1915" s="2" t="s">
        <v>275</v>
      </c>
      <c r="F1915" s="2" t="s">
        <v>6499</v>
      </c>
      <c r="G1915" s="2" t="s">
        <v>6499</v>
      </c>
      <c r="H1915" s="2" t="s">
        <v>6499</v>
      </c>
      <c r="I1915" s="2" t="s">
        <v>6516</v>
      </c>
      <c r="J1915" s="2" t="s">
        <v>5272</v>
      </c>
      <c r="K1915" s="2" t="s">
        <v>309</v>
      </c>
      <c r="L1915" s="3">
        <v>5.69</v>
      </c>
      <c r="M1915" s="3">
        <v>5.97</v>
      </c>
      <c r="N1915" s="3">
        <v>12.99</v>
      </c>
      <c r="O1915" s="2" t="s">
        <v>232</v>
      </c>
      <c r="P1915" s="2" t="s">
        <v>233</v>
      </c>
      <c r="Q1915" s="2" t="s">
        <v>234</v>
      </c>
      <c r="R1915" s="2" t="s">
        <v>235</v>
      </c>
      <c r="S1915" s="2" t="s">
        <v>6944</v>
      </c>
      <c r="T1915" s="2" t="s">
        <v>6499</v>
      </c>
      <c r="U1915" s="2" t="s">
        <v>278</v>
      </c>
      <c r="V1915" s="2" t="s">
        <v>238</v>
      </c>
      <c r="W1915" s="2" t="s">
        <v>239</v>
      </c>
      <c r="X1915" s="2" t="s">
        <v>682</v>
      </c>
      <c r="Y1915" s="2" t="s">
        <v>1033</v>
      </c>
      <c r="Z1915" s="4">
        <v>667</v>
      </c>
      <c r="AA1915" s="4">
        <f>=ROUNDDOWN(26.156862745098,0)</f>
      </c>
      <c r="AB1915" s="5">
        <v>25.5</v>
      </c>
      <c r="AC1915" s="2" t="s">
        <v>6913</v>
      </c>
      <c r="AD1915" s="4">
        <v>744</v>
      </c>
      <c r="AE1915" s="4">
        <v>744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235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235</v>
      </c>
      <c r="AW1915" s="8" t="s">
        <v>235</v>
      </c>
      <c r="AX1915" s="4" t="s">
        <v>235</v>
      </c>
      <c r="AY1915" s="8" t="s">
        <v>235</v>
      </c>
      <c r="AZ1915" s="7" t="s">
        <v>235</v>
      </c>
      <c r="BA1915" s="7" t="s">
        <v>235</v>
      </c>
      <c r="BB1915" s="7"/>
      <c r="BC1915" s="4" t="s">
        <v>235</v>
      </c>
      <c r="BD1915" s="8" t="s">
        <v>235</v>
      </c>
      <c r="BE1915" s="4" t="s">
        <v>235</v>
      </c>
      <c r="BF1915" s="8" t="s">
        <v>235</v>
      </c>
      <c r="BG1915" s="7" t="s">
        <v>235</v>
      </c>
      <c r="BH1915" s="7" t="s">
        <v>235</v>
      </c>
      <c r="BI1915" s="7"/>
      <c r="BJ1915" s="4">
        <v>100</v>
      </c>
      <c r="BK1915" s="8">
        <v>612.74</v>
      </c>
      <c r="BL1915" s="2" t="s">
        <v>6949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6517</v>
      </c>
      <c r="BV1915" s="2" t="s">
        <v>243</v>
      </c>
      <c r="BW1915" s="2" t="s">
        <v>235</v>
      </c>
      <c r="BX1915" s="2" t="s">
        <v>244</v>
      </c>
      <c r="BY1915" s="2" t="s">
        <v>245</v>
      </c>
      <c r="BZ1915" s="2" t="s">
        <v>232</v>
      </c>
      <c r="CA1915" s="2" t="s">
        <v>3481</v>
      </c>
      <c r="CB1915" s="2" t="s">
        <v>2564</v>
      </c>
      <c r="CC1915" s="2" t="s">
        <v>248</v>
      </c>
      <c r="CD1915" s="2" t="s">
        <v>248</v>
      </c>
      <c r="CE1915" s="2" t="s">
        <v>235</v>
      </c>
      <c r="CF1915" s="4">
        <v>667</v>
      </c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>
        <v>744</v>
      </c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>
        <v>674</v>
      </c>
      <c r="GE1915" s="4">
        <v>1373</v>
      </c>
      <c r="GF1915" s="4">
        <v>1348</v>
      </c>
      <c r="GG1915" s="4">
        <v>1322</v>
      </c>
      <c r="GH1915" s="4">
        <v>1293</v>
      </c>
      <c r="GI1915" s="4">
        <v>1262</v>
      </c>
      <c r="GJ1915" s="4">
        <v>1230</v>
      </c>
      <c r="GK1915" s="4">
        <v>1199</v>
      </c>
      <c r="GL1915" s="4">
        <v>1169</v>
      </c>
      <c r="GM1915" s="4">
        <v>1141</v>
      </c>
      <c r="GN1915" s="4">
        <v>1105</v>
      </c>
      <c r="GO1915" s="4">
        <v>1039</v>
      </c>
      <c r="GP1915" s="4">
        <v>945</v>
      </c>
      <c r="GQ1915" s="4">
        <v>835</v>
      </c>
      <c r="GR1915" s="4">
        <v>736</v>
      </c>
      <c r="GS1915" s="4">
        <v>649</v>
      </c>
      <c r="GT1915" s="4">
        <v>594</v>
      </c>
      <c r="GU1915" s="4">
        <v>546</v>
      </c>
      <c r="GV1915" s="4">
        <v>516</v>
      </c>
      <c r="GW1915" s="4">
        <v>486</v>
      </c>
      <c r="GX1915" s="4">
        <v>456</v>
      </c>
      <c r="GY1915" s="4">
        <v>429</v>
      </c>
      <c r="GZ1915" s="4">
        <v>402</v>
      </c>
      <c r="HA1915" s="4">
        <v>375</v>
      </c>
      <c r="HB1915" s="4">
        <v>348</v>
      </c>
      <c r="HC1915" s="4">
        <v>318</v>
      </c>
      <c r="HD1915" s="19">
        <v>21.7</v>
      </c>
      <c r="HE1915" s="19">
        <v>49</v>
      </c>
      <c r="HF1915" s="19">
        <v>44.9</v>
      </c>
      <c r="HG1915" s="19">
        <v>42.6</v>
      </c>
      <c r="HH1915" s="19">
        <v>41.7</v>
      </c>
      <c r="HI1915" s="19">
        <v>42.1</v>
      </c>
      <c r="HJ1915" s="19">
        <v>39.7</v>
      </c>
      <c r="HK1915" s="19">
        <v>30</v>
      </c>
      <c r="HL1915" s="19">
        <v>20.9</v>
      </c>
      <c r="HM1915" s="19">
        <v>15</v>
      </c>
      <c r="HN1915" s="19">
        <v>12</v>
      </c>
      <c r="HO1915" s="19">
        <v>10.6</v>
      </c>
      <c r="HP1915" s="19">
        <v>10.7</v>
      </c>
      <c r="HQ1915" s="19">
        <v>11.6</v>
      </c>
      <c r="HR1915" s="19">
        <v>13.4</v>
      </c>
      <c r="HS1915" s="19">
        <v>15.8</v>
      </c>
      <c r="HT1915" s="19">
        <v>17.5</v>
      </c>
      <c r="HU1915" s="19">
        <v>18.8</v>
      </c>
      <c r="HV1915" s="19">
        <v>18.4</v>
      </c>
      <c r="HW1915" s="19">
        <v>17.4</v>
      </c>
      <c r="HX1915" s="19">
        <v>16.9</v>
      </c>
      <c r="HY1915" s="19">
        <v>15.3</v>
      </c>
      <c r="HZ1915" s="19">
        <v>14.4</v>
      </c>
      <c r="IA1915" s="19">
        <v>13.9</v>
      </c>
      <c r="IB1915" s="19">
        <v>12.9</v>
      </c>
      <c r="IC1915" s="19">
        <v>12.2</v>
      </c>
    </row>
    <row r="1916">
      <c r="A1916" s="2" t="s">
        <v>6950</v>
      </c>
      <c r="B1916" s="2" t="s">
        <v>323</v>
      </c>
      <c r="C1916" s="2" t="s">
        <v>403</v>
      </c>
      <c r="D1916" s="2" t="s">
        <v>257</v>
      </c>
      <c r="E1916" s="2" t="s">
        <v>258</v>
      </c>
      <c r="F1916" s="2" t="s">
        <v>6499</v>
      </c>
      <c r="G1916" s="2" t="s">
        <v>6499</v>
      </c>
      <c r="H1916" s="2" t="s">
        <v>6499</v>
      </c>
      <c r="I1916" s="2" t="s">
        <v>6902</v>
      </c>
      <c r="J1916" s="2" t="s">
        <v>394</v>
      </c>
      <c r="K1916" s="2" t="s">
        <v>316</v>
      </c>
      <c r="L1916" s="3">
        <v>13.85</v>
      </c>
      <c r="M1916" s="3">
        <v>14.54</v>
      </c>
      <c r="N1916" s="3">
        <v>29.99</v>
      </c>
      <c r="O1916" s="2" t="s">
        <v>232</v>
      </c>
      <c r="P1916" s="2" t="s">
        <v>233</v>
      </c>
      <c r="Q1916" s="2" t="s">
        <v>234</v>
      </c>
      <c r="R1916" s="2" t="s">
        <v>235</v>
      </c>
      <c r="S1916" s="2" t="s">
        <v>6951</v>
      </c>
      <c r="T1916" s="2" t="s">
        <v>6499</v>
      </c>
      <c r="U1916" s="2" t="s">
        <v>264</v>
      </c>
      <c r="V1916" s="2" t="s">
        <v>238</v>
      </c>
      <c r="W1916" s="2" t="s">
        <v>239</v>
      </c>
      <c r="X1916" s="2" t="s">
        <v>682</v>
      </c>
      <c r="Y1916" s="2" t="s">
        <v>4084</v>
      </c>
      <c r="Z1916" s="4">
        <v>735</v>
      </c>
      <c r="AA1916" s="4">
        <f>=ROUNDDOWN(105,0)</f>
      </c>
      <c r="AB1916" s="5">
        <v>7</v>
      </c>
      <c r="AC1916" s="2" t="s">
        <v>235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235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235</v>
      </c>
      <c r="BD1916" s="8" t="s">
        <v>235</v>
      </c>
      <c r="BE1916" s="4" t="s">
        <v>235</v>
      </c>
      <c r="BF1916" s="8" t="s">
        <v>235</v>
      </c>
      <c r="BG1916" s="7" t="s">
        <v>235</v>
      </c>
      <c r="BH1916" s="7" t="s">
        <v>235</v>
      </c>
      <c r="BI1916" s="7"/>
      <c r="BJ1916" s="4">
        <v>33</v>
      </c>
      <c r="BK1916" s="8">
        <v>519.87</v>
      </c>
      <c r="BL1916" s="2" t="s">
        <v>6952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6905</v>
      </c>
      <c r="BV1916" s="2" t="s">
        <v>243</v>
      </c>
      <c r="BW1916" s="2" t="s">
        <v>235</v>
      </c>
      <c r="BX1916" s="2" t="s">
        <v>685</v>
      </c>
      <c r="BY1916" s="2" t="s">
        <v>245</v>
      </c>
      <c r="BZ1916" s="2" t="s">
        <v>232</v>
      </c>
      <c r="CA1916" s="2" t="s">
        <v>3481</v>
      </c>
      <c r="CB1916" s="2" t="s">
        <v>934</v>
      </c>
      <c r="CC1916" s="2" t="s">
        <v>248</v>
      </c>
      <c r="CD1916" s="2" t="s">
        <v>248</v>
      </c>
      <c r="CE1916" s="2" t="s">
        <v>235</v>
      </c>
      <c r="CF1916" s="4">
        <v>378</v>
      </c>
      <c r="CG1916" s="4"/>
      <c r="CH1916" s="4"/>
      <c r="CI1916" s="4">
        <v>357</v>
      </c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>
        <v>745</v>
      </c>
      <c r="GE1916" s="4">
        <v>739</v>
      </c>
      <c r="GF1916" s="4">
        <v>732</v>
      </c>
      <c r="GG1916" s="4">
        <v>725</v>
      </c>
      <c r="GH1916" s="4">
        <v>717</v>
      </c>
      <c r="GI1916" s="4">
        <v>708</v>
      </c>
      <c r="GJ1916" s="4">
        <v>696</v>
      </c>
      <c r="GK1916" s="4">
        <v>687</v>
      </c>
      <c r="GL1916" s="4">
        <v>677</v>
      </c>
      <c r="GM1916" s="4">
        <v>669</v>
      </c>
      <c r="GN1916" s="4">
        <v>661</v>
      </c>
      <c r="GO1916" s="4">
        <v>650</v>
      </c>
      <c r="GP1916" s="4">
        <v>633</v>
      </c>
      <c r="GQ1916" s="4">
        <v>596</v>
      </c>
      <c r="GR1916" s="4">
        <v>575</v>
      </c>
      <c r="GS1916" s="4">
        <v>553</v>
      </c>
      <c r="GT1916" s="4">
        <v>539</v>
      </c>
      <c r="GU1916" s="4">
        <v>527</v>
      </c>
      <c r="GV1916" s="4">
        <v>519</v>
      </c>
      <c r="GW1916" s="4">
        <v>511</v>
      </c>
      <c r="GX1916" s="4">
        <v>503</v>
      </c>
      <c r="GY1916" s="4">
        <v>495</v>
      </c>
      <c r="GZ1916" s="4">
        <v>487</v>
      </c>
      <c r="HA1916" s="4">
        <v>479</v>
      </c>
      <c r="HB1916" s="4">
        <v>471</v>
      </c>
      <c r="HC1916" s="4">
        <v>463</v>
      </c>
      <c r="HD1916" s="19">
        <v>106.4</v>
      </c>
      <c r="HE1916" s="19">
        <v>92.4</v>
      </c>
      <c r="HF1916" s="19">
        <v>81.3</v>
      </c>
      <c r="HG1916" s="19">
        <v>72.5</v>
      </c>
      <c r="HH1916" s="19">
        <v>71.7</v>
      </c>
      <c r="HI1916" s="19">
        <v>70.8</v>
      </c>
      <c r="HJ1916" s="19">
        <v>77.3</v>
      </c>
      <c r="HK1916" s="19">
        <v>76.3</v>
      </c>
      <c r="HL1916" s="19">
        <v>61.5</v>
      </c>
      <c r="HM1916" s="19">
        <v>37.2</v>
      </c>
      <c r="HN1916" s="19">
        <v>30</v>
      </c>
      <c r="HO1916" s="19">
        <v>27.1</v>
      </c>
      <c r="HP1916" s="19">
        <v>26.4</v>
      </c>
      <c r="HQ1916" s="19">
        <v>35.1</v>
      </c>
      <c r="HR1916" s="19">
        <v>41.1</v>
      </c>
      <c r="HS1916" s="19">
        <v>55.3</v>
      </c>
      <c r="HT1916" s="19">
        <v>59.9</v>
      </c>
      <c r="HU1916" s="19">
        <v>65.9</v>
      </c>
      <c r="HV1916" s="19">
        <v>64.9</v>
      </c>
      <c r="HW1916" s="19">
        <v>63.9</v>
      </c>
      <c r="HX1916" s="19">
        <v>62.9</v>
      </c>
      <c r="HY1916" s="19">
        <v>61.9</v>
      </c>
      <c r="HZ1916" s="19">
        <v>60.9</v>
      </c>
      <c r="IA1916" s="19">
        <v>59.9</v>
      </c>
      <c r="IB1916" s="19">
        <v>58.9</v>
      </c>
      <c r="IC1916" s="19">
        <v>66.1</v>
      </c>
    </row>
    <row r="1917">
      <c r="A1917" s="2" t="s">
        <v>6953</v>
      </c>
      <c r="B1917" s="2" t="s">
        <v>800</v>
      </c>
      <c r="C1917" s="2" t="s">
        <v>801</v>
      </c>
      <c r="D1917" s="2" t="s">
        <v>802</v>
      </c>
      <c r="E1917" s="2" t="s">
        <v>803</v>
      </c>
      <c r="F1917" s="2" t="s">
        <v>6954</v>
      </c>
      <c r="G1917" s="2" t="s">
        <v>6954</v>
      </c>
      <c r="H1917" s="2" t="s">
        <v>6954</v>
      </c>
      <c r="I1917" s="2" t="s">
        <v>6955</v>
      </c>
      <c r="J1917" s="2" t="s">
        <v>806</v>
      </c>
      <c r="K1917" s="2" t="s">
        <v>735</v>
      </c>
      <c r="L1917" s="3">
        <v>52.65</v>
      </c>
      <c r="M1917" s="3">
        <v>55.28</v>
      </c>
      <c r="N1917" s="3">
        <v>104.99</v>
      </c>
      <c r="O1917" s="2" t="s">
        <v>485</v>
      </c>
      <c r="P1917" s="2" t="s">
        <v>408</v>
      </c>
      <c r="Q1917" s="2" t="s">
        <v>234</v>
      </c>
      <c r="R1917" s="2" t="s">
        <v>235</v>
      </c>
      <c r="S1917" s="2" t="s">
        <v>235</v>
      </c>
      <c r="T1917" s="2" t="s">
        <v>235</v>
      </c>
      <c r="U1917" s="2" t="s">
        <v>807</v>
      </c>
      <c r="V1917" s="2" t="s">
        <v>808</v>
      </c>
      <c r="W1917" s="2" t="s">
        <v>671</v>
      </c>
      <c r="X1917" s="2" t="s">
        <v>235</v>
      </c>
      <c r="Y1917" s="2" t="s">
        <v>4029</v>
      </c>
      <c r="Z1917" s="4">
        <v>17</v>
      </c>
      <c r="AA1917" s="4">
        <f>=ROUNDDOWN(34,0)</f>
      </c>
      <c r="AB1917" s="5">
        <v>0.5</v>
      </c>
      <c r="AC1917" s="2" t="s">
        <v>235</v>
      </c>
      <c r="AD1917" s="4"/>
      <c r="AE1917" s="4"/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235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/>
      <c r="BK1917" s="8"/>
      <c r="BL1917" s="2" t="s">
        <v>900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6956</v>
      </c>
      <c r="BV1917" s="2" t="s">
        <v>813</v>
      </c>
      <c r="BW1917" s="2" t="s">
        <v>235</v>
      </c>
      <c r="BX1917" s="2" t="s">
        <v>414</v>
      </c>
      <c r="BY1917" s="2" t="s">
        <v>245</v>
      </c>
      <c r="BZ1917" s="2" t="s">
        <v>232</v>
      </c>
      <c r="CA1917" s="2" t="s">
        <v>4031</v>
      </c>
      <c r="CB1917" s="2" t="s">
        <v>6337</v>
      </c>
      <c r="CC1917" s="2" t="s">
        <v>248</v>
      </c>
      <c r="CD1917" s="2" t="s">
        <v>248</v>
      </c>
      <c r="CE1917" s="2" t="s">
        <v>235</v>
      </c>
      <c r="CF1917" s="4"/>
      <c r="CG1917" s="4">
        <v>17</v>
      </c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>
        <v>17</v>
      </c>
      <c r="GE1917" s="4">
        <v>17</v>
      </c>
      <c r="GF1917" s="4">
        <v>17</v>
      </c>
      <c r="GG1917" s="4">
        <v>17</v>
      </c>
      <c r="GH1917" s="4">
        <v>17</v>
      </c>
      <c r="GI1917" s="4">
        <v>17</v>
      </c>
      <c r="GJ1917" s="4">
        <v>17</v>
      </c>
      <c r="GK1917" s="4">
        <v>17</v>
      </c>
      <c r="GL1917" s="4">
        <v>17</v>
      </c>
      <c r="GM1917" s="4">
        <v>17</v>
      </c>
      <c r="GN1917" s="4">
        <v>17</v>
      </c>
      <c r="GO1917" s="4">
        <v>17</v>
      </c>
      <c r="GP1917" s="4">
        <v>17</v>
      </c>
      <c r="GQ1917" s="4">
        <v>17</v>
      </c>
      <c r="GR1917" s="4">
        <v>17</v>
      </c>
      <c r="GS1917" s="4">
        <v>17</v>
      </c>
      <c r="GT1917" s="4">
        <v>17</v>
      </c>
      <c r="GU1917" s="4">
        <v>17</v>
      </c>
      <c r="GV1917" s="4">
        <v>17</v>
      </c>
      <c r="GW1917" s="4">
        <v>17</v>
      </c>
      <c r="GX1917" s="4">
        <v>17</v>
      </c>
      <c r="GY1917" s="4">
        <v>17</v>
      </c>
      <c r="GZ1917" s="4">
        <v>17</v>
      </c>
      <c r="HA1917" s="4">
        <v>17</v>
      </c>
      <c r="HB1917" s="4">
        <v>17</v>
      </c>
      <c r="HC1917" s="4">
        <v>17</v>
      </c>
      <c r="HD1917" s="9"/>
      <c r="HE1917" s="9"/>
      <c r="HF1917" s="9"/>
      <c r="HG1917" s="9"/>
      <c r="HH1917" s="9"/>
      <c r="HI1917" s="9"/>
      <c r="HJ1917" s="9"/>
      <c r="HK1917" s="9"/>
      <c r="HL1917" s="9"/>
      <c r="HM1917" s="9"/>
      <c r="HN1917" s="9"/>
      <c r="HO1917" s="9"/>
      <c r="HP1917" s="9"/>
      <c r="HQ1917" s="9"/>
      <c r="HR1917" s="9"/>
      <c r="HS1917" s="9"/>
      <c r="HT1917" s="9"/>
      <c r="HU1917" s="9"/>
      <c r="HV1917" s="9"/>
      <c r="HW1917" s="9"/>
      <c r="HX1917" s="9"/>
      <c r="HY1917" s="9"/>
      <c r="HZ1917" s="9"/>
      <c r="IA1917" s="9"/>
      <c r="IB1917" s="9"/>
      <c r="IC1917" s="9"/>
    </row>
    <row r="1918">
      <c r="A1918" s="2" t="s">
        <v>6957</v>
      </c>
      <c r="B1918" s="2" t="s">
        <v>905</v>
      </c>
      <c r="C1918" s="2" t="s">
        <v>324</v>
      </c>
      <c r="D1918" s="2" t="s">
        <v>361</v>
      </c>
      <c r="E1918" s="2" t="s">
        <v>924</v>
      </c>
      <c r="F1918" s="2" t="s">
        <v>6958</v>
      </c>
      <c r="G1918" s="2" t="s">
        <v>6959</v>
      </c>
      <c r="H1918" s="2" t="s">
        <v>6959</v>
      </c>
      <c r="I1918" s="2" t="s">
        <v>6960</v>
      </c>
      <c r="J1918" s="2" t="s">
        <v>365</v>
      </c>
      <c r="K1918" s="2" t="s">
        <v>295</v>
      </c>
      <c r="L1918" s="3">
        <v>42.85</v>
      </c>
      <c r="M1918" s="3">
        <v>44.99</v>
      </c>
      <c r="N1918" s="3">
        <v>89.99</v>
      </c>
      <c r="O1918" s="2" t="s">
        <v>485</v>
      </c>
      <c r="P1918" s="2" t="s">
        <v>408</v>
      </c>
      <c r="Q1918" s="2" t="s">
        <v>234</v>
      </c>
      <c r="R1918" s="2" t="s">
        <v>235</v>
      </c>
      <c r="S1918" s="2" t="s">
        <v>6961</v>
      </c>
      <c r="T1918" s="2" t="s">
        <v>912</v>
      </c>
      <c r="U1918" s="2" t="s">
        <v>552</v>
      </c>
      <c r="V1918" s="2" t="s">
        <v>238</v>
      </c>
      <c r="W1918" s="2" t="s">
        <v>329</v>
      </c>
      <c r="X1918" s="2" t="s">
        <v>6962</v>
      </c>
      <c r="Y1918" s="2" t="s">
        <v>6127</v>
      </c>
      <c r="Z1918" s="4">
        <v>124</v>
      </c>
      <c r="AA1918" s="4">
        <f>=ROUNDDOWN(41.3333333333333,0)</f>
      </c>
      <c r="AB1918" s="5">
        <v>3</v>
      </c>
      <c r="AC1918" s="2" t="s">
        <v>235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235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8</v>
      </c>
      <c r="BK1918" s="8">
        <v>364.69</v>
      </c>
      <c r="BL1918" s="2" t="s">
        <v>2751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6963</v>
      </c>
      <c r="BV1918" s="2" t="s">
        <v>243</v>
      </c>
      <c r="BW1918" s="2" t="s">
        <v>235</v>
      </c>
      <c r="BX1918" s="2" t="s">
        <v>414</v>
      </c>
      <c r="BY1918" s="2" t="s">
        <v>245</v>
      </c>
      <c r="BZ1918" s="2" t="s">
        <v>232</v>
      </c>
      <c r="CA1918" s="2" t="s">
        <v>1565</v>
      </c>
      <c r="CB1918" s="2" t="s">
        <v>6964</v>
      </c>
      <c r="CC1918" s="2" t="s">
        <v>248</v>
      </c>
      <c r="CD1918" s="2" t="s">
        <v>248</v>
      </c>
      <c r="CE1918" s="2" t="s">
        <v>235</v>
      </c>
      <c r="CF1918" s="4">
        <v>124</v>
      </c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>
        <v>125</v>
      </c>
      <c r="GE1918" s="4">
        <v>121</v>
      </c>
      <c r="GF1918" s="4">
        <v>118</v>
      </c>
      <c r="GG1918" s="4">
        <v>115</v>
      </c>
      <c r="GH1918" s="4">
        <v>112</v>
      </c>
      <c r="GI1918" s="4">
        <v>109</v>
      </c>
      <c r="GJ1918" s="4">
        <v>106</v>
      </c>
      <c r="GK1918" s="4">
        <v>103</v>
      </c>
      <c r="GL1918" s="4">
        <v>100</v>
      </c>
      <c r="GM1918" s="4">
        <v>97</v>
      </c>
      <c r="GN1918" s="4">
        <v>95</v>
      </c>
      <c r="GO1918" s="4">
        <v>92</v>
      </c>
      <c r="GP1918" s="4">
        <v>89</v>
      </c>
      <c r="GQ1918" s="4">
        <v>82</v>
      </c>
      <c r="GR1918" s="4">
        <v>77</v>
      </c>
      <c r="GS1918" s="4">
        <v>72</v>
      </c>
      <c r="GT1918" s="4">
        <v>69</v>
      </c>
      <c r="GU1918" s="4">
        <v>67</v>
      </c>
      <c r="GV1918" s="4">
        <v>65</v>
      </c>
      <c r="GW1918" s="4">
        <v>63</v>
      </c>
      <c r="GX1918" s="4">
        <v>61</v>
      </c>
      <c r="GY1918" s="4">
        <v>59</v>
      </c>
      <c r="GZ1918" s="4">
        <v>57</v>
      </c>
      <c r="HA1918" s="4">
        <v>54</v>
      </c>
      <c r="HB1918" s="4">
        <v>51</v>
      </c>
      <c r="HC1918" s="4">
        <v>47</v>
      </c>
      <c r="HD1918" s="19">
        <v>41.7</v>
      </c>
      <c r="HE1918" s="19">
        <v>40.3</v>
      </c>
      <c r="HF1918" s="19">
        <v>39.3</v>
      </c>
      <c r="HG1918" s="19">
        <v>38.3</v>
      </c>
      <c r="HH1918" s="19">
        <v>37.3</v>
      </c>
      <c r="HI1918" s="19">
        <v>36.3</v>
      </c>
      <c r="HJ1918" s="19">
        <v>35.3</v>
      </c>
      <c r="HK1918" s="19">
        <v>34.3</v>
      </c>
      <c r="HL1918" s="19">
        <v>33.3</v>
      </c>
      <c r="HM1918" s="19">
        <v>24.3</v>
      </c>
      <c r="HN1918" s="19">
        <v>23.8</v>
      </c>
      <c r="HO1918" s="19">
        <v>18.4</v>
      </c>
      <c r="HP1918" s="19">
        <v>17.8</v>
      </c>
      <c r="HQ1918" s="19">
        <v>20.5</v>
      </c>
      <c r="HR1918" s="19">
        <v>25.7</v>
      </c>
      <c r="HS1918" s="19">
        <v>36</v>
      </c>
      <c r="HT1918" s="19">
        <v>34.5</v>
      </c>
      <c r="HU1918" s="19">
        <v>33.5</v>
      </c>
      <c r="HV1918" s="19">
        <v>32.5</v>
      </c>
      <c r="HW1918" s="19">
        <v>31.5</v>
      </c>
      <c r="HX1918" s="19">
        <v>30.5</v>
      </c>
      <c r="HY1918" s="19">
        <v>19.7</v>
      </c>
      <c r="HZ1918" s="19">
        <v>19</v>
      </c>
      <c r="IA1918" s="19">
        <v>18</v>
      </c>
      <c r="IB1918" s="19">
        <v>17</v>
      </c>
      <c r="IC1918" s="19">
        <v>15.7</v>
      </c>
    </row>
    <row r="1919">
      <c r="A1919" s="2" t="s">
        <v>6965</v>
      </c>
      <c r="B1919" s="2" t="s">
        <v>1529</v>
      </c>
      <c r="C1919" s="2" t="s">
        <v>1381</v>
      </c>
      <c r="D1919" s="2" t="s">
        <v>1539</v>
      </c>
      <c r="E1919" s="2" t="s">
        <v>1540</v>
      </c>
      <c r="F1919" s="2" t="s">
        <v>6966</v>
      </c>
      <c r="G1919" s="2" t="s">
        <v>6966</v>
      </c>
      <c r="H1919" s="2" t="s">
        <v>6966</v>
      </c>
      <c r="I1919" s="2" t="s">
        <v>1541</v>
      </c>
      <c r="J1919" s="2" t="s">
        <v>1542</v>
      </c>
      <c r="K1919" s="2" t="s">
        <v>4164</v>
      </c>
      <c r="L1919" s="3">
        <v>28.56</v>
      </c>
      <c r="M1919" s="3">
        <v>29.99</v>
      </c>
      <c r="N1919" s="3">
        <v>79.99</v>
      </c>
      <c r="O1919" s="2" t="s">
        <v>232</v>
      </c>
      <c r="P1919" s="2" t="s">
        <v>1533</v>
      </c>
      <c r="Q1919" s="2" t="s">
        <v>234</v>
      </c>
      <c r="R1919" s="2" t="s">
        <v>235</v>
      </c>
      <c r="S1919" s="2" t="s">
        <v>235</v>
      </c>
      <c r="T1919" s="2" t="s">
        <v>235</v>
      </c>
      <c r="U1919" s="2" t="s">
        <v>807</v>
      </c>
      <c r="V1919" s="2" t="s">
        <v>238</v>
      </c>
      <c r="W1919" s="2" t="s">
        <v>235</v>
      </c>
      <c r="X1919" s="2" t="s">
        <v>235</v>
      </c>
      <c r="Y1919" s="2" t="s">
        <v>1534</v>
      </c>
      <c r="Z1919" s="4">
        <v>12</v>
      </c>
      <c r="AA1919" s="4">
        <f>=ROUNDDOWN({0},0)</f>
      </c>
      <c r="AB1919" s="5"/>
      <c r="AC1919" s="2" t="s">
        <v>235</v>
      </c>
      <c r="AD1919" s="4"/>
      <c r="AE1919" s="4"/>
      <c r="AF1919" s="6"/>
      <c r="AG1919" s="6"/>
      <c r="AH1919" s="7">
        <v>1</v>
      </c>
      <c r="AI1919" s="4"/>
      <c r="AJ1919" s="4">
        <f>=ROUNDDOWN({0},0)</f>
      </c>
      <c r="AK1919" s="5"/>
      <c r="AL1919" s="2" t="s">
        <v>235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235</v>
      </c>
      <c r="BD1919" s="8" t="s">
        <v>235</v>
      </c>
      <c r="BE1919" s="4" t="s">
        <v>235</v>
      </c>
      <c r="BF1919" s="8" t="s">
        <v>235</v>
      </c>
      <c r="BG1919" s="7" t="s">
        <v>235</v>
      </c>
      <c r="BH1919" s="7" t="s">
        <v>235</v>
      </c>
      <c r="BI1919" s="7"/>
      <c r="BJ1919" s="4"/>
      <c r="BK1919" s="8"/>
      <c r="BL1919" s="2" t="s">
        <v>235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6967</v>
      </c>
      <c r="BV1919" s="2" t="s">
        <v>243</v>
      </c>
      <c r="BW1919" s="2" t="s">
        <v>235</v>
      </c>
      <c r="BX1919" s="2" t="s">
        <v>244</v>
      </c>
      <c r="BY1919" s="2" t="s">
        <v>245</v>
      </c>
      <c r="BZ1919" s="2" t="s">
        <v>232</v>
      </c>
      <c r="CA1919" s="2" t="s">
        <v>941</v>
      </c>
      <c r="CB1919" s="2" t="s">
        <v>235</v>
      </c>
      <c r="CC1919" s="2" t="s">
        <v>248</v>
      </c>
      <c r="CD1919" s="2" t="s">
        <v>248</v>
      </c>
      <c r="CE1919" s="2" t="s">
        <v>235</v>
      </c>
      <c r="CF1919" s="4"/>
      <c r="CG1919" s="4">
        <v>4</v>
      </c>
      <c r="CH1919" s="4"/>
      <c r="CI1919" s="4">
        <v>8</v>
      </c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9"/>
      <c r="HE1919" s="9"/>
      <c r="HF1919" s="9"/>
      <c r="HG1919" s="9"/>
      <c r="HH1919" s="9"/>
      <c r="HI1919" s="9"/>
      <c r="HJ1919" s="9"/>
      <c r="HK1919" s="9"/>
      <c r="HL1919" s="9"/>
      <c r="HM1919" s="9"/>
      <c r="HN1919" s="9"/>
      <c r="HO1919" s="9"/>
      <c r="HP1919" s="9"/>
      <c r="HQ1919" s="9"/>
      <c r="HR1919" s="9"/>
      <c r="HS1919" s="9"/>
      <c r="HT1919" s="9"/>
      <c r="HU1919" s="9"/>
      <c r="HV1919" s="9"/>
      <c r="HW1919" s="9"/>
      <c r="HX1919" s="9"/>
      <c r="HY1919" s="9"/>
      <c r="HZ1919" s="9"/>
      <c r="IA1919" s="9"/>
      <c r="IB1919" s="9"/>
      <c r="IC1919" s="9"/>
    </row>
    <row r="1920">
      <c r="A1920" s="2" t="s">
        <v>6968</v>
      </c>
      <c r="B1920" s="2" t="s">
        <v>1529</v>
      </c>
      <c r="C1920" s="2" t="s">
        <v>1381</v>
      </c>
      <c r="D1920" s="2" t="s">
        <v>1417</v>
      </c>
      <c r="E1920" s="2" t="s">
        <v>1530</v>
      </c>
      <c r="F1920" s="2" t="s">
        <v>6966</v>
      </c>
      <c r="G1920" s="2" t="s">
        <v>6966</v>
      </c>
      <c r="H1920" s="2" t="s">
        <v>6966</v>
      </c>
      <c r="I1920" s="2" t="s">
        <v>1530</v>
      </c>
      <c r="J1920" s="2" t="s">
        <v>897</v>
      </c>
      <c r="K1920" s="2" t="s">
        <v>292</v>
      </c>
      <c r="L1920" s="3">
        <v>339.29</v>
      </c>
      <c r="M1920" s="3">
        <v>356.25</v>
      </c>
      <c r="N1920" s="3">
        <v>999</v>
      </c>
      <c r="O1920" s="2" t="s">
        <v>232</v>
      </c>
      <c r="P1920" s="2" t="s">
        <v>1533</v>
      </c>
      <c r="Q1920" s="2" t="s">
        <v>234</v>
      </c>
      <c r="R1920" s="2" t="s">
        <v>235</v>
      </c>
      <c r="S1920" s="2" t="s">
        <v>235</v>
      </c>
      <c r="T1920" s="2" t="s">
        <v>235</v>
      </c>
      <c r="U1920" s="2" t="s">
        <v>807</v>
      </c>
      <c r="V1920" s="2" t="s">
        <v>238</v>
      </c>
      <c r="W1920" s="2" t="s">
        <v>235</v>
      </c>
      <c r="X1920" s="2" t="s">
        <v>235</v>
      </c>
      <c r="Y1920" s="2" t="s">
        <v>1534</v>
      </c>
      <c r="Z1920" s="4">
        <v>24</v>
      </c>
      <c r="AA1920" s="4">
        <f>=ROUNDDOWN({0},0)</f>
      </c>
      <c r="AB1920" s="5"/>
      <c r="AC1920" s="2" t="s">
        <v>235</v>
      </c>
      <c r="AD1920" s="4"/>
      <c r="AE1920" s="4"/>
      <c r="AF1920" s="6"/>
      <c r="AG1920" s="6"/>
      <c r="AH1920" s="7">
        <v>1</v>
      </c>
      <c r="AI1920" s="4"/>
      <c r="AJ1920" s="4">
        <f>=ROUNDDOWN({0},0)</f>
      </c>
      <c r="AK1920" s="5"/>
      <c r="AL1920" s="2" t="s">
        <v>235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235</v>
      </c>
      <c r="BD1920" s="8" t="s">
        <v>235</v>
      </c>
      <c r="BE1920" s="4" t="s">
        <v>235</v>
      </c>
      <c r="BF1920" s="8" t="s">
        <v>235</v>
      </c>
      <c r="BG1920" s="7" t="s">
        <v>235</v>
      </c>
      <c r="BH1920" s="7" t="s">
        <v>235</v>
      </c>
      <c r="BI1920" s="7"/>
      <c r="BJ1920" s="4"/>
      <c r="BK1920" s="8"/>
      <c r="BL1920" s="2" t="s">
        <v>235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6969</v>
      </c>
      <c r="BV1920" s="2" t="s">
        <v>1448</v>
      </c>
      <c r="BW1920" s="2" t="s">
        <v>235</v>
      </c>
      <c r="BX1920" s="2" t="s">
        <v>244</v>
      </c>
      <c r="BY1920" s="2" t="s">
        <v>245</v>
      </c>
      <c r="BZ1920" s="2" t="s">
        <v>232</v>
      </c>
      <c r="CA1920" s="2" t="s">
        <v>1536</v>
      </c>
      <c r="CB1920" s="2" t="s">
        <v>235</v>
      </c>
      <c r="CC1920" s="2" t="s">
        <v>248</v>
      </c>
      <c r="CD1920" s="2" t="s">
        <v>248</v>
      </c>
      <c r="CE1920" s="2" t="s">
        <v>235</v>
      </c>
      <c r="CF1920" s="4"/>
      <c r="CG1920" s="4">
        <v>16</v>
      </c>
      <c r="CH1920" s="4"/>
      <c r="CI1920" s="4">
        <v>8</v>
      </c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9"/>
      <c r="HE1920" s="9"/>
      <c r="HF1920" s="9"/>
      <c r="HG1920" s="9"/>
      <c r="HH1920" s="9"/>
      <c r="HI1920" s="9"/>
      <c r="HJ1920" s="9"/>
      <c r="HK1920" s="9"/>
      <c r="HL1920" s="9"/>
      <c r="HM1920" s="9"/>
      <c r="HN1920" s="9"/>
      <c r="HO1920" s="9"/>
      <c r="HP1920" s="9"/>
      <c r="HQ1920" s="9"/>
      <c r="HR1920" s="9"/>
      <c r="HS1920" s="9"/>
      <c r="HT1920" s="9"/>
      <c r="HU1920" s="9"/>
      <c r="HV1920" s="9"/>
      <c r="HW1920" s="9"/>
      <c r="HX1920" s="9"/>
      <c r="HY1920" s="9"/>
      <c r="HZ1920" s="9"/>
      <c r="IA1920" s="9"/>
      <c r="IB1920" s="9"/>
      <c r="IC1920" s="9"/>
    </row>
    <row r="1921">
      <c r="A1921" s="2" t="s">
        <v>6970</v>
      </c>
      <c r="B1921" s="2" t="s">
        <v>1529</v>
      </c>
      <c r="C1921" s="2" t="s">
        <v>1381</v>
      </c>
      <c r="D1921" s="2" t="s">
        <v>1539</v>
      </c>
      <c r="E1921" s="2" t="s">
        <v>1540</v>
      </c>
      <c r="F1921" s="2" t="s">
        <v>6966</v>
      </c>
      <c r="G1921" s="2" t="s">
        <v>6966</v>
      </c>
      <c r="H1921" s="2" t="s">
        <v>6966</v>
      </c>
      <c r="I1921" s="2" t="s">
        <v>1541</v>
      </c>
      <c r="J1921" s="2" t="s">
        <v>1542</v>
      </c>
      <c r="K1921" s="2" t="s">
        <v>5327</v>
      </c>
      <c r="L1921" s="3">
        <v>28.56</v>
      </c>
      <c r="M1921" s="3">
        <v>29.99</v>
      </c>
      <c r="N1921" s="3">
        <v>79.99</v>
      </c>
      <c r="O1921" s="2" t="s">
        <v>232</v>
      </c>
      <c r="P1921" s="2" t="s">
        <v>1533</v>
      </c>
      <c r="Q1921" s="2" t="s">
        <v>234</v>
      </c>
      <c r="R1921" s="2" t="s">
        <v>235</v>
      </c>
      <c r="S1921" s="2" t="s">
        <v>235</v>
      </c>
      <c r="T1921" s="2" t="s">
        <v>235</v>
      </c>
      <c r="U1921" s="2" t="s">
        <v>807</v>
      </c>
      <c r="V1921" s="2" t="s">
        <v>238</v>
      </c>
      <c r="W1921" s="2" t="s">
        <v>235</v>
      </c>
      <c r="X1921" s="2" t="s">
        <v>235</v>
      </c>
      <c r="Y1921" s="2" t="s">
        <v>1534</v>
      </c>
      <c r="Z1921" s="4">
        <v>12</v>
      </c>
      <c r="AA1921" s="4">
        <f>=ROUNDDOWN(120,0)</f>
      </c>
      <c r="AB1921" s="5">
        <v>0.1</v>
      </c>
      <c r="AC1921" s="2" t="s">
        <v>235</v>
      </c>
      <c r="AD1921" s="4"/>
      <c r="AE1921" s="4"/>
      <c r="AF1921" s="6"/>
      <c r="AG1921" s="6"/>
      <c r="AH1921" s="7">
        <v>1</v>
      </c>
      <c r="AI1921" s="4"/>
      <c r="AJ1921" s="4">
        <f>=ROUNDDOWN({0},0)</f>
      </c>
      <c r="AK1921" s="5"/>
      <c r="AL1921" s="2" t="s">
        <v>235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235</v>
      </c>
      <c r="AW1921" s="8" t="s">
        <v>235</v>
      </c>
      <c r="AX1921" s="4" t="s">
        <v>235</v>
      </c>
      <c r="AY1921" s="8" t="s">
        <v>235</v>
      </c>
      <c r="AZ1921" s="7" t="s">
        <v>235</v>
      </c>
      <c r="BA1921" s="7" t="s">
        <v>235</v>
      </c>
      <c r="BB1921" s="7"/>
      <c r="BC1921" s="4" t="s">
        <v>235</v>
      </c>
      <c r="BD1921" s="8" t="s">
        <v>235</v>
      </c>
      <c r="BE1921" s="4" t="s">
        <v>235</v>
      </c>
      <c r="BF1921" s="8" t="s">
        <v>235</v>
      </c>
      <c r="BG1921" s="7" t="s">
        <v>235</v>
      </c>
      <c r="BH1921" s="7" t="s">
        <v>235</v>
      </c>
      <c r="BI1921" s="7"/>
      <c r="BJ1921" s="4">
        <v>1</v>
      </c>
      <c r="BK1921" s="8"/>
      <c r="BL1921" s="2" t="s">
        <v>900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6967</v>
      </c>
      <c r="BV1921" s="2" t="s">
        <v>243</v>
      </c>
      <c r="BW1921" s="2" t="s">
        <v>235</v>
      </c>
      <c r="BX1921" s="2" t="s">
        <v>244</v>
      </c>
      <c r="BY1921" s="2" t="s">
        <v>245</v>
      </c>
      <c r="BZ1921" s="2" t="s">
        <v>232</v>
      </c>
      <c r="CA1921" s="2" t="s">
        <v>941</v>
      </c>
      <c r="CB1921" s="2" t="s">
        <v>235</v>
      </c>
      <c r="CC1921" s="2" t="s">
        <v>248</v>
      </c>
      <c r="CD1921" s="2" t="s">
        <v>248</v>
      </c>
      <c r="CE1921" s="2" t="s">
        <v>235</v>
      </c>
      <c r="CF1921" s="4"/>
      <c r="CG1921" s="4">
        <v>7</v>
      </c>
      <c r="CH1921" s="4"/>
      <c r="CI1921" s="4">
        <v>5</v>
      </c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9"/>
      <c r="HE1921" s="9"/>
      <c r="HF1921" s="9"/>
      <c r="HG1921" s="9"/>
      <c r="HH1921" s="9"/>
      <c r="HI1921" s="9"/>
      <c r="HJ1921" s="9"/>
      <c r="HK1921" s="9"/>
      <c r="HL1921" s="9"/>
      <c r="HM1921" s="9"/>
      <c r="HN1921" s="9"/>
      <c r="HO1921" s="9"/>
      <c r="HP1921" s="9"/>
      <c r="HQ1921" s="9"/>
      <c r="HR1921" s="9"/>
      <c r="HS1921" s="9"/>
      <c r="HT1921" s="9"/>
      <c r="HU1921" s="9"/>
      <c r="HV1921" s="9"/>
      <c r="HW1921" s="9"/>
      <c r="HX1921" s="9"/>
      <c r="HY1921" s="9"/>
      <c r="HZ1921" s="9"/>
      <c r="IA1921" s="9"/>
      <c r="IB1921" s="9"/>
      <c r="IC1921" s="9"/>
    </row>
    <row r="1922">
      <c r="A1922" s="2" t="s">
        <v>6971</v>
      </c>
      <c r="B1922" s="2" t="s">
        <v>1529</v>
      </c>
      <c r="C1922" s="2" t="s">
        <v>1381</v>
      </c>
      <c r="D1922" s="2" t="s">
        <v>1417</v>
      </c>
      <c r="E1922" s="2" t="s">
        <v>1530</v>
      </c>
      <c r="F1922" s="2" t="s">
        <v>6966</v>
      </c>
      <c r="G1922" s="2" t="s">
        <v>6966</v>
      </c>
      <c r="H1922" s="2" t="s">
        <v>6966</v>
      </c>
      <c r="I1922" s="2" t="s">
        <v>1530</v>
      </c>
      <c r="J1922" s="2" t="s">
        <v>897</v>
      </c>
      <c r="K1922" s="2" t="s">
        <v>5327</v>
      </c>
      <c r="L1922" s="3">
        <v>339.29</v>
      </c>
      <c r="M1922" s="3">
        <v>356.25</v>
      </c>
      <c r="N1922" s="3">
        <v>999</v>
      </c>
      <c r="O1922" s="2" t="s">
        <v>232</v>
      </c>
      <c r="P1922" s="2" t="s">
        <v>1533</v>
      </c>
      <c r="Q1922" s="2" t="s">
        <v>492</v>
      </c>
      <c r="R1922" s="2" t="s">
        <v>235</v>
      </c>
      <c r="S1922" s="2" t="s">
        <v>235</v>
      </c>
      <c r="T1922" s="2" t="s">
        <v>235</v>
      </c>
      <c r="U1922" s="2" t="s">
        <v>807</v>
      </c>
      <c r="V1922" s="2" t="s">
        <v>238</v>
      </c>
      <c r="W1922" s="2" t="s">
        <v>235</v>
      </c>
      <c r="X1922" s="2" t="s">
        <v>235</v>
      </c>
      <c r="Y1922" s="2" t="s">
        <v>1534</v>
      </c>
      <c r="Z1922" s="4">
        <v>13</v>
      </c>
      <c r="AA1922" s="4">
        <f>=ROUNDDOWN(21.6666666666667,0)</f>
      </c>
      <c r="AB1922" s="5">
        <v>0.6</v>
      </c>
      <c r="AC1922" s="2" t="s">
        <v>235</v>
      </c>
      <c r="AD1922" s="4"/>
      <c r="AE1922" s="4"/>
      <c r="AF1922" s="6"/>
      <c r="AG1922" s="6"/>
      <c r="AH1922" s="7">
        <v>1</v>
      </c>
      <c r="AI1922" s="4"/>
      <c r="AJ1922" s="4">
        <f>=ROUNDDOWN({0},0)</f>
      </c>
      <c r="AK1922" s="5"/>
      <c r="AL1922" s="2" t="s">
        <v>235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235</v>
      </c>
      <c r="AW1922" s="8" t="s">
        <v>235</v>
      </c>
      <c r="AX1922" s="4" t="s">
        <v>235</v>
      </c>
      <c r="AY1922" s="8" t="s">
        <v>235</v>
      </c>
      <c r="AZ1922" s="7" t="s">
        <v>235</v>
      </c>
      <c r="BA1922" s="7" t="s">
        <v>235</v>
      </c>
      <c r="BB1922" s="7"/>
      <c r="BC1922" s="4" t="s">
        <v>235</v>
      </c>
      <c r="BD1922" s="8" t="s">
        <v>235</v>
      </c>
      <c r="BE1922" s="4" t="s">
        <v>235</v>
      </c>
      <c r="BF1922" s="8" t="s">
        <v>235</v>
      </c>
      <c r="BG1922" s="7" t="s">
        <v>235</v>
      </c>
      <c r="BH1922" s="7" t="s">
        <v>235</v>
      </c>
      <c r="BI1922" s="7"/>
      <c r="BJ1922" s="4"/>
      <c r="BK1922" s="8"/>
      <c r="BL1922" s="2" t="s">
        <v>235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6969</v>
      </c>
      <c r="BV1922" s="2" t="s">
        <v>1448</v>
      </c>
      <c r="BW1922" s="2" t="s">
        <v>235</v>
      </c>
      <c r="BX1922" s="2" t="s">
        <v>244</v>
      </c>
      <c r="BY1922" s="2" t="s">
        <v>245</v>
      </c>
      <c r="BZ1922" s="2" t="s">
        <v>232</v>
      </c>
      <c r="CA1922" s="2" t="s">
        <v>1536</v>
      </c>
      <c r="CB1922" s="2" t="s">
        <v>235</v>
      </c>
      <c r="CC1922" s="2" t="s">
        <v>248</v>
      </c>
      <c r="CD1922" s="2" t="s">
        <v>248</v>
      </c>
      <c r="CE1922" s="2" t="s">
        <v>235</v>
      </c>
      <c r="CF1922" s="4"/>
      <c r="CG1922" s="4">
        <v>5</v>
      </c>
      <c r="CH1922" s="4"/>
      <c r="CI1922" s="4">
        <v>8</v>
      </c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9"/>
      <c r="HE1922" s="9"/>
      <c r="HF1922" s="9"/>
      <c r="HG1922" s="9"/>
      <c r="HH1922" s="9"/>
      <c r="HI1922" s="9"/>
      <c r="HJ1922" s="9"/>
      <c r="HK1922" s="9"/>
      <c r="HL1922" s="9"/>
      <c r="HM1922" s="9"/>
      <c r="HN1922" s="9"/>
      <c r="HO1922" s="9"/>
      <c r="HP1922" s="9"/>
      <c r="HQ1922" s="9"/>
      <c r="HR1922" s="9"/>
      <c r="HS1922" s="9"/>
      <c r="HT1922" s="9"/>
      <c r="HU1922" s="9"/>
      <c r="HV1922" s="9"/>
      <c r="HW1922" s="9"/>
      <c r="HX1922" s="9"/>
      <c r="HY1922" s="9"/>
      <c r="HZ1922" s="9"/>
      <c r="IA1922" s="9"/>
      <c r="IB1922" s="9"/>
      <c r="IC1922" s="9"/>
    </row>
    <row r="1923">
      <c r="A1923" s="2" t="s">
        <v>6972</v>
      </c>
      <c r="B1923" s="2" t="s">
        <v>1529</v>
      </c>
      <c r="C1923" s="2" t="s">
        <v>1381</v>
      </c>
      <c r="D1923" s="2" t="s">
        <v>4778</v>
      </c>
      <c r="E1923" s="2" t="s">
        <v>4779</v>
      </c>
      <c r="F1923" s="2" t="s">
        <v>6973</v>
      </c>
      <c r="G1923" s="2" t="s">
        <v>6973</v>
      </c>
      <c r="H1923" s="2" t="s">
        <v>6973</v>
      </c>
      <c r="I1923" s="2" t="s">
        <v>6974</v>
      </c>
      <c r="J1923" s="2" t="s">
        <v>897</v>
      </c>
      <c r="K1923" s="2" t="s">
        <v>6975</v>
      </c>
      <c r="L1923" s="3">
        <v>375</v>
      </c>
      <c r="M1923" s="3">
        <v>393.75</v>
      </c>
      <c r="N1923" s="3">
        <v>1099</v>
      </c>
      <c r="O1923" s="2" t="s">
        <v>232</v>
      </c>
      <c r="P1923" s="2" t="s">
        <v>1533</v>
      </c>
      <c r="Q1923" s="2" t="s">
        <v>492</v>
      </c>
      <c r="R1923" s="2" t="s">
        <v>235</v>
      </c>
      <c r="S1923" s="2" t="s">
        <v>235</v>
      </c>
      <c r="T1923" s="2" t="s">
        <v>235</v>
      </c>
      <c r="U1923" s="2" t="s">
        <v>807</v>
      </c>
      <c r="V1923" s="2" t="s">
        <v>238</v>
      </c>
      <c r="W1923" s="2" t="s">
        <v>235</v>
      </c>
      <c r="X1923" s="2" t="s">
        <v>235</v>
      </c>
      <c r="Y1923" s="2" t="s">
        <v>931</v>
      </c>
      <c r="Z1923" s="4">
        <v>33</v>
      </c>
      <c r="AA1923" s="4">
        <f>=ROUNDDOWN({0},0)</f>
      </c>
      <c r="AB1923" s="5"/>
      <c r="AC1923" s="2" t="s">
        <v>235</v>
      </c>
      <c r="AD1923" s="4"/>
      <c r="AE1923" s="4"/>
      <c r="AF1923" s="6"/>
      <c r="AG1923" s="6"/>
      <c r="AH1923" s="7">
        <v>1</v>
      </c>
      <c r="AI1923" s="4"/>
      <c r="AJ1923" s="4">
        <f>=ROUNDDOWN({0},0)</f>
      </c>
      <c r="AK1923" s="5"/>
      <c r="AL1923" s="2" t="s">
        <v>235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235</v>
      </c>
      <c r="BD1923" s="8" t="s">
        <v>235</v>
      </c>
      <c r="BE1923" s="4" t="s">
        <v>235</v>
      </c>
      <c r="BF1923" s="8" t="s">
        <v>235</v>
      </c>
      <c r="BG1923" s="7" t="s">
        <v>235</v>
      </c>
      <c r="BH1923" s="7" t="s">
        <v>235</v>
      </c>
      <c r="BI1923" s="7"/>
      <c r="BJ1923" s="4"/>
      <c r="BK1923" s="8"/>
      <c r="BL1923" s="2" t="s">
        <v>235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6976</v>
      </c>
      <c r="BV1923" s="2" t="s">
        <v>4384</v>
      </c>
      <c r="BW1923" s="2" t="s">
        <v>235</v>
      </c>
      <c r="BX1923" s="2" t="s">
        <v>244</v>
      </c>
      <c r="BY1923" s="2" t="s">
        <v>245</v>
      </c>
      <c r="BZ1923" s="2" t="s">
        <v>232</v>
      </c>
      <c r="CA1923" s="2" t="s">
        <v>1536</v>
      </c>
      <c r="CB1923" s="2" t="s">
        <v>235</v>
      </c>
      <c r="CC1923" s="2" t="s">
        <v>248</v>
      </c>
      <c r="CD1923" s="2" t="s">
        <v>248</v>
      </c>
      <c r="CE1923" s="2" t="s">
        <v>235</v>
      </c>
      <c r="CF1923" s="4"/>
      <c r="CG1923" s="4">
        <v>15</v>
      </c>
      <c r="CH1923" s="4"/>
      <c r="CI1923" s="4">
        <v>18</v>
      </c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9"/>
      <c r="HE1923" s="9"/>
      <c r="HF1923" s="9"/>
      <c r="HG1923" s="9"/>
      <c r="HH1923" s="9"/>
      <c r="HI1923" s="9"/>
      <c r="HJ1923" s="9"/>
      <c r="HK1923" s="9"/>
      <c r="HL1923" s="9"/>
      <c r="HM1923" s="9"/>
      <c r="HN1923" s="9"/>
      <c r="HO1923" s="9"/>
      <c r="HP1923" s="9"/>
      <c r="HQ1923" s="9"/>
      <c r="HR1923" s="9"/>
      <c r="HS1923" s="9"/>
      <c r="HT1923" s="9"/>
      <c r="HU1923" s="9"/>
      <c r="HV1923" s="9"/>
      <c r="HW1923" s="9"/>
      <c r="HX1923" s="9"/>
      <c r="HY1923" s="9"/>
      <c r="HZ1923" s="9"/>
      <c r="IA1923" s="9"/>
      <c r="IB1923" s="9"/>
      <c r="IC1923" s="9"/>
    </row>
    <row r="1924">
      <c r="A1924" s="2" t="s">
        <v>6977</v>
      </c>
      <c r="B1924" s="2" t="s">
        <v>871</v>
      </c>
      <c r="C1924" s="2" t="s">
        <v>893</v>
      </c>
      <c r="D1924" s="2" t="s">
        <v>906</v>
      </c>
      <c r="E1924" s="2" t="s">
        <v>907</v>
      </c>
      <c r="F1924" s="2" t="s">
        <v>6973</v>
      </c>
      <c r="G1924" s="2" t="s">
        <v>6973</v>
      </c>
      <c r="H1924" s="2" t="s">
        <v>6973</v>
      </c>
      <c r="I1924" s="2" t="s">
        <v>6978</v>
      </c>
      <c r="J1924" s="2" t="s">
        <v>365</v>
      </c>
      <c r="K1924" s="2" t="s">
        <v>600</v>
      </c>
      <c r="L1924" s="3">
        <v>52.8</v>
      </c>
      <c r="M1924" s="3">
        <v>55.44</v>
      </c>
      <c r="N1924" s="3">
        <v>109.99</v>
      </c>
      <c r="O1924" s="2" t="s">
        <v>485</v>
      </c>
      <c r="P1924" s="2" t="s">
        <v>408</v>
      </c>
      <c r="Q1924" s="2" t="s">
        <v>234</v>
      </c>
      <c r="R1924" s="2" t="s">
        <v>235</v>
      </c>
      <c r="S1924" s="2" t="s">
        <v>6979</v>
      </c>
      <c r="T1924" s="2" t="s">
        <v>235</v>
      </c>
      <c r="U1924" s="2" t="s">
        <v>552</v>
      </c>
      <c r="V1924" s="2" t="s">
        <v>986</v>
      </c>
      <c r="W1924" s="2" t="s">
        <v>809</v>
      </c>
      <c r="X1924" s="2" t="s">
        <v>239</v>
      </c>
      <c r="Y1924" s="2" t="s">
        <v>5012</v>
      </c>
      <c r="Z1924" s="4">
        <v>96</v>
      </c>
      <c r="AA1924" s="4">
        <f>=ROUNDDOWN(41.7391304347826,0)</f>
      </c>
      <c r="AB1924" s="5">
        <v>2.3</v>
      </c>
      <c r="AC1924" s="2" t="s">
        <v>235</v>
      </c>
      <c r="AD1924" s="4"/>
      <c r="AE1924" s="4"/>
      <c r="AF1924" s="6">
        <v>67</v>
      </c>
      <c r="AG1924" s="6"/>
      <c r="AH1924" s="7">
        <v>1</v>
      </c>
      <c r="AI1924" s="4"/>
      <c r="AJ1924" s="4">
        <f>=ROUNDDOWN({0},0)</f>
      </c>
      <c r="AK1924" s="5"/>
      <c r="AL1924" s="2" t="s">
        <v>235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235</v>
      </c>
      <c r="BD1924" s="8" t="s">
        <v>235</v>
      </c>
      <c r="BE1924" s="4" t="s">
        <v>235</v>
      </c>
      <c r="BF1924" s="8" t="s">
        <v>235</v>
      </c>
      <c r="BG1924" s="7" t="s">
        <v>235</v>
      </c>
      <c r="BH1924" s="7" t="s">
        <v>235</v>
      </c>
      <c r="BI1924" s="7"/>
      <c r="BJ1924" s="4">
        <v>7</v>
      </c>
      <c r="BK1924" s="8">
        <v>266.5</v>
      </c>
      <c r="BL1924" s="2" t="s">
        <v>6980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6981</v>
      </c>
      <c r="BV1924" s="2" t="s">
        <v>243</v>
      </c>
      <c r="BW1924" s="2" t="s">
        <v>235</v>
      </c>
      <c r="BX1924" s="2" t="s">
        <v>414</v>
      </c>
      <c r="BY1924" s="2" t="s">
        <v>245</v>
      </c>
      <c r="BZ1924" s="2" t="s">
        <v>232</v>
      </c>
      <c r="CA1924" s="2" t="s">
        <v>2474</v>
      </c>
      <c r="CB1924" s="2" t="s">
        <v>6982</v>
      </c>
      <c r="CC1924" s="2" t="s">
        <v>492</v>
      </c>
      <c r="CD1924" s="2" t="s">
        <v>248</v>
      </c>
      <c r="CE1924" s="2" t="s">
        <v>235</v>
      </c>
      <c r="CF1924" s="4">
        <v>96</v>
      </c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>
        <v>97</v>
      </c>
      <c r="GE1924" s="4">
        <v>94</v>
      </c>
      <c r="GF1924" s="4">
        <v>92</v>
      </c>
      <c r="GG1924" s="4">
        <v>90</v>
      </c>
      <c r="GH1924" s="4">
        <v>88</v>
      </c>
      <c r="GI1924" s="4">
        <v>86</v>
      </c>
      <c r="GJ1924" s="4">
        <v>84</v>
      </c>
      <c r="GK1924" s="4">
        <v>82</v>
      </c>
      <c r="GL1924" s="4">
        <v>80</v>
      </c>
      <c r="GM1924" s="4">
        <v>78</v>
      </c>
      <c r="GN1924" s="4">
        <v>76</v>
      </c>
      <c r="GO1924" s="4">
        <v>73</v>
      </c>
      <c r="GP1924" s="4">
        <v>70</v>
      </c>
      <c r="GQ1924" s="4">
        <v>64</v>
      </c>
      <c r="GR1924" s="4">
        <v>61</v>
      </c>
      <c r="GS1924" s="4">
        <v>58</v>
      </c>
      <c r="GT1924" s="4">
        <v>56</v>
      </c>
      <c r="GU1924" s="4">
        <v>55</v>
      </c>
      <c r="GV1924" s="4">
        <v>53</v>
      </c>
      <c r="GW1924" s="4">
        <v>51</v>
      </c>
      <c r="GX1924" s="4">
        <v>49</v>
      </c>
      <c r="GY1924" s="4">
        <v>47</v>
      </c>
      <c r="GZ1924" s="4">
        <v>45</v>
      </c>
      <c r="HA1924" s="4">
        <v>43</v>
      </c>
      <c r="HB1924" s="4">
        <v>41</v>
      </c>
      <c r="HC1924" s="4">
        <v>39</v>
      </c>
      <c r="HD1924" s="19">
        <v>48.5</v>
      </c>
      <c r="HE1924" s="19">
        <v>47</v>
      </c>
      <c r="HF1924" s="19">
        <v>46</v>
      </c>
      <c r="HG1924" s="19">
        <v>45</v>
      </c>
      <c r="HH1924" s="19">
        <v>44</v>
      </c>
      <c r="HI1924" s="19">
        <v>43</v>
      </c>
      <c r="HJ1924" s="19">
        <v>42</v>
      </c>
      <c r="HK1924" s="19">
        <v>41</v>
      </c>
      <c r="HL1924" s="19">
        <v>40</v>
      </c>
      <c r="HM1924" s="19">
        <v>19.5</v>
      </c>
      <c r="HN1924" s="19">
        <v>19</v>
      </c>
      <c r="HO1924" s="19">
        <v>18.3</v>
      </c>
      <c r="HP1924" s="19">
        <v>17.5</v>
      </c>
      <c r="HQ1924" s="19">
        <v>32</v>
      </c>
      <c r="HR1924" s="19">
        <v>30.5</v>
      </c>
      <c r="HS1924" s="19">
        <v>29</v>
      </c>
      <c r="HT1924" s="19">
        <v>28</v>
      </c>
      <c r="HU1924" s="19">
        <v>27.5</v>
      </c>
      <c r="HV1924" s="19">
        <v>26.5</v>
      </c>
      <c r="HW1924" s="19">
        <v>25.5</v>
      </c>
      <c r="HX1924" s="19">
        <v>24.5</v>
      </c>
      <c r="HY1924" s="19">
        <v>23.5</v>
      </c>
      <c r="HZ1924" s="19">
        <v>22.5</v>
      </c>
      <c r="IA1924" s="19">
        <v>21.5</v>
      </c>
      <c r="IB1924" s="19">
        <v>20.5</v>
      </c>
      <c r="IC1924" s="19">
        <v>19.5</v>
      </c>
    </row>
    <row r="1925">
      <c r="A1925" s="2" t="s">
        <v>6983</v>
      </c>
      <c r="B1925" s="2" t="s">
        <v>871</v>
      </c>
      <c r="C1925" s="2" t="s">
        <v>324</v>
      </c>
      <c r="D1925" s="2" t="s">
        <v>854</v>
      </c>
      <c r="E1925" s="2" t="s">
        <v>855</v>
      </c>
      <c r="F1925" s="2" t="s">
        <v>6984</v>
      </c>
      <c r="G1925" s="2" t="s">
        <v>6985</v>
      </c>
      <c r="H1925" s="2" t="s">
        <v>5175</v>
      </c>
      <c r="I1925" s="2" t="s">
        <v>6986</v>
      </c>
      <c r="J1925" s="2" t="s">
        <v>860</v>
      </c>
      <c r="K1925" s="2" t="s">
        <v>600</v>
      </c>
      <c r="L1925" s="3">
        <v>17.6</v>
      </c>
      <c r="M1925" s="3">
        <v>18.48</v>
      </c>
      <c r="N1925" s="3">
        <v>38.99</v>
      </c>
      <c r="O1925" s="2" t="s">
        <v>232</v>
      </c>
      <c r="P1925" s="2" t="s">
        <v>965</v>
      </c>
      <c r="Q1925" s="2" t="s">
        <v>234</v>
      </c>
      <c r="R1925" s="2" t="s">
        <v>235</v>
      </c>
      <c r="S1925" s="2" t="s">
        <v>6987</v>
      </c>
      <c r="T1925" s="2" t="s">
        <v>235</v>
      </c>
      <c r="U1925" s="2" t="s">
        <v>235</v>
      </c>
      <c r="V1925" s="2" t="s">
        <v>1147</v>
      </c>
      <c r="W1925" s="2" t="s">
        <v>671</v>
      </c>
      <c r="X1925" s="2" t="s">
        <v>1242</v>
      </c>
      <c r="Y1925" s="2" t="s">
        <v>510</v>
      </c>
      <c r="Z1925" s="4">
        <v>99</v>
      </c>
      <c r="AA1925" s="4">
        <f>=ROUNDDOWN(16.2295081967213,0)</f>
      </c>
      <c r="AB1925" s="5">
        <v>6.1</v>
      </c>
      <c r="AC1925" s="2" t="s">
        <v>235</v>
      </c>
      <c r="AD1925" s="4"/>
      <c r="AE1925" s="4"/>
      <c r="AF1925" s="6">
        <v>64</v>
      </c>
      <c r="AG1925" s="6"/>
      <c r="AH1925" s="7">
        <v>1</v>
      </c>
      <c r="AI1925" s="4"/>
      <c r="AJ1925" s="4">
        <f>=ROUNDDOWN({0},0)</f>
      </c>
      <c r="AK1925" s="5"/>
      <c r="AL1925" s="2" t="s">
        <v>235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235</v>
      </c>
      <c r="BD1925" s="8" t="s">
        <v>235</v>
      </c>
      <c r="BE1925" s="4" t="s">
        <v>235</v>
      </c>
      <c r="BF1925" s="8" t="s">
        <v>235</v>
      </c>
      <c r="BG1925" s="7" t="s">
        <v>235</v>
      </c>
      <c r="BH1925" s="7" t="s">
        <v>235</v>
      </c>
      <c r="BI1925" s="7"/>
      <c r="BJ1925" s="4">
        <v>20</v>
      </c>
      <c r="BK1925" s="8">
        <v>368.56</v>
      </c>
      <c r="BL1925" s="2" t="s">
        <v>6988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6989</v>
      </c>
      <c r="BV1925" s="2" t="s">
        <v>867</v>
      </c>
      <c r="BW1925" s="2" t="s">
        <v>235</v>
      </c>
      <c r="BX1925" s="2" t="s">
        <v>244</v>
      </c>
      <c r="BY1925" s="2" t="s">
        <v>245</v>
      </c>
      <c r="BZ1925" s="2" t="s">
        <v>232</v>
      </c>
      <c r="CA1925" s="2" t="s">
        <v>510</v>
      </c>
      <c r="CB1925" s="2" t="s">
        <v>6990</v>
      </c>
      <c r="CC1925" s="2" t="s">
        <v>248</v>
      </c>
      <c r="CD1925" s="2" t="s">
        <v>248</v>
      </c>
      <c r="CE1925" s="2" t="s">
        <v>235</v>
      </c>
      <c r="CF1925" s="4">
        <v>99</v>
      </c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>
        <v>99</v>
      </c>
      <c r="GE1925" s="4">
        <v>79</v>
      </c>
      <c r="GF1925" s="4">
        <v>73</v>
      </c>
      <c r="GG1925" s="4">
        <v>66</v>
      </c>
      <c r="GH1925" s="4">
        <v>59</v>
      </c>
      <c r="GI1925" s="4">
        <v>52</v>
      </c>
      <c r="GJ1925" s="4">
        <v>45</v>
      </c>
      <c r="GK1925" s="4">
        <v>38</v>
      </c>
      <c r="GL1925" s="4">
        <v>31</v>
      </c>
      <c r="GM1925" s="4">
        <v>25</v>
      </c>
      <c r="GN1925" s="4">
        <v>18</v>
      </c>
      <c r="GO1925" s="4">
        <v>10</v>
      </c>
      <c r="GP1925" s="4">
        <v>3</v>
      </c>
      <c r="GQ1925" s="4"/>
      <c r="GR1925" s="4"/>
      <c r="GS1925" s="4"/>
      <c r="GT1925" s="4"/>
      <c r="GU1925" s="4"/>
      <c r="GV1925" s="4">
        <v>243</v>
      </c>
      <c r="GW1925" s="4">
        <v>225</v>
      </c>
      <c r="GX1925" s="4">
        <v>219</v>
      </c>
      <c r="GY1925" s="4">
        <v>213</v>
      </c>
      <c r="GZ1925" s="4">
        <v>207</v>
      </c>
      <c r="HA1925" s="4">
        <v>201</v>
      </c>
      <c r="HB1925" s="4">
        <v>195</v>
      </c>
      <c r="HC1925" s="4">
        <v>188</v>
      </c>
      <c r="HD1925" s="19">
        <v>9.9</v>
      </c>
      <c r="HE1925" s="19">
        <v>11.3</v>
      </c>
      <c r="HF1925" s="19">
        <v>10.4</v>
      </c>
      <c r="HG1925" s="19">
        <v>9.4</v>
      </c>
      <c r="HH1925" s="19">
        <v>8.4</v>
      </c>
      <c r="HI1925" s="19">
        <v>7.4</v>
      </c>
      <c r="HJ1925" s="19">
        <v>6.4</v>
      </c>
      <c r="HK1925" s="19">
        <v>5.4</v>
      </c>
      <c r="HL1925" s="19">
        <v>4.4</v>
      </c>
      <c r="HM1925" s="19">
        <v>3.6</v>
      </c>
      <c r="HN1925" s="19">
        <v>2.6</v>
      </c>
      <c r="HO1925" s="19">
        <v>1.7</v>
      </c>
      <c r="HP1925" s="19">
        <v>0.5</v>
      </c>
      <c r="HQ1925" s="20">
        <v>0</v>
      </c>
      <c r="HR1925" s="20">
        <v>0</v>
      </c>
      <c r="HS1925" s="20">
        <v>0</v>
      </c>
      <c r="HT1925" s="20">
        <v>0</v>
      </c>
      <c r="HU1925" s="20">
        <v>0</v>
      </c>
      <c r="HV1925" s="19">
        <v>27</v>
      </c>
      <c r="HW1925" s="19">
        <v>37.5</v>
      </c>
      <c r="HX1925" s="19">
        <v>36.5</v>
      </c>
      <c r="HY1925" s="19">
        <v>35.5</v>
      </c>
      <c r="HZ1925" s="19">
        <v>34.5</v>
      </c>
      <c r="IA1925" s="19">
        <v>33.5</v>
      </c>
      <c r="IB1925" s="19">
        <v>32.5</v>
      </c>
      <c r="IC1925" s="19">
        <v>31.3</v>
      </c>
    </row>
    <row r="1926">
      <c r="A1926" s="2" t="s">
        <v>6991</v>
      </c>
      <c r="B1926" s="2" t="s">
        <v>871</v>
      </c>
      <c r="C1926" s="2" t="s">
        <v>324</v>
      </c>
      <c r="D1926" s="2" t="s">
        <v>361</v>
      </c>
      <c r="E1926" s="2" t="s">
        <v>872</v>
      </c>
      <c r="F1926" s="2" t="s">
        <v>6984</v>
      </c>
      <c r="G1926" s="2" t="s">
        <v>6985</v>
      </c>
      <c r="H1926" s="2" t="s">
        <v>5175</v>
      </c>
      <c r="I1926" s="2" t="s">
        <v>6992</v>
      </c>
      <c r="J1926" s="2" t="s">
        <v>272</v>
      </c>
      <c r="K1926" s="2" t="s">
        <v>1463</v>
      </c>
      <c r="L1926" s="3">
        <v>82.59</v>
      </c>
      <c r="M1926" s="3">
        <v>86.72</v>
      </c>
      <c r="N1926" s="3">
        <v>169.99</v>
      </c>
      <c r="O1926" s="2" t="s">
        <v>232</v>
      </c>
      <c r="P1926" s="2" t="s">
        <v>233</v>
      </c>
      <c r="Q1926" s="2" t="s">
        <v>234</v>
      </c>
      <c r="R1926" s="2" t="s">
        <v>235</v>
      </c>
      <c r="S1926" s="2" t="s">
        <v>6993</v>
      </c>
      <c r="T1926" s="2" t="s">
        <v>1863</v>
      </c>
      <c r="U1926" s="2" t="s">
        <v>742</v>
      </c>
      <c r="V1926" s="2" t="s">
        <v>420</v>
      </c>
      <c r="W1926" s="2" t="s">
        <v>671</v>
      </c>
      <c r="X1926" s="2" t="s">
        <v>6994</v>
      </c>
      <c r="Y1926" s="2" t="s">
        <v>240</v>
      </c>
      <c r="Z1926" s="4">
        <v>93</v>
      </c>
      <c r="AA1926" s="4">
        <f>=ROUNDDOWN(46.5,0)</f>
      </c>
      <c r="AB1926" s="5">
        <v>2</v>
      </c>
      <c r="AC1926" s="2" t="s">
        <v>235</v>
      </c>
      <c r="AD1926" s="4"/>
      <c r="AE1926" s="4"/>
      <c r="AF1926" s="6">
        <v>64</v>
      </c>
      <c r="AG1926" s="6"/>
      <c r="AH1926" s="7">
        <v>1</v>
      </c>
      <c r="AI1926" s="4"/>
      <c r="AJ1926" s="4">
        <f>=ROUNDDOWN({0},0)</f>
      </c>
      <c r="AK1926" s="5"/>
      <c r="AL1926" s="2" t="s">
        <v>235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235</v>
      </c>
      <c r="AW1926" s="8" t="s">
        <v>235</v>
      </c>
      <c r="AX1926" s="4" t="s">
        <v>235</v>
      </c>
      <c r="AY1926" s="8" t="s">
        <v>235</v>
      </c>
      <c r="AZ1926" s="7" t="s">
        <v>235</v>
      </c>
      <c r="BA1926" s="7" t="s">
        <v>235</v>
      </c>
      <c r="BB1926" s="7"/>
      <c r="BC1926" s="4" t="s">
        <v>235</v>
      </c>
      <c r="BD1926" s="8" t="s">
        <v>235</v>
      </c>
      <c r="BE1926" s="4" t="s">
        <v>235</v>
      </c>
      <c r="BF1926" s="8" t="s">
        <v>235</v>
      </c>
      <c r="BG1926" s="7" t="s">
        <v>235</v>
      </c>
      <c r="BH1926" s="7" t="s">
        <v>235</v>
      </c>
      <c r="BI1926" s="7"/>
      <c r="BJ1926" s="4">
        <v>9</v>
      </c>
      <c r="BK1926" s="8">
        <v>772.5</v>
      </c>
      <c r="BL1926" s="2" t="s">
        <v>1756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6995</v>
      </c>
      <c r="BV1926" s="2" t="s">
        <v>243</v>
      </c>
      <c r="BW1926" s="2" t="s">
        <v>235</v>
      </c>
      <c r="BX1926" s="2" t="s">
        <v>383</v>
      </c>
      <c r="BY1926" s="2" t="s">
        <v>245</v>
      </c>
      <c r="BZ1926" s="2" t="s">
        <v>232</v>
      </c>
      <c r="CA1926" s="2" t="s">
        <v>252</v>
      </c>
      <c r="CB1926" s="2" t="s">
        <v>6996</v>
      </c>
      <c r="CC1926" s="2" t="s">
        <v>248</v>
      </c>
      <c r="CD1926" s="2" t="s">
        <v>248</v>
      </c>
      <c r="CE1926" s="2" t="s">
        <v>235</v>
      </c>
      <c r="CF1926" s="4">
        <v>45</v>
      </c>
      <c r="CG1926" s="4"/>
      <c r="CH1926" s="4"/>
      <c r="CI1926" s="4">
        <v>48</v>
      </c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>
        <v>93</v>
      </c>
      <c r="GE1926" s="4">
        <v>91</v>
      </c>
      <c r="GF1926" s="4">
        <v>89</v>
      </c>
      <c r="GG1926" s="4">
        <v>87</v>
      </c>
      <c r="GH1926" s="4">
        <v>85</v>
      </c>
      <c r="GI1926" s="4">
        <v>83</v>
      </c>
      <c r="GJ1926" s="4">
        <v>81</v>
      </c>
      <c r="GK1926" s="4">
        <v>79</v>
      </c>
      <c r="GL1926" s="4">
        <v>77</v>
      </c>
      <c r="GM1926" s="4">
        <v>75</v>
      </c>
      <c r="GN1926" s="4">
        <v>73</v>
      </c>
      <c r="GO1926" s="4">
        <v>70</v>
      </c>
      <c r="GP1926" s="4">
        <v>67</v>
      </c>
      <c r="GQ1926" s="4">
        <v>61</v>
      </c>
      <c r="GR1926" s="4">
        <v>58</v>
      </c>
      <c r="GS1926" s="4">
        <v>55</v>
      </c>
      <c r="GT1926" s="4">
        <v>53</v>
      </c>
      <c r="GU1926" s="4">
        <v>52</v>
      </c>
      <c r="GV1926" s="4">
        <v>50</v>
      </c>
      <c r="GW1926" s="4">
        <v>48</v>
      </c>
      <c r="GX1926" s="4">
        <v>46</v>
      </c>
      <c r="GY1926" s="4">
        <v>44</v>
      </c>
      <c r="GZ1926" s="4">
        <v>42</v>
      </c>
      <c r="HA1926" s="4">
        <v>40</v>
      </c>
      <c r="HB1926" s="4">
        <v>38</v>
      </c>
      <c r="HC1926" s="4">
        <v>36</v>
      </c>
      <c r="HD1926" s="19">
        <v>46.5</v>
      </c>
      <c r="HE1926" s="19">
        <v>45.5</v>
      </c>
      <c r="HF1926" s="19">
        <v>44.5</v>
      </c>
      <c r="HG1926" s="19">
        <v>43.5</v>
      </c>
      <c r="HH1926" s="19">
        <v>42.5</v>
      </c>
      <c r="HI1926" s="19">
        <v>41.5</v>
      </c>
      <c r="HJ1926" s="19">
        <v>40.5</v>
      </c>
      <c r="HK1926" s="19">
        <v>39.5</v>
      </c>
      <c r="HL1926" s="19">
        <v>38.5</v>
      </c>
      <c r="HM1926" s="19">
        <v>18.8</v>
      </c>
      <c r="HN1926" s="19">
        <v>18.3</v>
      </c>
      <c r="HO1926" s="19">
        <v>17.5</v>
      </c>
      <c r="HP1926" s="19">
        <v>16.8</v>
      </c>
      <c r="HQ1926" s="19">
        <v>30.5</v>
      </c>
      <c r="HR1926" s="19">
        <v>29</v>
      </c>
      <c r="HS1926" s="19">
        <v>27.5</v>
      </c>
      <c r="HT1926" s="19">
        <v>26.5</v>
      </c>
      <c r="HU1926" s="19">
        <v>26</v>
      </c>
      <c r="HV1926" s="19">
        <v>25</v>
      </c>
      <c r="HW1926" s="19">
        <v>24</v>
      </c>
      <c r="HX1926" s="19">
        <v>23</v>
      </c>
      <c r="HY1926" s="19">
        <v>22</v>
      </c>
      <c r="HZ1926" s="19">
        <v>21</v>
      </c>
      <c r="IA1926" s="19">
        <v>20</v>
      </c>
      <c r="IB1926" s="19">
        <v>19</v>
      </c>
      <c r="IC1926" s="19">
        <v>18</v>
      </c>
    </row>
    <row r="1927">
      <c r="A1927" s="2" t="s">
        <v>6997</v>
      </c>
      <c r="B1927" s="2" t="s">
        <v>871</v>
      </c>
      <c r="C1927" s="2" t="s">
        <v>324</v>
      </c>
      <c r="D1927" s="2" t="s">
        <v>854</v>
      </c>
      <c r="E1927" s="2" t="s">
        <v>855</v>
      </c>
      <c r="F1927" s="2" t="s">
        <v>6984</v>
      </c>
      <c r="G1927" s="2" t="s">
        <v>6985</v>
      </c>
      <c r="H1927" s="2" t="s">
        <v>5175</v>
      </c>
      <c r="I1927" s="2" t="s">
        <v>6986</v>
      </c>
      <c r="J1927" s="2" t="s">
        <v>860</v>
      </c>
      <c r="K1927" s="2" t="s">
        <v>1463</v>
      </c>
      <c r="L1927" s="3">
        <v>17.6</v>
      </c>
      <c r="M1927" s="3">
        <v>18.48</v>
      </c>
      <c r="N1927" s="3">
        <v>38.99</v>
      </c>
      <c r="O1927" s="2" t="s">
        <v>232</v>
      </c>
      <c r="P1927" s="2" t="s">
        <v>233</v>
      </c>
      <c r="Q1927" s="2" t="s">
        <v>234</v>
      </c>
      <c r="R1927" s="2" t="s">
        <v>235</v>
      </c>
      <c r="S1927" s="2" t="s">
        <v>6993</v>
      </c>
      <c r="T1927" s="2" t="s">
        <v>235</v>
      </c>
      <c r="U1927" s="2" t="s">
        <v>235</v>
      </c>
      <c r="V1927" s="2" t="s">
        <v>1147</v>
      </c>
      <c r="W1927" s="2" t="s">
        <v>671</v>
      </c>
      <c r="X1927" s="2" t="s">
        <v>1242</v>
      </c>
      <c r="Y1927" s="2" t="s">
        <v>240</v>
      </c>
      <c r="Z1927" s="4">
        <v>612</v>
      </c>
      <c r="AA1927" s="4">
        <f>=ROUNDDOWN(77.4683544303797,0)</f>
      </c>
      <c r="AB1927" s="5">
        <v>7.9</v>
      </c>
      <c r="AC1927" s="2" t="s">
        <v>235</v>
      </c>
      <c r="AD1927" s="4"/>
      <c r="AE1927" s="4"/>
      <c r="AF1927" s="6">
        <v>64</v>
      </c>
      <c r="AG1927" s="6"/>
      <c r="AH1927" s="7">
        <v>1</v>
      </c>
      <c r="AI1927" s="4"/>
      <c r="AJ1927" s="4">
        <f>=ROUNDDOWN({0},0)</f>
      </c>
      <c r="AK1927" s="5"/>
      <c r="AL1927" s="2" t="s">
        <v>235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235</v>
      </c>
      <c r="AW1927" s="8" t="s">
        <v>235</v>
      </c>
      <c r="AX1927" s="4" t="s">
        <v>235</v>
      </c>
      <c r="AY1927" s="8" t="s">
        <v>235</v>
      </c>
      <c r="AZ1927" s="7" t="s">
        <v>235</v>
      </c>
      <c r="BA1927" s="7" t="s">
        <v>235</v>
      </c>
      <c r="BB1927" s="7"/>
      <c r="BC1927" s="4" t="s">
        <v>235</v>
      </c>
      <c r="BD1927" s="8" t="s">
        <v>235</v>
      </c>
      <c r="BE1927" s="4" t="s">
        <v>235</v>
      </c>
      <c r="BF1927" s="8" t="s">
        <v>235</v>
      </c>
      <c r="BG1927" s="7" t="s">
        <v>235</v>
      </c>
      <c r="BH1927" s="7" t="s">
        <v>235</v>
      </c>
      <c r="BI1927" s="7"/>
      <c r="BJ1927" s="4">
        <v>33</v>
      </c>
      <c r="BK1927" s="8">
        <v>586.64</v>
      </c>
      <c r="BL1927" s="2" t="s">
        <v>6998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6989</v>
      </c>
      <c r="BV1927" s="2" t="s">
        <v>867</v>
      </c>
      <c r="BW1927" s="2" t="s">
        <v>235</v>
      </c>
      <c r="BX1927" s="2" t="s">
        <v>244</v>
      </c>
      <c r="BY1927" s="2" t="s">
        <v>245</v>
      </c>
      <c r="BZ1927" s="2" t="s">
        <v>232</v>
      </c>
      <c r="CA1927" s="2" t="s">
        <v>252</v>
      </c>
      <c r="CB1927" s="2" t="s">
        <v>6999</v>
      </c>
      <c r="CC1927" s="2" t="s">
        <v>248</v>
      </c>
      <c r="CD1927" s="2" t="s">
        <v>248</v>
      </c>
      <c r="CE1927" s="2" t="s">
        <v>235</v>
      </c>
      <c r="CF1927" s="4">
        <v>612</v>
      </c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>
        <v>612</v>
      </c>
      <c r="GE1927" s="4">
        <v>608</v>
      </c>
      <c r="GF1927" s="4">
        <v>605</v>
      </c>
      <c r="GG1927" s="4">
        <v>602</v>
      </c>
      <c r="GH1927" s="4">
        <v>599</v>
      </c>
      <c r="GI1927" s="4">
        <v>596</v>
      </c>
      <c r="GJ1927" s="4">
        <v>592</v>
      </c>
      <c r="GK1927" s="4">
        <v>582</v>
      </c>
      <c r="GL1927" s="4">
        <v>570</v>
      </c>
      <c r="GM1927" s="4">
        <v>562</v>
      </c>
      <c r="GN1927" s="4">
        <v>552</v>
      </c>
      <c r="GO1927" s="4">
        <v>542</v>
      </c>
      <c r="GP1927" s="4">
        <v>533</v>
      </c>
      <c r="GQ1927" s="4">
        <v>523</v>
      </c>
      <c r="GR1927" s="4">
        <v>514</v>
      </c>
      <c r="GS1927" s="4">
        <v>504</v>
      </c>
      <c r="GT1927" s="4">
        <v>496</v>
      </c>
      <c r="GU1927" s="4">
        <v>487</v>
      </c>
      <c r="GV1927" s="4">
        <v>478</v>
      </c>
      <c r="GW1927" s="4">
        <v>470</v>
      </c>
      <c r="GX1927" s="4">
        <v>462</v>
      </c>
      <c r="GY1927" s="4">
        <v>454</v>
      </c>
      <c r="GZ1927" s="4">
        <v>446</v>
      </c>
      <c r="HA1927" s="4">
        <v>438</v>
      </c>
      <c r="HB1927" s="4">
        <v>430</v>
      </c>
      <c r="HC1927" s="4">
        <v>421</v>
      </c>
      <c r="HD1927" s="19">
        <v>204</v>
      </c>
      <c r="HE1927" s="19">
        <v>202.7</v>
      </c>
      <c r="HF1927" s="19">
        <v>201.7</v>
      </c>
      <c r="HG1927" s="19">
        <v>120.4</v>
      </c>
      <c r="HH1927" s="19">
        <v>85.6</v>
      </c>
      <c r="HI1927" s="19">
        <v>74.5</v>
      </c>
      <c r="HJ1927" s="19">
        <v>59.2</v>
      </c>
      <c r="HK1927" s="19">
        <v>58.2</v>
      </c>
      <c r="HL1927" s="19">
        <v>63.3</v>
      </c>
      <c r="HM1927" s="19">
        <v>56.2</v>
      </c>
      <c r="HN1927" s="19">
        <v>55.2</v>
      </c>
      <c r="HO1927" s="19">
        <v>54.2</v>
      </c>
      <c r="HP1927" s="19">
        <v>59.2</v>
      </c>
      <c r="HQ1927" s="19">
        <v>58.1</v>
      </c>
      <c r="HR1927" s="19">
        <v>57.1</v>
      </c>
      <c r="HS1927" s="19">
        <v>63</v>
      </c>
      <c r="HT1927" s="19">
        <v>62</v>
      </c>
      <c r="HU1927" s="19">
        <v>60.9</v>
      </c>
      <c r="HV1927" s="19">
        <v>59.8</v>
      </c>
      <c r="HW1927" s="19">
        <v>58.8</v>
      </c>
      <c r="HX1927" s="19">
        <v>57.8</v>
      </c>
      <c r="HY1927" s="19">
        <v>56.8</v>
      </c>
      <c r="HZ1927" s="19">
        <v>55.8</v>
      </c>
      <c r="IA1927" s="19">
        <v>54.8</v>
      </c>
      <c r="IB1927" s="19">
        <v>53.8</v>
      </c>
      <c r="IC1927" s="19">
        <v>52.6</v>
      </c>
    </row>
    <row r="1928">
      <c r="A1928" s="2" t="s">
        <v>7000</v>
      </c>
      <c r="B1928" s="2" t="s">
        <v>1139</v>
      </c>
      <c r="C1928" s="2" t="s">
        <v>324</v>
      </c>
      <c r="D1928" s="2" t="s">
        <v>1152</v>
      </c>
      <c r="E1928" s="2" t="s">
        <v>1153</v>
      </c>
      <c r="F1928" s="2" t="s">
        <v>6984</v>
      </c>
      <c r="G1928" s="2" t="s">
        <v>6985</v>
      </c>
      <c r="H1928" s="2" t="s">
        <v>5175</v>
      </c>
      <c r="I1928" s="2" t="s">
        <v>1154</v>
      </c>
      <c r="J1928" s="2" t="s">
        <v>6333</v>
      </c>
      <c r="K1928" s="2" t="s">
        <v>2029</v>
      </c>
      <c r="L1928" s="3">
        <v>15.18</v>
      </c>
      <c r="M1928" s="3">
        <v>15.94</v>
      </c>
      <c r="N1928" s="3">
        <v>32.99</v>
      </c>
      <c r="O1928" s="2" t="s">
        <v>232</v>
      </c>
      <c r="P1928" s="2" t="s">
        <v>878</v>
      </c>
      <c r="Q1928" s="2" t="s">
        <v>234</v>
      </c>
      <c r="R1928" s="2" t="s">
        <v>235</v>
      </c>
      <c r="S1928" s="2" t="s">
        <v>7001</v>
      </c>
      <c r="T1928" s="2" t="s">
        <v>263</v>
      </c>
      <c r="U1928" s="2" t="s">
        <v>807</v>
      </c>
      <c r="V1928" s="2" t="s">
        <v>880</v>
      </c>
      <c r="W1928" s="2" t="s">
        <v>671</v>
      </c>
      <c r="X1928" s="2" t="s">
        <v>1157</v>
      </c>
      <c r="Y1928" s="2" t="s">
        <v>1891</v>
      </c>
      <c r="Z1928" s="4">
        <v>1065</v>
      </c>
      <c r="AA1928" s="4">
        <f>=ROUNDDOWN(18.0203045685279,0)</f>
      </c>
      <c r="AB1928" s="5">
        <v>59.1</v>
      </c>
      <c r="AC1928" s="2" t="s">
        <v>7002</v>
      </c>
      <c r="AD1928" s="4">
        <v>1900</v>
      </c>
      <c r="AE1928" s="4">
        <v>3032</v>
      </c>
      <c r="AF1928" s="6">
        <v>75</v>
      </c>
      <c r="AG1928" s="6"/>
      <c r="AH1928" s="7">
        <v>0</v>
      </c>
      <c r="AI1928" s="4"/>
      <c r="AJ1928" s="4">
        <f>=ROUNDDOWN({0},0)</f>
      </c>
      <c r="AK1928" s="5"/>
      <c r="AL1928" s="2" t="s">
        <v>235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 t="s">
        <v>235</v>
      </c>
      <c r="BD1928" s="8" t="s">
        <v>235</v>
      </c>
      <c r="BE1928" s="4" t="s">
        <v>235</v>
      </c>
      <c r="BF1928" s="8" t="s">
        <v>235</v>
      </c>
      <c r="BG1928" s="7" t="s">
        <v>235</v>
      </c>
      <c r="BH1928" s="7" t="s">
        <v>235</v>
      </c>
      <c r="BI1928" s="7"/>
      <c r="BJ1928" s="4">
        <v>14</v>
      </c>
      <c r="BK1928" s="8">
        <v>243.74</v>
      </c>
      <c r="BL1928" s="2" t="s">
        <v>5458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7003</v>
      </c>
      <c r="BV1928" s="2" t="s">
        <v>618</v>
      </c>
      <c r="BW1928" s="2" t="s">
        <v>235</v>
      </c>
      <c r="BX1928" s="2" t="s">
        <v>244</v>
      </c>
      <c r="BY1928" s="2" t="s">
        <v>245</v>
      </c>
      <c r="BZ1928" s="2" t="s">
        <v>232</v>
      </c>
      <c r="CA1928" s="2" t="s">
        <v>2296</v>
      </c>
      <c r="CB1928" s="2" t="s">
        <v>7004</v>
      </c>
      <c r="CC1928" s="2" t="s">
        <v>248</v>
      </c>
      <c r="CD1928" s="2" t="s">
        <v>248</v>
      </c>
      <c r="CE1928" s="2" t="s">
        <v>235</v>
      </c>
      <c r="CF1928" s="4">
        <v>1</v>
      </c>
      <c r="CG1928" s="4"/>
      <c r="CH1928" s="4"/>
      <c r="CI1928" s="4"/>
      <c r="CJ1928" s="4"/>
      <c r="CK1928" s="4"/>
      <c r="CL1928" s="4"/>
      <c r="CM1928" s="4">
        <v>1064</v>
      </c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>
        <v>1900</v>
      </c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>
        <v>1132</v>
      </c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>
        <v>1065</v>
      </c>
      <c r="GE1928" s="4">
        <v>1021</v>
      </c>
      <c r="GF1928" s="4">
        <v>977</v>
      </c>
      <c r="GG1928" s="4">
        <v>2829</v>
      </c>
      <c r="GH1928" s="4">
        <v>2773</v>
      </c>
      <c r="GI1928" s="4">
        <v>2717</v>
      </c>
      <c r="GJ1928" s="4">
        <v>2661</v>
      </c>
      <c r="GK1928" s="4">
        <v>2608</v>
      </c>
      <c r="GL1928" s="4">
        <v>2555</v>
      </c>
      <c r="GM1928" s="4">
        <v>2502</v>
      </c>
      <c r="GN1928" s="4">
        <v>2449</v>
      </c>
      <c r="GO1928" s="4">
        <v>2386</v>
      </c>
      <c r="GP1928" s="4">
        <v>2308</v>
      </c>
      <c r="GQ1928" s="4">
        <v>3377</v>
      </c>
      <c r="GR1928" s="4">
        <v>3255</v>
      </c>
      <c r="GS1928" s="4">
        <v>3177</v>
      </c>
      <c r="GT1928" s="4">
        <v>3109</v>
      </c>
      <c r="GU1928" s="4">
        <v>3061</v>
      </c>
      <c r="GV1928" s="4">
        <v>3013</v>
      </c>
      <c r="GW1928" s="4">
        <v>2965</v>
      </c>
      <c r="GX1928" s="4">
        <v>2917</v>
      </c>
      <c r="GY1928" s="4">
        <v>2869</v>
      </c>
      <c r="GZ1928" s="4">
        <v>2811</v>
      </c>
      <c r="HA1928" s="4">
        <v>2753</v>
      </c>
      <c r="HB1928" s="4">
        <v>2695</v>
      </c>
      <c r="HC1928" s="4">
        <v>2637</v>
      </c>
      <c r="HD1928" s="19">
        <v>22.2</v>
      </c>
      <c r="HE1928" s="19">
        <v>20</v>
      </c>
      <c r="HF1928" s="19">
        <v>18.1</v>
      </c>
      <c r="HG1928" s="19">
        <v>51.4</v>
      </c>
      <c r="HH1928" s="19">
        <v>51.4</v>
      </c>
      <c r="HI1928" s="19">
        <v>50.3</v>
      </c>
      <c r="HJ1928" s="19">
        <v>50.2</v>
      </c>
      <c r="HK1928" s="19">
        <v>46.6</v>
      </c>
      <c r="HL1928" s="19">
        <v>41.2</v>
      </c>
      <c r="HM1928" s="19">
        <v>39.1</v>
      </c>
      <c r="HN1928" s="19">
        <v>29.9</v>
      </c>
      <c r="HO1928" s="19">
        <v>28.1</v>
      </c>
      <c r="HP1928" s="19">
        <v>27.8</v>
      </c>
      <c r="HQ1928" s="19">
        <v>42.7</v>
      </c>
      <c r="HR1928" s="19">
        <v>54.3</v>
      </c>
      <c r="HS1928" s="19">
        <v>59.9</v>
      </c>
      <c r="HT1928" s="19">
        <v>64.8</v>
      </c>
      <c r="HU1928" s="19">
        <v>63.8</v>
      </c>
      <c r="HV1928" s="19">
        <v>60.3</v>
      </c>
      <c r="HW1928" s="19">
        <v>55.9</v>
      </c>
      <c r="HX1928" s="19">
        <v>52.1</v>
      </c>
      <c r="HY1928" s="19">
        <v>49.5</v>
      </c>
      <c r="HZ1928" s="19">
        <v>47.6</v>
      </c>
      <c r="IA1928" s="19">
        <v>46.7</v>
      </c>
      <c r="IB1928" s="19">
        <v>45.7</v>
      </c>
      <c r="IC1928" s="19">
        <v>44</v>
      </c>
    </row>
    <row r="1929">
      <c r="A1929" s="2" t="s">
        <v>7005</v>
      </c>
      <c r="B1929" s="2" t="s">
        <v>871</v>
      </c>
      <c r="C1929" s="2" t="s">
        <v>324</v>
      </c>
      <c r="D1929" s="2" t="s">
        <v>854</v>
      </c>
      <c r="E1929" s="2" t="s">
        <v>855</v>
      </c>
      <c r="F1929" s="2" t="s">
        <v>6984</v>
      </c>
      <c r="G1929" s="2" t="s">
        <v>6985</v>
      </c>
      <c r="H1929" s="2" t="s">
        <v>5175</v>
      </c>
      <c r="I1929" s="2" t="s">
        <v>6986</v>
      </c>
      <c r="J1929" s="2" t="s">
        <v>860</v>
      </c>
      <c r="K1929" s="2" t="s">
        <v>1062</v>
      </c>
      <c r="L1929" s="3">
        <v>17.6</v>
      </c>
      <c r="M1929" s="3">
        <v>18.48</v>
      </c>
      <c r="N1929" s="3">
        <v>38.99</v>
      </c>
      <c r="O1929" s="2" t="s">
        <v>232</v>
      </c>
      <c r="P1929" s="2" t="s">
        <v>233</v>
      </c>
      <c r="Q1929" s="2" t="s">
        <v>234</v>
      </c>
      <c r="R1929" s="2" t="s">
        <v>235</v>
      </c>
      <c r="S1929" s="2" t="s">
        <v>7006</v>
      </c>
      <c r="T1929" s="2" t="s">
        <v>235</v>
      </c>
      <c r="U1929" s="2" t="s">
        <v>807</v>
      </c>
      <c r="V1929" s="2" t="s">
        <v>1147</v>
      </c>
      <c r="W1929" s="2" t="s">
        <v>671</v>
      </c>
      <c r="X1929" s="2" t="s">
        <v>1242</v>
      </c>
      <c r="Y1929" s="2" t="s">
        <v>7007</v>
      </c>
      <c r="Z1929" s="4">
        <v>311</v>
      </c>
      <c r="AA1929" s="4">
        <f>=ROUNDDOWN(64.7916666666667,0)</f>
      </c>
      <c r="AB1929" s="5">
        <v>4.8</v>
      </c>
      <c r="AC1929" s="2" t="s">
        <v>235</v>
      </c>
      <c r="AD1929" s="4"/>
      <c r="AE1929" s="4"/>
      <c r="AF1929" s="6">
        <v>64</v>
      </c>
      <c r="AG1929" s="6"/>
      <c r="AH1929" s="7">
        <v>1</v>
      </c>
      <c r="AI1929" s="4"/>
      <c r="AJ1929" s="4">
        <f>=ROUNDDOWN({0},0)</f>
      </c>
      <c r="AK1929" s="5"/>
      <c r="AL1929" s="2" t="s">
        <v>235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235</v>
      </c>
      <c r="AW1929" s="8" t="s">
        <v>235</v>
      </c>
      <c r="AX1929" s="4" t="s">
        <v>235</v>
      </c>
      <c r="AY1929" s="8" t="s">
        <v>235</v>
      </c>
      <c r="AZ1929" s="7" t="s">
        <v>235</v>
      </c>
      <c r="BA1929" s="7" t="s">
        <v>235</v>
      </c>
      <c r="BB1929" s="7"/>
      <c r="BC1929" s="4" t="s">
        <v>235</v>
      </c>
      <c r="BD1929" s="8" t="s">
        <v>235</v>
      </c>
      <c r="BE1929" s="4" t="s">
        <v>235</v>
      </c>
      <c r="BF1929" s="8" t="s">
        <v>235</v>
      </c>
      <c r="BG1929" s="7" t="s">
        <v>235</v>
      </c>
      <c r="BH1929" s="7" t="s">
        <v>235</v>
      </c>
      <c r="BI1929" s="7"/>
      <c r="BJ1929" s="4">
        <v>5</v>
      </c>
      <c r="BK1929" s="8">
        <v>91.77</v>
      </c>
      <c r="BL1929" s="2" t="s">
        <v>7008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6989</v>
      </c>
      <c r="BV1929" s="2" t="s">
        <v>867</v>
      </c>
      <c r="BW1929" s="2" t="s">
        <v>235</v>
      </c>
      <c r="BX1929" s="2" t="s">
        <v>244</v>
      </c>
      <c r="BY1929" s="2" t="s">
        <v>245</v>
      </c>
      <c r="BZ1929" s="2" t="s">
        <v>232</v>
      </c>
      <c r="CA1929" s="2" t="s">
        <v>1042</v>
      </c>
      <c r="CB1929" s="2" t="s">
        <v>6208</v>
      </c>
      <c r="CC1929" s="2" t="s">
        <v>248</v>
      </c>
      <c r="CD1929" s="2" t="s">
        <v>248</v>
      </c>
      <c r="CE1929" s="2" t="s">
        <v>235</v>
      </c>
      <c r="CF1929" s="4">
        <v>311</v>
      </c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>
        <v>311</v>
      </c>
      <c r="GE1929" s="4">
        <v>307</v>
      </c>
      <c r="GF1929" s="4">
        <v>304</v>
      </c>
      <c r="GG1929" s="4">
        <v>301</v>
      </c>
      <c r="GH1929" s="4">
        <v>298</v>
      </c>
      <c r="GI1929" s="4">
        <v>295</v>
      </c>
      <c r="GJ1929" s="4">
        <v>290</v>
      </c>
      <c r="GK1929" s="4">
        <v>284</v>
      </c>
      <c r="GL1929" s="4">
        <v>278</v>
      </c>
      <c r="GM1929" s="4">
        <v>273</v>
      </c>
      <c r="GN1929" s="4">
        <v>267</v>
      </c>
      <c r="GO1929" s="4">
        <v>260</v>
      </c>
      <c r="GP1929" s="4">
        <v>254</v>
      </c>
      <c r="GQ1929" s="4">
        <v>247</v>
      </c>
      <c r="GR1929" s="4">
        <v>241</v>
      </c>
      <c r="GS1929" s="4">
        <v>234</v>
      </c>
      <c r="GT1929" s="4">
        <v>229</v>
      </c>
      <c r="GU1929" s="4">
        <v>223</v>
      </c>
      <c r="GV1929" s="4">
        <v>218</v>
      </c>
      <c r="GW1929" s="4">
        <v>213</v>
      </c>
      <c r="GX1929" s="4">
        <v>208</v>
      </c>
      <c r="GY1929" s="4">
        <v>203</v>
      </c>
      <c r="GZ1929" s="4">
        <v>198</v>
      </c>
      <c r="HA1929" s="4">
        <v>193</v>
      </c>
      <c r="HB1929" s="4">
        <v>188</v>
      </c>
      <c r="HC1929" s="4">
        <v>182</v>
      </c>
      <c r="HD1929" s="19">
        <v>103.7</v>
      </c>
      <c r="HE1929" s="19">
        <v>102.3</v>
      </c>
      <c r="HF1929" s="19">
        <v>76</v>
      </c>
      <c r="HG1929" s="19">
        <v>75.3</v>
      </c>
      <c r="HH1929" s="19">
        <v>59.6</v>
      </c>
      <c r="HI1929" s="19">
        <v>49.2</v>
      </c>
      <c r="HJ1929" s="19">
        <v>48.3</v>
      </c>
      <c r="HK1929" s="19">
        <v>47.3</v>
      </c>
      <c r="HL1929" s="19">
        <v>46.3</v>
      </c>
      <c r="HM1929" s="19">
        <v>45.5</v>
      </c>
      <c r="HN1929" s="19">
        <v>44.5</v>
      </c>
      <c r="HO1929" s="19">
        <v>43.3</v>
      </c>
      <c r="HP1929" s="19">
        <v>42.3</v>
      </c>
      <c r="HQ1929" s="19">
        <v>41.2</v>
      </c>
      <c r="HR1929" s="19">
        <v>40.2</v>
      </c>
      <c r="HS1929" s="19">
        <v>46.8</v>
      </c>
      <c r="HT1929" s="19">
        <v>45.8</v>
      </c>
      <c r="HU1929" s="19">
        <v>44.6</v>
      </c>
      <c r="HV1929" s="19">
        <v>43.6</v>
      </c>
      <c r="HW1929" s="19">
        <v>42.6</v>
      </c>
      <c r="HX1929" s="19">
        <v>41.6</v>
      </c>
      <c r="HY1929" s="19">
        <v>40.6</v>
      </c>
      <c r="HZ1929" s="19">
        <v>39.6</v>
      </c>
      <c r="IA1929" s="19">
        <v>38.6</v>
      </c>
      <c r="IB1929" s="19">
        <v>37.6</v>
      </c>
      <c r="IC1929" s="19">
        <v>36.4</v>
      </c>
    </row>
    <row r="1930">
      <c r="A1930" s="2" t="s">
        <v>7009</v>
      </c>
      <c r="B1930" s="2" t="s">
        <v>871</v>
      </c>
      <c r="C1930" s="2" t="s">
        <v>324</v>
      </c>
      <c r="D1930" s="2" t="s">
        <v>3920</v>
      </c>
      <c r="E1930" s="2" t="s">
        <v>3921</v>
      </c>
      <c r="F1930" s="2" t="s">
        <v>6984</v>
      </c>
      <c r="G1930" s="2" t="s">
        <v>6985</v>
      </c>
      <c r="H1930" s="2" t="s">
        <v>5175</v>
      </c>
      <c r="I1930" s="2" t="s">
        <v>7010</v>
      </c>
      <c r="J1930" s="2" t="s">
        <v>7011</v>
      </c>
      <c r="K1930" s="2" t="s">
        <v>1062</v>
      </c>
      <c r="L1930" s="3">
        <v>11.81</v>
      </c>
      <c r="M1930" s="3">
        <v>12.4</v>
      </c>
      <c r="N1930" s="3">
        <v>24.99</v>
      </c>
      <c r="O1930" s="2" t="s">
        <v>232</v>
      </c>
      <c r="P1930" s="2" t="s">
        <v>233</v>
      </c>
      <c r="Q1930" s="2" t="s">
        <v>234</v>
      </c>
      <c r="R1930" s="2" t="s">
        <v>235</v>
      </c>
      <c r="S1930" s="2" t="s">
        <v>7006</v>
      </c>
      <c r="T1930" s="2" t="s">
        <v>235</v>
      </c>
      <c r="U1930" s="2" t="s">
        <v>807</v>
      </c>
      <c r="V1930" s="2" t="s">
        <v>1147</v>
      </c>
      <c r="W1930" s="2" t="s">
        <v>671</v>
      </c>
      <c r="X1930" s="2" t="s">
        <v>235</v>
      </c>
      <c r="Y1930" s="2" t="s">
        <v>7007</v>
      </c>
      <c r="Z1930" s="4">
        <v>177</v>
      </c>
      <c r="AA1930" s="4">
        <f>=ROUNDDOWN(22.6923076923077,0)</f>
      </c>
      <c r="AB1930" s="5">
        <v>7.8</v>
      </c>
      <c r="AC1930" s="2" t="s">
        <v>235</v>
      </c>
      <c r="AD1930" s="4"/>
      <c r="AE1930" s="4"/>
      <c r="AF1930" s="6">
        <v>64</v>
      </c>
      <c r="AG1930" s="6"/>
      <c r="AH1930" s="7">
        <v>1</v>
      </c>
      <c r="AI1930" s="4"/>
      <c r="AJ1930" s="4">
        <f>=ROUNDDOWN({0},0)</f>
      </c>
      <c r="AK1930" s="5"/>
      <c r="AL1930" s="2" t="s">
        <v>235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235</v>
      </c>
      <c r="AW1930" s="8" t="s">
        <v>235</v>
      </c>
      <c r="AX1930" s="4" t="s">
        <v>235</v>
      </c>
      <c r="AY1930" s="8" t="s">
        <v>235</v>
      </c>
      <c r="AZ1930" s="7" t="s">
        <v>235</v>
      </c>
      <c r="BA1930" s="7" t="s">
        <v>235</v>
      </c>
      <c r="BB1930" s="7"/>
      <c r="BC1930" s="4" t="s">
        <v>235</v>
      </c>
      <c r="BD1930" s="8" t="s">
        <v>235</v>
      </c>
      <c r="BE1930" s="4" t="s">
        <v>235</v>
      </c>
      <c r="BF1930" s="8" t="s">
        <v>235</v>
      </c>
      <c r="BG1930" s="7" t="s">
        <v>235</v>
      </c>
      <c r="BH1930" s="7" t="s">
        <v>235</v>
      </c>
      <c r="BI1930" s="7"/>
      <c r="BJ1930" s="4">
        <v>18</v>
      </c>
      <c r="BK1930" s="8">
        <v>236.98</v>
      </c>
      <c r="BL1930" s="2" t="s">
        <v>7012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7013</v>
      </c>
      <c r="BV1930" s="2" t="s">
        <v>867</v>
      </c>
      <c r="BW1930" s="2" t="s">
        <v>235</v>
      </c>
      <c r="BX1930" s="2" t="s">
        <v>244</v>
      </c>
      <c r="BY1930" s="2" t="s">
        <v>245</v>
      </c>
      <c r="BZ1930" s="2" t="s">
        <v>232</v>
      </c>
      <c r="CA1930" s="2" t="s">
        <v>1042</v>
      </c>
      <c r="CB1930" s="2" t="s">
        <v>4436</v>
      </c>
      <c r="CC1930" s="2" t="s">
        <v>248</v>
      </c>
      <c r="CD1930" s="2" t="s">
        <v>248</v>
      </c>
      <c r="CE1930" s="2" t="s">
        <v>235</v>
      </c>
      <c r="CF1930" s="4">
        <v>177</v>
      </c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>
        <v>191</v>
      </c>
      <c r="GE1930" s="4">
        <v>170</v>
      </c>
      <c r="GF1930" s="4">
        <v>164</v>
      </c>
      <c r="GG1930" s="4">
        <v>158</v>
      </c>
      <c r="GH1930" s="4">
        <v>152</v>
      </c>
      <c r="GI1930" s="4">
        <v>146</v>
      </c>
      <c r="GJ1930" s="4">
        <v>136</v>
      </c>
      <c r="GK1930" s="4">
        <v>127</v>
      </c>
      <c r="GL1930" s="4">
        <v>118</v>
      </c>
      <c r="GM1930" s="4">
        <v>110</v>
      </c>
      <c r="GN1930" s="4">
        <v>101</v>
      </c>
      <c r="GO1930" s="4">
        <v>91</v>
      </c>
      <c r="GP1930" s="4">
        <v>82</v>
      </c>
      <c r="GQ1930" s="4">
        <v>69</v>
      </c>
      <c r="GR1930" s="4">
        <v>58</v>
      </c>
      <c r="GS1930" s="4">
        <v>46</v>
      </c>
      <c r="GT1930" s="4">
        <v>37</v>
      </c>
      <c r="GU1930" s="4">
        <v>29</v>
      </c>
      <c r="GV1930" s="4">
        <v>21</v>
      </c>
      <c r="GW1930" s="4">
        <v>13</v>
      </c>
      <c r="GX1930" s="4">
        <v>5</v>
      </c>
      <c r="GY1930" s="4"/>
      <c r="GZ1930" s="4"/>
      <c r="HA1930" s="4"/>
      <c r="HB1930" s="4"/>
      <c r="HC1930" s="4"/>
      <c r="HD1930" s="19">
        <v>19.1</v>
      </c>
      <c r="HE1930" s="19">
        <v>28.3</v>
      </c>
      <c r="HF1930" s="19">
        <v>23.4</v>
      </c>
      <c r="HG1930" s="19">
        <v>19.8</v>
      </c>
      <c r="HH1930" s="19">
        <v>19</v>
      </c>
      <c r="HI1930" s="19">
        <v>16.2</v>
      </c>
      <c r="HJ1930" s="19">
        <v>15.1</v>
      </c>
      <c r="HK1930" s="19">
        <v>14.1</v>
      </c>
      <c r="HL1930" s="19">
        <v>13.1</v>
      </c>
      <c r="HM1930" s="19">
        <v>11</v>
      </c>
      <c r="HN1930" s="19">
        <v>9.2</v>
      </c>
      <c r="HO1930" s="19">
        <v>8.3</v>
      </c>
      <c r="HP1930" s="19">
        <v>7.5</v>
      </c>
      <c r="HQ1930" s="19">
        <v>6.9</v>
      </c>
      <c r="HR1930" s="19">
        <v>6.4</v>
      </c>
      <c r="HS1930" s="19">
        <v>5.8</v>
      </c>
      <c r="HT1930" s="19">
        <v>4.6</v>
      </c>
      <c r="HU1930" s="19">
        <v>3.6</v>
      </c>
      <c r="HV1930" s="19">
        <v>2.6</v>
      </c>
      <c r="HW1930" s="19">
        <v>1.6</v>
      </c>
      <c r="HX1930" s="19">
        <v>0.6</v>
      </c>
      <c r="HY1930" s="20">
        <v>0</v>
      </c>
      <c r="HZ1930" s="20">
        <v>0</v>
      </c>
      <c r="IA1930" s="20">
        <v>0</v>
      </c>
      <c r="IB1930" s="20">
        <v>0</v>
      </c>
      <c r="IC1930" s="20">
        <v>0</v>
      </c>
    </row>
    <row r="1931">
      <c r="A1931" s="2" t="s">
        <v>7014</v>
      </c>
      <c r="B1931" s="2" t="s">
        <v>871</v>
      </c>
      <c r="C1931" s="2" t="s">
        <v>893</v>
      </c>
      <c r="D1931" s="2" t="s">
        <v>361</v>
      </c>
      <c r="E1931" s="2" t="s">
        <v>924</v>
      </c>
      <c r="F1931" s="2" t="s">
        <v>7015</v>
      </c>
      <c r="G1931" s="2" t="s">
        <v>7015</v>
      </c>
      <c r="H1931" s="2" t="s">
        <v>7015</v>
      </c>
      <c r="I1931" s="2" t="s">
        <v>7016</v>
      </c>
      <c r="J1931" s="2" t="s">
        <v>372</v>
      </c>
      <c r="K1931" s="2" t="s">
        <v>2029</v>
      </c>
      <c r="L1931" s="3">
        <v>72.55</v>
      </c>
      <c r="M1931" s="3">
        <v>76.18</v>
      </c>
      <c r="N1931" s="3">
        <v>164.99</v>
      </c>
      <c r="O1931" s="2" t="s">
        <v>232</v>
      </c>
      <c r="P1931" s="2" t="s">
        <v>233</v>
      </c>
      <c r="Q1931" s="2" t="s">
        <v>234</v>
      </c>
      <c r="R1931" s="2" t="s">
        <v>235</v>
      </c>
      <c r="S1931" s="2" t="s">
        <v>7017</v>
      </c>
      <c r="T1931" s="2" t="s">
        <v>1298</v>
      </c>
      <c r="U1931" s="2" t="s">
        <v>552</v>
      </c>
      <c r="V1931" s="2" t="s">
        <v>420</v>
      </c>
      <c r="W1931" s="2" t="s">
        <v>1395</v>
      </c>
      <c r="X1931" s="2" t="s">
        <v>239</v>
      </c>
      <c r="Y1931" s="2" t="s">
        <v>7018</v>
      </c>
      <c r="Z1931" s="4">
        <v>116</v>
      </c>
      <c r="AA1931" s="4">
        <f>=ROUNDDOWN(29,0)</f>
      </c>
      <c r="AB1931" s="5">
        <v>4</v>
      </c>
      <c r="AC1931" s="2" t="s">
        <v>235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235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5</v>
      </c>
      <c r="BK1931" s="8">
        <v>353.07</v>
      </c>
      <c r="BL1931" s="2" t="s">
        <v>7019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7020</v>
      </c>
      <c r="BV1931" s="2" t="s">
        <v>243</v>
      </c>
      <c r="BW1931" s="2" t="s">
        <v>235</v>
      </c>
      <c r="BX1931" s="2" t="s">
        <v>244</v>
      </c>
      <c r="BY1931" s="2" t="s">
        <v>245</v>
      </c>
      <c r="BZ1931" s="2" t="s">
        <v>232</v>
      </c>
      <c r="CA1931" s="2" t="s">
        <v>416</v>
      </c>
      <c r="CB1931" s="2" t="s">
        <v>1893</v>
      </c>
      <c r="CC1931" s="2" t="s">
        <v>248</v>
      </c>
      <c r="CD1931" s="2" t="s">
        <v>248</v>
      </c>
      <c r="CE1931" s="2" t="s">
        <v>235</v>
      </c>
      <c r="CF1931" s="4">
        <v>66</v>
      </c>
      <c r="CG1931" s="4"/>
      <c r="CH1931" s="4"/>
      <c r="CI1931" s="4">
        <v>50</v>
      </c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>
        <v>119</v>
      </c>
      <c r="GE1931" s="4">
        <v>107</v>
      </c>
      <c r="GF1931" s="4">
        <v>103</v>
      </c>
      <c r="GG1931" s="4">
        <v>99</v>
      </c>
      <c r="GH1931" s="4">
        <v>94</v>
      </c>
      <c r="GI1931" s="4">
        <v>89</v>
      </c>
      <c r="GJ1931" s="4">
        <v>82</v>
      </c>
      <c r="GK1931" s="4">
        <v>78</v>
      </c>
      <c r="GL1931" s="4">
        <v>74</v>
      </c>
      <c r="GM1931" s="4">
        <v>70</v>
      </c>
      <c r="GN1931" s="4">
        <v>66</v>
      </c>
      <c r="GO1931" s="4">
        <v>60</v>
      </c>
      <c r="GP1931" s="4">
        <v>54</v>
      </c>
      <c r="GQ1931" s="4">
        <v>42</v>
      </c>
      <c r="GR1931" s="4">
        <v>37</v>
      </c>
      <c r="GS1931" s="4">
        <v>32</v>
      </c>
      <c r="GT1931" s="4">
        <v>28</v>
      </c>
      <c r="GU1931" s="4">
        <v>25</v>
      </c>
      <c r="GV1931" s="4">
        <v>21</v>
      </c>
      <c r="GW1931" s="4">
        <v>17</v>
      </c>
      <c r="GX1931" s="4">
        <v>13</v>
      </c>
      <c r="GY1931" s="4">
        <v>9</v>
      </c>
      <c r="GZ1931" s="4">
        <v>5</v>
      </c>
      <c r="HA1931" s="4">
        <v>111</v>
      </c>
      <c r="HB1931" s="4">
        <v>107</v>
      </c>
      <c r="HC1931" s="4">
        <v>103</v>
      </c>
      <c r="HD1931" s="19">
        <v>19.8</v>
      </c>
      <c r="HE1931" s="19">
        <v>26.8</v>
      </c>
      <c r="HF1931" s="19">
        <v>20.6</v>
      </c>
      <c r="HG1931" s="19">
        <v>19.8</v>
      </c>
      <c r="HH1931" s="19">
        <v>18.8</v>
      </c>
      <c r="HI1931" s="19">
        <v>17.8</v>
      </c>
      <c r="HJ1931" s="19">
        <v>20.5</v>
      </c>
      <c r="HK1931" s="19">
        <v>19.5</v>
      </c>
      <c r="HL1931" s="19">
        <v>14.8</v>
      </c>
      <c r="HM1931" s="19">
        <v>10</v>
      </c>
      <c r="HN1931" s="19">
        <v>9.4</v>
      </c>
      <c r="HO1931" s="19">
        <v>8.6</v>
      </c>
      <c r="HP1931" s="19">
        <v>9</v>
      </c>
      <c r="HQ1931" s="19">
        <v>10.5</v>
      </c>
      <c r="HR1931" s="19">
        <v>9.3</v>
      </c>
      <c r="HS1931" s="19">
        <v>8</v>
      </c>
      <c r="HT1931" s="19">
        <v>7</v>
      </c>
      <c r="HU1931" s="19">
        <v>6.3</v>
      </c>
      <c r="HV1931" s="19">
        <v>5.3</v>
      </c>
      <c r="HW1931" s="19">
        <v>4.3</v>
      </c>
      <c r="HX1931" s="19">
        <v>3.3</v>
      </c>
      <c r="HY1931" s="19">
        <v>2.3</v>
      </c>
      <c r="HZ1931" s="19">
        <v>1.3</v>
      </c>
      <c r="IA1931" s="19">
        <v>27.8</v>
      </c>
      <c r="IB1931" s="19">
        <v>26.8</v>
      </c>
      <c r="IC1931" s="19">
        <v>25.8</v>
      </c>
    </row>
    <row r="1932">
      <c r="A1932" s="2" t="s">
        <v>7021</v>
      </c>
      <c r="B1932" s="2" t="s">
        <v>905</v>
      </c>
      <c r="C1932" s="2" t="s">
        <v>1036</v>
      </c>
      <c r="D1932" s="2" t="s">
        <v>1177</v>
      </c>
      <c r="E1932" s="2" t="s">
        <v>2747</v>
      </c>
      <c r="F1932" s="2" t="s">
        <v>7022</v>
      </c>
      <c r="G1932" s="2" t="s">
        <v>7022</v>
      </c>
      <c r="H1932" s="2" t="s">
        <v>7022</v>
      </c>
      <c r="I1932" s="2" t="s">
        <v>2749</v>
      </c>
      <c r="J1932" s="2" t="s">
        <v>250</v>
      </c>
      <c r="K1932" s="2" t="s">
        <v>231</v>
      </c>
      <c r="L1932" s="3">
        <v>56.89</v>
      </c>
      <c r="M1932" s="3">
        <v>59.73</v>
      </c>
      <c r="N1932" s="3">
        <v>124.99</v>
      </c>
      <c r="O1932" s="2" t="s">
        <v>232</v>
      </c>
      <c r="P1932" s="2" t="s">
        <v>233</v>
      </c>
      <c r="Q1932" s="2" t="s">
        <v>234</v>
      </c>
      <c r="R1932" s="2" t="s">
        <v>235</v>
      </c>
      <c r="S1932" s="2" t="s">
        <v>7023</v>
      </c>
      <c r="T1932" s="2" t="s">
        <v>1081</v>
      </c>
      <c r="U1932" s="2" t="s">
        <v>807</v>
      </c>
      <c r="V1932" s="2" t="s">
        <v>238</v>
      </c>
      <c r="W1932" s="2" t="s">
        <v>239</v>
      </c>
      <c r="X1932" s="2" t="s">
        <v>1798</v>
      </c>
      <c r="Y1932" s="2" t="s">
        <v>2756</v>
      </c>
      <c r="Z1932" s="4">
        <v>201</v>
      </c>
      <c r="AA1932" s="4">
        <f>=ROUNDDOWN(22.3333333333333,0)</f>
      </c>
      <c r="AB1932" s="5">
        <v>9</v>
      </c>
      <c r="AC1932" s="2" t="s">
        <v>235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235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 t="s">
        <v>235</v>
      </c>
      <c r="BD1932" s="8" t="s">
        <v>235</v>
      </c>
      <c r="BE1932" s="4" t="s">
        <v>235</v>
      </c>
      <c r="BF1932" s="8" t="s">
        <v>235</v>
      </c>
      <c r="BG1932" s="7" t="s">
        <v>235</v>
      </c>
      <c r="BH1932" s="7" t="s">
        <v>235</v>
      </c>
      <c r="BI1932" s="7"/>
      <c r="BJ1932" s="4"/>
      <c r="BK1932" s="8"/>
      <c r="BL1932" s="2" t="s">
        <v>692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7024</v>
      </c>
      <c r="BV1932" s="2" t="s">
        <v>243</v>
      </c>
      <c r="BW1932" s="2" t="s">
        <v>235</v>
      </c>
      <c r="BX1932" s="2" t="s">
        <v>244</v>
      </c>
      <c r="BY1932" s="2" t="s">
        <v>245</v>
      </c>
      <c r="BZ1932" s="2" t="s">
        <v>232</v>
      </c>
      <c r="CA1932" s="2" t="s">
        <v>475</v>
      </c>
      <c r="CB1932" s="2" t="s">
        <v>2657</v>
      </c>
      <c r="CC1932" s="2" t="s">
        <v>248</v>
      </c>
      <c r="CD1932" s="2" t="s">
        <v>248</v>
      </c>
      <c r="CE1932" s="2" t="s">
        <v>235</v>
      </c>
      <c r="CF1932" s="4">
        <v>201</v>
      </c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>
        <v>202</v>
      </c>
      <c r="GE1932" s="4">
        <v>199</v>
      </c>
      <c r="GF1932" s="4">
        <v>196</v>
      </c>
      <c r="GG1932" s="4">
        <v>192</v>
      </c>
      <c r="GH1932" s="4">
        <v>189</v>
      </c>
      <c r="GI1932" s="4">
        <v>186</v>
      </c>
      <c r="GJ1932" s="4">
        <v>173</v>
      </c>
      <c r="GK1932" s="4">
        <v>161</v>
      </c>
      <c r="GL1932" s="4">
        <v>155</v>
      </c>
      <c r="GM1932" s="4">
        <v>143</v>
      </c>
      <c r="GN1932" s="4">
        <v>134</v>
      </c>
      <c r="GO1932" s="4">
        <v>119</v>
      </c>
      <c r="GP1932" s="4">
        <v>105</v>
      </c>
      <c r="GQ1932" s="4">
        <v>78</v>
      </c>
      <c r="GR1932" s="4">
        <v>62</v>
      </c>
      <c r="GS1932" s="4">
        <v>42</v>
      </c>
      <c r="GT1932" s="4">
        <v>31</v>
      </c>
      <c r="GU1932" s="4">
        <v>27</v>
      </c>
      <c r="GV1932" s="4">
        <v>18</v>
      </c>
      <c r="GW1932" s="4">
        <v>275</v>
      </c>
      <c r="GX1932" s="4">
        <v>264</v>
      </c>
      <c r="GY1932" s="4">
        <v>257</v>
      </c>
      <c r="GZ1932" s="4">
        <v>250</v>
      </c>
      <c r="HA1932" s="4">
        <v>244</v>
      </c>
      <c r="HB1932" s="4">
        <v>238</v>
      </c>
      <c r="HC1932" s="4">
        <v>228</v>
      </c>
      <c r="HD1932" s="19">
        <v>67.3</v>
      </c>
      <c r="HE1932" s="19">
        <v>66.3</v>
      </c>
      <c r="HF1932" s="19">
        <v>32.7</v>
      </c>
      <c r="HG1932" s="19">
        <v>24</v>
      </c>
      <c r="HH1932" s="19">
        <v>23.6</v>
      </c>
      <c r="HI1932" s="19">
        <v>16.9</v>
      </c>
      <c r="HJ1932" s="19">
        <v>17.3</v>
      </c>
      <c r="HK1932" s="19">
        <v>16.1</v>
      </c>
      <c r="HL1932" s="19">
        <v>12.9</v>
      </c>
      <c r="HM1932" s="19">
        <v>8.9</v>
      </c>
      <c r="HN1932" s="19">
        <v>7.4</v>
      </c>
      <c r="HO1932" s="19">
        <v>6.3</v>
      </c>
      <c r="HP1932" s="19">
        <v>5.8</v>
      </c>
      <c r="HQ1932" s="19">
        <v>6</v>
      </c>
      <c r="HR1932" s="19">
        <v>5.6</v>
      </c>
      <c r="HS1932" s="19">
        <v>5.3</v>
      </c>
      <c r="HT1932" s="19">
        <v>3.9</v>
      </c>
      <c r="HU1932" s="19">
        <v>3</v>
      </c>
      <c r="HV1932" s="19">
        <v>2</v>
      </c>
      <c r="HW1932" s="19">
        <v>34.4</v>
      </c>
      <c r="HX1932" s="19">
        <v>44</v>
      </c>
      <c r="HY1932" s="19">
        <v>36.7</v>
      </c>
      <c r="HZ1932" s="19">
        <v>41.7</v>
      </c>
      <c r="IA1932" s="19">
        <v>40.7</v>
      </c>
      <c r="IB1932" s="19">
        <v>39.7</v>
      </c>
      <c r="IC1932" s="19">
        <v>57</v>
      </c>
    </row>
    <row r="1933">
      <c r="A1933" s="2" t="s">
        <v>7025</v>
      </c>
      <c r="B1933" s="2" t="s">
        <v>905</v>
      </c>
      <c r="C1933" s="2" t="s">
        <v>1036</v>
      </c>
      <c r="D1933" s="2" t="s">
        <v>1177</v>
      </c>
      <c r="E1933" s="2" t="s">
        <v>2747</v>
      </c>
      <c r="F1933" s="2" t="s">
        <v>7022</v>
      </c>
      <c r="G1933" s="2" t="s">
        <v>7022</v>
      </c>
      <c r="H1933" s="2" t="s">
        <v>7022</v>
      </c>
      <c r="I1933" s="2" t="s">
        <v>2749</v>
      </c>
      <c r="J1933" s="2" t="s">
        <v>394</v>
      </c>
      <c r="K1933" s="2" t="s">
        <v>1196</v>
      </c>
      <c r="L1933" s="3">
        <v>51.53</v>
      </c>
      <c r="M1933" s="3">
        <v>54.11</v>
      </c>
      <c r="N1933" s="3">
        <v>104.99</v>
      </c>
      <c r="O1933" s="2" t="s">
        <v>407</v>
      </c>
      <c r="P1933" s="2" t="s">
        <v>408</v>
      </c>
      <c r="Q1933" s="2" t="s">
        <v>234</v>
      </c>
      <c r="R1933" s="2" t="s">
        <v>235</v>
      </c>
      <c r="S1933" s="2" t="s">
        <v>7026</v>
      </c>
      <c r="T1933" s="2" t="s">
        <v>1081</v>
      </c>
      <c r="U1933" s="2" t="s">
        <v>807</v>
      </c>
      <c r="V1933" s="2" t="s">
        <v>238</v>
      </c>
      <c r="W1933" s="2" t="s">
        <v>239</v>
      </c>
      <c r="X1933" s="2" t="s">
        <v>1798</v>
      </c>
      <c r="Y1933" s="2" t="s">
        <v>2756</v>
      </c>
      <c r="Z1933" s="4">
        <v>107</v>
      </c>
      <c r="AA1933" s="4">
        <f>=ROUNDDOWN(56.3157894736842,0)</f>
      </c>
      <c r="AB1933" s="5">
        <v>1.9</v>
      </c>
      <c r="AC1933" s="2" t="s">
        <v>235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235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235</v>
      </c>
      <c r="AW1933" s="8" t="s">
        <v>235</v>
      </c>
      <c r="AX1933" s="4" t="s">
        <v>235</v>
      </c>
      <c r="AY1933" s="8" t="s">
        <v>235</v>
      </c>
      <c r="AZ1933" s="7" t="s">
        <v>235</v>
      </c>
      <c r="BA1933" s="7" t="s">
        <v>235</v>
      </c>
      <c r="BB1933" s="7"/>
      <c r="BC1933" s="4" t="s">
        <v>235</v>
      </c>
      <c r="BD1933" s="8" t="s">
        <v>235</v>
      </c>
      <c r="BE1933" s="4" t="s">
        <v>235</v>
      </c>
      <c r="BF1933" s="8" t="s">
        <v>235</v>
      </c>
      <c r="BG1933" s="7" t="s">
        <v>235</v>
      </c>
      <c r="BH1933" s="7" t="s">
        <v>235</v>
      </c>
      <c r="BI1933" s="7"/>
      <c r="BJ1933" s="4">
        <v>2</v>
      </c>
      <c r="BK1933" s="8">
        <v>116.7</v>
      </c>
      <c r="BL1933" s="2" t="s">
        <v>536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7024</v>
      </c>
      <c r="BV1933" s="2" t="s">
        <v>243</v>
      </c>
      <c r="BW1933" s="2" t="s">
        <v>235</v>
      </c>
      <c r="BX1933" s="2" t="s">
        <v>244</v>
      </c>
      <c r="BY1933" s="2" t="s">
        <v>245</v>
      </c>
      <c r="BZ1933" s="2" t="s">
        <v>232</v>
      </c>
      <c r="CA1933" s="2" t="s">
        <v>475</v>
      </c>
      <c r="CB1933" s="2" t="s">
        <v>3219</v>
      </c>
      <c r="CC1933" s="2" t="s">
        <v>248</v>
      </c>
      <c r="CD1933" s="2" t="s">
        <v>248</v>
      </c>
      <c r="CE1933" s="2" t="s">
        <v>235</v>
      </c>
      <c r="CF1933" s="4">
        <v>107</v>
      </c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>
        <v>107</v>
      </c>
      <c r="GE1933" s="4">
        <v>105</v>
      </c>
      <c r="GF1933" s="4">
        <v>104</v>
      </c>
      <c r="GG1933" s="4">
        <v>102</v>
      </c>
      <c r="GH1933" s="4">
        <v>100</v>
      </c>
      <c r="GI1933" s="4">
        <v>97</v>
      </c>
      <c r="GJ1933" s="4">
        <v>92</v>
      </c>
      <c r="GK1933" s="4">
        <v>86</v>
      </c>
      <c r="GL1933" s="4">
        <v>82</v>
      </c>
      <c r="GM1933" s="4">
        <v>77</v>
      </c>
      <c r="GN1933" s="4">
        <v>72</v>
      </c>
      <c r="GO1933" s="4">
        <v>65</v>
      </c>
      <c r="GP1933" s="4">
        <v>58</v>
      </c>
      <c r="GQ1933" s="4">
        <v>44</v>
      </c>
      <c r="GR1933" s="4">
        <v>35</v>
      </c>
      <c r="GS1933" s="4">
        <v>25</v>
      </c>
      <c r="GT1933" s="4">
        <v>20</v>
      </c>
      <c r="GU1933" s="4">
        <v>18</v>
      </c>
      <c r="GV1933" s="4">
        <v>15</v>
      </c>
      <c r="GW1933" s="4">
        <v>12</v>
      </c>
      <c r="GX1933" s="4">
        <v>8</v>
      </c>
      <c r="GY1933" s="4">
        <v>5</v>
      </c>
      <c r="GZ1933" s="4">
        <v>3</v>
      </c>
      <c r="HA1933" s="4">
        <v>2</v>
      </c>
      <c r="HB1933" s="4"/>
      <c r="HC1933" s="4"/>
      <c r="HD1933" s="19">
        <v>53.5</v>
      </c>
      <c r="HE1933" s="19">
        <v>52.5</v>
      </c>
      <c r="HF1933" s="19">
        <v>34.7</v>
      </c>
      <c r="HG1933" s="19">
        <v>25.5</v>
      </c>
      <c r="HH1933" s="19">
        <v>25</v>
      </c>
      <c r="HI1933" s="19">
        <v>19.4</v>
      </c>
      <c r="HJ1933" s="19">
        <v>18.4</v>
      </c>
      <c r="HK1933" s="19">
        <v>17.2</v>
      </c>
      <c r="HL1933" s="19">
        <v>13.7</v>
      </c>
      <c r="HM1933" s="19">
        <v>9.6</v>
      </c>
      <c r="HN1933" s="19">
        <v>8</v>
      </c>
      <c r="HO1933" s="19">
        <v>6.5</v>
      </c>
      <c r="HP1933" s="19">
        <v>5.8</v>
      </c>
      <c r="HQ1933" s="19">
        <v>7.3</v>
      </c>
      <c r="HR1933" s="19">
        <v>7</v>
      </c>
      <c r="HS1933" s="19">
        <v>8.3</v>
      </c>
      <c r="HT1933" s="19">
        <v>6.7</v>
      </c>
      <c r="HU1933" s="19">
        <v>6</v>
      </c>
      <c r="HV1933" s="19">
        <v>5</v>
      </c>
      <c r="HW1933" s="19">
        <v>6</v>
      </c>
      <c r="HX1933" s="19">
        <v>4</v>
      </c>
      <c r="HY1933" s="19">
        <v>2.5</v>
      </c>
      <c r="HZ1933" s="19">
        <v>3</v>
      </c>
      <c r="IA1933" s="19">
        <v>2</v>
      </c>
      <c r="IB1933" s="20">
        <v>0</v>
      </c>
      <c r="IC1933" s="20">
        <v>0</v>
      </c>
    </row>
    <row r="1934">
      <c r="A1934" s="2" t="s">
        <v>7027</v>
      </c>
      <c r="B1934" s="2" t="s">
        <v>905</v>
      </c>
      <c r="C1934" s="2" t="s">
        <v>1036</v>
      </c>
      <c r="D1934" s="2" t="s">
        <v>1177</v>
      </c>
      <c r="E1934" s="2" t="s">
        <v>2747</v>
      </c>
      <c r="F1934" s="2" t="s">
        <v>7022</v>
      </c>
      <c r="G1934" s="2" t="s">
        <v>7022</v>
      </c>
      <c r="H1934" s="2" t="s">
        <v>7022</v>
      </c>
      <c r="I1934" s="2" t="s">
        <v>2749</v>
      </c>
      <c r="J1934" s="2" t="s">
        <v>261</v>
      </c>
      <c r="K1934" s="2" t="s">
        <v>1196</v>
      </c>
      <c r="L1934" s="3">
        <v>79.06</v>
      </c>
      <c r="M1934" s="3">
        <v>83.01</v>
      </c>
      <c r="N1934" s="3">
        <v>169.99</v>
      </c>
      <c r="O1934" s="2" t="s">
        <v>407</v>
      </c>
      <c r="P1934" s="2" t="s">
        <v>408</v>
      </c>
      <c r="Q1934" s="2" t="s">
        <v>234</v>
      </c>
      <c r="R1934" s="2" t="s">
        <v>235</v>
      </c>
      <c r="S1934" s="2" t="s">
        <v>7026</v>
      </c>
      <c r="T1934" s="2" t="s">
        <v>1081</v>
      </c>
      <c r="U1934" s="2" t="s">
        <v>807</v>
      </c>
      <c r="V1934" s="2" t="s">
        <v>238</v>
      </c>
      <c r="W1934" s="2" t="s">
        <v>239</v>
      </c>
      <c r="X1934" s="2" t="s">
        <v>1798</v>
      </c>
      <c r="Y1934" s="2" t="s">
        <v>2756</v>
      </c>
      <c r="Z1934" s="4">
        <v>325</v>
      </c>
      <c r="AA1934" s="4">
        <f>=ROUNDDOWN(46.4285714285714,0)</f>
      </c>
      <c r="AB1934" s="5">
        <v>7</v>
      </c>
      <c r="AC1934" s="2" t="s">
        <v>235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235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235</v>
      </c>
      <c r="AW1934" s="8" t="s">
        <v>235</v>
      </c>
      <c r="AX1934" s="4" t="s">
        <v>235</v>
      </c>
      <c r="AY1934" s="8" t="s">
        <v>235</v>
      </c>
      <c r="AZ1934" s="7" t="s">
        <v>235</v>
      </c>
      <c r="BA1934" s="7" t="s">
        <v>235</v>
      </c>
      <c r="BB1934" s="7"/>
      <c r="BC1934" s="4" t="s">
        <v>235</v>
      </c>
      <c r="BD1934" s="8" t="s">
        <v>235</v>
      </c>
      <c r="BE1934" s="4" t="s">
        <v>235</v>
      </c>
      <c r="BF1934" s="8" t="s">
        <v>235</v>
      </c>
      <c r="BG1934" s="7" t="s">
        <v>235</v>
      </c>
      <c r="BH1934" s="7" t="s">
        <v>235</v>
      </c>
      <c r="BI1934" s="7"/>
      <c r="BJ1934" s="4">
        <v>2</v>
      </c>
      <c r="BK1934" s="8">
        <v>177.1</v>
      </c>
      <c r="BL1934" s="2" t="s">
        <v>1184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7024</v>
      </c>
      <c r="BV1934" s="2" t="s">
        <v>243</v>
      </c>
      <c r="BW1934" s="2" t="s">
        <v>235</v>
      </c>
      <c r="BX1934" s="2" t="s">
        <v>244</v>
      </c>
      <c r="BY1934" s="2" t="s">
        <v>245</v>
      </c>
      <c r="BZ1934" s="2" t="s">
        <v>232</v>
      </c>
      <c r="CA1934" s="2" t="s">
        <v>475</v>
      </c>
      <c r="CB1934" s="2" t="s">
        <v>737</v>
      </c>
      <c r="CC1934" s="2" t="s">
        <v>248</v>
      </c>
      <c r="CD1934" s="2" t="s">
        <v>248</v>
      </c>
      <c r="CE1934" s="2" t="s">
        <v>235</v>
      </c>
      <c r="CF1934" s="4">
        <v>325</v>
      </c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>
        <v>325</v>
      </c>
      <c r="GE1934" s="4">
        <v>322</v>
      </c>
      <c r="GF1934" s="4">
        <v>320</v>
      </c>
      <c r="GG1934" s="4">
        <v>316</v>
      </c>
      <c r="GH1934" s="4">
        <v>311</v>
      </c>
      <c r="GI1934" s="4">
        <v>306</v>
      </c>
      <c r="GJ1934" s="4">
        <v>295</v>
      </c>
      <c r="GK1934" s="4">
        <v>285</v>
      </c>
      <c r="GL1934" s="4">
        <v>278</v>
      </c>
      <c r="GM1934" s="4">
        <v>269</v>
      </c>
      <c r="GN1934" s="4">
        <v>262</v>
      </c>
      <c r="GO1934" s="4">
        <v>250</v>
      </c>
      <c r="GP1934" s="4">
        <v>239</v>
      </c>
      <c r="GQ1934" s="4">
        <v>216</v>
      </c>
      <c r="GR1934" s="4">
        <v>202</v>
      </c>
      <c r="GS1934" s="4">
        <v>185</v>
      </c>
      <c r="GT1934" s="4">
        <v>176</v>
      </c>
      <c r="GU1934" s="4">
        <v>172</v>
      </c>
      <c r="GV1934" s="4">
        <v>165</v>
      </c>
      <c r="GW1934" s="4">
        <v>158</v>
      </c>
      <c r="GX1934" s="4">
        <v>151</v>
      </c>
      <c r="GY1934" s="4">
        <v>146</v>
      </c>
      <c r="GZ1934" s="4">
        <v>144</v>
      </c>
      <c r="HA1934" s="4">
        <v>142</v>
      </c>
      <c r="HB1934" s="4">
        <v>139</v>
      </c>
      <c r="HC1934" s="4">
        <v>137</v>
      </c>
      <c r="HD1934" s="19">
        <v>81.3</v>
      </c>
      <c r="HE1934" s="19">
        <v>80.5</v>
      </c>
      <c r="HF1934" s="19">
        <v>53.3</v>
      </c>
      <c r="HG1934" s="19">
        <v>39.5</v>
      </c>
      <c r="HH1934" s="19">
        <v>38.9</v>
      </c>
      <c r="HI1934" s="19">
        <v>34</v>
      </c>
      <c r="HJ1934" s="19">
        <v>36.9</v>
      </c>
      <c r="HK1934" s="19">
        <v>31.7</v>
      </c>
      <c r="HL1934" s="19">
        <v>27.8</v>
      </c>
      <c r="HM1934" s="19">
        <v>20.7</v>
      </c>
      <c r="HN1934" s="19">
        <v>17.5</v>
      </c>
      <c r="HO1934" s="19">
        <v>15.6</v>
      </c>
      <c r="HP1934" s="19">
        <v>14.9</v>
      </c>
      <c r="HQ1934" s="19">
        <v>19.6</v>
      </c>
      <c r="HR1934" s="19">
        <v>22.4</v>
      </c>
      <c r="HS1934" s="19">
        <v>26.4</v>
      </c>
      <c r="HT1934" s="19">
        <v>29.3</v>
      </c>
      <c r="HU1934" s="19">
        <v>28.7</v>
      </c>
      <c r="HV1934" s="19">
        <v>33</v>
      </c>
      <c r="HW1934" s="19">
        <v>39.5</v>
      </c>
      <c r="HX1934" s="19">
        <v>50.3</v>
      </c>
      <c r="HY1934" s="19">
        <v>73</v>
      </c>
      <c r="HZ1934" s="19">
        <v>72</v>
      </c>
      <c r="IA1934" s="19">
        <v>71</v>
      </c>
      <c r="IB1934" s="19">
        <v>69.5</v>
      </c>
      <c r="IC1934" s="19">
        <v>68.5</v>
      </c>
    </row>
    <row r="1935">
      <c r="A1935" s="2" t="s">
        <v>7028</v>
      </c>
      <c r="B1935" s="2" t="s">
        <v>905</v>
      </c>
      <c r="C1935" s="2" t="s">
        <v>1036</v>
      </c>
      <c r="D1935" s="2" t="s">
        <v>1177</v>
      </c>
      <c r="E1935" s="2" t="s">
        <v>2747</v>
      </c>
      <c r="F1935" s="2" t="s">
        <v>7022</v>
      </c>
      <c r="G1935" s="2" t="s">
        <v>7022</v>
      </c>
      <c r="H1935" s="2" t="s">
        <v>7022</v>
      </c>
      <c r="I1935" s="2" t="s">
        <v>2749</v>
      </c>
      <c r="J1935" s="2" t="s">
        <v>270</v>
      </c>
      <c r="K1935" s="2" t="s">
        <v>1196</v>
      </c>
      <c r="L1935" s="3">
        <v>89.7</v>
      </c>
      <c r="M1935" s="3">
        <v>94.18</v>
      </c>
      <c r="N1935" s="3">
        <v>184.99</v>
      </c>
      <c r="O1935" s="2" t="s">
        <v>407</v>
      </c>
      <c r="P1935" s="2" t="s">
        <v>408</v>
      </c>
      <c r="Q1935" s="2" t="s">
        <v>234</v>
      </c>
      <c r="R1935" s="2" t="s">
        <v>235</v>
      </c>
      <c r="S1935" s="2" t="s">
        <v>7026</v>
      </c>
      <c r="T1935" s="2" t="s">
        <v>1081</v>
      </c>
      <c r="U1935" s="2" t="s">
        <v>807</v>
      </c>
      <c r="V1935" s="2" t="s">
        <v>238</v>
      </c>
      <c r="W1935" s="2" t="s">
        <v>239</v>
      </c>
      <c r="X1935" s="2" t="s">
        <v>1798</v>
      </c>
      <c r="Y1935" s="2" t="s">
        <v>2756</v>
      </c>
      <c r="Z1935" s="4">
        <v>105</v>
      </c>
      <c r="AA1935" s="4">
        <f>=ROUNDDOWN(35,0)</f>
      </c>
      <c r="AB1935" s="5">
        <v>3</v>
      </c>
      <c r="AC1935" s="2" t="s">
        <v>235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235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235</v>
      </c>
      <c r="AW1935" s="8" t="s">
        <v>235</v>
      </c>
      <c r="AX1935" s="4" t="s">
        <v>235</v>
      </c>
      <c r="AY1935" s="8" t="s">
        <v>235</v>
      </c>
      <c r="AZ1935" s="7" t="s">
        <v>235</v>
      </c>
      <c r="BA1935" s="7" t="s">
        <v>235</v>
      </c>
      <c r="BB1935" s="7"/>
      <c r="BC1935" s="4" t="s">
        <v>235</v>
      </c>
      <c r="BD1935" s="8" t="s">
        <v>235</v>
      </c>
      <c r="BE1935" s="4" t="s">
        <v>235</v>
      </c>
      <c r="BF1935" s="8" t="s">
        <v>235</v>
      </c>
      <c r="BG1935" s="7" t="s">
        <v>235</v>
      </c>
      <c r="BH1935" s="7" t="s">
        <v>235</v>
      </c>
      <c r="BI1935" s="7"/>
      <c r="BJ1935" s="4">
        <v>5</v>
      </c>
      <c r="BK1935" s="8">
        <v>500.81</v>
      </c>
      <c r="BL1935" s="2" t="s">
        <v>412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7024</v>
      </c>
      <c r="BV1935" s="2" t="s">
        <v>243</v>
      </c>
      <c r="BW1935" s="2" t="s">
        <v>235</v>
      </c>
      <c r="BX1935" s="2" t="s">
        <v>244</v>
      </c>
      <c r="BY1935" s="2" t="s">
        <v>245</v>
      </c>
      <c r="BZ1935" s="2" t="s">
        <v>232</v>
      </c>
      <c r="CA1935" s="2" t="s">
        <v>475</v>
      </c>
      <c r="CB1935" s="2" t="s">
        <v>7029</v>
      </c>
      <c r="CC1935" s="2" t="s">
        <v>248</v>
      </c>
      <c r="CD1935" s="2" t="s">
        <v>248</v>
      </c>
      <c r="CE1935" s="2" t="s">
        <v>235</v>
      </c>
      <c r="CF1935" s="4">
        <v>105</v>
      </c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>
        <v>105</v>
      </c>
      <c r="GE1935" s="4">
        <v>104</v>
      </c>
      <c r="GF1935" s="4">
        <v>103</v>
      </c>
      <c r="GG1935" s="4">
        <v>100</v>
      </c>
      <c r="GH1935" s="4">
        <v>98</v>
      </c>
      <c r="GI1935" s="4">
        <v>94</v>
      </c>
      <c r="GJ1935" s="4">
        <v>86</v>
      </c>
      <c r="GK1935" s="4">
        <v>81</v>
      </c>
      <c r="GL1935" s="4">
        <v>76</v>
      </c>
      <c r="GM1935" s="4">
        <v>71</v>
      </c>
      <c r="GN1935" s="4">
        <v>66</v>
      </c>
      <c r="GO1935" s="4">
        <v>59</v>
      </c>
      <c r="GP1935" s="4">
        <v>52</v>
      </c>
      <c r="GQ1935" s="4">
        <v>38</v>
      </c>
      <c r="GR1935" s="4">
        <v>29</v>
      </c>
      <c r="GS1935" s="4">
        <v>19</v>
      </c>
      <c r="GT1935" s="4">
        <v>13</v>
      </c>
      <c r="GU1935" s="4">
        <v>10</v>
      </c>
      <c r="GV1935" s="4">
        <v>8</v>
      </c>
      <c r="GW1935" s="4">
        <v>5</v>
      </c>
      <c r="GX1935" s="4">
        <v>2</v>
      </c>
      <c r="GY1935" s="4"/>
      <c r="GZ1935" s="4"/>
      <c r="HA1935" s="4"/>
      <c r="HB1935" s="4"/>
      <c r="HC1935" s="4"/>
      <c r="HD1935" s="19">
        <v>52.5</v>
      </c>
      <c r="HE1935" s="19">
        <v>52</v>
      </c>
      <c r="HF1935" s="19">
        <v>25.8</v>
      </c>
      <c r="HG1935" s="19">
        <v>20</v>
      </c>
      <c r="HH1935" s="19">
        <v>16.3</v>
      </c>
      <c r="HI1935" s="19">
        <v>15.7</v>
      </c>
      <c r="HJ1935" s="19">
        <v>17.2</v>
      </c>
      <c r="HK1935" s="19">
        <v>13.5</v>
      </c>
      <c r="HL1935" s="19">
        <v>12.7</v>
      </c>
      <c r="HM1935" s="19">
        <v>8.9</v>
      </c>
      <c r="HN1935" s="19">
        <v>7.3</v>
      </c>
      <c r="HO1935" s="19">
        <v>5.9</v>
      </c>
      <c r="HP1935" s="19">
        <v>5.2</v>
      </c>
      <c r="HQ1935" s="19">
        <v>5.4</v>
      </c>
      <c r="HR1935" s="19">
        <v>5.8</v>
      </c>
      <c r="HS1935" s="19">
        <v>4.8</v>
      </c>
      <c r="HT1935" s="19">
        <v>4.3</v>
      </c>
      <c r="HU1935" s="19">
        <v>5</v>
      </c>
      <c r="HV1935" s="19">
        <v>4</v>
      </c>
      <c r="HW1935" s="19">
        <v>2.5</v>
      </c>
      <c r="HX1935" s="19">
        <v>1</v>
      </c>
      <c r="HY1935" s="20">
        <v>0</v>
      </c>
      <c r="HZ1935" s="20">
        <v>0</v>
      </c>
      <c r="IA1935" s="20">
        <v>0</v>
      </c>
      <c r="IB1935" s="20">
        <v>0</v>
      </c>
      <c r="IC1935" s="9"/>
    </row>
    <row r="1936">
      <c r="A1936" s="2" t="s">
        <v>7030</v>
      </c>
      <c r="B1936" s="2" t="s">
        <v>905</v>
      </c>
      <c r="C1936" s="2" t="s">
        <v>1036</v>
      </c>
      <c r="D1936" s="2" t="s">
        <v>1177</v>
      </c>
      <c r="E1936" s="2" t="s">
        <v>2747</v>
      </c>
      <c r="F1936" s="2" t="s">
        <v>7022</v>
      </c>
      <c r="G1936" s="2" t="s">
        <v>7022</v>
      </c>
      <c r="H1936" s="2" t="s">
        <v>7022</v>
      </c>
      <c r="I1936" s="2" t="s">
        <v>2749</v>
      </c>
      <c r="J1936" s="2" t="s">
        <v>250</v>
      </c>
      <c r="K1936" s="2" t="s">
        <v>292</v>
      </c>
      <c r="L1936" s="3">
        <v>56.89</v>
      </c>
      <c r="M1936" s="3">
        <v>59.73</v>
      </c>
      <c r="N1936" s="3">
        <v>124.99</v>
      </c>
      <c r="O1936" s="2" t="s">
        <v>232</v>
      </c>
      <c r="P1936" s="2" t="s">
        <v>233</v>
      </c>
      <c r="Q1936" s="2" t="s">
        <v>234</v>
      </c>
      <c r="R1936" s="2" t="s">
        <v>235</v>
      </c>
      <c r="S1936" s="2" t="s">
        <v>7031</v>
      </c>
      <c r="T1936" s="2" t="s">
        <v>1081</v>
      </c>
      <c r="U1936" s="2" t="s">
        <v>807</v>
      </c>
      <c r="V1936" s="2" t="s">
        <v>238</v>
      </c>
      <c r="W1936" s="2" t="s">
        <v>239</v>
      </c>
      <c r="X1936" s="2" t="s">
        <v>1798</v>
      </c>
      <c r="Y1936" s="2" t="s">
        <v>2756</v>
      </c>
      <c r="Z1936" s="4">
        <v>167</v>
      </c>
      <c r="AA1936" s="4">
        <f>=ROUNDDOWN(167,0)</f>
      </c>
      <c r="AB1936" s="5">
        <v>1</v>
      </c>
      <c r="AC1936" s="2" t="s">
        <v>235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235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235</v>
      </c>
      <c r="AW1936" s="8" t="s">
        <v>235</v>
      </c>
      <c r="AX1936" s="4" t="s">
        <v>235</v>
      </c>
      <c r="AY1936" s="8" t="s">
        <v>235</v>
      </c>
      <c r="AZ1936" s="7" t="s">
        <v>235</v>
      </c>
      <c r="BA1936" s="7" t="s">
        <v>235</v>
      </c>
      <c r="BB1936" s="7"/>
      <c r="BC1936" s="4" t="s">
        <v>235</v>
      </c>
      <c r="BD1936" s="8" t="s">
        <v>235</v>
      </c>
      <c r="BE1936" s="4" t="s">
        <v>235</v>
      </c>
      <c r="BF1936" s="8" t="s">
        <v>235</v>
      </c>
      <c r="BG1936" s="7" t="s">
        <v>235</v>
      </c>
      <c r="BH1936" s="7" t="s">
        <v>235</v>
      </c>
      <c r="BI1936" s="7"/>
      <c r="BJ1936" s="4"/>
      <c r="BK1936" s="8"/>
      <c r="BL1936" s="2" t="s">
        <v>517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7024</v>
      </c>
      <c r="BV1936" s="2" t="s">
        <v>243</v>
      </c>
      <c r="BW1936" s="2" t="s">
        <v>235</v>
      </c>
      <c r="BX1936" s="2" t="s">
        <v>244</v>
      </c>
      <c r="BY1936" s="2" t="s">
        <v>245</v>
      </c>
      <c r="BZ1936" s="2" t="s">
        <v>232</v>
      </c>
      <c r="CA1936" s="2" t="s">
        <v>475</v>
      </c>
      <c r="CB1936" s="2" t="s">
        <v>3481</v>
      </c>
      <c r="CC1936" s="2" t="s">
        <v>248</v>
      </c>
      <c r="CD1936" s="2" t="s">
        <v>248</v>
      </c>
      <c r="CE1936" s="2" t="s">
        <v>235</v>
      </c>
      <c r="CF1936" s="4">
        <v>106</v>
      </c>
      <c r="CG1936" s="4">
        <v>61</v>
      </c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>
        <v>183</v>
      </c>
      <c r="GE1936" s="4">
        <v>178</v>
      </c>
      <c r="GF1936" s="4">
        <v>177</v>
      </c>
      <c r="GG1936" s="4">
        <v>176</v>
      </c>
      <c r="GH1936" s="4">
        <v>175</v>
      </c>
      <c r="GI1936" s="4">
        <v>170</v>
      </c>
      <c r="GJ1936" s="4">
        <v>151</v>
      </c>
      <c r="GK1936" s="4">
        <v>133</v>
      </c>
      <c r="GL1936" s="4">
        <v>125</v>
      </c>
      <c r="GM1936" s="4">
        <v>109</v>
      </c>
      <c r="GN1936" s="4">
        <v>96</v>
      </c>
      <c r="GO1936" s="4">
        <v>75</v>
      </c>
      <c r="GP1936" s="4">
        <v>55</v>
      </c>
      <c r="GQ1936" s="4">
        <v>16</v>
      </c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>
        <v>300</v>
      </c>
      <c r="HD1936" s="19">
        <v>91.5</v>
      </c>
      <c r="HE1936" s="19">
        <v>89</v>
      </c>
      <c r="HF1936" s="19">
        <v>29.5</v>
      </c>
      <c r="HG1936" s="19">
        <v>16</v>
      </c>
      <c r="HH1936" s="19">
        <v>14.6</v>
      </c>
      <c r="HI1936" s="19">
        <v>11.3</v>
      </c>
      <c r="HJ1936" s="19">
        <v>10.8</v>
      </c>
      <c r="HK1936" s="19">
        <v>9.5</v>
      </c>
      <c r="HL1936" s="19">
        <v>6.9</v>
      </c>
      <c r="HM1936" s="19">
        <v>4.7</v>
      </c>
      <c r="HN1936" s="19">
        <v>3.7</v>
      </c>
      <c r="HO1936" s="19">
        <v>2.7</v>
      </c>
      <c r="HP1936" s="19">
        <v>2.1</v>
      </c>
      <c r="HQ1936" s="19">
        <v>0.9</v>
      </c>
      <c r="HR1936" s="20">
        <v>0</v>
      </c>
      <c r="HS1936" s="20">
        <v>0</v>
      </c>
      <c r="HT1936" s="20">
        <v>0</v>
      </c>
      <c r="HU1936" s="20">
        <v>0</v>
      </c>
      <c r="HV1936" s="20">
        <v>0</v>
      </c>
      <c r="HW1936" s="20">
        <v>0</v>
      </c>
      <c r="HX1936" s="20">
        <v>0</v>
      </c>
      <c r="HY1936" s="20">
        <v>0</v>
      </c>
      <c r="HZ1936" s="9"/>
      <c r="IA1936" s="9"/>
      <c r="IB1936" s="9"/>
      <c r="IC1936" s="9"/>
    </row>
    <row r="1937">
      <c r="A1937" s="2" t="s">
        <v>7032</v>
      </c>
      <c r="B1937" s="2" t="s">
        <v>905</v>
      </c>
      <c r="C1937" s="2" t="s">
        <v>1036</v>
      </c>
      <c r="D1937" s="2" t="s">
        <v>1177</v>
      </c>
      <c r="E1937" s="2" t="s">
        <v>2747</v>
      </c>
      <c r="F1937" s="2" t="s">
        <v>7022</v>
      </c>
      <c r="G1937" s="2" t="s">
        <v>7022</v>
      </c>
      <c r="H1937" s="2" t="s">
        <v>7022</v>
      </c>
      <c r="I1937" s="2" t="s">
        <v>2749</v>
      </c>
      <c r="J1937" s="2" t="s">
        <v>261</v>
      </c>
      <c r="K1937" s="2" t="s">
        <v>292</v>
      </c>
      <c r="L1937" s="3">
        <v>79.06</v>
      </c>
      <c r="M1937" s="3">
        <v>83.01</v>
      </c>
      <c r="N1937" s="3">
        <v>169.99</v>
      </c>
      <c r="O1937" s="2" t="s">
        <v>232</v>
      </c>
      <c r="P1937" s="2" t="s">
        <v>233</v>
      </c>
      <c r="Q1937" s="2" t="s">
        <v>234</v>
      </c>
      <c r="R1937" s="2" t="s">
        <v>235</v>
      </c>
      <c r="S1937" s="2" t="s">
        <v>7031</v>
      </c>
      <c r="T1937" s="2" t="s">
        <v>1081</v>
      </c>
      <c r="U1937" s="2" t="s">
        <v>807</v>
      </c>
      <c r="V1937" s="2" t="s">
        <v>238</v>
      </c>
      <c r="W1937" s="2" t="s">
        <v>239</v>
      </c>
      <c r="X1937" s="2" t="s">
        <v>1798</v>
      </c>
      <c r="Y1937" s="2" t="s">
        <v>1936</v>
      </c>
      <c r="Z1937" s="4">
        <v>55</v>
      </c>
      <c r="AA1937" s="4">
        <f>=ROUNDDOWN(27.5,0)</f>
      </c>
      <c r="AB1937" s="5">
        <v>2</v>
      </c>
      <c r="AC1937" s="2" t="s">
        <v>883</v>
      </c>
      <c r="AD1937" s="4">
        <v>200</v>
      </c>
      <c r="AE1937" s="4">
        <v>200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235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235</v>
      </c>
      <c r="AW1937" s="8" t="s">
        <v>235</v>
      </c>
      <c r="AX1937" s="4" t="s">
        <v>235</v>
      </c>
      <c r="AY1937" s="8" t="s">
        <v>235</v>
      </c>
      <c r="AZ1937" s="7" t="s">
        <v>235</v>
      </c>
      <c r="BA1937" s="7" t="s">
        <v>235</v>
      </c>
      <c r="BB1937" s="7"/>
      <c r="BC1937" s="4" t="s">
        <v>235</v>
      </c>
      <c r="BD1937" s="8" t="s">
        <v>235</v>
      </c>
      <c r="BE1937" s="4" t="s">
        <v>235</v>
      </c>
      <c r="BF1937" s="8" t="s">
        <v>235</v>
      </c>
      <c r="BG1937" s="7" t="s">
        <v>235</v>
      </c>
      <c r="BH1937" s="7" t="s">
        <v>235</v>
      </c>
      <c r="BI1937" s="7"/>
      <c r="BJ1937" s="4">
        <v>1</v>
      </c>
      <c r="BK1937" s="8">
        <v>89.71</v>
      </c>
      <c r="BL1937" s="2" t="s">
        <v>4328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7024</v>
      </c>
      <c r="BV1937" s="2" t="s">
        <v>243</v>
      </c>
      <c r="BW1937" s="2" t="s">
        <v>235</v>
      </c>
      <c r="BX1937" s="2" t="s">
        <v>244</v>
      </c>
      <c r="BY1937" s="2" t="s">
        <v>245</v>
      </c>
      <c r="BZ1937" s="2" t="s">
        <v>232</v>
      </c>
      <c r="CA1937" s="2" t="s">
        <v>475</v>
      </c>
      <c r="CB1937" s="2" t="s">
        <v>6139</v>
      </c>
      <c r="CC1937" s="2" t="s">
        <v>248</v>
      </c>
      <c r="CD1937" s="2" t="s">
        <v>248</v>
      </c>
      <c r="CE1937" s="2" t="s">
        <v>235</v>
      </c>
      <c r="CF1937" s="4">
        <v>25</v>
      </c>
      <c r="CG1937" s="4">
        <v>30</v>
      </c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>
        <v>200</v>
      </c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>
        <v>87</v>
      </c>
      <c r="GE1937" s="4">
        <v>287</v>
      </c>
      <c r="GF1937" s="4">
        <v>286</v>
      </c>
      <c r="GG1937" s="4">
        <v>284</v>
      </c>
      <c r="GH1937" s="4">
        <v>282</v>
      </c>
      <c r="GI1937" s="4">
        <v>276</v>
      </c>
      <c r="GJ1937" s="4">
        <v>264</v>
      </c>
      <c r="GK1937" s="4">
        <v>252</v>
      </c>
      <c r="GL1937" s="4">
        <v>244</v>
      </c>
      <c r="GM1937" s="4">
        <v>234</v>
      </c>
      <c r="GN1937" s="4">
        <v>226</v>
      </c>
      <c r="GO1937" s="4">
        <v>213</v>
      </c>
      <c r="GP1937" s="4">
        <v>201</v>
      </c>
      <c r="GQ1937" s="4">
        <v>175</v>
      </c>
      <c r="GR1937" s="4">
        <v>160</v>
      </c>
      <c r="GS1937" s="4">
        <v>141</v>
      </c>
      <c r="GT1937" s="4">
        <v>131</v>
      </c>
      <c r="GU1937" s="4">
        <v>127</v>
      </c>
      <c r="GV1937" s="4">
        <v>120</v>
      </c>
      <c r="GW1937" s="4">
        <v>112</v>
      </c>
      <c r="GX1937" s="4">
        <v>104</v>
      </c>
      <c r="GY1937" s="4">
        <v>98</v>
      </c>
      <c r="GZ1937" s="4">
        <v>98</v>
      </c>
      <c r="HA1937" s="4">
        <v>98</v>
      </c>
      <c r="HB1937" s="4">
        <v>97</v>
      </c>
      <c r="HC1937" s="4">
        <v>307</v>
      </c>
      <c r="HD1937" s="19">
        <v>87</v>
      </c>
      <c r="HE1937" s="19">
        <v>95.7</v>
      </c>
      <c r="HF1937" s="19">
        <v>47.7</v>
      </c>
      <c r="HG1937" s="19">
        <v>35.5</v>
      </c>
      <c r="HH1937" s="19">
        <v>28.2</v>
      </c>
      <c r="HI1937" s="19">
        <v>27.6</v>
      </c>
      <c r="HJ1937" s="19">
        <v>26.4</v>
      </c>
      <c r="HK1937" s="19">
        <v>25.2</v>
      </c>
      <c r="HL1937" s="19">
        <v>22.2</v>
      </c>
      <c r="HM1937" s="19">
        <v>15.6</v>
      </c>
      <c r="HN1937" s="19">
        <v>14.1</v>
      </c>
      <c r="HO1937" s="19">
        <v>11.8</v>
      </c>
      <c r="HP1937" s="19">
        <v>11.2</v>
      </c>
      <c r="HQ1937" s="19">
        <v>14.6</v>
      </c>
      <c r="HR1937" s="19">
        <v>16</v>
      </c>
      <c r="HS1937" s="19">
        <v>20.1</v>
      </c>
      <c r="HT1937" s="19">
        <v>18.7</v>
      </c>
      <c r="HU1937" s="19">
        <v>18.1</v>
      </c>
      <c r="HV1937" s="19">
        <v>20</v>
      </c>
      <c r="HW1937" s="19">
        <v>28</v>
      </c>
      <c r="HX1937" s="19">
        <v>52</v>
      </c>
      <c r="HY1937" s="9"/>
      <c r="HZ1937" s="9"/>
      <c r="IA1937" s="20">
        <v>0</v>
      </c>
      <c r="IB1937" s="9"/>
      <c r="IC1937" s="9"/>
    </row>
    <row r="1938">
      <c r="A1938" s="2" t="s">
        <v>7033</v>
      </c>
      <c r="B1938" s="2" t="s">
        <v>905</v>
      </c>
      <c r="C1938" s="2" t="s">
        <v>1036</v>
      </c>
      <c r="D1938" s="2" t="s">
        <v>1177</v>
      </c>
      <c r="E1938" s="2" t="s">
        <v>2747</v>
      </c>
      <c r="F1938" s="2" t="s">
        <v>7022</v>
      </c>
      <c r="G1938" s="2" t="s">
        <v>7022</v>
      </c>
      <c r="H1938" s="2" t="s">
        <v>7022</v>
      </c>
      <c r="I1938" s="2" t="s">
        <v>2749</v>
      </c>
      <c r="J1938" s="2" t="s">
        <v>270</v>
      </c>
      <c r="K1938" s="2" t="s">
        <v>292</v>
      </c>
      <c r="L1938" s="3">
        <v>89.7</v>
      </c>
      <c r="M1938" s="3">
        <v>94.18</v>
      </c>
      <c r="N1938" s="3">
        <v>184.99</v>
      </c>
      <c r="O1938" s="2" t="s">
        <v>232</v>
      </c>
      <c r="P1938" s="2" t="s">
        <v>233</v>
      </c>
      <c r="Q1938" s="2" t="s">
        <v>234</v>
      </c>
      <c r="R1938" s="2" t="s">
        <v>235</v>
      </c>
      <c r="S1938" s="2" t="s">
        <v>7031</v>
      </c>
      <c r="T1938" s="2" t="s">
        <v>1081</v>
      </c>
      <c r="U1938" s="2" t="s">
        <v>807</v>
      </c>
      <c r="V1938" s="2" t="s">
        <v>238</v>
      </c>
      <c r="W1938" s="2" t="s">
        <v>239</v>
      </c>
      <c r="X1938" s="2" t="s">
        <v>1798</v>
      </c>
      <c r="Y1938" s="2" t="s">
        <v>2756</v>
      </c>
      <c r="Z1938" s="4">
        <v>358</v>
      </c>
      <c r="AA1938" s="4">
        <f>=ROUNDDOWN(358,0)</f>
      </c>
      <c r="AB1938" s="5">
        <v>1</v>
      </c>
      <c r="AC1938" s="2" t="s">
        <v>235</v>
      </c>
      <c r="AD1938" s="4"/>
      <c r="AE1938" s="4"/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235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235</v>
      </c>
      <c r="AW1938" s="8" t="s">
        <v>235</v>
      </c>
      <c r="AX1938" s="4" t="s">
        <v>235</v>
      </c>
      <c r="AY1938" s="8" t="s">
        <v>235</v>
      </c>
      <c r="AZ1938" s="7" t="s">
        <v>235</v>
      </c>
      <c r="BA1938" s="7" t="s">
        <v>235</v>
      </c>
      <c r="BB1938" s="7"/>
      <c r="BC1938" s="4" t="s">
        <v>235</v>
      </c>
      <c r="BD1938" s="8" t="s">
        <v>235</v>
      </c>
      <c r="BE1938" s="4" t="s">
        <v>235</v>
      </c>
      <c r="BF1938" s="8" t="s">
        <v>235</v>
      </c>
      <c r="BG1938" s="7" t="s">
        <v>235</v>
      </c>
      <c r="BH1938" s="7" t="s">
        <v>235</v>
      </c>
      <c r="BI1938" s="7"/>
      <c r="BJ1938" s="4"/>
      <c r="BK1938" s="8"/>
      <c r="BL1938" s="2" t="s">
        <v>4328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7024</v>
      </c>
      <c r="BV1938" s="2" t="s">
        <v>243</v>
      </c>
      <c r="BW1938" s="2" t="s">
        <v>235</v>
      </c>
      <c r="BX1938" s="2" t="s">
        <v>244</v>
      </c>
      <c r="BY1938" s="2" t="s">
        <v>245</v>
      </c>
      <c r="BZ1938" s="2" t="s">
        <v>232</v>
      </c>
      <c r="CA1938" s="2" t="s">
        <v>475</v>
      </c>
      <c r="CB1938" s="2" t="s">
        <v>1359</v>
      </c>
      <c r="CC1938" s="2" t="s">
        <v>248</v>
      </c>
      <c r="CD1938" s="2" t="s">
        <v>248</v>
      </c>
      <c r="CE1938" s="2" t="s">
        <v>235</v>
      </c>
      <c r="CF1938" s="4">
        <v>304</v>
      </c>
      <c r="CG1938" s="4">
        <v>54</v>
      </c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>
        <v>359</v>
      </c>
      <c r="GE1938" s="4">
        <v>354</v>
      </c>
      <c r="GF1938" s="4">
        <v>353</v>
      </c>
      <c r="GG1938" s="4">
        <v>352</v>
      </c>
      <c r="GH1938" s="4">
        <v>351</v>
      </c>
      <c r="GI1938" s="4">
        <v>342</v>
      </c>
      <c r="GJ1938" s="4">
        <v>325</v>
      </c>
      <c r="GK1938" s="4">
        <v>312</v>
      </c>
      <c r="GL1938" s="4">
        <v>302</v>
      </c>
      <c r="GM1938" s="4">
        <v>290</v>
      </c>
      <c r="GN1938" s="4">
        <v>279</v>
      </c>
      <c r="GO1938" s="4">
        <v>261</v>
      </c>
      <c r="GP1938" s="4">
        <v>245</v>
      </c>
      <c r="GQ1938" s="4">
        <v>209</v>
      </c>
      <c r="GR1938" s="4">
        <v>187</v>
      </c>
      <c r="GS1938" s="4">
        <v>161</v>
      </c>
      <c r="GT1938" s="4">
        <v>147</v>
      </c>
      <c r="GU1938" s="4">
        <v>142</v>
      </c>
      <c r="GV1938" s="4">
        <v>135</v>
      </c>
      <c r="GW1938" s="4">
        <v>127</v>
      </c>
      <c r="GX1938" s="4">
        <v>118</v>
      </c>
      <c r="GY1938" s="4">
        <v>111</v>
      </c>
      <c r="GZ1938" s="4">
        <v>111</v>
      </c>
      <c r="HA1938" s="4">
        <v>111</v>
      </c>
      <c r="HB1938" s="4">
        <v>111</v>
      </c>
      <c r="HC1938" s="4">
        <v>411</v>
      </c>
      <c r="HD1938" s="19">
        <v>179.5</v>
      </c>
      <c r="HE1938" s="19">
        <v>118</v>
      </c>
      <c r="HF1938" s="19">
        <v>50.4</v>
      </c>
      <c r="HG1938" s="19">
        <v>35.2</v>
      </c>
      <c r="HH1938" s="19">
        <v>29.3</v>
      </c>
      <c r="HI1938" s="19">
        <v>26.3</v>
      </c>
      <c r="HJ1938" s="19">
        <v>27.1</v>
      </c>
      <c r="HK1938" s="19">
        <v>24</v>
      </c>
      <c r="HL1938" s="19">
        <v>21.6</v>
      </c>
      <c r="HM1938" s="19">
        <v>14.5</v>
      </c>
      <c r="HN1938" s="19">
        <v>12.1</v>
      </c>
      <c r="HO1938" s="19">
        <v>10.4</v>
      </c>
      <c r="HP1938" s="19">
        <v>10.2</v>
      </c>
      <c r="HQ1938" s="19">
        <v>12.3</v>
      </c>
      <c r="HR1938" s="19">
        <v>14.4</v>
      </c>
      <c r="HS1938" s="19">
        <v>20.1</v>
      </c>
      <c r="HT1938" s="19">
        <v>21</v>
      </c>
      <c r="HU1938" s="19">
        <v>17.8</v>
      </c>
      <c r="HV1938" s="19">
        <v>22.5</v>
      </c>
      <c r="HW1938" s="19">
        <v>31.8</v>
      </c>
      <c r="HX1938" s="19">
        <v>59</v>
      </c>
      <c r="HY1938" s="9"/>
      <c r="HZ1938" s="9"/>
      <c r="IA1938" s="9"/>
      <c r="IB1938" s="9"/>
      <c r="IC1938" s="9"/>
    </row>
    <row r="1939">
      <c r="A1939" s="2" t="s">
        <v>7034</v>
      </c>
      <c r="B1939" s="2" t="s">
        <v>905</v>
      </c>
      <c r="C1939" s="2" t="s">
        <v>1036</v>
      </c>
      <c r="D1939" s="2" t="s">
        <v>1177</v>
      </c>
      <c r="E1939" s="2" t="s">
        <v>2747</v>
      </c>
      <c r="F1939" s="2" t="s">
        <v>7022</v>
      </c>
      <c r="G1939" s="2" t="s">
        <v>7022</v>
      </c>
      <c r="H1939" s="2" t="s">
        <v>7022</v>
      </c>
      <c r="I1939" s="2" t="s">
        <v>2749</v>
      </c>
      <c r="J1939" s="2" t="s">
        <v>394</v>
      </c>
      <c r="K1939" s="2" t="s">
        <v>295</v>
      </c>
      <c r="L1939" s="3">
        <v>51.53</v>
      </c>
      <c r="M1939" s="3">
        <v>54.11</v>
      </c>
      <c r="N1939" s="3">
        <v>104.99</v>
      </c>
      <c r="O1939" s="2" t="s">
        <v>232</v>
      </c>
      <c r="P1939" s="2" t="s">
        <v>233</v>
      </c>
      <c r="Q1939" s="2" t="s">
        <v>234</v>
      </c>
      <c r="R1939" s="2" t="s">
        <v>235</v>
      </c>
      <c r="S1939" s="2" t="s">
        <v>7035</v>
      </c>
      <c r="T1939" s="2" t="s">
        <v>1081</v>
      </c>
      <c r="U1939" s="2" t="s">
        <v>807</v>
      </c>
      <c r="V1939" s="2" t="s">
        <v>238</v>
      </c>
      <c r="W1939" s="2" t="s">
        <v>239</v>
      </c>
      <c r="X1939" s="2" t="s">
        <v>1798</v>
      </c>
      <c r="Y1939" s="2" t="s">
        <v>2756</v>
      </c>
      <c r="Z1939" s="4">
        <v>325</v>
      </c>
      <c r="AA1939" s="4">
        <f>=ROUNDDOWN(147.727272727273,0)</f>
      </c>
      <c r="AB1939" s="5">
        <v>2.2</v>
      </c>
      <c r="AC1939" s="2" t="s">
        <v>235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235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235</v>
      </c>
      <c r="AW1939" s="8" t="s">
        <v>235</v>
      </c>
      <c r="AX1939" s="4" t="s">
        <v>235</v>
      </c>
      <c r="AY1939" s="8" t="s">
        <v>235</v>
      </c>
      <c r="AZ1939" s="7" t="s">
        <v>235</v>
      </c>
      <c r="BA1939" s="7" t="s">
        <v>235</v>
      </c>
      <c r="BB1939" s="7"/>
      <c r="BC1939" s="4" t="s">
        <v>235</v>
      </c>
      <c r="BD1939" s="8" t="s">
        <v>235</v>
      </c>
      <c r="BE1939" s="4" t="s">
        <v>235</v>
      </c>
      <c r="BF1939" s="8" t="s">
        <v>235</v>
      </c>
      <c r="BG1939" s="7" t="s">
        <v>235</v>
      </c>
      <c r="BH1939" s="7" t="s">
        <v>235</v>
      </c>
      <c r="BI1939" s="7"/>
      <c r="BJ1939" s="4">
        <v>3</v>
      </c>
      <c r="BK1939" s="8">
        <v>173.08</v>
      </c>
      <c r="BL1939" s="2" t="s">
        <v>7036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7024</v>
      </c>
      <c r="BV1939" s="2" t="s">
        <v>243</v>
      </c>
      <c r="BW1939" s="2" t="s">
        <v>235</v>
      </c>
      <c r="BX1939" s="2" t="s">
        <v>244</v>
      </c>
      <c r="BY1939" s="2" t="s">
        <v>245</v>
      </c>
      <c r="BZ1939" s="2" t="s">
        <v>232</v>
      </c>
      <c r="CA1939" s="2" t="s">
        <v>475</v>
      </c>
      <c r="CB1939" s="2" t="s">
        <v>2584</v>
      </c>
      <c r="CC1939" s="2" t="s">
        <v>248</v>
      </c>
      <c r="CD1939" s="2" t="s">
        <v>248</v>
      </c>
      <c r="CE1939" s="2" t="s">
        <v>235</v>
      </c>
      <c r="CF1939" s="4">
        <v>325</v>
      </c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>
        <v>326</v>
      </c>
      <c r="GE1939" s="4">
        <v>321</v>
      </c>
      <c r="GF1939" s="4">
        <v>320</v>
      </c>
      <c r="GG1939" s="4">
        <v>319</v>
      </c>
      <c r="GH1939" s="4">
        <v>317</v>
      </c>
      <c r="GI1939" s="4">
        <v>314</v>
      </c>
      <c r="GJ1939" s="4">
        <v>308</v>
      </c>
      <c r="GK1939" s="4">
        <v>301</v>
      </c>
      <c r="GL1939" s="4">
        <v>296</v>
      </c>
      <c r="GM1939" s="4">
        <v>289</v>
      </c>
      <c r="GN1939" s="4">
        <v>283</v>
      </c>
      <c r="GO1939" s="4">
        <v>274</v>
      </c>
      <c r="GP1939" s="4">
        <v>265</v>
      </c>
      <c r="GQ1939" s="4">
        <v>248</v>
      </c>
      <c r="GR1939" s="4">
        <v>237</v>
      </c>
      <c r="GS1939" s="4">
        <v>224</v>
      </c>
      <c r="GT1939" s="4">
        <v>218</v>
      </c>
      <c r="GU1939" s="4">
        <v>216</v>
      </c>
      <c r="GV1939" s="4">
        <v>211</v>
      </c>
      <c r="GW1939" s="4">
        <v>206</v>
      </c>
      <c r="GX1939" s="4">
        <v>201</v>
      </c>
      <c r="GY1939" s="4">
        <v>197</v>
      </c>
      <c r="GZ1939" s="4">
        <v>196</v>
      </c>
      <c r="HA1939" s="4">
        <v>195</v>
      </c>
      <c r="HB1939" s="4">
        <v>194</v>
      </c>
      <c r="HC1939" s="4">
        <v>193</v>
      </c>
      <c r="HD1939" s="19">
        <v>163</v>
      </c>
      <c r="HE1939" s="19">
        <v>160.5</v>
      </c>
      <c r="HF1939" s="19">
        <v>106.7</v>
      </c>
      <c r="HG1939" s="19">
        <v>79.8</v>
      </c>
      <c r="HH1939" s="19">
        <v>63.4</v>
      </c>
      <c r="HI1939" s="19">
        <v>52.3</v>
      </c>
      <c r="HJ1939" s="19">
        <v>51.3</v>
      </c>
      <c r="HK1939" s="19">
        <v>43</v>
      </c>
      <c r="HL1939" s="19">
        <v>37</v>
      </c>
      <c r="HM1939" s="19">
        <v>28.9</v>
      </c>
      <c r="HN1939" s="19">
        <v>23.6</v>
      </c>
      <c r="HO1939" s="19">
        <v>22.8</v>
      </c>
      <c r="HP1939" s="19">
        <v>22.1</v>
      </c>
      <c r="HQ1939" s="19">
        <v>31</v>
      </c>
      <c r="HR1939" s="19">
        <v>39.5</v>
      </c>
      <c r="HS1939" s="19">
        <v>56</v>
      </c>
      <c r="HT1939" s="19">
        <v>54.5</v>
      </c>
      <c r="HU1939" s="19">
        <v>43.2</v>
      </c>
      <c r="HV1939" s="19">
        <v>52.8</v>
      </c>
      <c r="HW1939" s="19">
        <v>68.7</v>
      </c>
      <c r="HX1939" s="19">
        <v>100.5</v>
      </c>
      <c r="HY1939" s="19">
        <v>197</v>
      </c>
      <c r="HZ1939" s="19">
        <v>196</v>
      </c>
      <c r="IA1939" s="19">
        <v>195</v>
      </c>
      <c r="IB1939" s="19">
        <v>194</v>
      </c>
      <c r="IC1939" s="19">
        <v>193</v>
      </c>
    </row>
    <row r="1940">
      <c r="A1940" s="2" t="s">
        <v>7037</v>
      </c>
      <c r="B1940" s="2" t="s">
        <v>905</v>
      </c>
      <c r="C1940" s="2" t="s">
        <v>1036</v>
      </c>
      <c r="D1940" s="2" t="s">
        <v>1177</v>
      </c>
      <c r="E1940" s="2" t="s">
        <v>2747</v>
      </c>
      <c r="F1940" s="2" t="s">
        <v>7022</v>
      </c>
      <c r="G1940" s="2" t="s">
        <v>7022</v>
      </c>
      <c r="H1940" s="2" t="s">
        <v>7022</v>
      </c>
      <c r="I1940" s="2" t="s">
        <v>2749</v>
      </c>
      <c r="J1940" s="2" t="s">
        <v>261</v>
      </c>
      <c r="K1940" s="2" t="s">
        <v>295</v>
      </c>
      <c r="L1940" s="3">
        <v>79.06</v>
      </c>
      <c r="M1940" s="3">
        <v>83.01</v>
      </c>
      <c r="N1940" s="3">
        <v>169.99</v>
      </c>
      <c r="O1940" s="2" t="s">
        <v>232</v>
      </c>
      <c r="P1940" s="2" t="s">
        <v>233</v>
      </c>
      <c r="Q1940" s="2" t="s">
        <v>234</v>
      </c>
      <c r="R1940" s="2" t="s">
        <v>235</v>
      </c>
      <c r="S1940" s="2" t="s">
        <v>7035</v>
      </c>
      <c r="T1940" s="2" t="s">
        <v>1081</v>
      </c>
      <c r="U1940" s="2" t="s">
        <v>807</v>
      </c>
      <c r="V1940" s="2" t="s">
        <v>238</v>
      </c>
      <c r="W1940" s="2" t="s">
        <v>239</v>
      </c>
      <c r="X1940" s="2" t="s">
        <v>1798</v>
      </c>
      <c r="Y1940" s="2" t="s">
        <v>2756</v>
      </c>
      <c r="Z1940" s="4">
        <v>108</v>
      </c>
      <c r="AA1940" s="4">
        <f>=ROUNDDOWN(36,0)</f>
      </c>
      <c r="AB1940" s="5">
        <v>3</v>
      </c>
      <c r="AC1940" s="2" t="s">
        <v>883</v>
      </c>
      <c r="AD1940" s="4">
        <v>270</v>
      </c>
      <c r="AE1940" s="4">
        <v>270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235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235</v>
      </c>
      <c r="AW1940" s="8" t="s">
        <v>235</v>
      </c>
      <c r="AX1940" s="4" t="s">
        <v>235</v>
      </c>
      <c r="AY1940" s="8" t="s">
        <v>235</v>
      </c>
      <c r="AZ1940" s="7" t="s">
        <v>235</v>
      </c>
      <c r="BA1940" s="7" t="s">
        <v>235</v>
      </c>
      <c r="BB1940" s="7"/>
      <c r="BC1940" s="4" t="s">
        <v>235</v>
      </c>
      <c r="BD1940" s="8" t="s">
        <v>235</v>
      </c>
      <c r="BE1940" s="4" t="s">
        <v>235</v>
      </c>
      <c r="BF1940" s="8" t="s">
        <v>235</v>
      </c>
      <c r="BG1940" s="7" t="s">
        <v>235</v>
      </c>
      <c r="BH1940" s="7" t="s">
        <v>235</v>
      </c>
      <c r="BI1940" s="7"/>
      <c r="BJ1940" s="4">
        <v>3</v>
      </c>
      <c r="BK1940" s="8">
        <v>261.74</v>
      </c>
      <c r="BL1940" s="2" t="s">
        <v>544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7024</v>
      </c>
      <c r="BV1940" s="2" t="s">
        <v>243</v>
      </c>
      <c r="BW1940" s="2" t="s">
        <v>235</v>
      </c>
      <c r="BX1940" s="2" t="s">
        <v>244</v>
      </c>
      <c r="BY1940" s="2" t="s">
        <v>245</v>
      </c>
      <c r="BZ1940" s="2" t="s">
        <v>232</v>
      </c>
      <c r="CA1940" s="2" t="s">
        <v>475</v>
      </c>
      <c r="CB1940" s="2" t="s">
        <v>2754</v>
      </c>
      <c r="CC1940" s="2" t="s">
        <v>248</v>
      </c>
      <c r="CD1940" s="2" t="s">
        <v>248</v>
      </c>
      <c r="CE1940" s="2" t="s">
        <v>235</v>
      </c>
      <c r="CF1940" s="4">
        <v>73</v>
      </c>
      <c r="CG1940" s="4">
        <v>35</v>
      </c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>
        <v>270</v>
      </c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>
        <v>108</v>
      </c>
      <c r="GE1940" s="4">
        <v>378</v>
      </c>
      <c r="GF1940" s="4">
        <v>378</v>
      </c>
      <c r="GG1940" s="4">
        <v>376</v>
      </c>
      <c r="GH1940" s="4">
        <v>374</v>
      </c>
      <c r="GI1940" s="4">
        <v>366</v>
      </c>
      <c r="GJ1940" s="4">
        <v>350</v>
      </c>
      <c r="GK1940" s="4">
        <v>334</v>
      </c>
      <c r="GL1940" s="4">
        <v>324</v>
      </c>
      <c r="GM1940" s="4">
        <v>310</v>
      </c>
      <c r="GN1940" s="4">
        <v>298</v>
      </c>
      <c r="GO1940" s="4">
        <v>279</v>
      </c>
      <c r="GP1940" s="4">
        <v>261</v>
      </c>
      <c r="GQ1940" s="4">
        <v>223</v>
      </c>
      <c r="GR1940" s="4">
        <v>200</v>
      </c>
      <c r="GS1940" s="4">
        <v>171</v>
      </c>
      <c r="GT1940" s="4">
        <v>157</v>
      </c>
      <c r="GU1940" s="4">
        <v>151</v>
      </c>
      <c r="GV1940" s="4">
        <v>140</v>
      </c>
      <c r="GW1940" s="4">
        <v>170</v>
      </c>
      <c r="GX1940" s="4">
        <v>158</v>
      </c>
      <c r="GY1940" s="4">
        <v>150</v>
      </c>
      <c r="GZ1940" s="4">
        <v>149</v>
      </c>
      <c r="HA1940" s="4">
        <v>148</v>
      </c>
      <c r="HB1940" s="4">
        <v>147</v>
      </c>
      <c r="HC1940" s="4">
        <v>146</v>
      </c>
      <c r="HD1940" s="19">
        <v>108</v>
      </c>
      <c r="HE1940" s="19">
        <v>126</v>
      </c>
      <c r="HF1940" s="19">
        <v>54</v>
      </c>
      <c r="HG1940" s="19">
        <v>37.6</v>
      </c>
      <c r="HH1940" s="19">
        <v>31.2</v>
      </c>
      <c r="HI1940" s="19">
        <v>26.1</v>
      </c>
      <c r="HJ1940" s="19">
        <v>26.9</v>
      </c>
      <c r="HK1940" s="19">
        <v>23.9</v>
      </c>
      <c r="HL1940" s="19">
        <v>20.3</v>
      </c>
      <c r="HM1940" s="19">
        <v>14.1</v>
      </c>
      <c r="HN1940" s="19">
        <v>12.4</v>
      </c>
      <c r="HO1940" s="19">
        <v>10.3</v>
      </c>
      <c r="HP1940" s="19">
        <v>10</v>
      </c>
      <c r="HQ1940" s="19">
        <v>12.4</v>
      </c>
      <c r="HR1940" s="19">
        <v>13.3</v>
      </c>
      <c r="HS1940" s="19">
        <v>15.5</v>
      </c>
      <c r="HT1940" s="19">
        <v>15.7</v>
      </c>
      <c r="HU1940" s="19">
        <v>13.7</v>
      </c>
      <c r="HV1940" s="19">
        <v>17.5</v>
      </c>
      <c r="HW1940" s="19">
        <v>28.3</v>
      </c>
      <c r="HX1940" s="19">
        <v>52.7</v>
      </c>
      <c r="HY1940" s="19">
        <v>150</v>
      </c>
      <c r="HZ1940" s="19">
        <v>149</v>
      </c>
      <c r="IA1940" s="19">
        <v>148</v>
      </c>
      <c r="IB1940" s="19">
        <v>147</v>
      </c>
      <c r="IC1940" s="19">
        <v>146</v>
      </c>
    </row>
    <row r="1941">
      <c r="A1941" s="2" t="s">
        <v>7038</v>
      </c>
      <c r="B1941" s="2" t="s">
        <v>905</v>
      </c>
      <c r="C1941" s="2" t="s">
        <v>1036</v>
      </c>
      <c r="D1941" s="2" t="s">
        <v>1177</v>
      </c>
      <c r="E1941" s="2" t="s">
        <v>2747</v>
      </c>
      <c r="F1941" s="2" t="s">
        <v>7022</v>
      </c>
      <c r="G1941" s="2" t="s">
        <v>7022</v>
      </c>
      <c r="H1941" s="2" t="s">
        <v>7022</v>
      </c>
      <c r="I1941" s="2" t="s">
        <v>2749</v>
      </c>
      <c r="J1941" s="2" t="s">
        <v>270</v>
      </c>
      <c r="K1941" s="2" t="s">
        <v>295</v>
      </c>
      <c r="L1941" s="3">
        <v>89.7</v>
      </c>
      <c r="M1941" s="3">
        <v>94.18</v>
      </c>
      <c r="N1941" s="3">
        <v>184.99</v>
      </c>
      <c r="O1941" s="2" t="s">
        <v>232</v>
      </c>
      <c r="P1941" s="2" t="s">
        <v>233</v>
      </c>
      <c r="Q1941" s="2" t="s">
        <v>234</v>
      </c>
      <c r="R1941" s="2" t="s">
        <v>235</v>
      </c>
      <c r="S1941" s="2" t="s">
        <v>7035</v>
      </c>
      <c r="T1941" s="2" t="s">
        <v>1081</v>
      </c>
      <c r="U1941" s="2" t="s">
        <v>807</v>
      </c>
      <c r="V1941" s="2" t="s">
        <v>238</v>
      </c>
      <c r="W1941" s="2" t="s">
        <v>239</v>
      </c>
      <c r="X1941" s="2" t="s">
        <v>1798</v>
      </c>
      <c r="Y1941" s="2" t="s">
        <v>2756</v>
      </c>
      <c r="Z1941" s="4">
        <v>253</v>
      </c>
      <c r="AA1941" s="4">
        <f>=ROUNDDOWN(25.3,0)</f>
      </c>
      <c r="AB1941" s="5">
        <v>10</v>
      </c>
      <c r="AC1941" s="2" t="s">
        <v>235</v>
      </c>
      <c r="AD1941" s="4"/>
      <c r="AE1941" s="4"/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235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235</v>
      </c>
      <c r="AW1941" s="8" t="s">
        <v>235</v>
      </c>
      <c r="AX1941" s="4" t="s">
        <v>235</v>
      </c>
      <c r="AY1941" s="8" t="s">
        <v>235</v>
      </c>
      <c r="AZ1941" s="7" t="s">
        <v>235</v>
      </c>
      <c r="BA1941" s="7" t="s">
        <v>235</v>
      </c>
      <c r="BB1941" s="7"/>
      <c r="BC1941" s="4" t="s">
        <v>235</v>
      </c>
      <c r="BD1941" s="8" t="s">
        <v>235</v>
      </c>
      <c r="BE1941" s="4" t="s">
        <v>235</v>
      </c>
      <c r="BF1941" s="8" t="s">
        <v>235</v>
      </c>
      <c r="BG1941" s="7" t="s">
        <v>235</v>
      </c>
      <c r="BH1941" s="7" t="s">
        <v>235</v>
      </c>
      <c r="BI1941" s="7"/>
      <c r="BJ1941" s="4">
        <v>2</v>
      </c>
      <c r="BK1941" s="8">
        <v>203.66</v>
      </c>
      <c r="BL1941" s="2" t="s">
        <v>631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7024</v>
      </c>
      <c r="BV1941" s="2" t="s">
        <v>243</v>
      </c>
      <c r="BW1941" s="2" t="s">
        <v>235</v>
      </c>
      <c r="BX1941" s="2" t="s">
        <v>244</v>
      </c>
      <c r="BY1941" s="2" t="s">
        <v>245</v>
      </c>
      <c r="BZ1941" s="2" t="s">
        <v>232</v>
      </c>
      <c r="CA1941" s="2" t="s">
        <v>475</v>
      </c>
      <c r="CB1941" s="2" t="s">
        <v>1597</v>
      </c>
      <c r="CC1941" s="2" t="s">
        <v>248</v>
      </c>
      <c r="CD1941" s="2" t="s">
        <v>248</v>
      </c>
      <c r="CE1941" s="2" t="s">
        <v>235</v>
      </c>
      <c r="CF1941" s="4">
        <v>253</v>
      </c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>
        <v>254</v>
      </c>
      <c r="GE1941" s="4">
        <v>247</v>
      </c>
      <c r="GF1941" s="4">
        <v>244</v>
      </c>
      <c r="GG1941" s="4">
        <v>236</v>
      </c>
      <c r="GH1941" s="4">
        <v>229</v>
      </c>
      <c r="GI1941" s="4">
        <v>222</v>
      </c>
      <c r="GJ1941" s="4">
        <v>207</v>
      </c>
      <c r="GK1941" s="4">
        <v>196</v>
      </c>
      <c r="GL1941" s="4">
        <v>188</v>
      </c>
      <c r="GM1941" s="4">
        <v>178</v>
      </c>
      <c r="GN1941" s="4">
        <v>169</v>
      </c>
      <c r="GO1941" s="4">
        <v>154</v>
      </c>
      <c r="GP1941" s="4">
        <v>140</v>
      </c>
      <c r="GQ1941" s="4">
        <v>110</v>
      </c>
      <c r="GR1941" s="4">
        <v>92</v>
      </c>
      <c r="GS1941" s="4">
        <v>70</v>
      </c>
      <c r="GT1941" s="4">
        <v>58</v>
      </c>
      <c r="GU1941" s="4">
        <v>53</v>
      </c>
      <c r="GV1941" s="4">
        <v>48</v>
      </c>
      <c r="GW1941" s="4">
        <v>230</v>
      </c>
      <c r="GX1941" s="4">
        <v>223</v>
      </c>
      <c r="GY1941" s="4">
        <v>218</v>
      </c>
      <c r="GZ1941" s="4">
        <v>213</v>
      </c>
      <c r="HA1941" s="4">
        <v>208</v>
      </c>
      <c r="HB1941" s="4">
        <v>201</v>
      </c>
      <c r="HC1941" s="4">
        <v>195</v>
      </c>
      <c r="HD1941" s="19">
        <v>42.3</v>
      </c>
      <c r="HE1941" s="19">
        <v>41.2</v>
      </c>
      <c r="HF1941" s="19">
        <v>27.1</v>
      </c>
      <c r="HG1941" s="19">
        <v>23.6</v>
      </c>
      <c r="HH1941" s="19">
        <v>22.9</v>
      </c>
      <c r="HI1941" s="19">
        <v>20.2</v>
      </c>
      <c r="HJ1941" s="19">
        <v>20.7</v>
      </c>
      <c r="HK1941" s="19">
        <v>19.6</v>
      </c>
      <c r="HL1941" s="19">
        <v>15.7</v>
      </c>
      <c r="HM1941" s="19">
        <v>10.5</v>
      </c>
      <c r="HN1941" s="19">
        <v>8.9</v>
      </c>
      <c r="HO1941" s="19">
        <v>7.3</v>
      </c>
      <c r="HP1941" s="19">
        <v>7</v>
      </c>
      <c r="HQ1941" s="19">
        <v>7.9</v>
      </c>
      <c r="HR1941" s="19">
        <v>8.4</v>
      </c>
      <c r="HS1941" s="19">
        <v>10</v>
      </c>
      <c r="HT1941" s="19">
        <v>9.7</v>
      </c>
      <c r="HU1941" s="19">
        <v>8.8</v>
      </c>
      <c r="HV1941" s="19">
        <v>8</v>
      </c>
      <c r="HW1941" s="19">
        <v>38.3</v>
      </c>
      <c r="HX1941" s="19">
        <v>37.2</v>
      </c>
      <c r="HY1941" s="19">
        <v>36.3</v>
      </c>
      <c r="HZ1941" s="19">
        <v>42.6</v>
      </c>
      <c r="IA1941" s="19">
        <v>52</v>
      </c>
      <c r="IB1941" s="19">
        <v>50.3</v>
      </c>
      <c r="IC1941" s="19">
        <v>48.8</v>
      </c>
    </row>
    <row r="1942">
      <c r="A1942" s="2" t="s">
        <v>7039</v>
      </c>
      <c r="B1942" s="2" t="s">
        <v>1071</v>
      </c>
      <c r="C1942" s="2" t="s">
        <v>1085</v>
      </c>
      <c r="D1942" s="2" t="s">
        <v>4819</v>
      </c>
      <c r="E1942" s="2" t="s">
        <v>6148</v>
      </c>
      <c r="F1942" s="2" t="s">
        <v>7040</v>
      </c>
      <c r="G1942" s="2" t="s">
        <v>7040</v>
      </c>
      <c r="H1942" s="2" t="s">
        <v>7040</v>
      </c>
      <c r="I1942" s="2" t="s">
        <v>4380</v>
      </c>
      <c r="J1942" s="2" t="s">
        <v>897</v>
      </c>
      <c r="K1942" s="2" t="s">
        <v>878</v>
      </c>
      <c r="L1942" s="3">
        <v>133</v>
      </c>
      <c r="M1942" s="3">
        <v>139.65</v>
      </c>
      <c r="N1942" s="3">
        <v>279</v>
      </c>
      <c r="O1942" s="2" t="s">
        <v>232</v>
      </c>
      <c r="P1942" s="2" t="s">
        <v>5026</v>
      </c>
      <c r="Q1942" s="2" t="s">
        <v>234</v>
      </c>
      <c r="R1942" s="2" t="s">
        <v>235</v>
      </c>
      <c r="S1942" s="2" t="s">
        <v>235</v>
      </c>
      <c r="T1942" s="2" t="s">
        <v>235</v>
      </c>
      <c r="U1942" s="2" t="s">
        <v>235</v>
      </c>
      <c r="V1942" s="2" t="s">
        <v>330</v>
      </c>
      <c r="W1942" s="2" t="s">
        <v>235</v>
      </c>
      <c r="X1942" s="2" t="s">
        <v>235</v>
      </c>
      <c r="Y1942" s="2" t="s">
        <v>235</v>
      </c>
      <c r="Z1942" s="4"/>
      <c r="AA1942" s="4">
        <f>=ROUNDDOWN({0},0)</f>
      </c>
      <c r="AB1942" s="5"/>
      <c r="AC1942" s="2" t="s">
        <v>787</v>
      </c>
      <c r="AD1942" s="4">
        <v>100</v>
      </c>
      <c r="AE1942" s="4">
        <v>100</v>
      </c>
      <c r="AF1942" s="6">
        <v>74</v>
      </c>
      <c r="AG1942" s="6"/>
      <c r="AH1942" s="7"/>
      <c r="AI1942" s="4"/>
      <c r="AJ1942" s="4">
        <f>=ROUNDDOWN({0},0)</f>
      </c>
      <c r="AK1942" s="5"/>
      <c r="AL1942" s="2" t="s">
        <v>235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/>
      <c r="BD1942" s="8"/>
      <c r="BE1942" s="4"/>
      <c r="BF1942" s="8"/>
      <c r="BG1942" s="7"/>
      <c r="BH1942" s="7"/>
      <c r="BI1942" s="7"/>
      <c r="BJ1942" s="4"/>
      <c r="BK1942" s="8"/>
      <c r="BL1942" s="2" t="s">
        <v>235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330</v>
      </c>
      <c r="BV1942" s="2" t="s">
        <v>235</v>
      </c>
      <c r="BW1942" s="2" t="s">
        <v>235</v>
      </c>
      <c r="BX1942" s="2" t="s">
        <v>330</v>
      </c>
      <c r="BY1942" s="2" t="s">
        <v>331</v>
      </c>
      <c r="BZ1942" s="2" t="s">
        <v>232</v>
      </c>
      <c r="CA1942" s="2" t="s">
        <v>235</v>
      </c>
      <c r="CB1942" s="2" t="s">
        <v>235</v>
      </c>
      <c r="CC1942" s="2" t="s">
        <v>248</v>
      </c>
      <c r="CD1942" s="2" t="s">
        <v>248</v>
      </c>
      <c r="CE1942" s="2" t="s">
        <v>235</v>
      </c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>
        <v>100</v>
      </c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>
        <v>100</v>
      </c>
      <c r="GV1942" s="4">
        <v>99</v>
      </c>
      <c r="GW1942" s="4">
        <v>97</v>
      </c>
      <c r="GX1942" s="4">
        <v>95</v>
      </c>
      <c r="GY1942" s="4">
        <v>93</v>
      </c>
      <c r="GZ1942" s="4">
        <v>91</v>
      </c>
      <c r="HA1942" s="4">
        <v>88</v>
      </c>
      <c r="HB1942" s="4">
        <v>85</v>
      </c>
      <c r="HC1942" s="4">
        <v>82</v>
      </c>
      <c r="HD1942" s="9"/>
      <c r="HE1942" s="9"/>
      <c r="HF1942" s="9"/>
      <c r="HG1942" s="9"/>
      <c r="HH1942" s="9"/>
      <c r="HI1942" s="9"/>
      <c r="HJ1942" s="9"/>
      <c r="HK1942" s="9"/>
      <c r="HL1942" s="9"/>
      <c r="HM1942" s="9"/>
      <c r="HN1942" s="9"/>
      <c r="HO1942" s="9"/>
      <c r="HP1942" s="9"/>
      <c r="HQ1942" s="9"/>
      <c r="HR1942" s="9"/>
      <c r="HS1942" s="9"/>
      <c r="HT1942" s="9"/>
      <c r="HU1942" s="19">
        <v>50</v>
      </c>
      <c r="HV1942" s="19">
        <v>49.5</v>
      </c>
      <c r="HW1942" s="19">
        <v>48.5</v>
      </c>
      <c r="HX1942" s="19">
        <v>47.5</v>
      </c>
      <c r="HY1942" s="19">
        <v>31</v>
      </c>
      <c r="HZ1942" s="19">
        <v>30.3</v>
      </c>
      <c r="IA1942" s="19">
        <v>29.3</v>
      </c>
      <c r="IB1942" s="19">
        <v>28.3</v>
      </c>
      <c r="IC1942" s="19">
        <v>27.3</v>
      </c>
    </row>
    <row r="1943">
      <c r="A1943" s="2" t="s">
        <v>7041</v>
      </c>
      <c r="B1943" s="2" t="s">
        <v>224</v>
      </c>
      <c r="C1943" s="2" t="s">
        <v>832</v>
      </c>
      <c r="D1943" s="2" t="s">
        <v>361</v>
      </c>
      <c r="E1943" s="2" t="s">
        <v>362</v>
      </c>
      <c r="F1943" s="2" t="s">
        <v>7042</v>
      </c>
      <c r="G1943" s="2" t="s">
        <v>7042</v>
      </c>
      <c r="H1943" s="2" t="s">
        <v>7042</v>
      </c>
      <c r="I1943" s="2" t="s">
        <v>7043</v>
      </c>
      <c r="J1943" s="2" t="s">
        <v>372</v>
      </c>
      <c r="K1943" s="2" t="s">
        <v>316</v>
      </c>
      <c r="L1943" s="3">
        <v>67.93</v>
      </c>
      <c r="M1943" s="3">
        <v>71.33</v>
      </c>
      <c r="N1943" s="3">
        <v>179.99</v>
      </c>
      <c r="O1943" s="2" t="s">
        <v>232</v>
      </c>
      <c r="P1943" s="2" t="s">
        <v>233</v>
      </c>
      <c r="Q1943" s="2" t="s">
        <v>234</v>
      </c>
      <c r="R1943" s="2" t="s">
        <v>235</v>
      </c>
      <c r="S1943" s="2" t="s">
        <v>235</v>
      </c>
      <c r="T1943" s="2" t="s">
        <v>235</v>
      </c>
      <c r="U1943" s="2" t="s">
        <v>807</v>
      </c>
      <c r="V1943" s="2" t="s">
        <v>238</v>
      </c>
      <c r="W1943" s="2" t="s">
        <v>682</v>
      </c>
      <c r="X1943" s="2" t="s">
        <v>235</v>
      </c>
      <c r="Y1943" s="2" t="s">
        <v>6130</v>
      </c>
      <c r="Z1943" s="4">
        <v>205</v>
      </c>
      <c r="AA1943" s="4">
        <f>=ROUNDDOWN(68.3333333333333,0)</f>
      </c>
      <c r="AB1943" s="5">
        <v>3</v>
      </c>
      <c r="AC1943" s="2" t="s">
        <v>235</v>
      </c>
      <c r="AD1943" s="4"/>
      <c r="AE1943" s="4"/>
      <c r="AF1943" s="6">
        <v>67</v>
      </c>
      <c r="AG1943" s="6"/>
      <c r="AH1943" s="7">
        <v>1</v>
      </c>
      <c r="AI1943" s="4"/>
      <c r="AJ1943" s="4">
        <f>=ROUNDDOWN({0},0)</f>
      </c>
      <c r="AK1943" s="5"/>
      <c r="AL1943" s="2" t="s">
        <v>235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235</v>
      </c>
      <c r="AW1943" s="8" t="s">
        <v>235</v>
      </c>
      <c r="AX1943" s="4" t="s">
        <v>235</v>
      </c>
      <c r="AY1943" s="8" t="s">
        <v>235</v>
      </c>
      <c r="AZ1943" s="7" t="s">
        <v>235</v>
      </c>
      <c r="BA1943" s="7" t="s">
        <v>235</v>
      </c>
      <c r="BB1943" s="7"/>
      <c r="BC1943" s="4" t="s">
        <v>235</v>
      </c>
      <c r="BD1943" s="8" t="s">
        <v>235</v>
      </c>
      <c r="BE1943" s="4" t="s">
        <v>235</v>
      </c>
      <c r="BF1943" s="8" t="s">
        <v>235</v>
      </c>
      <c r="BG1943" s="7" t="s">
        <v>235</v>
      </c>
      <c r="BH1943" s="7" t="s">
        <v>235</v>
      </c>
      <c r="BI1943" s="7"/>
      <c r="BJ1943" s="4">
        <v>10</v>
      </c>
      <c r="BK1943" s="8">
        <v>764.13</v>
      </c>
      <c r="BL1943" s="2" t="s">
        <v>7044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7045</v>
      </c>
      <c r="BV1943" s="2" t="s">
        <v>243</v>
      </c>
      <c r="BW1943" s="2" t="s">
        <v>235</v>
      </c>
      <c r="BX1943" s="2" t="s">
        <v>244</v>
      </c>
      <c r="BY1943" s="2" t="s">
        <v>245</v>
      </c>
      <c r="BZ1943" s="2" t="s">
        <v>232</v>
      </c>
      <c r="CA1943" s="2" t="s">
        <v>6490</v>
      </c>
      <c r="CB1943" s="2" t="s">
        <v>1993</v>
      </c>
      <c r="CC1943" s="2" t="s">
        <v>248</v>
      </c>
      <c r="CD1943" s="2" t="s">
        <v>248</v>
      </c>
      <c r="CE1943" s="2" t="s">
        <v>235</v>
      </c>
      <c r="CF1943" s="4">
        <v>205</v>
      </c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>
        <v>207</v>
      </c>
      <c r="GE1943" s="4">
        <v>202</v>
      </c>
      <c r="GF1943" s="4">
        <v>199</v>
      </c>
      <c r="GG1943" s="4">
        <v>196</v>
      </c>
      <c r="GH1943" s="4">
        <v>193</v>
      </c>
      <c r="GI1943" s="4">
        <v>190</v>
      </c>
      <c r="GJ1943" s="4">
        <v>187</v>
      </c>
      <c r="GK1943" s="4">
        <v>184</v>
      </c>
      <c r="GL1943" s="4">
        <v>181</v>
      </c>
      <c r="GM1943" s="4">
        <v>178</v>
      </c>
      <c r="GN1943" s="4">
        <v>173</v>
      </c>
      <c r="GO1943" s="4">
        <v>165</v>
      </c>
      <c r="GP1943" s="4">
        <v>157</v>
      </c>
      <c r="GQ1943" s="4">
        <v>141</v>
      </c>
      <c r="GR1943" s="4">
        <v>134</v>
      </c>
      <c r="GS1943" s="4">
        <v>128</v>
      </c>
      <c r="GT1943" s="4">
        <v>124</v>
      </c>
      <c r="GU1943" s="4">
        <v>122</v>
      </c>
      <c r="GV1943" s="4">
        <v>119</v>
      </c>
      <c r="GW1943" s="4">
        <v>117</v>
      </c>
      <c r="GX1943" s="4">
        <v>115</v>
      </c>
      <c r="GY1943" s="4">
        <v>113</v>
      </c>
      <c r="GZ1943" s="4">
        <v>111</v>
      </c>
      <c r="HA1943" s="4">
        <v>108</v>
      </c>
      <c r="HB1943" s="4">
        <v>105</v>
      </c>
      <c r="HC1943" s="4">
        <v>101</v>
      </c>
      <c r="HD1943" s="19">
        <v>51.8</v>
      </c>
      <c r="HE1943" s="19">
        <v>67.3</v>
      </c>
      <c r="HF1943" s="19">
        <v>66.3</v>
      </c>
      <c r="HG1943" s="19">
        <v>65.3</v>
      </c>
      <c r="HH1943" s="19">
        <v>64.3</v>
      </c>
      <c r="HI1943" s="19">
        <v>63.3</v>
      </c>
      <c r="HJ1943" s="19">
        <v>46.8</v>
      </c>
      <c r="HK1943" s="19">
        <v>36.8</v>
      </c>
      <c r="HL1943" s="19">
        <v>30.2</v>
      </c>
      <c r="HM1943" s="19">
        <v>19.8</v>
      </c>
      <c r="HN1943" s="19">
        <v>17.3</v>
      </c>
      <c r="HO1943" s="19">
        <v>18.3</v>
      </c>
      <c r="HP1943" s="19">
        <v>19.6</v>
      </c>
      <c r="HQ1943" s="19">
        <v>28.2</v>
      </c>
      <c r="HR1943" s="19">
        <v>33.5</v>
      </c>
      <c r="HS1943" s="19">
        <v>42.7</v>
      </c>
      <c r="HT1943" s="19">
        <v>62</v>
      </c>
      <c r="HU1943" s="19">
        <v>61</v>
      </c>
      <c r="HV1943" s="19">
        <v>59.5</v>
      </c>
      <c r="HW1943" s="19">
        <v>58.5</v>
      </c>
      <c r="HX1943" s="19">
        <v>57.5</v>
      </c>
      <c r="HY1943" s="19">
        <v>37.7</v>
      </c>
      <c r="HZ1943" s="19">
        <v>37</v>
      </c>
      <c r="IA1943" s="19">
        <v>27</v>
      </c>
      <c r="IB1943" s="19">
        <v>26.3</v>
      </c>
      <c r="IC1943" s="19">
        <v>25.3</v>
      </c>
    </row>
    <row r="1944">
      <c r="A1944" s="2" t="s">
        <v>7046</v>
      </c>
      <c r="B1944" s="2" t="s">
        <v>224</v>
      </c>
      <c r="C1944" s="2" t="s">
        <v>832</v>
      </c>
      <c r="D1944" s="2" t="s">
        <v>226</v>
      </c>
      <c r="E1944" s="2" t="s">
        <v>3684</v>
      </c>
      <c r="F1944" s="2" t="s">
        <v>7042</v>
      </c>
      <c r="G1944" s="2" t="s">
        <v>7042</v>
      </c>
      <c r="H1944" s="2" t="s">
        <v>7042</v>
      </c>
      <c r="I1944" s="2" t="s">
        <v>7047</v>
      </c>
      <c r="J1944" s="2" t="s">
        <v>272</v>
      </c>
      <c r="K1944" s="2" t="s">
        <v>316</v>
      </c>
      <c r="L1944" s="3">
        <v>38.58</v>
      </c>
      <c r="M1944" s="3">
        <v>40.51</v>
      </c>
      <c r="N1944" s="3">
        <v>104.99</v>
      </c>
      <c r="O1944" s="2" t="s">
        <v>232</v>
      </c>
      <c r="P1944" s="2" t="s">
        <v>233</v>
      </c>
      <c r="Q1944" s="2" t="s">
        <v>234</v>
      </c>
      <c r="R1944" s="2" t="s">
        <v>235</v>
      </c>
      <c r="S1944" s="2" t="s">
        <v>235</v>
      </c>
      <c r="T1944" s="2" t="s">
        <v>235</v>
      </c>
      <c r="U1944" s="2" t="s">
        <v>807</v>
      </c>
      <c r="V1944" s="2" t="s">
        <v>238</v>
      </c>
      <c r="W1944" s="2" t="s">
        <v>682</v>
      </c>
      <c r="X1944" s="2" t="s">
        <v>235</v>
      </c>
      <c r="Y1944" s="2" t="s">
        <v>1904</v>
      </c>
      <c r="Z1944" s="4">
        <v>129</v>
      </c>
      <c r="AA1944" s="4">
        <f>=ROUNDDOWN(21.5,0)</f>
      </c>
      <c r="AB1944" s="5">
        <v>6</v>
      </c>
      <c r="AC1944" s="2" t="s">
        <v>210</v>
      </c>
      <c r="AD1944" s="4">
        <v>150</v>
      </c>
      <c r="AE1944" s="4">
        <v>150</v>
      </c>
      <c r="AF1944" s="6">
        <v>67</v>
      </c>
      <c r="AG1944" s="6"/>
      <c r="AH1944" s="7">
        <v>1</v>
      </c>
      <c r="AI1944" s="4"/>
      <c r="AJ1944" s="4">
        <f>=ROUNDDOWN({0},0)</f>
      </c>
      <c r="AK1944" s="5"/>
      <c r="AL1944" s="2" t="s">
        <v>235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235</v>
      </c>
      <c r="AW1944" s="8" t="s">
        <v>235</v>
      </c>
      <c r="AX1944" s="4" t="s">
        <v>235</v>
      </c>
      <c r="AY1944" s="8" t="s">
        <v>235</v>
      </c>
      <c r="AZ1944" s="7" t="s">
        <v>235</v>
      </c>
      <c r="BA1944" s="7" t="s">
        <v>235</v>
      </c>
      <c r="BB1944" s="7"/>
      <c r="BC1944" s="4" t="s">
        <v>235</v>
      </c>
      <c r="BD1944" s="8" t="s">
        <v>235</v>
      </c>
      <c r="BE1944" s="4" t="s">
        <v>235</v>
      </c>
      <c r="BF1944" s="8" t="s">
        <v>235</v>
      </c>
      <c r="BG1944" s="7" t="s">
        <v>235</v>
      </c>
      <c r="BH1944" s="7" t="s">
        <v>235</v>
      </c>
      <c r="BI1944" s="7"/>
      <c r="BJ1944" s="4">
        <v>16</v>
      </c>
      <c r="BK1944" s="8">
        <v>726.45</v>
      </c>
      <c r="BL1944" s="2" t="s">
        <v>2466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7048</v>
      </c>
      <c r="BV1944" s="2" t="s">
        <v>243</v>
      </c>
      <c r="BW1944" s="2" t="s">
        <v>235</v>
      </c>
      <c r="BX1944" s="2" t="s">
        <v>244</v>
      </c>
      <c r="BY1944" s="2" t="s">
        <v>245</v>
      </c>
      <c r="BZ1944" s="2" t="s">
        <v>232</v>
      </c>
      <c r="CA1944" s="2" t="s">
        <v>7049</v>
      </c>
      <c r="CB1944" s="2" t="s">
        <v>7050</v>
      </c>
      <c r="CC1944" s="2" t="s">
        <v>248</v>
      </c>
      <c r="CD1944" s="2" t="s">
        <v>248</v>
      </c>
      <c r="CE1944" s="2" t="s">
        <v>235</v>
      </c>
      <c r="CF1944" s="4">
        <v>129</v>
      </c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>
        <v>150</v>
      </c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>
        <v>130</v>
      </c>
      <c r="GE1944" s="4">
        <v>115</v>
      </c>
      <c r="GF1944" s="4">
        <v>109</v>
      </c>
      <c r="GG1944" s="4">
        <v>103</v>
      </c>
      <c r="GH1944" s="4">
        <v>96</v>
      </c>
      <c r="GI1944" s="4">
        <v>89</v>
      </c>
      <c r="GJ1944" s="4">
        <v>80</v>
      </c>
      <c r="GK1944" s="4">
        <v>72</v>
      </c>
      <c r="GL1944" s="4">
        <v>64</v>
      </c>
      <c r="GM1944" s="4">
        <v>57</v>
      </c>
      <c r="GN1944" s="4">
        <v>50</v>
      </c>
      <c r="GO1944" s="4">
        <v>41</v>
      </c>
      <c r="GP1944" s="4">
        <v>31</v>
      </c>
      <c r="GQ1944" s="4">
        <v>14</v>
      </c>
      <c r="GR1944" s="4">
        <v>4</v>
      </c>
      <c r="GS1944" s="4"/>
      <c r="GT1944" s="4"/>
      <c r="GU1944" s="4">
        <v>150</v>
      </c>
      <c r="GV1944" s="4">
        <v>140</v>
      </c>
      <c r="GW1944" s="4">
        <v>134</v>
      </c>
      <c r="GX1944" s="4">
        <v>128</v>
      </c>
      <c r="GY1944" s="4">
        <v>122</v>
      </c>
      <c r="GZ1944" s="4">
        <v>116</v>
      </c>
      <c r="HA1944" s="4">
        <v>110</v>
      </c>
      <c r="HB1944" s="4">
        <v>104</v>
      </c>
      <c r="HC1944" s="4">
        <v>97</v>
      </c>
      <c r="HD1944" s="19">
        <v>16.3</v>
      </c>
      <c r="HE1944" s="19">
        <v>19.2</v>
      </c>
      <c r="HF1944" s="19">
        <v>15.6</v>
      </c>
      <c r="HG1944" s="19">
        <v>12.9</v>
      </c>
      <c r="HH1944" s="19">
        <v>12</v>
      </c>
      <c r="HI1944" s="19">
        <v>11.1</v>
      </c>
      <c r="HJ1944" s="19">
        <v>10</v>
      </c>
      <c r="HK1944" s="19">
        <v>9</v>
      </c>
      <c r="HL1944" s="19">
        <v>8</v>
      </c>
      <c r="HM1944" s="19">
        <v>5.2</v>
      </c>
      <c r="HN1944" s="19">
        <v>4.2</v>
      </c>
      <c r="HO1944" s="19">
        <v>3.7</v>
      </c>
      <c r="HP1944" s="19">
        <v>3.1</v>
      </c>
      <c r="HQ1944" s="19">
        <v>2</v>
      </c>
      <c r="HR1944" s="19">
        <v>0.6</v>
      </c>
      <c r="HS1944" s="20">
        <v>0</v>
      </c>
      <c r="HT1944" s="20">
        <v>0</v>
      </c>
      <c r="HU1944" s="19">
        <v>21.4</v>
      </c>
      <c r="HV1944" s="19">
        <v>23.3</v>
      </c>
      <c r="HW1944" s="19">
        <v>22.3</v>
      </c>
      <c r="HX1944" s="19">
        <v>21.3</v>
      </c>
      <c r="HY1944" s="19">
        <v>20.3</v>
      </c>
      <c r="HZ1944" s="19">
        <v>19.3</v>
      </c>
      <c r="IA1944" s="19">
        <v>18.3</v>
      </c>
      <c r="IB1944" s="19">
        <v>17.3</v>
      </c>
      <c r="IC1944" s="19">
        <v>16.2</v>
      </c>
    </row>
    <row r="1945">
      <c r="A1945" s="2" t="s">
        <v>7051</v>
      </c>
      <c r="B1945" s="2" t="s">
        <v>323</v>
      </c>
      <c r="C1945" s="2" t="s">
        <v>832</v>
      </c>
      <c r="D1945" s="2" t="s">
        <v>257</v>
      </c>
      <c r="E1945" s="2" t="s">
        <v>258</v>
      </c>
      <c r="F1945" s="2" t="s">
        <v>7052</v>
      </c>
      <c r="G1945" s="2" t="s">
        <v>7052</v>
      </c>
      <c r="H1945" s="2" t="s">
        <v>7052</v>
      </c>
      <c r="I1945" s="2" t="s">
        <v>7053</v>
      </c>
      <c r="J1945" s="2" t="s">
        <v>272</v>
      </c>
      <c r="K1945" s="2" t="s">
        <v>292</v>
      </c>
      <c r="L1945" s="3">
        <v>55.71</v>
      </c>
      <c r="M1945" s="3">
        <v>58.5</v>
      </c>
      <c r="N1945" s="3">
        <v>149.99</v>
      </c>
      <c r="O1945" s="2" t="s">
        <v>407</v>
      </c>
      <c r="P1945" s="2" t="s">
        <v>408</v>
      </c>
      <c r="Q1945" s="2" t="s">
        <v>234</v>
      </c>
      <c r="R1945" s="2" t="s">
        <v>235</v>
      </c>
      <c r="S1945" s="2" t="s">
        <v>235</v>
      </c>
      <c r="T1945" s="2" t="s">
        <v>263</v>
      </c>
      <c r="U1945" s="2" t="s">
        <v>235</v>
      </c>
      <c r="V1945" s="2" t="s">
        <v>863</v>
      </c>
      <c r="W1945" s="2" t="s">
        <v>329</v>
      </c>
      <c r="X1945" s="2" t="s">
        <v>235</v>
      </c>
      <c r="Y1945" s="2" t="s">
        <v>5259</v>
      </c>
      <c r="Z1945" s="4">
        <v>49</v>
      </c>
      <c r="AA1945" s="4">
        <f>=ROUNDDOWN(98,0)</f>
      </c>
      <c r="AB1945" s="5">
        <v>0.5</v>
      </c>
      <c r="AC1945" s="2" t="s">
        <v>235</v>
      </c>
      <c r="AD1945" s="4"/>
      <c r="AE1945" s="4"/>
      <c r="AF1945" s="6">
        <v>73</v>
      </c>
      <c r="AG1945" s="6"/>
      <c r="AH1945" s="7">
        <v>1</v>
      </c>
      <c r="AI1945" s="4"/>
      <c r="AJ1945" s="4">
        <f>=ROUNDDOWN({0},0)</f>
      </c>
      <c r="AK1945" s="5"/>
      <c r="AL1945" s="2" t="s">
        <v>235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2</v>
      </c>
      <c r="BK1945" s="8">
        <v>122.84</v>
      </c>
      <c r="BL1945" s="2" t="s">
        <v>2757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7054</v>
      </c>
      <c r="BV1945" s="2" t="s">
        <v>243</v>
      </c>
      <c r="BW1945" s="2" t="s">
        <v>235</v>
      </c>
      <c r="BX1945" s="2" t="s">
        <v>414</v>
      </c>
      <c r="BY1945" s="2" t="s">
        <v>245</v>
      </c>
      <c r="BZ1945" s="2" t="s">
        <v>232</v>
      </c>
      <c r="CA1945" s="2" t="s">
        <v>5262</v>
      </c>
      <c r="CB1945" s="2" t="s">
        <v>1385</v>
      </c>
      <c r="CC1945" s="2" t="s">
        <v>248</v>
      </c>
      <c r="CD1945" s="2" t="s">
        <v>248</v>
      </c>
      <c r="CE1945" s="2" t="s">
        <v>235</v>
      </c>
      <c r="CF1945" s="4">
        <v>49</v>
      </c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>
        <v>49</v>
      </c>
      <c r="GE1945" s="4">
        <v>48</v>
      </c>
      <c r="GF1945" s="4">
        <v>47</v>
      </c>
      <c r="GG1945" s="4">
        <v>46</v>
      </c>
      <c r="GH1945" s="4">
        <v>45</v>
      </c>
      <c r="GI1945" s="4">
        <v>44</v>
      </c>
      <c r="GJ1945" s="4">
        <v>43</v>
      </c>
      <c r="GK1945" s="4">
        <v>42</v>
      </c>
      <c r="GL1945" s="4">
        <v>41</v>
      </c>
      <c r="GM1945" s="4">
        <v>40</v>
      </c>
      <c r="GN1945" s="4">
        <v>39</v>
      </c>
      <c r="GO1945" s="4">
        <v>37</v>
      </c>
      <c r="GP1945" s="4">
        <v>35</v>
      </c>
      <c r="GQ1945" s="4">
        <v>32</v>
      </c>
      <c r="GR1945" s="4">
        <v>30</v>
      </c>
      <c r="GS1945" s="4">
        <v>28</v>
      </c>
      <c r="GT1945" s="4">
        <v>27</v>
      </c>
      <c r="GU1945" s="4">
        <v>26</v>
      </c>
      <c r="GV1945" s="4">
        <v>25</v>
      </c>
      <c r="GW1945" s="4">
        <v>24</v>
      </c>
      <c r="GX1945" s="4">
        <v>23</v>
      </c>
      <c r="GY1945" s="4">
        <v>22</v>
      </c>
      <c r="GZ1945" s="4">
        <v>21</v>
      </c>
      <c r="HA1945" s="4">
        <v>20</v>
      </c>
      <c r="HB1945" s="4">
        <v>19</v>
      </c>
      <c r="HC1945" s="4">
        <v>18</v>
      </c>
      <c r="HD1945" s="19">
        <v>49</v>
      </c>
      <c r="HE1945" s="19">
        <v>48</v>
      </c>
      <c r="HF1945" s="19">
        <v>47</v>
      </c>
      <c r="HG1945" s="19">
        <v>46</v>
      </c>
      <c r="HH1945" s="19">
        <v>45</v>
      </c>
      <c r="HI1945" s="19">
        <v>44</v>
      </c>
      <c r="HJ1945" s="19">
        <v>43</v>
      </c>
      <c r="HK1945" s="19">
        <v>42</v>
      </c>
      <c r="HL1945" s="19">
        <v>20.5</v>
      </c>
      <c r="HM1945" s="19">
        <v>20</v>
      </c>
      <c r="HN1945" s="19">
        <v>19.5</v>
      </c>
      <c r="HO1945" s="19">
        <v>18.5</v>
      </c>
      <c r="HP1945" s="19">
        <v>17.5</v>
      </c>
      <c r="HQ1945" s="19">
        <v>16</v>
      </c>
      <c r="HR1945" s="19">
        <v>30</v>
      </c>
      <c r="HS1945" s="19">
        <v>28</v>
      </c>
      <c r="HT1945" s="19">
        <v>27</v>
      </c>
      <c r="HU1945" s="19">
        <v>26</v>
      </c>
      <c r="HV1945" s="19">
        <v>25</v>
      </c>
      <c r="HW1945" s="19">
        <v>24</v>
      </c>
      <c r="HX1945" s="19">
        <v>23</v>
      </c>
      <c r="HY1945" s="19">
        <v>22</v>
      </c>
      <c r="HZ1945" s="19">
        <v>21</v>
      </c>
      <c r="IA1945" s="19">
        <v>20</v>
      </c>
      <c r="IB1945" s="19">
        <v>19</v>
      </c>
      <c r="IC1945" s="19">
        <v>18</v>
      </c>
    </row>
    <row r="1946">
      <c r="A1946" s="2" t="s">
        <v>7055</v>
      </c>
      <c r="B1946" s="2" t="s">
        <v>323</v>
      </c>
      <c r="C1946" s="2" t="s">
        <v>324</v>
      </c>
      <c r="D1946" s="2" t="s">
        <v>274</v>
      </c>
      <c r="E1946" s="2" t="s">
        <v>275</v>
      </c>
      <c r="F1946" s="2" t="s">
        <v>7056</v>
      </c>
      <c r="G1946" s="2" t="s">
        <v>7056</v>
      </c>
      <c r="H1946" s="2" t="s">
        <v>7056</v>
      </c>
      <c r="I1946" s="2" t="s">
        <v>7057</v>
      </c>
      <c r="J1946" s="2" t="s">
        <v>270</v>
      </c>
      <c r="K1946" s="2" t="s">
        <v>295</v>
      </c>
      <c r="L1946" s="3">
        <v>33.32</v>
      </c>
      <c r="M1946" s="3">
        <v>34.99</v>
      </c>
      <c r="N1946" s="3">
        <v>79.99</v>
      </c>
      <c r="O1946" s="2" t="s">
        <v>232</v>
      </c>
      <c r="P1946" s="2" t="s">
        <v>336</v>
      </c>
      <c r="Q1946" s="2" t="s">
        <v>234</v>
      </c>
      <c r="R1946" s="2" t="s">
        <v>235</v>
      </c>
      <c r="S1946" s="2" t="s">
        <v>7058</v>
      </c>
      <c r="T1946" s="2" t="s">
        <v>7056</v>
      </c>
      <c r="U1946" s="2" t="s">
        <v>807</v>
      </c>
      <c r="V1946" s="2" t="s">
        <v>238</v>
      </c>
      <c r="W1946" s="2" t="s">
        <v>239</v>
      </c>
      <c r="X1946" s="2" t="s">
        <v>682</v>
      </c>
      <c r="Y1946" s="2" t="s">
        <v>7059</v>
      </c>
      <c r="Z1946" s="4">
        <v>727</v>
      </c>
      <c r="AA1946" s="4">
        <f>=ROUNDDOWN(90.875,0)</f>
      </c>
      <c r="AB1946" s="5">
        <v>8</v>
      </c>
      <c r="AC1946" s="2" t="s">
        <v>235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235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235</v>
      </c>
      <c r="BD1946" s="8" t="s">
        <v>235</v>
      </c>
      <c r="BE1946" s="4" t="s">
        <v>235</v>
      </c>
      <c r="BF1946" s="8" t="s">
        <v>235</v>
      </c>
      <c r="BG1946" s="7" t="s">
        <v>235</v>
      </c>
      <c r="BH1946" s="7" t="s">
        <v>235</v>
      </c>
      <c r="BI1946" s="7"/>
      <c r="BJ1946" s="4">
        <v>31</v>
      </c>
      <c r="BK1946" s="8">
        <v>1146.24</v>
      </c>
      <c r="BL1946" s="2" t="s">
        <v>738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7060</v>
      </c>
      <c r="BV1946" s="2" t="s">
        <v>243</v>
      </c>
      <c r="BW1946" s="2" t="s">
        <v>235</v>
      </c>
      <c r="BX1946" s="2" t="s">
        <v>244</v>
      </c>
      <c r="BY1946" s="2" t="s">
        <v>245</v>
      </c>
      <c r="BZ1946" s="2" t="s">
        <v>232</v>
      </c>
      <c r="CA1946" s="2" t="s">
        <v>7061</v>
      </c>
      <c r="CB1946" s="2" t="s">
        <v>7062</v>
      </c>
      <c r="CC1946" s="2" t="s">
        <v>248</v>
      </c>
      <c r="CD1946" s="2" t="s">
        <v>248</v>
      </c>
      <c r="CE1946" s="2" t="s">
        <v>235</v>
      </c>
      <c r="CF1946" s="4">
        <v>280</v>
      </c>
      <c r="CG1946" s="4"/>
      <c r="CH1946" s="4"/>
      <c r="CI1946" s="4">
        <v>447</v>
      </c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>
        <v>731</v>
      </c>
      <c r="GE1946" s="4">
        <v>719</v>
      </c>
      <c r="GF1946" s="4">
        <v>711</v>
      </c>
      <c r="GG1946" s="4">
        <v>703</v>
      </c>
      <c r="GH1946" s="4">
        <v>695</v>
      </c>
      <c r="GI1946" s="4">
        <v>687</v>
      </c>
      <c r="GJ1946" s="4">
        <v>679</v>
      </c>
      <c r="GK1946" s="4">
        <v>671</v>
      </c>
      <c r="GL1946" s="4">
        <v>663</v>
      </c>
      <c r="GM1946" s="4">
        <v>655</v>
      </c>
      <c r="GN1946" s="4">
        <v>646</v>
      </c>
      <c r="GO1946" s="4">
        <v>631</v>
      </c>
      <c r="GP1946" s="4">
        <v>619</v>
      </c>
      <c r="GQ1946" s="4">
        <v>568</v>
      </c>
      <c r="GR1946" s="4">
        <v>500</v>
      </c>
      <c r="GS1946" s="4">
        <v>445</v>
      </c>
      <c r="GT1946" s="4">
        <v>419</v>
      </c>
      <c r="GU1946" s="4">
        <v>404</v>
      </c>
      <c r="GV1946" s="4">
        <v>396</v>
      </c>
      <c r="GW1946" s="4">
        <v>388</v>
      </c>
      <c r="GX1946" s="4">
        <v>380</v>
      </c>
      <c r="GY1946" s="4">
        <v>372</v>
      </c>
      <c r="GZ1946" s="4">
        <v>364</v>
      </c>
      <c r="HA1946" s="4">
        <v>356</v>
      </c>
      <c r="HB1946" s="4">
        <v>348</v>
      </c>
      <c r="HC1946" s="4">
        <v>338</v>
      </c>
      <c r="HD1946" s="19">
        <v>81.2</v>
      </c>
      <c r="HE1946" s="19">
        <v>89.9</v>
      </c>
      <c r="HF1946" s="19">
        <v>88.9</v>
      </c>
      <c r="HG1946" s="19">
        <v>87.9</v>
      </c>
      <c r="HH1946" s="19">
        <v>86.9</v>
      </c>
      <c r="HI1946" s="19">
        <v>85.9</v>
      </c>
      <c r="HJ1946" s="19">
        <v>84.9</v>
      </c>
      <c r="HK1946" s="19">
        <v>67.1</v>
      </c>
      <c r="HL1946" s="19">
        <v>60.3</v>
      </c>
      <c r="HM1946" s="19">
        <v>29.8</v>
      </c>
      <c r="HN1946" s="19">
        <v>17.9</v>
      </c>
      <c r="HO1946" s="19">
        <v>13.7</v>
      </c>
      <c r="HP1946" s="19">
        <v>12.4</v>
      </c>
      <c r="HQ1946" s="19">
        <v>13.9</v>
      </c>
      <c r="HR1946" s="19">
        <v>19.2</v>
      </c>
      <c r="HS1946" s="19">
        <v>31.8</v>
      </c>
      <c r="HT1946" s="19">
        <v>41.9</v>
      </c>
      <c r="HU1946" s="19">
        <v>50.5</v>
      </c>
      <c r="HV1946" s="19">
        <v>49.5</v>
      </c>
      <c r="HW1946" s="19">
        <v>48.5</v>
      </c>
      <c r="HX1946" s="19">
        <v>47.5</v>
      </c>
      <c r="HY1946" s="19">
        <v>46.5</v>
      </c>
      <c r="HZ1946" s="19">
        <v>45.5</v>
      </c>
      <c r="IA1946" s="19">
        <v>44.5</v>
      </c>
      <c r="IB1946" s="19">
        <v>43.5</v>
      </c>
      <c r="IC1946" s="19">
        <v>42.3</v>
      </c>
    </row>
    <row r="1947">
      <c r="A1947" s="2" t="s">
        <v>7063</v>
      </c>
      <c r="B1947" s="2" t="s">
        <v>323</v>
      </c>
      <c r="C1947" s="2" t="s">
        <v>324</v>
      </c>
      <c r="D1947" s="2" t="s">
        <v>274</v>
      </c>
      <c r="E1947" s="2" t="s">
        <v>275</v>
      </c>
      <c r="F1947" s="2" t="s">
        <v>7056</v>
      </c>
      <c r="G1947" s="2" t="s">
        <v>7056</v>
      </c>
      <c r="H1947" s="2" t="s">
        <v>7056</v>
      </c>
      <c r="I1947" s="2" t="s">
        <v>7057</v>
      </c>
      <c r="J1947" s="2" t="s">
        <v>261</v>
      </c>
      <c r="K1947" s="2" t="s">
        <v>889</v>
      </c>
      <c r="L1947" s="3">
        <v>28.45</v>
      </c>
      <c r="M1947" s="3">
        <v>29.87</v>
      </c>
      <c r="N1947" s="3">
        <v>69.99</v>
      </c>
      <c r="O1947" s="2" t="s">
        <v>232</v>
      </c>
      <c r="P1947" s="2" t="s">
        <v>233</v>
      </c>
      <c r="Q1947" s="2" t="s">
        <v>234</v>
      </c>
      <c r="R1947" s="2" t="s">
        <v>235</v>
      </c>
      <c r="S1947" s="2" t="s">
        <v>7064</v>
      </c>
      <c r="T1947" s="2" t="s">
        <v>7056</v>
      </c>
      <c r="U1947" s="2" t="s">
        <v>807</v>
      </c>
      <c r="V1947" s="2" t="s">
        <v>238</v>
      </c>
      <c r="W1947" s="2" t="s">
        <v>239</v>
      </c>
      <c r="X1947" s="2" t="s">
        <v>682</v>
      </c>
      <c r="Y1947" s="2" t="s">
        <v>7065</v>
      </c>
      <c r="Z1947" s="4">
        <v>638</v>
      </c>
      <c r="AA1947" s="4">
        <f>=ROUNDDOWN(73.3333333333333,0)</f>
      </c>
      <c r="AB1947" s="5">
        <v>8.7</v>
      </c>
      <c r="AC1947" s="2" t="s">
        <v>235</v>
      </c>
      <c r="AD1947" s="4"/>
      <c r="AE1947" s="4"/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235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235</v>
      </c>
      <c r="BD1947" s="8" t="s">
        <v>235</v>
      </c>
      <c r="BE1947" s="4" t="s">
        <v>235</v>
      </c>
      <c r="BF1947" s="8" t="s">
        <v>235</v>
      </c>
      <c r="BG1947" s="7" t="s">
        <v>235</v>
      </c>
      <c r="BH1947" s="7" t="s">
        <v>235</v>
      </c>
      <c r="BI1947" s="7"/>
      <c r="BJ1947" s="4">
        <v>34</v>
      </c>
      <c r="BK1947" s="8">
        <v>1073.49</v>
      </c>
      <c r="BL1947" s="2" t="s">
        <v>388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7060</v>
      </c>
      <c r="BV1947" s="2" t="s">
        <v>243</v>
      </c>
      <c r="BW1947" s="2" t="s">
        <v>235</v>
      </c>
      <c r="BX1947" s="2" t="s">
        <v>244</v>
      </c>
      <c r="BY1947" s="2" t="s">
        <v>245</v>
      </c>
      <c r="BZ1947" s="2" t="s">
        <v>232</v>
      </c>
      <c r="CA1947" s="2" t="s">
        <v>4577</v>
      </c>
      <c r="CB1947" s="2" t="s">
        <v>7066</v>
      </c>
      <c r="CC1947" s="2" t="s">
        <v>248</v>
      </c>
      <c r="CD1947" s="2" t="s">
        <v>248</v>
      </c>
      <c r="CE1947" s="2" t="s">
        <v>235</v>
      </c>
      <c r="CF1947" s="4">
        <v>240</v>
      </c>
      <c r="CG1947" s="4"/>
      <c r="CH1947" s="4"/>
      <c r="CI1947" s="4">
        <v>398</v>
      </c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>
        <v>638</v>
      </c>
      <c r="GE1947" s="4">
        <v>629</v>
      </c>
      <c r="GF1947" s="4">
        <v>620</v>
      </c>
      <c r="GG1947" s="4">
        <v>611</v>
      </c>
      <c r="GH1947" s="4">
        <v>602</v>
      </c>
      <c r="GI1947" s="4">
        <v>593</v>
      </c>
      <c r="GJ1947" s="4">
        <v>584</v>
      </c>
      <c r="GK1947" s="4">
        <v>575</v>
      </c>
      <c r="GL1947" s="4">
        <v>566</v>
      </c>
      <c r="GM1947" s="4">
        <v>557</v>
      </c>
      <c r="GN1947" s="4">
        <v>545</v>
      </c>
      <c r="GO1947" s="4">
        <v>528</v>
      </c>
      <c r="GP1947" s="4">
        <v>513</v>
      </c>
      <c r="GQ1947" s="4">
        <v>462</v>
      </c>
      <c r="GR1947" s="4">
        <v>415</v>
      </c>
      <c r="GS1947" s="4">
        <v>353</v>
      </c>
      <c r="GT1947" s="4">
        <v>330</v>
      </c>
      <c r="GU1947" s="4">
        <v>318</v>
      </c>
      <c r="GV1947" s="4">
        <v>309</v>
      </c>
      <c r="GW1947" s="4">
        <v>300</v>
      </c>
      <c r="GX1947" s="4">
        <v>291</v>
      </c>
      <c r="GY1947" s="4">
        <v>282</v>
      </c>
      <c r="GZ1947" s="4">
        <v>273</v>
      </c>
      <c r="HA1947" s="4">
        <v>264</v>
      </c>
      <c r="HB1947" s="4">
        <v>255</v>
      </c>
      <c r="HC1947" s="4">
        <v>244</v>
      </c>
      <c r="HD1947" s="19">
        <v>70.9</v>
      </c>
      <c r="HE1947" s="19">
        <v>69.9</v>
      </c>
      <c r="HF1947" s="19">
        <v>68.9</v>
      </c>
      <c r="HG1947" s="19">
        <v>67.9</v>
      </c>
      <c r="HH1947" s="19">
        <v>66.9</v>
      </c>
      <c r="HI1947" s="19">
        <v>65.9</v>
      </c>
      <c r="HJ1947" s="19">
        <v>58.4</v>
      </c>
      <c r="HK1947" s="19">
        <v>47.9</v>
      </c>
      <c r="HL1947" s="19">
        <v>43.5</v>
      </c>
      <c r="HM1947" s="19">
        <v>23.2</v>
      </c>
      <c r="HN1947" s="19">
        <v>17</v>
      </c>
      <c r="HO1947" s="19">
        <v>12</v>
      </c>
      <c r="HP1947" s="19">
        <v>11.2</v>
      </c>
      <c r="HQ1947" s="19">
        <v>12.8</v>
      </c>
      <c r="HR1947" s="19">
        <v>16</v>
      </c>
      <c r="HS1947" s="19">
        <v>27.2</v>
      </c>
      <c r="HT1947" s="19">
        <v>33</v>
      </c>
      <c r="HU1947" s="19">
        <v>35.3</v>
      </c>
      <c r="HV1947" s="19">
        <v>34.3</v>
      </c>
      <c r="HW1947" s="19">
        <v>33.3</v>
      </c>
      <c r="HX1947" s="19">
        <v>32.3</v>
      </c>
      <c r="HY1947" s="19">
        <v>28.2</v>
      </c>
      <c r="HZ1947" s="19">
        <v>27.3</v>
      </c>
      <c r="IA1947" s="19">
        <v>26.4</v>
      </c>
      <c r="IB1947" s="19">
        <v>25.5</v>
      </c>
      <c r="IC1947" s="19">
        <v>27.1</v>
      </c>
    </row>
    <row r="1948">
      <c r="A1948" s="2" t="s">
        <v>7067</v>
      </c>
      <c r="B1948" s="2" t="s">
        <v>1139</v>
      </c>
      <c r="C1948" s="2" t="s">
        <v>324</v>
      </c>
      <c r="D1948" s="2" t="s">
        <v>5956</v>
      </c>
      <c r="E1948" s="2" t="s">
        <v>6688</v>
      </c>
      <c r="F1948" s="2" t="s">
        <v>7068</v>
      </c>
      <c r="G1948" s="2" t="s">
        <v>7068</v>
      </c>
      <c r="H1948" s="2" t="s">
        <v>7068</v>
      </c>
      <c r="I1948" s="2" t="s">
        <v>6690</v>
      </c>
      <c r="J1948" s="2" t="s">
        <v>611</v>
      </c>
      <c r="K1948" s="2" t="s">
        <v>231</v>
      </c>
      <c r="L1948" s="3">
        <v>28.085429</v>
      </c>
      <c r="M1948" s="3">
        <v>29.49</v>
      </c>
      <c r="N1948" s="3">
        <v>62.99</v>
      </c>
      <c r="O1948" s="2" t="s">
        <v>232</v>
      </c>
      <c r="P1948" s="2" t="s">
        <v>878</v>
      </c>
      <c r="Q1948" s="2" t="s">
        <v>234</v>
      </c>
      <c r="R1948" s="2" t="s">
        <v>235</v>
      </c>
      <c r="S1948" s="2" t="s">
        <v>235</v>
      </c>
      <c r="T1948" s="2" t="s">
        <v>263</v>
      </c>
      <c r="U1948" s="2" t="s">
        <v>807</v>
      </c>
      <c r="V1948" s="2" t="s">
        <v>880</v>
      </c>
      <c r="W1948" s="2" t="s">
        <v>682</v>
      </c>
      <c r="X1948" s="2" t="s">
        <v>235</v>
      </c>
      <c r="Y1948" s="2" t="s">
        <v>235</v>
      </c>
      <c r="Z1948" s="4"/>
      <c r="AA1948" s="4">
        <f>=ROUNDDOWN({0},0)</f>
      </c>
      <c r="AB1948" s="5"/>
      <c r="AC1948" s="2" t="s">
        <v>4315</v>
      </c>
      <c r="AD1948" s="4">
        <v>800</v>
      </c>
      <c r="AE1948" s="4">
        <v>800</v>
      </c>
      <c r="AF1948" s="6">
        <v>77</v>
      </c>
      <c r="AG1948" s="6"/>
      <c r="AH1948" s="7"/>
      <c r="AI1948" s="4"/>
      <c r="AJ1948" s="4">
        <f>=ROUNDDOWN({0},0)</f>
      </c>
      <c r="AK1948" s="5"/>
      <c r="AL1948" s="2" t="s">
        <v>235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 t="s">
        <v>235</v>
      </c>
      <c r="BD1948" s="8" t="s">
        <v>235</v>
      </c>
      <c r="BE1948" s="4" t="s">
        <v>235</v>
      </c>
      <c r="BF1948" s="8" t="s">
        <v>235</v>
      </c>
      <c r="BG1948" s="7" t="s">
        <v>235</v>
      </c>
      <c r="BH1948" s="7" t="s">
        <v>235</v>
      </c>
      <c r="BI1948" s="7"/>
      <c r="BJ1948" s="4"/>
      <c r="BK1948" s="8"/>
      <c r="BL1948" s="2" t="s">
        <v>235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330</v>
      </c>
      <c r="BV1948" s="2" t="s">
        <v>235</v>
      </c>
      <c r="BW1948" s="2" t="s">
        <v>235</v>
      </c>
      <c r="BX1948" s="2" t="s">
        <v>330</v>
      </c>
      <c r="BY1948" s="2" t="s">
        <v>331</v>
      </c>
      <c r="BZ1948" s="2" t="s">
        <v>232</v>
      </c>
      <c r="CA1948" s="2" t="s">
        <v>235</v>
      </c>
      <c r="CB1948" s="2" t="s">
        <v>235</v>
      </c>
      <c r="CC1948" s="2" t="s">
        <v>248</v>
      </c>
      <c r="CD1948" s="2" t="s">
        <v>248</v>
      </c>
      <c r="CE1948" s="2" t="s">
        <v>235</v>
      </c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>
        <v>800</v>
      </c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>
        <v>800</v>
      </c>
      <c r="GR1948" s="4">
        <v>800</v>
      </c>
      <c r="GS1948" s="4">
        <v>800</v>
      </c>
      <c r="GT1948" s="4">
        <v>800</v>
      </c>
      <c r="GU1948" s="4">
        <v>800</v>
      </c>
      <c r="GV1948" s="4">
        <v>800</v>
      </c>
      <c r="GW1948" s="4">
        <v>800</v>
      </c>
      <c r="GX1948" s="4">
        <v>800</v>
      </c>
      <c r="GY1948" s="4">
        <v>800</v>
      </c>
      <c r="GZ1948" s="4">
        <v>800</v>
      </c>
      <c r="HA1948" s="4">
        <v>800</v>
      </c>
      <c r="HB1948" s="4">
        <v>800</v>
      </c>
      <c r="HC1948" s="4">
        <v>800</v>
      </c>
      <c r="HD1948" s="9"/>
      <c r="HE1948" s="9"/>
      <c r="HF1948" s="9"/>
      <c r="HG1948" s="9"/>
      <c r="HH1948" s="9"/>
      <c r="HI1948" s="9"/>
      <c r="HJ1948" s="9"/>
      <c r="HK1948" s="9"/>
      <c r="HL1948" s="9"/>
      <c r="HM1948" s="9"/>
      <c r="HN1948" s="9"/>
      <c r="HO1948" s="9"/>
      <c r="HP1948" s="9"/>
      <c r="HQ1948" s="9"/>
      <c r="HR1948" s="9"/>
      <c r="HS1948" s="9"/>
      <c r="HT1948" s="9"/>
      <c r="HU1948" s="9"/>
      <c r="HV1948" s="9"/>
      <c r="HW1948" s="9"/>
      <c r="HX1948" s="9"/>
      <c r="HY1948" s="9"/>
      <c r="HZ1948" s="9"/>
      <c r="IA1948" s="9"/>
      <c r="IB1948" s="9"/>
      <c r="IC1948" s="9"/>
    </row>
    <row r="1949">
      <c r="A1949" s="2" t="s">
        <v>7069</v>
      </c>
      <c r="B1949" s="2" t="s">
        <v>1139</v>
      </c>
      <c r="C1949" s="2" t="s">
        <v>324</v>
      </c>
      <c r="D1949" s="2" t="s">
        <v>5956</v>
      </c>
      <c r="E1949" s="2" t="s">
        <v>6688</v>
      </c>
      <c r="F1949" s="2" t="s">
        <v>7068</v>
      </c>
      <c r="G1949" s="2" t="s">
        <v>7068</v>
      </c>
      <c r="H1949" s="2" t="s">
        <v>7068</v>
      </c>
      <c r="I1949" s="2" t="s">
        <v>6690</v>
      </c>
      <c r="J1949" s="2" t="s">
        <v>611</v>
      </c>
      <c r="K1949" s="2" t="s">
        <v>292</v>
      </c>
      <c r="L1949" s="3">
        <v>28.085429</v>
      </c>
      <c r="M1949" s="3">
        <v>29.49</v>
      </c>
      <c r="N1949" s="3">
        <v>62.99</v>
      </c>
      <c r="O1949" s="2" t="s">
        <v>232</v>
      </c>
      <c r="P1949" s="2" t="s">
        <v>878</v>
      </c>
      <c r="Q1949" s="2" t="s">
        <v>234</v>
      </c>
      <c r="R1949" s="2" t="s">
        <v>235</v>
      </c>
      <c r="S1949" s="2" t="s">
        <v>235</v>
      </c>
      <c r="T1949" s="2" t="s">
        <v>263</v>
      </c>
      <c r="U1949" s="2" t="s">
        <v>807</v>
      </c>
      <c r="V1949" s="2" t="s">
        <v>880</v>
      </c>
      <c r="W1949" s="2" t="s">
        <v>682</v>
      </c>
      <c r="X1949" s="2" t="s">
        <v>235</v>
      </c>
      <c r="Y1949" s="2" t="s">
        <v>235</v>
      </c>
      <c r="Z1949" s="4"/>
      <c r="AA1949" s="4">
        <f>=ROUNDDOWN({0},0)</f>
      </c>
      <c r="AB1949" s="5"/>
      <c r="AC1949" s="2" t="s">
        <v>4315</v>
      </c>
      <c r="AD1949" s="4">
        <v>800</v>
      </c>
      <c r="AE1949" s="4">
        <v>800</v>
      </c>
      <c r="AF1949" s="6">
        <v>77</v>
      </c>
      <c r="AG1949" s="6"/>
      <c r="AH1949" s="7"/>
      <c r="AI1949" s="4"/>
      <c r="AJ1949" s="4">
        <f>=ROUNDDOWN({0},0)</f>
      </c>
      <c r="AK1949" s="5"/>
      <c r="AL1949" s="2" t="s">
        <v>235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235</v>
      </c>
      <c r="BD1949" s="8" t="s">
        <v>235</v>
      </c>
      <c r="BE1949" s="4" t="s">
        <v>235</v>
      </c>
      <c r="BF1949" s="8" t="s">
        <v>235</v>
      </c>
      <c r="BG1949" s="7" t="s">
        <v>235</v>
      </c>
      <c r="BH1949" s="7" t="s">
        <v>235</v>
      </c>
      <c r="BI1949" s="7"/>
      <c r="BJ1949" s="4"/>
      <c r="BK1949" s="8"/>
      <c r="BL1949" s="2" t="s">
        <v>235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330</v>
      </c>
      <c r="BV1949" s="2" t="s">
        <v>235</v>
      </c>
      <c r="BW1949" s="2" t="s">
        <v>235</v>
      </c>
      <c r="BX1949" s="2" t="s">
        <v>330</v>
      </c>
      <c r="BY1949" s="2" t="s">
        <v>331</v>
      </c>
      <c r="BZ1949" s="2" t="s">
        <v>232</v>
      </c>
      <c r="CA1949" s="2" t="s">
        <v>235</v>
      </c>
      <c r="CB1949" s="2" t="s">
        <v>235</v>
      </c>
      <c r="CC1949" s="2" t="s">
        <v>248</v>
      </c>
      <c r="CD1949" s="2" t="s">
        <v>248</v>
      </c>
      <c r="CE1949" s="2" t="s">
        <v>235</v>
      </c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>
        <v>800</v>
      </c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>
        <v>800</v>
      </c>
      <c r="GR1949" s="4">
        <v>800</v>
      </c>
      <c r="GS1949" s="4">
        <v>800</v>
      </c>
      <c r="GT1949" s="4">
        <v>800</v>
      </c>
      <c r="GU1949" s="4">
        <v>800</v>
      </c>
      <c r="GV1949" s="4">
        <v>800</v>
      </c>
      <c r="GW1949" s="4">
        <v>800</v>
      </c>
      <c r="GX1949" s="4">
        <v>800</v>
      </c>
      <c r="GY1949" s="4">
        <v>800</v>
      </c>
      <c r="GZ1949" s="4">
        <v>800</v>
      </c>
      <c r="HA1949" s="4">
        <v>800</v>
      </c>
      <c r="HB1949" s="4">
        <v>800</v>
      </c>
      <c r="HC1949" s="4">
        <v>800</v>
      </c>
      <c r="HD1949" s="9"/>
      <c r="HE1949" s="9"/>
      <c r="HF1949" s="9"/>
      <c r="HG1949" s="9"/>
      <c r="HH1949" s="9"/>
      <c r="HI1949" s="9"/>
      <c r="HJ1949" s="9"/>
      <c r="HK1949" s="9"/>
      <c r="HL1949" s="9"/>
      <c r="HM1949" s="9"/>
      <c r="HN1949" s="9"/>
      <c r="HO1949" s="9"/>
      <c r="HP1949" s="9"/>
      <c r="HQ1949" s="9"/>
      <c r="HR1949" s="9"/>
      <c r="HS1949" s="9"/>
      <c r="HT1949" s="9"/>
      <c r="HU1949" s="9"/>
      <c r="HV1949" s="9"/>
      <c r="HW1949" s="9"/>
      <c r="HX1949" s="9"/>
      <c r="HY1949" s="9"/>
      <c r="HZ1949" s="9"/>
      <c r="IA1949" s="9"/>
      <c r="IB1949" s="9"/>
      <c r="IC1949" s="9"/>
    </row>
    <row r="1950">
      <c r="A1950" s="2" t="s">
        <v>7070</v>
      </c>
      <c r="B1950" s="2" t="s">
        <v>1139</v>
      </c>
      <c r="C1950" s="2" t="s">
        <v>324</v>
      </c>
      <c r="D1950" s="2" t="s">
        <v>5956</v>
      </c>
      <c r="E1950" s="2" t="s">
        <v>6688</v>
      </c>
      <c r="F1950" s="2" t="s">
        <v>7068</v>
      </c>
      <c r="G1950" s="2" t="s">
        <v>7068</v>
      </c>
      <c r="H1950" s="2" t="s">
        <v>7068</v>
      </c>
      <c r="I1950" s="2" t="s">
        <v>6690</v>
      </c>
      <c r="J1950" s="2" t="s">
        <v>611</v>
      </c>
      <c r="K1950" s="2" t="s">
        <v>1172</v>
      </c>
      <c r="L1950" s="3">
        <v>28.085429</v>
      </c>
      <c r="M1950" s="3">
        <v>29.49</v>
      </c>
      <c r="N1950" s="3">
        <v>62.99</v>
      </c>
      <c r="O1950" s="2" t="s">
        <v>232</v>
      </c>
      <c r="P1950" s="2" t="s">
        <v>878</v>
      </c>
      <c r="Q1950" s="2" t="s">
        <v>234</v>
      </c>
      <c r="R1950" s="2" t="s">
        <v>235</v>
      </c>
      <c r="S1950" s="2" t="s">
        <v>235</v>
      </c>
      <c r="T1950" s="2" t="s">
        <v>263</v>
      </c>
      <c r="U1950" s="2" t="s">
        <v>807</v>
      </c>
      <c r="V1950" s="2" t="s">
        <v>880</v>
      </c>
      <c r="W1950" s="2" t="s">
        <v>682</v>
      </c>
      <c r="X1950" s="2" t="s">
        <v>235</v>
      </c>
      <c r="Y1950" s="2" t="s">
        <v>235</v>
      </c>
      <c r="Z1950" s="4"/>
      <c r="AA1950" s="4">
        <f>=ROUNDDOWN({0},0)</f>
      </c>
      <c r="AB1950" s="5"/>
      <c r="AC1950" s="2" t="s">
        <v>4315</v>
      </c>
      <c r="AD1950" s="4">
        <v>800</v>
      </c>
      <c r="AE1950" s="4">
        <v>800</v>
      </c>
      <c r="AF1950" s="6">
        <v>77</v>
      </c>
      <c r="AG1950" s="6"/>
      <c r="AH1950" s="7"/>
      <c r="AI1950" s="4"/>
      <c r="AJ1950" s="4">
        <f>=ROUNDDOWN({0},0)</f>
      </c>
      <c r="AK1950" s="5"/>
      <c r="AL1950" s="2" t="s">
        <v>235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 t="s">
        <v>235</v>
      </c>
      <c r="BD1950" s="8" t="s">
        <v>235</v>
      </c>
      <c r="BE1950" s="4" t="s">
        <v>235</v>
      </c>
      <c r="BF1950" s="8" t="s">
        <v>235</v>
      </c>
      <c r="BG1950" s="7" t="s">
        <v>235</v>
      </c>
      <c r="BH1950" s="7" t="s">
        <v>235</v>
      </c>
      <c r="BI1950" s="7"/>
      <c r="BJ1950" s="4"/>
      <c r="BK1950" s="8"/>
      <c r="BL1950" s="2" t="s">
        <v>235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330</v>
      </c>
      <c r="BV1950" s="2" t="s">
        <v>235</v>
      </c>
      <c r="BW1950" s="2" t="s">
        <v>235</v>
      </c>
      <c r="BX1950" s="2" t="s">
        <v>330</v>
      </c>
      <c r="BY1950" s="2" t="s">
        <v>331</v>
      </c>
      <c r="BZ1950" s="2" t="s">
        <v>232</v>
      </c>
      <c r="CA1950" s="2" t="s">
        <v>235</v>
      </c>
      <c r="CB1950" s="2" t="s">
        <v>235</v>
      </c>
      <c r="CC1950" s="2" t="s">
        <v>248</v>
      </c>
      <c r="CD1950" s="2" t="s">
        <v>248</v>
      </c>
      <c r="CE1950" s="2" t="s">
        <v>235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>
        <v>800</v>
      </c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>
        <v>800</v>
      </c>
      <c r="GR1950" s="4">
        <v>800</v>
      </c>
      <c r="GS1950" s="4">
        <v>800</v>
      </c>
      <c r="GT1950" s="4">
        <v>800</v>
      </c>
      <c r="GU1950" s="4">
        <v>800</v>
      </c>
      <c r="GV1950" s="4">
        <v>800</v>
      </c>
      <c r="GW1950" s="4">
        <v>800</v>
      </c>
      <c r="GX1950" s="4">
        <v>800</v>
      </c>
      <c r="GY1950" s="4">
        <v>800</v>
      </c>
      <c r="GZ1950" s="4">
        <v>800</v>
      </c>
      <c r="HA1950" s="4">
        <v>800</v>
      </c>
      <c r="HB1950" s="4">
        <v>800</v>
      </c>
      <c r="HC1950" s="4">
        <v>800</v>
      </c>
      <c r="HD1950" s="9"/>
      <c r="HE1950" s="9"/>
      <c r="HF1950" s="9"/>
      <c r="HG1950" s="9"/>
      <c r="HH1950" s="9"/>
      <c r="HI1950" s="9"/>
      <c r="HJ1950" s="9"/>
      <c r="HK1950" s="9"/>
      <c r="HL1950" s="9"/>
      <c r="HM1950" s="9"/>
      <c r="HN1950" s="9"/>
      <c r="HO1950" s="9"/>
      <c r="HP1950" s="9"/>
      <c r="HQ1950" s="9"/>
      <c r="HR1950" s="9"/>
      <c r="HS1950" s="9"/>
      <c r="HT1950" s="9"/>
      <c r="HU1950" s="9"/>
      <c r="HV1950" s="9"/>
      <c r="HW1950" s="9"/>
      <c r="HX1950" s="9"/>
      <c r="HY1950" s="9"/>
      <c r="HZ1950" s="9"/>
      <c r="IA1950" s="9"/>
      <c r="IB1950" s="9"/>
      <c r="IC1950" s="9"/>
    </row>
    <row r="1951">
      <c r="A1951" s="2" t="s">
        <v>7071</v>
      </c>
      <c r="B1951" s="2" t="s">
        <v>1139</v>
      </c>
      <c r="C1951" s="2" t="s">
        <v>324</v>
      </c>
      <c r="D1951" s="2" t="s">
        <v>5956</v>
      </c>
      <c r="E1951" s="2" t="s">
        <v>6688</v>
      </c>
      <c r="F1951" s="2" t="s">
        <v>7068</v>
      </c>
      <c r="G1951" s="2" t="s">
        <v>7068</v>
      </c>
      <c r="H1951" s="2" t="s">
        <v>7068</v>
      </c>
      <c r="I1951" s="2" t="s">
        <v>6690</v>
      </c>
      <c r="J1951" s="2" t="s">
        <v>611</v>
      </c>
      <c r="K1951" s="2" t="s">
        <v>2029</v>
      </c>
      <c r="L1951" s="3">
        <v>28.085429</v>
      </c>
      <c r="M1951" s="3">
        <v>29.49</v>
      </c>
      <c r="N1951" s="3">
        <v>62.99</v>
      </c>
      <c r="O1951" s="2" t="s">
        <v>232</v>
      </c>
      <c r="P1951" s="2" t="s">
        <v>878</v>
      </c>
      <c r="Q1951" s="2" t="s">
        <v>234</v>
      </c>
      <c r="R1951" s="2" t="s">
        <v>235</v>
      </c>
      <c r="S1951" s="2" t="s">
        <v>235</v>
      </c>
      <c r="T1951" s="2" t="s">
        <v>263</v>
      </c>
      <c r="U1951" s="2" t="s">
        <v>807</v>
      </c>
      <c r="V1951" s="2" t="s">
        <v>880</v>
      </c>
      <c r="W1951" s="2" t="s">
        <v>682</v>
      </c>
      <c r="X1951" s="2" t="s">
        <v>235</v>
      </c>
      <c r="Y1951" s="2" t="s">
        <v>235</v>
      </c>
      <c r="Z1951" s="4"/>
      <c r="AA1951" s="4">
        <f>=ROUNDDOWN({0},0)</f>
      </c>
      <c r="AB1951" s="5"/>
      <c r="AC1951" s="2" t="s">
        <v>4315</v>
      </c>
      <c r="AD1951" s="4">
        <v>800</v>
      </c>
      <c r="AE1951" s="4">
        <v>800</v>
      </c>
      <c r="AF1951" s="6">
        <v>77</v>
      </c>
      <c r="AG1951" s="6"/>
      <c r="AH1951" s="7"/>
      <c r="AI1951" s="4"/>
      <c r="AJ1951" s="4">
        <f>=ROUNDDOWN({0},0)</f>
      </c>
      <c r="AK1951" s="5"/>
      <c r="AL1951" s="2" t="s">
        <v>235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 t="s">
        <v>235</v>
      </c>
      <c r="BD1951" s="8" t="s">
        <v>235</v>
      </c>
      <c r="BE1951" s="4" t="s">
        <v>235</v>
      </c>
      <c r="BF1951" s="8" t="s">
        <v>235</v>
      </c>
      <c r="BG1951" s="7" t="s">
        <v>235</v>
      </c>
      <c r="BH1951" s="7" t="s">
        <v>235</v>
      </c>
      <c r="BI1951" s="7"/>
      <c r="BJ1951" s="4"/>
      <c r="BK1951" s="8"/>
      <c r="BL1951" s="2" t="s">
        <v>235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330</v>
      </c>
      <c r="BV1951" s="2" t="s">
        <v>235</v>
      </c>
      <c r="BW1951" s="2" t="s">
        <v>235</v>
      </c>
      <c r="BX1951" s="2" t="s">
        <v>330</v>
      </c>
      <c r="BY1951" s="2" t="s">
        <v>331</v>
      </c>
      <c r="BZ1951" s="2" t="s">
        <v>232</v>
      </c>
      <c r="CA1951" s="2" t="s">
        <v>235</v>
      </c>
      <c r="CB1951" s="2" t="s">
        <v>235</v>
      </c>
      <c r="CC1951" s="2" t="s">
        <v>248</v>
      </c>
      <c r="CD1951" s="2" t="s">
        <v>248</v>
      </c>
      <c r="CE1951" s="2" t="s">
        <v>235</v>
      </c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>
        <v>800</v>
      </c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>
        <v>800</v>
      </c>
      <c r="GR1951" s="4">
        <v>800</v>
      </c>
      <c r="GS1951" s="4">
        <v>800</v>
      </c>
      <c r="GT1951" s="4">
        <v>800</v>
      </c>
      <c r="GU1951" s="4">
        <v>800</v>
      </c>
      <c r="GV1951" s="4">
        <v>800</v>
      </c>
      <c r="GW1951" s="4">
        <v>800</v>
      </c>
      <c r="GX1951" s="4">
        <v>800</v>
      </c>
      <c r="GY1951" s="4">
        <v>800</v>
      </c>
      <c r="GZ1951" s="4">
        <v>800</v>
      </c>
      <c r="HA1951" s="4">
        <v>800</v>
      </c>
      <c r="HB1951" s="4">
        <v>800</v>
      </c>
      <c r="HC1951" s="4">
        <v>800</v>
      </c>
      <c r="HD1951" s="9"/>
      <c r="HE1951" s="9"/>
      <c r="HF1951" s="9"/>
      <c r="HG1951" s="9"/>
      <c r="HH1951" s="9"/>
      <c r="HI1951" s="9"/>
      <c r="HJ1951" s="9"/>
      <c r="HK1951" s="9"/>
      <c r="HL1951" s="9"/>
      <c r="HM1951" s="9"/>
      <c r="HN1951" s="9"/>
      <c r="HO1951" s="9"/>
      <c r="HP1951" s="9"/>
      <c r="HQ1951" s="9"/>
      <c r="HR1951" s="9"/>
      <c r="HS1951" s="9"/>
      <c r="HT1951" s="9"/>
      <c r="HU1951" s="9"/>
      <c r="HV1951" s="9"/>
      <c r="HW1951" s="9"/>
      <c r="HX1951" s="9"/>
      <c r="HY1951" s="9"/>
      <c r="HZ1951" s="9"/>
      <c r="IA1951" s="9"/>
      <c r="IB1951" s="9"/>
      <c r="IC1951" s="9"/>
    </row>
    <row r="1952">
      <c r="A1952" s="2" t="s">
        <v>7072</v>
      </c>
      <c r="B1952" s="2" t="s">
        <v>323</v>
      </c>
      <c r="C1952" s="2" t="s">
        <v>225</v>
      </c>
      <c r="D1952" s="2" t="s">
        <v>257</v>
      </c>
      <c r="E1952" s="2" t="s">
        <v>258</v>
      </c>
      <c r="F1952" s="2" t="s">
        <v>7073</v>
      </c>
      <c r="G1952" s="2" t="s">
        <v>7073</v>
      </c>
      <c r="H1952" s="2" t="s">
        <v>7073</v>
      </c>
      <c r="I1952" s="2" t="s">
        <v>405</v>
      </c>
      <c r="J1952" s="2" t="s">
        <v>250</v>
      </c>
      <c r="K1952" s="2" t="s">
        <v>861</v>
      </c>
      <c r="L1952" s="3">
        <v>18.49</v>
      </c>
      <c r="M1952" s="3">
        <v>19.41</v>
      </c>
      <c r="N1952" s="3">
        <v>34.99</v>
      </c>
      <c r="O1952" s="2" t="s">
        <v>232</v>
      </c>
      <c r="P1952" s="2" t="s">
        <v>965</v>
      </c>
      <c r="Q1952" s="2" t="s">
        <v>234</v>
      </c>
      <c r="R1952" s="2" t="s">
        <v>235</v>
      </c>
      <c r="S1952" s="2" t="s">
        <v>7074</v>
      </c>
      <c r="T1952" s="2" t="s">
        <v>7075</v>
      </c>
      <c r="U1952" s="2" t="s">
        <v>235</v>
      </c>
      <c r="V1952" s="2" t="s">
        <v>238</v>
      </c>
      <c r="W1952" s="2" t="s">
        <v>239</v>
      </c>
      <c r="X1952" s="2" t="s">
        <v>235</v>
      </c>
      <c r="Y1952" s="2" t="s">
        <v>6990</v>
      </c>
      <c r="Z1952" s="4">
        <v>280</v>
      </c>
      <c r="AA1952" s="4">
        <f>=ROUNDDOWN(140,0)</f>
      </c>
      <c r="AB1952" s="5">
        <v>2</v>
      </c>
      <c r="AC1952" s="2" t="s">
        <v>235</v>
      </c>
      <c r="AD1952" s="4"/>
      <c r="AE1952" s="4"/>
      <c r="AF1952" s="6">
        <v>66</v>
      </c>
      <c r="AG1952" s="6"/>
      <c r="AH1952" s="7">
        <v>1</v>
      </c>
      <c r="AI1952" s="4"/>
      <c r="AJ1952" s="4">
        <f>=ROUNDDOWN({0},0)</f>
      </c>
      <c r="AK1952" s="5"/>
      <c r="AL1952" s="2" t="s">
        <v>235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235</v>
      </c>
      <c r="AW1952" s="8" t="s">
        <v>235</v>
      </c>
      <c r="AX1952" s="4" t="s">
        <v>235</v>
      </c>
      <c r="AY1952" s="8" t="s">
        <v>235</v>
      </c>
      <c r="AZ1952" s="7" t="s">
        <v>235</v>
      </c>
      <c r="BA1952" s="7" t="s">
        <v>235</v>
      </c>
      <c r="BB1952" s="7"/>
      <c r="BC1952" s="4" t="s">
        <v>235</v>
      </c>
      <c r="BD1952" s="8" t="s">
        <v>235</v>
      </c>
      <c r="BE1952" s="4" t="s">
        <v>235</v>
      </c>
      <c r="BF1952" s="8" t="s">
        <v>235</v>
      </c>
      <c r="BG1952" s="7" t="s">
        <v>235</v>
      </c>
      <c r="BH1952" s="7" t="s">
        <v>235</v>
      </c>
      <c r="BI1952" s="7"/>
      <c r="BJ1952" s="4">
        <v>3</v>
      </c>
      <c r="BK1952" s="8">
        <v>71.13</v>
      </c>
      <c r="BL1952" s="2" t="s">
        <v>7076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7077</v>
      </c>
      <c r="BV1952" s="2" t="s">
        <v>243</v>
      </c>
      <c r="BW1952" s="2" t="s">
        <v>235</v>
      </c>
      <c r="BX1952" s="2" t="s">
        <v>244</v>
      </c>
      <c r="BY1952" s="2" t="s">
        <v>245</v>
      </c>
      <c r="BZ1952" s="2" t="s">
        <v>232</v>
      </c>
      <c r="CA1952" s="2" t="s">
        <v>7078</v>
      </c>
      <c r="CB1952" s="2" t="s">
        <v>7079</v>
      </c>
      <c r="CC1952" s="2" t="s">
        <v>248</v>
      </c>
      <c r="CD1952" s="2" t="s">
        <v>248</v>
      </c>
      <c r="CE1952" s="2" t="s">
        <v>235</v>
      </c>
      <c r="CF1952" s="4">
        <v>280</v>
      </c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>
        <v>280</v>
      </c>
      <c r="GE1952" s="4">
        <v>278</v>
      </c>
      <c r="GF1952" s="4">
        <v>276</v>
      </c>
      <c r="GG1952" s="4">
        <v>274</v>
      </c>
      <c r="GH1952" s="4">
        <v>272</v>
      </c>
      <c r="GI1952" s="4">
        <v>270</v>
      </c>
      <c r="GJ1952" s="4">
        <v>268</v>
      </c>
      <c r="GK1952" s="4">
        <v>266</v>
      </c>
      <c r="GL1952" s="4">
        <v>264</v>
      </c>
      <c r="GM1952" s="4">
        <v>262</v>
      </c>
      <c r="GN1952" s="4">
        <v>260</v>
      </c>
      <c r="GO1952" s="4">
        <v>258</v>
      </c>
      <c r="GP1952" s="4">
        <v>255</v>
      </c>
      <c r="GQ1952" s="4">
        <v>250</v>
      </c>
      <c r="GR1952" s="4">
        <v>245</v>
      </c>
      <c r="GS1952" s="4">
        <v>241</v>
      </c>
      <c r="GT1952" s="4">
        <v>239</v>
      </c>
      <c r="GU1952" s="4">
        <v>237</v>
      </c>
      <c r="GV1952" s="4">
        <v>235</v>
      </c>
      <c r="GW1952" s="4">
        <v>233</v>
      </c>
      <c r="GX1952" s="4">
        <v>231</v>
      </c>
      <c r="GY1952" s="4">
        <v>229</v>
      </c>
      <c r="GZ1952" s="4">
        <v>227</v>
      </c>
      <c r="HA1952" s="4">
        <v>225</v>
      </c>
      <c r="HB1952" s="4">
        <v>223</v>
      </c>
      <c r="HC1952" s="4">
        <v>221</v>
      </c>
      <c r="HD1952" s="19">
        <v>140</v>
      </c>
      <c r="HE1952" s="19">
        <v>139</v>
      </c>
      <c r="HF1952" s="19">
        <v>138</v>
      </c>
      <c r="HG1952" s="19">
        <v>137</v>
      </c>
      <c r="HH1952" s="19">
        <v>136</v>
      </c>
      <c r="HI1952" s="19">
        <v>135</v>
      </c>
      <c r="HJ1952" s="19">
        <v>134</v>
      </c>
      <c r="HK1952" s="19">
        <v>133</v>
      </c>
      <c r="HL1952" s="19">
        <v>132</v>
      </c>
      <c r="HM1952" s="19">
        <v>87.3</v>
      </c>
      <c r="HN1952" s="19">
        <v>65</v>
      </c>
      <c r="HO1952" s="19">
        <v>64.5</v>
      </c>
      <c r="HP1952" s="19">
        <v>63.8</v>
      </c>
      <c r="HQ1952" s="19">
        <v>83.3</v>
      </c>
      <c r="HR1952" s="19">
        <v>122.5</v>
      </c>
      <c r="HS1952" s="19">
        <v>120.5</v>
      </c>
      <c r="HT1952" s="19">
        <v>119.5</v>
      </c>
      <c r="HU1952" s="19">
        <v>118.5</v>
      </c>
      <c r="HV1952" s="19">
        <v>117.5</v>
      </c>
      <c r="HW1952" s="19">
        <v>116.5</v>
      </c>
      <c r="HX1952" s="19">
        <v>115.5</v>
      </c>
      <c r="HY1952" s="19">
        <v>114.5</v>
      </c>
      <c r="HZ1952" s="19">
        <v>113.5</v>
      </c>
      <c r="IA1952" s="19">
        <v>112.5</v>
      </c>
      <c r="IB1952" s="19">
        <v>111.5</v>
      </c>
      <c r="IC1952" s="19">
        <v>110.5</v>
      </c>
    </row>
    <row r="1953">
      <c r="A1953" s="2" t="s">
        <v>7080</v>
      </c>
      <c r="B1953" s="2" t="s">
        <v>323</v>
      </c>
      <c r="C1953" s="2" t="s">
        <v>225</v>
      </c>
      <c r="D1953" s="2" t="s">
        <v>257</v>
      </c>
      <c r="E1953" s="2" t="s">
        <v>258</v>
      </c>
      <c r="F1953" s="2" t="s">
        <v>7073</v>
      </c>
      <c r="G1953" s="2" t="s">
        <v>7073</v>
      </c>
      <c r="H1953" s="2" t="s">
        <v>7073</v>
      </c>
      <c r="I1953" s="2" t="s">
        <v>405</v>
      </c>
      <c r="J1953" s="2" t="s">
        <v>261</v>
      </c>
      <c r="K1953" s="2" t="s">
        <v>861</v>
      </c>
      <c r="L1953" s="3">
        <v>21.17</v>
      </c>
      <c r="M1953" s="3">
        <v>22.23</v>
      </c>
      <c r="N1953" s="3">
        <v>42.99</v>
      </c>
      <c r="O1953" s="2" t="s">
        <v>232</v>
      </c>
      <c r="P1953" s="2" t="s">
        <v>233</v>
      </c>
      <c r="Q1953" s="2" t="s">
        <v>234</v>
      </c>
      <c r="R1953" s="2" t="s">
        <v>235</v>
      </c>
      <c r="S1953" s="2" t="s">
        <v>7074</v>
      </c>
      <c r="T1953" s="2" t="s">
        <v>7075</v>
      </c>
      <c r="U1953" s="2" t="s">
        <v>235</v>
      </c>
      <c r="V1953" s="2" t="s">
        <v>238</v>
      </c>
      <c r="W1953" s="2" t="s">
        <v>239</v>
      </c>
      <c r="X1953" s="2" t="s">
        <v>235</v>
      </c>
      <c r="Y1953" s="2" t="s">
        <v>6990</v>
      </c>
      <c r="Z1953" s="4">
        <v>361</v>
      </c>
      <c r="AA1953" s="4">
        <f>=ROUNDDOWN(60.1666666666667,0)</f>
      </c>
      <c r="AB1953" s="5">
        <v>6</v>
      </c>
      <c r="AC1953" s="2" t="s">
        <v>235</v>
      </c>
      <c r="AD1953" s="4"/>
      <c r="AE1953" s="4"/>
      <c r="AF1953" s="6">
        <v>66</v>
      </c>
      <c r="AG1953" s="6"/>
      <c r="AH1953" s="7">
        <v>1</v>
      </c>
      <c r="AI1953" s="4"/>
      <c r="AJ1953" s="4">
        <f>=ROUNDDOWN({0},0)</f>
      </c>
      <c r="AK1953" s="5"/>
      <c r="AL1953" s="2" t="s">
        <v>235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235</v>
      </c>
      <c r="AW1953" s="8" t="s">
        <v>235</v>
      </c>
      <c r="AX1953" s="4" t="s">
        <v>235</v>
      </c>
      <c r="AY1953" s="8" t="s">
        <v>235</v>
      </c>
      <c r="AZ1953" s="7" t="s">
        <v>235</v>
      </c>
      <c r="BA1953" s="7" t="s">
        <v>235</v>
      </c>
      <c r="BB1953" s="7"/>
      <c r="BC1953" s="4" t="s">
        <v>235</v>
      </c>
      <c r="BD1953" s="8" t="s">
        <v>235</v>
      </c>
      <c r="BE1953" s="4" t="s">
        <v>235</v>
      </c>
      <c r="BF1953" s="8" t="s">
        <v>235</v>
      </c>
      <c r="BG1953" s="7" t="s">
        <v>235</v>
      </c>
      <c r="BH1953" s="7" t="s">
        <v>235</v>
      </c>
      <c r="BI1953" s="7"/>
      <c r="BJ1953" s="4">
        <v>34</v>
      </c>
      <c r="BK1953" s="8">
        <v>795.48</v>
      </c>
      <c r="BL1953" s="2" t="s">
        <v>7081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7077</v>
      </c>
      <c r="BV1953" s="2" t="s">
        <v>243</v>
      </c>
      <c r="BW1953" s="2" t="s">
        <v>235</v>
      </c>
      <c r="BX1953" s="2" t="s">
        <v>244</v>
      </c>
      <c r="BY1953" s="2" t="s">
        <v>245</v>
      </c>
      <c r="BZ1953" s="2" t="s">
        <v>232</v>
      </c>
      <c r="CA1953" s="2" t="s">
        <v>7078</v>
      </c>
      <c r="CB1953" s="2" t="s">
        <v>1066</v>
      </c>
      <c r="CC1953" s="2" t="s">
        <v>248</v>
      </c>
      <c r="CD1953" s="2" t="s">
        <v>248</v>
      </c>
      <c r="CE1953" s="2" t="s">
        <v>235</v>
      </c>
      <c r="CF1953" s="4">
        <v>361</v>
      </c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>
        <v>361</v>
      </c>
      <c r="GE1953" s="4">
        <v>355</v>
      </c>
      <c r="GF1953" s="4">
        <v>349</v>
      </c>
      <c r="GG1953" s="4">
        <v>343</v>
      </c>
      <c r="GH1953" s="4">
        <v>337</v>
      </c>
      <c r="GI1953" s="4">
        <v>331</v>
      </c>
      <c r="GJ1953" s="4">
        <v>325</v>
      </c>
      <c r="GK1953" s="4">
        <v>319</v>
      </c>
      <c r="GL1953" s="4">
        <v>313</v>
      </c>
      <c r="GM1953" s="4">
        <v>307</v>
      </c>
      <c r="GN1953" s="4">
        <v>301</v>
      </c>
      <c r="GO1953" s="4">
        <v>294</v>
      </c>
      <c r="GP1953" s="4">
        <v>286</v>
      </c>
      <c r="GQ1953" s="4">
        <v>270</v>
      </c>
      <c r="GR1953" s="4">
        <v>255</v>
      </c>
      <c r="GS1953" s="4">
        <v>242</v>
      </c>
      <c r="GT1953" s="4">
        <v>235</v>
      </c>
      <c r="GU1953" s="4">
        <v>229</v>
      </c>
      <c r="GV1953" s="4">
        <v>223</v>
      </c>
      <c r="GW1953" s="4">
        <v>217</v>
      </c>
      <c r="GX1953" s="4">
        <v>211</v>
      </c>
      <c r="GY1953" s="4">
        <v>205</v>
      </c>
      <c r="GZ1953" s="4">
        <v>199</v>
      </c>
      <c r="HA1953" s="4">
        <v>193</v>
      </c>
      <c r="HB1953" s="4">
        <v>187</v>
      </c>
      <c r="HC1953" s="4">
        <v>180</v>
      </c>
      <c r="HD1953" s="19">
        <v>60.2</v>
      </c>
      <c r="HE1953" s="19">
        <v>59.2</v>
      </c>
      <c r="HF1953" s="19">
        <v>58.2</v>
      </c>
      <c r="HG1953" s="19">
        <v>57.2</v>
      </c>
      <c r="HH1953" s="19">
        <v>56.2</v>
      </c>
      <c r="HI1953" s="19">
        <v>55.2</v>
      </c>
      <c r="HJ1953" s="19">
        <v>54.2</v>
      </c>
      <c r="HK1953" s="19">
        <v>53.2</v>
      </c>
      <c r="HL1953" s="19">
        <v>44.7</v>
      </c>
      <c r="HM1953" s="19">
        <v>34.1</v>
      </c>
      <c r="HN1953" s="19">
        <v>25.1</v>
      </c>
      <c r="HO1953" s="19">
        <v>22.6</v>
      </c>
      <c r="HP1953" s="19">
        <v>22</v>
      </c>
      <c r="HQ1953" s="19">
        <v>27</v>
      </c>
      <c r="HR1953" s="19">
        <v>31.9</v>
      </c>
      <c r="HS1953" s="19">
        <v>40.3</v>
      </c>
      <c r="HT1953" s="19">
        <v>39.2</v>
      </c>
      <c r="HU1953" s="19">
        <v>38.2</v>
      </c>
      <c r="HV1953" s="19">
        <v>37.2</v>
      </c>
      <c r="HW1953" s="19">
        <v>36.2</v>
      </c>
      <c r="HX1953" s="19">
        <v>35.2</v>
      </c>
      <c r="HY1953" s="19">
        <v>34.2</v>
      </c>
      <c r="HZ1953" s="19">
        <v>33.2</v>
      </c>
      <c r="IA1953" s="19">
        <v>32.2</v>
      </c>
      <c r="IB1953" s="19">
        <v>31.2</v>
      </c>
      <c r="IC1953" s="19">
        <v>30</v>
      </c>
    </row>
    <row r="1954">
      <c r="A1954" s="2" t="s">
        <v>7082</v>
      </c>
      <c r="B1954" s="2" t="s">
        <v>323</v>
      </c>
      <c r="C1954" s="2" t="s">
        <v>225</v>
      </c>
      <c r="D1954" s="2" t="s">
        <v>257</v>
      </c>
      <c r="E1954" s="2" t="s">
        <v>258</v>
      </c>
      <c r="F1954" s="2" t="s">
        <v>7073</v>
      </c>
      <c r="G1954" s="2" t="s">
        <v>7073</v>
      </c>
      <c r="H1954" s="2" t="s">
        <v>7073</v>
      </c>
      <c r="I1954" s="2" t="s">
        <v>405</v>
      </c>
      <c r="J1954" s="2" t="s">
        <v>270</v>
      </c>
      <c r="K1954" s="2" t="s">
        <v>861</v>
      </c>
      <c r="L1954" s="3">
        <v>24</v>
      </c>
      <c r="M1954" s="3">
        <v>25.2</v>
      </c>
      <c r="N1954" s="3">
        <v>49.99</v>
      </c>
      <c r="O1954" s="2" t="s">
        <v>232</v>
      </c>
      <c r="P1954" s="2" t="s">
        <v>233</v>
      </c>
      <c r="Q1954" s="2" t="s">
        <v>234</v>
      </c>
      <c r="R1954" s="2" t="s">
        <v>235</v>
      </c>
      <c r="S1954" s="2" t="s">
        <v>7074</v>
      </c>
      <c r="T1954" s="2" t="s">
        <v>7075</v>
      </c>
      <c r="U1954" s="2" t="s">
        <v>235</v>
      </c>
      <c r="V1954" s="2" t="s">
        <v>238</v>
      </c>
      <c r="W1954" s="2" t="s">
        <v>239</v>
      </c>
      <c r="X1954" s="2" t="s">
        <v>235</v>
      </c>
      <c r="Y1954" s="2" t="s">
        <v>6990</v>
      </c>
      <c r="Z1954" s="4">
        <v>273</v>
      </c>
      <c r="AA1954" s="4">
        <f>=ROUNDDOWN(78,0)</f>
      </c>
      <c r="AB1954" s="5">
        <v>3.5</v>
      </c>
      <c r="AC1954" s="2" t="s">
        <v>235</v>
      </c>
      <c r="AD1954" s="4"/>
      <c r="AE1954" s="4"/>
      <c r="AF1954" s="6">
        <v>66</v>
      </c>
      <c r="AG1954" s="6"/>
      <c r="AH1954" s="7">
        <v>1</v>
      </c>
      <c r="AI1954" s="4"/>
      <c r="AJ1954" s="4">
        <f>=ROUNDDOWN({0},0)</f>
      </c>
      <c r="AK1954" s="5"/>
      <c r="AL1954" s="2" t="s">
        <v>235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235</v>
      </c>
      <c r="AW1954" s="8" t="s">
        <v>235</v>
      </c>
      <c r="AX1954" s="4" t="s">
        <v>235</v>
      </c>
      <c r="AY1954" s="8" t="s">
        <v>235</v>
      </c>
      <c r="AZ1954" s="7" t="s">
        <v>235</v>
      </c>
      <c r="BA1954" s="7" t="s">
        <v>235</v>
      </c>
      <c r="BB1954" s="7"/>
      <c r="BC1954" s="4" t="s">
        <v>235</v>
      </c>
      <c r="BD1954" s="8" t="s">
        <v>235</v>
      </c>
      <c r="BE1954" s="4" t="s">
        <v>235</v>
      </c>
      <c r="BF1954" s="8" t="s">
        <v>235</v>
      </c>
      <c r="BG1954" s="7" t="s">
        <v>235</v>
      </c>
      <c r="BH1954" s="7" t="s">
        <v>235</v>
      </c>
      <c r="BI1954" s="7"/>
      <c r="BJ1954" s="4">
        <v>18</v>
      </c>
      <c r="BK1954" s="8">
        <v>533.57</v>
      </c>
      <c r="BL1954" s="2" t="s">
        <v>7083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7077</v>
      </c>
      <c r="BV1954" s="2" t="s">
        <v>243</v>
      </c>
      <c r="BW1954" s="2" t="s">
        <v>235</v>
      </c>
      <c r="BX1954" s="2" t="s">
        <v>244</v>
      </c>
      <c r="BY1954" s="2" t="s">
        <v>245</v>
      </c>
      <c r="BZ1954" s="2" t="s">
        <v>232</v>
      </c>
      <c r="CA1954" s="2" t="s">
        <v>7078</v>
      </c>
      <c r="CB1954" s="2" t="s">
        <v>4216</v>
      </c>
      <c r="CC1954" s="2" t="s">
        <v>248</v>
      </c>
      <c r="CD1954" s="2" t="s">
        <v>248</v>
      </c>
      <c r="CE1954" s="2" t="s">
        <v>235</v>
      </c>
      <c r="CF1954" s="4">
        <v>273</v>
      </c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>
        <v>274</v>
      </c>
      <c r="GE1954" s="4">
        <v>269</v>
      </c>
      <c r="GF1954" s="4">
        <v>265</v>
      </c>
      <c r="GG1954" s="4">
        <v>261</v>
      </c>
      <c r="GH1954" s="4">
        <v>257</v>
      </c>
      <c r="GI1954" s="4">
        <v>253</v>
      </c>
      <c r="GJ1954" s="4">
        <v>249</v>
      </c>
      <c r="GK1954" s="4">
        <v>245</v>
      </c>
      <c r="GL1954" s="4">
        <v>241</v>
      </c>
      <c r="GM1954" s="4">
        <v>237</v>
      </c>
      <c r="GN1954" s="4">
        <v>233</v>
      </c>
      <c r="GO1954" s="4">
        <v>229</v>
      </c>
      <c r="GP1954" s="4">
        <v>224</v>
      </c>
      <c r="GQ1954" s="4">
        <v>214</v>
      </c>
      <c r="GR1954" s="4">
        <v>205</v>
      </c>
      <c r="GS1954" s="4">
        <v>197</v>
      </c>
      <c r="GT1954" s="4">
        <v>193</v>
      </c>
      <c r="GU1954" s="4">
        <v>189</v>
      </c>
      <c r="GV1954" s="4">
        <v>185</v>
      </c>
      <c r="GW1954" s="4">
        <v>181</v>
      </c>
      <c r="GX1954" s="4">
        <v>177</v>
      </c>
      <c r="GY1954" s="4">
        <v>173</v>
      </c>
      <c r="GZ1954" s="4">
        <v>169</v>
      </c>
      <c r="HA1954" s="4">
        <v>165</v>
      </c>
      <c r="HB1954" s="4">
        <v>161</v>
      </c>
      <c r="HC1954" s="4">
        <v>156</v>
      </c>
      <c r="HD1954" s="19">
        <v>68.5</v>
      </c>
      <c r="HE1954" s="19">
        <v>67.3</v>
      </c>
      <c r="HF1954" s="19">
        <v>66.3</v>
      </c>
      <c r="HG1954" s="19">
        <v>65.3</v>
      </c>
      <c r="HH1954" s="19">
        <v>64.3</v>
      </c>
      <c r="HI1954" s="19">
        <v>63.3</v>
      </c>
      <c r="HJ1954" s="19">
        <v>62.3</v>
      </c>
      <c r="HK1954" s="19">
        <v>61.3</v>
      </c>
      <c r="HL1954" s="19">
        <v>60.3</v>
      </c>
      <c r="HM1954" s="19">
        <v>39.5</v>
      </c>
      <c r="HN1954" s="19">
        <v>33.3</v>
      </c>
      <c r="HO1954" s="19">
        <v>28.6</v>
      </c>
      <c r="HP1954" s="19">
        <v>28</v>
      </c>
      <c r="HQ1954" s="19">
        <v>35.7</v>
      </c>
      <c r="HR1954" s="19">
        <v>41</v>
      </c>
      <c r="HS1954" s="19">
        <v>49.3</v>
      </c>
      <c r="HT1954" s="19">
        <v>48.3</v>
      </c>
      <c r="HU1954" s="19">
        <v>47.3</v>
      </c>
      <c r="HV1954" s="19">
        <v>46.3</v>
      </c>
      <c r="HW1954" s="19">
        <v>45.3</v>
      </c>
      <c r="HX1954" s="19">
        <v>44.3</v>
      </c>
      <c r="HY1954" s="19">
        <v>43.3</v>
      </c>
      <c r="HZ1954" s="19">
        <v>42.3</v>
      </c>
      <c r="IA1954" s="19">
        <v>41.3</v>
      </c>
      <c r="IB1954" s="19">
        <v>40.3</v>
      </c>
      <c r="IC1954" s="19">
        <v>39</v>
      </c>
    </row>
    <row r="1955">
      <c r="A1955" s="2" t="s">
        <v>7084</v>
      </c>
      <c r="B1955" s="2" t="s">
        <v>323</v>
      </c>
      <c r="C1955" s="2" t="s">
        <v>225</v>
      </c>
      <c r="D1955" s="2" t="s">
        <v>257</v>
      </c>
      <c r="E1955" s="2" t="s">
        <v>258</v>
      </c>
      <c r="F1955" s="2" t="s">
        <v>7073</v>
      </c>
      <c r="G1955" s="2" t="s">
        <v>7073</v>
      </c>
      <c r="H1955" s="2" t="s">
        <v>7073</v>
      </c>
      <c r="I1955" s="2" t="s">
        <v>405</v>
      </c>
      <c r="J1955" s="2" t="s">
        <v>272</v>
      </c>
      <c r="K1955" s="2" t="s">
        <v>861</v>
      </c>
      <c r="L1955" s="3">
        <v>21.5</v>
      </c>
      <c r="M1955" s="3">
        <v>22.58</v>
      </c>
      <c r="N1955" s="3">
        <v>42.99</v>
      </c>
      <c r="O1955" s="2" t="s">
        <v>485</v>
      </c>
      <c r="P1955" s="2" t="s">
        <v>408</v>
      </c>
      <c r="Q1955" s="2" t="s">
        <v>234</v>
      </c>
      <c r="R1955" s="2" t="s">
        <v>235</v>
      </c>
      <c r="S1955" s="2" t="s">
        <v>7074</v>
      </c>
      <c r="T1955" s="2" t="s">
        <v>7075</v>
      </c>
      <c r="U1955" s="2" t="s">
        <v>235</v>
      </c>
      <c r="V1955" s="2" t="s">
        <v>238</v>
      </c>
      <c r="W1955" s="2" t="s">
        <v>239</v>
      </c>
      <c r="X1955" s="2" t="s">
        <v>235</v>
      </c>
      <c r="Y1955" s="2" t="s">
        <v>6990</v>
      </c>
      <c r="Z1955" s="4"/>
      <c r="AA1955" s="4">
        <f>=ROUNDDOWN({0},0)</f>
      </c>
      <c r="AB1955" s="5">
        <v>2</v>
      </c>
      <c r="AC1955" s="2" t="s">
        <v>235</v>
      </c>
      <c r="AD1955" s="4"/>
      <c r="AE1955" s="4"/>
      <c r="AF1955" s="6">
        <v>66</v>
      </c>
      <c r="AG1955" s="6"/>
      <c r="AH1955" s="7">
        <v>0.8387</v>
      </c>
      <c r="AI1955" s="4"/>
      <c r="AJ1955" s="4">
        <f>=ROUNDDOWN({0},0)</f>
      </c>
      <c r="AK1955" s="5"/>
      <c r="AL1955" s="2" t="s">
        <v>235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235</v>
      </c>
      <c r="AW1955" s="8" t="s">
        <v>235</v>
      </c>
      <c r="AX1955" s="4" t="s">
        <v>235</v>
      </c>
      <c r="AY1955" s="8" t="s">
        <v>235</v>
      </c>
      <c r="AZ1955" s="7" t="s">
        <v>235</v>
      </c>
      <c r="BA1955" s="7" t="s">
        <v>235</v>
      </c>
      <c r="BB1955" s="7"/>
      <c r="BC1955" s="4" t="s">
        <v>235</v>
      </c>
      <c r="BD1955" s="8" t="s">
        <v>235</v>
      </c>
      <c r="BE1955" s="4" t="s">
        <v>235</v>
      </c>
      <c r="BF1955" s="8" t="s">
        <v>235</v>
      </c>
      <c r="BG1955" s="7" t="s">
        <v>235</v>
      </c>
      <c r="BH1955" s="7" t="s">
        <v>235</v>
      </c>
      <c r="BI1955" s="7"/>
      <c r="BJ1955" s="4">
        <v>6</v>
      </c>
      <c r="BK1955" s="8">
        <v>144.66</v>
      </c>
      <c r="BL1955" s="2" t="s">
        <v>544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7077</v>
      </c>
      <c r="BV1955" s="2" t="s">
        <v>243</v>
      </c>
      <c r="BW1955" s="2" t="s">
        <v>235</v>
      </c>
      <c r="BX1955" s="2" t="s">
        <v>414</v>
      </c>
      <c r="BY1955" s="2" t="s">
        <v>245</v>
      </c>
      <c r="BZ1955" s="2" t="s">
        <v>232</v>
      </c>
      <c r="CA1955" s="2" t="s">
        <v>7078</v>
      </c>
      <c r="CB1955" s="2" t="s">
        <v>3394</v>
      </c>
      <c r="CC1955" s="2" t="s">
        <v>248</v>
      </c>
      <c r="CD1955" s="2" t="s">
        <v>248</v>
      </c>
      <c r="CE1955" s="2" t="s">
        <v>235</v>
      </c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>
        <v>14</v>
      </c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19">
        <v>2.3</v>
      </c>
      <c r="HE1955" s="20">
        <v>0</v>
      </c>
      <c r="HF1955" s="20">
        <v>0</v>
      </c>
      <c r="HG1955" s="20">
        <v>0</v>
      </c>
      <c r="HH1955" s="20">
        <v>0</v>
      </c>
      <c r="HI1955" s="20">
        <v>0</v>
      </c>
      <c r="HJ1955" s="20">
        <v>0</v>
      </c>
      <c r="HK1955" s="20">
        <v>0</v>
      </c>
      <c r="HL1955" s="20">
        <v>0</v>
      </c>
      <c r="HM1955" s="20">
        <v>0</v>
      </c>
      <c r="HN1955" s="20">
        <v>0</v>
      </c>
      <c r="HO1955" s="20">
        <v>0</v>
      </c>
      <c r="HP1955" s="20">
        <v>0</v>
      </c>
      <c r="HQ1955" s="20">
        <v>0</v>
      </c>
      <c r="HR1955" s="20">
        <v>0</v>
      </c>
      <c r="HS1955" s="20">
        <v>0</v>
      </c>
      <c r="HT1955" s="20">
        <v>0</v>
      </c>
      <c r="HU1955" s="20">
        <v>0</v>
      </c>
      <c r="HV1955" s="20">
        <v>0</v>
      </c>
      <c r="HW1955" s="20">
        <v>0</v>
      </c>
      <c r="HX1955" s="20">
        <v>0</v>
      </c>
      <c r="HY1955" s="20">
        <v>0</v>
      </c>
      <c r="HZ1955" s="20">
        <v>0</v>
      </c>
      <c r="IA1955" s="20">
        <v>0</v>
      </c>
      <c r="IB1955" s="20">
        <v>0</v>
      </c>
      <c r="IC1955" s="20">
        <v>0</v>
      </c>
    </row>
    <row r="1956">
      <c r="A1956" s="2" t="s">
        <v>7085</v>
      </c>
      <c r="B1956" s="2" t="s">
        <v>323</v>
      </c>
      <c r="C1956" s="2" t="s">
        <v>225</v>
      </c>
      <c r="D1956" s="2" t="s">
        <v>257</v>
      </c>
      <c r="E1956" s="2" t="s">
        <v>258</v>
      </c>
      <c r="F1956" s="2" t="s">
        <v>7073</v>
      </c>
      <c r="G1956" s="2" t="s">
        <v>7073</v>
      </c>
      <c r="H1956" s="2" t="s">
        <v>7073</v>
      </c>
      <c r="I1956" s="2" t="s">
        <v>405</v>
      </c>
      <c r="J1956" s="2" t="s">
        <v>394</v>
      </c>
      <c r="K1956" s="2" t="s">
        <v>292</v>
      </c>
      <c r="L1956" s="3">
        <v>18.14</v>
      </c>
      <c r="M1956" s="3">
        <v>19.05</v>
      </c>
      <c r="N1956" s="3">
        <v>34.99</v>
      </c>
      <c r="O1956" s="2" t="s">
        <v>232</v>
      </c>
      <c r="P1956" s="2" t="s">
        <v>233</v>
      </c>
      <c r="Q1956" s="2" t="s">
        <v>234</v>
      </c>
      <c r="R1956" s="2" t="s">
        <v>235</v>
      </c>
      <c r="S1956" s="2" t="s">
        <v>7086</v>
      </c>
      <c r="T1956" s="2" t="s">
        <v>7075</v>
      </c>
      <c r="U1956" s="2" t="s">
        <v>235</v>
      </c>
      <c r="V1956" s="2" t="s">
        <v>238</v>
      </c>
      <c r="W1956" s="2" t="s">
        <v>239</v>
      </c>
      <c r="X1956" s="2" t="s">
        <v>235</v>
      </c>
      <c r="Y1956" s="2" t="s">
        <v>240</v>
      </c>
      <c r="Z1956" s="4">
        <v>306</v>
      </c>
      <c r="AA1956" s="4">
        <f>=ROUNDDOWN(235.384615384615,0)</f>
      </c>
      <c r="AB1956" s="5">
        <v>1.3</v>
      </c>
      <c r="AC1956" s="2" t="s">
        <v>235</v>
      </c>
      <c r="AD1956" s="4"/>
      <c r="AE1956" s="4"/>
      <c r="AF1956" s="6">
        <v>66</v>
      </c>
      <c r="AG1956" s="6"/>
      <c r="AH1956" s="7">
        <v>1</v>
      </c>
      <c r="AI1956" s="4"/>
      <c r="AJ1956" s="4">
        <f>=ROUNDDOWN({0},0)</f>
      </c>
      <c r="AK1956" s="5"/>
      <c r="AL1956" s="2" t="s">
        <v>235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235</v>
      </c>
      <c r="AW1956" s="8" t="s">
        <v>235</v>
      </c>
      <c r="AX1956" s="4" t="s">
        <v>235</v>
      </c>
      <c r="AY1956" s="8" t="s">
        <v>235</v>
      </c>
      <c r="AZ1956" s="7" t="s">
        <v>235</v>
      </c>
      <c r="BA1956" s="7" t="s">
        <v>235</v>
      </c>
      <c r="BB1956" s="7"/>
      <c r="BC1956" s="4" t="s">
        <v>235</v>
      </c>
      <c r="BD1956" s="8" t="s">
        <v>235</v>
      </c>
      <c r="BE1956" s="4" t="s">
        <v>235</v>
      </c>
      <c r="BF1956" s="8" t="s">
        <v>235</v>
      </c>
      <c r="BG1956" s="7" t="s">
        <v>235</v>
      </c>
      <c r="BH1956" s="7" t="s">
        <v>235</v>
      </c>
      <c r="BI1956" s="7"/>
      <c r="BJ1956" s="4">
        <v>8</v>
      </c>
      <c r="BK1956" s="8">
        <v>151.26</v>
      </c>
      <c r="BL1956" s="2" t="s">
        <v>517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7077</v>
      </c>
      <c r="BV1956" s="2" t="s">
        <v>243</v>
      </c>
      <c r="BW1956" s="2" t="s">
        <v>235</v>
      </c>
      <c r="BX1956" s="2" t="s">
        <v>244</v>
      </c>
      <c r="BY1956" s="2" t="s">
        <v>245</v>
      </c>
      <c r="BZ1956" s="2" t="s">
        <v>232</v>
      </c>
      <c r="CA1956" s="2" t="s">
        <v>7078</v>
      </c>
      <c r="CB1956" s="2" t="s">
        <v>7087</v>
      </c>
      <c r="CC1956" s="2" t="s">
        <v>248</v>
      </c>
      <c r="CD1956" s="2" t="s">
        <v>248</v>
      </c>
      <c r="CE1956" s="2" t="s">
        <v>235</v>
      </c>
      <c r="CF1956" s="4">
        <v>306</v>
      </c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>
        <v>306</v>
      </c>
      <c r="GE1956" s="4">
        <v>305</v>
      </c>
      <c r="GF1956" s="4">
        <v>304</v>
      </c>
      <c r="GG1956" s="4">
        <v>303</v>
      </c>
      <c r="GH1956" s="4">
        <v>302</v>
      </c>
      <c r="GI1956" s="4">
        <v>301</v>
      </c>
      <c r="GJ1956" s="4">
        <v>300</v>
      </c>
      <c r="GK1956" s="4">
        <v>299</v>
      </c>
      <c r="GL1956" s="4">
        <v>298</v>
      </c>
      <c r="GM1956" s="4">
        <v>297</v>
      </c>
      <c r="GN1956" s="4">
        <v>296</v>
      </c>
      <c r="GO1956" s="4">
        <v>295</v>
      </c>
      <c r="GP1956" s="4">
        <v>294</v>
      </c>
      <c r="GQ1956" s="4">
        <v>291</v>
      </c>
      <c r="GR1956" s="4">
        <v>288</v>
      </c>
      <c r="GS1956" s="4">
        <v>286</v>
      </c>
      <c r="GT1956" s="4">
        <v>285</v>
      </c>
      <c r="GU1956" s="4">
        <v>284</v>
      </c>
      <c r="GV1956" s="4">
        <v>283</v>
      </c>
      <c r="GW1956" s="4">
        <v>282</v>
      </c>
      <c r="GX1956" s="4">
        <v>281</v>
      </c>
      <c r="GY1956" s="4">
        <v>280</v>
      </c>
      <c r="GZ1956" s="4">
        <v>279</v>
      </c>
      <c r="HA1956" s="4">
        <v>278</v>
      </c>
      <c r="HB1956" s="4">
        <v>277</v>
      </c>
      <c r="HC1956" s="4">
        <v>276</v>
      </c>
      <c r="HD1956" s="19">
        <v>306</v>
      </c>
      <c r="HE1956" s="19">
        <v>305</v>
      </c>
      <c r="HF1956" s="19">
        <v>304</v>
      </c>
      <c r="HG1956" s="19">
        <v>303</v>
      </c>
      <c r="HH1956" s="19">
        <v>302</v>
      </c>
      <c r="HI1956" s="19">
        <v>301</v>
      </c>
      <c r="HJ1956" s="19">
        <v>300</v>
      </c>
      <c r="HK1956" s="19">
        <v>299</v>
      </c>
      <c r="HL1956" s="19">
        <v>298</v>
      </c>
      <c r="HM1956" s="19">
        <v>148.5</v>
      </c>
      <c r="HN1956" s="19">
        <v>148</v>
      </c>
      <c r="HO1956" s="19">
        <v>147.5</v>
      </c>
      <c r="HP1956" s="19">
        <v>147</v>
      </c>
      <c r="HQ1956" s="19">
        <v>145.5</v>
      </c>
      <c r="HR1956" s="19">
        <v>288</v>
      </c>
      <c r="HS1956" s="19">
        <v>286</v>
      </c>
      <c r="HT1956" s="19">
        <v>285</v>
      </c>
      <c r="HU1956" s="19">
        <v>284</v>
      </c>
      <c r="HV1956" s="19">
        <v>283</v>
      </c>
      <c r="HW1956" s="19">
        <v>282</v>
      </c>
      <c r="HX1956" s="19">
        <v>281</v>
      </c>
      <c r="HY1956" s="19">
        <v>280</v>
      </c>
      <c r="HZ1956" s="19">
        <v>279</v>
      </c>
      <c r="IA1956" s="19">
        <v>278</v>
      </c>
      <c r="IB1956" s="19">
        <v>277</v>
      </c>
      <c r="IC1956" s="19">
        <v>276</v>
      </c>
    </row>
    <row r="1957">
      <c r="A1957" s="2" t="s">
        <v>7088</v>
      </c>
      <c r="B1957" s="2" t="s">
        <v>323</v>
      </c>
      <c r="C1957" s="2" t="s">
        <v>225</v>
      </c>
      <c r="D1957" s="2" t="s">
        <v>257</v>
      </c>
      <c r="E1957" s="2" t="s">
        <v>258</v>
      </c>
      <c r="F1957" s="2" t="s">
        <v>7073</v>
      </c>
      <c r="G1957" s="2" t="s">
        <v>7073</v>
      </c>
      <c r="H1957" s="2" t="s">
        <v>7073</v>
      </c>
      <c r="I1957" s="2" t="s">
        <v>405</v>
      </c>
      <c r="J1957" s="2" t="s">
        <v>270</v>
      </c>
      <c r="K1957" s="2" t="s">
        <v>292</v>
      </c>
      <c r="L1957" s="3">
        <v>24</v>
      </c>
      <c r="M1957" s="3">
        <v>25.2</v>
      </c>
      <c r="N1957" s="3">
        <v>49.99</v>
      </c>
      <c r="O1957" s="2" t="s">
        <v>232</v>
      </c>
      <c r="P1957" s="2" t="s">
        <v>233</v>
      </c>
      <c r="Q1957" s="2" t="s">
        <v>234</v>
      </c>
      <c r="R1957" s="2" t="s">
        <v>235</v>
      </c>
      <c r="S1957" s="2" t="s">
        <v>7086</v>
      </c>
      <c r="T1957" s="2" t="s">
        <v>7075</v>
      </c>
      <c r="U1957" s="2" t="s">
        <v>235</v>
      </c>
      <c r="V1957" s="2" t="s">
        <v>238</v>
      </c>
      <c r="W1957" s="2" t="s">
        <v>239</v>
      </c>
      <c r="X1957" s="2" t="s">
        <v>235</v>
      </c>
      <c r="Y1957" s="2" t="s">
        <v>6990</v>
      </c>
      <c r="Z1957" s="4">
        <v>355</v>
      </c>
      <c r="AA1957" s="4">
        <f>=ROUNDDOWN(56.3492063492063,0)</f>
      </c>
      <c r="AB1957" s="5">
        <v>6.3</v>
      </c>
      <c r="AC1957" s="2" t="s">
        <v>235</v>
      </c>
      <c r="AD1957" s="4"/>
      <c r="AE1957" s="4"/>
      <c r="AF1957" s="6">
        <v>66</v>
      </c>
      <c r="AG1957" s="6"/>
      <c r="AH1957" s="7">
        <v>1</v>
      </c>
      <c r="AI1957" s="4"/>
      <c r="AJ1957" s="4">
        <f>=ROUNDDOWN({0},0)</f>
      </c>
      <c r="AK1957" s="5"/>
      <c r="AL1957" s="2" t="s">
        <v>235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235</v>
      </c>
      <c r="AW1957" s="8" t="s">
        <v>235</v>
      </c>
      <c r="AX1957" s="4" t="s">
        <v>235</v>
      </c>
      <c r="AY1957" s="8" t="s">
        <v>235</v>
      </c>
      <c r="AZ1957" s="7" t="s">
        <v>235</v>
      </c>
      <c r="BA1957" s="7" t="s">
        <v>235</v>
      </c>
      <c r="BB1957" s="7"/>
      <c r="BC1957" s="4" t="s">
        <v>235</v>
      </c>
      <c r="BD1957" s="8" t="s">
        <v>235</v>
      </c>
      <c r="BE1957" s="4" t="s">
        <v>235</v>
      </c>
      <c r="BF1957" s="8" t="s">
        <v>235</v>
      </c>
      <c r="BG1957" s="7" t="s">
        <v>235</v>
      </c>
      <c r="BH1957" s="7" t="s">
        <v>235</v>
      </c>
      <c r="BI1957" s="7"/>
      <c r="BJ1957" s="4">
        <v>30</v>
      </c>
      <c r="BK1957" s="8">
        <v>884.13</v>
      </c>
      <c r="BL1957" s="2" t="s">
        <v>7089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7077</v>
      </c>
      <c r="BV1957" s="2" t="s">
        <v>243</v>
      </c>
      <c r="BW1957" s="2" t="s">
        <v>235</v>
      </c>
      <c r="BX1957" s="2" t="s">
        <v>244</v>
      </c>
      <c r="BY1957" s="2" t="s">
        <v>245</v>
      </c>
      <c r="BZ1957" s="2" t="s">
        <v>232</v>
      </c>
      <c r="CA1957" s="2" t="s">
        <v>7078</v>
      </c>
      <c r="CB1957" s="2" t="s">
        <v>3394</v>
      </c>
      <c r="CC1957" s="2" t="s">
        <v>248</v>
      </c>
      <c r="CD1957" s="2" t="s">
        <v>248</v>
      </c>
      <c r="CE1957" s="2" t="s">
        <v>235</v>
      </c>
      <c r="CF1957" s="4">
        <v>355</v>
      </c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>
        <v>359</v>
      </c>
      <c r="GE1957" s="4">
        <v>349</v>
      </c>
      <c r="GF1957" s="4">
        <v>343</v>
      </c>
      <c r="GG1957" s="4">
        <v>337</v>
      </c>
      <c r="GH1957" s="4">
        <v>331</v>
      </c>
      <c r="GI1957" s="4">
        <v>325</v>
      </c>
      <c r="GJ1957" s="4">
        <v>319</v>
      </c>
      <c r="GK1957" s="4">
        <v>313</v>
      </c>
      <c r="GL1957" s="4">
        <v>307</v>
      </c>
      <c r="GM1957" s="4">
        <v>301</v>
      </c>
      <c r="GN1957" s="4">
        <v>295</v>
      </c>
      <c r="GO1957" s="4">
        <v>288</v>
      </c>
      <c r="GP1957" s="4">
        <v>280</v>
      </c>
      <c r="GQ1957" s="4">
        <v>264</v>
      </c>
      <c r="GR1957" s="4">
        <v>249</v>
      </c>
      <c r="GS1957" s="4">
        <v>236</v>
      </c>
      <c r="GT1957" s="4">
        <v>229</v>
      </c>
      <c r="GU1957" s="4">
        <v>222</v>
      </c>
      <c r="GV1957" s="4">
        <v>215</v>
      </c>
      <c r="GW1957" s="4">
        <v>208</v>
      </c>
      <c r="GX1957" s="4">
        <v>345</v>
      </c>
      <c r="GY1957" s="4">
        <v>338</v>
      </c>
      <c r="GZ1957" s="4">
        <v>331</v>
      </c>
      <c r="HA1957" s="4">
        <v>324</v>
      </c>
      <c r="HB1957" s="4">
        <v>317</v>
      </c>
      <c r="HC1957" s="4">
        <v>309</v>
      </c>
      <c r="HD1957" s="19">
        <v>51.3</v>
      </c>
      <c r="HE1957" s="19">
        <v>58.2</v>
      </c>
      <c r="HF1957" s="19">
        <v>57.2</v>
      </c>
      <c r="HG1957" s="19">
        <v>56.2</v>
      </c>
      <c r="HH1957" s="19">
        <v>55.2</v>
      </c>
      <c r="HI1957" s="19">
        <v>54.2</v>
      </c>
      <c r="HJ1957" s="19">
        <v>53.2</v>
      </c>
      <c r="HK1957" s="19">
        <v>52.2</v>
      </c>
      <c r="HL1957" s="19">
        <v>43.9</v>
      </c>
      <c r="HM1957" s="19">
        <v>33.4</v>
      </c>
      <c r="HN1957" s="19">
        <v>24.6</v>
      </c>
      <c r="HO1957" s="19">
        <v>22.2</v>
      </c>
      <c r="HP1957" s="19">
        <v>21.5</v>
      </c>
      <c r="HQ1957" s="19">
        <v>26.4</v>
      </c>
      <c r="HR1957" s="19">
        <v>31.1</v>
      </c>
      <c r="HS1957" s="19">
        <v>33.7</v>
      </c>
      <c r="HT1957" s="19">
        <v>32.7</v>
      </c>
      <c r="HU1957" s="19">
        <v>31.7</v>
      </c>
      <c r="HV1957" s="19">
        <v>30.7</v>
      </c>
      <c r="HW1957" s="19">
        <v>29.7</v>
      </c>
      <c r="HX1957" s="19">
        <v>49.3</v>
      </c>
      <c r="HY1957" s="19">
        <v>48.3</v>
      </c>
      <c r="HZ1957" s="19">
        <v>47.3</v>
      </c>
      <c r="IA1957" s="19">
        <v>46.3</v>
      </c>
      <c r="IB1957" s="19">
        <v>45.3</v>
      </c>
      <c r="IC1957" s="19">
        <v>44.1</v>
      </c>
    </row>
    <row r="1958">
      <c r="A1958" s="2" t="s">
        <v>7090</v>
      </c>
      <c r="B1958" s="2" t="s">
        <v>323</v>
      </c>
      <c r="C1958" s="2" t="s">
        <v>225</v>
      </c>
      <c r="D1958" s="2" t="s">
        <v>257</v>
      </c>
      <c r="E1958" s="2" t="s">
        <v>258</v>
      </c>
      <c r="F1958" s="2" t="s">
        <v>7073</v>
      </c>
      <c r="G1958" s="2" t="s">
        <v>7073</v>
      </c>
      <c r="H1958" s="2" t="s">
        <v>7073</v>
      </c>
      <c r="I1958" s="2" t="s">
        <v>405</v>
      </c>
      <c r="J1958" s="2" t="s">
        <v>272</v>
      </c>
      <c r="K1958" s="2" t="s">
        <v>292</v>
      </c>
      <c r="L1958" s="3">
        <v>24.05</v>
      </c>
      <c r="M1958" s="3">
        <v>25.25</v>
      </c>
      <c r="N1958" s="3">
        <v>47.99</v>
      </c>
      <c r="O1958" s="2" t="s">
        <v>232</v>
      </c>
      <c r="P1958" s="2" t="s">
        <v>233</v>
      </c>
      <c r="Q1958" s="2" t="s">
        <v>234</v>
      </c>
      <c r="R1958" s="2" t="s">
        <v>235</v>
      </c>
      <c r="S1958" s="2" t="s">
        <v>7086</v>
      </c>
      <c r="T1958" s="2" t="s">
        <v>7075</v>
      </c>
      <c r="U1958" s="2" t="s">
        <v>235</v>
      </c>
      <c r="V1958" s="2" t="s">
        <v>238</v>
      </c>
      <c r="W1958" s="2" t="s">
        <v>239</v>
      </c>
      <c r="X1958" s="2" t="s">
        <v>235</v>
      </c>
      <c r="Y1958" s="2" t="s">
        <v>6990</v>
      </c>
      <c r="Z1958" s="4">
        <v>76</v>
      </c>
      <c r="AA1958" s="4">
        <f>=ROUNDDOWN(26.2068965517241,0)</f>
      </c>
      <c r="AB1958" s="5">
        <v>2.9</v>
      </c>
      <c r="AC1958" s="2" t="s">
        <v>235</v>
      </c>
      <c r="AD1958" s="4"/>
      <c r="AE1958" s="4"/>
      <c r="AF1958" s="6">
        <v>66</v>
      </c>
      <c r="AG1958" s="6"/>
      <c r="AH1958" s="7">
        <v>1</v>
      </c>
      <c r="AI1958" s="4"/>
      <c r="AJ1958" s="4">
        <f>=ROUNDDOWN({0},0)</f>
      </c>
      <c r="AK1958" s="5"/>
      <c r="AL1958" s="2" t="s">
        <v>235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235</v>
      </c>
      <c r="AW1958" s="8" t="s">
        <v>235</v>
      </c>
      <c r="AX1958" s="4" t="s">
        <v>235</v>
      </c>
      <c r="AY1958" s="8" t="s">
        <v>235</v>
      </c>
      <c r="AZ1958" s="7" t="s">
        <v>235</v>
      </c>
      <c r="BA1958" s="7" t="s">
        <v>235</v>
      </c>
      <c r="BB1958" s="7"/>
      <c r="BC1958" s="4" t="s">
        <v>235</v>
      </c>
      <c r="BD1958" s="8" t="s">
        <v>235</v>
      </c>
      <c r="BE1958" s="4" t="s">
        <v>235</v>
      </c>
      <c r="BF1958" s="8" t="s">
        <v>235</v>
      </c>
      <c r="BG1958" s="7" t="s">
        <v>235</v>
      </c>
      <c r="BH1958" s="7" t="s">
        <v>235</v>
      </c>
      <c r="BI1958" s="7"/>
      <c r="BJ1958" s="4">
        <v>12</v>
      </c>
      <c r="BK1958" s="8">
        <v>356.19</v>
      </c>
      <c r="BL1958" s="2" t="s">
        <v>7091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7077</v>
      </c>
      <c r="BV1958" s="2" t="s">
        <v>243</v>
      </c>
      <c r="BW1958" s="2" t="s">
        <v>235</v>
      </c>
      <c r="BX1958" s="2" t="s">
        <v>244</v>
      </c>
      <c r="BY1958" s="2" t="s">
        <v>245</v>
      </c>
      <c r="BZ1958" s="2" t="s">
        <v>232</v>
      </c>
      <c r="CA1958" s="2" t="s">
        <v>7078</v>
      </c>
      <c r="CB1958" s="2" t="s">
        <v>7092</v>
      </c>
      <c r="CC1958" s="2" t="s">
        <v>248</v>
      </c>
      <c r="CD1958" s="2" t="s">
        <v>248</v>
      </c>
      <c r="CE1958" s="2" t="s">
        <v>235</v>
      </c>
      <c r="CF1958" s="4">
        <v>76</v>
      </c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>
        <v>77</v>
      </c>
      <c r="GE1958" s="4">
        <v>74</v>
      </c>
      <c r="GF1958" s="4">
        <v>71</v>
      </c>
      <c r="GG1958" s="4">
        <v>68</v>
      </c>
      <c r="GH1958" s="4">
        <v>65</v>
      </c>
      <c r="GI1958" s="4">
        <v>62</v>
      </c>
      <c r="GJ1958" s="4">
        <v>59</v>
      </c>
      <c r="GK1958" s="4">
        <v>56</v>
      </c>
      <c r="GL1958" s="4">
        <v>53</v>
      </c>
      <c r="GM1958" s="4">
        <v>50</v>
      </c>
      <c r="GN1958" s="4">
        <v>47</v>
      </c>
      <c r="GO1958" s="4">
        <v>42</v>
      </c>
      <c r="GP1958" s="4">
        <v>37</v>
      </c>
      <c r="GQ1958" s="4">
        <v>26</v>
      </c>
      <c r="GR1958" s="4">
        <v>16</v>
      </c>
      <c r="GS1958" s="4">
        <v>7</v>
      </c>
      <c r="GT1958" s="4">
        <v>2</v>
      </c>
      <c r="GU1958" s="4"/>
      <c r="GV1958" s="4"/>
      <c r="GW1958" s="4"/>
      <c r="GX1958" s="4">
        <v>167</v>
      </c>
      <c r="GY1958" s="4">
        <v>164</v>
      </c>
      <c r="GZ1958" s="4">
        <v>161</v>
      </c>
      <c r="HA1958" s="4">
        <v>158</v>
      </c>
      <c r="HB1958" s="4">
        <v>155</v>
      </c>
      <c r="HC1958" s="4">
        <v>151</v>
      </c>
      <c r="HD1958" s="19">
        <v>25.7</v>
      </c>
      <c r="HE1958" s="19">
        <v>24.7</v>
      </c>
      <c r="HF1958" s="19">
        <v>23.7</v>
      </c>
      <c r="HG1958" s="19">
        <v>22.7</v>
      </c>
      <c r="HH1958" s="19">
        <v>21.7</v>
      </c>
      <c r="HI1958" s="19">
        <v>20.7</v>
      </c>
      <c r="HJ1958" s="19">
        <v>19.7</v>
      </c>
      <c r="HK1958" s="19">
        <v>14</v>
      </c>
      <c r="HL1958" s="19">
        <v>13.3</v>
      </c>
      <c r="HM1958" s="19">
        <v>8.3</v>
      </c>
      <c r="HN1958" s="19">
        <v>5.9</v>
      </c>
      <c r="HO1958" s="19">
        <v>4.7</v>
      </c>
      <c r="HP1958" s="19">
        <v>4.1</v>
      </c>
      <c r="HQ1958" s="19">
        <v>3.7</v>
      </c>
      <c r="HR1958" s="19">
        <v>3.2</v>
      </c>
      <c r="HS1958" s="19">
        <v>1.8</v>
      </c>
      <c r="HT1958" s="19">
        <v>0.7</v>
      </c>
      <c r="HU1958" s="20">
        <v>0</v>
      </c>
      <c r="HV1958" s="20">
        <v>0</v>
      </c>
      <c r="HW1958" s="20">
        <v>0</v>
      </c>
      <c r="HX1958" s="19">
        <v>55.7</v>
      </c>
      <c r="HY1958" s="19">
        <v>54.7</v>
      </c>
      <c r="HZ1958" s="19">
        <v>53.7</v>
      </c>
      <c r="IA1958" s="19">
        <v>52.7</v>
      </c>
      <c r="IB1958" s="19">
        <v>51.7</v>
      </c>
      <c r="IC1958" s="19">
        <v>50.3</v>
      </c>
    </row>
    <row r="1959">
      <c r="A1959" s="2" t="s">
        <v>7093</v>
      </c>
      <c r="B1959" s="2" t="s">
        <v>323</v>
      </c>
      <c r="C1959" s="2" t="s">
        <v>225</v>
      </c>
      <c r="D1959" s="2" t="s">
        <v>257</v>
      </c>
      <c r="E1959" s="2" t="s">
        <v>258</v>
      </c>
      <c r="F1959" s="2" t="s">
        <v>7073</v>
      </c>
      <c r="G1959" s="2" t="s">
        <v>7073</v>
      </c>
      <c r="H1959" s="2" t="s">
        <v>7073</v>
      </c>
      <c r="I1959" s="2" t="s">
        <v>405</v>
      </c>
      <c r="J1959" s="2" t="s">
        <v>394</v>
      </c>
      <c r="K1959" s="2" t="s">
        <v>295</v>
      </c>
      <c r="L1959" s="3">
        <v>18.14</v>
      </c>
      <c r="M1959" s="3">
        <v>19.05</v>
      </c>
      <c r="N1959" s="3">
        <v>34.99</v>
      </c>
      <c r="O1959" s="2" t="s">
        <v>232</v>
      </c>
      <c r="P1959" s="2" t="s">
        <v>965</v>
      </c>
      <c r="Q1959" s="2" t="s">
        <v>234</v>
      </c>
      <c r="R1959" s="2" t="s">
        <v>235</v>
      </c>
      <c r="S1959" s="2" t="s">
        <v>7094</v>
      </c>
      <c r="T1959" s="2" t="s">
        <v>7075</v>
      </c>
      <c r="U1959" s="2" t="s">
        <v>235</v>
      </c>
      <c r="V1959" s="2" t="s">
        <v>238</v>
      </c>
      <c r="W1959" s="2" t="s">
        <v>239</v>
      </c>
      <c r="X1959" s="2" t="s">
        <v>235</v>
      </c>
      <c r="Y1959" s="2" t="s">
        <v>240</v>
      </c>
      <c r="Z1959" s="4">
        <v>57</v>
      </c>
      <c r="AA1959" s="4">
        <f>=ROUNDDOWN(57,0)</f>
      </c>
      <c r="AB1959" s="5">
        <v>1</v>
      </c>
      <c r="AC1959" s="2" t="s">
        <v>235</v>
      </c>
      <c r="AD1959" s="4"/>
      <c r="AE1959" s="4"/>
      <c r="AF1959" s="6">
        <v>66</v>
      </c>
      <c r="AG1959" s="6"/>
      <c r="AH1959" s="7">
        <v>1</v>
      </c>
      <c r="AI1959" s="4"/>
      <c r="AJ1959" s="4">
        <f>=ROUNDDOWN({0},0)</f>
      </c>
      <c r="AK1959" s="5"/>
      <c r="AL1959" s="2" t="s">
        <v>235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235</v>
      </c>
      <c r="AW1959" s="8" t="s">
        <v>235</v>
      </c>
      <c r="AX1959" s="4" t="s">
        <v>235</v>
      </c>
      <c r="AY1959" s="8" t="s">
        <v>235</v>
      </c>
      <c r="AZ1959" s="7" t="s">
        <v>235</v>
      </c>
      <c r="BA1959" s="7" t="s">
        <v>235</v>
      </c>
      <c r="BB1959" s="7"/>
      <c r="BC1959" s="4" t="s">
        <v>235</v>
      </c>
      <c r="BD1959" s="8" t="s">
        <v>235</v>
      </c>
      <c r="BE1959" s="4" t="s">
        <v>235</v>
      </c>
      <c r="BF1959" s="8" t="s">
        <v>235</v>
      </c>
      <c r="BG1959" s="7" t="s">
        <v>235</v>
      </c>
      <c r="BH1959" s="7" t="s">
        <v>235</v>
      </c>
      <c r="BI1959" s="7"/>
      <c r="BJ1959" s="4"/>
      <c r="BK1959" s="8"/>
      <c r="BL1959" s="2" t="s">
        <v>7095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7077</v>
      </c>
      <c r="BV1959" s="2" t="s">
        <v>243</v>
      </c>
      <c r="BW1959" s="2" t="s">
        <v>235</v>
      </c>
      <c r="BX1959" s="2" t="s">
        <v>244</v>
      </c>
      <c r="BY1959" s="2" t="s">
        <v>245</v>
      </c>
      <c r="BZ1959" s="2" t="s">
        <v>232</v>
      </c>
      <c r="CA1959" s="2" t="s">
        <v>7078</v>
      </c>
      <c r="CB1959" s="2" t="s">
        <v>5615</v>
      </c>
      <c r="CC1959" s="2" t="s">
        <v>248</v>
      </c>
      <c r="CD1959" s="2" t="s">
        <v>248</v>
      </c>
      <c r="CE1959" s="2" t="s">
        <v>235</v>
      </c>
      <c r="CF1959" s="4">
        <v>57</v>
      </c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>
        <v>57</v>
      </c>
      <c r="GE1959" s="4">
        <v>56</v>
      </c>
      <c r="GF1959" s="4">
        <v>55</v>
      </c>
      <c r="GG1959" s="4">
        <v>54</v>
      </c>
      <c r="GH1959" s="4">
        <v>53</v>
      </c>
      <c r="GI1959" s="4">
        <v>52</v>
      </c>
      <c r="GJ1959" s="4">
        <v>51</v>
      </c>
      <c r="GK1959" s="4">
        <v>50</v>
      </c>
      <c r="GL1959" s="4">
        <v>49</v>
      </c>
      <c r="GM1959" s="4">
        <v>48</v>
      </c>
      <c r="GN1959" s="4">
        <v>47</v>
      </c>
      <c r="GO1959" s="4">
        <v>46</v>
      </c>
      <c r="GP1959" s="4">
        <v>45</v>
      </c>
      <c r="GQ1959" s="4">
        <v>42</v>
      </c>
      <c r="GR1959" s="4">
        <v>39</v>
      </c>
      <c r="GS1959" s="4">
        <v>37</v>
      </c>
      <c r="GT1959" s="4">
        <v>36</v>
      </c>
      <c r="GU1959" s="4">
        <v>35</v>
      </c>
      <c r="GV1959" s="4">
        <v>34</v>
      </c>
      <c r="GW1959" s="4">
        <v>33</v>
      </c>
      <c r="GX1959" s="4">
        <v>46</v>
      </c>
      <c r="GY1959" s="4">
        <v>45</v>
      </c>
      <c r="GZ1959" s="4">
        <v>44</v>
      </c>
      <c r="HA1959" s="4">
        <v>43</v>
      </c>
      <c r="HB1959" s="4">
        <v>42</v>
      </c>
      <c r="HC1959" s="4">
        <v>41</v>
      </c>
      <c r="HD1959" s="19">
        <v>57</v>
      </c>
      <c r="HE1959" s="19">
        <v>56</v>
      </c>
      <c r="HF1959" s="19">
        <v>55</v>
      </c>
      <c r="HG1959" s="19">
        <v>54</v>
      </c>
      <c r="HH1959" s="19">
        <v>53</v>
      </c>
      <c r="HI1959" s="19">
        <v>52</v>
      </c>
      <c r="HJ1959" s="19">
        <v>51</v>
      </c>
      <c r="HK1959" s="19">
        <v>50</v>
      </c>
      <c r="HL1959" s="19">
        <v>49</v>
      </c>
      <c r="HM1959" s="19">
        <v>24</v>
      </c>
      <c r="HN1959" s="19">
        <v>23.5</v>
      </c>
      <c r="HO1959" s="19">
        <v>23</v>
      </c>
      <c r="HP1959" s="19">
        <v>22.5</v>
      </c>
      <c r="HQ1959" s="19">
        <v>21</v>
      </c>
      <c r="HR1959" s="19">
        <v>39</v>
      </c>
      <c r="HS1959" s="19">
        <v>37</v>
      </c>
      <c r="HT1959" s="19">
        <v>36</v>
      </c>
      <c r="HU1959" s="19">
        <v>35</v>
      </c>
      <c r="HV1959" s="19">
        <v>34</v>
      </c>
      <c r="HW1959" s="19">
        <v>33</v>
      </c>
      <c r="HX1959" s="19">
        <v>46</v>
      </c>
      <c r="HY1959" s="19">
        <v>45</v>
      </c>
      <c r="HZ1959" s="19">
        <v>44</v>
      </c>
      <c r="IA1959" s="19">
        <v>43</v>
      </c>
      <c r="IB1959" s="19">
        <v>42</v>
      </c>
      <c r="IC1959" s="19">
        <v>41</v>
      </c>
    </row>
    <row r="1960">
      <c r="A1960" s="2" t="s">
        <v>7096</v>
      </c>
      <c r="B1960" s="2" t="s">
        <v>323</v>
      </c>
      <c r="C1960" s="2" t="s">
        <v>225</v>
      </c>
      <c r="D1960" s="2" t="s">
        <v>257</v>
      </c>
      <c r="E1960" s="2" t="s">
        <v>258</v>
      </c>
      <c r="F1960" s="2" t="s">
        <v>7073</v>
      </c>
      <c r="G1960" s="2" t="s">
        <v>7073</v>
      </c>
      <c r="H1960" s="2" t="s">
        <v>7073</v>
      </c>
      <c r="I1960" s="2" t="s">
        <v>405</v>
      </c>
      <c r="J1960" s="2" t="s">
        <v>261</v>
      </c>
      <c r="K1960" s="2" t="s">
        <v>295</v>
      </c>
      <c r="L1960" s="3">
        <v>21.17</v>
      </c>
      <c r="M1960" s="3">
        <v>22.23</v>
      </c>
      <c r="N1960" s="3">
        <v>42.99</v>
      </c>
      <c r="O1960" s="2" t="s">
        <v>232</v>
      </c>
      <c r="P1960" s="2" t="s">
        <v>233</v>
      </c>
      <c r="Q1960" s="2" t="s">
        <v>234</v>
      </c>
      <c r="R1960" s="2" t="s">
        <v>235</v>
      </c>
      <c r="S1960" s="2" t="s">
        <v>7094</v>
      </c>
      <c r="T1960" s="2" t="s">
        <v>7075</v>
      </c>
      <c r="U1960" s="2" t="s">
        <v>235</v>
      </c>
      <c r="V1960" s="2" t="s">
        <v>238</v>
      </c>
      <c r="W1960" s="2" t="s">
        <v>239</v>
      </c>
      <c r="X1960" s="2" t="s">
        <v>235</v>
      </c>
      <c r="Y1960" s="2" t="s">
        <v>7097</v>
      </c>
      <c r="Z1960" s="4">
        <v>238</v>
      </c>
      <c r="AA1960" s="4">
        <f>=ROUNDDOWN(39.6666666666667,0)</f>
      </c>
      <c r="AB1960" s="5">
        <v>6</v>
      </c>
      <c r="AC1960" s="2" t="s">
        <v>235</v>
      </c>
      <c r="AD1960" s="4"/>
      <c r="AE1960" s="4"/>
      <c r="AF1960" s="6">
        <v>66</v>
      </c>
      <c r="AG1960" s="6"/>
      <c r="AH1960" s="7">
        <v>1</v>
      </c>
      <c r="AI1960" s="4"/>
      <c r="AJ1960" s="4">
        <f>=ROUNDDOWN({0},0)</f>
      </c>
      <c r="AK1960" s="5"/>
      <c r="AL1960" s="2" t="s">
        <v>235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235</v>
      </c>
      <c r="AW1960" s="8" t="s">
        <v>235</v>
      </c>
      <c r="AX1960" s="4" t="s">
        <v>235</v>
      </c>
      <c r="AY1960" s="8" t="s">
        <v>235</v>
      </c>
      <c r="AZ1960" s="7" t="s">
        <v>235</v>
      </c>
      <c r="BA1960" s="7" t="s">
        <v>235</v>
      </c>
      <c r="BB1960" s="7"/>
      <c r="BC1960" s="4" t="s">
        <v>235</v>
      </c>
      <c r="BD1960" s="8" t="s">
        <v>235</v>
      </c>
      <c r="BE1960" s="4" t="s">
        <v>235</v>
      </c>
      <c r="BF1960" s="8" t="s">
        <v>235</v>
      </c>
      <c r="BG1960" s="7" t="s">
        <v>235</v>
      </c>
      <c r="BH1960" s="7" t="s">
        <v>235</v>
      </c>
      <c r="BI1960" s="7"/>
      <c r="BJ1960" s="4">
        <v>41</v>
      </c>
      <c r="BK1960" s="8">
        <v>1111.6</v>
      </c>
      <c r="BL1960" s="2" t="s">
        <v>7098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7077</v>
      </c>
      <c r="BV1960" s="2" t="s">
        <v>243</v>
      </c>
      <c r="BW1960" s="2" t="s">
        <v>235</v>
      </c>
      <c r="BX1960" s="2" t="s">
        <v>244</v>
      </c>
      <c r="BY1960" s="2" t="s">
        <v>245</v>
      </c>
      <c r="BZ1960" s="2" t="s">
        <v>232</v>
      </c>
      <c r="CA1960" s="2" t="s">
        <v>7078</v>
      </c>
      <c r="CB1960" s="2" t="s">
        <v>7099</v>
      </c>
      <c r="CC1960" s="2" t="s">
        <v>248</v>
      </c>
      <c r="CD1960" s="2" t="s">
        <v>248</v>
      </c>
      <c r="CE1960" s="2" t="s">
        <v>235</v>
      </c>
      <c r="CF1960" s="4">
        <v>238</v>
      </c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>
        <v>244</v>
      </c>
      <c r="GE1960" s="4">
        <v>233</v>
      </c>
      <c r="GF1960" s="4">
        <v>227</v>
      </c>
      <c r="GG1960" s="4">
        <v>221</v>
      </c>
      <c r="GH1960" s="4">
        <v>215</v>
      </c>
      <c r="GI1960" s="4">
        <v>209</v>
      </c>
      <c r="GJ1960" s="4">
        <v>203</v>
      </c>
      <c r="GK1960" s="4">
        <v>197</v>
      </c>
      <c r="GL1960" s="4">
        <v>191</v>
      </c>
      <c r="GM1960" s="4">
        <v>185</v>
      </c>
      <c r="GN1960" s="4">
        <v>179</v>
      </c>
      <c r="GO1960" s="4">
        <v>172</v>
      </c>
      <c r="GP1960" s="4">
        <v>164</v>
      </c>
      <c r="GQ1960" s="4">
        <v>148</v>
      </c>
      <c r="GR1960" s="4">
        <v>133</v>
      </c>
      <c r="GS1960" s="4">
        <v>120</v>
      </c>
      <c r="GT1960" s="4">
        <v>113</v>
      </c>
      <c r="GU1960" s="4">
        <v>107</v>
      </c>
      <c r="GV1960" s="4">
        <v>101</v>
      </c>
      <c r="GW1960" s="4">
        <v>95</v>
      </c>
      <c r="GX1960" s="4">
        <v>302</v>
      </c>
      <c r="GY1960" s="4">
        <v>296</v>
      </c>
      <c r="GZ1960" s="4">
        <v>290</v>
      </c>
      <c r="HA1960" s="4">
        <v>284</v>
      </c>
      <c r="HB1960" s="4">
        <v>278</v>
      </c>
      <c r="HC1960" s="4">
        <v>271</v>
      </c>
      <c r="HD1960" s="19">
        <v>34.9</v>
      </c>
      <c r="HE1960" s="19">
        <v>38.8</v>
      </c>
      <c r="HF1960" s="19">
        <v>37.8</v>
      </c>
      <c r="HG1960" s="19">
        <v>36.8</v>
      </c>
      <c r="HH1960" s="19">
        <v>35.8</v>
      </c>
      <c r="HI1960" s="19">
        <v>34.8</v>
      </c>
      <c r="HJ1960" s="19">
        <v>33.8</v>
      </c>
      <c r="HK1960" s="19">
        <v>32.8</v>
      </c>
      <c r="HL1960" s="19">
        <v>27.3</v>
      </c>
      <c r="HM1960" s="19">
        <v>20.6</v>
      </c>
      <c r="HN1960" s="19">
        <v>14.9</v>
      </c>
      <c r="HO1960" s="19">
        <v>13.2</v>
      </c>
      <c r="HP1960" s="19">
        <v>12.6</v>
      </c>
      <c r="HQ1960" s="19">
        <v>14.8</v>
      </c>
      <c r="HR1960" s="19">
        <v>16.6</v>
      </c>
      <c r="HS1960" s="19">
        <v>20</v>
      </c>
      <c r="HT1960" s="19">
        <v>18.8</v>
      </c>
      <c r="HU1960" s="19">
        <v>17.8</v>
      </c>
      <c r="HV1960" s="19">
        <v>16.8</v>
      </c>
      <c r="HW1960" s="19">
        <v>15.8</v>
      </c>
      <c r="HX1960" s="19">
        <v>50.3</v>
      </c>
      <c r="HY1960" s="19">
        <v>49.3</v>
      </c>
      <c r="HZ1960" s="19">
        <v>48.3</v>
      </c>
      <c r="IA1960" s="19">
        <v>47.3</v>
      </c>
      <c r="IB1960" s="19">
        <v>46.3</v>
      </c>
      <c r="IC1960" s="19">
        <v>45.2</v>
      </c>
    </row>
    <row r="1961">
      <c r="A1961" s="2" t="s">
        <v>7100</v>
      </c>
      <c r="B1961" s="2" t="s">
        <v>323</v>
      </c>
      <c r="C1961" s="2" t="s">
        <v>225</v>
      </c>
      <c r="D1961" s="2" t="s">
        <v>257</v>
      </c>
      <c r="E1961" s="2" t="s">
        <v>258</v>
      </c>
      <c r="F1961" s="2" t="s">
        <v>7073</v>
      </c>
      <c r="G1961" s="2" t="s">
        <v>7073</v>
      </c>
      <c r="H1961" s="2" t="s">
        <v>7073</v>
      </c>
      <c r="I1961" s="2" t="s">
        <v>405</v>
      </c>
      <c r="J1961" s="2" t="s">
        <v>270</v>
      </c>
      <c r="K1961" s="2" t="s">
        <v>295</v>
      </c>
      <c r="L1961" s="3">
        <v>24</v>
      </c>
      <c r="M1961" s="3">
        <v>25.2</v>
      </c>
      <c r="N1961" s="3">
        <v>49.99</v>
      </c>
      <c r="O1961" s="2" t="s">
        <v>232</v>
      </c>
      <c r="P1961" s="2" t="s">
        <v>233</v>
      </c>
      <c r="Q1961" s="2" t="s">
        <v>234</v>
      </c>
      <c r="R1961" s="2" t="s">
        <v>235</v>
      </c>
      <c r="S1961" s="2" t="s">
        <v>7094</v>
      </c>
      <c r="T1961" s="2" t="s">
        <v>7075</v>
      </c>
      <c r="U1961" s="2" t="s">
        <v>235</v>
      </c>
      <c r="V1961" s="2" t="s">
        <v>238</v>
      </c>
      <c r="W1961" s="2" t="s">
        <v>239</v>
      </c>
      <c r="X1961" s="2" t="s">
        <v>235</v>
      </c>
      <c r="Y1961" s="2" t="s">
        <v>240</v>
      </c>
      <c r="Z1961" s="4">
        <v>64</v>
      </c>
      <c r="AA1961" s="4">
        <f>=ROUNDDOWN(10.6666666666667,0)</f>
      </c>
      <c r="AB1961" s="5">
        <v>6</v>
      </c>
      <c r="AC1961" s="2" t="s">
        <v>235</v>
      </c>
      <c r="AD1961" s="4"/>
      <c r="AE1961" s="4"/>
      <c r="AF1961" s="6">
        <v>66</v>
      </c>
      <c r="AG1961" s="6"/>
      <c r="AH1961" s="7">
        <v>1</v>
      </c>
      <c r="AI1961" s="4"/>
      <c r="AJ1961" s="4">
        <f>=ROUNDDOWN({0},0)</f>
      </c>
      <c r="AK1961" s="5"/>
      <c r="AL1961" s="2" t="s">
        <v>235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235</v>
      </c>
      <c r="AW1961" s="8" t="s">
        <v>235</v>
      </c>
      <c r="AX1961" s="4" t="s">
        <v>235</v>
      </c>
      <c r="AY1961" s="8" t="s">
        <v>235</v>
      </c>
      <c r="AZ1961" s="7" t="s">
        <v>235</v>
      </c>
      <c r="BA1961" s="7" t="s">
        <v>235</v>
      </c>
      <c r="BB1961" s="7"/>
      <c r="BC1961" s="4" t="s">
        <v>235</v>
      </c>
      <c r="BD1961" s="8" t="s">
        <v>235</v>
      </c>
      <c r="BE1961" s="4" t="s">
        <v>235</v>
      </c>
      <c r="BF1961" s="8" t="s">
        <v>235</v>
      </c>
      <c r="BG1961" s="7" t="s">
        <v>235</v>
      </c>
      <c r="BH1961" s="7" t="s">
        <v>235</v>
      </c>
      <c r="BI1961" s="7"/>
      <c r="BJ1961" s="4">
        <v>46</v>
      </c>
      <c r="BK1961" s="8">
        <v>1444.95</v>
      </c>
      <c r="BL1961" s="2" t="s">
        <v>7101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7077</v>
      </c>
      <c r="BV1961" s="2" t="s">
        <v>243</v>
      </c>
      <c r="BW1961" s="2" t="s">
        <v>235</v>
      </c>
      <c r="BX1961" s="2" t="s">
        <v>244</v>
      </c>
      <c r="BY1961" s="2" t="s">
        <v>245</v>
      </c>
      <c r="BZ1961" s="2" t="s">
        <v>232</v>
      </c>
      <c r="CA1961" s="2" t="s">
        <v>7078</v>
      </c>
      <c r="CB1961" s="2" t="s">
        <v>1559</v>
      </c>
      <c r="CC1961" s="2" t="s">
        <v>248</v>
      </c>
      <c r="CD1961" s="2" t="s">
        <v>248</v>
      </c>
      <c r="CE1961" s="2" t="s">
        <v>235</v>
      </c>
      <c r="CF1961" s="4">
        <v>64</v>
      </c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>
        <v>66</v>
      </c>
      <c r="GE1961" s="4">
        <v>58</v>
      </c>
      <c r="GF1961" s="4">
        <v>52</v>
      </c>
      <c r="GG1961" s="4">
        <v>46</v>
      </c>
      <c r="GH1961" s="4">
        <v>40</v>
      </c>
      <c r="GI1961" s="4">
        <v>34</v>
      </c>
      <c r="GJ1961" s="4">
        <v>28</v>
      </c>
      <c r="GK1961" s="4">
        <v>22</v>
      </c>
      <c r="GL1961" s="4">
        <v>16</v>
      </c>
      <c r="GM1961" s="4">
        <v>10</v>
      </c>
      <c r="GN1961" s="4">
        <v>4</v>
      </c>
      <c r="GO1961" s="4"/>
      <c r="GP1961" s="4"/>
      <c r="GQ1961" s="4"/>
      <c r="GR1961" s="4"/>
      <c r="GS1961" s="4"/>
      <c r="GT1961" s="4"/>
      <c r="GU1961" s="4"/>
      <c r="GV1961" s="4"/>
      <c r="GW1961" s="4"/>
      <c r="GX1961" s="4">
        <v>287</v>
      </c>
      <c r="GY1961" s="4">
        <v>281</v>
      </c>
      <c r="GZ1961" s="4">
        <v>275</v>
      </c>
      <c r="HA1961" s="4">
        <v>269</v>
      </c>
      <c r="HB1961" s="4">
        <v>263</v>
      </c>
      <c r="HC1961" s="4">
        <v>256</v>
      </c>
      <c r="HD1961" s="19">
        <v>11</v>
      </c>
      <c r="HE1961" s="19">
        <v>9.7</v>
      </c>
      <c r="HF1961" s="19">
        <v>8.7</v>
      </c>
      <c r="HG1961" s="19">
        <v>7.7</v>
      </c>
      <c r="HH1961" s="19">
        <v>6.7</v>
      </c>
      <c r="HI1961" s="19">
        <v>5.7</v>
      </c>
      <c r="HJ1961" s="19">
        <v>4.7</v>
      </c>
      <c r="HK1961" s="19">
        <v>3.7</v>
      </c>
      <c r="HL1961" s="19">
        <v>2.7</v>
      </c>
      <c r="HM1961" s="19">
        <v>1.3</v>
      </c>
      <c r="HN1961" s="19">
        <v>0.4</v>
      </c>
      <c r="HO1961" s="20">
        <v>0</v>
      </c>
      <c r="HP1961" s="20">
        <v>0</v>
      </c>
      <c r="HQ1961" s="20">
        <v>0</v>
      </c>
      <c r="HR1961" s="20">
        <v>0</v>
      </c>
      <c r="HS1961" s="20">
        <v>0</v>
      </c>
      <c r="HT1961" s="20">
        <v>0</v>
      </c>
      <c r="HU1961" s="20">
        <v>0</v>
      </c>
      <c r="HV1961" s="20">
        <v>0</v>
      </c>
      <c r="HW1961" s="20">
        <v>0</v>
      </c>
      <c r="HX1961" s="19">
        <v>47.8</v>
      </c>
      <c r="HY1961" s="19">
        <v>46.8</v>
      </c>
      <c r="HZ1961" s="19">
        <v>45.8</v>
      </c>
      <c r="IA1961" s="19">
        <v>44.8</v>
      </c>
      <c r="IB1961" s="19">
        <v>43.8</v>
      </c>
      <c r="IC1961" s="19">
        <v>42.7</v>
      </c>
    </row>
    <row r="1962">
      <c r="A1962" s="2" t="s">
        <v>7102</v>
      </c>
      <c r="B1962" s="2" t="s">
        <v>323</v>
      </c>
      <c r="C1962" s="2" t="s">
        <v>225</v>
      </c>
      <c r="D1962" s="2" t="s">
        <v>257</v>
      </c>
      <c r="E1962" s="2" t="s">
        <v>258</v>
      </c>
      <c r="F1962" s="2" t="s">
        <v>7073</v>
      </c>
      <c r="G1962" s="2" t="s">
        <v>7073</v>
      </c>
      <c r="H1962" s="2" t="s">
        <v>7073</v>
      </c>
      <c r="I1962" s="2" t="s">
        <v>405</v>
      </c>
      <c r="J1962" s="2" t="s">
        <v>394</v>
      </c>
      <c r="K1962" s="2" t="s">
        <v>1546</v>
      </c>
      <c r="L1962" s="3">
        <v>18.14</v>
      </c>
      <c r="M1962" s="3">
        <v>19.05</v>
      </c>
      <c r="N1962" s="3">
        <v>34.99</v>
      </c>
      <c r="O1962" s="2" t="s">
        <v>407</v>
      </c>
      <c r="P1962" s="2" t="s">
        <v>408</v>
      </c>
      <c r="Q1962" s="2" t="s">
        <v>234</v>
      </c>
      <c r="R1962" s="2" t="s">
        <v>235</v>
      </c>
      <c r="S1962" s="2" t="s">
        <v>7103</v>
      </c>
      <c r="T1962" s="2" t="s">
        <v>7075</v>
      </c>
      <c r="U1962" s="2" t="s">
        <v>552</v>
      </c>
      <c r="V1962" s="2" t="s">
        <v>238</v>
      </c>
      <c r="W1962" s="2" t="s">
        <v>239</v>
      </c>
      <c r="X1962" s="2" t="s">
        <v>682</v>
      </c>
      <c r="Y1962" s="2" t="s">
        <v>7104</v>
      </c>
      <c r="Z1962" s="4">
        <v>88</v>
      </c>
      <c r="AA1962" s="4">
        <f>=ROUNDDOWN(67.6923076923077,0)</f>
      </c>
      <c r="AB1962" s="5">
        <v>1.3</v>
      </c>
      <c r="AC1962" s="2" t="s">
        <v>235</v>
      </c>
      <c r="AD1962" s="4"/>
      <c r="AE1962" s="4"/>
      <c r="AF1962" s="6">
        <v>66</v>
      </c>
      <c r="AG1962" s="6"/>
      <c r="AH1962" s="7">
        <v>1</v>
      </c>
      <c r="AI1962" s="4"/>
      <c r="AJ1962" s="4">
        <f>=ROUNDDOWN({0},0)</f>
      </c>
      <c r="AK1962" s="5"/>
      <c r="AL1962" s="2" t="s">
        <v>235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235</v>
      </c>
      <c r="AW1962" s="8" t="s">
        <v>235</v>
      </c>
      <c r="AX1962" s="4" t="s">
        <v>235</v>
      </c>
      <c r="AY1962" s="8" t="s">
        <v>235</v>
      </c>
      <c r="AZ1962" s="7" t="s">
        <v>235</v>
      </c>
      <c r="BA1962" s="7" t="s">
        <v>235</v>
      </c>
      <c r="BB1962" s="7"/>
      <c r="BC1962" s="4" t="s">
        <v>235</v>
      </c>
      <c r="BD1962" s="8" t="s">
        <v>235</v>
      </c>
      <c r="BE1962" s="4" t="s">
        <v>235</v>
      </c>
      <c r="BF1962" s="8" t="s">
        <v>235</v>
      </c>
      <c r="BG1962" s="7" t="s">
        <v>235</v>
      </c>
      <c r="BH1962" s="7" t="s">
        <v>235</v>
      </c>
      <c r="BI1962" s="7"/>
      <c r="BJ1962" s="4">
        <v>10</v>
      </c>
      <c r="BK1962" s="8">
        <v>200.27</v>
      </c>
      <c r="BL1962" s="2" t="s">
        <v>7105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7077</v>
      </c>
      <c r="BV1962" s="2" t="s">
        <v>243</v>
      </c>
      <c r="BW1962" s="2" t="s">
        <v>235</v>
      </c>
      <c r="BX1962" s="2" t="s">
        <v>244</v>
      </c>
      <c r="BY1962" s="2" t="s">
        <v>245</v>
      </c>
      <c r="BZ1962" s="2" t="s">
        <v>232</v>
      </c>
      <c r="CA1962" s="2" t="s">
        <v>7104</v>
      </c>
      <c r="CB1962" s="2" t="s">
        <v>7106</v>
      </c>
      <c r="CC1962" s="2" t="s">
        <v>248</v>
      </c>
      <c r="CD1962" s="2" t="s">
        <v>248</v>
      </c>
      <c r="CE1962" s="2" t="s">
        <v>235</v>
      </c>
      <c r="CF1962" s="4">
        <v>88</v>
      </c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>
        <v>88</v>
      </c>
      <c r="GE1962" s="4">
        <v>87</v>
      </c>
      <c r="GF1962" s="4">
        <v>86</v>
      </c>
      <c r="GG1962" s="4">
        <v>85</v>
      </c>
      <c r="GH1962" s="4">
        <v>84</v>
      </c>
      <c r="GI1962" s="4">
        <v>83</v>
      </c>
      <c r="GJ1962" s="4">
        <v>82</v>
      </c>
      <c r="GK1962" s="4">
        <v>81</v>
      </c>
      <c r="GL1962" s="4">
        <v>80</v>
      </c>
      <c r="GM1962" s="4">
        <v>79</v>
      </c>
      <c r="GN1962" s="4">
        <v>78</v>
      </c>
      <c r="GO1962" s="4">
        <v>77</v>
      </c>
      <c r="GP1962" s="4">
        <v>76</v>
      </c>
      <c r="GQ1962" s="4">
        <v>73</v>
      </c>
      <c r="GR1962" s="4">
        <v>70</v>
      </c>
      <c r="GS1962" s="4">
        <v>68</v>
      </c>
      <c r="GT1962" s="4">
        <v>67</v>
      </c>
      <c r="GU1962" s="4">
        <v>66</v>
      </c>
      <c r="GV1962" s="4">
        <v>65</v>
      </c>
      <c r="GW1962" s="4">
        <v>64</v>
      </c>
      <c r="GX1962" s="4">
        <v>63</v>
      </c>
      <c r="GY1962" s="4">
        <v>62</v>
      </c>
      <c r="GZ1962" s="4">
        <v>61</v>
      </c>
      <c r="HA1962" s="4">
        <v>60</v>
      </c>
      <c r="HB1962" s="4">
        <v>59</v>
      </c>
      <c r="HC1962" s="4">
        <v>58</v>
      </c>
      <c r="HD1962" s="19">
        <v>88</v>
      </c>
      <c r="HE1962" s="19">
        <v>87</v>
      </c>
      <c r="HF1962" s="19">
        <v>86</v>
      </c>
      <c r="HG1962" s="19">
        <v>85</v>
      </c>
      <c r="HH1962" s="19">
        <v>84</v>
      </c>
      <c r="HI1962" s="19">
        <v>83</v>
      </c>
      <c r="HJ1962" s="19">
        <v>82</v>
      </c>
      <c r="HK1962" s="19">
        <v>81</v>
      </c>
      <c r="HL1962" s="19">
        <v>80</v>
      </c>
      <c r="HM1962" s="19">
        <v>39.5</v>
      </c>
      <c r="HN1962" s="19">
        <v>39</v>
      </c>
      <c r="HO1962" s="19">
        <v>38.5</v>
      </c>
      <c r="HP1962" s="19">
        <v>38</v>
      </c>
      <c r="HQ1962" s="19">
        <v>36.5</v>
      </c>
      <c r="HR1962" s="19">
        <v>70</v>
      </c>
      <c r="HS1962" s="19">
        <v>68</v>
      </c>
      <c r="HT1962" s="19">
        <v>67</v>
      </c>
      <c r="HU1962" s="19">
        <v>66</v>
      </c>
      <c r="HV1962" s="19">
        <v>65</v>
      </c>
      <c r="HW1962" s="19">
        <v>64</v>
      </c>
      <c r="HX1962" s="19">
        <v>63</v>
      </c>
      <c r="HY1962" s="19">
        <v>62</v>
      </c>
      <c r="HZ1962" s="19">
        <v>61</v>
      </c>
      <c r="IA1962" s="19">
        <v>60</v>
      </c>
      <c r="IB1962" s="19">
        <v>59</v>
      </c>
      <c r="IC1962" s="19">
        <v>58</v>
      </c>
    </row>
    <row r="1963">
      <c r="A1963" s="2" t="s">
        <v>7107</v>
      </c>
      <c r="B1963" s="2" t="s">
        <v>323</v>
      </c>
      <c r="C1963" s="2" t="s">
        <v>225</v>
      </c>
      <c r="D1963" s="2" t="s">
        <v>257</v>
      </c>
      <c r="E1963" s="2" t="s">
        <v>258</v>
      </c>
      <c r="F1963" s="2" t="s">
        <v>7073</v>
      </c>
      <c r="G1963" s="2" t="s">
        <v>7073</v>
      </c>
      <c r="H1963" s="2" t="s">
        <v>7073</v>
      </c>
      <c r="I1963" s="2" t="s">
        <v>405</v>
      </c>
      <c r="J1963" s="2" t="s">
        <v>270</v>
      </c>
      <c r="K1963" s="2" t="s">
        <v>1546</v>
      </c>
      <c r="L1963" s="3">
        <v>24</v>
      </c>
      <c r="M1963" s="3">
        <v>25.2</v>
      </c>
      <c r="N1963" s="3">
        <v>49.99</v>
      </c>
      <c r="O1963" s="2" t="s">
        <v>407</v>
      </c>
      <c r="P1963" s="2" t="s">
        <v>408</v>
      </c>
      <c r="Q1963" s="2" t="s">
        <v>234</v>
      </c>
      <c r="R1963" s="2" t="s">
        <v>235</v>
      </c>
      <c r="S1963" s="2" t="s">
        <v>7103</v>
      </c>
      <c r="T1963" s="2" t="s">
        <v>7075</v>
      </c>
      <c r="U1963" s="2" t="s">
        <v>264</v>
      </c>
      <c r="V1963" s="2" t="s">
        <v>238</v>
      </c>
      <c r="W1963" s="2" t="s">
        <v>239</v>
      </c>
      <c r="X1963" s="2" t="s">
        <v>682</v>
      </c>
      <c r="Y1963" s="2" t="s">
        <v>7104</v>
      </c>
      <c r="Z1963" s="4">
        <v>256</v>
      </c>
      <c r="AA1963" s="4">
        <f>=ROUNDDOWN(36.056338028169,0)</f>
      </c>
      <c r="AB1963" s="5">
        <v>7.1</v>
      </c>
      <c r="AC1963" s="2" t="s">
        <v>235</v>
      </c>
      <c r="AD1963" s="4"/>
      <c r="AE1963" s="4"/>
      <c r="AF1963" s="6">
        <v>66</v>
      </c>
      <c r="AG1963" s="6"/>
      <c r="AH1963" s="7">
        <v>1</v>
      </c>
      <c r="AI1963" s="4"/>
      <c r="AJ1963" s="4">
        <f>=ROUNDDOWN({0},0)</f>
      </c>
      <c r="AK1963" s="5"/>
      <c r="AL1963" s="2" t="s">
        <v>235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235</v>
      </c>
      <c r="AW1963" s="8" t="s">
        <v>235</v>
      </c>
      <c r="AX1963" s="4" t="s">
        <v>235</v>
      </c>
      <c r="AY1963" s="8" t="s">
        <v>235</v>
      </c>
      <c r="AZ1963" s="7" t="s">
        <v>235</v>
      </c>
      <c r="BA1963" s="7" t="s">
        <v>235</v>
      </c>
      <c r="BB1963" s="7"/>
      <c r="BC1963" s="4" t="s">
        <v>235</v>
      </c>
      <c r="BD1963" s="8" t="s">
        <v>235</v>
      </c>
      <c r="BE1963" s="4" t="s">
        <v>235</v>
      </c>
      <c r="BF1963" s="8" t="s">
        <v>235</v>
      </c>
      <c r="BG1963" s="7" t="s">
        <v>235</v>
      </c>
      <c r="BH1963" s="7" t="s">
        <v>235</v>
      </c>
      <c r="BI1963" s="7"/>
      <c r="BJ1963" s="4">
        <v>35</v>
      </c>
      <c r="BK1963" s="8">
        <v>1065.65</v>
      </c>
      <c r="BL1963" s="2" t="s">
        <v>7108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7077</v>
      </c>
      <c r="BV1963" s="2" t="s">
        <v>243</v>
      </c>
      <c r="BW1963" s="2" t="s">
        <v>235</v>
      </c>
      <c r="BX1963" s="2" t="s">
        <v>244</v>
      </c>
      <c r="BY1963" s="2" t="s">
        <v>245</v>
      </c>
      <c r="BZ1963" s="2" t="s">
        <v>232</v>
      </c>
      <c r="CA1963" s="2" t="s">
        <v>7104</v>
      </c>
      <c r="CB1963" s="2" t="s">
        <v>7109</v>
      </c>
      <c r="CC1963" s="2" t="s">
        <v>248</v>
      </c>
      <c r="CD1963" s="2" t="s">
        <v>248</v>
      </c>
      <c r="CE1963" s="2" t="s">
        <v>235</v>
      </c>
      <c r="CF1963" s="4">
        <v>256</v>
      </c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>
        <v>260</v>
      </c>
      <c r="GE1963" s="4">
        <v>249</v>
      </c>
      <c r="GF1963" s="4">
        <v>242</v>
      </c>
      <c r="GG1963" s="4">
        <v>235</v>
      </c>
      <c r="GH1963" s="4">
        <v>228</v>
      </c>
      <c r="GI1963" s="4">
        <v>221</v>
      </c>
      <c r="GJ1963" s="4">
        <v>214</v>
      </c>
      <c r="GK1963" s="4">
        <v>207</v>
      </c>
      <c r="GL1963" s="4">
        <v>200</v>
      </c>
      <c r="GM1963" s="4">
        <v>193</v>
      </c>
      <c r="GN1963" s="4">
        <v>186</v>
      </c>
      <c r="GO1963" s="4">
        <v>179</v>
      </c>
      <c r="GP1963" s="4">
        <v>171</v>
      </c>
      <c r="GQ1963" s="4">
        <v>153</v>
      </c>
      <c r="GR1963" s="4">
        <v>137</v>
      </c>
      <c r="GS1963" s="4">
        <v>123</v>
      </c>
      <c r="GT1963" s="4">
        <v>116</v>
      </c>
      <c r="GU1963" s="4">
        <v>109</v>
      </c>
      <c r="GV1963" s="4">
        <v>102</v>
      </c>
      <c r="GW1963" s="4">
        <v>95</v>
      </c>
      <c r="GX1963" s="4">
        <v>88</v>
      </c>
      <c r="GY1963" s="4">
        <v>81</v>
      </c>
      <c r="GZ1963" s="4">
        <v>74</v>
      </c>
      <c r="HA1963" s="4">
        <v>67</v>
      </c>
      <c r="HB1963" s="4">
        <v>60</v>
      </c>
      <c r="HC1963" s="4">
        <v>52</v>
      </c>
      <c r="HD1963" s="19">
        <v>32.5</v>
      </c>
      <c r="HE1963" s="19">
        <v>35.6</v>
      </c>
      <c r="HF1963" s="19">
        <v>34.6</v>
      </c>
      <c r="HG1963" s="19">
        <v>33.6</v>
      </c>
      <c r="HH1963" s="19">
        <v>32.6</v>
      </c>
      <c r="HI1963" s="19">
        <v>31.6</v>
      </c>
      <c r="HJ1963" s="19">
        <v>30.6</v>
      </c>
      <c r="HK1963" s="19">
        <v>29.6</v>
      </c>
      <c r="HL1963" s="19">
        <v>28.6</v>
      </c>
      <c r="HM1963" s="19">
        <v>19.3</v>
      </c>
      <c r="HN1963" s="19">
        <v>15.5</v>
      </c>
      <c r="HO1963" s="19">
        <v>12.8</v>
      </c>
      <c r="HP1963" s="19">
        <v>12.2</v>
      </c>
      <c r="HQ1963" s="19">
        <v>13.9</v>
      </c>
      <c r="HR1963" s="19">
        <v>15.2</v>
      </c>
      <c r="HS1963" s="19">
        <v>17.6</v>
      </c>
      <c r="HT1963" s="19">
        <v>16.6</v>
      </c>
      <c r="HU1963" s="19">
        <v>15.6</v>
      </c>
      <c r="HV1963" s="19">
        <v>14.6</v>
      </c>
      <c r="HW1963" s="19">
        <v>13.6</v>
      </c>
      <c r="HX1963" s="19">
        <v>12.6</v>
      </c>
      <c r="HY1963" s="19">
        <v>11.6</v>
      </c>
      <c r="HZ1963" s="19">
        <v>10.6</v>
      </c>
      <c r="IA1963" s="19">
        <v>9.6</v>
      </c>
      <c r="IB1963" s="19">
        <v>8.6</v>
      </c>
      <c r="IC1963" s="19">
        <v>7.4</v>
      </c>
    </row>
    <row r="1964">
      <c r="A1964" s="2" t="s">
        <v>7110</v>
      </c>
      <c r="B1964" s="2" t="s">
        <v>323</v>
      </c>
      <c r="C1964" s="2" t="s">
        <v>225</v>
      </c>
      <c r="D1964" s="2" t="s">
        <v>257</v>
      </c>
      <c r="E1964" s="2" t="s">
        <v>258</v>
      </c>
      <c r="F1964" s="2" t="s">
        <v>7073</v>
      </c>
      <c r="G1964" s="2" t="s">
        <v>7073</v>
      </c>
      <c r="H1964" s="2" t="s">
        <v>7073</v>
      </c>
      <c r="I1964" s="2" t="s">
        <v>405</v>
      </c>
      <c r="J1964" s="2" t="s">
        <v>394</v>
      </c>
      <c r="K1964" s="2" t="s">
        <v>316</v>
      </c>
      <c r="L1964" s="3">
        <v>18.14</v>
      </c>
      <c r="M1964" s="3">
        <v>19.05</v>
      </c>
      <c r="N1964" s="3">
        <v>34.99</v>
      </c>
      <c r="O1964" s="2" t="s">
        <v>232</v>
      </c>
      <c r="P1964" s="2" t="s">
        <v>233</v>
      </c>
      <c r="Q1964" s="2" t="s">
        <v>234</v>
      </c>
      <c r="R1964" s="2" t="s">
        <v>235</v>
      </c>
      <c r="S1964" s="2" t="s">
        <v>7111</v>
      </c>
      <c r="T1964" s="2" t="s">
        <v>7075</v>
      </c>
      <c r="U1964" s="2" t="s">
        <v>235</v>
      </c>
      <c r="V1964" s="2" t="s">
        <v>238</v>
      </c>
      <c r="W1964" s="2" t="s">
        <v>239</v>
      </c>
      <c r="X1964" s="2" t="s">
        <v>235</v>
      </c>
      <c r="Y1964" s="2" t="s">
        <v>6990</v>
      </c>
      <c r="Z1964" s="4">
        <v>137</v>
      </c>
      <c r="AA1964" s="4">
        <f>=ROUNDDOWN(72.1052631578947,0)</f>
      </c>
      <c r="AB1964" s="5">
        <v>1.9</v>
      </c>
      <c r="AC1964" s="2" t="s">
        <v>235</v>
      </c>
      <c r="AD1964" s="4"/>
      <c r="AE1964" s="4"/>
      <c r="AF1964" s="6">
        <v>66</v>
      </c>
      <c r="AG1964" s="6"/>
      <c r="AH1964" s="7">
        <v>1</v>
      </c>
      <c r="AI1964" s="4"/>
      <c r="AJ1964" s="4">
        <f>=ROUNDDOWN({0},0)</f>
      </c>
      <c r="AK1964" s="5"/>
      <c r="AL1964" s="2" t="s">
        <v>235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235</v>
      </c>
      <c r="AW1964" s="8" t="s">
        <v>235</v>
      </c>
      <c r="AX1964" s="4" t="s">
        <v>235</v>
      </c>
      <c r="AY1964" s="8" t="s">
        <v>235</v>
      </c>
      <c r="AZ1964" s="7" t="s">
        <v>235</v>
      </c>
      <c r="BA1964" s="7" t="s">
        <v>235</v>
      </c>
      <c r="BB1964" s="7"/>
      <c r="BC1964" s="4" t="s">
        <v>235</v>
      </c>
      <c r="BD1964" s="8" t="s">
        <v>235</v>
      </c>
      <c r="BE1964" s="4" t="s">
        <v>235</v>
      </c>
      <c r="BF1964" s="8" t="s">
        <v>235</v>
      </c>
      <c r="BG1964" s="7" t="s">
        <v>235</v>
      </c>
      <c r="BH1964" s="7" t="s">
        <v>235</v>
      </c>
      <c r="BI1964" s="7"/>
      <c r="BJ1964" s="4">
        <v>14</v>
      </c>
      <c r="BK1964" s="8">
        <v>312.03</v>
      </c>
      <c r="BL1964" s="2" t="s">
        <v>7112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7077</v>
      </c>
      <c r="BV1964" s="2" t="s">
        <v>243</v>
      </c>
      <c r="BW1964" s="2" t="s">
        <v>235</v>
      </c>
      <c r="BX1964" s="2" t="s">
        <v>244</v>
      </c>
      <c r="BY1964" s="2" t="s">
        <v>245</v>
      </c>
      <c r="BZ1964" s="2" t="s">
        <v>232</v>
      </c>
      <c r="CA1964" s="2" t="s">
        <v>7078</v>
      </c>
      <c r="CB1964" s="2" t="s">
        <v>4589</v>
      </c>
      <c r="CC1964" s="2" t="s">
        <v>248</v>
      </c>
      <c r="CD1964" s="2" t="s">
        <v>248</v>
      </c>
      <c r="CE1964" s="2" t="s">
        <v>235</v>
      </c>
      <c r="CF1964" s="4">
        <v>137</v>
      </c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>
        <v>137</v>
      </c>
      <c r="GE1964" s="4">
        <v>135</v>
      </c>
      <c r="GF1964" s="4">
        <v>133</v>
      </c>
      <c r="GG1964" s="4">
        <v>131</v>
      </c>
      <c r="GH1964" s="4">
        <v>129</v>
      </c>
      <c r="GI1964" s="4">
        <v>127</v>
      </c>
      <c r="GJ1964" s="4">
        <v>125</v>
      </c>
      <c r="GK1964" s="4">
        <v>123</v>
      </c>
      <c r="GL1964" s="4">
        <v>121</v>
      </c>
      <c r="GM1964" s="4">
        <v>119</v>
      </c>
      <c r="GN1964" s="4">
        <v>117</v>
      </c>
      <c r="GO1964" s="4">
        <v>115</v>
      </c>
      <c r="GP1964" s="4">
        <v>112</v>
      </c>
      <c r="GQ1964" s="4">
        <v>107</v>
      </c>
      <c r="GR1964" s="4">
        <v>102</v>
      </c>
      <c r="GS1964" s="4">
        <v>98</v>
      </c>
      <c r="GT1964" s="4">
        <v>96</v>
      </c>
      <c r="GU1964" s="4">
        <v>94</v>
      </c>
      <c r="GV1964" s="4">
        <v>92</v>
      </c>
      <c r="GW1964" s="4">
        <v>90</v>
      </c>
      <c r="GX1964" s="4">
        <v>88</v>
      </c>
      <c r="GY1964" s="4">
        <v>86</v>
      </c>
      <c r="GZ1964" s="4">
        <v>84</v>
      </c>
      <c r="HA1964" s="4">
        <v>82</v>
      </c>
      <c r="HB1964" s="4">
        <v>80</v>
      </c>
      <c r="HC1964" s="4">
        <v>78</v>
      </c>
      <c r="HD1964" s="19">
        <v>68.5</v>
      </c>
      <c r="HE1964" s="19">
        <v>67.5</v>
      </c>
      <c r="HF1964" s="19">
        <v>66.5</v>
      </c>
      <c r="HG1964" s="19">
        <v>65.5</v>
      </c>
      <c r="HH1964" s="19">
        <v>64.5</v>
      </c>
      <c r="HI1964" s="19">
        <v>63.5</v>
      </c>
      <c r="HJ1964" s="19">
        <v>62.5</v>
      </c>
      <c r="HK1964" s="19">
        <v>61.5</v>
      </c>
      <c r="HL1964" s="19">
        <v>60.5</v>
      </c>
      <c r="HM1964" s="19">
        <v>39.7</v>
      </c>
      <c r="HN1964" s="19">
        <v>29.3</v>
      </c>
      <c r="HO1964" s="19">
        <v>28.8</v>
      </c>
      <c r="HP1964" s="19">
        <v>28</v>
      </c>
      <c r="HQ1964" s="19">
        <v>35.7</v>
      </c>
      <c r="HR1964" s="19">
        <v>51</v>
      </c>
      <c r="HS1964" s="19">
        <v>49</v>
      </c>
      <c r="HT1964" s="19">
        <v>48</v>
      </c>
      <c r="HU1964" s="19">
        <v>47</v>
      </c>
      <c r="HV1964" s="19">
        <v>46</v>
      </c>
      <c r="HW1964" s="19">
        <v>45</v>
      </c>
      <c r="HX1964" s="19">
        <v>44</v>
      </c>
      <c r="HY1964" s="19">
        <v>43</v>
      </c>
      <c r="HZ1964" s="19">
        <v>42</v>
      </c>
      <c r="IA1964" s="19">
        <v>41</v>
      </c>
      <c r="IB1964" s="19">
        <v>40</v>
      </c>
      <c r="IC1964" s="19">
        <v>39</v>
      </c>
    </row>
    <row r="1965">
      <c r="A1965" s="2" t="s">
        <v>7113</v>
      </c>
      <c r="B1965" s="2" t="s">
        <v>323</v>
      </c>
      <c r="C1965" s="2" t="s">
        <v>225</v>
      </c>
      <c r="D1965" s="2" t="s">
        <v>257</v>
      </c>
      <c r="E1965" s="2" t="s">
        <v>258</v>
      </c>
      <c r="F1965" s="2" t="s">
        <v>7073</v>
      </c>
      <c r="G1965" s="2" t="s">
        <v>7073</v>
      </c>
      <c r="H1965" s="2" t="s">
        <v>7073</v>
      </c>
      <c r="I1965" s="2" t="s">
        <v>405</v>
      </c>
      <c r="J1965" s="2" t="s">
        <v>261</v>
      </c>
      <c r="K1965" s="2" t="s">
        <v>316</v>
      </c>
      <c r="L1965" s="3">
        <v>21.17</v>
      </c>
      <c r="M1965" s="3">
        <v>22.23</v>
      </c>
      <c r="N1965" s="3">
        <v>42.99</v>
      </c>
      <c r="O1965" s="2" t="s">
        <v>232</v>
      </c>
      <c r="P1965" s="2" t="s">
        <v>233</v>
      </c>
      <c r="Q1965" s="2" t="s">
        <v>234</v>
      </c>
      <c r="R1965" s="2" t="s">
        <v>235</v>
      </c>
      <c r="S1965" s="2" t="s">
        <v>7111</v>
      </c>
      <c r="T1965" s="2" t="s">
        <v>7075</v>
      </c>
      <c r="U1965" s="2" t="s">
        <v>235</v>
      </c>
      <c r="V1965" s="2" t="s">
        <v>238</v>
      </c>
      <c r="W1965" s="2" t="s">
        <v>239</v>
      </c>
      <c r="X1965" s="2" t="s">
        <v>235</v>
      </c>
      <c r="Y1965" s="2" t="s">
        <v>6990</v>
      </c>
      <c r="Z1965" s="4">
        <v>217</v>
      </c>
      <c r="AA1965" s="4">
        <f>=ROUNDDOWN(28.9333333333333,0)</f>
      </c>
      <c r="AB1965" s="5">
        <v>7.5</v>
      </c>
      <c r="AC1965" s="2" t="s">
        <v>235</v>
      </c>
      <c r="AD1965" s="4"/>
      <c r="AE1965" s="4"/>
      <c r="AF1965" s="6">
        <v>66</v>
      </c>
      <c r="AG1965" s="6"/>
      <c r="AH1965" s="7">
        <v>1</v>
      </c>
      <c r="AI1965" s="4"/>
      <c r="AJ1965" s="4">
        <f>=ROUNDDOWN({0},0)</f>
      </c>
      <c r="AK1965" s="5"/>
      <c r="AL1965" s="2" t="s">
        <v>235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235</v>
      </c>
      <c r="AW1965" s="8" t="s">
        <v>235</v>
      </c>
      <c r="AX1965" s="4" t="s">
        <v>235</v>
      </c>
      <c r="AY1965" s="8" t="s">
        <v>235</v>
      </c>
      <c r="AZ1965" s="7" t="s">
        <v>235</v>
      </c>
      <c r="BA1965" s="7" t="s">
        <v>235</v>
      </c>
      <c r="BB1965" s="7"/>
      <c r="BC1965" s="4" t="s">
        <v>235</v>
      </c>
      <c r="BD1965" s="8" t="s">
        <v>235</v>
      </c>
      <c r="BE1965" s="4" t="s">
        <v>235</v>
      </c>
      <c r="BF1965" s="8" t="s">
        <v>235</v>
      </c>
      <c r="BG1965" s="7" t="s">
        <v>235</v>
      </c>
      <c r="BH1965" s="7" t="s">
        <v>235</v>
      </c>
      <c r="BI1965" s="7"/>
      <c r="BJ1965" s="4">
        <v>37</v>
      </c>
      <c r="BK1965" s="8">
        <v>985.67</v>
      </c>
      <c r="BL1965" s="2" t="s">
        <v>7114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7077</v>
      </c>
      <c r="BV1965" s="2" t="s">
        <v>243</v>
      </c>
      <c r="BW1965" s="2" t="s">
        <v>235</v>
      </c>
      <c r="BX1965" s="2" t="s">
        <v>244</v>
      </c>
      <c r="BY1965" s="2" t="s">
        <v>245</v>
      </c>
      <c r="BZ1965" s="2" t="s">
        <v>232</v>
      </c>
      <c r="CA1965" s="2" t="s">
        <v>7078</v>
      </c>
      <c r="CB1965" s="2" t="s">
        <v>7115</v>
      </c>
      <c r="CC1965" s="2" t="s">
        <v>248</v>
      </c>
      <c r="CD1965" s="2" t="s">
        <v>248</v>
      </c>
      <c r="CE1965" s="2" t="s">
        <v>235</v>
      </c>
      <c r="CF1965" s="4">
        <v>217</v>
      </c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>
        <v>219</v>
      </c>
      <c r="GE1965" s="4">
        <v>209</v>
      </c>
      <c r="GF1965" s="4">
        <v>201</v>
      </c>
      <c r="GG1965" s="4">
        <v>193</v>
      </c>
      <c r="GH1965" s="4">
        <v>185</v>
      </c>
      <c r="GI1965" s="4">
        <v>177</v>
      </c>
      <c r="GJ1965" s="4">
        <v>169</v>
      </c>
      <c r="GK1965" s="4">
        <v>161</v>
      </c>
      <c r="GL1965" s="4">
        <v>153</v>
      </c>
      <c r="GM1965" s="4">
        <v>145</v>
      </c>
      <c r="GN1965" s="4">
        <v>137</v>
      </c>
      <c r="GO1965" s="4">
        <v>128</v>
      </c>
      <c r="GP1965" s="4">
        <v>118</v>
      </c>
      <c r="GQ1965" s="4">
        <v>96</v>
      </c>
      <c r="GR1965" s="4">
        <v>76</v>
      </c>
      <c r="GS1965" s="4">
        <v>59</v>
      </c>
      <c r="GT1965" s="4">
        <v>50</v>
      </c>
      <c r="GU1965" s="4">
        <v>42</v>
      </c>
      <c r="GV1965" s="4">
        <v>34</v>
      </c>
      <c r="GW1965" s="4">
        <v>26</v>
      </c>
      <c r="GX1965" s="4">
        <v>300</v>
      </c>
      <c r="GY1965" s="4">
        <v>292</v>
      </c>
      <c r="GZ1965" s="4">
        <v>284</v>
      </c>
      <c r="HA1965" s="4">
        <v>276</v>
      </c>
      <c r="HB1965" s="4">
        <v>268</v>
      </c>
      <c r="HC1965" s="4">
        <v>258</v>
      </c>
      <c r="HD1965" s="19">
        <v>27.4</v>
      </c>
      <c r="HE1965" s="19">
        <v>26.1</v>
      </c>
      <c r="HF1965" s="19">
        <v>25.1</v>
      </c>
      <c r="HG1965" s="19">
        <v>24.1</v>
      </c>
      <c r="HH1965" s="19">
        <v>23.1</v>
      </c>
      <c r="HI1965" s="19">
        <v>22.1</v>
      </c>
      <c r="HJ1965" s="19">
        <v>21.1</v>
      </c>
      <c r="HK1965" s="19">
        <v>20.1</v>
      </c>
      <c r="HL1965" s="19">
        <v>17</v>
      </c>
      <c r="HM1965" s="19">
        <v>12.1</v>
      </c>
      <c r="HN1965" s="19">
        <v>9.1</v>
      </c>
      <c r="HO1965" s="19">
        <v>7.5</v>
      </c>
      <c r="HP1965" s="19">
        <v>6.9</v>
      </c>
      <c r="HQ1965" s="19">
        <v>6.9</v>
      </c>
      <c r="HR1965" s="19">
        <v>7.6</v>
      </c>
      <c r="HS1965" s="19">
        <v>7.4</v>
      </c>
      <c r="HT1965" s="19">
        <v>6.3</v>
      </c>
      <c r="HU1965" s="19">
        <v>5.3</v>
      </c>
      <c r="HV1965" s="19">
        <v>4.3</v>
      </c>
      <c r="HW1965" s="19">
        <v>3.3</v>
      </c>
      <c r="HX1965" s="19">
        <v>37.5</v>
      </c>
      <c r="HY1965" s="19">
        <v>36.5</v>
      </c>
      <c r="HZ1965" s="19">
        <v>35.5</v>
      </c>
      <c r="IA1965" s="19">
        <v>34.5</v>
      </c>
      <c r="IB1965" s="19">
        <v>33.5</v>
      </c>
      <c r="IC1965" s="19">
        <v>32.3</v>
      </c>
    </row>
    <row r="1966">
      <c r="A1966" s="2" t="s">
        <v>7116</v>
      </c>
      <c r="B1966" s="2" t="s">
        <v>323</v>
      </c>
      <c r="C1966" s="2" t="s">
        <v>1036</v>
      </c>
      <c r="D1966" s="2" t="s">
        <v>257</v>
      </c>
      <c r="E1966" s="2" t="s">
        <v>258</v>
      </c>
      <c r="F1966" s="2" t="s">
        <v>7117</v>
      </c>
      <c r="G1966" s="2" t="s">
        <v>7117</v>
      </c>
      <c r="H1966" s="2" t="s">
        <v>7117</v>
      </c>
      <c r="I1966" s="2" t="s">
        <v>7118</v>
      </c>
      <c r="J1966" s="2" t="s">
        <v>394</v>
      </c>
      <c r="K1966" s="2" t="s">
        <v>861</v>
      </c>
      <c r="L1966" s="3">
        <v>22</v>
      </c>
      <c r="M1966" s="3">
        <v>23.1</v>
      </c>
      <c r="N1966" s="3">
        <v>48.99</v>
      </c>
      <c r="O1966" s="2" t="s">
        <v>232</v>
      </c>
      <c r="P1966" s="2" t="s">
        <v>233</v>
      </c>
      <c r="Q1966" s="2" t="s">
        <v>234</v>
      </c>
      <c r="R1966" s="2" t="s">
        <v>235</v>
      </c>
      <c r="S1966" s="2" t="s">
        <v>7119</v>
      </c>
      <c r="T1966" s="2" t="s">
        <v>2295</v>
      </c>
      <c r="U1966" s="2" t="s">
        <v>552</v>
      </c>
      <c r="V1966" s="2" t="s">
        <v>238</v>
      </c>
      <c r="W1966" s="2" t="s">
        <v>239</v>
      </c>
      <c r="X1966" s="2" t="s">
        <v>235</v>
      </c>
      <c r="Y1966" s="2" t="s">
        <v>240</v>
      </c>
      <c r="Z1966" s="4">
        <v>473</v>
      </c>
      <c r="AA1966" s="4">
        <f>=ROUNDDOWN(26.2777777777778,0)</f>
      </c>
      <c r="AB1966" s="5">
        <v>18</v>
      </c>
      <c r="AC1966" s="2" t="s">
        <v>883</v>
      </c>
      <c r="AD1966" s="4">
        <v>110</v>
      </c>
      <c r="AE1966" s="4">
        <v>110</v>
      </c>
      <c r="AF1966" s="6">
        <v>65</v>
      </c>
      <c r="AG1966" s="6"/>
      <c r="AH1966" s="7">
        <v>0.5161</v>
      </c>
      <c r="AI1966" s="4"/>
      <c r="AJ1966" s="4">
        <f>=ROUNDDOWN({0},0)</f>
      </c>
      <c r="AK1966" s="5"/>
      <c r="AL1966" s="2" t="s">
        <v>235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235</v>
      </c>
      <c r="AW1966" s="8" t="s">
        <v>235</v>
      </c>
      <c r="AX1966" s="4" t="s">
        <v>235</v>
      </c>
      <c r="AY1966" s="8" t="s">
        <v>235</v>
      </c>
      <c r="AZ1966" s="7" t="s">
        <v>235</v>
      </c>
      <c r="BA1966" s="7" t="s">
        <v>235</v>
      </c>
      <c r="BB1966" s="7"/>
      <c r="BC1966" s="4" t="s">
        <v>235</v>
      </c>
      <c r="BD1966" s="8" t="s">
        <v>235</v>
      </c>
      <c r="BE1966" s="4" t="s">
        <v>235</v>
      </c>
      <c r="BF1966" s="8" t="s">
        <v>235</v>
      </c>
      <c r="BG1966" s="7" t="s">
        <v>235</v>
      </c>
      <c r="BH1966" s="7" t="s">
        <v>235</v>
      </c>
      <c r="BI1966" s="7"/>
      <c r="BJ1966" s="4"/>
      <c r="BK1966" s="8"/>
      <c r="BL1966" s="2" t="s">
        <v>7120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7121</v>
      </c>
      <c r="BV1966" s="2" t="s">
        <v>243</v>
      </c>
      <c r="BW1966" s="2" t="s">
        <v>235</v>
      </c>
      <c r="BX1966" s="2" t="s">
        <v>244</v>
      </c>
      <c r="BY1966" s="2" t="s">
        <v>245</v>
      </c>
      <c r="BZ1966" s="2" t="s">
        <v>232</v>
      </c>
      <c r="CA1966" s="2" t="s">
        <v>252</v>
      </c>
      <c r="CB1966" s="2" t="s">
        <v>7122</v>
      </c>
      <c r="CC1966" s="2" t="s">
        <v>248</v>
      </c>
      <c r="CD1966" s="2" t="s">
        <v>248</v>
      </c>
      <c r="CE1966" s="2" t="s">
        <v>235</v>
      </c>
      <c r="CF1966" s="4">
        <v>470</v>
      </c>
      <c r="CG1966" s="4">
        <v>3</v>
      </c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>
        <v>110</v>
      </c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>
        <v>473</v>
      </c>
      <c r="GE1966" s="4">
        <v>566</v>
      </c>
      <c r="GF1966" s="4">
        <v>546</v>
      </c>
      <c r="GG1966" s="4">
        <v>524</v>
      </c>
      <c r="GH1966" s="4">
        <v>504</v>
      </c>
      <c r="GI1966" s="4">
        <v>475</v>
      </c>
      <c r="GJ1966" s="4">
        <v>439</v>
      </c>
      <c r="GK1966" s="4">
        <v>409</v>
      </c>
      <c r="GL1966" s="4">
        <v>371</v>
      </c>
      <c r="GM1966" s="4">
        <v>339</v>
      </c>
      <c r="GN1966" s="4">
        <v>317</v>
      </c>
      <c r="GO1966" s="4">
        <v>292</v>
      </c>
      <c r="GP1966" s="4">
        <v>269</v>
      </c>
      <c r="GQ1966" s="4">
        <v>222</v>
      </c>
      <c r="GR1966" s="4">
        <v>203</v>
      </c>
      <c r="GS1966" s="4">
        <v>183</v>
      </c>
      <c r="GT1966" s="4">
        <v>170</v>
      </c>
      <c r="GU1966" s="4">
        <v>161</v>
      </c>
      <c r="GV1966" s="4">
        <v>152</v>
      </c>
      <c r="GW1966" s="4">
        <v>214</v>
      </c>
      <c r="GX1966" s="4">
        <v>206</v>
      </c>
      <c r="GY1966" s="4">
        <v>199</v>
      </c>
      <c r="GZ1966" s="4">
        <v>193</v>
      </c>
      <c r="HA1966" s="4">
        <v>186</v>
      </c>
      <c r="HB1966" s="4">
        <v>181</v>
      </c>
      <c r="HC1966" s="4">
        <v>176</v>
      </c>
      <c r="HD1966" s="19">
        <v>23.7</v>
      </c>
      <c r="HE1966" s="19">
        <v>24.6</v>
      </c>
      <c r="HF1966" s="19">
        <v>20.2</v>
      </c>
      <c r="HG1966" s="19">
        <v>18.1</v>
      </c>
      <c r="HH1966" s="19">
        <v>15.3</v>
      </c>
      <c r="HI1966" s="19">
        <v>14</v>
      </c>
      <c r="HJ1966" s="19">
        <v>14.6</v>
      </c>
      <c r="HK1966" s="19">
        <v>14.1</v>
      </c>
      <c r="HL1966" s="19">
        <v>14.3</v>
      </c>
      <c r="HM1966" s="19">
        <v>11.7</v>
      </c>
      <c r="HN1966" s="19">
        <v>11.3</v>
      </c>
      <c r="HO1966" s="19">
        <v>10.8</v>
      </c>
      <c r="HP1966" s="19">
        <v>10.8</v>
      </c>
      <c r="HQ1966" s="19">
        <v>14.8</v>
      </c>
      <c r="HR1966" s="19">
        <v>15.6</v>
      </c>
      <c r="HS1966" s="19">
        <v>18.3</v>
      </c>
      <c r="HT1966" s="19">
        <v>21.3</v>
      </c>
      <c r="HU1966" s="19">
        <v>20.1</v>
      </c>
      <c r="HV1966" s="19">
        <v>21.7</v>
      </c>
      <c r="HW1966" s="19">
        <v>30.6</v>
      </c>
      <c r="HX1966" s="19">
        <v>34.3</v>
      </c>
      <c r="HY1966" s="19">
        <v>33.2</v>
      </c>
      <c r="HZ1966" s="19">
        <v>32.2</v>
      </c>
      <c r="IA1966" s="19">
        <v>37.2</v>
      </c>
      <c r="IB1966" s="19">
        <v>36.2</v>
      </c>
      <c r="IC1966" s="19">
        <v>35.2</v>
      </c>
    </row>
    <row r="1967">
      <c r="A1967" s="2" t="s">
        <v>7123</v>
      </c>
      <c r="B1967" s="2" t="s">
        <v>323</v>
      </c>
      <c r="C1967" s="2" t="s">
        <v>1036</v>
      </c>
      <c r="D1967" s="2" t="s">
        <v>257</v>
      </c>
      <c r="E1967" s="2" t="s">
        <v>258</v>
      </c>
      <c r="F1967" s="2" t="s">
        <v>7117</v>
      </c>
      <c r="G1967" s="2" t="s">
        <v>7117</v>
      </c>
      <c r="H1967" s="2" t="s">
        <v>7117</v>
      </c>
      <c r="I1967" s="2" t="s">
        <v>7118</v>
      </c>
      <c r="J1967" s="2" t="s">
        <v>250</v>
      </c>
      <c r="K1967" s="2" t="s">
        <v>861</v>
      </c>
      <c r="L1967" s="3">
        <v>28.08</v>
      </c>
      <c r="M1967" s="3">
        <v>29.48</v>
      </c>
      <c r="N1967" s="3">
        <v>59.99</v>
      </c>
      <c r="O1967" s="2" t="s">
        <v>232</v>
      </c>
      <c r="P1967" s="2" t="s">
        <v>233</v>
      </c>
      <c r="Q1967" s="2" t="s">
        <v>234</v>
      </c>
      <c r="R1967" s="2" t="s">
        <v>235</v>
      </c>
      <c r="S1967" s="2" t="s">
        <v>7119</v>
      </c>
      <c r="T1967" s="2" t="s">
        <v>2295</v>
      </c>
      <c r="U1967" s="2" t="s">
        <v>264</v>
      </c>
      <c r="V1967" s="2" t="s">
        <v>238</v>
      </c>
      <c r="W1967" s="2" t="s">
        <v>239</v>
      </c>
      <c r="X1967" s="2" t="s">
        <v>235</v>
      </c>
      <c r="Y1967" s="2" t="s">
        <v>240</v>
      </c>
      <c r="Z1967" s="4">
        <v>361</v>
      </c>
      <c r="AA1967" s="4">
        <f>=ROUNDDOWN(25.7857142857143,0)</f>
      </c>
      <c r="AB1967" s="5">
        <v>14</v>
      </c>
      <c r="AC1967" s="2" t="s">
        <v>883</v>
      </c>
      <c r="AD1967" s="4">
        <v>94</v>
      </c>
      <c r="AE1967" s="4">
        <v>94</v>
      </c>
      <c r="AF1967" s="6">
        <v>65</v>
      </c>
      <c r="AG1967" s="6"/>
      <c r="AH1967" s="7">
        <v>0.5161</v>
      </c>
      <c r="AI1967" s="4"/>
      <c r="AJ1967" s="4">
        <f>=ROUNDDOWN({0},0)</f>
      </c>
      <c r="AK1967" s="5"/>
      <c r="AL1967" s="2" t="s">
        <v>235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235</v>
      </c>
      <c r="AW1967" s="8" t="s">
        <v>235</v>
      </c>
      <c r="AX1967" s="4" t="s">
        <v>235</v>
      </c>
      <c r="AY1967" s="8" t="s">
        <v>235</v>
      </c>
      <c r="AZ1967" s="7" t="s">
        <v>235</v>
      </c>
      <c r="BA1967" s="7" t="s">
        <v>235</v>
      </c>
      <c r="BB1967" s="7"/>
      <c r="BC1967" s="4" t="s">
        <v>235</v>
      </c>
      <c r="BD1967" s="8" t="s">
        <v>235</v>
      </c>
      <c r="BE1967" s="4" t="s">
        <v>235</v>
      </c>
      <c r="BF1967" s="8" t="s">
        <v>235</v>
      </c>
      <c r="BG1967" s="7" t="s">
        <v>235</v>
      </c>
      <c r="BH1967" s="7" t="s">
        <v>235</v>
      </c>
      <c r="BI1967" s="7"/>
      <c r="BJ1967" s="4">
        <v>15</v>
      </c>
      <c r="BK1967" s="8">
        <v>480.95</v>
      </c>
      <c r="BL1967" s="2" t="s">
        <v>7124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7121</v>
      </c>
      <c r="BV1967" s="2" t="s">
        <v>243</v>
      </c>
      <c r="BW1967" s="2" t="s">
        <v>235</v>
      </c>
      <c r="BX1967" s="2" t="s">
        <v>244</v>
      </c>
      <c r="BY1967" s="2" t="s">
        <v>245</v>
      </c>
      <c r="BZ1967" s="2" t="s">
        <v>232</v>
      </c>
      <c r="CA1967" s="2" t="s">
        <v>252</v>
      </c>
      <c r="CB1967" s="2" t="s">
        <v>7125</v>
      </c>
      <c r="CC1967" s="2" t="s">
        <v>248</v>
      </c>
      <c r="CD1967" s="2" t="s">
        <v>248</v>
      </c>
      <c r="CE1967" s="2" t="s">
        <v>235</v>
      </c>
      <c r="CF1967" s="4">
        <v>361</v>
      </c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>
        <v>94</v>
      </c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>
        <v>367</v>
      </c>
      <c r="GE1967" s="4">
        <v>433</v>
      </c>
      <c r="GF1967" s="4">
        <v>418</v>
      </c>
      <c r="GG1967" s="4">
        <v>402</v>
      </c>
      <c r="GH1967" s="4">
        <v>387</v>
      </c>
      <c r="GI1967" s="4">
        <v>366</v>
      </c>
      <c r="GJ1967" s="4">
        <v>339</v>
      </c>
      <c r="GK1967" s="4">
        <v>316</v>
      </c>
      <c r="GL1967" s="4">
        <v>288</v>
      </c>
      <c r="GM1967" s="4">
        <v>264</v>
      </c>
      <c r="GN1967" s="4">
        <v>247</v>
      </c>
      <c r="GO1967" s="4">
        <v>226</v>
      </c>
      <c r="GP1967" s="4">
        <v>205</v>
      </c>
      <c r="GQ1967" s="4">
        <v>163</v>
      </c>
      <c r="GR1967" s="4">
        <v>140</v>
      </c>
      <c r="GS1967" s="4">
        <v>116</v>
      </c>
      <c r="GT1967" s="4">
        <v>103</v>
      </c>
      <c r="GU1967" s="4">
        <v>96</v>
      </c>
      <c r="GV1967" s="4">
        <v>90</v>
      </c>
      <c r="GW1967" s="4">
        <v>141</v>
      </c>
      <c r="GX1967" s="4">
        <v>134</v>
      </c>
      <c r="GY1967" s="4">
        <v>129</v>
      </c>
      <c r="GZ1967" s="4">
        <v>124</v>
      </c>
      <c r="HA1967" s="4">
        <v>118</v>
      </c>
      <c r="HB1967" s="4">
        <v>114</v>
      </c>
      <c r="HC1967" s="4">
        <v>110</v>
      </c>
      <c r="HD1967" s="19">
        <v>20.4</v>
      </c>
      <c r="HE1967" s="19">
        <v>25.5</v>
      </c>
      <c r="HF1967" s="19">
        <v>20.9</v>
      </c>
      <c r="HG1967" s="19">
        <v>18.3</v>
      </c>
      <c r="HH1967" s="19">
        <v>15.5</v>
      </c>
      <c r="HI1967" s="19">
        <v>14.1</v>
      </c>
      <c r="HJ1967" s="19">
        <v>14.7</v>
      </c>
      <c r="HK1967" s="19">
        <v>14.4</v>
      </c>
      <c r="HL1967" s="19">
        <v>13.7</v>
      </c>
      <c r="HM1967" s="19">
        <v>10.6</v>
      </c>
      <c r="HN1967" s="19">
        <v>9.1</v>
      </c>
      <c r="HO1967" s="19">
        <v>8.1</v>
      </c>
      <c r="HP1967" s="19">
        <v>7.9</v>
      </c>
      <c r="HQ1967" s="19">
        <v>9.6</v>
      </c>
      <c r="HR1967" s="19">
        <v>11.7</v>
      </c>
      <c r="HS1967" s="19">
        <v>14.5</v>
      </c>
      <c r="HT1967" s="19">
        <v>17.2</v>
      </c>
      <c r="HU1967" s="19">
        <v>16</v>
      </c>
      <c r="HV1967" s="19">
        <v>15</v>
      </c>
      <c r="HW1967" s="19">
        <v>23.5</v>
      </c>
      <c r="HX1967" s="19">
        <v>26.8</v>
      </c>
      <c r="HY1967" s="19">
        <v>25.8</v>
      </c>
      <c r="HZ1967" s="19">
        <v>31</v>
      </c>
      <c r="IA1967" s="19">
        <v>29.5</v>
      </c>
      <c r="IB1967" s="19">
        <v>28.5</v>
      </c>
      <c r="IC1967" s="19">
        <v>27.5</v>
      </c>
    </row>
    <row r="1968">
      <c r="A1968" s="2" t="s">
        <v>7126</v>
      </c>
      <c r="B1968" s="2" t="s">
        <v>323</v>
      </c>
      <c r="C1968" s="2" t="s">
        <v>1036</v>
      </c>
      <c r="D1968" s="2" t="s">
        <v>257</v>
      </c>
      <c r="E1968" s="2" t="s">
        <v>258</v>
      </c>
      <c r="F1968" s="2" t="s">
        <v>7117</v>
      </c>
      <c r="G1968" s="2" t="s">
        <v>7117</v>
      </c>
      <c r="H1968" s="2" t="s">
        <v>7117</v>
      </c>
      <c r="I1968" s="2" t="s">
        <v>7118</v>
      </c>
      <c r="J1968" s="2" t="s">
        <v>261</v>
      </c>
      <c r="K1968" s="2" t="s">
        <v>861</v>
      </c>
      <c r="L1968" s="3">
        <v>31.45</v>
      </c>
      <c r="M1968" s="3">
        <v>33.02</v>
      </c>
      <c r="N1968" s="3">
        <v>69.99</v>
      </c>
      <c r="O1968" s="2" t="s">
        <v>232</v>
      </c>
      <c r="P1968" s="2" t="s">
        <v>336</v>
      </c>
      <c r="Q1968" s="2" t="s">
        <v>234</v>
      </c>
      <c r="R1968" s="2" t="s">
        <v>235</v>
      </c>
      <c r="S1968" s="2" t="s">
        <v>7119</v>
      </c>
      <c r="T1968" s="2" t="s">
        <v>2295</v>
      </c>
      <c r="U1968" s="2" t="s">
        <v>264</v>
      </c>
      <c r="V1968" s="2" t="s">
        <v>238</v>
      </c>
      <c r="W1968" s="2" t="s">
        <v>239</v>
      </c>
      <c r="X1968" s="2" t="s">
        <v>235</v>
      </c>
      <c r="Y1968" s="2" t="s">
        <v>240</v>
      </c>
      <c r="Z1968" s="4">
        <v>469</v>
      </c>
      <c r="AA1968" s="4">
        <f>=ROUNDDOWN(26.0555555555556,0)</f>
      </c>
      <c r="AB1968" s="5">
        <v>18</v>
      </c>
      <c r="AC1968" s="2" t="s">
        <v>883</v>
      </c>
      <c r="AD1968" s="4">
        <v>157</v>
      </c>
      <c r="AE1968" s="4">
        <v>157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235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235</v>
      </c>
      <c r="AW1968" s="8" t="s">
        <v>235</v>
      </c>
      <c r="AX1968" s="4" t="s">
        <v>235</v>
      </c>
      <c r="AY1968" s="8" t="s">
        <v>235</v>
      </c>
      <c r="AZ1968" s="7" t="s">
        <v>235</v>
      </c>
      <c r="BA1968" s="7" t="s">
        <v>235</v>
      </c>
      <c r="BB1968" s="7"/>
      <c r="BC1968" s="4" t="s">
        <v>235</v>
      </c>
      <c r="BD1968" s="8" t="s">
        <v>235</v>
      </c>
      <c r="BE1968" s="4" t="s">
        <v>235</v>
      </c>
      <c r="BF1968" s="8" t="s">
        <v>235</v>
      </c>
      <c r="BG1968" s="7" t="s">
        <v>235</v>
      </c>
      <c r="BH1968" s="7" t="s">
        <v>235</v>
      </c>
      <c r="BI1968" s="7"/>
      <c r="BJ1968" s="4">
        <v>10</v>
      </c>
      <c r="BK1968" s="8">
        <v>339.59</v>
      </c>
      <c r="BL1968" s="2" t="s">
        <v>1625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7121</v>
      </c>
      <c r="BV1968" s="2" t="s">
        <v>243</v>
      </c>
      <c r="BW1968" s="2" t="s">
        <v>235</v>
      </c>
      <c r="BX1968" s="2" t="s">
        <v>244</v>
      </c>
      <c r="BY1968" s="2" t="s">
        <v>245</v>
      </c>
      <c r="BZ1968" s="2" t="s">
        <v>232</v>
      </c>
      <c r="CA1968" s="2" t="s">
        <v>252</v>
      </c>
      <c r="CB1968" s="2" t="s">
        <v>7127</v>
      </c>
      <c r="CC1968" s="2" t="s">
        <v>248</v>
      </c>
      <c r="CD1968" s="2" t="s">
        <v>248</v>
      </c>
      <c r="CE1968" s="2" t="s">
        <v>235</v>
      </c>
      <c r="CF1968" s="4">
        <v>79</v>
      </c>
      <c r="CG1968" s="4">
        <v>390</v>
      </c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>
        <v>157</v>
      </c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>
        <v>469</v>
      </c>
      <c r="GE1968" s="4">
        <v>573</v>
      </c>
      <c r="GF1968" s="4">
        <v>555</v>
      </c>
      <c r="GG1968" s="4">
        <v>536</v>
      </c>
      <c r="GH1968" s="4">
        <v>518</v>
      </c>
      <c r="GI1968" s="4">
        <v>497</v>
      </c>
      <c r="GJ1968" s="4">
        <v>467</v>
      </c>
      <c r="GK1968" s="4">
        <v>440</v>
      </c>
      <c r="GL1968" s="4">
        <v>412</v>
      </c>
      <c r="GM1968" s="4">
        <v>387</v>
      </c>
      <c r="GN1968" s="4">
        <v>359</v>
      </c>
      <c r="GO1968" s="4">
        <v>321</v>
      </c>
      <c r="GP1968" s="4">
        <v>280</v>
      </c>
      <c r="GQ1968" s="4">
        <v>183</v>
      </c>
      <c r="GR1968" s="4">
        <v>129</v>
      </c>
      <c r="GS1968" s="4">
        <v>67</v>
      </c>
      <c r="GT1968" s="4">
        <v>36</v>
      </c>
      <c r="GU1968" s="4">
        <v>23</v>
      </c>
      <c r="GV1968" s="4">
        <v>8</v>
      </c>
      <c r="GW1968" s="4">
        <v>250</v>
      </c>
      <c r="GX1968" s="4">
        <v>230</v>
      </c>
      <c r="GY1968" s="4">
        <v>222</v>
      </c>
      <c r="GZ1968" s="4">
        <v>215</v>
      </c>
      <c r="HA1968" s="4">
        <v>205</v>
      </c>
      <c r="HB1968" s="4">
        <v>196</v>
      </c>
      <c r="HC1968" s="4">
        <v>187</v>
      </c>
      <c r="HD1968" s="19">
        <v>17.4</v>
      </c>
      <c r="HE1968" s="19">
        <v>30.2</v>
      </c>
      <c r="HF1968" s="19">
        <v>25.2</v>
      </c>
      <c r="HG1968" s="19">
        <v>22.3</v>
      </c>
      <c r="HH1968" s="19">
        <v>19.9</v>
      </c>
      <c r="HI1968" s="19">
        <v>17.8</v>
      </c>
      <c r="HJ1968" s="19">
        <v>17.3</v>
      </c>
      <c r="HK1968" s="19">
        <v>14.7</v>
      </c>
      <c r="HL1968" s="19">
        <v>12.5</v>
      </c>
      <c r="HM1968" s="19">
        <v>7.6</v>
      </c>
      <c r="HN1968" s="19">
        <v>6.2</v>
      </c>
      <c r="HO1968" s="19">
        <v>5</v>
      </c>
      <c r="HP1968" s="19">
        <v>4.6</v>
      </c>
      <c r="HQ1968" s="19">
        <v>4.6</v>
      </c>
      <c r="HR1968" s="19">
        <v>4.3</v>
      </c>
      <c r="HS1968" s="19">
        <v>3.9</v>
      </c>
      <c r="HT1968" s="19">
        <v>2.6</v>
      </c>
      <c r="HU1968" s="19">
        <v>1.8</v>
      </c>
      <c r="HV1968" s="19">
        <v>0.7</v>
      </c>
      <c r="HW1968" s="19">
        <v>22.7</v>
      </c>
      <c r="HX1968" s="19">
        <v>28.8</v>
      </c>
      <c r="HY1968" s="19">
        <v>24.7</v>
      </c>
      <c r="HZ1968" s="19">
        <v>23.9</v>
      </c>
      <c r="IA1968" s="19">
        <v>22.8</v>
      </c>
      <c r="IB1968" s="19">
        <v>24.5</v>
      </c>
      <c r="IC1968" s="19">
        <v>23.4</v>
      </c>
    </row>
    <row r="1969">
      <c r="A1969" s="2" t="s">
        <v>7128</v>
      </c>
      <c r="B1969" s="2" t="s">
        <v>323</v>
      </c>
      <c r="C1969" s="2" t="s">
        <v>1036</v>
      </c>
      <c r="D1969" s="2" t="s">
        <v>257</v>
      </c>
      <c r="E1969" s="2" t="s">
        <v>258</v>
      </c>
      <c r="F1969" s="2" t="s">
        <v>7117</v>
      </c>
      <c r="G1969" s="2" t="s">
        <v>7117</v>
      </c>
      <c r="H1969" s="2" t="s">
        <v>7117</v>
      </c>
      <c r="I1969" s="2" t="s">
        <v>7118</v>
      </c>
      <c r="J1969" s="2" t="s">
        <v>394</v>
      </c>
      <c r="K1969" s="2" t="s">
        <v>231</v>
      </c>
      <c r="L1969" s="3">
        <v>22</v>
      </c>
      <c r="M1969" s="3">
        <v>23.1</v>
      </c>
      <c r="N1969" s="3">
        <v>48.99</v>
      </c>
      <c r="O1969" s="2" t="s">
        <v>232</v>
      </c>
      <c r="P1969" s="2" t="s">
        <v>233</v>
      </c>
      <c r="Q1969" s="2" t="s">
        <v>234</v>
      </c>
      <c r="R1969" s="2" t="s">
        <v>235</v>
      </c>
      <c r="S1969" s="2" t="s">
        <v>7129</v>
      </c>
      <c r="T1969" s="2" t="s">
        <v>2295</v>
      </c>
      <c r="U1969" s="2" t="s">
        <v>552</v>
      </c>
      <c r="V1969" s="2" t="s">
        <v>238</v>
      </c>
      <c r="W1969" s="2" t="s">
        <v>239</v>
      </c>
      <c r="X1969" s="2" t="s">
        <v>235</v>
      </c>
      <c r="Y1969" s="2" t="s">
        <v>240</v>
      </c>
      <c r="Z1969" s="4">
        <v>880</v>
      </c>
      <c r="AA1969" s="4">
        <f>=ROUNDDOWN(29.3333333333333,0)</f>
      </c>
      <c r="AB1969" s="5">
        <v>30</v>
      </c>
      <c r="AC1969" s="2" t="s">
        <v>883</v>
      </c>
      <c r="AD1969" s="4">
        <v>200</v>
      </c>
      <c r="AE1969" s="4">
        <v>200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235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235</v>
      </c>
      <c r="AW1969" s="8" t="s">
        <v>235</v>
      </c>
      <c r="AX1969" s="4" t="s">
        <v>235</v>
      </c>
      <c r="AY1969" s="8" t="s">
        <v>235</v>
      </c>
      <c r="AZ1969" s="7" t="s">
        <v>235</v>
      </c>
      <c r="BA1969" s="7" t="s">
        <v>235</v>
      </c>
      <c r="BB1969" s="7"/>
      <c r="BC1969" s="4" t="s">
        <v>235</v>
      </c>
      <c r="BD1969" s="8" t="s">
        <v>235</v>
      </c>
      <c r="BE1969" s="4" t="s">
        <v>235</v>
      </c>
      <c r="BF1969" s="8" t="s">
        <v>235</v>
      </c>
      <c r="BG1969" s="7" t="s">
        <v>235</v>
      </c>
      <c r="BH1969" s="7" t="s">
        <v>235</v>
      </c>
      <c r="BI1969" s="7"/>
      <c r="BJ1969" s="4">
        <v>3</v>
      </c>
      <c r="BK1969" s="8">
        <v>68.76</v>
      </c>
      <c r="BL1969" s="2" t="s">
        <v>2879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7121</v>
      </c>
      <c r="BV1969" s="2" t="s">
        <v>243</v>
      </c>
      <c r="BW1969" s="2" t="s">
        <v>235</v>
      </c>
      <c r="BX1969" s="2" t="s">
        <v>244</v>
      </c>
      <c r="BY1969" s="2" t="s">
        <v>245</v>
      </c>
      <c r="BZ1969" s="2" t="s">
        <v>232</v>
      </c>
      <c r="CA1969" s="2" t="s">
        <v>2044</v>
      </c>
      <c r="CB1969" s="2" t="s">
        <v>7130</v>
      </c>
      <c r="CC1969" s="2" t="s">
        <v>248</v>
      </c>
      <c r="CD1969" s="2" t="s">
        <v>248</v>
      </c>
      <c r="CE1969" s="2" t="s">
        <v>235</v>
      </c>
      <c r="CF1969" s="4">
        <v>668</v>
      </c>
      <c r="CG1969" s="4">
        <v>212</v>
      </c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>
        <v>200</v>
      </c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>
        <v>884</v>
      </c>
      <c r="GE1969" s="4">
        <v>943</v>
      </c>
      <c r="GF1969" s="4">
        <v>909</v>
      </c>
      <c r="GG1969" s="4">
        <v>872</v>
      </c>
      <c r="GH1969" s="4">
        <v>838</v>
      </c>
      <c r="GI1969" s="4">
        <v>788</v>
      </c>
      <c r="GJ1969" s="4">
        <v>728</v>
      </c>
      <c r="GK1969" s="4">
        <v>677</v>
      </c>
      <c r="GL1969" s="4">
        <v>614</v>
      </c>
      <c r="GM1969" s="4">
        <v>561</v>
      </c>
      <c r="GN1969" s="4">
        <v>525</v>
      </c>
      <c r="GO1969" s="4">
        <v>486</v>
      </c>
      <c r="GP1969" s="4">
        <v>449</v>
      </c>
      <c r="GQ1969" s="4">
        <v>375</v>
      </c>
      <c r="GR1969" s="4">
        <v>344</v>
      </c>
      <c r="GS1969" s="4">
        <v>312</v>
      </c>
      <c r="GT1969" s="4">
        <v>290</v>
      </c>
      <c r="GU1969" s="4">
        <v>275</v>
      </c>
      <c r="GV1969" s="4">
        <v>261</v>
      </c>
      <c r="GW1969" s="4">
        <v>251</v>
      </c>
      <c r="GX1969" s="4">
        <v>238</v>
      </c>
      <c r="GY1969" s="4">
        <v>227</v>
      </c>
      <c r="GZ1969" s="4">
        <v>216</v>
      </c>
      <c r="HA1969" s="4">
        <v>204</v>
      </c>
      <c r="HB1969" s="4">
        <v>195</v>
      </c>
      <c r="HC1969" s="4">
        <v>186</v>
      </c>
      <c r="HD1969" s="19">
        <v>14.3</v>
      </c>
      <c r="HE1969" s="19">
        <v>24.2</v>
      </c>
      <c r="HF1969" s="19">
        <v>20.2</v>
      </c>
      <c r="HG1969" s="19">
        <v>17.8</v>
      </c>
      <c r="HH1969" s="19">
        <v>15</v>
      </c>
      <c r="HI1969" s="19">
        <v>13.8</v>
      </c>
      <c r="HJ1969" s="19">
        <v>14.3</v>
      </c>
      <c r="HK1969" s="19">
        <v>14.1</v>
      </c>
      <c r="HL1969" s="19">
        <v>15</v>
      </c>
      <c r="HM1969" s="19">
        <v>12.2</v>
      </c>
      <c r="HN1969" s="19">
        <v>11.7</v>
      </c>
      <c r="HO1969" s="19">
        <v>11</v>
      </c>
      <c r="HP1969" s="19">
        <v>11.2</v>
      </c>
      <c r="HQ1969" s="19">
        <v>15</v>
      </c>
      <c r="HR1969" s="19">
        <v>16.4</v>
      </c>
      <c r="HS1969" s="19">
        <v>19.5</v>
      </c>
      <c r="HT1969" s="19">
        <v>20.7</v>
      </c>
      <c r="HU1969" s="19">
        <v>21.2</v>
      </c>
      <c r="HV1969" s="19">
        <v>21.8</v>
      </c>
      <c r="HW1969" s="19">
        <v>20.9</v>
      </c>
      <c r="HX1969" s="19">
        <v>21.6</v>
      </c>
      <c r="HY1969" s="19">
        <v>22.7</v>
      </c>
      <c r="HZ1969" s="19">
        <v>21.6</v>
      </c>
      <c r="IA1969" s="19">
        <v>22.7</v>
      </c>
      <c r="IB1969" s="19">
        <v>21.7</v>
      </c>
      <c r="IC1969" s="19">
        <v>20.7</v>
      </c>
    </row>
    <row r="1970">
      <c r="A1970" s="2" t="s">
        <v>7131</v>
      </c>
      <c r="B1970" s="2" t="s">
        <v>323</v>
      </c>
      <c r="C1970" s="2" t="s">
        <v>1036</v>
      </c>
      <c r="D1970" s="2" t="s">
        <v>257</v>
      </c>
      <c r="E1970" s="2" t="s">
        <v>258</v>
      </c>
      <c r="F1970" s="2" t="s">
        <v>7117</v>
      </c>
      <c r="G1970" s="2" t="s">
        <v>7117</v>
      </c>
      <c r="H1970" s="2" t="s">
        <v>7117</v>
      </c>
      <c r="I1970" s="2" t="s">
        <v>7118</v>
      </c>
      <c r="J1970" s="2" t="s">
        <v>250</v>
      </c>
      <c r="K1970" s="2" t="s">
        <v>231</v>
      </c>
      <c r="L1970" s="3">
        <v>28.08</v>
      </c>
      <c r="M1970" s="3">
        <v>29.48</v>
      </c>
      <c r="N1970" s="3">
        <v>59.99</v>
      </c>
      <c r="O1970" s="2" t="s">
        <v>232</v>
      </c>
      <c r="P1970" s="2" t="s">
        <v>233</v>
      </c>
      <c r="Q1970" s="2" t="s">
        <v>234</v>
      </c>
      <c r="R1970" s="2" t="s">
        <v>235</v>
      </c>
      <c r="S1970" s="2" t="s">
        <v>7129</v>
      </c>
      <c r="T1970" s="2" t="s">
        <v>2295</v>
      </c>
      <c r="U1970" s="2" t="s">
        <v>264</v>
      </c>
      <c r="V1970" s="2" t="s">
        <v>238</v>
      </c>
      <c r="W1970" s="2" t="s">
        <v>239</v>
      </c>
      <c r="X1970" s="2" t="s">
        <v>235</v>
      </c>
      <c r="Y1970" s="2" t="s">
        <v>240</v>
      </c>
      <c r="Z1970" s="4">
        <v>718</v>
      </c>
      <c r="AA1970" s="4">
        <f>=ROUNDDOWN(29.9166666666667,0)</f>
      </c>
      <c r="AB1970" s="5">
        <v>24</v>
      </c>
      <c r="AC1970" s="2" t="s">
        <v>883</v>
      </c>
      <c r="AD1970" s="4">
        <v>150</v>
      </c>
      <c r="AE1970" s="4">
        <v>150</v>
      </c>
      <c r="AF1970" s="6">
        <v>65</v>
      </c>
      <c r="AG1970" s="6"/>
      <c r="AH1970" s="7">
        <v>0.5161</v>
      </c>
      <c r="AI1970" s="4"/>
      <c r="AJ1970" s="4">
        <f>=ROUNDDOWN({0},0)</f>
      </c>
      <c r="AK1970" s="5"/>
      <c r="AL1970" s="2" t="s">
        <v>235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235</v>
      </c>
      <c r="AW1970" s="8" t="s">
        <v>235</v>
      </c>
      <c r="AX1970" s="4" t="s">
        <v>235</v>
      </c>
      <c r="AY1970" s="8" t="s">
        <v>235</v>
      </c>
      <c r="AZ1970" s="7" t="s">
        <v>235</v>
      </c>
      <c r="BA1970" s="7" t="s">
        <v>235</v>
      </c>
      <c r="BB1970" s="7"/>
      <c r="BC1970" s="4" t="s">
        <v>235</v>
      </c>
      <c r="BD1970" s="8" t="s">
        <v>235</v>
      </c>
      <c r="BE1970" s="4" t="s">
        <v>235</v>
      </c>
      <c r="BF1970" s="8" t="s">
        <v>235</v>
      </c>
      <c r="BG1970" s="7" t="s">
        <v>235</v>
      </c>
      <c r="BH1970" s="7" t="s">
        <v>235</v>
      </c>
      <c r="BI1970" s="7"/>
      <c r="BJ1970" s="4">
        <v>2</v>
      </c>
      <c r="BK1970" s="8">
        <v>101.79</v>
      </c>
      <c r="BL1970" s="2" t="s">
        <v>7132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7121</v>
      </c>
      <c r="BV1970" s="2" t="s">
        <v>243</v>
      </c>
      <c r="BW1970" s="2" t="s">
        <v>235</v>
      </c>
      <c r="BX1970" s="2" t="s">
        <v>244</v>
      </c>
      <c r="BY1970" s="2" t="s">
        <v>245</v>
      </c>
      <c r="BZ1970" s="2" t="s">
        <v>232</v>
      </c>
      <c r="CA1970" s="2" t="s">
        <v>2044</v>
      </c>
      <c r="CB1970" s="2" t="s">
        <v>7133</v>
      </c>
      <c r="CC1970" s="2" t="s">
        <v>248</v>
      </c>
      <c r="CD1970" s="2" t="s">
        <v>248</v>
      </c>
      <c r="CE1970" s="2" t="s">
        <v>235</v>
      </c>
      <c r="CF1970" s="4">
        <v>715</v>
      </c>
      <c r="CG1970" s="4">
        <v>3</v>
      </c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>
        <v>150</v>
      </c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>
        <v>721</v>
      </c>
      <c r="GE1970" s="4">
        <v>775</v>
      </c>
      <c r="GF1970" s="4">
        <v>750</v>
      </c>
      <c r="GG1970" s="4">
        <v>723</v>
      </c>
      <c r="GH1970" s="4">
        <v>698</v>
      </c>
      <c r="GI1970" s="4">
        <v>660</v>
      </c>
      <c r="GJ1970" s="4">
        <v>613</v>
      </c>
      <c r="GK1970" s="4">
        <v>573</v>
      </c>
      <c r="GL1970" s="4">
        <v>525</v>
      </c>
      <c r="GM1970" s="4">
        <v>484</v>
      </c>
      <c r="GN1970" s="4">
        <v>456</v>
      </c>
      <c r="GO1970" s="4">
        <v>421</v>
      </c>
      <c r="GP1970" s="4">
        <v>388</v>
      </c>
      <c r="GQ1970" s="4">
        <v>320</v>
      </c>
      <c r="GR1970" s="4">
        <v>284</v>
      </c>
      <c r="GS1970" s="4">
        <v>245</v>
      </c>
      <c r="GT1970" s="4">
        <v>225</v>
      </c>
      <c r="GU1970" s="4">
        <v>214</v>
      </c>
      <c r="GV1970" s="4">
        <v>203</v>
      </c>
      <c r="GW1970" s="4">
        <v>193</v>
      </c>
      <c r="GX1970" s="4">
        <v>181</v>
      </c>
      <c r="GY1970" s="4">
        <v>172</v>
      </c>
      <c r="GZ1970" s="4">
        <v>164</v>
      </c>
      <c r="HA1970" s="4">
        <v>155</v>
      </c>
      <c r="HB1970" s="4">
        <v>149</v>
      </c>
      <c r="HC1970" s="4">
        <v>143</v>
      </c>
      <c r="HD1970" s="19">
        <v>16.8</v>
      </c>
      <c r="HE1970" s="19">
        <v>26.7</v>
      </c>
      <c r="HF1970" s="19">
        <v>22.1</v>
      </c>
      <c r="HG1970" s="19">
        <v>19</v>
      </c>
      <c r="HH1970" s="19">
        <v>16.2</v>
      </c>
      <c r="HI1970" s="19">
        <v>15</v>
      </c>
      <c r="HJ1970" s="19">
        <v>15.7</v>
      </c>
      <c r="HK1970" s="19">
        <v>15.1</v>
      </c>
      <c r="HL1970" s="19">
        <v>15.4</v>
      </c>
      <c r="HM1970" s="19">
        <v>11.8</v>
      </c>
      <c r="HN1970" s="19">
        <v>10.6</v>
      </c>
      <c r="HO1970" s="19">
        <v>9.6</v>
      </c>
      <c r="HP1970" s="19">
        <v>9.5</v>
      </c>
      <c r="HQ1970" s="19">
        <v>12.3</v>
      </c>
      <c r="HR1970" s="19">
        <v>14.2</v>
      </c>
      <c r="HS1970" s="19">
        <v>18.8</v>
      </c>
      <c r="HT1970" s="19">
        <v>20.5</v>
      </c>
      <c r="HU1970" s="19">
        <v>21.4</v>
      </c>
      <c r="HV1970" s="19">
        <v>20.3</v>
      </c>
      <c r="HW1970" s="19">
        <v>19.3</v>
      </c>
      <c r="HX1970" s="19">
        <v>22.6</v>
      </c>
      <c r="HY1970" s="19">
        <v>24.6</v>
      </c>
      <c r="HZ1970" s="19">
        <v>23.4</v>
      </c>
      <c r="IA1970" s="19">
        <v>25.8</v>
      </c>
      <c r="IB1970" s="19">
        <v>24.8</v>
      </c>
      <c r="IC1970" s="19">
        <v>23.8</v>
      </c>
    </row>
    <row r="1971">
      <c r="A1971" s="2" t="s">
        <v>7134</v>
      </c>
      <c r="B1971" s="2" t="s">
        <v>323</v>
      </c>
      <c r="C1971" s="2" t="s">
        <v>1036</v>
      </c>
      <c r="D1971" s="2" t="s">
        <v>257</v>
      </c>
      <c r="E1971" s="2" t="s">
        <v>258</v>
      </c>
      <c r="F1971" s="2" t="s">
        <v>7117</v>
      </c>
      <c r="G1971" s="2" t="s">
        <v>7117</v>
      </c>
      <c r="H1971" s="2" t="s">
        <v>7117</v>
      </c>
      <c r="I1971" s="2" t="s">
        <v>7118</v>
      </c>
      <c r="J1971" s="2" t="s">
        <v>261</v>
      </c>
      <c r="K1971" s="2" t="s">
        <v>231</v>
      </c>
      <c r="L1971" s="3">
        <v>31.45</v>
      </c>
      <c r="M1971" s="3">
        <v>33.02</v>
      </c>
      <c r="N1971" s="3">
        <v>69.99</v>
      </c>
      <c r="O1971" s="2" t="s">
        <v>232</v>
      </c>
      <c r="P1971" s="2" t="s">
        <v>333</v>
      </c>
      <c r="Q1971" s="2" t="s">
        <v>234</v>
      </c>
      <c r="R1971" s="2" t="s">
        <v>235</v>
      </c>
      <c r="S1971" s="2" t="s">
        <v>7129</v>
      </c>
      <c r="T1971" s="2" t="s">
        <v>2295</v>
      </c>
      <c r="U1971" s="2" t="s">
        <v>264</v>
      </c>
      <c r="V1971" s="2" t="s">
        <v>238</v>
      </c>
      <c r="W1971" s="2" t="s">
        <v>239</v>
      </c>
      <c r="X1971" s="2" t="s">
        <v>235</v>
      </c>
      <c r="Y1971" s="2" t="s">
        <v>240</v>
      </c>
      <c r="Z1971" s="4">
        <v>1611</v>
      </c>
      <c r="AA1971" s="4">
        <f>=ROUNDDOWN(26.4098360655738,0)</f>
      </c>
      <c r="AB1971" s="5">
        <v>61</v>
      </c>
      <c r="AC1971" s="2" t="s">
        <v>883</v>
      </c>
      <c r="AD1971" s="4">
        <v>430</v>
      </c>
      <c r="AE1971" s="4">
        <v>430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235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235</v>
      </c>
      <c r="AW1971" s="8" t="s">
        <v>235</v>
      </c>
      <c r="AX1971" s="4" t="s">
        <v>235</v>
      </c>
      <c r="AY1971" s="8" t="s">
        <v>235</v>
      </c>
      <c r="AZ1971" s="7" t="s">
        <v>235</v>
      </c>
      <c r="BA1971" s="7" t="s">
        <v>235</v>
      </c>
      <c r="BB1971" s="7"/>
      <c r="BC1971" s="4" t="s">
        <v>235</v>
      </c>
      <c r="BD1971" s="8" t="s">
        <v>235</v>
      </c>
      <c r="BE1971" s="4" t="s">
        <v>235</v>
      </c>
      <c r="BF1971" s="8" t="s">
        <v>235</v>
      </c>
      <c r="BG1971" s="7" t="s">
        <v>235</v>
      </c>
      <c r="BH1971" s="7" t="s">
        <v>235</v>
      </c>
      <c r="BI1971" s="7"/>
      <c r="BJ1971" s="4">
        <v>9</v>
      </c>
      <c r="BK1971" s="8">
        <v>294</v>
      </c>
      <c r="BL1971" s="2" t="s">
        <v>7135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7121</v>
      </c>
      <c r="BV1971" s="2" t="s">
        <v>243</v>
      </c>
      <c r="BW1971" s="2" t="s">
        <v>235</v>
      </c>
      <c r="BX1971" s="2" t="s">
        <v>244</v>
      </c>
      <c r="BY1971" s="2" t="s">
        <v>245</v>
      </c>
      <c r="BZ1971" s="2" t="s">
        <v>232</v>
      </c>
      <c r="CA1971" s="2" t="s">
        <v>2044</v>
      </c>
      <c r="CB1971" s="2" t="s">
        <v>7136</v>
      </c>
      <c r="CC1971" s="2" t="s">
        <v>248</v>
      </c>
      <c r="CD1971" s="2" t="s">
        <v>248</v>
      </c>
      <c r="CE1971" s="2" t="s">
        <v>235</v>
      </c>
      <c r="CF1971" s="4">
        <v>466</v>
      </c>
      <c r="CG1971" s="4">
        <v>145</v>
      </c>
      <c r="CH1971" s="4"/>
      <c r="CI1971" s="4">
        <v>1000</v>
      </c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>
        <v>430</v>
      </c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>
        <v>1612</v>
      </c>
      <c r="GE1971" s="4">
        <v>1747</v>
      </c>
      <c r="GF1971" s="4">
        <v>1673</v>
      </c>
      <c r="GG1971" s="4">
        <v>1594</v>
      </c>
      <c r="GH1971" s="4">
        <v>1520</v>
      </c>
      <c r="GI1971" s="4">
        <v>1418</v>
      </c>
      <c r="GJ1971" s="4">
        <v>1295</v>
      </c>
      <c r="GK1971" s="4">
        <v>1191</v>
      </c>
      <c r="GL1971" s="4">
        <v>1061</v>
      </c>
      <c r="GM1971" s="4">
        <v>951</v>
      </c>
      <c r="GN1971" s="4">
        <v>879</v>
      </c>
      <c r="GO1971" s="4">
        <v>792</v>
      </c>
      <c r="GP1971" s="4">
        <v>710</v>
      </c>
      <c r="GQ1971" s="4">
        <v>554</v>
      </c>
      <c r="GR1971" s="4">
        <v>466</v>
      </c>
      <c r="GS1971" s="4">
        <v>373</v>
      </c>
      <c r="GT1971" s="4">
        <v>318</v>
      </c>
      <c r="GU1971" s="4">
        <v>283</v>
      </c>
      <c r="GV1971" s="4">
        <v>246</v>
      </c>
      <c r="GW1971" s="4">
        <v>610</v>
      </c>
      <c r="GX1971" s="4">
        <v>576</v>
      </c>
      <c r="GY1971" s="4">
        <v>550</v>
      </c>
      <c r="GZ1971" s="4">
        <v>526</v>
      </c>
      <c r="HA1971" s="4">
        <v>498</v>
      </c>
      <c r="HB1971" s="4">
        <v>475</v>
      </c>
      <c r="HC1971" s="4">
        <v>452</v>
      </c>
      <c r="HD1971" s="19">
        <v>12.4</v>
      </c>
      <c r="HE1971" s="19">
        <v>21.3</v>
      </c>
      <c r="HF1971" s="19">
        <v>17.8</v>
      </c>
      <c r="HG1971" s="19">
        <v>15.8</v>
      </c>
      <c r="HH1971" s="19">
        <v>13.2</v>
      </c>
      <c r="HI1971" s="19">
        <v>12.1</v>
      </c>
      <c r="HJ1971" s="19">
        <v>12.5</v>
      </c>
      <c r="HK1971" s="19">
        <v>11.9</v>
      </c>
      <c r="HL1971" s="19">
        <v>12.1</v>
      </c>
      <c r="HM1971" s="19">
        <v>9.6</v>
      </c>
      <c r="HN1971" s="19">
        <v>8.5</v>
      </c>
      <c r="HO1971" s="19">
        <v>7.5</v>
      </c>
      <c r="HP1971" s="19">
        <v>7.2</v>
      </c>
      <c r="HQ1971" s="19">
        <v>8.1</v>
      </c>
      <c r="HR1971" s="19">
        <v>8.5</v>
      </c>
      <c r="HS1971" s="19">
        <v>9.3</v>
      </c>
      <c r="HT1971" s="19">
        <v>9.1</v>
      </c>
      <c r="HU1971" s="19">
        <v>8.6</v>
      </c>
      <c r="HV1971" s="19">
        <v>8.2</v>
      </c>
      <c r="HW1971" s="19">
        <v>21.8</v>
      </c>
      <c r="HX1971" s="19">
        <v>23</v>
      </c>
      <c r="HY1971" s="19">
        <v>22.9</v>
      </c>
      <c r="HZ1971" s="19">
        <v>21.9</v>
      </c>
      <c r="IA1971" s="19">
        <v>21.7</v>
      </c>
      <c r="IB1971" s="19">
        <v>21.6</v>
      </c>
      <c r="IC1971" s="19">
        <v>20.5</v>
      </c>
    </row>
    <row r="1972">
      <c r="A1972" s="2" t="s">
        <v>7137</v>
      </c>
      <c r="B1972" s="2" t="s">
        <v>323</v>
      </c>
      <c r="C1972" s="2" t="s">
        <v>1036</v>
      </c>
      <c r="D1972" s="2" t="s">
        <v>257</v>
      </c>
      <c r="E1972" s="2" t="s">
        <v>258</v>
      </c>
      <c r="F1972" s="2" t="s">
        <v>7117</v>
      </c>
      <c r="G1972" s="2" t="s">
        <v>7117</v>
      </c>
      <c r="H1972" s="2" t="s">
        <v>7117</v>
      </c>
      <c r="I1972" s="2" t="s">
        <v>7118</v>
      </c>
      <c r="J1972" s="2" t="s">
        <v>270</v>
      </c>
      <c r="K1972" s="2" t="s">
        <v>231</v>
      </c>
      <c r="L1972" s="3">
        <v>38.08</v>
      </c>
      <c r="M1972" s="3">
        <v>39.98</v>
      </c>
      <c r="N1972" s="3">
        <v>84.99</v>
      </c>
      <c r="O1972" s="2" t="s">
        <v>232</v>
      </c>
      <c r="P1972" s="2" t="s">
        <v>336</v>
      </c>
      <c r="Q1972" s="2" t="s">
        <v>234</v>
      </c>
      <c r="R1972" s="2" t="s">
        <v>235</v>
      </c>
      <c r="S1972" s="2" t="s">
        <v>7129</v>
      </c>
      <c r="T1972" s="2" t="s">
        <v>2295</v>
      </c>
      <c r="U1972" s="2" t="s">
        <v>264</v>
      </c>
      <c r="V1972" s="2" t="s">
        <v>238</v>
      </c>
      <c r="W1972" s="2" t="s">
        <v>239</v>
      </c>
      <c r="X1972" s="2" t="s">
        <v>235</v>
      </c>
      <c r="Y1972" s="2" t="s">
        <v>240</v>
      </c>
      <c r="Z1972" s="4">
        <v>390</v>
      </c>
      <c r="AA1972" s="4">
        <f>=ROUNDDOWN(18.5714285714286,0)</f>
      </c>
      <c r="AB1972" s="5">
        <v>21</v>
      </c>
      <c r="AC1972" s="2" t="s">
        <v>883</v>
      </c>
      <c r="AD1972" s="4">
        <v>200</v>
      </c>
      <c r="AE1972" s="4">
        <v>200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235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235</v>
      </c>
      <c r="AW1972" s="8" t="s">
        <v>235</v>
      </c>
      <c r="AX1972" s="4" t="s">
        <v>235</v>
      </c>
      <c r="AY1972" s="8" t="s">
        <v>235</v>
      </c>
      <c r="AZ1972" s="7" t="s">
        <v>235</v>
      </c>
      <c r="BA1972" s="7" t="s">
        <v>235</v>
      </c>
      <c r="BB1972" s="7"/>
      <c r="BC1972" s="4" t="s">
        <v>235</v>
      </c>
      <c r="BD1972" s="8" t="s">
        <v>235</v>
      </c>
      <c r="BE1972" s="4" t="s">
        <v>235</v>
      </c>
      <c r="BF1972" s="8" t="s">
        <v>235</v>
      </c>
      <c r="BG1972" s="7" t="s">
        <v>235</v>
      </c>
      <c r="BH1972" s="7" t="s">
        <v>235</v>
      </c>
      <c r="BI1972" s="7"/>
      <c r="BJ1972" s="4">
        <v>7</v>
      </c>
      <c r="BK1972" s="8">
        <v>294.98</v>
      </c>
      <c r="BL1972" s="2" t="s">
        <v>7138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7121</v>
      </c>
      <c r="BV1972" s="2" t="s">
        <v>243</v>
      </c>
      <c r="BW1972" s="2" t="s">
        <v>235</v>
      </c>
      <c r="BX1972" s="2" t="s">
        <v>244</v>
      </c>
      <c r="BY1972" s="2" t="s">
        <v>245</v>
      </c>
      <c r="BZ1972" s="2" t="s">
        <v>232</v>
      </c>
      <c r="CA1972" s="2" t="s">
        <v>2044</v>
      </c>
      <c r="CB1972" s="2" t="s">
        <v>5604</v>
      </c>
      <c r="CC1972" s="2" t="s">
        <v>248</v>
      </c>
      <c r="CD1972" s="2" t="s">
        <v>248</v>
      </c>
      <c r="CE1972" s="2" t="s">
        <v>235</v>
      </c>
      <c r="CF1972" s="4"/>
      <c r="CG1972" s="4">
        <v>390</v>
      </c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>
        <v>200</v>
      </c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>
        <v>391</v>
      </c>
      <c r="GE1972" s="4">
        <v>576</v>
      </c>
      <c r="GF1972" s="4">
        <v>554</v>
      </c>
      <c r="GG1972" s="4">
        <v>535</v>
      </c>
      <c r="GH1972" s="4">
        <v>517</v>
      </c>
      <c r="GI1972" s="4">
        <v>494</v>
      </c>
      <c r="GJ1972" s="4">
        <v>462</v>
      </c>
      <c r="GK1972" s="4">
        <v>434</v>
      </c>
      <c r="GL1972" s="4">
        <v>402</v>
      </c>
      <c r="GM1972" s="4">
        <v>375</v>
      </c>
      <c r="GN1972" s="4">
        <v>349</v>
      </c>
      <c r="GO1972" s="4">
        <v>313</v>
      </c>
      <c r="GP1972" s="4">
        <v>277</v>
      </c>
      <c r="GQ1972" s="4">
        <v>194</v>
      </c>
      <c r="GR1972" s="4">
        <v>152</v>
      </c>
      <c r="GS1972" s="4">
        <v>104</v>
      </c>
      <c r="GT1972" s="4">
        <v>82</v>
      </c>
      <c r="GU1972" s="4">
        <v>73</v>
      </c>
      <c r="GV1972" s="4">
        <v>64</v>
      </c>
      <c r="GW1972" s="4">
        <v>167</v>
      </c>
      <c r="GX1972" s="4">
        <v>156</v>
      </c>
      <c r="GY1972" s="4">
        <v>150</v>
      </c>
      <c r="GZ1972" s="4">
        <v>145</v>
      </c>
      <c r="HA1972" s="4">
        <v>137</v>
      </c>
      <c r="HB1972" s="4">
        <v>129</v>
      </c>
      <c r="HC1972" s="4">
        <v>121</v>
      </c>
      <c r="HD1972" s="19">
        <v>21.7</v>
      </c>
      <c r="HE1972" s="19">
        <v>28.8</v>
      </c>
      <c r="HF1972" s="19">
        <v>24.1</v>
      </c>
      <c r="HG1972" s="19">
        <v>21.4</v>
      </c>
      <c r="HH1972" s="19">
        <v>17.8</v>
      </c>
      <c r="HI1972" s="19">
        <v>16.5</v>
      </c>
      <c r="HJ1972" s="19">
        <v>16.5</v>
      </c>
      <c r="HK1972" s="19">
        <v>14.5</v>
      </c>
      <c r="HL1972" s="19">
        <v>13</v>
      </c>
      <c r="HM1972" s="19">
        <v>8.3</v>
      </c>
      <c r="HN1972" s="19">
        <v>7.1</v>
      </c>
      <c r="HO1972" s="19">
        <v>6</v>
      </c>
      <c r="HP1972" s="19">
        <v>5.7</v>
      </c>
      <c r="HQ1972" s="19">
        <v>6.5</v>
      </c>
      <c r="HR1972" s="19">
        <v>6.9</v>
      </c>
      <c r="HS1972" s="19">
        <v>8.7</v>
      </c>
      <c r="HT1972" s="19">
        <v>9.1</v>
      </c>
      <c r="HU1972" s="19">
        <v>9.1</v>
      </c>
      <c r="HV1972" s="19">
        <v>8</v>
      </c>
      <c r="HW1972" s="19">
        <v>20.9</v>
      </c>
      <c r="HX1972" s="19">
        <v>22.3</v>
      </c>
      <c r="HY1972" s="19">
        <v>21.4</v>
      </c>
      <c r="HZ1972" s="19">
        <v>18.1</v>
      </c>
      <c r="IA1972" s="19">
        <v>17.1</v>
      </c>
      <c r="IB1972" s="19">
        <v>16.1</v>
      </c>
      <c r="IC1972" s="19">
        <v>17.3</v>
      </c>
    </row>
    <row r="1973">
      <c r="A1973" s="2" t="s">
        <v>7139</v>
      </c>
      <c r="B1973" s="2" t="s">
        <v>323</v>
      </c>
      <c r="C1973" s="2" t="s">
        <v>1036</v>
      </c>
      <c r="D1973" s="2" t="s">
        <v>257</v>
      </c>
      <c r="E1973" s="2" t="s">
        <v>258</v>
      </c>
      <c r="F1973" s="2" t="s">
        <v>7117</v>
      </c>
      <c r="G1973" s="2" t="s">
        <v>7117</v>
      </c>
      <c r="H1973" s="2" t="s">
        <v>7117</v>
      </c>
      <c r="I1973" s="2" t="s">
        <v>7118</v>
      </c>
      <c r="J1973" s="2" t="s">
        <v>394</v>
      </c>
      <c r="K1973" s="2" t="s">
        <v>1196</v>
      </c>
      <c r="L1973" s="3">
        <v>22</v>
      </c>
      <c r="M1973" s="3">
        <v>23.1</v>
      </c>
      <c r="N1973" s="3">
        <v>48.99</v>
      </c>
      <c r="O1973" s="2" t="s">
        <v>232</v>
      </c>
      <c r="P1973" s="2" t="s">
        <v>233</v>
      </c>
      <c r="Q1973" s="2" t="s">
        <v>234</v>
      </c>
      <c r="R1973" s="2" t="s">
        <v>235</v>
      </c>
      <c r="S1973" s="2" t="s">
        <v>7140</v>
      </c>
      <c r="T1973" s="2" t="s">
        <v>2295</v>
      </c>
      <c r="U1973" s="2" t="s">
        <v>552</v>
      </c>
      <c r="V1973" s="2" t="s">
        <v>238</v>
      </c>
      <c r="W1973" s="2" t="s">
        <v>239</v>
      </c>
      <c r="X1973" s="2" t="s">
        <v>235</v>
      </c>
      <c r="Y1973" s="2" t="s">
        <v>240</v>
      </c>
      <c r="Z1973" s="4">
        <v>214</v>
      </c>
      <c r="AA1973" s="4">
        <f>=ROUNDDOWN(42.8,0)</f>
      </c>
      <c r="AB1973" s="5">
        <v>5</v>
      </c>
      <c r="AC1973" s="2" t="s">
        <v>883</v>
      </c>
      <c r="AD1973" s="4">
        <v>50</v>
      </c>
      <c r="AE1973" s="4">
        <v>50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235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235</v>
      </c>
      <c r="AW1973" s="8" t="s">
        <v>235</v>
      </c>
      <c r="AX1973" s="4" t="s">
        <v>235</v>
      </c>
      <c r="AY1973" s="8" t="s">
        <v>235</v>
      </c>
      <c r="AZ1973" s="7" t="s">
        <v>235</v>
      </c>
      <c r="BA1973" s="7" t="s">
        <v>235</v>
      </c>
      <c r="BB1973" s="7"/>
      <c r="BC1973" s="4" t="s">
        <v>235</v>
      </c>
      <c r="BD1973" s="8" t="s">
        <v>235</v>
      </c>
      <c r="BE1973" s="4" t="s">
        <v>235</v>
      </c>
      <c r="BF1973" s="8" t="s">
        <v>235</v>
      </c>
      <c r="BG1973" s="7" t="s">
        <v>235</v>
      </c>
      <c r="BH1973" s="7" t="s">
        <v>235</v>
      </c>
      <c r="BI1973" s="7"/>
      <c r="BJ1973" s="4">
        <v>1</v>
      </c>
      <c r="BK1973" s="8">
        <v>24.36</v>
      </c>
      <c r="BL1973" s="2" t="s">
        <v>659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7121</v>
      </c>
      <c r="BV1973" s="2" t="s">
        <v>243</v>
      </c>
      <c r="BW1973" s="2" t="s">
        <v>235</v>
      </c>
      <c r="BX1973" s="2" t="s">
        <v>244</v>
      </c>
      <c r="BY1973" s="2" t="s">
        <v>245</v>
      </c>
      <c r="BZ1973" s="2" t="s">
        <v>232</v>
      </c>
      <c r="CA1973" s="2" t="s">
        <v>252</v>
      </c>
      <c r="CB1973" s="2" t="s">
        <v>7141</v>
      </c>
      <c r="CC1973" s="2" t="s">
        <v>248</v>
      </c>
      <c r="CD1973" s="2" t="s">
        <v>248</v>
      </c>
      <c r="CE1973" s="2" t="s">
        <v>235</v>
      </c>
      <c r="CF1973" s="4">
        <v>64</v>
      </c>
      <c r="CG1973" s="4">
        <v>150</v>
      </c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>
        <v>50</v>
      </c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>
        <v>214</v>
      </c>
      <c r="GE1973" s="4">
        <v>263</v>
      </c>
      <c r="GF1973" s="4">
        <v>260</v>
      </c>
      <c r="GG1973" s="4">
        <v>252</v>
      </c>
      <c r="GH1973" s="4">
        <v>244</v>
      </c>
      <c r="GI1973" s="4">
        <v>233</v>
      </c>
      <c r="GJ1973" s="4">
        <v>220</v>
      </c>
      <c r="GK1973" s="4">
        <v>208</v>
      </c>
      <c r="GL1973" s="4">
        <v>194</v>
      </c>
      <c r="GM1973" s="4">
        <v>182</v>
      </c>
      <c r="GN1973" s="4">
        <v>173</v>
      </c>
      <c r="GO1973" s="4">
        <v>162</v>
      </c>
      <c r="GP1973" s="4">
        <v>151</v>
      </c>
      <c r="GQ1973" s="4">
        <v>129</v>
      </c>
      <c r="GR1973" s="4">
        <v>120</v>
      </c>
      <c r="GS1973" s="4">
        <v>111</v>
      </c>
      <c r="GT1973" s="4">
        <v>106</v>
      </c>
      <c r="GU1973" s="4">
        <v>103</v>
      </c>
      <c r="GV1973" s="4">
        <v>100</v>
      </c>
      <c r="GW1973" s="4">
        <v>97</v>
      </c>
      <c r="GX1973" s="4">
        <v>95</v>
      </c>
      <c r="GY1973" s="4">
        <v>94</v>
      </c>
      <c r="GZ1973" s="4">
        <v>93</v>
      </c>
      <c r="HA1973" s="4">
        <v>91</v>
      </c>
      <c r="HB1973" s="4">
        <v>89</v>
      </c>
      <c r="HC1973" s="4">
        <v>87</v>
      </c>
      <c r="HD1973" s="19">
        <v>42.8</v>
      </c>
      <c r="HE1973" s="19">
        <v>32.9</v>
      </c>
      <c r="HF1973" s="19">
        <v>26</v>
      </c>
      <c r="HG1973" s="19">
        <v>22.9</v>
      </c>
      <c r="HH1973" s="19">
        <v>20.3</v>
      </c>
      <c r="HI1973" s="19">
        <v>17.9</v>
      </c>
      <c r="HJ1973" s="19">
        <v>18.3</v>
      </c>
      <c r="HK1973" s="19">
        <v>17.3</v>
      </c>
      <c r="HL1973" s="19">
        <v>17.6</v>
      </c>
      <c r="HM1973" s="19">
        <v>14</v>
      </c>
      <c r="HN1973" s="19">
        <v>13.3</v>
      </c>
      <c r="HO1973" s="19">
        <v>12.5</v>
      </c>
      <c r="HP1973" s="19">
        <v>13.7</v>
      </c>
      <c r="HQ1973" s="19">
        <v>21.5</v>
      </c>
      <c r="HR1973" s="19">
        <v>24</v>
      </c>
      <c r="HS1973" s="19">
        <v>27.8</v>
      </c>
      <c r="HT1973" s="19">
        <v>35.3</v>
      </c>
      <c r="HU1973" s="19">
        <v>51.5</v>
      </c>
      <c r="HV1973" s="19">
        <v>50</v>
      </c>
      <c r="HW1973" s="19">
        <v>48.5</v>
      </c>
      <c r="HX1973" s="19">
        <v>47.5</v>
      </c>
      <c r="HY1973" s="19">
        <v>47</v>
      </c>
      <c r="HZ1973" s="19">
        <v>46.5</v>
      </c>
      <c r="IA1973" s="19">
        <v>45.5</v>
      </c>
      <c r="IB1973" s="19">
        <v>44.5</v>
      </c>
      <c r="IC1973" s="19">
        <v>43.5</v>
      </c>
    </row>
    <row r="1974">
      <c r="A1974" s="2" t="s">
        <v>7142</v>
      </c>
      <c r="B1974" s="2" t="s">
        <v>323</v>
      </c>
      <c r="C1974" s="2" t="s">
        <v>1036</v>
      </c>
      <c r="D1974" s="2" t="s">
        <v>257</v>
      </c>
      <c r="E1974" s="2" t="s">
        <v>258</v>
      </c>
      <c r="F1974" s="2" t="s">
        <v>7117</v>
      </c>
      <c r="G1974" s="2" t="s">
        <v>7117</v>
      </c>
      <c r="H1974" s="2" t="s">
        <v>7117</v>
      </c>
      <c r="I1974" s="2" t="s">
        <v>7118</v>
      </c>
      <c r="J1974" s="2" t="s">
        <v>250</v>
      </c>
      <c r="K1974" s="2" t="s">
        <v>1196</v>
      </c>
      <c r="L1974" s="3">
        <v>28.08</v>
      </c>
      <c r="M1974" s="3">
        <v>29.48</v>
      </c>
      <c r="N1974" s="3">
        <v>59.99</v>
      </c>
      <c r="O1974" s="2" t="s">
        <v>232</v>
      </c>
      <c r="P1974" s="2" t="s">
        <v>233</v>
      </c>
      <c r="Q1974" s="2" t="s">
        <v>234</v>
      </c>
      <c r="R1974" s="2" t="s">
        <v>235</v>
      </c>
      <c r="S1974" s="2" t="s">
        <v>7140</v>
      </c>
      <c r="T1974" s="2" t="s">
        <v>2295</v>
      </c>
      <c r="U1974" s="2" t="s">
        <v>264</v>
      </c>
      <c r="V1974" s="2" t="s">
        <v>238</v>
      </c>
      <c r="W1974" s="2" t="s">
        <v>239</v>
      </c>
      <c r="X1974" s="2" t="s">
        <v>235</v>
      </c>
      <c r="Y1974" s="2" t="s">
        <v>7143</v>
      </c>
      <c r="Z1974" s="4">
        <v>232</v>
      </c>
      <c r="AA1974" s="4">
        <f>=ROUNDDOWN(33.1428571428571,0)</f>
      </c>
      <c r="AB1974" s="5">
        <v>7</v>
      </c>
      <c r="AC1974" s="2" t="s">
        <v>235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235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235</v>
      </c>
      <c r="AW1974" s="8" t="s">
        <v>235</v>
      </c>
      <c r="AX1974" s="4" t="s">
        <v>235</v>
      </c>
      <c r="AY1974" s="8" t="s">
        <v>235</v>
      </c>
      <c r="AZ1974" s="7" t="s">
        <v>235</v>
      </c>
      <c r="BA1974" s="7" t="s">
        <v>235</v>
      </c>
      <c r="BB1974" s="7"/>
      <c r="BC1974" s="4" t="s">
        <v>235</v>
      </c>
      <c r="BD1974" s="8" t="s">
        <v>235</v>
      </c>
      <c r="BE1974" s="4" t="s">
        <v>235</v>
      </c>
      <c r="BF1974" s="8" t="s">
        <v>235</v>
      </c>
      <c r="BG1974" s="7" t="s">
        <v>235</v>
      </c>
      <c r="BH1974" s="7" t="s">
        <v>235</v>
      </c>
      <c r="BI1974" s="7"/>
      <c r="BJ1974" s="4">
        <v>1</v>
      </c>
      <c r="BK1974" s="8">
        <v>31.09</v>
      </c>
      <c r="BL1974" s="2" t="s">
        <v>7144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7121</v>
      </c>
      <c r="BV1974" s="2" t="s">
        <v>243</v>
      </c>
      <c r="BW1974" s="2" t="s">
        <v>235</v>
      </c>
      <c r="BX1974" s="2" t="s">
        <v>244</v>
      </c>
      <c r="BY1974" s="2" t="s">
        <v>245</v>
      </c>
      <c r="BZ1974" s="2" t="s">
        <v>232</v>
      </c>
      <c r="CA1974" s="2" t="s">
        <v>2044</v>
      </c>
      <c r="CB1974" s="2" t="s">
        <v>4979</v>
      </c>
      <c r="CC1974" s="2" t="s">
        <v>248</v>
      </c>
      <c r="CD1974" s="2" t="s">
        <v>248</v>
      </c>
      <c r="CE1974" s="2" t="s">
        <v>235</v>
      </c>
      <c r="CF1974" s="4">
        <v>80</v>
      </c>
      <c r="CG1974" s="4">
        <v>152</v>
      </c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>
        <v>232</v>
      </c>
      <c r="GE1974" s="4">
        <v>231</v>
      </c>
      <c r="GF1974" s="4">
        <v>226</v>
      </c>
      <c r="GG1974" s="4">
        <v>218</v>
      </c>
      <c r="GH1974" s="4">
        <v>210</v>
      </c>
      <c r="GI1974" s="4">
        <v>199</v>
      </c>
      <c r="GJ1974" s="4">
        <v>186</v>
      </c>
      <c r="GK1974" s="4">
        <v>174</v>
      </c>
      <c r="GL1974" s="4">
        <v>160</v>
      </c>
      <c r="GM1974" s="4">
        <v>148</v>
      </c>
      <c r="GN1974" s="4">
        <v>140</v>
      </c>
      <c r="GO1974" s="4">
        <v>129</v>
      </c>
      <c r="GP1974" s="4">
        <v>118</v>
      </c>
      <c r="GQ1974" s="4">
        <v>97</v>
      </c>
      <c r="GR1974" s="4">
        <v>85</v>
      </c>
      <c r="GS1974" s="4">
        <v>73</v>
      </c>
      <c r="GT1974" s="4">
        <v>67</v>
      </c>
      <c r="GU1974" s="4">
        <v>64</v>
      </c>
      <c r="GV1974" s="4">
        <v>61</v>
      </c>
      <c r="GW1974" s="4">
        <v>58</v>
      </c>
      <c r="GX1974" s="4">
        <v>54</v>
      </c>
      <c r="GY1974" s="4">
        <v>51</v>
      </c>
      <c r="GZ1974" s="4">
        <v>49</v>
      </c>
      <c r="HA1974" s="4">
        <v>46</v>
      </c>
      <c r="HB1974" s="4">
        <v>44</v>
      </c>
      <c r="HC1974" s="4">
        <v>42</v>
      </c>
      <c r="HD1974" s="19">
        <v>38.7</v>
      </c>
      <c r="HE1974" s="19">
        <v>28.9</v>
      </c>
      <c r="HF1974" s="19">
        <v>22.6</v>
      </c>
      <c r="HG1974" s="19">
        <v>19.8</v>
      </c>
      <c r="HH1974" s="19">
        <v>17.5</v>
      </c>
      <c r="HI1974" s="19">
        <v>15.3</v>
      </c>
      <c r="HJ1974" s="19">
        <v>15.5</v>
      </c>
      <c r="HK1974" s="19">
        <v>15.8</v>
      </c>
      <c r="HL1974" s="19">
        <v>16</v>
      </c>
      <c r="HM1974" s="19">
        <v>11.4</v>
      </c>
      <c r="HN1974" s="19">
        <v>10</v>
      </c>
      <c r="HO1974" s="19">
        <v>9.2</v>
      </c>
      <c r="HP1974" s="19">
        <v>9.1</v>
      </c>
      <c r="HQ1974" s="19">
        <v>12.1</v>
      </c>
      <c r="HR1974" s="19">
        <v>14.2</v>
      </c>
      <c r="HS1974" s="19">
        <v>18.3</v>
      </c>
      <c r="HT1974" s="19">
        <v>22.3</v>
      </c>
      <c r="HU1974" s="19">
        <v>21.3</v>
      </c>
      <c r="HV1974" s="19">
        <v>20.3</v>
      </c>
      <c r="HW1974" s="19">
        <v>19.3</v>
      </c>
      <c r="HX1974" s="19">
        <v>27</v>
      </c>
      <c r="HY1974" s="19">
        <v>25.5</v>
      </c>
      <c r="HZ1974" s="19">
        <v>24.5</v>
      </c>
      <c r="IA1974" s="19">
        <v>23</v>
      </c>
      <c r="IB1974" s="19">
        <v>22</v>
      </c>
      <c r="IC1974" s="19">
        <v>21</v>
      </c>
    </row>
    <row r="1975">
      <c r="A1975" s="2" t="s">
        <v>7145</v>
      </c>
      <c r="B1975" s="2" t="s">
        <v>323</v>
      </c>
      <c r="C1975" s="2" t="s">
        <v>1036</v>
      </c>
      <c r="D1975" s="2" t="s">
        <v>257</v>
      </c>
      <c r="E1975" s="2" t="s">
        <v>258</v>
      </c>
      <c r="F1975" s="2" t="s">
        <v>7117</v>
      </c>
      <c r="G1975" s="2" t="s">
        <v>7117</v>
      </c>
      <c r="H1975" s="2" t="s">
        <v>7117</v>
      </c>
      <c r="I1975" s="2" t="s">
        <v>7118</v>
      </c>
      <c r="J1975" s="2" t="s">
        <v>270</v>
      </c>
      <c r="K1975" s="2" t="s">
        <v>1196</v>
      </c>
      <c r="L1975" s="3">
        <v>38.08</v>
      </c>
      <c r="M1975" s="3">
        <v>39.98</v>
      </c>
      <c r="N1975" s="3">
        <v>84.99</v>
      </c>
      <c r="O1975" s="2" t="s">
        <v>232</v>
      </c>
      <c r="P1975" s="2" t="s">
        <v>336</v>
      </c>
      <c r="Q1975" s="2" t="s">
        <v>234</v>
      </c>
      <c r="R1975" s="2" t="s">
        <v>235</v>
      </c>
      <c r="S1975" s="2" t="s">
        <v>7140</v>
      </c>
      <c r="T1975" s="2" t="s">
        <v>2295</v>
      </c>
      <c r="U1975" s="2" t="s">
        <v>264</v>
      </c>
      <c r="V1975" s="2" t="s">
        <v>238</v>
      </c>
      <c r="W1975" s="2" t="s">
        <v>239</v>
      </c>
      <c r="X1975" s="2" t="s">
        <v>235</v>
      </c>
      <c r="Y1975" s="2" t="s">
        <v>240</v>
      </c>
      <c r="Z1975" s="4">
        <v>447</v>
      </c>
      <c r="AA1975" s="4">
        <f>=ROUNDDOWN(23.5263157894737,0)</f>
      </c>
      <c r="AB1975" s="5">
        <v>19</v>
      </c>
      <c r="AC1975" s="2" t="s">
        <v>883</v>
      </c>
      <c r="AD1975" s="4">
        <v>180</v>
      </c>
      <c r="AE1975" s="4">
        <v>180</v>
      </c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235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235</v>
      </c>
      <c r="AW1975" s="8" t="s">
        <v>235</v>
      </c>
      <c r="AX1975" s="4" t="s">
        <v>235</v>
      </c>
      <c r="AY1975" s="8" t="s">
        <v>235</v>
      </c>
      <c r="AZ1975" s="7" t="s">
        <v>235</v>
      </c>
      <c r="BA1975" s="7" t="s">
        <v>235</v>
      </c>
      <c r="BB1975" s="7"/>
      <c r="BC1975" s="4" t="s">
        <v>235</v>
      </c>
      <c r="BD1975" s="8" t="s">
        <v>235</v>
      </c>
      <c r="BE1975" s="4" t="s">
        <v>235</v>
      </c>
      <c r="BF1975" s="8" t="s">
        <v>235</v>
      </c>
      <c r="BG1975" s="7" t="s">
        <v>235</v>
      </c>
      <c r="BH1975" s="7" t="s">
        <v>235</v>
      </c>
      <c r="BI1975" s="7"/>
      <c r="BJ1975" s="4">
        <v>5</v>
      </c>
      <c r="BK1975" s="8">
        <v>346.95</v>
      </c>
      <c r="BL1975" s="2" t="s">
        <v>7146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7121</v>
      </c>
      <c r="BV1975" s="2" t="s">
        <v>243</v>
      </c>
      <c r="BW1975" s="2" t="s">
        <v>235</v>
      </c>
      <c r="BX1975" s="2" t="s">
        <v>244</v>
      </c>
      <c r="BY1975" s="2" t="s">
        <v>245</v>
      </c>
      <c r="BZ1975" s="2" t="s">
        <v>232</v>
      </c>
      <c r="CA1975" s="2" t="s">
        <v>2044</v>
      </c>
      <c r="CB1975" s="2" t="s">
        <v>7147</v>
      </c>
      <c r="CC1975" s="2" t="s">
        <v>248</v>
      </c>
      <c r="CD1975" s="2" t="s">
        <v>248</v>
      </c>
      <c r="CE1975" s="2" t="s">
        <v>235</v>
      </c>
      <c r="CF1975" s="4"/>
      <c r="CG1975" s="4">
        <v>195</v>
      </c>
      <c r="CH1975" s="4"/>
      <c r="CI1975" s="4">
        <v>252</v>
      </c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>
        <v>180</v>
      </c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>
        <v>448</v>
      </c>
      <c r="GE1975" s="4">
        <v>620</v>
      </c>
      <c r="GF1975" s="4">
        <v>613</v>
      </c>
      <c r="GG1975" s="4">
        <v>606</v>
      </c>
      <c r="GH1975" s="4">
        <v>595</v>
      </c>
      <c r="GI1975" s="4">
        <v>577</v>
      </c>
      <c r="GJ1975" s="4">
        <v>550</v>
      </c>
      <c r="GK1975" s="4">
        <v>525</v>
      </c>
      <c r="GL1975" s="4">
        <v>500</v>
      </c>
      <c r="GM1975" s="4">
        <v>478</v>
      </c>
      <c r="GN1975" s="4">
        <v>450</v>
      </c>
      <c r="GO1975" s="4">
        <v>410</v>
      </c>
      <c r="GP1975" s="4">
        <v>368</v>
      </c>
      <c r="GQ1975" s="4">
        <v>264</v>
      </c>
      <c r="GR1975" s="4">
        <v>213</v>
      </c>
      <c r="GS1975" s="4">
        <v>153</v>
      </c>
      <c r="GT1975" s="4">
        <v>125</v>
      </c>
      <c r="GU1975" s="4">
        <v>114</v>
      </c>
      <c r="GV1975" s="4">
        <v>103</v>
      </c>
      <c r="GW1975" s="4">
        <v>94</v>
      </c>
      <c r="GX1975" s="4">
        <v>81</v>
      </c>
      <c r="GY1975" s="4">
        <v>75</v>
      </c>
      <c r="GZ1975" s="4">
        <v>70</v>
      </c>
      <c r="HA1975" s="4">
        <v>61</v>
      </c>
      <c r="HB1975" s="4">
        <v>52</v>
      </c>
      <c r="HC1975" s="4">
        <v>43</v>
      </c>
      <c r="HD1975" s="19">
        <v>56</v>
      </c>
      <c r="HE1975" s="19">
        <v>56.4</v>
      </c>
      <c r="HF1975" s="19">
        <v>38.3</v>
      </c>
      <c r="HG1975" s="19">
        <v>30.3</v>
      </c>
      <c r="HH1975" s="19">
        <v>24.8</v>
      </c>
      <c r="HI1975" s="19">
        <v>23.1</v>
      </c>
      <c r="HJ1975" s="19">
        <v>22</v>
      </c>
      <c r="HK1975" s="19">
        <v>18.1</v>
      </c>
      <c r="HL1975" s="19">
        <v>15.2</v>
      </c>
      <c r="HM1975" s="19">
        <v>8.9</v>
      </c>
      <c r="HN1975" s="19">
        <v>7.6</v>
      </c>
      <c r="HO1975" s="19">
        <v>6.4</v>
      </c>
      <c r="HP1975" s="19">
        <v>6</v>
      </c>
      <c r="HQ1975" s="19">
        <v>6.9</v>
      </c>
      <c r="HR1975" s="19">
        <v>7.6</v>
      </c>
      <c r="HS1975" s="19">
        <v>10.2</v>
      </c>
      <c r="HT1975" s="19">
        <v>11.4</v>
      </c>
      <c r="HU1975" s="19">
        <v>11.4</v>
      </c>
      <c r="HV1975" s="19">
        <v>12.9</v>
      </c>
      <c r="HW1975" s="19">
        <v>11.8</v>
      </c>
      <c r="HX1975" s="19">
        <v>11.6</v>
      </c>
      <c r="HY1975" s="19">
        <v>9.4</v>
      </c>
      <c r="HZ1975" s="19">
        <v>7.8</v>
      </c>
      <c r="IA1975" s="19">
        <v>6.8</v>
      </c>
      <c r="IB1975" s="19">
        <v>6.5</v>
      </c>
      <c r="IC1975" s="19">
        <v>5.4</v>
      </c>
    </row>
    <row r="1976">
      <c r="A1976" s="2" t="s">
        <v>7148</v>
      </c>
      <c r="B1976" s="2" t="s">
        <v>323</v>
      </c>
      <c r="C1976" s="2" t="s">
        <v>1036</v>
      </c>
      <c r="D1976" s="2" t="s">
        <v>257</v>
      </c>
      <c r="E1976" s="2" t="s">
        <v>258</v>
      </c>
      <c r="F1976" s="2" t="s">
        <v>7117</v>
      </c>
      <c r="G1976" s="2" t="s">
        <v>7117</v>
      </c>
      <c r="H1976" s="2" t="s">
        <v>7117</v>
      </c>
      <c r="I1976" s="2" t="s">
        <v>7118</v>
      </c>
      <c r="J1976" s="2" t="s">
        <v>250</v>
      </c>
      <c r="K1976" s="2" t="s">
        <v>1477</v>
      </c>
      <c r="L1976" s="3">
        <v>28.08</v>
      </c>
      <c r="M1976" s="3">
        <v>29.48</v>
      </c>
      <c r="N1976" s="3">
        <v>59.99</v>
      </c>
      <c r="O1976" s="2" t="s">
        <v>232</v>
      </c>
      <c r="P1976" s="2" t="s">
        <v>233</v>
      </c>
      <c r="Q1976" s="2" t="s">
        <v>234</v>
      </c>
      <c r="R1976" s="2" t="s">
        <v>235</v>
      </c>
      <c r="S1976" s="2" t="s">
        <v>7149</v>
      </c>
      <c r="T1976" s="2" t="s">
        <v>2295</v>
      </c>
      <c r="U1976" s="2" t="s">
        <v>264</v>
      </c>
      <c r="V1976" s="2" t="s">
        <v>238</v>
      </c>
      <c r="W1976" s="2" t="s">
        <v>239</v>
      </c>
      <c r="X1976" s="2" t="s">
        <v>235</v>
      </c>
      <c r="Y1976" s="2" t="s">
        <v>3476</v>
      </c>
      <c r="Z1976" s="4">
        <v>376</v>
      </c>
      <c r="AA1976" s="4">
        <f>=ROUNDDOWN(47,0)</f>
      </c>
      <c r="AB1976" s="5">
        <v>8</v>
      </c>
      <c r="AC1976" s="2" t="s">
        <v>235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235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235</v>
      </c>
      <c r="AW1976" s="8" t="s">
        <v>235</v>
      </c>
      <c r="AX1976" s="4" t="s">
        <v>235</v>
      </c>
      <c r="AY1976" s="8" t="s">
        <v>235</v>
      </c>
      <c r="AZ1976" s="7" t="s">
        <v>235</v>
      </c>
      <c r="BA1976" s="7" t="s">
        <v>235</v>
      </c>
      <c r="BB1976" s="7"/>
      <c r="BC1976" s="4" t="s">
        <v>235</v>
      </c>
      <c r="BD1976" s="8" t="s">
        <v>235</v>
      </c>
      <c r="BE1976" s="4" t="s">
        <v>235</v>
      </c>
      <c r="BF1976" s="8" t="s">
        <v>235</v>
      </c>
      <c r="BG1976" s="7" t="s">
        <v>235</v>
      </c>
      <c r="BH1976" s="7" t="s">
        <v>235</v>
      </c>
      <c r="BI1976" s="7"/>
      <c r="BJ1976" s="4">
        <v>4</v>
      </c>
      <c r="BK1976" s="8">
        <v>121.34</v>
      </c>
      <c r="BL1976" s="2" t="s">
        <v>3942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7121</v>
      </c>
      <c r="BV1976" s="2" t="s">
        <v>243</v>
      </c>
      <c r="BW1976" s="2" t="s">
        <v>235</v>
      </c>
      <c r="BX1976" s="2" t="s">
        <v>244</v>
      </c>
      <c r="BY1976" s="2" t="s">
        <v>245</v>
      </c>
      <c r="BZ1976" s="2" t="s">
        <v>232</v>
      </c>
      <c r="CA1976" s="2" t="s">
        <v>3581</v>
      </c>
      <c r="CB1976" s="2" t="s">
        <v>1379</v>
      </c>
      <c r="CC1976" s="2" t="s">
        <v>248</v>
      </c>
      <c r="CD1976" s="2" t="s">
        <v>248</v>
      </c>
      <c r="CE1976" s="2" t="s">
        <v>235</v>
      </c>
      <c r="CF1976" s="4">
        <v>266</v>
      </c>
      <c r="CG1976" s="4">
        <v>110</v>
      </c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>
        <v>377</v>
      </c>
      <c r="GE1976" s="4">
        <v>368</v>
      </c>
      <c r="GF1976" s="4">
        <v>361</v>
      </c>
      <c r="GG1976" s="4">
        <v>353</v>
      </c>
      <c r="GH1976" s="4">
        <v>346</v>
      </c>
      <c r="GI1976" s="4">
        <v>336</v>
      </c>
      <c r="GJ1976" s="4">
        <v>322</v>
      </c>
      <c r="GK1976" s="4">
        <v>310</v>
      </c>
      <c r="GL1976" s="4">
        <v>296</v>
      </c>
      <c r="GM1976" s="4">
        <v>284</v>
      </c>
      <c r="GN1976" s="4">
        <v>273</v>
      </c>
      <c r="GO1976" s="4">
        <v>259</v>
      </c>
      <c r="GP1976" s="4">
        <v>243</v>
      </c>
      <c r="GQ1976" s="4">
        <v>208</v>
      </c>
      <c r="GR1976" s="4">
        <v>189</v>
      </c>
      <c r="GS1976" s="4">
        <v>169</v>
      </c>
      <c r="GT1976" s="4">
        <v>158</v>
      </c>
      <c r="GU1976" s="4">
        <v>153</v>
      </c>
      <c r="GV1976" s="4">
        <v>149</v>
      </c>
      <c r="GW1976" s="4">
        <v>247</v>
      </c>
      <c r="GX1976" s="4">
        <v>242</v>
      </c>
      <c r="GY1976" s="4">
        <v>239</v>
      </c>
      <c r="GZ1976" s="4">
        <v>236</v>
      </c>
      <c r="HA1976" s="4">
        <v>232</v>
      </c>
      <c r="HB1976" s="4">
        <v>229</v>
      </c>
      <c r="HC1976" s="4">
        <v>226</v>
      </c>
      <c r="HD1976" s="19">
        <v>47.1</v>
      </c>
      <c r="HE1976" s="19">
        <v>46</v>
      </c>
      <c r="HF1976" s="19">
        <v>36.1</v>
      </c>
      <c r="HG1976" s="19">
        <v>32.1</v>
      </c>
      <c r="HH1976" s="19">
        <v>28.8</v>
      </c>
      <c r="HI1976" s="19">
        <v>25.8</v>
      </c>
      <c r="HJ1976" s="19">
        <v>26.8</v>
      </c>
      <c r="HK1976" s="19">
        <v>23.8</v>
      </c>
      <c r="HL1976" s="19">
        <v>22.8</v>
      </c>
      <c r="HM1976" s="19">
        <v>14.9</v>
      </c>
      <c r="HN1976" s="19">
        <v>13</v>
      </c>
      <c r="HO1976" s="19">
        <v>11.8</v>
      </c>
      <c r="HP1976" s="19">
        <v>11.6</v>
      </c>
      <c r="HQ1976" s="19">
        <v>14.9</v>
      </c>
      <c r="HR1976" s="19">
        <v>18.9</v>
      </c>
      <c r="HS1976" s="19">
        <v>28.2</v>
      </c>
      <c r="HT1976" s="19">
        <v>39.5</v>
      </c>
      <c r="HU1976" s="19">
        <v>38.3</v>
      </c>
      <c r="HV1976" s="19">
        <v>37.3</v>
      </c>
      <c r="HW1976" s="19">
        <v>61.8</v>
      </c>
      <c r="HX1976" s="19">
        <v>80.7</v>
      </c>
      <c r="HY1976" s="19">
        <v>79.7</v>
      </c>
      <c r="HZ1976" s="19">
        <v>78.7</v>
      </c>
      <c r="IA1976" s="19">
        <v>77.3</v>
      </c>
      <c r="IB1976" s="19">
        <v>76.3</v>
      </c>
      <c r="IC1976" s="19">
        <v>75.3</v>
      </c>
    </row>
    <row r="1977">
      <c r="A1977" s="2" t="s">
        <v>7150</v>
      </c>
      <c r="B1977" s="2" t="s">
        <v>323</v>
      </c>
      <c r="C1977" s="2" t="s">
        <v>1036</v>
      </c>
      <c r="D1977" s="2" t="s">
        <v>257</v>
      </c>
      <c r="E1977" s="2" t="s">
        <v>258</v>
      </c>
      <c r="F1977" s="2" t="s">
        <v>7117</v>
      </c>
      <c r="G1977" s="2" t="s">
        <v>7117</v>
      </c>
      <c r="H1977" s="2" t="s">
        <v>7117</v>
      </c>
      <c r="I1977" s="2" t="s">
        <v>7118</v>
      </c>
      <c r="J1977" s="2" t="s">
        <v>261</v>
      </c>
      <c r="K1977" s="2" t="s">
        <v>1477</v>
      </c>
      <c r="L1977" s="3">
        <v>31.45</v>
      </c>
      <c r="M1977" s="3">
        <v>33.02</v>
      </c>
      <c r="N1977" s="3">
        <v>69.99</v>
      </c>
      <c r="O1977" s="2" t="s">
        <v>232</v>
      </c>
      <c r="P1977" s="2" t="s">
        <v>336</v>
      </c>
      <c r="Q1977" s="2" t="s">
        <v>234</v>
      </c>
      <c r="R1977" s="2" t="s">
        <v>235</v>
      </c>
      <c r="S1977" s="2" t="s">
        <v>7149</v>
      </c>
      <c r="T1977" s="2" t="s">
        <v>2295</v>
      </c>
      <c r="U1977" s="2" t="s">
        <v>264</v>
      </c>
      <c r="V1977" s="2" t="s">
        <v>238</v>
      </c>
      <c r="W1977" s="2" t="s">
        <v>239</v>
      </c>
      <c r="X1977" s="2" t="s">
        <v>235</v>
      </c>
      <c r="Y1977" s="2" t="s">
        <v>3476</v>
      </c>
      <c r="Z1977" s="4">
        <v>1120</v>
      </c>
      <c r="AA1977" s="4">
        <f>=ROUNDDOWN(65.8823529411765,0)</f>
      </c>
      <c r="AB1977" s="5">
        <v>17</v>
      </c>
      <c r="AC1977" s="2" t="s">
        <v>235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235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235</v>
      </c>
      <c r="AW1977" s="8" t="s">
        <v>235</v>
      </c>
      <c r="AX1977" s="4" t="s">
        <v>235</v>
      </c>
      <c r="AY1977" s="8" t="s">
        <v>235</v>
      </c>
      <c r="AZ1977" s="7" t="s">
        <v>235</v>
      </c>
      <c r="BA1977" s="7" t="s">
        <v>235</v>
      </c>
      <c r="BB1977" s="7"/>
      <c r="BC1977" s="4" t="s">
        <v>235</v>
      </c>
      <c r="BD1977" s="8" t="s">
        <v>235</v>
      </c>
      <c r="BE1977" s="4" t="s">
        <v>235</v>
      </c>
      <c r="BF1977" s="8" t="s">
        <v>235</v>
      </c>
      <c r="BG1977" s="7" t="s">
        <v>235</v>
      </c>
      <c r="BH1977" s="7" t="s">
        <v>235</v>
      </c>
      <c r="BI1977" s="7"/>
      <c r="BJ1977" s="4">
        <v>3</v>
      </c>
      <c r="BK1977" s="8">
        <v>98.13</v>
      </c>
      <c r="BL1977" s="2" t="s">
        <v>1580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7121</v>
      </c>
      <c r="BV1977" s="2" t="s">
        <v>243</v>
      </c>
      <c r="BW1977" s="2" t="s">
        <v>235</v>
      </c>
      <c r="BX1977" s="2" t="s">
        <v>244</v>
      </c>
      <c r="BY1977" s="2" t="s">
        <v>245</v>
      </c>
      <c r="BZ1977" s="2" t="s">
        <v>232</v>
      </c>
      <c r="CA1977" s="2" t="s">
        <v>3581</v>
      </c>
      <c r="CB1977" s="2" t="s">
        <v>5037</v>
      </c>
      <c r="CC1977" s="2" t="s">
        <v>248</v>
      </c>
      <c r="CD1977" s="2" t="s">
        <v>248</v>
      </c>
      <c r="CE1977" s="2" t="s">
        <v>235</v>
      </c>
      <c r="CF1977" s="4">
        <v>733</v>
      </c>
      <c r="CG1977" s="4">
        <v>387</v>
      </c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>
        <v>1120</v>
      </c>
      <c r="GE1977" s="4">
        <v>1114</v>
      </c>
      <c r="GF1977" s="4">
        <v>1108</v>
      </c>
      <c r="GG1977" s="4">
        <v>1102</v>
      </c>
      <c r="GH1977" s="4">
        <v>1096</v>
      </c>
      <c r="GI1977" s="4">
        <v>1092</v>
      </c>
      <c r="GJ1977" s="4">
        <v>1084</v>
      </c>
      <c r="GK1977" s="4">
        <v>1060</v>
      </c>
      <c r="GL1977" s="4">
        <v>1030</v>
      </c>
      <c r="GM1977" s="4">
        <v>1004</v>
      </c>
      <c r="GN1977" s="4">
        <v>980</v>
      </c>
      <c r="GO1977" s="4">
        <v>949</v>
      </c>
      <c r="GP1977" s="4">
        <v>916</v>
      </c>
      <c r="GQ1977" s="4">
        <v>843</v>
      </c>
      <c r="GR1977" s="4">
        <v>802</v>
      </c>
      <c r="GS1977" s="4">
        <v>756</v>
      </c>
      <c r="GT1977" s="4">
        <v>732</v>
      </c>
      <c r="GU1977" s="4">
        <v>721</v>
      </c>
      <c r="GV1977" s="4">
        <v>708</v>
      </c>
      <c r="GW1977" s="4">
        <v>697</v>
      </c>
      <c r="GX1977" s="4">
        <v>684</v>
      </c>
      <c r="GY1977" s="4">
        <v>676</v>
      </c>
      <c r="GZ1977" s="4">
        <v>669</v>
      </c>
      <c r="HA1977" s="4">
        <v>660</v>
      </c>
      <c r="HB1977" s="4">
        <v>652</v>
      </c>
      <c r="HC1977" s="4">
        <v>644</v>
      </c>
      <c r="HD1977" s="19">
        <v>186.7</v>
      </c>
      <c r="HE1977" s="19">
        <v>185.7</v>
      </c>
      <c r="HF1977" s="19">
        <v>184.7</v>
      </c>
      <c r="HG1977" s="19">
        <v>110.2</v>
      </c>
      <c r="HH1977" s="19">
        <v>68.5</v>
      </c>
      <c r="HI1977" s="19">
        <v>49.6</v>
      </c>
      <c r="HJ1977" s="19">
        <v>41.7</v>
      </c>
      <c r="HK1977" s="19">
        <v>37.9</v>
      </c>
      <c r="HL1977" s="19">
        <v>36.8</v>
      </c>
      <c r="HM1977" s="19">
        <v>25.1</v>
      </c>
      <c r="HN1977" s="19">
        <v>22.3</v>
      </c>
      <c r="HO1977" s="19">
        <v>19.8</v>
      </c>
      <c r="HP1977" s="19">
        <v>19.9</v>
      </c>
      <c r="HQ1977" s="19">
        <v>28.1</v>
      </c>
      <c r="HR1977" s="19">
        <v>33.4</v>
      </c>
      <c r="HS1977" s="19">
        <v>50.4</v>
      </c>
      <c r="HT1977" s="19">
        <v>61</v>
      </c>
      <c r="HU1977" s="19">
        <v>65.5</v>
      </c>
      <c r="HV1977" s="19">
        <v>70.8</v>
      </c>
      <c r="HW1977" s="19">
        <v>77.4</v>
      </c>
      <c r="HX1977" s="19">
        <v>85.5</v>
      </c>
      <c r="HY1977" s="19">
        <v>84.5</v>
      </c>
      <c r="HZ1977" s="19">
        <v>83.6</v>
      </c>
      <c r="IA1977" s="19">
        <v>82.5</v>
      </c>
      <c r="IB1977" s="19">
        <v>81.5</v>
      </c>
      <c r="IC1977" s="19">
        <v>92</v>
      </c>
    </row>
    <row r="1978">
      <c r="A1978" s="2" t="s">
        <v>7151</v>
      </c>
      <c r="B1978" s="2" t="s">
        <v>323</v>
      </c>
      <c r="C1978" s="2" t="s">
        <v>1036</v>
      </c>
      <c r="D1978" s="2" t="s">
        <v>257</v>
      </c>
      <c r="E1978" s="2" t="s">
        <v>258</v>
      </c>
      <c r="F1978" s="2" t="s">
        <v>7117</v>
      </c>
      <c r="G1978" s="2" t="s">
        <v>7117</v>
      </c>
      <c r="H1978" s="2" t="s">
        <v>7117</v>
      </c>
      <c r="I1978" s="2" t="s">
        <v>7118</v>
      </c>
      <c r="J1978" s="2" t="s">
        <v>394</v>
      </c>
      <c r="K1978" s="2" t="s">
        <v>1238</v>
      </c>
      <c r="L1978" s="3">
        <v>22</v>
      </c>
      <c r="M1978" s="3">
        <v>23.1</v>
      </c>
      <c r="N1978" s="3">
        <v>48.99</v>
      </c>
      <c r="O1978" s="2" t="s">
        <v>232</v>
      </c>
      <c r="P1978" s="2" t="s">
        <v>233</v>
      </c>
      <c r="Q1978" s="2" t="s">
        <v>234</v>
      </c>
      <c r="R1978" s="2" t="s">
        <v>235</v>
      </c>
      <c r="S1978" s="2" t="s">
        <v>7152</v>
      </c>
      <c r="T1978" s="2" t="s">
        <v>2295</v>
      </c>
      <c r="U1978" s="2" t="s">
        <v>552</v>
      </c>
      <c r="V1978" s="2" t="s">
        <v>238</v>
      </c>
      <c r="W1978" s="2" t="s">
        <v>239</v>
      </c>
      <c r="X1978" s="2" t="s">
        <v>235</v>
      </c>
      <c r="Y1978" s="2" t="s">
        <v>240</v>
      </c>
      <c r="Z1978" s="4">
        <v>203</v>
      </c>
      <c r="AA1978" s="4">
        <f>=ROUNDDOWN(25.375,0)</f>
      </c>
      <c r="AB1978" s="5">
        <v>8</v>
      </c>
      <c r="AC1978" s="2" t="s">
        <v>883</v>
      </c>
      <c r="AD1978" s="4">
        <v>50</v>
      </c>
      <c r="AE1978" s="4">
        <v>50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235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235</v>
      </c>
      <c r="AW1978" s="8" t="s">
        <v>235</v>
      </c>
      <c r="AX1978" s="4" t="s">
        <v>235</v>
      </c>
      <c r="AY1978" s="8" t="s">
        <v>235</v>
      </c>
      <c r="AZ1978" s="7" t="s">
        <v>235</v>
      </c>
      <c r="BA1978" s="7" t="s">
        <v>235</v>
      </c>
      <c r="BB1978" s="7"/>
      <c r="BC1978" s="4" t="s">
        <v>235</v>
      </c>
      <c r="BD1978" s="8" t="s">
        <v>235</v>
      </c>
      <c r="BE1978" s="4" t="s">
        <v>235</v>
      </c>
      <c r="BF1978" s="8" t="s">
        <v>235</v>
      </c>
      <c r="BG1978" s="7" t="s">
        <v>235</v>
      </c>
      <c r="BH1978" s="7" t="s">
        <v>235</v>
      </c>
      <c r="BI1978" s="7"/>
      <c r="BJ1978" s="4">
        <v>1</v>
      </c>
      <c r="BK1978" s="8">
        <v>24.21</v>
      </c>
      <c r="BL1978" s="2" t="s">
        <v>7132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7121</v>
      </c>
      <c r="BV1978" s="2" t="s">
        <v>243</v>
      </c>
      <c r="BW1978" s="2" t="s">
        <v>235</v>
      </c>
      <c r="BX1978" s="2" t="s">
        <v>244</v>
      </c>
      <c r="BY1978" s="2" t="s">
        <v>245</v>
      </c>
      <c r="BZ1978" s="2" t="s">
        <v>232</v>
      </c>
      <c r="CA1978" s="2" t="s">
        <v>252</v>
      </c>
      <c r="CB1978" s="2" t="s">
        <v>4979</v>
      </c>
      <c r="CC1978" s="2" t="s">
        <v>248</v>
      </c>
      <c r="CD1978" s="2" t="s">
        <v>248</v>
      </c>
      <c r="CE1978" s="2" t="s">
        <v>235</v>
      </c>
      <c r="CF1978" s="4">
        <v>173</v>
      </c>
      <c r="CG1978" s="4">
        <v>29</v>
      </c>
      <c r="CH1978" s="4"/>
      <c r="CI1978" s="4"/>
      <c r="CJ1978" s="4"/>
      <c r="CK1978" s="4"/>
      <c r="CL1978" s="4"/>
      <c r="CM1978" s="4">
        <v>1</v>
      </c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>
        <v>50</v>
      </c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>
        <v>203</v>
      </c>
      <c r="GE1978" s="4">
        <v>220</v>
      </c>
      <c r="GF1978" s="4">
        <v>211</v>
      </c>
      <c r="GG1978" s="4">
        <v>202</v>
      </c>
      <c r="GH1978" s="4">
        <v>193</v>
      </c>
      <c r="GI1978" s="4">
        <v>181</v>
      </c>
      <c r="GJ1978" s="4">
        <v>166</v>
      </c>
      <c r="GK1978" s="4">
        <v>153</v>
      </c>
      <c r="GL1978" s="4">
        <v>138</v>
      </c>
      <c r="GM1978" s="4">
        <v>125</v>
      </c>
      <c r="GN1978" s="4">
        <v>114</v>
      </c>
      <c r="GO1978" s="4">
        <v>100</v>
      </c>
      <c r="GP1978" s="4">
        <v>86</v>
      </c>
      <c r="GQ1978" s="4">
        <v>55</v>
      </c>
      <c r="GR1978" s="4">
        <v>44</v>
      </c>
      <c r="GS1978" s="4">
        <v>31</v>
      </c>
      <c r="GT1978" s="4">
        <v>23</v>
      </c>
      <c r="GU1978" s="4">
        <v>18</v>
      </c>
      <c r="GV1978" s="4">
        <v>14</v>
      </c>
      <c r="GW1978" s="4">
        <v>87</v>
      </c>
      <c r="GX1978" s="4">
        <v>83</v>
      </c>
      <c r="GY1978" s="4">
        <v>80</v>
      </c>
      <c r="GZ1978" s="4">
        <v>78</v>
      </c>
      <c r="HA1978" s="4">
        <v>75</v>
      </c>
      <c r="HB1978" s="4">
        <v>72</v>
      </c>
      <c r="HC1978" s="4">
        <v>69</v>
      </c>
      <c r="HD1978" s="19">
        <v>13.5</v>
      </c>
      <c r="HE1978" s="19">
        <v>22</v>
      </c>
      <c r="HF1978" s="19">
        <v>19.2</v>
      </c>
      <c r="HG1978" s="19">
        <v>16.8</v>
      </c>
      <c r="HH1978" s="19">
        <v>13.8</v>
      </c>
      <c r="HI1978" s="19">
        <v>12.9</v>
      </c>
      <c r="HJ1978" s="19">
        <v>12.8</v>
      </c>
      <c r="HK1978" s="19">
        <v>11.8</v>
      </c>
      <c r="HL1978" s="19">
        <v>10.6</v>
      </c>
      <c r="HM1978" s="19">
        <v>6.9</v>
      </c>
      <c r="HN1978" s="19">
        <v>6.3</v>
      </c>
      <c r="HO1978" s="19">
        <v>5.9</v>
      </c>
      <c r="HP1978" s="19">
        <v>5.4</v>
      </c>
      <c r="HQ1978" s="19">
        <v>6.1</v>
      </c>
      <c r="HR1978" s="19">
        <v>5.5</v>
      </c>
      <c r="HS1978" s="19">
        <v>6.2</v>
      </c>
      <c r="HT1978" s="19">
        <v>5.8</v>
      </c>
      <c r="HU1978" s="19">
        <v>4.5</v>
      </c>
      <c r="HV1978" s="19">
        <v>4.7</v>
      </c>
      <c r="HW1978" s="19">
        <v>29</v>
      </c>
      <c r="HX1978" s="19">
        <v>27.7</v>
      </c>
      <c r="HY1978" s="19">
        <v>26.7</v>
      </c>
      <c r="HZ1978" s="19">
        <v>26</v>
      </c>
      <c r="IA1978" s="19">
        <v>25</v>
      </c>
      <c r="IB1978" s="19">
        <v>24</v>
      </c>
      <c r="IC1978" s="19">
        <v>23</v>
      </c>
    </row>
    <row r="1979">
      <c r="A1979" s="2" t="s">
        <v>7153</v>
      </c>
      <c r="B1979" s="2" t="s">
        <v>323</v>
      </c>
      <c r="C1979" s="2" t="s">
        <v>1036</v>
      </c>
      <c r="D1979" s="2" t="s">
        <v>257</v>
      </c>
      <c r="E1979" s="2" t="s">
        <v>258</v>
      </c>
      <c r="F1979" s="2" t="s">
        <v>7117</v>
      </c>
      <c r="G1979" s="2" t="s">
        <v>7117</v>
      </c>
      <c r="H1979" s="2" t="s">
        <v>7117</v>
      </c>
      <c r="I1979" s="2" t="s">
        <v>7118</v>
      </c>
      <c r="J1979" s="2" t="s">
        <v>250</v>
      </c>
      <c r="K1979" s="2" t="s">
        <v>1238</v>
      </c>
      <c r="L1979" s="3">
        <v>28.08</v>
      </c>
      <c r="M1979" s="3">
        <v>29.48</v>
      </c>
      <c r="N1979" s="3">
        <v>59.99</v>
      </c>
      <c r="O1979" s="2" t="s">
        <v>232</v>
      </c>
      <c r="P1979" s="2" t="s">
        <v>233</v>
      </c>
      <c r="Q1979" s="2" t="s">
        <v>234</v>
      </c>
      <c r="R1979" s="2" t="s">
        <v>235</v>
      </c>
      <c r="S1979" s="2" t="s">
        <v>7152</v>
      </c>
      <c r="T1979" s="2" t="s">
        <v>2295</v>
      </c>
      <c r="U1979" s="2" t="s">
        <v>264</v>
      </c>
      <c r="V1979" s="2" t="s">
        <v>238</v>
      </c>
      <c r="W1979" s="2" t="s">
        <v>239</v>
      </c>
      <c r="X1979" s="2" t="s">
        <v>235</v>
      </c>
      <c r="Y1979" s="2" t="s">
        <v>240</v>
      </c>
      <c r="Z1979" s="4">
        <v>197</v>
      </c>
      <c r="AA1979" s="4">
        <f>=ROUNDDOWN(28.1428571428571,0)</f>
      </c>
      <c r="AB1979" s="5">
        <v>7</v>
      </c>
      <c r="AC1979" s="2" t="s">
        <v>883</v>
      </c>
      <c r="AD1979" s="4">
        <v>30</v>
      </c>
      <c r="AE1979" s="4">
        <v>30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235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235</v>
      </c>
      <c r="AW1979" s="8" t="s">
        <v>235</v>
      </c>
      <c r="AX1979" s="4" t="s">
        <v>235</v>
      </c>
      <c r="AY1979" s="8" t="s">
        <v>235</v>
      </c>
      <c r="AZ1979" s="7" t="s">
        <v>235</v>
      </c>
      <c r="BA1979" s="7" t="s">
        <v>235</v>
      </c>
      <c r="BB1979" s="7"/>
      <c r="BC1979" s="4" t="s">
        <v>235</v>
      </c>
      <c r="BD1979" s="8" t="s">
        <v>235</v>
      </c>
      <c r="BE1979" s="4" t="s">
        <v>235</v>
      </c>
      <c r="BF1979" s="8" t="s">
        <v>235</v>
      </c>
      <c r="BG1979" s="7" t="s">
        <v>235</v>
      </c>
      <c r="BH1979" s="7" t="s">
        <v>235</v>
      </c>
      <c r="BI1979" s="7"/>
      <c r="BJ1979" s="4">
        <v>7</v>
      </c>
      <c r="BK1979" s="8">
        <v>215.07</v>
      </c>
      <c r="BL1979" s="2" t="s">
        <v>4568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7121</v>
      </c>
      <c r="BV1979" s="2" t="s">
        <v>243</v>
      </c>
      <c r="BW1979" s="2" t="s">
        <v>235</v>
      </c>
      <c r="BX1979" s="2" t="s">
        <v>244</v>
      </c>
      <c r="BY1979" s="2" t="s">
        <v>245</v>
      </c>
      <c r="BZ1979" s="2" t="s">
        <v>232</v>
      </c>
      <c r="CA1979" s="2" t="s">
        <v>2044</v>
      </c>
      <c r="CB1979" s="2" t="s">
        <v>7154</v>
      </c>
      <c r="CC1979" s="2" t="s">
        <v>248</v>
      </c>
      <c r="CD1979" s="2" t="s">
        <v>248</v>
      </c>
      <c r="CE1979" s="2" t="s">
        <v>235</v>
      </c>
      <c r="CF1979" s="4">
        <v>101</v>
      </c>
      <c r="CG1979" s="4">
        <v>96</v>
      </c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>
        <v>30</v>
      </c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>
        <v>227</v>
      </c>
      <c r="GE1979" s="4">
        <v>240</v>
      </c>
      <c r="GF1979" s="4">
        <v>234</v>
      </c>
      <c r="GG1979" s="4">
        <v>228</v>
      </c>
      <c r="GH1979" s="4">
        <v>222</v>
      </c>
      <c r="GI1979" s="4">
        <v>214</v>
      </c>
      <c r="GJ1979" s="4">
        <v>202</v>
      </c>
      <c r="GK1979" s="4">
        <v>192</v>
      </c>
      <c r="GL1979" s="4">
        <v>181</v>
      </c>
      <c r="GM1979" s="4">
        <v>171</v>
      </c>
      <c r="GN1979" s="4">
        <v>161</v>
      </c>
      <c r="GO1979" s="4">
        <v>148</v>
      </c>
      <c r="GP1979" s="4">
        <v>133</v>
      </c>
      <c r="GQ1979" s="4">
        <v>99</v>
      </c>
      <c r="GR1979" s="4">
        <v>81</v>
      </c>
      <c r="GS1979" s="4">
        <v>61</v>
      </c>
      <c r="GT1979" s="4">
        <v>51</v>
      </c>
      <c r="GU1979" s="4">
        <v>47</v>
      </c>
      <c r="GV1979" s="4">
        <v>44</v>
      </c>
      <c r="GW1979" s="4">
        <v>68</v>
      </c>
      <c r="GX1979" s="4">
        <v>64</v>
      </c>
      <c r="GY1979" s="4">
        <v>62</v>
      </c>
      <c r="GZ1979" s="4">
        <v>60</v>
      </c>
      <c r="HA1979" s="4">
        <v>57</v>
      </c>
      <c r="HB1979" s="4">
        <v>54</v>
      </c>
      <c r="HC1979" s="4">
        <v>51</v>
      </c>
      <c r="HD1979" s="19">
        <v>25.2</v>
      </c>
      <c r="HE1979" s="19">
        <v>40</v>
      </c>
      <c r="HF1979" s="19">
        <v>29.3</v>
      </c>
      <c r="HG1979" s="19">
        <v>25.3</v>
      </c>
      <c r="HH1979" s="19">
        <v>22.2</v>
      </c>
      <c r="HI1979" s="19">
        <v>19.5</v>
      </c>
      <c r="HJ1979" s="19">
        <v>20.2</v>
      </c>
      <c r="HK1979" s="19">
        <v>17.5</v>
      </c>
      <c r="HL1979" s="19">
        <v>15.1</v>
      </c>
      <c r="HM1979" s="19">
        <v>9.5</v>
      </c>
      <c r="HN1979" s="19">
        <v>8.1</v>
      </c>
      <c r="HO1979" s="19">
        <v>6.7</v>
      </c>
      <c r="HP1979" s="19">
        <v>6.7</v>
      </c>
      <c r="HQ1979" s="19">
        <v>7.6</v>
      </c>
      <c r="HR1979" s="19">
        <v>9</v>
      </c>
      <c r="HS1979" s="19">
        <v>12.2</v>
      </c>
      <c r="HT1979" s="19">
        <v>12.8</v>
      </c>
      <c r="HU1979" s="19">
        <v>15.7</v>
      </c>
      <c r="HV1979" s="19">
        <v>14.7</v>
      </c>
      <c r="HW1979" s="19">
        <v>22.7</v>
      </c>
      <c r="HX1979" s="19">
        <v>32</v>
      </c>
      <c r="HY1979" s="19">
        <v>20.7</v>
      </c>
      <c r="HZ1979" s="19">
        <v>20</v>
      </c>
      <c r="IA1979" s="19">
        <v>19</v>
      </c>
      <c r="IB1979" s="19">
        <v>18</v>
      </c>
      <c r="IC1979" s="19">
        <v>17</v>
      </c>
    </row>
    <row r="1980">
      <c r="A1980" s="2" t="s">
        <v>7155</v>
      </c>
      <c r="B1980" s="2" t="s">
        <v>323</v>
      </c>
      <c r="C1980" s="2" t="s">
        <v>1036</v>
      </c>
      <c r="D1980" s="2" t="s">
        <v>257</v>
      </c>
      <c r="E1980" s="2" t="s">
        <v>258</v>
      </c>
      <c r="F1980" s="2" t="s">
        <v>7117</v>
      </c>
      <c r="G1980" s="2" t="s">
        <v>7117</v>
      </c>
      <c r="H1980" s="2" t="s">
        <v>7117</v>
      </c>
      <c r="I1980" s="2" t="s">
        <v>7118</v>
      </c>
      <c r="J1980" s="2" t="s">
        <v>270</v>
      </c>
      <c r="K1980" s="2" t="s">
        <v>1238</v>
      </c>
      <c r="L1980" s="3">
        <v>38.08</v>
      </c>
      <c r="M1980" s="3">
        <v>39.98</v>
      </c>
      <c r="N1980" s="3">
        <v>84.99</v>
      </c>
      <c r="O1980" s="2" t="s">
        <v>232</v>
      </c>
      <c r="P1980" s="2" t="s">
        <v>233</v>
      </c>
      <c r="Q1980" s="2" t="s">
        <v>234</v>
      </c>
      <c r="R1980" s="2" t="s">
        <v>235</v>
      </c>
      <c r="S1980" s="2" t="s">
        <v>7152</v>
      </c>
      <c r="T1980" s="2" t="s">
        <v>2295</v>
      </c>
      <c r="U1980" s="2" t="s">
        <v>264</v>
      </c>
      <c r="V1980" s="2" t="s">
        <v>238</v>
      </c>
      <c r="W1980" s="2" t="s">
        <v>239</v>
      </c>
      <c r="X1980" s="2" t="s">
        <v>235</v>
      </c>
      <c r="Y1980" s="2" t="s">
        <v>7143</v>
      </c>
      <c r="Z1980" s="4">
        <v>444</v>
      </c>
      <c r="AA1980" s="4">
        <f>=ROUNDDOWN(20.1818181818182,0)</f>
      </c>
      <c r="AB1980" s="5">
        <v>22</v>
      </c>
      <c r="AC1980" s="2" t="s">
        <v>883</v>
      </c>
      <c r="AD1980" s="4">
        <v>95</v>
      </c>
      <c r="AE1980" s="4">
        <v>95</v>
      </c>
      <c r="AF1980" s="6">
        <v>65</v>
      </c>
      <c r="AG1980" s="6"/>
      <c r="AH1980" s="7">
        <v>0.3871</v>
      </c>
      <c r="AI1980" s="4"/>
      <c r="AJ1980" s="4">
        <f>=ROUNDDOWN({0},0)</f>
      </c>
      <c r="AK1980" s="5"/>
      <c r="AL1980" s="2" t="s">
        <v>235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235</v>
      </c>
      <c r="AW1980" s="8" t="s">
        <v>235</v>
      </c>
      <c r="AX1980" s="4" t="s">
        <v>235</v>
      </c>
      <c r="AY1980" s="8" t="s">
        <v>235</v>
      </c>
      <c r="AZ1980" s="7" t="s">
        <v>235</v>
      </c>
      <c r="BA1980" s="7" t="s">
        <v>235</v>
      </c>
      <c r="BB1980" s="7"/>
      <c r="BC1980" s="4" t="s">
        <v>235</v>
      </c>
      <c r="BD1980" s="8" t="s">
        <v>235</v>
      </c>
      <c r="BE1980" s="4" t="s">
        <v>235</v>
      </c>
      <c r="BF1980" s="8" t="s">
        <v>235</v>
      </c>
      <c r="BG1980" s="7" t="s">
        <v>235</v>
      </c>
      <c r="BH1980" s="7" t="s">
        <v>235</v>
      </c>
      <c r="BI1980" s="7"/>
      <c r="BJ1980" s="4">
        <v>5</v>
      </c>
      <c r="BK1980" s="8">
        <v>219.88</v>
      </c>
      <c r="BL1980" s="2" t="s">
        <v>7156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7121</v>
      </c>
      <c r="BV1980" s="2" t="s">
        <v>243</v>
      </c>
      <c r="BW1980" s="2" t="s">
        <v>235</v>
      </c>
      <c r="BX1980" s="2" t="s">
        <v>244</v>
      </c>
      <c r="BY1980" s="2" t="s">
        <v>245</v>
      </c>
      <c r="BZ1980" s="2" t="s">
        <v>232</v>
      </c>
      <c r="CA1980" s="2" t="s">
        <v>2044</v>
      </c>
      <c r="CB1980" s="2" t="s">
        <v>5631</v>
      </c>
      <c r="CC1980" s="2" t="s">
        <v>248</v>
      </c>
      <c r="CD1980" s="2" t="s">
        <v>248</v>
      </c>
      <c r="CE1980" s="2" t="s">
        <v>235</v>
      </c>
      <c r="CF1980" s="4">
        <v>155</v>
      </c>
      <c r="CG1980" s="4"/>
      <c r="CH1980" s="4"/>
      <c r="CI1980" s="4">
        <v>289</v>
      </c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>
        <v>95</v>
      </c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>
        <v>445</v>
      </c>
      <c r="GE1980" s="4">
        <v>452</v>
      </c>
      <c r="GF1980" s="4">
        <v>427</v>
      </c>
      <c r="GG1980" s="4">
        <v>405</v>
      </c>
      <c r="GH1980" s="4">
        <v>385</v>
      </c>
      <c r="GI1980" s="4">
        <v>358</v>
      </c>
      <c r="GJ1980" s="4">
        <v>322</v>
      </c>
      <c r="GK1980" s="4">
        <v>292</v>
      </c>
      <c r="GL1980" s="4">
        <v>254</v>
      </c>
      <c r="GM1980" s="4">
        <v>223</v>
      </c>
      <c r="GN1980" s="4">
        <v>201</v>
      </c>
      <c r="GO1980" s="4">
        <v>171</v>
      </c>
      <c r="GP1980" s="4">
        <v>144</v>
      </c>
      <c r="GQ1980" s="4">
        <v>90</v>
      </c>
      <c r="GR1980" s="4">
        <v>62</v>
      </c>
      <c r="GS1980" s="4">
        <v>33</v>
      </c>
      <c r="GT1980" s="4">
        <v>19</v>
      </c>
      <c r="GU1980" s="4">
        <v>12</v>
      </c>
      <c r="GV1980" s="4">
        <v>5</v>
      </c>
      <c r="GW1980" s="4">
        <v>158</v>
      </c>
      <c r="GX1980" s="4">
        <v>149</v>
      </c>
      <c r="GY1980" s="4">
        <v>143</v>
      </c>
      <c r="GZ1980" s="4">
        <v>138</v>
      </c>
      <c r="HA1980" s="4">
        <v>132</v>
      </c>
      <c r="HB1980" s="4">
        <v>126</v>
      </c>
      <c r="HC1980" s="4">
        <v>120</v>
      </c>
      <c r="HD1980" s="19">
        <v>11.4</v>
      </c>
      <c r="HE1980" s="19">
        <v>18.8</v>
      </c>
      <c r="HF1980" s="19">
        <v>16.4</v>
      </c>
      <c r="HG1980" s="19">
        <v>14.5</v>
      </c>
      <c r="HH1980" s="19">
        <v>11.7</v>
      </c>
      <c r="HI1980" s="19">
        <v>10.5</v>
      </c>
      <c r="HJ1980" s="19">
        <v>10.7</v>
      </c>
      <c r="HK1980" s="19">
        <v>9.7</v>
      </c>
      <c r="HL1980" s="19">
        <v>9.1</v>
      </c>
      <c r="HM1980" s="19">
        <v>6.8</v>
      </c>
      <c r="HN1980" s="19">
        <v>5.7</v>
      </c>
      <c r="HO1980" s="19">
        <v>5</v>
      </c>
      <c r="HP1980" s="19">
        <v>4.6</v>
      </c>
      <c r="HQ1980" s="19">
        <v>4.5</v>
      </c>
      <c r="HR1980" s="19">
        <v>4.4</v>
      </c>
      <c r="HS1980" s="19">
        <v>4.1</v>
      </c>
      <c r="HT1980" s="19">
        <v>2.7</v>
      </c>
      <c r="HU1980" s="19">
        <v>1.7</v>
      </c>
      <c r="HV1980" s="19">
        <v>0.8</v>
      </c>
      <c r="HW1980" s="19">
        <v>26.3</v>
      </c>
      <c r="HX1980" s="19">
        <v>24.8</v>
      </c>
      <c r="HY1980" s="19">
        <v>23.8</v>
      </c>
      <c r="HZ1980" s="19">
        <v>23</v>
      </c>
      <c r="IA1980" s="19">
        <v>22</v>
      </c>
      <c r="IB1980" s="19">
        <v>21</v>
      </c>
      <c r="IC1980" s="19">
        <v>20</v>
      </c>
    </row>
    <row r="1981">
      <c r="A1981" s="2" t="s">
        <v>7157</v>
      </c>
      <c r="B1981" s="2" t="s">
        <v>323</v>
      </c>
      <c r="C1981" s="2" t="s">
        <v>1036</v>
      </c>
      <c r="D1981" s="2" t="s">
        <v>257</v>
      </c>
      <c r="E1981" s="2" t="s">
        <v>258</v>
      </c>
      <c r="F1981" s="2" t="s">
        <v>7117</v>
      </c>
      <c r="G1981" s="2" t="s">
        <v>7117</v>
      </c>
      <c r="H1981" s="2" t="s">
        <v>7117</v>
      </c>
      <c r="I1981" s="2" t="s">
        <v>7118</v>
      </c>
      <c r="J1981" s="2" t="s">
        <v>394</v>
      </c>
      <c r="K1981" s="2" t="s">
        <v>292</v>
      </c>
      <c r="L1981" s="3">
        <v>22</v>
      </c>
      <c r="M1981" s="3">
        <v>23.1</v>
      </c>
      <c r="N1981" s="3">
        <v>48.99</v>
      </c>
      <c r="O1981" s="2" t="s">
        <v>232</v>
      </c>
      <c r="P1981" s="2" t="s">
        <v>336</v>
      </c>
      <c r="Q1981" s="2" t="s">
        <v>234</v>
      </c>
      <c r="R1981" s="2" t="s">
        <v>235</v>
      </c>
      <c r="S1981" s="2" t="s">
        <v>7158</v>
      </c>
      <c r="T1981" s="2" t="s">
        <v>2295</v>
      </c>
      <c r="U1981" s="2" t="s">
        <v>552</v>
      </c>
      <c r="V1981" s="2" t="s">
        <v>238</v>
      </c>
      <c r="W1981" s="2" t="s">
        <v>239</v>
      </c>
      <c r="X1981" s="2" t="s">
        <v>235</v>
      </c>
      <c r="Y1981" s="2" t="s">
        <v>240</v>
      </c>
      <c r="Z1981" s="4">
        <v>1223</v>
      </c>
      <c r="AA1981" s="4">
        <f>=ROUNDDOWN(26.5869565217391,0)</f>
      </c>
      <c r="AB1981" s="5">
        <v>46</v>
      </c>
      <c r="AC1981" s="2" t="s">
        <v>883</v>
      </c>
      <c r="AD1981" s="4">
        <v>180</v>
      </c>
      <c r="AE1981" s="4">
        <v>180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235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235</v>
      </c>
      <c r="AW1981" s="8" t="s">
        <v>235</v>
      </c>
      <c r="AX1981" s="4" t="s">
        <v>235</v>
      </c>
      <c r="AY1981" s="8" t="s">
        <v>235</v>
      </c>
      <c r="AZ1981" s="7" t="s">
        <v>235</v>
      </c>
      <c r="BA1981" s="7" t="s">
        <v>235</v>
      </c>
      <c r="BB1981" s="7"/>
      <c r="BC1981" s="4" t="s">
        <v>235</v>
      </c>
      <c r="BD1981" s="8" t="s">
        <v>235</v>
      </c>
      <c r="BE1981" s="4" t="s">
        <v>235</v>
      </c>
      <c r="BF1981" s="8" t="s">
        <v>235</v>
      </c>
      <c r="BG1981" s="7" t="s">
        <v>235</v>
      </c>
      <c r="BH1981" s="7" t="s">
        <v>235</v>
      </c>
      <c r="BI1981" s="7"/>
      <c r="BJ1981" s="4"/>
      <c r="BK1981" s="8"/>
      <c r="BL1981" s="2" t="s">
        <v>3992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7121</v>
      </c>
      <c r="BV1981" s="2" t="s">
        <v>243</v>
      </c>
      <c r="BW1981" s="2" t="s">
        <v>235</v>
      </c>
      <c r="BX1981" s="2" t="s">
        <v>244</v>
      </c>
      <c r="BY1981" s="2" t="s">
        <v>245</v>
      </c>
      <c r="BZ1981" s="2" t="s">
        <v>232</v>
      </c>
      <c r="CA1981" s="2" t="s">
        <v>3385</v>
      </c>
      <c r="CB1981" s="2" t="s">
        <v>7159</v>
      </c>
      <c r="CC1981" s="2" t="s">
        <v>248</v>
      </c>
      <c r="CD1981" s="2" t="s">
        <v>248</v>
      </c>
      <c r="CE1981" s="2" t="s">
        <v>235</v>
      </c>
      <c r="CF1981" s="4">
        <v>1018</v>
      </c>
      <c r="CG1981" s="4">
        <v>205</v>
      </c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>
        <v>180</v>
      </c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>
        <v>1223</v>
      </c>
      <c r="GE1981" s="4">
        <v>1400</v>
      </c>
      <c r="GF1981" s="4">
        <v>1397</v>
      </c>
      <c r="GG1981" s="4">
        <v>1363</v>
      </c>
      <c r="GH1981" s="4">
        <v>1308</v>
      </c>
      <c r="GI1981" s="4">
        <v>1228</v>
      </c>
      <c r="GJ1981" s="4">
        <v>1133</v>
      </c>
      <c r="GK1981" s="4">
        <v>1053</v>
      </c>
      <c r="GL1981" s="4">
        <v>952</v>
      </c>
      <c r="GM1981" s="4">
        <v>867</v>
      </c>
      <c r="GN1981" s="4">
        <v>815</v>
      </c>
      <c r="GO1981" s="4">
        <v>762</v>
      </c>
      <c r="GP1981" s="4">
        <v>714</v>
      </c>
      <c r="GQ1981" s="4">
        <v>626</v>
      </c>
      <c r="GR1981" s="4">
        <v>585</v>
      </c>
      <c r="GS1981" s="4">
        <v>545</v>
      </c>
      <c r="GT1981" s="4">
        <v>515</v>
      </c>
      <c r="GU1981" s="4">
        <v>492</v>
      </c>
      <c r="GV1981" s="4">
        <v>470</v>
      </c>
      <c r="GW1981" s="4">
        <v>448</v>
      </c>
      <c r="GX1981" s="4">
        <v>429</v>
      </c>
      <c r="GY1981" s="4">
        <v>412</v>
      </c>
      <c r="GZ1981" s="4">
        <v>395</v>
      </c>
      <c r="HA1981" s="4">
        <v>377</v>
      </c>
      <c r="HB1981" s="4">
        <v>363</v>
      </c>
      <c r="HC1981" s="4">
        <v>349</v>
      </c>
      <c r="HD1981" s="19">
        <v>51</v>
      </c>
      <c r="HE1981" s="19">
        <v>32.6</v>
      </c>
      <c r="HF1981" s="19">
        <v>21.2</v>
      </c>
      <c r="HG1981" s="19">
        <v>17.5</v>
      </c>
      <c r="HH1981" s="19">
        <v>14.7</v>
      </c>
      <c r="HI1981" s="19">
        <v>13.6</v>
      </c>
      <c r="HJ1981" s="19">
        <v>14.2</v>
      </c>
      <c r="HK1981" s="19">
        <v>14.4</v>
      </c>
      <c r="HL1981" s="19">
        <v>15.9</v>
      </c>
      <c r="HM1981" s="19">
        <v>14.5</v>
      </c>
      <c r="HN1981" s="19">
        <v>14.1</v>
      </c>
      <c r="HO1981" s="19">
        <v>14.1</v>
      </c>
      <c r="HP1981" s="19">
        <v>14.3</v>
      </c>
      <c r="HQ1981" s="19">
        <v>18.4</v>
      </c>
      <c r="HR1981" s="19">
        <v>20.2</v>
      </c>
      <c r="HS1981" s="19">
        <v>22.7</v>
      </c>
      <c r="HT1981" s="19">
        <v>23.4</v>
      </c>
      <c r="HU1981" s="19">
        <v>24.6</v>
      </c>
      <c r="HV1981" s="19">
        <v>24.7</v>
      </c>
      <c r="HW1981" s="19">
        <v>24.9</v>
      </c>
      <c r="HX1981" s="19">
        <v>26.8</v>
      </c>
      <c r="HY1981" s="19">
        <v>25.8</v>
      </c>
      <c r="HZ1981" s="19">
        <v>26.3</v>
      </c>
      <c r="IA1981" s="19">
        <v>26.9</v>
      </c>
      <c r="IB1981" s="19">
        <v>25.9</v>
      </c>
      <c r="IC1981" s="19">
        <v>24.9</v>
      </c>
    </row>
    <row r="1982">
      <c r="A1982" s="2" t="s">
        <v>7160</v>
      </c>
      <c r="B1982" s="2" t="s">
        <v>323</v>
      </c>
      <c r="C1982" s="2" t="s">
        <v>1036</v>
      </c>
      <c r="D1982" s="2" t="s">
        <v>257</v>
      </c>
      <c r="E1982" s="2" t="s">
        <v>258</v>
      </c>
      <c r="F1982" s="2" t="s">
        <v>7117</v>
      </c>
      <c r="G1982" s="2" t="s">
        <v>7117</v>
      </c>
      <c r="H1982" s="2" t="s">
        <v>7117</v>
      </c>
      <c r="I1982" s="2" t="s">
        <v>7118</v>
      </c>
      <c r="J1982" s="2" t="s">
        <v>270</v>
      </c>
      <c r="K1982" s="2" t="s">
        <v>292</v>
      </c>
      <c r="L1982" s="3">
        <v>38.08</v>
      </c>
      <c r="M1982" s="3">
        <v>39.98</v>
      </c>
      <c r="N1982" s="3">
        <v>84.99</v>
      </c>
      <c r="O1982" s="2" t="s">
        <v>232</v>
      </c>
      <c r="P1982" s="2" t="s">
        <v>333</v>
      </c>
      <c r="Q1982" s="2" t="s">
        <v>234</v>
      </c>
      <c r="R1982" s="2" t="s">
        <v>235</v>
      </c>
      <c r="S1982" s="2" t="s">
        <v>7158</v>
      </c>
      <c r="T1982" s="2" t="s">
        <v>2295</v>
      </c>
      <c r="U1982" s="2" t="s">
        <v>264</v>
      </c>
      <c r="V1982" s="2" t="s">
        <v>238</v>
      </c>
      <c r="W1982" s="2" t="s">
        <v>239</v>
      </c>
      <c r="X1982" s="2" t="s">
        <v>235</v>
      </c>
      <c r="Y1982" s="2" t="s">
        <v>240</v>
      </c>
      <c r="Z1982" s="4">
        <v>2189</v>
      </c>
      <c r="AA1982" s="4">
        <f>=ROUNDDOWN(20.6509433962264,0)</f>
      </c>
      <c r="AB1982" s="5">
        <v>106</v>
      </c>
      <c r="AC1982" s="2" t="s">
        <v>883</v>
      </c>
      <c r="AD1982" s="4">
        <v>450</v>
      </c>
      <c r="AE1982" s="4">
        <v>450</v>
      </c>
      <c r="AF1982" s="6">
        <v>65</v>
      </c>
      <c r="AG1982" s="6"/>
      <c r="AH1982" s="7">
        <v>0.3871</v>
      </c>
      <c r="AI1982" s="4"/>
      <c r="AJ1982" s="4">
        <f>=ROUNDDOWN({0},0)</f>
      </c>
      <c r="AK1982" s="5"/>
      <c r="AL1982" s="2" t="s">
        <v>235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235</v>
      </c>
      <c r="AW1982" s="8" t="s">
        <v>235</v>
      </c>
      <c r="AX1982" s="4" t="s">
        <v>235</v>
      </c>
      <c r="AY1982" s="8" t="s">
        <v>235</v>
      </c>
      <c r="AZ1982" s="7" t="s">
        <v>235</v>
      </c>
      <c r="BA1982" s="7" t="s">
        <v>235</v>
      </c>
      <c r="BB1982" s="7"/>
      <c r="BC1982" s="4" t="s">
        <v>235</v>
      </c>
      <c r="BD1982" s="8" t="s">
        <v>235</v>
      </c>
      <c r="BE1982" s="4" t="s">
        <v>235</v>
      </c>
      <c r="BF1982" s="8" t="s">
        <v>235</v>
      </c>
      <c r="BG1982" s="7" t="s">
        <v>235</v>
      </c>
      <c r="BH1982" s="7" t="s">
        <v>235</v>
      </c>
      <c r="BI1982" s="7"/>
      <c r="BJ1982" s="4"/>
      <c r="BK1982" s="8"/>
      <c r="BL1982" s="2" t="s">
        <v>7161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7121</v>
      </c>
      <c r="BV1982" s="2" t="s">
        <v>243</v>
      </c>
      <c r="BW1982" s="2" t="s">
        <v>235</v>
      </c>
      <c r="BX1982" s="2" t="s">
        <v>244</v>
      </c>
      <c r="BY1982" s="2" t="s">
        <v>245</v>
      </c>
      <c r="BZ1982" s="2" t="s">
        <v>232</v>
      </c>
      <c r="CA1982" s="2" t="s">
        <v>3385</v>
      </c>
      <c r="CB1982" s="2" t="s">
        <v>7162</v>
      </c>
      <c r="CC1982" s="2" t="s">
        <v>248</v>
      </c>
      <c r="CD1982" s="2" t="s">
        <v>248</v>
      </c>
      <c r="CE1982" s="2" t="s">
        <v>235</v>
      </c>
      <c r="CF1982" s="4">
        <v>1257</v>
      </c>
      <c r="CG1982" s="4"/>
      <c r="CH1982" s="4"/>
      <c r="CI1982" s="4">
        <v>932</v>
      </c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>
        <v>450</v>
      </c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>
        <v>2190</v>
      </c>
      <c r="GE1982" s="4">
        <v>2371</v>
      </c>
      <c r="GF1982" s="4">
        <v>2240</v>
      </c>
      <c r="GG1982" s="4">
        <v>2128</v>
      </c>
      <c r="GH1982" s="4">
        <v>2026</v>
      </c>
      <c r="GI1982" s="4">
        <v>1886</v>
      </c>
      <c r="GJ1982" s="4">
        <v>1711</v>
      </c>
      <c r="GK1982" s="4">
        <v>1564</v>
      </c>
      <c r="GL1982" s="4">
        <v>1373</v>
      </c>
      <c r="GM1982" s="4">
        <v>1220</v>
      </c>
      <c r="GN1982" s="4">
        <v>1122</v>
      </c>
      <c r="GO1982" s="4">
        <v>995</v>
      </c>
      <c r="GP1982" s="4">
        <v>883</v>
      </c>
      <c r="GQ1982" s="4">
        <v>683</v>
      </c>
      <c r="GR1982" s="4">
        <v>580</v>
      </c>
      <c r="GS1982" s="4">
        <v>476</v>
      </c>
      <c r="GT1982" s="4">
        <v>431</v>
      </c>
      <c r="GU1982" s="4">
        <v>403</v>
      </c>
      <c r="GV1982" s="4">
        <v>375</v>
      </c>
      <c r="GW1982" s="4">
        <v>349</v>
      </c>
      <c r="GX1982" s="4">
        <v>319</v>
      </c>
      <c r="GY1982" s="4">
        <v>296</v>
      </c>
      <c r="GZ1982" s="4">
        <v>274</v>
      </c>
      <c r="HA1982" s="4">
        <v>248</v>
      </c>
      <c r="HB1982" s="4">
        <v>222</v>
      </c>
      <c r="HC1982" s="4">
        <v>368</v>
      </c>
      <c r="HD1982" s="19">
        <v>14.2</v>
      </c>
      <c r="HE1982" s="19">
        <v>19.6</v>
      </c>
      <c r="HF1982" s="19">
        <v>17</v>
      </c>
      <c r="HG1982" s="19">
        <v>15.1</v>
      </c>
      <c r="HH1982" s="19">
        <v>12.4</v>
      </c>
      <c r="HI1982" s="19">
        <v>11.4</v>
      </c>
      <c r="HJ1982" s="19">
        <v>11.6</v>
      </c>
      <c r="HK1982" s="19">
        <v>11</v>
      </c>
      <c r="HL1982" s="19">
        <v>11.3</v>
      </c>
      <c r="HM1982" s="19">
        <v>9.1</v>
      </c>
      <c r="HN1982" s="19">
        <v>8.3</v>
      </c>
      <c r="HO1982" s="19">
        <v>7.7</v>
      </c>
      <c r="HP1982" s="19">
        <v>7.8</v>
      </c>
      <c r="HQ1982" s="19">
        <v>9.8</v>
      </c>
      <c r="HR1982" s="19">
        <v>11.4</v>
      </c>
      <c r="HS1982" s="19">
        <v>14.9</v>
      </c>
      <c r="HT1982" s="19">
        <v>15.4</v>
      </c>
      <c r="HU1982" s="19">
        <v>14.9</v>
      </c>
      <c r="HV1982" s="19">
        <v>15</v>
      </c>
      <c r="HW1982" s="19">
        <v>14</v>
      </c>
      <c r="HX1982" s="19">
        <v>13.3</v>
      </c>
      <c r="HY1982" s="19">
        <v>11.8</v>
      </c>
      <c r="HZ1982" s="19">
        <v>10.5</v>
      </c>
      <c r="IA1982" s="19">
        <v>9.5</v>
      </c>
      <c r="IB1982" s="19">
        <v>8.5</v>
      </c>
      <c r="IC1982" s="19">
        <v>14.7</v>
      </c>
    </row>
    <row r="1983">
      <c r="A1983" s="2" t="s">
        <v>7163</v>
      </c>
      <c r="B1983" s="2" t="s">
        <v>323</v>
      </c>
      <c r="C1983" s="2" t="s">
        <v>1036</v>
      </c>
      <c r="D1983" s="2" t="s">
        <v>257</v>
      </c>
      <c r="E1983" s="2" t="s">
        <v>258</v>
      </c>
      <c r="F1983" s="2" t="s">
        <v>7117</v>
      </c>
      <c r="G1983" s="2" t="s">
        <v>7117</v>
      </c>
      <c r="H1983" s="2" t="s">
        <v>7117</v>
      </c>
      <c r="I1983" s="2" t="s">
        <v>7118</v>
      </c>
      <c r="J1983" s="2" t="s">
        <v>394</v>
      </c>
      <c r="K1983" s="2" t="s">
        <v>295</v>
      </c>
      <c r="L1983" s="3">
        <v>22</v>
      </c>
      <c r="M1983" s="3">
        <v>23.1</v>
      </c>
      <c r="N1983" s="3">
        <v>48.99</v>
      </c>
      <c r="O1983" s="2" t="s">
        <v>232</v>
      </c>
      <c r="P1983" s="2" t="s">
        <v>233</v>
      </c>
      <c r="Q1983" s="2" t="s">
        <v>234</v>
      </c>
      <c r="R1983" s="2" t="s">
        <v>235</v>
      </c>
      <c r="S1983" s="2" t="s">
        <v>7164</v>
      </c>
      <c r="T1983" s="2" t="s">
        <v>2295</v>
      </c>
      <c r="U1983" s="2" t="s">
        <v>552</v>
      </c>
      <c r="V1983" s="2" t="s">
        <v>238</v>
      </c>
      <c r="W1983" s="2" t="s">
        <v>239</v>
      </c>
      <c r="X1983" s="2" t="s">
        <v>235</v>
      </c>
      <c r="Y1983" s="2" t="s">
        <v>240</v>
      </c>
      <c r="Z1983" s="4">
        <v>508</v>
      </c>
      <c r="AA1983" s="4">
        <f>=ROUNDDOWN(33.8666666666667,0)</f>
      </c>
      <c r="AB1983" s="5">
        <v>15</v>
      </c>
      <c r="AC1983" s="2" t="s">
        <v>235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235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235</v>
      </c>
      <c r="AW1983" s="8" t="s">
        <v>235</v>
      </c>
      <c r="AX1983" s="4" t="s">
        <v>235</v>
      </c>
      <c r="AY1983" s="8" t="s">
        <v>235</v>
      </c>
      <c r="AZ1983" s="7" t="s">
        <v>235</v>
      </c>
      <c r="BA1983" s="7" t="s">
        <v>235</v>
      </c>
      <c r="BB1983" s="7"/>
      <c r="BC1983" s="4" t="s">
        <v>235</v>
      </c>
      <c r="BD1983" s="8" t="s">
        <v>235</v>
      </c>
      <c r="BE1983" s="4" t="s">
        <v>235</v>
      </c>
      <c r="BF1983" s="8" t="s">
        <v>235</v>
      </c>
      <c r="BG1983" s="7" t="s">
        <v>235</v>
      </c>
      <c r="BH1983" s="7" t="s">
        <v>235</v>
      </c>
      <c r="BI1983" s="7"/>
      <c r="BJ1983" s="4">
        <v>3</v>
      </c>
      <c r="BK1983" s="8">
        <v>71.02</v>
      </c>
      <c r="BL1983" s="2" t="s">
        <v>7165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7121</v>
      </c>
      <c r="BV1983" s="2" t="s">
        <v>243</v>
      </c>
      <c r="BW1983" s="2" t="s">
        <v>235</v>
      </c>
      <c r="BX1983" s="2" t="s">
        <v>244</v>
      </c>
      <c r="BY1983" s="2" t="s">
        <v>245</v>
      </c>
      <c r="BZ1983" s="2" t="s">
        <v>232</v>
      </c>
      <c r="CA1983" s="2" t="s">
        <v>2044</v>
      </c>
      <c r="CB1983" s="2" t="s">
        <v>7130</v>
      </c>
      <c r="CC1983" s="2" t="s">
        <v>248</v>
      </c>
      <c r="CD1983" s="2" t="s">
        <v>248</v>
      </c>
      <c r="CE1983" s="2" t="s">
        <v>235</v>
      </c>
      <c r="CF1983" s="4">
        <v>168</v>
      </c>
      <c r="CG1983" s="4">
        <v>340</v>
      </c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>
        <v>554</v>
      </c>
      <c r="GE1983" s="4">
        <v>488</v>
      </c>
      <c r="GF1983" s="4">
        <v>472</v>
      </c>
      <c r="GG1983" s="4">
        <v>455</v>
      </c>
      <c r="GH1983" s="4">
        <v>439</v>
      </c>
      <c r="GI1983" s="4">
        <v>416</v>
      </c>
      <c r="GJ1983" s="4">
        <v>387</v>
      </c>
      <c r="GK1983" s="4">
        <v>362</v>
      </c>
      <c r="GL1983" s="4">
        <v>332</v>
      </c>
      <c r="GM1983" s="4">
        <v>306</v>
      </c>
      <c r="GN1983" s="4">
        <v>287</v>
      </c>
      <c r="GO1983" s="4">
        <v>265</v>
      </c>
      <c r="GP1983" s="4">
        <v>244</v>
      </c>
      <c r="GQ1983" s="4">
        <v>200</v>
      </c>
      <c r="GR1983" s="4">
        <v>182</v>
      </c>
      <c r="GS1983" s="4">
        <v>163</v>
      </c>
      <c r="GT1983" s="4">
        <v>151</v>
      </c>
      <c r="GU1983" s="4">
        <v>143</v>
      </c>
      <c r="GV1983" s="4">
        <v>135</v>
      </c>
      <c r="GW1983" s="4">
        <v>128</v>
      </c>
      <c r="GX1983" s="4">
        <v>122</v>
      </c>
      <c r="GY1983" s="4">
        <v>117</v>
      </c>
      <c r="GZ1983" s="4">
        <v>113</v>
      </c>
      <c r="HA1983" s="4">
        <v>108</v>
      </c>
      <c r="HB1983" s="4">
        <v>104</v>
      </c>
      <c r="HC1983" s="4">
        <v>100</v>
      </c>
      <c r="HD1983" s="19">
        <v>19.1</v>
      </c>
      <c r="HE1983" s="19">
        <v>27.1</v>
      </c>
      <c r="HF1983" s="19">
        <v>22.5</v>
      </c>
      <c r="HG1983" s="19">
        <v>19.8</v>
      </c>
      <c r="HH1983" s="19">
        <v>16.3</v>
      </c>
      <c r="HI1983" s="19">
        <v>14.9</v>
      </c>
      <c r="HJ1983" s="19">
        <v>15.5</v>
      </c>
      <c r="HK1983" s="19">
        <v>15.1</v>
      </c>
      <c r="HL1983" s="19">
        <v>15.1</v>
      </c>
      <c r="HM1983" s="19">
        <v>11.8</v>
      </c>
      <c r="HN1983" s="19">
        <v>11</v>
      </c>
      <c r="HO1983" s="19">
        <v>10.2</v>
      </c>
      <c r="HP1983" s="19">
        <v>10.6</v>
      </c>
      <c r="HQ1983" s="19">
        <v>14.3</v>
      </c>
      <c r="HR1983" s="19">
        <v>15.2</v>
      </c>
      <c r="HS1983" s="19">
        <v>18.1</v>
      </c>
      <c r="HT1983" s="19">
        <v>21.6</v>
      </c>
      <c r="HU1983" s="19">
        <v>23.8</v>
      </c>
      <c r="HV1983" s="19">
        <v>22.5</v>
      </c>
      <c r="HW1983" s="19">
        <v>25.6</v>
      </c>
      <c r="HX1983" s="19">
        <v>30.5</v>
      </c>
      <c r="HY1983" s="19">
        <v>29.3</v>
      </c>
      <c r="HZ1983" s="19">
        <v>28.3</v>
      </c>
      <c r="IA1983" s="19">
        <v>27</v>
      </c>
      <c r="IB1983" s="19">
        <v>26</v>
      </c>
      <c r="IC1983" s="19">
        <v>25</v>
      </c>
    </row>
    <row r="1984">
      <c r="A1984" s="2" t="s">
        <v>7166</v>
      </c>
      <c r="B1984" s="2" t="s">
        <v>323</v>
      </c>
      <c r="C1984" s="2" t="s">
        <v>1036</v>
      </c>
      <c r="D1984" s="2" t="s">
        <v>257</v>
      </c>
      <c r="E1984" s="2" t="s">
        <v>258</v>
      </c>
      <c r="F1984" s="2" t="s">
        <v>7117</v>
      </c>
      <c r="G1984" s="2" t="s">
        <v>7117</v>
      </c>
      <c r="H1984" s="2" t="s">
        <v>7117</v>
      </c>
      <c r="I1984" s="2" t="s">
        <v>7118</v>
      </c>
      <c r="J1984" s="2" t="s">
        <v>250</v>
      </c>
      <c r="K1984" s="2" t="s">
        <v>295</v>
      </c>
      <c r="L1984" s="3">
        <v>28.08</v>
      </c>
      <c r="M1984" s="3">
        <v>29.48</v>
      </c>
      <c r="N1984" s="3">
        <v>59.99</v>
      </c>
      <c r="O1984" s="2" t="s">
        <v>232</v>
      </c>
      <c r="P1984" s="2" t="s">
        <v>336</v>
      </c>
      <c r="Q1984" s="2" t="s">
        <v>234</v>
      </c>
      <c r="R1984" s="2" t="s">
        <v>235</v>
      </c>
      <c r="S1984" s="2" t="s">
        <v>7164</v>
      </c>
      <c r="T1984" s="2" t="s">
        <v>2295</v>
      </c>
      <c r="U1984" s="2" t="s">
        <v>264</v>
      </c>
      <c r="V1984" s="2" t="s">
        <v>238</v>
      </c>
      <c r="W1984" s="2" t="s">
        <v>239</v>
      </c>
      <c r="X1984" s="2" t="s">
        <v>235</v>
      </c>
      <c r="Y1984" s="2" t="s">
        <v>240</v>
      </c>
      <c r="Z1984" s="4">
        <v>655</v>
      </c>
      <c r="AA1984" s="4">
        <f>=ROUNDDOWN(28.4782608695652,0)</f>
      </c>
      <c r="AB1984" s="5">
        <v>23</v>
      </c>
      <c r="AC1984" s="2" t="s">
        <v>883</v>
      </c>
      <c r="AD1984" s="4">
        <v>132</v>
      </c>
      <c r="AE1984" s="4">
        <v>132</v>
      </c>
      <c r="AF1984" s="6">
        <v>65</v>
      </c>
      <c r="AG1984" s="6"/>
      <c r="AH1984" s="7">
        <v>0.5161</v>
      </c>
      <c r="AI1984" s="4"/>
      <c r="AJ1984" s="4">
        <f>=ROUNDDOWN({0},0)</f>
      </c>
      <c r="AK1984" s="5"/>
      <c r="AL1984" s="2" t="s">
        <v>235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235</v>
      </c>
      <c r="AW1984" s="8" t="s">
        <v>235</v>
      </c>
      <c r="AX1984" s="4" t="s">
        <v>235</v>
      </c>
      <c r="AY1984" s="8" t="s">
        <v>235</v>
      </c>
      <c r="AZ1984" s="7" t="s">
        <v>235</v>
      </c>
      <c r="BA1984" s="7" t="s">
        <v>235</v>
      </c>
      <c r="BB1984" s="7"/>
      <c r="BC1984" s="4" t="s">
        <v>235</v>
      </c>
      <c r="BD1984" s="8" t="s">
        <v>235</v>
      </c>
      <c r="BE1984" s="4" t="s">
        <v>235</v>
      </c>
      <c r="BF1984" s="8" t="s">
        <v>235</v>
      </c>
      <c r="BG1984" s="7" t="s">
        <v>235</v>
      </c>
      <c r="BH1984" s="7" t="s">
        <v>235</v>
      </c>
      <c r="BI1984" s="7"/>
      <c r="BJ1984" s="4">
        <v>5</v>
      </c>
      <c r="BK1984" s="8">
        <v>166.09</v>
      </c>
      <c r="BL1984" s="2" t="s">
        <v>7167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7121</v>
      </c>
      <c r="BV1984" s="2" t="s">
        <v>243</v>
      </c>
      <c r="BW1984" s="2" t="s">
        <v>235</v>
      </c>
      <c r="BX1984" s="2" t="s">
        <v>244</v>
      </c>
      <c r="BY1984" s="2" t="s">
        <v>245</v>
      </c>
      <c r="BZ1984" s="2" t="s">
        <v>232</v>
      </c>
      <c r="CA1984" s="2" t="s">
        <v>2044</v>
      </c>
      <c r="CB1984" s="2" t="s">
        <v>7168</v>
      </c>
      <c r="CC1984" s="2" t="s">
        <v>248</v>
      </c>
      <c r="CD1984" s="2" t="s">
        <v>248</v>
      </c>
      <c r="CE1984" s="2" t="s">
        <v>235</v>
      </c>
      <c r="CF1984" s="4">
        <v>655</v>
      </c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>
        <v>132</v>
      </c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>
        <v>655</v>
      </c>
      <c r="GE1984" s="4">
        <v>747</v>
      </c>
      <c r="GF1984" s="4">
        <v>722</v>
      </c>
      <c r="GG1984" s="4">
        <v>695</v>
      </c>
      <c r="GH1984" s="4">
        <v>670</v>
      </c>
      <c r="GI1984" s="4">
        <v>633</v>
      </c>
      <c r="GJ1984" s="4">
        <v>587</v>
      </c>
      <c r="GK1984" s="4">
        <v>548</v>
      </c>
      <c r="GL1984" s="4">
        <v>500</v>
      </c>
      <c r="GM1984" s="4">
        <v>459</v>
      </c>
      <c r="GN1984" s="4">
        <v>432</v>
      </c>
      <c r="GO1984" s="4">
        <v>399</v>
      </c>
      <c r="GP1984" s="4">
        <v>368</v>
      </c>
      <c r="GQ1984" s="4">
        <v>308</v>
      </c>
      <c r="GR1984" s="4">
        <v>275</v>
      </c>
      <c r="GS1984" s="4">
        <v>241</v>
      </c>
      <c r="GT1984" s="4">
        <v>223</v>
      </c>
      <c r="GU1984" s="4">
        <v>212</v>
      </c>
      <c r="GV1984" s="4">
        <v>202</v>
      </c>
      <c r="GW1984" s="4">
        <v>192</v>
      </c>
      <c r="GX1984" s="4">
        <v>181</v>
      </c>
      <c r="GY1984" s="4">
        <v>172</v>
      </c>
      <c r="GZ1984" s="4">
        <v>164</v>
      </c>
      <c r="HA1984" s="4">
        <v>155</v>
      </c>
      <c r="HB1984" s="4">
        <v>149</v>
      </c>
      <c r="HC1984" s="4">
        <v>143</v>
      </c>
      <c r="HD1984" s="19">
        <v>22.6</v>
      </c>
      <c r="HE1984" s="19">
        <v>26.7</v>
      </c>
      <c r="HF1984" s="19">
        <v>21.2</v>
      </c>
      <c r="HG1984" s="19">
        <v>18.8</v>
      </c>
      <c r="HH1984" s="19">
        <v>16</v>
      </c>
      <c r="HI1984" s="19">
        <v>14.4</v>
      </c>
      <c r="HJ1984" s="19">
        <v>15.1</v>
      </c>
      <c r="HK1984" s="19">
        <v>14.8</v>
      </c>
      <c r="HL1984" s="19">
        <v>15.2</v>
      </c>
      <c r="HM1984" s="19">
        <v>12.1</v>
      </c>
      <c r="HN1984" s="19">
        <v>11.1</v>
      </c>
      <c r="HO1984" s="19">
        <v>10</v>
      </c>
      <c r="HP1984" s="19">
        <v>10.2</v>
      </c>
      <c r="HQ1984" s="19">
        <v>12.8</v>
      </c>
      <c r="HR1984" s="19">
        <v>15.3</v>
      </c>
      <c r="HS1984" s="19">
        <v>20.1</v>
      </c>
      <c r="HT1984" s="19">
        <v>22.3</v>
      </c>
      <c r="HU1984" s="19">
        <v>21.2</v>
      </c>
      <c r="HV1984" s="19">
        <v>20.2</v>
      </c>
      <c r="HW1984" s="19">
        <v>21.3</v>
      </c>
      <c r="HX1984" s="19">
        <v>22.6</v>
      </c>
      <c r="HY1984" s="19">
        <v>24.6</v>
      </c>
      <c r="HZ1984" s="19">
        <v>23.4</v>
      </c>
      <c r="IA1984" s="19">
        <v>25.8</v>
      </c>
      <c r="IB1984" s="19">
        <v>24.8</v>
      </c>
      <c r="IC1984" s="19">
        <v>23.8</v>
      </c>
    </row>
    <row r="1985">
      <c r="A1985" s="2" t="s">
        <v>7169</v>
      </c>
      <c r="B1985" s="2" t="s">
        <v>323</v>
      </c>
      <c r="C1985" s="2" t="s">
        <v>1036</v>
      </c>
      <c r="D1985" s="2" t="s">
        <v>257</v>
      </c>
      <c r="E1985" s="2" t="s">
        <v>258</v>
      </c>
      <c r="F1985" s="2" t="s">
        <v>7117</v>
      </c>
      <c r="G1985" s="2" t="s">
        <v>7117</v>
      </c>
      <c r="H1985" s="2" t="s">
        <v>7117</v>
      </c>
      <c r="I1985" s="2" t="s">
        <v>7118</v>
      </c>
      <c r="J1985" s="2" t="s">
        <v>394</v>
      </c>
      <c r="K1985" s="2" t="s">
        <v>2029</v>
      </c>
      <c r="L1985" s="3">
        <v>22</v>
      </c>
      <c r="M1985" s="3">
        <v>23.1</v>
      </c>
      <c r="N1985" s="3">
        <v>48.99</v>
      </c>
      <c r="O1985" s="2" t="s">
        <v>232</v>
      </c>
      <c r="P1985" s="2" t="s">
        <v>233</v>
      </c>
      <c r="Q1985" s="2" t="s">
        <v>234</v>
      </c>
      <c r="R1985" s="2" t="s">
        <v>235</v>
      </c>
      <c r="S1985" s="2" t="s">
        <v>7170</v>
      </c>
      <c r="T1985" s="2" t="s">
        <v>2295</v>
      </c>
      <c r="U1985" s="2" t="s">
        <v>552</v>
      </c>
      <c r="V1985" s="2" t="s">
        <v>238</v>
      </c>
      <c r="W1985" s="2" t="s">
        <v>239</v>
      </c>
      <c r="X1985" s="2" t="s">
        <v>235</v>
      </c>
      <c r="Y1985" s="2" t="s">
        <v>3476</v>
      </c>
      <c r="Z1985" s="4">
        <v>288</v>
      </c>
      <c r="AA1985" s="4">
        <f>=ROUNDDOWN(28.8,0)</f>
      </c>
      <c r="AB1985" s="5">
        <v>10</v>
      </c>
      <c r="AC1985" s="2" t="s">
        <v>883</v>
      </c>
      <c r="AD1985" s="4">
        <v>71</v>
      </c>
      <c r="AE1985" s="4">
        <v>71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235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235</v>
      </c>
      <c r="AW1985" s="8" t="s">
        <v>235</v>
      </c>
      <c r="AX1985" s="4" t="s">
        <v>235</v>
      </c>
      <c r="AY1985" s="8" t="s">
        <v>235</v>
      </c>
      <c r="AZ1985" s="7" t="s">
        <v>235</v>
      </c>
      <c r="BA1985" s="7" t="s">
        <v>235</v>
      </c>
      <c r="BB1985" s="7"/>
      <c r="BC1985" s="4" t="s">
        <v>235</v>
      </c>
      <c r="BD1985" s="8" t="s">
        <v>235</v>
      </c>
      <c r="BE1985" s="4" t="s">
        <v>235</v>
      </c>
      <c r="BF1985" s="8" t="s">
        <v>235</v>
      </c>
      <c r="BG1985" s="7" t="s">
        <v>235</v>
      </c>
      <c r="BH1985" s="7" t="s">
        <v>235</v>
      </c>
      <c r="BI1985" s="7"/>
      <c r="BJ1985" s="4"/>
      <c r="BK1985" s="8"/>
      <c r="BL1985" s="2" t="s">
        <v>235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7121</v>
      </c>
      <c r="BV1985" s="2" t="s">
        <v>243</v>
      </c>
      <c r="BW1985" s="2" t="s">
        <v>235</v>
      </c>
      <c r="BX1985" s="2" t="s">
        <v>244</v>
      </c>
      <c r="BY1985" s="2" t="s">
        <v>245</v>
      </c>
      <c r="BZ1985" s="2" t="s">
        <v>232</v>
      </c>
      <c r="CA1985" s="2" t="s">
        <v>3581</v>
      </c>
      <c r="CB1985" s="2" t="s">
        <v>235</v>
      </c>
      <c r="CC1985" s="2" t="s">
        <v>248</v>
      </c>
      <c r="CD1985" s="2" t="s">
        <v>248</v>
      </c>
      <c r="CE1985" s="2" t="s">
        <v>235</v>
      </c>
      <c r="CF1985" s="4">
        <v>259</v>
      </c>
      <c r="CG1985" s="4">
        <v>29</v>
      </c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>
        <v>71</v>
      </c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>
        <v>289</v>
      </c>
      <c r="GE1985" s="4">
        <v>318</v>
      </c>
      <c r="GF1985" s="4">
        <v>307</v>
      </c>
      <c r="GG1985" s="4">
        <v>295</v>
      </c>
      <c r="GH1985" s="4">
        <v>284</v>
      </c>
      <c r="GI1985" s="4">
        <v>269</v>
      </c>
      <c r="GJ1985" s="4">
        <v>250</v>
      </c>
      <c r="GK1985" s="4">
        <v>233</v>
      </c>
      <c r="GL1985" s="4">
        <v>213</v>
      </c>
      <c r="GM1985" s="4">
        <v>196</v>
      </c>
      <c r="GN1985" s="4">
        <v>183</v>
      </c>
      <c r="GO1985" s="4">
        <v>168</v>
      </c>
      <c r="GP1985" s="4">
        <v>153</v>
      </c>
      <c r="GQ1985" s="4">
        <v>121</v>
      </c>
      <c r="GR1985" s="4">
        <v>109</v>
      </c>
      <c r="GS1985" s="4">
        <v>95</v>
      </c>
      <c r="GT1985" s="4">
        <v>86</v>
      </c>
      <c r="GU1985" s="4">
        <v>80</v>
      </c>
      <c r="GV1985" s="4">
        <v>75</v>
      </c>
      <c r="GW1985" s="4">
        <v>138</v>
      </c>
      <c r="GX1985" s="4">
        <v>133</v>
      </c>
      <c r="GY1985" s="4">
        <v>129</v>
      </c>
      <c r="GZ1985" s="4">
        <v>126</v>
      </c>
      <c r="HA1985" s="4">
        <v>122</v>
      </c>
      <c r="HB1985" s="4">
        <v>119</v>
      </c>
      <c r="HC1985" s="4">
        <v>116</v>
      </c>
      <c r="HD1985" s="19">
        <v>15.2</v>
      </c>
      <c r="HE1985" s="19">
        <v>26.5</v>
      </c>
      <c r="HF1985" s="19">
        <v>21.9</v>
      </c>
      <c r="HG1985" s="19">
        <v>18.4</v>
      </c>
      <c r="HH1985" s="19">
        <v>15.8</v>
      </c>
      <c r="HI1985" s="19">
        <v>14.9</v>
      </c>
      <c r="HJ1985" s="19">
        <v>14.7</v>
      </c>
      <c r="HK1985" s="19">
        <v>14.6</v>
      </c>
      <c r="HL1985" s="19">
        <v>14.2</v>
      </c>
      <c r="HM1985" s="19">
        <v>10.3</v>
      </c>
      <c r="HN1985" s="19">
        <v>10.2</v>
      </c>
      <c r="HO1985" s="19">
        <v>9.3</v>
      </c>
      <c r="HP1985" s="19">
        <v>9</v>
      </c>
      <c r="HQ1985" s="19">
        <v>12.1</v>
      </c>
      <c r="HR1985" s="19">
        <v>13.6</v>
      </c>
      <c r="HS1985" s="19">
        <v>15.8</v>
      </c>
      <c r="HT1985" s="19">
        <v>17.2</v>
      </c>
      <c r="HU1985" s="19">
        <v>16</v>
      </c>
      <c r="HV1985" s="19">
        <v>18.8</v>
      </c>
      <c r="HW1985" s="19">
        <v>34.5</v>
      </c>
      <c r="HX1985" s="19">
        <v>33.3</v>
      </c>
      <c r="HY1985" s="19">
        <v>43</v>
      </c>
      <c r="HZ1985" s="19">
        <v>42</v>
      </c>
      <c r="IA1985" s="19">
        <v>40.7</v>
      </c>
      <c r="IB1985" s="19">
        <v>39.7</v>
      </c>
      <c r="IC1985" s="19">
        <v>38.7</v>
      </c>
    </row>
    <row r="1986">
      <c r="A1986" s="2" t="s">
        <v>7171</v>
      </c>
      <c r="B1986" s="2" t="s">
        <v>323</v>
      </c>
      <c r="C1986" s="2" t="s">
        <v>1036</v>
      </c>
      <c r="D1986" s="2" t="s">
        <v>257</v>
      </c>
      <c r="E1986" s="2" t="s">
        <v>258</v>
      </c>
      <c r="F1986" s="2" t="s">
        <v>7117</v>
      </c>
      <c r="G1986" s="2" t="s">
        <v>7117</v>
      </c>
      <c r="H1986" s="2" t="s">
        <v>7117</v>
      </c>
      <c r="I1986" s="2" t="s">
        <v>7118</v>
      </c>
      <c r="J1986" s="2" t="s">
        <v>250</v>
      </c>
      <c r="K1986" s="2" t="s">
        <v>2029</v>
      </c>
      <c r="L1986" s="3">
        <v>28.08</v>
      </c>
      <c r="M1986" s="3">
        <v>29.48</v>
      </c>
      <c r="N1986" s="3">
        <v>59.99</v>
      </c>
      <c r="O1986" s="2" t="s">
        <v>232</v>
      </c>
      <c r="P1986" s="2" t="s">
        <v>233</v>
      </c>
      <c r="Q1986" s="2" t="s">
        <v>234</v>
      </c>
      <c r="R1986" s="2" t="s">
        <v>235</v>
      </c>
      <c r="S1986" s="2" t="s">
        <v>7170</v>
      </c>
      <c r="T1986" s="2" t="s">
        <v>2295</v>
      </c>
      <c r="U1986" s="2" t="s">
        <v>264</v>
      </c>
      <c r="V1986" s="2" t="s">
        <v>238</v>
      </c>
      <c r="W1986" s="2" t="s">
        <v>239</v>
      </c>
      <c r="X1986" s="2" t="s">
        <v>235</v>
      </c>
      <c r="Y1986" s="2" t="s">
        <v>3476</v>
      </c>
      <c r="Z1986" s="4">
        <v>334</v>
      </c>
      <c r="AA1986" s="4">
        <f>=ROUNDDOWN(25.6923076923077,0)</f>
      </c>
      <c r="AB1986" s="5">
        <v>13</v>
      </c>
      <c r="AC1986" s="2" t="s">
        <v>883</v>
      </c>
      <c r="AD1986" s="4">
        <v>89</v>
      </c>
      <c r="AE1986" s="4">
        <v>89</v>
      </c>
      <c r="AF1986" s="6">
        <v>65</v>
      </c>
      <c r="AG1986" s="6"/>
      <c r="AH1986" s="7">
        <v>0.4194</v>
      </c>
      <c r="AI1986" s="4"/>
      <c r="AJ1986" s="4">
        <f>=ROUNDDOWN({0},0)</f>
      </c>
      <c r="AK1986" s="5"/>
      <c r="AL1986" s="2" t="s">
        <v>235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235</v>
      </c>
      <c r="AW1986" s="8" t="s">
        <v>235</v>
      </c>
      <c r="AX1986" s="4" t="s">
        <v>235</v>
      </c>
      <c r="AY1986" s="8" t="s">
        <v>235</v>
      </c>
      <c r="AZ1986" s="7" t="s">
        <v>235</v>
      </c>
      <c r="BA1986" s="7" t="s">
        <v>235</v>
      </c>
      <c r="BB1986" s="7"/>
      <c r="BC1986" s="4" t="s">
        <v>235</v>
      </c>
      <c r="BD1986" s="8" t="s">
        <v>235</v>
      </c>
      <c r="BE1986" s="4" t="s">
        <v>235</v>
      </c>
      <c r="BF1986" s="8" t="s">
        <v>235</v>
      </c>
      <c r="BG1986" s="7" t="s">
        <v>235</v>
      </c>
      <c r="BH1986" s="7" t="s">
        <v>235</v>
      </c>
      <c r="BI1986" s="7"/>
      <c r="BJ1986" s="4">
        <v>2</v>
      </c>
      <c r="BK1986" s="8">
        <v>63.44</v>
      </c>
      <c r="BL1986" s="2" t="s">
        <v>1226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7121</v>
      </c>
      <c r="BV1986" s="2" t="s">
        <v>243</v>
      </c>
      <c r="BW1986" s="2" t="s">
        <v>235</v>
      </c>
      <c r="BX1986" s="2" t="s">
        <v>244</v>
      </c>
      <c r="BY1986" s="2" t="s">
        <v>245</v>
      </c>
      <c r="BZ1986" s="2" t="s">
        <v>232</v>
      </c>
      <c r="CA1986" s="2" t="s">
        <v>3090</v>
      </c>
      <c r="CB1986" s="2" t="s">
        <v>1235</v>
      </c>
      <c r="CC1986" s="2" t="s">
        <v>248</v>
      </c>
      <c r="CD1986" s="2" t="s">
        <v>248</v>
      </c>
      <c r="CE1986" s="2" t="s">
        <v>235</v>
      </c>
      <c r="CF1986" s="4">
        <v>334</v>
      </c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>
        <v>89</v>
      </c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>
        <v>342</v>
      </c>
      <c r="GE1986" s="4">
        <v>406</v>
      </c>
      <c r="GF1986" s="4">
        <v>392</v>
      </c>
      <c r="GG1986" s="4">
        <v>377</v>
      </c>
      <c r="GH1986" s="4">
        <v>363</v>
      </c>
      <c r="GI1986" s="4">
        <v>344</v>
      </c>
      <c r="GJ1986" s="4">
        <v>319</v>
      </c>
      <c r="GK1986" s="4">
        <v>298</v>
      </c>
      <c r="GL1986" s="4">
        <v>272</v>
      </c>
      <c r="GM1986" s="4">
        <v>250</v>
      </c>
      <c r="GN1986" s="4">
        <v>234</v>
      </c>
      <c r="GO1986" s="4">
        <v>214</v>
      </c>
      <c r="GP1986" s="4">
        <v>194</v>
      </c>
      <c r="GQ1986" s="4">
        <v>153</v>
      </c>
      <c r="GR1986" s="4">
        <v>131</v>
      </c>
      <c r="GS1986" s="4">
        <v>108</v>
      </c>
      <c r="GT1986" s="4">
        <v>95</v>
      </c>
      <c r="GU1986" s="4">
        <v>88</v>
      </c>
      <c r="GV1986" s="4">
        <v>82</v>
      </c>
      <c r="GW1986" s="4">
        <v>152</v>
      </c>
      <c r="GX1986" s="4">
        <v>145</v>
      </c>
      <c r="GY1986" s="4">
        <v>140</v>
      </c>
      <c r="GZ1986" s="4">
        <v>135</v>
      </c>
      <c r="HA1986" s="4">
        <v>129</v>
      </c>
      <c r="HB1986" s="4">
        <v>125</v>
      </c>
      <c r="HC1986" s="4">
        <v>121</v>
      </c>
      <c r="HD1986" s="19">
        <v>20.1</v>
      </c>
      <c r="HE1986" s="19">
        <v>25.4</v>
      </c>
      <c r="HF1986" s="19">
        <v>21.8</v>
      </c>
      <c r="HG1986" s="19">
        <v>18.9</v>
      </c>
      <c r="HH1986" s="19">
        <v>15.8</v>
      </c>
      <c r="HI1986" s="19">
        <v>14.3</v>
      </c>
      <c r="HJ1986" s="19">
        <v>15.2</v>
      </c>
      <c r="HK1986" s="19">
        <v>14.2</v>
      </c>
      <c r="HL1986" s="19">
        <v>13.6</v>
      </c>
      <c r="HM1986" s="19">
        <v>10.4</v>
      </c>
      <c r="HN1986" s="19">
        <v>9</v>
      </c>
      <c r="HO1986" s="19">
        <v>8.2</v>
      </c>
      <c r="HP1986" s="19">
        <v>7.8</v>
      </c>
      <c r="HQ1986" s="19">
        <v>9.6</v>
      </c>
      <c r="HR1986" s="19">
        <v>10.9</v>
      </c>
      <c r="HS1986" s="19">
        <v>13.5</v>
      </c>
      <c r="HT1986" s="19">
        <v>15.8</v>
      </c>
      <c r="HU1986" s="19">
        <v>14.7</v>
      </c>
      <c r="HV1986" s="19">
        <v>13.7</v>
      </c>
      <c r="HW1986" s="19">
        <v>25.3</v>
      </c>
      <c r="HX1986" s="19">
        <v>29</v>
      </c>
      <c r="HY1986" s="19">
        <v>28</v>
      </c>
      <c r="HZ1986" s="19">
        <v>33.8</v>
      </c>
      <c r="IA1986" s="19">
        <v>32.3</v>
      </c>
      <c r="IB1986" s="19">
        <v>31.3</v>
      </c>
      <c r="IC1986" s="19">
        <v>30.3</v>
      </c>
    </row>
    <row r="1987">
      <c r="A1987" s="2" t="s">
        <v>7172</v>
      </c>
      <c r="B1987" s="2" t="s">
        <v>323</v>
      </c>
      <c r="C1987" s="2" t="s">
        <v>1036</v>
      </c>
      <c r="D1987" s="2" t="s">
        <v>257</v>
      </c>
      <c r="E1987" s="2" t="s">
        <v>258</v>
      </c>
      <c r="F1987" s="2" t="s">
        <v>7117</v>
      </c>
      <c r="G1987" s="2" t="s">
        <v>7117</v>
      </c>
      <c r="H1987" s="2" t="s">
        <v>7117</v>
      </c>
      <c r="I1987" s="2" t="s">
        <v>7118</v>
      </c>
      <c r="J1987" s="2" t="s">
        <v>270</v>
      </c>
      <c r="K1987" s="2" t="s">
        <v>2029</v>
      </c>
      <c r="L1987" s="3">
        <v>38.08</v>
      </c>
      <c r="M1987" s="3">
        <v>39.98</v>
      </c>
      <c r="N1987" s="3">
        <v>84.99</v>
      </c>
      <c r="O1987" s="2" t="s">
        <v>232</v>
      </c>
      <c r="P1987" s="2" t="s">
        <v>233</v>
      </c>
      <c r="Q1987" s="2" t="s">
        <v>234</v>
      </c>
      <c r="R1987" s="2" t="s">
        <v>235</v>
      </c>
      <c r="S1987" s="2" t="s">
        <v>7170</v>
      </c>
      <c r="T1987" s="2" t="s">
        <v>2295</v>
      </c>
      <c r="U1987" s="2" t="s">
        <v>264</v>
      </c>
      <c r="V1987" s="2" t="s">
        <v>238</v>
      </c>
      <c r="W1987" s="2" t="s">
        <v>239</v>
      </c>
      <c r="X1987" s="2" t="s">
        <v>235</v>
      </c>
      <c r="Y1987" s="2" t="s">
        <v>3476</v>
      </c>
      <c r="Z1987" s="4">
        <v>429</v>
      </c>
      <c r="AA1987" s="4">
        <f>=ROUNDDOWN(21.45,0)</f>
      </c>
      <c r="AB1987" s="5">
        <v>20</v>
      </c>
      <c r="AC1987" s="2" t="s">
        <v>883</v>
      </c>
      <c r="AD1987" s="4">
        <v>130</v>
      </c>
      <c r="AE1987" s="4">
        <v>130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235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235</v>
      </c>
      <c r="AW1987" s="8" t="s">
        <v>235</v>
      </c>
      <c r="AX1987" s="4" t="s">
        <v>235</v>
      </c>
      <c r="AY1987" s="8" t="s">
        <v>235</v>
      </c>
      <c r="AZ1987" s="7" t="s">
        <v>235</v>
      </c>
      <c r="BA1987" s="7" t="s">
        <v>235</v>
      </c>
      <c r="BB1987" s="7"/>
      <c r="BC1987" s="4" t="s">
        <v>235</v>
      </c>
      <c r="BD1987" s="8" t="s">
        <v>235</v>
      </c>
      <c r="BE1987" s="4" t="s">
        <v>235</v>
      </c>
      <c r="BF1987" s="8" t="s">
        <v>235</v>
      </c>
      <c r="BG1987" s="7" t="s">
        <v>235</v>
      </c>
      <c r="BH1987" s="7" t="s">
        <v>235</v>
      </c>
      <c r="BI1987" s="7"/>
      <c r="BJ1987" s="4">
        <v>9</v>
      </c>
      <c r="BK1987" s="8">
        <v>379.62</v>
      </c>
      <c r="BL1987" s="2" t="s">
        <v>592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7121</v>
      </c>
      <c r="BV1987" s="2" t="s">
        <v>243</v>
      </c>
      <c r="BW1987" s="2" t="s">
        <v>235</v>
      </c>
      <c r="BX1987" s="2" t="s">
        <v>244</v>
      </c>
      <c r="BY1987" s="2" t="s">
        <v>245</v>
      </c>
      <c r="BZ1987" s="2" t="s">
        <v>232</v>
      </c>
      <c r="CA1987" s="2" t="s">
        <v>3581</v>
      </c>
      <c r="CB1987" s="2" t="s">
        <v>2986</v>
      </c>
      <c r="CC1987" s="2" t="s">
        <v>248</v>
      </c>
      <c r="CD1987" s="2" t="s">
        <v>248</v>
      </c>
      <c r="CE1987" s="2" t="s">
        <v>235</v>
      </c>
      <c r="CF1987" s="4">
        <v>394</v>
      </c>
      <c r="CG1987" s="4">
        <v>35</v>
      </c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>
        <v>130</v>
      </c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>
        <v>429</v>
      </c>
      <c r="GE1987" s="4">
        <v>507</v>
      </c>
      <c r="GF1987" s="4">
        <v>486</v>
      </c>
      <c r="GG1987" s="4">
        <v>468</v>
      </c>
      <c r="GH1987" s="4">
        <v>451</v>
      </c>
      <c r="GI1987" s="4">
        <v>429</v>
      </c>
      <c r="GJ1987" s="4">
        <v>399</v>
      </c>
      <c r="GK1987" s="4">
        <v>372</v>
      </c>
      <c r="GL1987" s="4">
        <v>341</v>
      </c>
      <c r="GM1987" s="4">
        <v>315</v>
      </c>
      <c r="GN1987" s="4">
        <v>291</v>
      </c>
      <c r="GO1987" s="4">
        <v>258</v>
      </c>
      <c r="GP1987" s="4">
        <v>225</v>
      </c>
      <c r="GQ1987" s="4">
        <v>151</v>
      </c>
      <c r="GR1987" s="4">
        <v>114</v>
      </c>
      <c r="GS1987" s="4">
        <v>71</v>
      </c>
      <c r="GT1987" s="4">
        <v>51</v>
      </c>
      <c r="GU1987" s="4">
        <v>42</v>
      </c>
      <c r="GV1987" s="4">
        <v>33</v>
      </c>
      <c r="GW1987" s="4">
        <v>224</v>
      </c>
      <c r="GX1987" s="4">
        <v>214</v>
      </c>
      <c r="GY1987" s="4">
        <v>208</v>
      </c>
      <c r="GZ1987" s="4">
        <v>203</v>
      </c>
      <c r="HA1987" s="4">
        <v>196</v>
      </c>
      <c r="HB1987" s="4">
        <v>189</v>
      </c>
      <c r="HC1987" s="4">
        <v>182</v>
      </c>
      <c r="HD1987" s="19">
        <v>15.9</v>
      </c>
      <c r="HE1987" s="19">
        <v>25.4</v>
      </c>
      <c r="HF1987" s="19">
        <v>22.1</v>
      </c>
      <c r="HG1987" s="19">
        <v>19.5</v>
      </c>
      <c r="HH1987" s="19">
        <v>16.1</v>
      </c>
      <c r="HI1987" s="19">
        <v>15.3</v>
      </c>
      <c r="HJ1987" s="19">
        <v>14.8</v>
      </c>
      <c r="HK1987" s="19">
        <v>13.3</v>
      </c>
      <c r="HL1987" s="19">
        <v>11.8</v>
      </c>
      <c r="HM1987" s="19">
        <v>7.7</v>
      </c>
      <c r="HN1987" s="19">
        <v>6.6</v>
      </c>
      <c r="HO1987" s="19">
        <v>5.5</v>
      </c>
      <c r="HP1987" s="19">
        <v>5.1</v>
      </c>
      <c r="HQ1987" s="19">
        <v>5.6</v>
      </c>
      <c r="HR1987" s="19">
        <v>5.7</v>
      </c>
      <c r="HS1987" s="19">
        <v>6.5</v>
      </c>
      <c r="HT1987" s="19">
        <v>5.7</v>
      </c>
      <c r="HU1987" s="19">
        <v>5.3</v>
      </c>
      <c r="HV1987" s="19">
        <v>4.7</v>
      </c>
      <c r="HW1987" s="19">
        <v>32</v>
      </c>
      <c r="HX1987" s="19">
        <v>35.7</v>
      </c>
      <c r="HY1987" s="19">
        <v>34.7</v>
      </c>
      <c r="HZ1987" s="19">
        <v>29</v>
      </c>
      <c r="IA1987" s="19">
        <v>28</v>
      </c>
      <c r="IB1987" s="19">
        <v>27</v>
      </c>
      <c r="IC1987" s="19">
        <v>26</v>
      </c>
    </row>
    <row r="1988">
      <c r="A1988" s="2" t="s">
        <v>7173</v>
      </c>
      <c r="B1988" s="2" t="s">
        <v>852</v>
      </c>
      <c r="C1988" s="2" t="s">
        <v>853</v>
      </c>
      <c r="D1988" s="2" t="s">
        <v>854</v>
      </c>
      <c r="E1988" s="2" t="s">
        <v>855</v>
      </c>
      <c r="F1988" s="2" t="s">
        <v>2737</v>
      </c>
      <c r="G1988" s="2" t="s">
        <v>7174</v>
      </c>
      <c r="H1988" s="2" t="s">
        <v>7175</v>
      </c>
      <c r="I1988" s="2" t="s">
        <v>7176</v>
      </c>
      <c r="J1988" s="2" t="s">
        <v>1237</v>
      </c>
      <c r="K1988" s="2" t="s">
        <v>378</v>
      </c>
      <c r="L1988" s="3">
        <v>13.18</v>
      </c>
      <c r="M1988" s="3">
        <v>13.84</v>
      </c>
      <c r="N1988" s="3">
        <v>34.99</v>
      </c>
      <c r="O1988" s="2" t="s">
        <v>232</v>
      </c>
      <c r="P1988" s="2" t="s">
        <v>233</v>
      </c>
      <c r="Q1988" s="2" t="s">
        <v>234</v>
      </c>
      <c r="R1988" s="2" t="s">
        <v>235</v>
      </c>
      <c r="S1988" s="2" t="s">
        <v>7177</v>
      </c>
      <c r="T1988" s="2" t="s">
        <v>235</v>
      </c>
      <c r="U1988" s="2" t="s">
        <v>807</v>
      </c>
      <c r="V1988" s="2" t="s">
        <v>2159</v>
      </c>
      <c r="W1988" s="2" t="s">
        <v>239</v>
      </c>
      <c r="X1988" s="2" t="s">
        <v>1242</v>
      </c>
      <c r="Y1988" s="2" t="s">
        <v>7178</v>
      </c>
      <c r="Z1988" s="4">
        <v>250</v>
      </c>
      <c r="AA1988" s="4">
        <f>=ROUNDDOWN(22.7272727272727,0)</f>
      </c>
      <c r="AB1988" s="5">
        <v>11</v>
      </c>
      <c r="AC1988" s="2" t="s">
        <v>235</v>
      </c>
      <c r="AD1988" s="4"/>
      <c r="AE1988" s="4"/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235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/>
      <c r="BD1988" s="8"/>
      <c r="BE1988" s="4"/>
      <c r="BF1988" s="8"/>
      <c r="BG1988" s="7"/>
      <c r="BH1988" s="7"/>
      <c r="BI1988" s="7"/>
      <c r="BJ1988" s="4">
        <v>65</v>
      </c>
      <c r="BK1988" s="8">
        <v>918.83</v>
      </c>
      <c r="BL1988" s="2" t="s">
        <v>7179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7180</v>
      </c>
      <c r="BV1988" s="2" t="s">
        <v>867</v>
      </c>
      <c r="BW1988" s="2" t="s">
        <v>235</v>
      </c>
      <c r="BX1988" s="2" t="s">
        <v>244</v>
      </c>
      <c r="BY1988" s="2" t="s">
        <v>245</v>
      </c>
      <c r="BZ1988" s="2" t="s">
        <v>232</v>
      </c>
      <c r="CA1988" s="2" t="s">
        <v>7181</v>
      </c>
      <c r="CB1988" s="2" t="s">
        <v>3140</v>
      </c>
      <c r="CC1988" s="2" t="s">
        <v>248</v>
      </c>
      <c r="CD1988" s="2" t="s">
        <v>248</v>
      </c>
      <c r="CE1988" s="2" t="s">
        <v>235</v>
      </c>
      <c r="CF1988" s="4">
        <v>250</v>
      </c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>
        <v>250</v>
      </c>
      <c r="GE1988" s="4">
        <v>193</v>
      </c>
      <c r="GF1988" s="4">
        <v>182</v>
      </c>
      <c r="GG1988" s="4">
        <v>170</v>
      </c>
      <c r="GH1988" s="4">
        <v>156</v>
      </c>
      <c r="GI1988" s="4">
        <v>144</v>
      </c>
      <c r="GJ1988" s="4">
        <v>128</v>
      </c>
      <c r="GK1988" s="4">
        <v>117</v>
      </c>
      <c r="GL1988" s="4">
        <v>105</v>
      </c>
      <c r="GM1988" s="4">
        <v>94</v>
      </c>
      <c r="GN1988" s="4">
        <v>82</v>
      </c>
      <c r="GO1988" s="4">
        <v>69</v>
      </c>
      <c r="GP1988" s="4">
        <v>57</v>
      </c>
      <c r="GQ1988" s="4">
        <v>43</v>
      </c>
      <c r="GR1988" s="4">
        <v>32</v>
      </c>
      <c r="GS1988" s="4">
        <v>20</v>
      </c>
      <c r="GT1988" s="4">
        <v>9</v>
      </c>
      <c r="GU1988" s="4"/>
      <c r="GV1988" s="4"/>
      <c r="GW1988" s="4">
        <v>408</v>
      </c>
      <c r="GX1988" s="4">
        <v>380</v>
      </c>
      <c r="GY1988" s="4">
        <v>369</v>
      </c>
      <c r="GZ1988" s="4">
        <v>358</v>
      </c>
      <c r="HA1988" s="4">
        <v>347</v>
      </c>
      <c r="HB1988" s="4">
        <v>336</v>
      </c>
      <c r="HC1988" s="4">
        <v>324</v>
      </c>
      <c r="HD1988" s="19">
        <v>10.4</v>
      </c>
      <c r="HE1988" s="19">
        <v>16.1</v>
      </c>
      <c r="HF1988" s="19">
        <v>13</v>
      </c>
      <c r="HG1988" s="19">
        <v>13.1</v>
      </c>
      <c r="HH1988" s="19">
        <v>12</v>
      </c>
      <c r="HI1988" s="19">
        <v>12</v>
      </c>
      <c r="HJ1988" s="19">
        <v>10.7</v>
      </c>
      <c r="HK1988" s="19">
        <v>9.8</v>
      </c>
      <c r="HL1988" s="19">
        <v>8.8</v>
      </c>
      <c r="HM1988" s="19">
        <v>7.2</v>
      </c>
      <c r="HN1988" s="19">
        <v>6.8</v>
      </c>
      <c r="HO1988" s="19">
        <v>5.8</v>
      </c>
      <c r="HP1988" s="19">
        <v>4.8</v>
      </c>
      <c r="HQ1988" s="19">
        <v>3.9</v>
      </c>
      <c r="HR1988" s="19">
        <v>3.6</v>
      </c>
      <c r="HS1988" s="19">
        <v>2.9</v>
      </c>
      <c r="HT1988" s="19">
        <v>0.8</v>
      </c>
      <c r="HU1988" s="20">
        <v>0</v>
      </c>
      <c r="HV1988" s="20">
        <v>0</v>
      </c>
      <c r="HW1988" s="19">
        <v>27.2</v>
      </c>
      <c r="HX1988" s="19">
        <v>34.5</v>
      </c>
      <c r="HY1988" s="19">
        <v>33.5</v>
      </c>
      <c r="HZ1988" s="19">
        <v>32.5</v>
      </c>
      <c r="IA1988" s="19">
        <v>31.5</v>
      </c>
      <c r="IB1988" s="19">
        <v>30.5</v>
      </c>
      <c r="IC1988" s="19">
        <v>29.5</v>
      </c>
    </row>
    <row r="1989">
      <c r="A1989" s="2" t="s">
        <v>7182</v>
      </c>
      <c r="B1989" s="2" t="s">
        <v>1139</v>
      </c>
      <c r="C1989" s="2" t="s">
        <v>324</v>
      </c>
      <c r="D1989" s="2" t="s">
        <v>1140</v>
      </c>
      <c r="E1989" s="2" t="s">
        <v>1141</v>
      </c>
      <c r="F1989" s="2" t="s">
        <v>7183</v>
      </c>
      <c r="G1989" s="2" t="s">
        <v>7183</v>
      </c>
      <c r="H1989" s="2" t="s">
        <v>7183</v>
      </c>
      <c r="I1989" s="2" t="s">
        <v>7184</v>
      </c>
      <c r="J1989" s="2" t="s">
        <v>1317</v>
      </c>
      <c r="K1989" s="2" t="s">
        <v>338</v>
      </c>
      <c r="L1989" s="3">
        <v>20.37</v>
      </c>
      <c r="M1989" s="3">
        <v>21.39</v>
      </c>
      <c r="N1989" s="3">
        <v>44.99</v>
      </c>
      <c r="O1989" s="2" t="s">
        <v>232</v>
      </c>
      <c r="P1989" s="2" t="s">
        <v>336</v>
      </c>
      <c r="Q1989" s="2" t="s">
        <v>234</v>
      </c>
      <c r="R1989" s="2" t="s">
        <v>235</v>
      </c>
      <c r="S1989" s="2" t="s">
        <v>235</v>
      </c>
      <c r="T1989" s="2" t="s">
        <v>235</v>
      </c>
      <c r="U1989" s="2" t="s">
        <v>807</v>
      </c>
      <c r="V1989" s="2" t="s">
        <v>420</v>
      </c>
      <c r="W1989" s="2" t="s">
        <v>239</v>
      </c>
      <c r="X1989" s="2" t="s">
        <v>235</v>
      </c>
      <c r="Y1989" s="2" t="s">
        <v>7185</v>
      </c>
      <c r="Z1989" s="4">
        <v>126</v>
      </c>
      <c r="AA1989" s="4">
        <f>=ROUNDDOWN(78.75,0)</f>
      </c>
      <c r="AB1989" s="5">
        <v>1.6</v>
      </c>
      <c r="AC1989" s="2" t="s">
        <v>235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235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235</v>
      </c>
      <c r="AW1989" s="8" t="s">
        <v>235</v>
      </c>
      <c r="AX1989" s="4" t="s">
        <v>235</v>
      </c>
      <c r="AY1989" s="8" t="s">
        <v>235</v>
      </c>
      <c r="AZ1989" s="7" t="s">
        <v>235</v>
      </c>
      <c r="BA1989" s="7" t="s">
        <v>235</v>
      </c>
      <c r="BB1989" s="7"/>
      <c r="BC1989" s="4" t="s">
        <v>235</v>
      </c>
      <c r="BD1989" s="8" t="s">
        <v>235</v>
      </c>
      <c r="BE1989" s="4" t="s">
        <v>235</v>
      </c>
      <c r="BF1989" s="8" t="s">
        <v>235</v>
      </c>
      <c r="BG1989" s="7" t="s">
        <v>235</v>
      </c>
      <c r="BH1989" s="7" t="s">
        <v>235</v>
      </c>
      <c r="BI1989" s="7"/>
      <c r="BJ1989" s="4"/>
      <c r="BK1989" s="8"/>
      <c r="BL1989" s="2" t="s">
        <v>235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7186</v>
      </c>
      <c r="BV1989" s="2" t="s">
        <v>618</v>
      </c>
      <c r="BW1989" s="2" t="s">
        <v>235</v>
      </c>
      <c r="BX1989" s="2" t="s">
        <v>2712</v>
      </c>
      <c r="BY1989" s="2" t="s">
        <v>245</v>
      </c>
      <c r="BZ1989" s="2" t="s">
        <v>232</v>
      </c>
      <c r="CA1989" s="2" t="s">
        <v>1387</v>
      </c>
      <c r="CB1989" s="2" t="s">
        <v>1225</v>
      </c>
      <c r="CC1989" s="2" t="s">
        <v>248</v>
      </c>
      <c r="CD1989" s="2" t="s">
        <v>248</v>
      </c>
      <c r="CE1989" s="2" t="s">
        <v>235</v>
      </c>
      <c r="CF1989" s="4">
        <v>126</v>
      </c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>
        <v>126</v>
      </c>
      <c r="GE1989" s="4">
        <v>125</v>
      </c>
      <c r="GF1989" s="4">
        <v>124</v>
      </c>
      <c r="GG1989" s="4">
        <v>123</v>
      </c>
      <c r="GH1989" s="4">
        <v>122</v>
      </c>
      <c r="GI1989" s="4">
        <v>121</v>
      </c>
      <c r="GJ1989" s="4">
        <v>120</v>
      </c>
      <c r="GK1989" s="4">
        <v>119</v>
      </c>
      <c r="GL1989" s="4">
        <v>118</v>
      </c>
      <c r="GM1989" s="4">
        <v>117</v>
      </c>
      <c r="GN1989" s="4">
        <v>116</v>
      </c>
      <c r="GO1989" s="4">
        <v>115</v>
      </c>
      <c r="GP1989" s="4">
        <v>113</v>
      </c>
      <c r="GQ1989" s="4">
        <v>112</v>
      </c>
      <c r="GR1989" s="4">
        <v>110</v>
      </c>
      <c r="GS1989" s="4">
        <v>108</v>
      </c>
      <c r="GT1989" s="4">
        <v>106</v>
      </c>
      <c r="GU1989" s="4">
        <v>105</v>
      </c>
      <c r="GV1989" s="4">
        <v>104</v>
      </c>
      <c r="GW1989" s="4">
        <v>103</v>
      </c>
      <c r="GX1989" s="4">
        <v>102</v>
      </c>
      <c r="GY1989" s="4">
        <v>101</v>
      </c>
      <c r="GZ1989" s="4">
        <v>100</v>
      </c>
      <c r="HA1989" s="4">
        <v>99</v>
      </c>
      <c r="HB1989" s="4">
        <v>98</v>
      </c>
      <c r="HC1989" s="4">
        <v>97</v>
      </c>
      <c r="HD1989" s="19">
        <v>126</v>
      </c>
      <c r="HE1989" s="19">
        <v>125</v>
      </c>
      <c r="HF1989" s="19">
        <v>124</v>
      </c>
      <c r="HG1989" s="19">
        <v>123</v>
      </c>
      <c r="HH1989" s="19">
        <v>122</v>
      </c>
      <c r="HI1989" s="19">
        <v>121</v>
      </c>
      <c r="HJ1989" s="19">
        <v>120</v>
      </c>
      <c r="HK1989" s="19">
        <v>119</v>
      </c>
      <c r="HL1989" s="19">
        <v>118</v>
      </c>
      <c r="HM1989" s="19">
        <v>117</v>
      </c>
      <c r="HN1989" s="19">
        <v>58</v>
      </c>
      <c r="HO1989" s="19">
        <v>57.5</v>
      </c>
      <c r="HP1989" s="19">
        <v>56.5</v>
      </c>
      <c r="HQ1989" s="19">
        <v>56</v>
      </c>
      <c r="HR1989" s="19">
        <v>55</v>
      </c>
      <c r="HS1989" s="19">
        <v>108</v>
      </c>
      <c r="HT1989" s="19">
        <v>106</v>
      </c>
      <c r="HU1989" s="19">
        <v>105</v>
      </c>
      <c r="HV1989" s="19">
        <v>104</v>
      </c>
      <c r="HW1989" s="19">
        <v>103</v>
      </c>
      <c r="HX1989" s="19">
        <v>102</v>
      </c>
      <c r="HY1989" s="19">
        <v>101</v>
      </c>
      <c r="HZ1989" s="19">
        <v>100</v>
      </c>
      <c r="IA1989" s="19">
        <v>49.5</v>
      </c>
      <c r="IB1989" s="19">
        <v>49</v>
      </c>
      <c r="IC1989" s="19">
        <v>48.5</v>
      </c>
    </row>
    <row r="1990">
      <c r="A1990" s="2" t="s">
        <v>7187</v>
      </c>
      <c r="B1990" s="2" t="s">
        <v>1139</v>
      </c>
      <c r="C1990" s="2" t="s">
        <v>324</v>
      </c>
      <c r="D1990" s="2" t="s">
        <v>1140</v>
      </c>
      <c r="E1990" s="2" t="s">
        <v>1141</v>
      </c>
      <c r="F1990" s="2" t="s">
        <v>7183</v>
      </c>
      <c r="G1990" s="2" t="s">
        <v>7183</v>
      </c>
      <c r="H1990" s="2" t="s">
        <v>7183</v>
      </c>
      <c r="I1990" s="2" t="s">
        <v>7184</v>
      </c>
      <c r="J1990" s="2" t="s">
        <v>1323</v>
      </c>
      <c r="K1990" s="2" t="s">
        <v>338</v>
      </c>
      <c r="L1990" s="3">
        <v>10.56</v>
      </c>
      <c r="M1990" s="3">
        <v>11.09</v>
      </c>
      <c r="N1990" s="3">
        <v>24.99</v>
      </c>
      <c r="O1990" s="2" t="s">
        <v>232</v>
      </c>
      <c r="P1990" s="2" t="s">
        <v>336</v>
      </c>
      <c r="Q1990" s="2" t="s">
        <v>234</v>
      </c>
      <c r="R1990" s="2" t="s">
        <v>235</v>
      </c>
      <c r="S1990" s="2" t="s">
        <v>235</v>
      </c>
      <c r="T1990" s="2" t="s">
        <v>235</v>
      </c>
      <c r="U1990" s="2" t="s">
        <v>807</v>
      </c>
      <c r="V1990" s="2" t="s">
        <v>420</v>
      </c>
      <c r="W1990" s="2" t="s">
        <v>239</v>
      </c>
      <c r="X1990" s="2" t="s">
        <v>235</v>
      </c>
      <c r="Y1990" s="2" t="s">
        <v>7185</v>
      </c>
      <c r="Z1990" s="4">
        <v>553</v>
      </c>
      <c r="AA1990" s="4">
        <f>=ROUNDDOWN(41.8939393939394,0)</f>
      </c>
      <c r="AB1990" s="5">
        <v>13.2</v>
      </c>
      <c r="AC1990" s="2" t="s">
        <v>235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235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235</v>
      </c>
      <c r="AW1990" s="8" t="s">
        <v>235</v>
      </c>
      <c r="AX1990" s="4" t="s">
        <v>235</v>
      </c>
      <c r="AY1990" s="8" t="s">
        <v>235</v>
      </c>
      <c r="AZ1990" s="7" t="s">
        <v>235</v>
      </c>
      <c r="BA1990" s="7" t="s">
        <v>235</v>
      </c>
      <c r="BB1990" s="7"/>
      <c r="BC1990" s="4" t="s">
        <v>235</v>
      </c>
      <c r="BD1990" s="8" t="s">
        <v>235</v>
      </c>
      <c r="BE1990" s="4" t="s">
        <v>235</v>
      </c>
      <c r="BF1990" s="8" t="s">
        <v>235</v>
      </c>
      <c r="BG1990" s="7" t="s">
        <v>235</v>
      </c>
      <c r="BH1990" s="7" t="s">
        <v>235</v>
      </c>
      <c r="BI1990" s="7"/>
      <c r="BJ1990" s="4">
        <v>114</v>
      </c>
      <c r="BK1990" s="8">
        <v>1178.28</v>
      </c>
      <c r="BL1990" s="2" t="s">
        <v>1642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7186</v>
      </c>
      <c r="BV1990" s="2" t="s">
        <v>618</v>
      </c>
      <c r="BW1990" s="2" t="s">
        <v>235</v>
      </c>
      <c r="BX1990" s="2" t="s">
        <v>2712</v>
      </c>
      <c r="BY1990" s="2" t="s">
        <v>245</v>
      </c>
      <c r="BZ1990" s="2" t="s">
        <v>232</v>
      </c>
      <c r="CA1990" s="2" t="s">
        <v>1387</v>
      </c>
      <c r="CB1990" s="2" t="s">
        <v>7188</v>
      </c>
      <c r="CC1990" s="2" t="s">
        <v>248</v>
      </c>
      <c r="CD1990" s="2" t="s">
        <v>248</v>
      </c>
      <c r="CE1990" s="2" t="s">
        <v>235</v>
      </c>
      <c r="CF1990" s="4">
        <v>553</v>
      </c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>
        <v>553</v>
      </c>
      <c r="GE1990" s="4">
        <v>550</v>
      </c>
      <c r="GF1990" s="4">
        <v>547</v>
      </c>
      <c r="GG1990" s="4">
        <v>544</v>
      </c>
      <c r="GH1990" s="4">
        <v>541</v>
      </c>
      <c r="GI1990" s="4">
        <v>538</v>
      </c>
      <c r="GJ1990" s="4">
        <v>535</v>
      </c>
      <c r="GK1990" s="4">
        <v>532</v>
      </c>
      <c r="GL1990" s="4">
        <v>529</v>
      </c>
      <c r="GM1990" s="4">
        <v>526</v>
      </c>
      <c r="GN1990" s="4">
        <v>523</v>
      </c>
      <c r="GO1990" s="4">
        <v>519</v>
      </c>
      <c r="GP1990" s="4">
        <v>506</v>
      </c>
      <c r="GQ1990" s="4">
        <v>493</v>
      </c>
      <c r="GR1990" s="4">
        <v>475</v>
      </c>
      <c r="GS1990" s="4">
        <v>462</v>
      </c>
      <c r="GT1990" s="4">
        <v>448</v>
      </c>
      <c r="GU1990" s="4">
        <v>437</v>
      </c>
      <c r="GV1990" s="4">
        <v>423</v>
      </c>
      <c r="GW1990" s="4">
        <v>413</v>
      </c>
      <c r="GX1990" s="4">
        <v>403</v>
      </c>
      <c r="GY1990" s="4">
        <v>393</v>
      </c>
      <c r="GZ1990" s="4">
        <v>380</v>
      </c>
      <c r="HA1990" s="4">
        <v>367</v>
      </c>
      <c r="HB1990" s="4">
        <v>354</v>
      </c>
      <c r="HC1990" s="4">
        <v>341</v>
      </c>
      <c r="HD1990" s="19">
        <v>184.3</v>
      </c>
      <c r="HE1990" s="19">
        <v>183.3</v>
      </c>
      <c r="HF1990" s="19">
        <v>182.3</v>
      </c>
      <c r="HG1990" s="19">
        <v>181.3</v>
      </c>
      <c r="HH1990" s="19">
        <v>180.3</v>
      </c>
      <c r="HI1990" s="19">
        <v>179.3</v>
      </c>
      <c r="HJ1990" s="19">
        <v>178.3</v>
      </c>
      <c r="HK1990" s="19">
        <v>177.3</v>
      </c>
      <c r="HL1990" s="19">
        <v>88.2</v>
      </c>
      <c r="HM1990" s="19">
        <v>65.8</v>
      </c>
      <c r="HN1990" s="19">
        <v>43.6</v>
      </c>
      <c r="HO1990" s="19">
        <v>37.1</v>
      </c>
      <c r="HP1990" s="19">
        <v>36.1</v>
      </c>
      <c r="HQ1990" s="19">
        <v>35.2</v>
      </c>
      <c r="HR1990" s="19">
        <v>36.5</v>
      </c>
      <c r="HS1990" s="19">
        <v>38.5</v>
      </c>
      <c r="HT1990" s="19">
        <v>40.7</v>
      </c>
      <c r="HU1990" s="19">
        <v>39.7</v>
      </c>
      <c r="HV1990" s="19">
        <v>38.5</v>
      </c>
      <c r="HW1990" s="19">
        <v>34.4</v>
      </c>
      <c r="HX1990" s="19">
        <v>33.6</v>
      </c>
      <c r="HY1990" s="19">
        <v>30.2</v>
      </c>
      <c r="HZ1990" s="19">
        <v>29.2</v>
      </c>
      <c r="IA1990" s="19">
        <v>28.2</v>
      </c>
      <c r="IB1990" s="19">
        <v>27.2</v>
      </c>
      <c r="IC1990" s="19">
        <v>24.4</v>
      </c>
    </row>
    <row r="1991">
      <c r="A1991" s="2" t="s">
        <v>7189</v>
      </c>
      <c r="B1991" s="2" t="s">
        <v>1139</v>
      </c>
      <c r="C1991" s="2" t="s">
        <v>324</v>
      </c>
      <c r="D1991" s="2" t="s">
        <v>1140</v>
      </c>
      <c r="E1991" s="2" t="s">
        <v>1141</v>
      </c>
      <c r="F1991" s="2" t="s">
        <v>7183</v>
      </c>
      <c r="G1991" s="2" t="s">
        <v>7183</v>
      </c>
      <c r="H1991" s="2" t="s">
        <v>7183</v>
      </c>
      <c r="I1991" s="2" t="s">
        <v>7184</v>
      </c>
      <c r="J1991" s="2" t="s">
        <v>1375</v>
      </c>
      <c r="K1991" s="2" t="s">
        <v>338</v>
      </c>
      <c r="L1991" s="3">
        <v>16.07</v>
      </c>
      <c r="M1991" s="3">
        <v>16.87</v>
      </c>
      <c r="N1991" s="3">
        <v>34.99</v>
      </c>
      <c r="O1991" s="2" t="s">
        <v>232</v>
      </c>
      <c r="P1991" s="2" t="s">
        <v>233</v>
      </c>
      <c r="Q1991" s="2" t="s">
        <v>234</v>
      </c>
      <c r="R1991" s="2" t="s">
        <v>235</v>
      </c>
      <c r="S1991" s="2" t="s">
        <v>235</v>
      </c>
      <c r="T1991" s="2" t="s">
        <v>235</v>
      </c>
      <c r="U1991" s="2" t="s">
        <v>807</v>
      </c>
      <c r="V1991" s="2" t="s">
        <v>420</v>
      </c>
      <c r="W1991" s="2" t="s">
        <v>239</v>
      </c>
      <c r="X1991" s="2" t="s">
        <v>235</v>
      </c>
      <c r="Y1991" s="2" t="s">
        <v>7185</v>
      </c>
      <c r="Z1991" s="4">
        <v>530</v>
      </c>
      <c r="AA1991" s="4">
        <f>=ROUNDDOWN(106,0)</f>
      </c>
      <c r="AB1991" s="5">
        <v>5</v>
      </c>
      <c r="AC1991" s="2" t="s">
        <v>235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235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235</v>
      </c>
      <c r="AW1991" s="8" t="s">
        <v>235</v>
      </c>
      <c r="AX1991" s="4" t="s">
        <v>235</v>
      </c>
      <c r="AY1991" s="8" t="s">
        <v>235</v>
      </c>
      <c r="AZ1991" s="7" t="s">
        <v>235</v>
      </c>
      <c r="BA1991" s="7" t="s">
        <v>235</v>
      </c>
      <c r="BB1991" s="7"/>
      <c r="BC1991" s="4" t="s">
        <v>235</v>
      </c>
      <c r="BD1991" s="8" t="s">
        <v>235</v>
      </c>
      <c r="BE1991" s="4" t="s">
        <v>235</v>
      </c>
      <c r="BF1991" s="8" t="s">
        <v>235</v>
      </c>
      <c r="BG1991" s="7" t="s">
        <v>235</v>
      </c>
      <c r="BH1991" s="7" t="s">
        <v>235</v>
      </c>
      <c r="BI1991" s="7"/>
      <c r="BJ1991" s="4">
        <v>19</v>
      </c>
      <c r="BK1991" s="8">
        <v>328.32</v>
      </c>
      <c r="BL1991" s="2" t="s">
        <v>1625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7186</v>
      </c>
      <c r="BV1991" s="2" t="s">
        <v>618</v>
      </c>
      <c r="BW1991" s="2" t="s">
        <v>235</v>
      </c>
      <c r="BX1991" s="2" t="s">
        <v>2712</v>
      </c>
      <c r="BY1991" s="2" t="s">
        <v>245</v>
      </c>
      <c r="BZ1991" s="2" t="s">
        <v>232</v>
      </c>
      <c r="CA1991" s="2" t="s">
        <v>1387</v>
      </c>
      <c r="CB1991" s="2" t="s">
        <v>7190</v>
      </c>
      <c r="CC1991" s="2" t="s">
        <v>248</v>
      </c>
      <c r="CD1991" s="2" t="s">
        <v>248</v>
      </c>
      <c r="CE1991" s="2" t="s">
        <v>235</v>
      </c>
      <c r="CF1991" s="4">
        <v>530</v>
      </c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>
        <v>531</v>
      </c>
      <c r="GE1991" s="4">
        <v>505</v>
      </c>
      <c r="GF1991" s="4">
        <v>499</v>
      </c>
      <c r="GG1991" s="4">
        <v>493</v>
      </c>
      <c r="GH1991" s="4">
        <v>487</v>
      </c>
      <c r="GI1991" s="4">
        <v>481</v>
      </c>
      <c r="GJ1991" s="4">
        <v>475</v>
      </c>
      <c r="GK1991" s="4">
        <v>467</v>
      </c>
      <c r="GL1991" s="4">
        <v>461</v>
      </c>
      <c r="GM1991" s="4">
        <v>453</v>
      </c>
      <c r="GN1991" s="4">
        <v>449</v>
      </c>
      <c r="GO1991" s="4">
        <v>443</v>
      </c>
      <c r="GP1991" s="4">
        <v>437</v>
      </c>
      <c r="GQ1991" s="4">
        <v>432</v>
      </c>
      <c r="GR1991" s="4">
        <v>423</v>
      </c>
      <c r="GS1991" s="4">
        <v>417</v>
      </c>
      <c r="GT1991" s="4">
        <v>411</v>
      </c>
      <c r="GU1991" s="4">
        <v>407</v>
      </c>
      <c r="GV1991" s="4">
        <v>401</v>
      </c>
      <c r="GW1991" s="4">
        <v>398</v>
      </c>
      <c r="GX1991" s="4">
        <v>395</v>
      </c>
      <c r="GY1991" s="4">
        <v>392</v>
      </c>
      <c r="GZ1991" s="4">
        <v>387</v>
      </c>
      <c r="HA1991" s="4">
        <v>382</v>
      </c>
      <c r="HB1991" s="4">
        <v>377</v>
      </c>
      <c r="HC1991" s="4">
        <v>372</v>
      </c>
      <c r="HD1991" s="19">
        <v>48.3</v>
      </c>
      <c r="HE1991" s="19">
        <v>84.2</v>
      </c>
      <c r="HF1991" s="19">
        <v>83.2</v>
      </c>
      <c r="HG1991" s="19">
        <v>82.2</v>
      </c>
      <c r="HH1991" s="19">
        <v>81.2</v>
      </c>
      <c r="HI1991" s="19">
        <v>68.7</v>
      </c>
      <c r="HJ1991" s="19">
        <v>79.2</v>
      </c>
      <c r="HK1991" s="19">
        <v>77.8</v>
      </c>
      <c r="HL1991" s="19">
        <v>76.8</v>
      </c>
      <c r="HM1991" s="19">
        <v>90.6</v>
      </c>
      <c r="HN1991" s="19">
        <v>74.8</v>
      </c>
      <c r="HO1991" s="19">
        <v>73.8</v>
      </c>
      <c r="HP1991" s="19">
        <v>72.8</v>
      </c>
      <c r="HQ1991" s="19">
        <v>72</v>
      </c>
      <c r="HR1991" s="19">
        <v>70.5</v>
      </c>
      <c r="HS1991" s="19">
        <v>83.4</v>
      </c>
      <c r="HT1991" s="19">
        <v>102.8</v>
      </c>
      <c r="HU1991" s="19">
        <v>101.8</v>
      </c>
      <c r="HV1991" s="19">
        <v>100.3</v>
      </c>
      <c r="HW1991" s="19">
        <v>99.5</v>
      </c>
      <c r="HX1991" s="19">
        <v>98.8</v>
      </c>
      <c r="HY1991" s="19">
        <v>78.4</v>
      </c>
      <c r="HZ1991" s="19">
        <v>77.4</v>
      </c>
      <c r="IA1991" s="19">
        <v>76.4</v>
      </c>
      <c r="IB1991" s="19">
        <v>75.4</v>
      </c>
      <c r="IC1991" s="19">
        <v>74.4</v>
      </c>
    </row>
    <row r="1992">
      <c r="A1992" s="2" t="s">
        <v>7191</v>
      </c>
      <c r="B1992" s="2" t="s">
        <v>1139</v>
      </c>
      <c r="C1992" s="2" t="s">
        <v>324</v>
      </c>
      <c r="D1992" s="2" t="s">
        <v>1140</v>
      </c>
      <c r="E1992" s="2" t="s">
        <v>1141</v>
      </c>
      <c r="F1992" s="2" t="s">
        <v>7183</v>
      </c>
      <c r="G1992" s="2" t="s">
        <v>7183</v>
      </c>
      <c r="H1992" s="2" t="s">
        <v>7183</v>
      </c>
      <c r="I1992" s="2" t="s">
        <v>7184</v>
      </c>
      <c r="J1992" s="2" t="s">
        <v>1317</v>
      </c>
      <c r="K1992" s="2" t="s">
        <v>975</v>
      </c>
      <c r="L1992" s="3">
        <v>20.37</v>
      </c>
      <c r="M1992" s="3">
        <v>21.39</v>
      </c>
      <c r="N1992" s="3">
        <v>44.99</v>
      </c>
      <c r="O1992" s="2" t="s">
        <v>232</v>
      </c>
      <c r="P1992" s="2" t="s">
        <v>878</v>
      </c>
      <c r="Q1992" s="2" t="s">
        <v>234</v>
      </c>
      <c r="R1992" s="2" t="s">
        <v>235</v>
      </c>
      <c r="S1992" s="2" t="s">
        <v>235</v>
      </c>
      <c r="T1992" s="2" t="s">
        <v>235</v>
      </c>
      <c r="U1992" s="2" t="s">
        <v>807</v>
      </c>
      <c r="V1992" s="2" t="s">
        <v>420</v>
      </c>
      <c r="W1992" s="2" t="s">
        <v>239</v>
      </c>
      <c r="X1992" s="2" t="s">
        <v>235</v>
      </c>
      <c r="Y1992" s="2" t="s">
        <v>1376</v>
      </c>
      <c r="Z1992" s="4">
        <v>14</v>
      </c>
      <c r="AA1992" s="4">
        <f>=ROUNDDOWN(5.6,0)</f>
      </c>
      <c r="AB1992" s="5">
        <v>2.5</v>
      </c>
      <c r="AC1992" s="2" t="s">
        <v>235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235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235</v>
      </c>
      <c r="AW1992" s="8" t="s">
        <v>235</v>
      </c>
      <c r="AX1992" s="4" t="s">
        <v>235</v>
      </c>
      <c r="AY1992" s="8" t="s">
        <v>235</v>
      </c>
      <c r="AZ1992" s="7" t="s">
        <v>235</v>
      </c>
      <c r="BA1992" s="7" t="s">
        <v>235</v>
      </c>
      <c r="BB1992" s="7"/>
      <c r="BC1992" s="4" t="s">
        <v>235</v>
      </c>
      <c r="BD1992" s="8" t="s">
        <v>235</v>
      </c>
      <c r="BE1992" s="4" t="s">
        <v>235</v>
      </c>
      <c r="BF1992" s="8" t="s">
        <v>235</v>
      </c>
      <c r="BG1992" s="7" t="s">
        <v>235</v>
      </c>
      <c r="BH1992" s="7" t="s">
        <v>235</v>
      </c>
      <c r="BI1992" s="7"/>
      <c r="BJ1992" s="4">
        <v>4</v>
      </c>
      <c r="BK1992" s="8">
        <v>88.05</v>
      </c>
      <c r="BL1992" s="2" t="s">
        <v>6128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7186</v>
      </c>
      <c r="BV1992" s="2" t="s">
        <v>618</v>
      </c>
      <c r="BW1992" s="2" t="s">
        <v>235</v>
      </c>
      <c r="BX1992" s="2" t="s">
        <v>2712</v>
      </c>
      <c r="BY1992" s="2" t="s">
        <v>245</v>
      </c>
      <c r="BZ1992" s="2" t="s">
        <v>232</v>
      </c>
      <c r="CA1992" s="2" t="s">
        <v>687</v>
      </c>
      <c r="CB1992" s="2" t="s">
        <v>883</v>
      </c>
      <c r="CC1992" s="2" t="s">
        <v>248</v>
      </c>
      <c r="CD1992" s="2" t="s">
        <v>248</v>
      </c>
      <c r="CE1992" s="2" t="s">
        <v>235</v>
      </c>
      <c r="CF1992" s="4">
        <v>3</v>
      </c>
      <c r="CG1992" s="4"/>
      <c r="CH1992" s="4"/>
      <c r="CI1992" s="4">
        <v>11</v>
      </c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>
        <v>14</v>
      </c>
      <c r="GE1992" s="4">
        <v>6</v>
      </c>
      <c r="GF1992" s="4">
        <v>3</v>
      </c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>
        <v>147</v>
      </c>
      <c r="GX1992" s="4">
        <v>140</v>
      </c>
      <c r="GY1992" s="4">
        <v>138</v>
      </c>
      <c r="GZ1992" s="4">
        <v>135</v>
      </c>
      <c r="HA1992" s="4">
        <v>132</v>
      </c>
      <c r="HB1992" s="4">
        <v>129</v>
      </c>
      <c r="HC1992" s="4">
        <v>126</v>
      </c>
      <c r="HD1992" s="19">
        <v>3.5</v>
      </c>
      <c r="HE1992" s="19">
        <v>3</v>
      </c>
      <c r="HF1992" s="19">
        <v>1.5</v>
      </c>
      <c r="HG1992" s="20">
        <v>0</v>
      </c>
      <c r="HH1992" s="20">
        <v>0</v>
      </c>
      <c r="HI1992" s="20">
        <v>0</v>
      </c>
      <c r="HJ1992" s="20">
        <v>0</v>
      </c>
      <c r="HK1992" s="20">
        <v>0</v>
      </c>
      <c r="HL1992" s="20">
        <v>0</v>
      </c>
      <c r="HM1992" s="20">
        <v>0</v>
      </c>
      <c r="HN1992" s="20">
        <v>0</v>
      </c>
      <c r="HO1992" s="20">
        <v>0</v>
      </c>
      <c r="HP1992" s="20">
        <v>0</v>
      </c>
      <c r="HQ1992" s="20">
        <v>0</v>
      </c>
      <c r="HR1992" s="20">
        <v>0</v>
      </c>
      <c r="HS1992" s="20">
        <v>0</v>
      </c>
      <c r="HT1992" s="20">
        <v>0</v>
      </c>
      <c r="HU1992" s="20">
        <v>0</v>
      </c>
      <c r="HV1992" s="20">
        <v>0</v>
      </c>
      <c r="HW1992" s="19">
        <v>36.8</v>
      </c>
      <c r="HX1992" s="19">
        <v>46.7</v>
      </c>
      <c r="HY1992" s="19">
        <v>46</v>
      </c>
      <c r="HZ1992" s="19">
        <v>45</v>
      </c>
      <c r="IA1992" s="19">
        <v>44</v>
      </c>
      <c r="IB1992" s="19">
        <v>43</v>
      </c>
      <c r="IC1992" s="19">
        <v>42</v>
      </c>
    </row>
    <row r="1993">
      <c r="A1993" s="2" t="s">
        <v>7192</v>
      </c>
      <c r="B1993" s="2" t="s">
        <v>1139</v>
      </c>
      <c r="C1993" s="2" t="s">
        <v>324</v>
      </c>
      <c r="D1993" s="2" t="s">
        <v>1140</v>
      </c>
      <c r="E1993" s="2" t="s">
        <v>1141</v>
      </c>
      <c r="F1993" s="2" t="s">
        <v>7183</v>
      </c>
      <c r="G1993" s="2" t="s">
        <v>7183</v>
      </c>
      <c r="H1993" s="2" t="s">
        <v>7183</v>
      </c>
      <c r="I1993" s="2" t="s">
        <v>7184</v>
      </c>
      <c r="J1993" s="2" t="s">
        <v>1323</v>
      </c>
      <c r="K1993" s="2" t="s">
        <v>975</v>
      </c>
      <c r="L1993" s="3">
        <v>10.56</v>
      </c>
      <c r="M1993" s="3">
        <v>11.09</v>
      </c>
      <c r="N1993" s="3">
        <v>24.99</v>
      </c>
      <c r="O1993" s="2" t="s">
        <v>232</v>
      </c>
      <c r="P1993" s="2" t="s">
        <v>878</v>
      </c>
      <c r="Q1993" s="2" t="s">
        <v>234</v>
      </c>
      <c r="R1993" s="2" t="s">
        <v>235</v>
      </c>
      <c r="S1993" s="2" t="s">
        <v>235</v>
      </c>
      <c r="T1993" s="2" t="s">
        <v>235</v>
      </c>
      <c r="U1993" s="2" t="s">
        <v>807</v>
      </c>
      <c r="V1993" s="2" t="s">
        <v>420</v>
      </c>
      <c r="W1993" s="2" t="s">
        <v>239</v>
      </c>
      <c r="X1993" s="2" t="s">
        <v>235</v>
      </c>
      <c r="Y1993" s="2" t="s">
        <v>1376</v>
      </c>
      <c r="Z1993" s="4">
        <v>147</v>
      </c>
      <c r="AA1993" s="4">
        <f>=ROUNDDOWN(24.0983606557377,0)</f>
      </c>
      <c r="AB1993" s="5">
        <v>6.1</v>
      </c>
      <c r="AC1993" s="2" t="s">
        <v>235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235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235</v>
      </c>
      <c r="AW1993" s="8" t="s">
        <v>235</v>
      </c>
      <c r="AX1993" s="4" t="s">
        <v>235</v>
      </c>
      <c r="AY1993" s="8" t="s">
        <v>235</v>
      </c>
      <c r="AZ1993" s="7" t="s">
        <v>235</v>
      </c>
      <c r="BA1993" s="7" t="s">
        <v>235</v>
      </c>
      <c r="BB1993" s="7"/>
      <c r="BC1993" s="4" t="s">
        <v>235</v>
      </c>
      <c r="BD1993" s="8" t="s">
        <v>235</v>
      </c>
      <c r="BE1993" s="4" t="s">
        <v>235</v>
      </c>
      <c r="BF1993" s="8" t="s">
        <v>235</v>
      </c>
      <c r="BG1993" s="7" t="s">
        <v>235</v>
      </c>
      <c r="BH1993" s="7" t="s">
        <v>235</v>
      </c>
      <c r="BI1993" s="7"/>
      <c r="BJ1993" s="4">
        <v>5</v>
      </c>
      <c r="BK1993" s="8">
        <v>63.54</v>
      </c>
      <c r="BL1993" s="2" t="s">
        <v>4344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7186</v>
      </c>
      <c r="BV1993" s="2" t="s">
        <v>618</v>
      </c>
      <c r="BW1993" s="2" t="s">
        <v>235</v>
      </c>
      <c r="BX1993" s="2" t="s">
        <v>2712</v>
      </c>
      <c r="BY1993" s="2" t="s">
        <v>245</v>
      </c>
      <c r="BZ1993" s="2" t="s">
        <v>232</v>
      </c>
      <c r="CA1993" s="2" t="s">
        <v>687</v>
      </c>
      <c r="CB1993" s="2" t="s">
        <v>2986</v>
      </c>
      <c r="CC1993" s="2" t="s">
        <v>248</v>
      </c>
      <c r="CD1993" s="2" t="s">
        <v>248</v>
      </c>
      <c r="CE1993" s="2" t="s">
        <v>235</v>
      </c>
      <c r="CF1993" s="4">
        <v>127</v>
      </c>
      <c r="CG1993" s="4"/>
      <c r="CH1993" s="4"/>
      <c r="CI1993" s="4">
        <v>20</v>
      </c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>
        <v>147</v>
      </c>
      <c r="GE1993" s="4">
        <v>143</v>
      </c>
      <c r="GF1993" s="4">
        <v>139</v>
      </c>
      <c r="GG1993" s="4">
        <v>135</v>
      </c>
      <c r="GH1993" s="4">
        <v>129</v>
      </c>
      <c r="GI1993" s="4">
        <v>120</v>
      </c>
      <c r="GJ1993" s="4">
        <v>113</v>
      </c>
      <c r="GK1993" s="4">
        <v>107</v>
      </c>
      <c r="GL1993" s="4">
        <v>101</v>
      </c>
      <c r="GM1993" s="4">
        <v>92</v>
      </c>
      <c r="GN1993" s="4">
        <v>86</v>
      </c>
      <c r="GO1993" s="4">
        <v>78</v>
      </c>
      <c r="GP1993" s="4">
        <v>70</v>
      </c>
      <c r="GQ1993" s="4">
        <v>63</v>
      </c>
      <c r="GR1993" s="4">
        <v>51</v>
      </c>
      <c r="GS1993" s="4">
        <v>42</v>
      </c>
      <c r="GT1993" s="4">
        <v>34</v>
      </c>
      <c r="GU1993" s="4">
        <v>29</v>
      </c>
      <c r="GV1993" s="4">
        <v>23</v>
      </c>
      <c r="GW1993" s="4">
        <v>301</v>
      </c>
      <c r="GX1993" s="4">
        <v>296</v>
      </c>
      <c r="GY1993" s="4">
        <v>291</v>
      </c>
      <c r="GZ1993" s="4">
        <v>285</v>
      </c>
      <c r="HA1993" s="4">
        <v>279</v>
      </c>
      <c r="HB1993" s="4">
        <v>273</v>
      </c>
      <c r="HC1993" s="4">
        <v>267</v>
      </c>
      <c r="HD1993" s="19">
        <v>36.8</v>
      </c>
      <c r="HE1993" s="19">
        <v>23.8</v>
      </c>
      <c r="HF1993" s="19">
        <v>23.2</v>
      </c>
      <c r="HG1993" s="19">
        <v>19.3</v>
      </c>
      <c r="HH1993" s="19">
        <v>18.4</v>
      </c>
      <c r="HI1993" s="19">
        <v>17.1</v>
      </c>
      <c r="HJ1993" s="19">
        <v>16.1</v>
      </c>
      <c r="HK1993" s="19">
        <v>15.3</v>
      </c>
      <c r="HL1993" s="19">
        <v>12.6</v>
      </c>
      <c r="HM1993" s="19">
        <v>13.1</v>
      </c>
      <c r="HN1993" s="19">
        <v>9.6</v>
      </c>
      <c r="HO1993" s="19">
        <v>8.7</v>
      </c>
      <c r="HP1993" s="19">
        <v>7.8</v>
      </c>
      <c r="HQ1993" s="19">
        <v>7.9</v>
      </c>
      <c r="HR1993" s="19">
        <v>7.3</v>
      </c>
      <c r="HS1993" s="19">
        <v>7</v>
      </c>
      <c r="HT1993" s="19">
        <v>6.8</v>
      </c>
      <c r="HU1993" s="19">
        <v>5.8</v>
      </c>
      <c r="HV1993" s="19">
        <v>4.6</v>
      </c>
      <c r="HW1993" s="19">
        <v>50.2</v>
      </c>
      <c r="HX1993" s="19">
        <v>49.3</v>
      </c>
      <c r="HY1993" s="19">
        <v>48.5</v>
      </c>
      <c r="HZ1993" s="19">
        <v>47.5</v>
      </c>
      <c r="IA1993" s="19">
        <v>46.5</v>
      </c>
      <c r="IB1993" s="19">
        <v>45.5</v>
      </c>
      <c r="IC1993" s="19">
        <v>44.5</v>
      </c>
    </row>
    <row r="1994">
      <c r="A1994" s="2" t="s">
        <v>7193</v>
      </c>
      <c r="B1994" s="2" t="s">
        <v>1139</v>
      </c>
      <c r="C1994" s="2" t="s">
        <v>324</v>
      </c>
      <c r="D1994" s="2" t="s">
        <v>1140</v>
      </c>
      <c r="E1994" s="2" t="s">
        <v>1141</v>
      </c>
      <c r="F1994" s="2" t="s">
        <v>7183</v>
      </c>
      <c r="G1994" s="2" t="s">
        <v>7183</v>
      </c>
      <c r="H1994" s="2" t="s">
        <v>7183</v>
      </c>
      <c r="I1994" s="2" t="s">
        <v>7184</v>
      </c>
      <c r="J1994" s="2" t="s">
        <v>1375</v>
      </c>
      <c r="K1994" s="2" t="s">
        <v>7194</v>
      </c>
      <c r="L1994" s="3">
        <v>16.07</v>
      </c>
      <c r="M1994" s="3">
        <v>16.87</v>
      </c>
      <c r="N1994" s="3">
        <v>34.99</v>
      </c>
      <c r="O1994" s="2" t="s">
        <v>232</v>
      </c>
      <c r="P1994" s="2" t="s">
        <v>233</v>
      </c>
      <c r="Q1994" s="2" t="s">
        <v>234</v>
      </c>
      <c r="R1994" s="2" t="s">
        <v>235</v>
      </c>
      <c r="S1994" s="2" t="s">
        <v>235</v>
      </c>
      <c r="T1994" s="2" t="s">
        <v>235</v>
      </c>
      <c r="U1994" s="2" t="s">
        <v>807</v>
      </c>
      <c r="V1994" s="2" t="s">
        <v>420</v>
      </c>
      <c r="W1994" s="2" t="s">
        <v>239</v>
      </c>
      <c r="X1994" s="2" t="s">
        <v>235</v>
      </c>
      <c r="Y1994" s="2" t="s">
        <v>7185</v>
      </c>
      <c r="Z1994" s="4">
        <v>147</v>
      </c>
      <c r="AA1994" s="4">
        <f>=ROUNDDOWN(14.2718446601942,0)</f>
      </c>
      <c r="AB1994" s="5">
        <v>10.3</v>
      </c>
      <c r="AC1994" s="2" t="s">
        <v>4315</v>
      </c>
      <c r="AD1994" s="4">
        <v>600</v>
      </c>
      <c r="AE1994" s="4">
        <v>600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235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 t="s">
        <v>235</v>
      </c>
      <c r="BD1994" s="8" t="s">
        <v>235</v>
      </c>
      <c r="BE1994" s="4" t="s">
        <v>235</v>
      </c>
      <c r="BF1994" s="8" t="s">
        <v>235</v>
      </c>
      <c r="BG1994" s="7" t="s">
        <v>235</v>
      </c>
      <c r="BH1994" s="7" t="s">
        <v>235</v>
      </c>
      <c r="BI1994" s="7"/>
      <c r="BJ1994" s="4">
        <v>30</v>
      </c>
      <c r="BK1994" s="8">
        <v>527.01</v>
      </c>
      <c r="BL1994" s="2" t="s">
        <v>4316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7186</v>
      </c>
      <c r="BV1994" s="2" t="s">
        <v>618</v>
      </c>
      <c r="BW1994" s="2" t="s">
        <v>235</v>
      </c>
      <c r="BX1994" s="2" t="s">
        <v>2712</v>
      </c>
      <c r="BY1994" s="2" t="s">
        <v>245</v>
      </c>
      <c r="BZ1994" s="2" t="s">
        <v>232</v>
      </c>
      <c r="CA1994" s="2" t="s">
        <v>3727</v>
      </c>
      <c r="CB1994" s="2" t="s">
        <v>6112</v>
      </c>
      <c r="CC1994" s="2" t="s">
        <v>248</v>
      </c>
      <c r="CD1994" s="2" t="s">
        <v>248</v>
      </c>
      <c r="CE1994" s="2" t="s">
        <v>235</v>
      </c>
      <c r="CF1994" s="4">
        <v>147</v>
      </c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>
        <v>600</v>
      </c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>
        <v>168</v>
      </c>
      <c r="GE1994" s="4">
        <v>164</v>
      </c>
      <c r="GF1994" s="4">
        <v>161</v>
      </c>
      <c r="GG1994" s="4">
        <v>158</v>
      </c>
      <c r="GH1994" s="4">
        <v>155</v>
      </c>
      <c r="GI1994" s="4">
        <v>152</v>
      </c>
      <c r="GJ1994" s="4">
        <v>149</v>
      </c>
      <c r="GK1994" s="4">
        <v>146</v>
      </c>
      <c r="GL1994" s="4">
        <v>143</v>
      </c>
      <c r="GM1994" s="4">
        <v>127</v>
      </c>
      <c r="GN1994" s="4">
        <v>118</v>
      </c>
      <c r="GO1994" s="4">
        <v>107</v>
      </c>
      <c r="GP1994" s="4">
        <v>95</v>
      </c>
      <c r="GQ1994" s="4">
        <v>684</v>
      </c>
      <c r="GR1994" s="4">
        <v>668</v>
      </c>
      <c r="GS1994" s="4">
        <v>657</v>
      </c>
      <c r="GT1994" s="4">
        <v>645</v>
      </c>
      <c r="GU1994" s="4">
        <v>636</v>
      </c>
      <c r="GV1994" s="4">
        <v>625</v>
      </c>
      <c r="GW1994" s="4">
        <v>617</v>
      </c>
      <c r="GX1994" s="4">
        <v>609</v>
      </c>
      <c r="GY1994" s="4">
        <v>601</v>
      </c>
      <c r="GZ1994" s="4">
        <v>591</v>
      </c>
      <c r="HA1994" s="4">
        <v>581</v>
      </c>
      <c r="HB1994" s="4">
        <v>571</v>
      </c>
      <c r="HC1994" s="4">
        <v>561</v>
      </c>
      <c r="HD1994" s="19">
        <v>56</v>
      </c>
      <c r="HE1994" s="19">
        <v>54.7</v>
      </c>
      <c r="HF1994" s="19">
        <v>53.7</v>
      </c>
      <c r="HG1994" s="19">
        <v>52.7</v>
      </c>
      <c r="HH1994" s="19">
        <v>51.7</v>
      </c>
      <c r="HI1994" s="19">
        <v>25.3</v>
      </c>
      <c r="HJ1994" s="19">
        <v>18.6</v>
      </c>
      <c r="HK1994" s="19">
        <v>14.6</v>
      </c>
      <c r="HL1994" s="19">
        <v>11.9</v>
      </c>
      <c r="HM1994" s="19">
        <v>11.5</v>
      </c>
      <c r="HN1994" s="19">
        <v>9.8</v>
      </c>
      <c r="HO1994" s="19">
        <v>8.9</v>
      </c>
      <c r="HP1994" s="19">
        <v>7.9</v>
      </c>
      <c r="HQ1994" s="19">
        <v>57</v>
      </c>
      <c r="HR1994" s="19">
        <v>60.7</v>
      </c>
      <c r="HS1994" s="19">
        <v>65.7</v>
      </c>
      <c r="HT1994" s="19">
        <v>71.7</v>
      </c>
      <c r="HU1994" s="19">
        <v>70.7</v>
      </c>
      <c r="HV1994" s="19">
        <v>78.1</v>
      </c>
      <c r="HW1994" s="19">
        <v>68.6</v>
      </c>
      <c r="HX1994" s="19">
        <v>60.9</v>
      </c>
      <c r="HY1994" s="19">
        <v>60.1</v>
      </c>
      <c r="HZ1994" s="19">
        <v>59.1</v>
      </c>
      <c r="IA1994" s="19">
        <v>58.1</v>
      </c>
      <c r="IB1994" s="19">
        <v>57.1</v>
      </c>
      <c r="IC1994" s="19">
        <v>56.1</v>
      </c>
    </row>
    <row r="1995">
      <c r="A1995" s="2" t="s">
        <v>7195</v>
      </c>
      <c r="B1995" s="2" t="s">
        <v>1139</v>
      </c>
      <c r="C1995" s="2" t="s">
        <v>360</v>
      </c>
      <c r="D1995" s="2" t="s">
        <v>1152</v>
      </c>
      <c r="E1995" s="2" t="s">
        <v>1153</v>
      </c>
      <c r="F1995" s="2" t="s">
        <v>7196</v>
      </c>
      <c r="G1995" s="2" t="s">
        <v>7196</v>
      </c>
      <c r="H1995" s="2" t="s">
        <v>7196</v>
      </c>
      <c r="I1995" s="2" t="s">
        <v>7197</v>
      </c>
      <c r="J1995" s="2" t="s">
        <v>6698</v>
      </c>
      <c r="K1995" s="2" t="s">
        <v>378</v>
      </c>
      <c r="L1995" s="3">
        <v>18.5</v>
      </c>
      <c r="M1995" s="3">
        <v>19.43</v>
      </c>
      <c r="N1995" s="3">
        <v>39.99</v>
      </c>
      <c r="O1995" s="2" t="s">
        <v>232</v>
      </c>
      <c r="P1995" s="2" t="s">
        <v>878</v>
      </c>
      <c r="Q1995" s="2" t="s">
        <v>234</v>
      </c>
      <c r="R1995" s="2" t="s">
        <v>235</v>
      </c>
      <c r="S1995" s="2" t="s">
        <v>235</v>
      </c>
      <c r="T1995" s="2" t="s">
        <v>263</v>
      </c>
      <c r="U1995" s="2" t="s">
        <v>807</v>
      </c>
      <c r="V1995" s="2" t="s">
        <v>238</v>
      </c>
      <c r="W1995" s="2" t="s">
        <v>239</v>
      </c>
      <c r="X1995" s="2" t="s">
        <v>235</v>
      </c>
      <c r="Y1995" s="2" t="s">
        <v>4665</v>
      </c>
      <c r="Z1995" s="4">
        <v>151</v>
      </c>
      <c r="AA1995" s="4">
        <f>=ROUNDDOWN(7.94736842105263,0)</f>
      </c>
      <c r="AB1995" s="5">
        <v>19</v>
      </c>
      <c r="AC1995" s="2" t="s">
        <v>4737</v>
      </c>
      <c r="AD1995" s="4">
        <v>320</v>
      </c>
      <c r="AE1995" s="4">
        <v>320</v>
      </c>
      <c r="AF1995" s="6">
        <v>79</v>
      </c>
      <c r="AG1995" s="6"/>
      <c r="AH1995" s="7">
        <v>1</v>
      </c>
      <c r="AI1995" s="4"/>
      <c r="AJ1995" s="4">
        <f>=ROUNDDOWN({0},0)</f>
      </c>
      <c r="AK1995" s="5"/>
      <c r="AL1995" s="2" t="s">
        <v>235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 t="s">
        <v>235</v>
      </c>
      <c r="BD1995" s="8" t="s">
        <v>235</v>
      </c>
      <c r="BE1995" s="4" t="s">
        <v>235</v>
      </c>
      <c r="BF1995" s="8" t="s">
        <v>235</v>
      </c>
      <c r="BG1995" s="7" t="s">
        <v>235</v>
      </c>
      <c r="BH1995" s="7" t="s">
        <v>235</v>
      </c>
      <c r="BI1995" s="7"/>
      <c r="BJ1995" s="4">
        <v>77</v>
      </c>
      <c r="BK1995" s="8">
        <v>1627.3</v>
      </c>
      <c r="BL1995" s="2" t="s">
        <v>4316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7198</v>
      </c>
      <c r="BV1995" s="2" t="s">
        <v>235</v>
      </c>
      <c r="BW1995" s="2" t="s">
        <v>235</v>
      </c>
      <c r="BX1995" s="2" t="s">
        <v>685</v>
      </c>
      <c r="BY1995" s="2" t="s">
        <v>245</v>
      </c>
      <c r="BZ1995" s="2" t="s">
        <v>232</v>
      </c>
      <c r="CA1995" s="2" t="s">
        <v>235</v>
      </c>
      <c r="CB1995" s="2" t="s">
        <v>1643</v>
      </c>
      <c r="CC1995" s="2" t="s">
        <v>248</v>
      </c>
      <c r="CD1995" s="2" t="s">
        <v>248</v>
      </c>
      <c r="CE1995" s="2" t="s">
        <v>235</v>
      </c>
      <c r="CF1995" s="4">
        <v>151</v>
      </c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>
        <v>320</v>
      </c>
      <c r="FZ1995" s="4"/>
      <c r="GA1995" s="4"/>
      <c r="GB1995" s="4"/>
      <c r="GC1995" s="4"/>
      <c r="GD1995" s="4">
        <v>151</v>
      </c>
      <c r="GE1995" s="4">
        <v>141</v>
      </c>
      <c r="GF1995" s="4">
        <v>136</v>
      </c>
      <c r="GG1995" s="4">
        <v>131</v>
      </c>
      <c r="GH1995" s="4">
        <v>114</v>
      </c>
      <c r="GI1995" s="4">
        <v>85</v>
      </c>
      <c r="GJ1995" s="4">
        <v>63</v>
      </c>
      <c r="GK1995" s="4">
        <v>39</v>
      </c>
      <c r="GL1995" s="4">
        <v>15</v>
      </c>
      <c r="GM1995" s="4"/>
      <c r="GN1995" s="4"/>
      <c r="GO1995" s="4"/>
      <c r="GP1995" s="4"/>
      <c r="GQ1995" s="4"/>
      <c r="GR1995" s="4"/>
      <c r="GS1995" s="4"/>
      <c r="GT1995" s="4"/>
      <c r="GU1995" s="4"/>
      <c r="GV1995" s="4">
        <v>320</v>
      </c>
      <c r="GW1995" s="4">
        <v>202</v>
      </c>
      <c r="GX1995" s="4">
        <v>185</v>
      </c>
      <c r="GY1995" s="4">
        <v>168</v>
      </c>
      <c r="GZ1995" s="4">
        <v>150</v>
      </c>
      <c r="HA1995" s="4">
        <v>132</v>
      </c>
      <c r="HB1995" s="4">
        <v>114</v>
      </c>
      <c r="HC1995" s="4">
        <v>96</v>
      </c>
      <c r="HD1995" s="19">
        <v>16.8</v>
      </c>
      <c r="HE1995" s="19">
        <v>10.1</v>
      </c>
      <c r="HF1995" s="19">
        <v>7.6</v>
      </c>
      <c r="HG1995" s="19">
        <v>5.7</v>
      </c>
      <c r="HH1995" s="19">
        <v>4.6</v>
      </c>
      <c r="HI1995" s="19">
        <v>4</v>
      </c>
      <c r="HJ1995" s="19">
        <v>3.7</v>
      </c>
      <c r="HK1995" s="19">
        <v>3.3</v>
      </c>
      <c r="HL1995" s="19">
        <v>1.9</v>
      </c>
      <c r="HM1995" s="20">
        <v>0</v>
      </c>
      <c r="HN1995" s="20">
        <v>0</v>
      </c>
      <c r="HO1995" s="20">
        <v>0</v>
      </c>
      <c r="HP1995" s="20">
        <v>0</v>
      </c>
      <c r="HQ1995" s="20">
        <v>0</v>
      </c>
      <c r="HR1995" s="20">
        <v>0</v>
      </c>
      <c r="HS1995" s="20">
        <v>0</v>
      </c>
      <c r="HT1995" s="20">
        <v>0</v>
      </c>
      <c r="HU1995" s="20">
        <v>0</v>
      </c>
      <c r="HV1995" s="19">
        <v>7.6</v>
      </c>
      <c r="HW1995" s="19">
        <v>11.2</v>
      </c>
      <c r="HX1995" s="19">
        <v>10.3</v>
      </c>
      <c r="HY1995" s="19">
        <v>9.3</v>
      </c>
      <c r="HZ1995" s="19">
        <v>7.9</v>
      </c>
      <c r="IA1995" s="19">
        <v>6.9</v>
      </c>
      <c r="IB1995" s="19">
        <v>5.7</v>
      </c>
      <c r="IC1995" s="19">
        <v>4.8</v>
      </c>
    </row>
    <row r="1996">
      <c r="A1996" s="2" t="s">
        <v>7199</v>
      </c>
      <c r="B1996" s="2" t="s">
        <v>1139</v>
      </c>
      <c r="C1996" s="2" t="s">
        <v>360</v>
      </c>
      <c r="D1996" s="2" t="s">
        <v>1152</v>
      </c>
      <c r="E1996" s="2" t="s">
        <v>1153</v>
      </c>
      <c r="F1996" s="2" t="s">
        <v>7196</v>
      </c>
      <c r="G1996" s="2" t="s">
        <v>7196</v>
      </c>
      <c r="H1996" s="2" t="s">
        <v>7196</v>
      </c>
      <c r="I1996" s="2" t="s">
        <v>7197</v>
      </c>
      <c r="J1996" s="2" t="s">
        <v>7200</v>
      </c>
      <c r="K1996" s="2" t="s">
        <v>231</v>
      </c>
      <c r="L1996" s="3">
        <v>21.3</v>
      </c>
      <c r="M1996" s="3">
        <v>22.37</v>
      </c>
      <c r="N1996" s="3">
        <v>45.99</v>
      </c>
      <c r="O1996" s="2" t="s">
        <v>232</v>
      </c>
      <c r="P1996" s="2" t="s">
        <v>233</v>
      </c>
      <c r="Q1996" s="2" t="s">
        <v>234</v>
      </c>
      <c r="R1996" s="2" t="s">
        <v>235</v>
      </c>
      <c r="S1996" s="2" t="s">
        <v>235</v>
      </c>
      <c r="T1996" s="2" t="s">
        <v>263</v>
      </c>
      <c r="U1996" s="2" t="s">
        <v>807</v>
      </c>
      <c r="V1996" s="2" t="s">
        <v>238</v>
      </c>
      <c r="W1996" s="2" t="s">
        <v>239</v>
      </c>
      <c r="X1996" s="2" t="s">
        <v>235</v>
      </c>
      <c r="Y1996" s="2" t="s">
        <v>4665</v>
      </c>
      <c r="Z1996" s="4">
        <v>115</v>
      </c>
      <c r="AA1996" s="4">
        <f>=ROUNDDOWN(11.5,0)</f>
      </c>
      <c r="AB1996" s="5">
        <v>10</v>
      </c>
      <c r="AC1996" s="2" t="s">
        <v>4737</v>
      </c>
      <c r="AD1996" s="4">
        <v>160</v>
      </c>
      <c r="AE1996" s="4">
        <v>160</v>
      </c>
      <c r="AF1996" s="6">
        <v>79</v>
      </c>
      <c r="AG1996" s="6"/>
      <c r="AH1996" s="7">
        <v>1</v>
      </c>
      <c r="AI1996" s="4"/>
      <c r="AJ1996" s="4">
        <f>=ROUNDDOWN({0},0)</f>
      </c>
      <c r="AK1996" s="5"/>
      <c r="AL1996" s="2" t="s">
        <v>235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 t="s">
        <v>235</v>
      </c>
      <c r="BD1996" s="8" t="s">
        <v>235</v>
      </c>
      <c r="BE1996" s="4" t="s">
        <v>235</v>
      </c>
      <c r="BF1996" s="8" t="s">
        <v>235</v>
      </c>
      <c r="BG1996" s="7" t="s">
        <v>235</v>
      </c>
      <c r="BH1996" s="7" t="s">
        <v>235</v>
      </c>
      <c r="BI1996" s="7"/>
      <c r="BJ1996" s="4">
        <v>59</v>
      </c>
      <c r="BK1996" s="8">
        <v>1443.54</v>
      </c>
      <c r="BL1996" s="2" t="s">
        <v>7201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7198</v>
      </c>
      <c r="BV1996" s="2" t="s">
        <v>235</v>
      </c>
      <c r="BW1996" s="2" t="s">
        <v>235</v>
      </c>
      <c r="BX1996" s="2" t="s">
        <v>685</v>
      </c>
      <c r="BY1996" s="2" t="s">
        <v>245</v>
      </c>
      <c r="BZ1996" s="2" t="s">
        <v>232</v>
      </c>
      <c r="CA1996" s="2" t="s">
        <v>235</v>
      </c>
      <c r="CB1996" s="2" t="s">
        <v>7202</v>
      </c>
      <c r="CC1996" s="2" t="s">
        <v>248</v>
      </c>
      <c r="CD1996" s="2" t="s">
        <v>248</v>
      </c>
      <c r="CE1996" s="2" t="s">
        <v>235</v>
      </c>
      <c r="CF1996" s="4">
        <v>115</v>
      </c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>
        <v>160</v>
      </c>
      <c r="FZ1996" s="4"/>
      <c r="GA1996" s="4"/>
      <c r="GB1996" s="4"/>
      <c r="GC1996" s="4"/>
      <c r="GD1996" s="4">
        <v>115</v>
      </c>
      <c r="GE1996" s="4">
        <v>103</v>
      </c>
      <c r="GF1996" s="4">
        <v>101</v>
      </c>
      <c r="GG1996" s="4">
        <v>92</v>
      </c>
      <c r="GH1996" s="4">
        <v>79</v>
      </c>
      <c r="GI1996" s="4">
        <v>64</v>
      </c>
      <c r="GJ1996" s="4">
        <v>52</v>
      </c>
      <c r="GK1996" s="4">
        <v>41</v>
      </c>
      <c r="GL1996" s="4">
        <v>30</v>
      </c>
      <c r="GM1996" s="4">
        <v>17</v>
      </c>
      <c r="GN1996" s="4">
        <v>8</v>
      </c>
      <c r="GO1996" s="4"/>
      <c r="GP1996" s="4"/>
      <c r="GQ1996" s="4"/>
      <c r="GR1996" s="4"/>
      <c r="GS1996" s="4"/>
      <c r="GT1996" s="4"/>
      <c r="GU1996" s="4"/>
      <c r="GV1996" s="4">
        <v>160</v>
      </c>
      <c r="GW1996" s="4">
        <v>99</v>
      </c>
      <c r="GX1996" s="4">
        <v>90</v>
      </c>
      <c r="GY1996" s="4">
        <v>81</v>
      </c>
      <c r="GZ1996" s="4">
        <v>72</v>
      </c>
      <c r="HA1996" s="4">
        <v>63</v>
      </c>
      <c r="HB1996" s="4">
        <v>54</v>
      </c>
      <c r="HC1996" s="4">
        <v>45</v>
      </c>
      <c r="HD1996" s="19">
        <v>12.8</v>
      </c>
      <c r="HE1996" s="19">
        <v>10.3</v>
      </c>
      <c r="HF1996" s="19">
        <v>8.4</v>
      </c>
      <c r="HG1996" s="19">
        <v>7.1</v>
      </c>
      <c r="HH1996" s="19">
        <v>6.6</v>
      </c>
      <c r="HI1996" s="19">
        <v>5.3</v>
      </c>
      <c r="HJ1996" s="19">
        <v>4.7</v>
      </c>
      <c r="HK1996" s="19">
        <v>4.1</v>
      </c>
      <c r="HL1996" s="19">
        <v>3.8</v>
      </c>
      <c r="HM1996" s="19">
        <v>2.8</v>
      </c>
      <c r="HN1996" s="19">
        <v>2</v>
      </c>
      <c r="HO1996" s="20">
        <v>0</v>
      </c>
      <c r="HP1996" s="20">
        <v>0</v>
      </c>
      <c r="HQ1996" s="20">
        <v>0</v>
      </c>
      <c r="HR1996" s="20">
        <v>0</v>
      </c>
      <c r="HS1996" s="20">
        <v>0</v>
      </c>
      <c r="HT1996" s="20">
        <v>0</v>
      </c>
      <c r="HU1996" s="20">
        <v>0</v>
      </c>
      <c r="HV1996" s="19">
        <v>7.3</v>
      </c>
      <c r="HW1996" s="19">
        <v>11</v>
      </c>
      <c r="HX1996" s="19">
        <v>10</v>
      </c>
      <c r="HY1996" s="19">
        <v>9</v>
      </c>
      <c r="HZ1996" s="19">
        <v>7.2</v>
      </c>
      <c r="IA1996" s="19">
        <v>6.3</v>
      </c>
      <c r="IB1996" s="19">
        <v>5.4</v>
      </c>
      <c r="IC1996" s="19">
        <v>4.5</v>
      </c>
    </row>
    <row r="1997">
      <c r="A1997" s="2" t="s">
        <v>7203</v>
      </c>
      <c r="B1997" s="2" t="s">
        <v>1139</v>
      </c>
      <c r="C1997" s="2" t="s">
        <v>360</v>
      </c>
      <c r="D1997" s="2" t="s">
        <v>1152</v>
      </c>
      <c r="E1997" s="2" t="s">
        <v>1153</v>
      </c>
      <c r="F1997" s="2" t="s">
        <v>7196</v>
      </c>
      <c r="G1997" s="2" t="s">
        <v>7196</v>
      </c>
      <c r="H1997" s="2" t="s">
        <v>7196</v>
      </c>
      <c r="I1997" s="2" t="s">
        <v>7197</v>
      </c>
      <c r="J1997" s="2" t="s">
        <v>6695</v>
      </c>
      <c r="K1997" s="2" t="s">
        <v>338</v>
      </c>
      <c r="L1997" s="3">
        <v>12</v>
      </c>
      <c r="M1997" s="3">
        <v>12.6</v>
      </c>
      <c r="N1997" s="3">
        <v>25.99</v>
      </c>
      <c r="O1997" s="2" t="s">
        <v>232</v>
      </c>
      <c r="P1997" s="2" t="s">
        <v>336</v>
      </c>
      <c r="Q1997" s="2" t="s">
        <v>234</v>
      </c>
      <c r="R1997" s="2" t="s">
        <v>235</v>
      </c>
      <c r="S1997" s="2" t="s">
        <v>235</v>
      </c>
      <c r="T1997" s="2" t="s">
        <v>263</v>
      </c>
      <c r="U1997" s="2" t="s">
        <v>807</v>
      </c>
      <c r="V1997" s="2" t="s">
        <v>238</v>
      </c>
      <c r="W1997" s="2" t="s">
        <v>239</v>
      </c>
      <c r="X1997" s="2" t="s">
        <v>235</v>
      </c>
      <c r="Y1997" s="2" t="s">
        <v>4665</v>
      </c>
      <c r="Z1997" s="4">
        <v>112</v>
      </c>
      <c r="AA1997" s="4">
        <f>=ROUNDDOWN(4.30769230769231,0)</f>
      </c>
      <c r="AB1997" s="5">
        <v>26</v>
      </c>
      <c r="AC1997" s="2" t="s">
        <v>182</v>
      </c>
      <c r="AD1997" s="4">
        <v>480</v>
      </c>
      <c r="AE1997" s="4">
        <v>852</v>
      </c>
      <c r="AF1997" s="6">
        <v>79</v>
      </c>
      <c r="AG1997" s="6"/>
      <c r="AH1997" s="7">
        <v>0.3226</v>
      </c>
      <c r="AI1997" s="4"/>
      <c r="AJ1997" s="4">
        <f>=ROUNDDOWN({0},0)</f>
      </c>
      <c r="AK1997" s="5"/>
      <c r="AL1997" s="2" t="s">
        <v>235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235</v>
      </c>
      <c r="AW1997" s="8" t="s">
        <v>235</v>
      </c>
      <c r="AX1997" s="4" t="s">
        <v>235</v>
      </c>
      <c r="AY1997" s="8" t="s">
        <v>235</v>
      </c>
      <c r="AZ1997" s="7" t="s">
        <v>235</v>
      </c>
      <c r="BA1997" s="7" t="s">
        <v>235</v>
      </c>
      <c r="BB1997" s="7"/>
      <c r="BC1997" s="4" t="s">
        <v>235</v>
      </c>
      <c r="BD1997" s="8" t="s">
        <v>235</v>
      </c>
      <c r="BE1997" s="4" t="s">
        <v>235</v>
      </c>
      <c r="BF1997" s="8" t="s">
        <v>235</v>
      </c>
      <c r="BG1997" s="7" t="s">
        <v>235</v>
      </c>
      <c r="BH1997" s="7" t="s">
        <v>235</v>
      </c>
      <c r="BI1997" s="7"/>
      <c r="BJ1997" s="4">
        <v>52</v>
      </c>
      <c r="BK1997" s="8">
        <v>721.32</v>
      </c>
      <c r="BL1997" s="2" t="s">
        <v>4316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7198</v>
      </c>
      <c r="BV1997" s="2" t="s">
        <v>235</v>
      </c>
      <c r="BW1997" s="2" t="s">
        <v>235</v>
      </c>
      <c r="BX1997" s="2" t="s">
        <v>685</v>
      </c>
      <c r="BY1997" s="2" t="s">
        <v>245</v>
      </c>
      <c r="BZ1997" s="2" t="s">
        <v>232</v>
      </c>
      <c r="CA1997" s="2" t="s">
        <v>235</v>
      </c>
      <c r="CB1997" s="2" t="s">
        <v>7204</v>
      </c>
      <c r="CC1997" s="2" t="s">
        <v>248</v>
      </c>
      <c r="CD1997" s="2" t="s">
        <v>248</v>
      </c>
      <c r="CE1997" s="2" t="s">
        <v>235</v>
      </c>
      <c r="CF1997" s="4">
        <v>112</v>
      </c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>
        <v>480</v>
      </c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>
        <v>272</v>
      </c>
      <c r="FS1997" s="4"/>
      <c r="FT1997" s="4"/>
      <c r="FU1997" s="4"/>
      <c r="FV1997" s="4"/>
      <c r="FW1997" s="4"/>
      <c r="FX1997" s="4"/>
      <c r="FY1997" s="4">
        <v>100</v>
      </c>
      <c r="FZ1997" s="4"/>
      <c r="GA1997" s="4"/>
      <c r="GB1997" s="4"/>
      <c r="GC1997" s="4"/>
      <c r="GD1997" s="4">
        <v>140</v>
      </c>
      <c r="GE1997" s="4">
        <v>102</v>
      </c>
      <c r="GF1997" s="4">
        <v>97</v>
      </c>
      <c r="GG1997" s="4">
        <v>68</v>
      </c>
      <c r="GH1997" s="4">
        <v>28</v>
      </c>
      <c r="GI1997" s="4"/>
      <c r="GJ1997" s="4"/>
      <c r="GK1997" s="4"/>
      <c r="GL1997" s="4"/>
      <c r="GM1997" s="4"/>
      <c r="GN1997" s="4"/>
      <c r="GO1997" s="4">
        <v>480</v>
      </c>
      <c r="GP1997" s="4">
        <v>264</v>
      </c>
      <c r="GQ1997" s="4">
        <v>232</v>
      </c>
      <c r="GR1997" s="4">
        <v>191</v>
      </c>
      <c r="GS1997" s="4">
        <v>165</v>
      </c>
      <c r="GT1997" s="4">
        <v>407</v>
      </c>
      <c r="GU1997" s="4">
        <v>379</v>
      </c>
      <c r="GV1997" s="4">
        <v>450</v>
      </c>
      <c r="GW1997" s="4">
        <v>427</v>
      </c>
      <c r="GX1997" s="4">
        <v>399</v>
      </c>
      <c r="GY1997" s="4">
        <v>371</v>
      </c>
      <c r="GZ1997" s="4">
        <v>340</v>
      </c>
      <c r="HA1997" s="4">
        <v>316</v>
      </c>
      <c r="HB1997" s="4">
        <v>292</v>
      </c>
      <c r="HC1997" s="4">
        <v>268</v>
      </c>
      <c r="HD1997" s="19">
        <v>5</v>
      </c>
      <c r="HE1997" s="19">
        <v>3.9</v>
      </c>
      <c r="HF1997" s="19">
        <v>3.7</v>
      </c>
      <c r="HG1997" s="19">
        <v>3.4</v>
      </c>
      <c r="HH1997" s="19">
        <v>2.5</v>
      </c>
      <c r="HI1997" s="20">
        <v>0</v>
      </c>
      <c r="HJ1997" s="20">
        <v>0</v>
      </c>
      <c r="HK1997" s="20">
        <v>0</v>
      </c>
      <c r="HL1997" s="20">
        <v>0</v>
      </c>
      <c r="HM1997" s="20">
        <v>0</v>
      </c>
      <c r="HN1997" s="20">
        <v>0</v>
      </c>
      <c r="HO1997" s="19">
        <v>6.1</v>
      </c>
      <c r="HP1997" s="19">
        <v>8.3</v>
      </c>
      <c r="HQ1997" s="19">
        <v>7.5</v>
      </c>
      <c r="HR1997" s="19">
        <v>6.8</v>
      </c>
      <c r="HS1997" s="19">
        <v>5.9</v>
      </c>
      <c r="HT1997" s="19">
        <v>15.1</v>
      </c>
      <c r="HU1997" s="19">
        <v>14</v>
      </c>
      <c r="HV1997" s="19">
        <v>16.1</v>
      </c>
      <c r="HW1997" s="19">
        <v>15.3</v>
      </c>
      <c r="HX1997" s="19">
        <v>14.8</v>
      </c>
      <c r="HY1997" s="19">
        <v>14.3</v>
      </c>
      <c r="HZ1997" s="19">
        <v>13.1</v>
      </c>
      <c r="IA1997" s="19">
        <v>12.2</v>
      </c>
      <c r="IB1997" s="19">
        <v>11.2</v>
      </c>
      <c r="IC1997" s="19">
        <v>9.6</v>
      </c>
    </row>
    <row r="1998">
      <c r="A1998" s="2" t="s">
        <v>7205</v>
      </c>
      <c r="B1998" s="2" t="s">
        <v>1139</v>
      </c>
      <c r="C1998" s="2" t="s">
        <v>360</v>
      </c>
      <c r="D1998" s="2" t="s">
        <v>1152</v>
      </c>
      <c r="E1998" s="2" t="s">
        <v>1153</v>
      </c>
      <c r="F1998" s="2" t="s">
        <v>7196</v>
      </c>
      <c r="G1998" s="2" t="s">
        <v>7196</v>
      </c>
      <c r="H1998" s="2" t="s">
        <v>7196</v>
      </c>
      <c r="I1998" s="2" t="s">
        <v>7197</v>
      </c>
      <c r="J1998" s="2" t="s">
        <v>7200</v>
      </c>
      <c r="K1998" s="2" t="s">
        <v>338</v>
      </c>
      <c r="L1998" s="3">
        <v>21.3</v>
      </c>
      <c r="M1998" s="3">
        <v>22.37</v>
      </c>
      <c r="N1998" s="3">
        <v>45.99</v>
      </c>
      <c r="O1998" s="2" t="s">
        <v>232</v>
      </c>
      <c r="P1998" s="2" t="s">
        <v>336</v>
      </c>
      <c r="Q1998" s="2" t="s">
        <v>234</v>
      </c>
      <c r="R1998" s="2" t="s">
        <v>235</v>
      </c>
      <c r="S1998" s="2" t="s">
        <v>235</v>
      </c>
      <c r="T1998" s="2" t="s">
        <v>263</v>
      </c>
      <c r="U1998" s="2" t="s">
        <v>807</v>
      </c>
      <c r="V1998" s="2" t="s">
        <v>238</v>
      </c>
      <c r="W1998" s="2" t="s">
        <v>239</v>
      </c>
      <c r="X1998" s="2" t="s">
        <v>235</v>
      </c>
      <c r="Y1998" s="2" t="s">
        <v>4665</v>
      </c>
      <c r="Z1998" s="4"/>
      <c r="AA1998" s="4">
        <f>=ROUNDDOWN({0},0)</f>
      </c>
      <c r="AB1998" s="5">
        <v>22</v>
      </c>
      <c r="AC1998" s="2" t="s">
        <v>182</v>
      </c>
      <c r="AD1998" s="4">
        <v>440</v>
      </c>
      <c r="AE1998" s="4">
        <v>852</v>
      </c>
      <c r="AF1998" s="6">
        <v>79</v>
      </c>
      <c r="AG1998" s="6"/>
      <c r="AH1998" s="7">
        <v>0.5161</v>
      </c>
      <c r="AI1998" s="4"/>
      <c r="AJ1998" s="4">
        <f>=ROUNDDOWN({0},0)</f>
      </c>
      <c r="AK1998" s="5"/>
      <c r="AL1998" s="2" t="s">
        <v>235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235</v>
      </c>
      <c r="AW1998" s="8" t="s">
        <v>235</v>
      </c>
      <c r="AX1998" s="4" t="s">
        <v>235</v>
      </c>
      <c r="AY1998" s="8" t="s">
        <v>235</v>
      </c>
      <c r="AZ1998" s="7" t="s">
        <v>235</v>
      </c>
      <c r="BA1998" s="7" t="s">
        <v>235</v>
      </c>
      <c r="BB1998" s="7"/>
      <c r="BC1998" s="4" t="s">
        <v>235</v>
      </c>
      <c r="BD1998" s="8" t="s">
        <v>235</v>
      </c>
      <c r="BE1998" s="4" t="s">
        <v>235</v>
      </c>
      <c r="BF1998" s="8" t="s">
        <v>235</v>
      </c>
      <c r="BG1998" s="7" t="s">
        <v>235</v>
      </c>
      <c r="BH1998" s="7" t="s">
        <v>235</v>
      </c>
      <c r="BI1998" s="7"/>
      <c r="BJ1998" s="4">
        <v>163</v>
      </c>
      <c r="BK1998" s="8">
        <v>3986.3</v>
      </c>
      <c r="BL1998" s="2" t="s">
        <v>1259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7198</v>
      </c>
      <c r="BV1998" s="2" t="s">
        <v>235</v>
      </c>
      <c r="BW1998" s="2" t="s">
        <v>235</v>
      </c>
      <c r="BX1998" s="2" t="s">
        <v>685</v>
      </c>
      <c r="BY1998" s="2" t="s">
        <v>245</v>
      </c>
      <c r="BZ1998" s="2" t="s">
        <v>232</v>
      </c>
      <c r="CA1998" s="2" t="s">
        <v>235</v>
      </c>
      <c r="CB1998" s="2" t="s">
        <v>7204</v>
      </c>
      <c r="CC1998" s="2" t="s">
        <v>248</v>
      </c>
      <c r="CD1998" s="2" t="s">
        <v>248</v>
      </c>
      <c r="CE1998" s="2" t="s">
        <v>235</v>
      </c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>
        <v>440</v>
      </c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>
        <v>160</v>
      </c>
      <c r="FS1998" s="4"/>
      <c r="FT1998" s="4"/>
      <c r="FU1998" s="4"/>
      <c r="FV1998" s="4"/>
      <c r="FW1998" s="4"/>
      <c r="FX1998" s="4"/>
      <c r="FY1998" s="4">
        <v>152</v>
      </c>
      <c r="FZ1998" s="4"/>
      <c r="GA1998" s="4"/>
      <c r="GB1998" s="4">
        <v>100</v>
      </c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>
        <v>440</v>
      </c>
      <c r="GP1998" s="4">
        <v>346</v>
      </c>
      <c r="GQ1998" s="4">
        <v>329</v>
      </c>
      <c r="GR1998" s="4">
        <v>306</v>
      </c>
      <c r="GS1998" s="4">
        <v>284</v>
      </c>
      <c r="GT1998" s="4">
        <v>429</v>
      </c>
      <c r="GU1998" s="4">
        <v>416</v>
      </c>
      <c r="GV1998" s="4">
        <v>556</v>
      </c>
      <c r="GW1998" s="4">
        <v>537</v>
      </c>
      <c r="GX1998" s="4">
        <v>618</v>
      </c>
      <c r="GY1998" s="4">
        <v>599</v>
      </c>
      <c r="GZ1998" s="4">
        <v>579</v>
      </c>
      <c r="HA1998" s="4">
        <v>559</v>
      </c>
      <c r="HB1998" s="4">
        <v>539</v>
      </c>
      <c r="HC1998" s="4">
        <v>519</v>
      </c>
      <c r="HD1998" s="20">
        <v>0</v>
      </c>
      <c r="HE1998" s="20">
        <v>0</v>
      </c>
      <c r="HF1998" s="20">
        <v>0</v>
      </c>
      <c r="HG1998" s="20">
        <v>0</v>
      </c>
      <c r="HH1998" s="20">
        <v>0</v>
      </c>
      <c r="HI1998" s="20">
        <v>0</v>
      </c>
      <c r="HJ1998" s="20">
        <v>0</v>
      </c>
      <c r="HK1998" s="20">
        <v>0</v>
      </c>
      <c r="HL1998" s="20">
        <v>0</v>
      </c>
      <c r="HM1998" s="20">
        <v>0</v>
      </c>
      <c r="HN1998" s="20">
        <v>0</v>
      </c>
      <c r="HO1998" s="19">
        <v>11.3</v>
      </c>
      <c r="HP1998" s="19">
        <v>18.2</v>
      </c>
      <c r="HQ1998" s="19">
        <v>18.3</v>
      </c>
      <c r="HR1998" s="19">
        <v>19.1</v>
      </c>
      <c r="HS1998" s="19">
        <v>18.9</v>
      </c>
      <c r="HT1998" s="19">
        <v>26.8</v>
      </c>
      <c r="HU1998" s="19">
        <v>24.5</v>
      </c>
      <c r="HV1998" s="19">
        <v>29.3</v>
      </c>
      <c r="HW1998" s="19">
        <v>26.9</v>
      </c>
      <c r="HX1998" s="19">
        <v>30.9</v>
      </c>
      <c r="HY1998" s="19">
        <v>30</v>
      </c>
      <c r="HZ1998" s="19">
        <v>26.3</v>
      </c>
      <c r="IA1998" s="19">
        <v>25.4</v>
      </c>
      <c r="IB1998" s="19">
        <v>24.5</v>
      </c>
      <c r="IC1998" s="19">
        <v>22.6</v>
      </c>
    </row>
    <row r="1999">
      <c r="A1999" s="2" t="s">
        <v>7206</v>
      </c>
      <c r="B1999" s="2" t="s">
        <v>1139</v>
      </c>
      <c r="C1999" s="2" t="s">
        <v>360</v>
      </c>
      <c r="D1999" s="2" t="s">
        <v>1152</v>
      </c>
      <c r="E1999" s="2" t="s">
        <v>1153</v>
      </c>
      <c r="F1999" s="2" t="s">
        <v>7196</v>
      </c>
      <c r="G1999" s="2" t="s">
        <v>7196</v>
      </c>
      <c r="H1999" s="2" t="s">
        <v>7196</v>
      </c>
      <c r="I1999" s="2" t="s">
        <v>7197</v>
      </c>
      <c r="J1999" s="2" t="s">
        <v>6698</v>
      </c>
      <c r="K1999" s="2" t="s">
        <v>338</v>
      </c>
      <c r="L1999" s="3">
        <v>18.5</v>
      </c>
      <c r="M1999" s="3">
        <v>19.43</v>
      </c>
      <c r="N1999" s="3">
        <v>39.99</v>
      </c>
      <c r="O1999" s="2" t="s">
        <v>232</v>
      </c>
      <c r="P1999" s="2" t="s">
        <v>336</v>
      </c>
      <c r="Q1999" s="2" t="s">
        <v>234</v>
      </c>
      <c r="R1999" s="2" t="s">
        <v>235</v>
      </c>
      <c r="S1999" s="2" t="s">
        <v>235</v>
      </c>
      <c r="T1999" s="2" t="s">
        <v>263</v>
      </c>
      <c r="U1999" s="2" t="s">
        <v>807</v>
      </c>
      <c r="V1999" s="2" t="s">
        <v>238</v>
      </c>
      <c r="W1999" s="2" t="s">
        <v>239</v>
      </c>
      <c r="X1999" s="2" t="s">
        <v>235</v>
      </c>
      <c r="Y1999" s="2" t="s">
        <v>7207</v>
      </c>
      <c r="Z1999" s="4">
        <v>150</v>
      </c>
      <c r="AA1999" s="4">
        <f>=ROUNDDOWN(6.25,0)</f>
      </c>
      <c r="AB1999" s="5">
        <v>24</v>
      </c>
      <c r="AC1999" s="2" t="s">
        <v>182</v>
      </c>
      <c r="AD1999" s="4">
        <v>400</v>
      </c>
      <c r="AE1999" s="4">
        <v>1040</v>
      </c>
      <c r="AF1999" s="6">
        <v>79</v>
      </c>
      <c r="AG1999" s="6"/>
      <c r="AH1999" s="7">
        <v>0.3226</v>
      </c>
      <c r="AI1999" s="4"/>
      <c r="AJ1999" s="4">
        <f>=ROUNDDOWN({0},0)</f>
      </c>
      <c r="AK1999" s="5"/>
      <c r="AL1999" s="2" t="s">
        <v>235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235</v>
      </c>
      <c r="AW1999" s="8" t="s">
        <v>235</v>
      </c>
      <c r="AX1999" s="4" t="s">
        <v>235</v>
      </c>
      <c r="AY1999" s="8" t="s">
        <v>235</v>
      </c>
      <c r="AZ1999" s="7" t="s">
        <v>235</v>
      </c>
      <c r="BA1999" s="7" t="s">
        <v>235</v>
      </c>
      <c r="BB1999" s="7"/>
      <c r="BC1999" s="4" t="s">
        <v>235</v>
      </c>
      <c r="BD1999" s="8" t="s">
        <v>235</v>
      </c>
      <c r="BE1999" s="4" t="s">
        <v>235</v>
      </c>
      <c r="BF1999" s="8" t="s">
        <v>235</v>
      </c>
      <c r="BG1999" s="7" t="s">
        <v>235</v>
      </c>
      <c r="BH1999" s="7" t="s">
        <v>235</v>
      </c>
      <c r="BI1999" s="7"/>
      <c r="BJ1999" s="4">
        <v>129</v>
      </c>
      <c r="BK1999" s="8">
        <v>2743.06</v>
      </c>
      <c r="BL1999" s="2" t="s">
        <v>7208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7198</v>
      </c>
      <c r="BV1999" s="2" t="s">
        <v>235</v>
      </c>
      <c r="BW1999" s="2" t="s">
        <v>235</v>
      </c>
      <c r="BX1999" s="2" t="s">
        <v>685</v>
      </c>
      <c r="BY1999" s="2" t="s">
        <v>245</v>
      </c>
      <c r="BZ1999" s="2" t="s">
        <v>232</v>
      </c>
      <c r="CA1999" s="2" t="s">
        <v>235</v>
      </c>
      <c r="CB1999" s="2" t="s">
        <v>7209</v>
      </c>
      <c r="CC1999" s="2" t="s">
        <v>248</v>
      </c>
      <c r="CD1999" s="2" t="s">
        <v>248</v>
      </c>
      <c r="CE1999" s="2" t="s">
        <v>235</v>
      </c>
      <c r="CF1999" s="4">
        <v>150</v>
      </c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>
        <v>400</v>
      </c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>
        <v>200</v>
      </c>
      <c r="FS1999" s="4"/>
      <c r="FT1999" s="4"/>
      <c r="FU1999" s="4"/>
      <c r="FV1999" s="4"/>
      <c r="FW1999" s="4"/>
      <c r="FX1999" s="4"/>
      <c r="FY1999" s="4">
        <v>180</v>
      </c>
      <c r="FZ1999" s="4"/>
      <c r="GA1999" s="4"/>
      <c r="GB1999" s="4">
        <v>260</v>
      </c>
      <c r="GC1999" s="4"/>
      <c r="GD1999" s="4">
        <v>166</v>
      </c>
      <c r="GE1999" s="4">
        <v>125</v>
      </c>
      <c r="GF1999" s="4">
        <v>112</v>
      </c>
      <c r="GG1999" s="4">
        <v>89</v>
      </c>
      <c r="GH1999" s="4">
        <v>59</v>
      </c>
      <c r="GI1999" s="4">
        <v>26</v>
      </c>
      <c r="GJ1999" s="4"/>
      <c r="GK1999" s="4"/>
      <c r="GL1999" s="4"/>
      <c r="GM1999" s="4"/>
      <c r="GN1999" s="4"/>
      <c r="GO1999" s="4">
        <v>400</v>
      </c>
      <c r="GP1999" s="4">
        <v>271</v>
      </c>
      <c r="GQ1999" s="4">
        <v>249</v>
      </c>
      <c r="GR1999" s="4">
        <v>219</v>
      </c>
      <c r="GS1999" s="4">
        <v>195</v>
      </c>
      <c r="GT1999" s="4">
        <v>372</v>
      </c>
      <c r="GU1999" s="4">
        <v>351</v>
      </c>
      <c r="GV1999" s="4">
        <v>510</v>
      </c>
      <c r="GW1999" s="4">
        <v>489</v>
      </c>
      <c r="GX1999" s="4">
        <v>728</v>
      </c>
      <c r="GY1999" s="4">
        <v>707</v>
      </c>
      <c r="GZ1999" s="4">
        <v>685</v>
      </c>
      <c r="HA1999" s="4">
        <v>663</v>
      </c>
      <c r="HB1999" s="4">
        <v>641</v>
      </c>
      <c r="HC1999" s="4">
        <v>619</v>
      </c>
      <c r="HD1999" s="19">
        <v>6.1</v>
      </c>
      <c r="HE1999" s="19">
        <v>5</v>
      </c>
      <c r="HF1999" s="19">
        <v>4</v>
      </c>
      <c r="HG1999" s="19">
        <v>3.9</v>
      </c>
      <c r="HH1999" s="19">
        <v>3.5</v>
      </c>
      <c r="HI1999" s="19">
        <v>2.6</v>
      </c>
      <c r="HJ1999" s="20">
        <v>0</v>
      </c>
      <c r="HK1999" s="20">
        <v>0</v>
      </c>
      <c r="HL1999" s="20">
        <v>0</v>
      </c>
      <c r="HM1999" s="20">
        <v>0</v>
      </c>
      <c r="HN1999" s="20">
        <v>0</v>
      </c>
      <c r="HO1999" s="19">
        <v>7.8</v>
      </c>
      <c r="HP1999" s="19">
        <v>10.8</v>
      </c>
      <c r="HQ1999" s="19">
        <v>10.4</v>
      </c>
      <c r="HR1999" s="19">
        <v>10</v>
      </c>
      <c r="HS1999" s="19">
        <v>8.9</v>
      </c>
      <c r="HT1999" s="19">
        <v>17.7</v>
      </c>
      <c r="HU1999" s="19">
        <v>16.7</v>
      </c>
      <c r="HV1999" s="19">
        <v>24.3</v>
      </c>
      <c r="HW1999" s="19">
        <v>22.2</v>
      </c>
      <c r="HX1999" s="19">
        <v>33.1</v>
      </c>
      <c r="HY1999" s="19">
        <v>32.1</v>
      </c>
      <c r="HZ1999" s="19">
        <v>28.5</v>
      </c>
      <c r="IA1999" s="19">
        <v>27.6</v>
      </c>
      <c r="IB1999" s="19">
        <v>26.7</v>
      </c>
      <c r="IC1999" s="19">
        <v>23.8</v>
      </c>
    </row>
    <row r="2000">
      <c r="A2000" s="2" t="s">
        <v>7210</v>
      </c>
      <c r="B2000" s="2" t="s">
        <v>1139</v>
      </c>
      <c r="C2000" s="2" t="s">
        <v>360</v>
      </c>
      <c r="D2000" s="2" t="s">
        <v>1152</v>
      </c>
      <c r="E2000" s="2" t="s">
        <v>1153</v>
      </c>
      <c r="F2000" s="2" t="s">
        <v>7196</v>
      </c>
      <c r="G2000" s="2" t="s">
        <v>7196</v>
      </c>
      <c r="H2000" s="2" t="s">
        <v>7196</v>
      </c>
      <c r="I2000" s="2" t="s">
        <v>7197</v>
      </c>
      <c r="J2000" s="2" t="s">
        <v>1155</v>
      </c>
      <c r="K2000" s="2" t="s">
        <v>338</v>
      </c>
      <c r="L2000" s="3">
        <v>27</v>
      </c>
      <c r="M2000" s="3">
        <v>28.35</v>
      </c>
      <c r="N2000" s="3">
        <v>56.99</v>
      </c>
      <c r="O2000" s="2" t="s">
        <v>232</v>
      </c>
      <c r="P2000" s="2" t="s">
        <v>336</v>
      </c>
      <c r="Q2000" s="2" t="s">
        <v>234</v>
      </c>
      <c r="R2000" s="2" t="s">
        <v>235</v>
      </c>
      <c r="S2000" s="2" t="s">
        <v>235</v>
      </c>
      <c r="T2000" s="2" t="s">
        <v>263</v>
      </c>
      <c r="U2000" s="2" t="s">
        <v>807</v>
      </c>
      <c r="V2000" s="2" t="s">
        <v>238</v>
      </c>
      <c r="W2000" s="2" t="s">
        <v>239</v>
      </c>
      <c r="X2000" s="2" t="s">
        <v>235</v>
      </c>
      <c r="Y2000" s="2" t="s">
        <v>4665</v>
      </c>
      <c r="Z2000" s="4">
        <v>63</v>
      </c>
      <c r="AA2000" s="4">
        <f>=ROUNDDOWN(4.5,0)</f>
      </c>
      <c r="AB2000" s="5">
        <v>14</v>
      </c>
      <c r="AC2000" s="2" t="s">
        <v>182</v>
      </c>
      <c r="AD2000" s="4">
        <v>220</v>
      </c>
      <c r="AE2000" s="4">
        <v>520</v>
      </c>
      <c r="AF2000" s="6">
        <v>79</v>
      </c>
      <c r="AG2000" s="6"/>
      <c r="AH2000" s="7">
        <v>0.2903</v>
      </c>
      <c r="AI2000" s="4"/>
      <c r="AJ2000" s="4">
        <f>=ROUNDDOWN({0},0)</f>
      </c>
      <c r="AK2000" s="5"/>
      <c r="AL2000" s="2" t="s">
        <v>235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235</v>
      </c>
      <c r="AW2000" s="8" t="s">
        <v>235</v>
      </c>
      <c r="AX2000" s="4" t="s">
        <v>235</v>
      </c>
      <c r="AY2000" s="8" t="s">
        <v>235</v>
      </c>
      <c r="AZ2000" s="7" t="s">
        <v>235</v>
      </c>
      <c r="BA2000" s="7" t="s">
        <v>235</v>
      </c>
      <c r="BB2000" s="7"/>
      <c r="BC2000" s="4" t="s">
        <v>235</v>
      </c>
      <c r="BD2000" s="8" t="s">
        <v>235</v>
      </c>
      <c r="BE2000" s="4" t="s">
        <v>235</v>
      </c>
      <c r="BF2000" s="8" t="s">
        <v>235</v>
      </c>
      <c r="BG2000" s="7" t="s">
        <v>235</v>
      </c>
      <c r="BH2000" s="7" t="s">
        <v>235</v>
      </c>
      <c r="BI2000" s="7"/>
      <c r="BJ2000" s="4">
        <v>8</v>
      </c>
      <c r="BK2000" s="8">
        <v>248.4</v>
      </c>
      <c r="BL2000" s="2" t="s">
        <v>1226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7198</v>
      </c>
      <c r="BV2000" s="2" t="s">
        <v>235</v>
      </c>
      <c r="BW2000" s="2" t="s">
        <v>235</v>
      </c>
      <c r="BX2000" s="2" t="s">
        <v>685</v>
      </c>
      <c r="BY2000" s="2" t="s">
        <v>245</v>
      </c>
      <c r="BZ2000" s="2" t="s">
        <v>232</v>
      </c>
      <c r="CA2000" s="2" t="s">
        <v>235</v>
      </c>
      <c r="CB2000" s="2" t="s">
        <v>7190</v>
      </c>
      <c r="CC2000" s="2" t="s">
        <v>248</v>
      </c>
      <c r="CD2000" s="2" t="s">
        <v>248</v>
      </c>
      <c r="CE2000" s="2" t="s">
        <v>235</v>
      </c>
      <c r="CF2000" s="4">
        <v>63</v>
      </c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>
        <v>220</v>
      </c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>
        <v>200</v>
      </c>
      <c r="FZ2000" s="4"/>
      <c r="GA2000" s="4"/>
      <c r="GB2000" s="4">
        <v>100</v>
      </c>
      <c r="GC2000" s="4"/>
      <c r="GD2000" s="4">
        <v>117</v>
      </c>
      <c r="GE2000" s="4">
        <v>48</v>
      </c>
      <c r="GF2000" s="4">
        <v>33</v>
      </c>
      <c r="GG2000" s="4">
        <v>18</v>
      </c>
      <c r="GH2000" s="4"/>
      <c r="GI2000" s="4"/>
      <c r="GJ2000" s="4"/>
      <c r="GK2000" s="4"/>
      <c r="GL2000" s="4"/>
      <c r="GM2000" s="4"/>
      <c r="GN2000" s="4"/>
      <c r="GO2000" s="4">
        <v>220</v>
      </c>
      <c r="GP2000" s="4">
        <v>111</v>
      </c>
      <c r="GQ2000" s="4">
        <v>96</v>
      </c>
      <c r="GR2000" s="4">
        <v>76</v>
      </c>
      <c r="GS2000" s="4">
        <v>61</v>
      </c>
      <c r="GT2000" s="4">
        <v>47</v>
      </c>
      <c r="GU2000" s="4">
        <v>35</v>
      </c>
      <c r="GV2000" s="4">
        <v>221</v>
      </c>
      <c r="GW2000" s="4">
        <v>209</v>
      </c>
      <c r="GX2000" s="4">
        <v>297</v>
      </c>
      <c r="GY2000" s="4">
        <v>285</v>
      </c>
      <c r="GZ2000" s="4">
        <v>270</v>
      </c>
      <c r="HA2000" s="4">
        <v>257</v>
      </c>
      <c r="HB2000" s="4">
        <v>244</v>
      </c>
      <c r="HC2000" s="4">
        <v>231</v>
      </c>
      <c r="HD2000" s="19">
        <v>4</v>
      </c>
      <c r="HE2000" s="19">
        <v>3.7</v>
      </c>
      <c r="HF2000" s="19">
        <v>3.3</v>
      </c>
      <c r="HG2000" s="19">
        <v>2.3</v>
      </c>
      <c r="HH2000" s="20">
        <v>0</v>
      </c>
      <c r="HI2000" s="20">
        <v>0</v>
      </c>
      <c r="HJ2000" s="20">
        <v>0</v>
      </c>
      <c r="HK2000" s="20">
        <v>0</v>
      </c>
      <c r="HL2000" s="20">
        <v>0</v>
      </c>
      <c r="HM2000" s="20">
        <v>0</v>
      </c>
      <c r="HN2000" s="20">
        <v>0</v>
      </c>
      <c r="HO2000" s="19">
        <v>5.5</v>
      </c>
      <c r="HP2000" s="19">
        <v>6.9</v>
      </c>
      <c r="HQ2000" s="19">
        <v>6.4</v>
      </c>
      <c r="HR2000" s="19">
        <v>5.4</v>
      </c>
      <c r="HS2000" s="19">
        <v>4.7</v>
      </c>
      <c r="HT2000" s="19">
        <v>3.9</v>
      </c>
      <c r="HU2000" s="19">
        <v>2.9</v>
      </c>
      <c r="HV2000" s="19">
        <v>17</v>
      </c>
      <c r="HW2000" s="19">
        <v>16.1</v>
      </c>
      <c r="HX2000" s="19">
        <v>22.8</v>
      </c>
      <c r="HY2000" s="19">
        <v>20.4</v>
      </c>
      <c r="HZ2000" s="19">
        <v>19.3</v>
      </c>
      <c r="IA2000" s="19">
        <v>18.4</v>
      </c>
      <c r="IB2000" s="19">
        <v>17.4</v>
      </c>
      <c r="IC2000" s="19">
        <v>15.4</v>
      </c>
    </row>
    <row r="2001">
      <c r="A2001" s="2" t="s">
        <v>7211</v>
      </c>
      <c r="B2001" s="2" t="s">
        <v>1139</v>
      </c>
      <c r="C2001" s="2" t="s">
        <v>360</v>
      </c>
      <c r="D2001" s="2" t="s">
        <v>1152</v>
      </c>
      <c r="E2001" s="2" t="s">
        <v>1153</v>
      </c>
      <c r="F2001" s="2" t="s">
        <v>7196</v>
      </c>
      <c r="G2001" s="2" t="s">
        <v>7196</v>
      </c>
      <c r="H2001" s="2" t="s">
        <v>7196</v>
      </c>
      <c r="I2001" s="2" t="s">
        <v>7197</v>
      </c>
      <c r="J2001" s="2" t="s">
        <v>7200</v>
      </c>
      <c r="K2001" s="2" t="s">
        <v>1238</v>
      </c>
      <c r="L2001" s="3">
        <v>21.3</v>
      </c>
      <c r="M2001" s="3">
        <v>22.37</v>
      </c>
      <c r="N2001" s="3">
        <v>45.99</v>
      </c>
      <c r="O2001" s="2" t="s">
        <v>232</v>
      </c>
      <c r="P2001" s="2" t="s">
        <v>878</v>
      </c>
      <c r="Q2001" s="2" t="s">
        <v>234</v>
      </c>
      <c r="R2001" s="2" t="s">
        <v>235</v>
      </c>
      <c r="S2001" s="2" t="s">
        <v>235</v>
      </c>
      <c r="T2001" s="2" t="s">
        <v>263</v>
      </c>
      <c r="U2001" s="2" t="s">
        <v>807</v>
      </c>
      <c r="V2001" s="2" t="s">
        <v>238</v>
      </c>
      <c r="W2001" s="2" t="s">
        <v>239</v>
      </c>
      <c r="X2001" s="2" t="s">
        <v>235</v>
      </c>
      <c r="Y2001" s="2" t="s">
        <v>4665</v>
      </c>
      <c r="Z2001" s="4">
        <v>875</v>
      </c>
      <c r="AA2001" s="4">
        <f>=ROUNDDOWN(72.9166666666667,0)</f>
      </c>
      <c r="AB2001" s="5">
        <v>12</v>
      </c>
      <c r="AC2001" s="2" t="s">
        <v>235</v>
      </c>
      <c r="AD2001" s="4"/>
      <c r="AE2001" s="4"/>
      <c r="AF2001" s="6">
        <v>79</v>
      </c>
      <c r="AG2001" s="6"/>
      <c r="AH2001" s="7">
        <v>1</v>
      </c>
      <c r="AI2001" s="4"/>
      <c r="AJ2001" s="4">
        <f>=ROUNDDOWN({0},0)</f>
      </c>
      <c r="AK2001" s="5"/>
      <c r="AL2001" s="2" t="s">
        <v>235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 t="s">
        <v>235</v>
      </c>
      <c r="BD2001" s="8" t="s">
        <v>235</v>
      </c>
      <c r="BE2001" s="4" t="s">
        <v>235</v>
      </c>
      <c r="BF2001" s="8" t="s">
        <v>235</v>
      </c>
      <c r="BG2001" s="7" t="s">
        <v>235</v>
      </c>
      <c r="BH2001" s="7" t="s">
        <v>235</v>
      </c>
      <c r="BI2001" s="7"/>
      <c r="BJ2001" s="4">
        <v>64</v>
      </c>
      <c r="BK2001" s="8">
        <v>1567.73</v>
      </c>
      <c r="BL2001" s="2" t="s">
        <v>1642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7198</v>
      </c>
      <c r="BV2001" s="2" t="s">
        <v>235</v>
      </c>
      <c r="BW2001" s="2" t="s">
        <v>235</v>
      </c>
      <c r="BX2001" s="2" t="s">
        <v>685</v>
      </c>
      <c r="BY2001" s="2" t="s">
        <v>245</v>
      </c>
      <c r="BZ2001" s="2" t="s">
        <v>232</v>
      </c>
      <c r="CA2001" s="2" t="s">
        <v>235</v>
      </c>
      <c r="CB2001" s="2" t="s">
        <v>2132</v>
      </c>
      <c r="CC2001" s="2" t="s">
        <v>248</v>
      </c>
      <c r="CD2001" s="2" t="s">
        <v>248</v>
      </c>
      <c r="CE2001" s="2" t="s">
        <v>235</v>
      </c>
      <c r="CF2001" s="4">
        <v>875</v>
      </c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>
        <v>879</v>
      </c>
      <c r="GE2001" s="4">
        <v>860</v>
      </c>
      <c r="GF2001" s="4">
        <v>846</v>
      </c>
      <c r="GG2001" s="4">
        <v>832</v>
      </c>
      <c r="GH2001" s="4">
        <v>814</v>
      </c>
      <c r="GI2001" s="4">
        <v>793</v>
      </c>
      <c r="GJ2001" s="4">
        <v>779</v>
      </c>
      <c r="GK2001" s="4">
        <v>762</v>
      </c>
      <c r="GL2001" s="4">
        <v>745</v>
      </c>
      <c r="GM2001" s="4">
        <v>725</v>
      </c>
      <c r="GN2001" s="4">
        <v>714</v>
      </c>
      <c r="GO2001" s="4">
        <v>701</v>
      </c>
      <c r="GP2001" s="4">
        <v>687</v>
      </c>
      <c r="GQ2001" s="4">
        <v>674</v>
      </c>
      <c r="GR2001" s="4">
        <v>655</v>
      </c>
      <c r="GS2001" s="4">
        <v>643</v>
      </c>
      <c r="GT2001" s="4">
        <v>630</v>
      </c>
      <c r="GU2001" s="4">
        <v>617</v>
      </c>
      <c r="GV2001" s="4">
        <v>603</v>
      </c>
      <c r="GW2001" s="4">
        <v>592</v>
      </c>
      <c r="GX2001" s="4">
        <v>581</v>
      </c>
      <c r="GY2001" s="4">
        <v>570</v>
      </c>
      <c r="GZ2001" s="4">
        <v>559</v>
      </c>
      <c r="HA2001" s="4">
        <v>548</v>
      </c>
      <c r="HB2001" s="4">
        <v>537</v>
      </c>
      <c r="HC2001" s="4">
        <v>526</v>
      </c>
      <c r="HD2001" s="19">
        <v>54.9</v>
      </c>
      <c r="HE2001" s="19">
        <v>50.6</v>
      </c>
      <c r="HF2001" s="19">
        <v>49.8</v>
      </c>
      <c r="HG2001" s="19">
        <v>46.2</v>
      </c>
      <c r="HH2001" s="19">
        <v>47.9</v>
      </c>
      <c r="HI2001" s="19">
        <v>46.6</v>
      </c>
      <c r="HJ2001" s="19">
        <v>48.7</v>
      </c>
      <c r="HK2001" s="19">
        <v>50.8</v>
      </c>
      <c r="HL2001" s="19">
        <v>53.2</v>
      </c>
      <c r="HM2001" s="19">
        <v>55.8</v>
      </c>
      <c r="HN2001" s="19">
        <v>47.6</v>
      </c>
      <c r="HO2001" s="19">
        <v>50.1</v>
      </c>
      <c r="HP2001" s="19">
        <v>49.1</v>
      </c>
      <c r="HQ2001" s="19">
        <v>48.1</v>
      </c>
      <c r="HR2001" s="19">
        <v>50.4</v>
      </c>
      <c r="HS2001" s="19">
        <v>49.5</v>
      </c>
      <c r="HT2001" s="19">
        <v>52.5</v>
      </c>
      <c r="HU2001" s="19">
        <v>51.4</v>
      </c>
      <c r="HV2001" s="19">
        <v>54.8</v>
      </c>
      <c r="HW2001" s="19">
        <v>53.8</v>
      </c>
      <c r="HX2001" s="19">
        <v>52.8</v>
      </c>
      <c r="HY2001" s="19">
        <v>51.8</v>
      </c>
      <c r="HZ2001" s="19">
        <v>46.6</v>
      </c>
      <c r="IA2001" s="19">
        <v>45.7</v>
      </c>
      <c r="IB2001" s="19">
        <v>44.8</v>
      </c>
      <c r="IC2001" s="19">
        <v>40.5</v>
      </c>
    </row>
    <row r="2002">
      <c r="A2002" s="2" t="s">
        <v>7212</v>
      </c>
      <c r="B2002" s="2" t="s">
        <v>1139</v>
      </c>
      <c r="C2002" s="2" t="s">
        <v>360</v>
      </c>
      <c r="D2002" s="2" t="s">
        <v>1152</v>
      </c>
      <c r="E2002" s="2" t="s">
        <v>1153</v>
      </c>
      <c r="F2002" s="2" t="s">
        <v>7196</v>
      </c>
      <c r="G2002" s="2" t="s">
        <v>7196</v>
      </c>
      <c r="H2002" s="2" t="s">
        <v>7196</v>
      </c>
      <c r="I2002" s="2" t="s">
        <v>7197</v>
      </c>
      <c r="J2002" s="2" t="s">
        <v>7200</v>
      </c>
      <c r="K2002" s="2" t="s">
        <v>600</v>
      </c>
      <c r="L2002" s="3">
        <v>21.3</v>
      </c>
      <c r="M2002" s="3">
        <v>22.37</v>
      </c>
      <c r="N2002" s="3">
        <v>45.99</v>
      </c>
      <c r="O2002" s="2" t="s">
        <v>232</v>
      </c>
      <c r="P2002" s="2" t="s">
        <v>878</v>
      </c>
      <c r="Q2002" s="2" t="s">
        <v>234</v>
      </c>
      <c r="R2002" s="2" t="s">
        <v>235</v>
      </c>
      <c r="S2002" s="2" t="s">
        <v>235</v>
      </c>
      <c r="T2002" s="2" t="s">
        <v>263</v>
      </c>
      <c r="U2002" s="2" t="s">
        <v>807</v>
      </c>
      <c r="V2002" s="2" t="s">
        <v>238</v>
      </c>
      <c r="W2002" s="2" t="s">
        <v>239</v>
      </c>
      <c r="X2002" s="2" t="s">
        <v>235</v>
      </c>
      <c r="Y2002" s="2" t="s">
        <v>4665</v>
      </c>
      <c r="Z2002" s="4">
        <v>1094</v>
      </c>
      <c r="AA2002" s="4">
        <f>=ROUNDDOWN(52.0952380952381,0)</f>
      </c>
      <c r="AB2002" s="5">
        <v>21</v>
      </c>
      <c r="AC2002" s="2" t="s">
        <v>235</v>
      </c>
      <c r="AD2002" s="4"/>
      <c r="AE2002" s="4"/>
      <c r="AF2002" s="6">
        <v>79</v>
      </c>
      <c r="AG2002" s="6"/>
      <c r="AH2002" s="7">
        <v>1</v>
      </c>
      <c r="AI2002" s="4"/>
      <c r="AJ2002" s="4">
        <f>=ROUNDDOWN({0},0)</f>
      </c>
      <c r="AK2002" s="5"/>
      <c r="AL2002" s="2" t="s">
        <v>235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 t="s">
        <v>235</v>
      </c>
      <c r="BD2002" s="8" t="s">
        <v>235</v>
      </c>
      <c r="BE2002" s="4" t="s">
        <v>235</v>
      </c>
      <c r="BF2002" s="8" t="s">
        <v>235</v>
      </c>
      <c r="BG2002" s="7" t="s">
        <v>235</v>
      </c>
      <c r="BH2002" s="7" t="s">
        <v>235</v>
      </c>
      <c r="BI2002" s="7"/>
      <c r="BJ2002" s="4">
        <v>76</v>
      </c>
      <c r="BK2002" s="8">
        <v>1866.37</v>
      </c>
      <c r="BL2002" s="2" t="s">
        <v>7213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7198</v>
      </c>
      <c r="BV2002" s="2" t="s">
        <v>235</v>
      </c>
      <c r="BW2002" s="2" t="s">
        <v>235</v>
      </c>
      <c r="BX2002" s="2" t="s">
        <v>685</v>
      </c>
      <c r="BY2002" s="2" t="s">
        <v>245</v>
      </c>
      <c r="BZ2002" s="2" t="s">
        <v>232</v>
      </c>
      <c r="CA2002" s="2" t="s">
        <v>235</v>
      </c>
      <c r="CB2002" s="2" t="s">
        <v>2903</v>
      </c>
      <c r="CC2002" s="2" t="s">
        <v>248</v>
      </c>
      <c r="CD2002" s="2" t="s">
        <v>248</v>
      </c>
      <c r="CE2002" s="2" t="s">
        <v>235</v>
      </c>
      <c r="CF2002" s="4">
        <v>1094</v>
      </c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>
        <v>1103</v>
      </c>
      <c r="GE2002" s="4">
        <v>1055</v>
      </c>
      <c r="GF2002" s="4">
        <v>1039</v>
      </c>
      <c r="GG2002" s="4">
        <v>1023</v>
      </c>
      <c r="GH2002" s="4">
        <v>1002</v>
      </c>
      <c r="GI2002" s="4">
        <v>983</v>
      </c>
      <c r="GJ2002" s="4">
        <v>958</v>
      </c>
      <c r="GK2002" s="4">
        <v>942</v>
      </c>
      <c r="GL2002" s="4">
        <v>926</v>
      </c>
      <c r="GM2002" s="4">
        <v>911</v>
      </c>
      <c r="GN2002" s="4">
        <v>892</v>
      </c>
      <c r="GO2002" s="4">
        <v>877</v>
      </c>
      <c r="GP2002" s="4">
        <v>861</v>
      </c>
      <c r="GQ2002" s="4">
        <v>846</v>
      </c>
      <c r="GR2002" s="4">
        <v>827</v>
      </c>
      <c r="GS2002" s="4">
        <v>807</v>
      </c>
      <c r="GT2002" s="4">
        <v>793</v>
      </c>
      <c r="GU2002" s="4">
        <v>781</v>
      </c>
      <c r="GV2002" s="4">
        <v>771</v>
      </c>
      <c r="GW2002" s="4">
        <v>753</v>
      </c>
      <c r="GX2002" s="4">
        <v>742</v>
      </c>
      <c r="GY2002" s="4">
        <v>731</v>
      </c>
      <c r="GZ2002" s="4">
        <v>720</v>
      </c>
      <c r="HA2002" s="4">
        <v>701</v>
      </c>
      <c r="HB2002" s="4">
        <v>682</v>
      </c>
      <c r="HC2002" s="4">
        <v>663</v>
      </c>
      <c r="HD2002" s="19">
        <v>44.1</v>
      </c>
      <c r="HE2002" s="19">
        <v>58.6</v>
      </c>
      <c r="HF2002" s="19">
        <v>52</v>
      </c>
      <c r="HG2002" s="19">
        <v>51.2</v>
      </c>
      <c r="HH2002" s="19">
        <v>52.7</v>
      </c>
      <c r="HI2002" s="19">
        <v>54.6</v>
      </c>
      <c r="HJ2002" s="19">
        <v>59.9</v>
      </c>
      <c r="HK2002" s="19">
        <v>58.9</v>
      </c>
      <c r="HL2002" s="19">
        <v>57.9</v>
      </c>
      <c r="HM2002" s="19">
        <v>56.9</v>
      </c>
      <c r="HN2002" s="19">
        <v>55.8</v>
      </c>
      <c r="HO2002" s="19">
        <v>48.7</v>
      </c>
      <c r="HP2002" s="19">
        <v>50.6</v>
      </c>
      <c r="HQ2002" s="19">
        <v>52.9</v>
      </c>
      <c r="HR2002" s="19">
        <v>59.1</v>
      </c>
      <c r="HS2002" s="19">
        <v>57.6</v>
      </c>
      <c r="HT2002" s="19">
        <v>61</v>
      </c>
      <c r="HU2002" s="19">
        <v>65.1</v>
      </c>
      <c r="HV2002" s="19">
        <v>59.3</v>
      </c>
      <c r="HW2002" s="19">
        <v>57.9</v>
      </c>
      <c r="HX2002" s="19">
        <v>49.5</v>
      </c>
      <c r="HY2002" s="19">
        <v>43</v>
      </c>
      <c r="HZ2002" s="19">
        <v>34.3</v>
      </c>
      <c r="IA2002" s="19">
        <v>33.4</v>
      </c>
      <c r="IB2002" s="19">
        <v>32.5</v>
      </c>
      <c r="IC2002" s="19">
        <v>30.1</v>
      </c>
    </row>
    <row r="2003">
      <c r="A2003" s="2" t="s">
        <v>7214</v>
      </c>
      <c r="B2003" s="2" t="s">
        <v>1139</v>
      </c>
      <c r="C2003" s="2" t="s">
        <v>360</v>
      </c>
      <c r="D2003" s="2" t="s">
        <v>1152</v>
      </c>
      <c r="E2003" s="2" t="s">
        <v>1153</v>
      </c>
      <c r="F2003" s="2" t="s">
        <v>7196</v>
      </c>
      <c r="G2003" s="2" t="s">
        <v>7196</v>
      </c>
      <c r="H2003" s="2" t="s">
        <v>7196</v>
      </c>
      <c r="I2003" s="2" t="s">
        <v>7197</v>
      </c>
      <c r="J2003" s="2" t="s">
        <v>6698</v>
      </c>
      <c r="K2003" s="2" t="s">
        <v>316</v>
      </c>
      <c r="L2003" s="3">
        <v>18.5</v>
      </c>
      <c r="M2003" s="3">
        <v>19.43</v>
      </c>
      <c r="N2003" s="3">
        <v>39.99</v>
      </c>
      <c r="O2003" s="2" t="s">
        <v>232</v>
      </c>
      <c r="P2003" s="2" t="s">
        <v>333</v>
      </c>
      <c r="Q2003" s="2" t="s">
        <v>234</v>
      </c>
      <c r="R2003" s="2" t="s">
        <v>235</v>
      </c>
      <c r="S2003" s="2" t="s">
        <v>235</v>
      </c>
      <c r="T2003" s="2" t="s">
        <v>263</v>
      </c>
      <c r="U2003" s="2" t="s">
        <v>807</v>
      </c>
      <c r="V2003" s="2" t="s">
        <v>238</v>
      </c>
      <c r="W2003" s="2" t="s">
        <v>239</v>
      </c>
      <c r="X2003" s="2" t="s">
        <v>235</v>
      </c>
      <c r="Y2003" s="2" t="s">
        <v>7215</v>
      </c>
      <c r="Z2003" s="4"/>
      <c r="AA2003" s="4">
        <f>=ROUNDDOWN({0},0)</f>
      </c>
      <c r="AB2003" s="5">
        <v>115</v>
      </c>
      <c r="AC2003" s="2" t="s">
        <v>182</v>
      </c>
      <c r="AD2003" s="4">
        <v>1580</v>
      </c>
      <c r="AE2003" s="4">
        <v>3040</v>
      </c>
      <c r="AF2003" s="6">
        <v>79</v>
      </c>
      <c r="AG2003" s="6"/>
      <c r="AH2003" s="7">
        <v>0.0968</v>
      </c>
      <c r="AI2003" s="4"/>
      <c r="AJ2003" s="4">
        <f>=ROUNDDOWN({0},0)</f>
      </c>
      <c r="AK2003" s="5"/>
      <c r="AL2003" s="2" t="s">
        <v>235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 t="s">
        <v>235</v>
      </c>
      <c r="BD2003" s="8" t="s">
        <v>235</v>
      </c>
      <c r="BE2003" s="4" t="s">
        <v>235</v>
      </c>
      <c r="BF2003" s="8" t="s">
        <v>235</v>
      </c>
      <c r="BG2003" s="7" t="s">
        <v>235</v>
      </c>
      <c r="BH2003" s="7" t="s">
        <v>235</v>
      </c>
      <c r="BI2003" s="7"/>
      <c r="BJ2003" s="4">
        <v>117</v>
      </c>
      <c r="BK2003" s="8">
        <v>2484.48</v>
      </c>
      <c r="BL2003" s="2" t="s">
        <v>5056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7198</v>
      </c>
      <c r="BV2003" s="2" t="s">
        <v>235</v>
      </c>
      <c r="BW2003" s="2" t="s">
        <v>235</v>
      </c>
      <c r="BX2003" s="2" t="s">
        <v>685</v>
      </c>
      <c r="BY2003" s="2" t="s">
        <v>245</v>
      </c>
      <c r="BZ2003" s="2" t="s">
        <v>232</v>
      </c>
      <c r="CA2003" s="2" t="s">
        <v>235</v>
      </c>
      <c r="CB2003" s="2" t="s">
        <v>1656</v>
      </c>
      <c r="CC2003" s="2" t="s">
        <v>248</v>
      </c>
      <c r="CD2003" s="2" t="s">
        <v>248</v>
      </c>
      <c r="CE2003" s="2" t="s">
        <v>235</v>
      </c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>
        <v>1580</v>
      </c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>
        <v>560</v>
      </c>
      <c r="FS2003" s="4"/>
      <c r="FT2003" s="4"/>
      <c r="FU2003" s="4"/>
      <c r="FV2003" s="4"/>
      <c r="FW2003" s="4"/>
      <c r="FX2003" s="4"/>
      <c r="FY2003" s="4"/>
      <c r="FZ2003" s="4"/>
      <c r="GA2003" s="4"/>
      <c r="GB2003" s="4">
        <v>900</v>
      </c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>
        <v>1580</v>
      </c>
      <c r="GP2003" s="4">
        <v>480</v>
      </c>
      <c r="GQ2003" s="4">
        <v>353</v>
      </c>
      <c r="GR2003" s="4">
        <v>205</v>
      </c>
      <c r="GS2003" s="4">
        <v>94</v>
      </c>
      <c r="GT2003" s="4">
        <v>560</v>
      </c>
      <c r="GU2003" s="4">
        <v>410</v>
      </c>
      <c r="GV2003" s="4">
        <v>290</v>
      </c>
      <c r="GW2003" s="4">
        <v>188</v>
      </c>
      <c r="GX2003" s="4">
        <v>986</v>
      </c>
      <c r="GY2003" s="4">
        <v>884</v>
      </c>
      <c r="GZ2003" s="4">
        <v>779</v>
      </c>
      <c r="HA2003" s="4">
        <v>674</v>
      </c>
      <c r="HB2003" s="4">
        <v>569</v>
      </c>
      <c r="HC2003" s="4">
        <v>464</v>
      </c>
      <c r="HD2003" s="20">
        <v>0</v>
      </c>
      <c r="HE2003" s="20">
        <v>0</v>
      </c>
      <c r="HF2003" s="20">
        <v>0</v>
      </c>
      <c r="HG2003" s="20">
        <v>0</v>
      </c>
      <c r="HH2003" s="20">
        <v>0</v>
      </c>
      <c r="HI2003" s="20">
        <v>0</v>
      </c>
      <c r="HJ2003" s="20">
        <v>0</v>
      </c>
      <c r="HK2003" s="20">
        <v>0</v>
      </c>
      <c r="HL2003" s="20">
        <v>0</v>
      </c>
      <c r="HM2003" s="20">
        <v>0</v>
      </c>
      <c r="HN2003" s="20">
        <v>0</v>
      </c>
      <c r="HO2003" s="19">
        <v>4.2</v>
      </c>
      <c r="HP2003" s="19">
        <v>4</v>
      </c>
      <c r="HQ2003" s="19">
        <v>2.8</v>
      </c>
      <c r="HR2003" s="19">
        <v>1.7</v>
      </c>
      <c r="HS2003" s="19">
        <v>0.8</v>
      </c>
      <c r="HT2003" s="19">
        <v>4.7</v>
      </c>
      <c r="HU2003" s="19">
        <v>3.9</v>
      </c>
      <c r="HV2003" s="19">
        <v>2.8</v>
      </c>
      <c r="HW2003" s="19">
        <v>1.8</v>
      </c>
      <c r="HX2003" s="19">
        <v>9.5</v>
      </c>
      <c r="HY2003" s="19">
        <v>8.4</v>
      </c>
      <c r="HZ2003" s="19">
        <v>6.8</v>
      </c>
      <c r="IA2003" s="19">
        <v>5.9</v>
      </c>
      <c r="IB2003" s="19">
        <v>4.8</v>
      </c>
      <c r="IC2003" s="19">
        <v>3.8</v>
      </c>
    </row>
    <row r="2004">
      <c r="A2004" s="2" t="s">
        <v>7216</v>
      </c>
      <c r="B2004" s="2" t="s">
        <v>871</v>
      </c>
      <c r="C2004" s="2" t="s">
        <v>853</v>
      </c>
      <c r="D2004" s="2" t="s">
        <v>906</v>
      </c>
      <c r="E2004" s="2" t="s">
        <v>1301</v>
      </c>
      <c r="F2004" s="2" t="s">
        <v>3615</v>
      </c>
      <c r="G2004" s="2" t="s">
        <v>5228</v>
      </c>
      <c r="H2004" s="2" t="s">
        <v>7217</v>
      </c>
      <c r="I2004" s="2" t="s">
        <v>7218</v>
      </c>
      <c r="J2004" s="2" t="s">
        <v>877</v>
      </c>
      <c r="K2004" s="2" t="s">
        <v>600</v>
      </c>
      <c r="L2004" s="3">
        <v>25.98</v>
      </c>
      <c r="M2004" s="3">
        <v>27.28</v>
      </c>
      <c r="N2004" s="3">
        <v>54.99</v>
      </c>
      <c r="O2004" s="2" t="s">
        <v>485</v>
      </c>
      <c r="P2004" s="2" t="s">
        <v>408</v>
      </c>
      <c r="Q2004" s="2" t="s">
        <v>234</v>
      </c>
      <c r="R2004" s="2" t="s">
        <v>235</v>
      </c>
      <c r="S2004" s="2" t="s">
        <v>7219</v>
      </c>
      <c r="T2004" s="2" t="s">
        <v>501</v>
      </c>
      <c r="U2004" s="2" t="s">
        <v>552</v>
      </c>
      <c r="V2004" s="2" t="s">
        <v>2182</v>
      </c>
      <c r="W2004" s="2" t="s">
        <v>682</v>
      </c>
      <c r="X2004" s="2" t="s">
        <v>2236</v>
      </c>
      <c r="Y2004" s="2" t="s">
        <v>7220</v>
      </c>
      <c r="Z2004" s="4"/>
      <c r="AA2004" s="4">
        <f>=ROUNDDOWN({0},0)</f>
      </c>
      <c r="AB2004" s="5">
        <v>2.9</v>
      </c>
      <c r="AC2004" s="2" t="s">
        <v>235</v>
      </c>
      <c r="AD2004" s="4"/>
      <c r="AE2004" s="4"/>
      <c r="AF2004" s="6">
        <v>64</v>
      </c>
      <c r="AG2004" s="6"/>
      <c r="AH2004" s="7">
        <v>0.8387</v>
      </c>
      <c r="AI2004" s="4"/>
      <c r="AJ2004" s="4">
        <f>=ROUNDDOWN({0},0)</f>
      </c>
      <c r="AK2004" s="5"/>
      <c r="AL2004" s="2" t="s">
        <v>235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/>
      <c r="BD2004" s="8"/>
      <c r="BE2004" s="4"/>
      <c r="BF2004" s="8"/>
      <c r="BG2004" s="7"/>
      <c r="BH2004" s="7"/>
      <c r="BI2004" s="7"/>
      <c r="BJ2004" s="4">
        <v>5</v>
      </c>
      <c r="BK2004" s="8">
        <v>154.85</v>
      </c>
      <c r="BL2004" s="2" t="s">
        <v>7221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7222</v>
      </c>
      <c r="BV2004" s="2" t="s">
        <v>243</v>
      </c>
      <c r="BW2004" s="2" t="s">
        <v>235</v>
      </c>
      <c r="BX2004" s="2" t="s">
        <v>414</v>
      </c>
      <c r="BY2004" s="2" t="s">
        <v>245</v>
      </c>
      <c r="BZ2004" s="2" t="s">
        <v>232</v>
      </c>
      <c r="CA2004" s="2" t="s">
        <v>7223</v>
      </c>
      <c r="CB2004" s="2" t="s">
        <v>1363</v>
      </c>
      <c r="CC2004" s="2" t="s">
        <v>248</v>
      </c>
      <c r="CD2004" s="2" t="s">
        <v>248</v>
      </c>
      <c r="CE2004" s="2" t="s">
        <v>235</v>
      </c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>
        <v>21</v>
      </c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19">
        <v>3</v>
      </c>
      <c r="HE2004" s="20">
        <v>0</v>
      </c>
      <c r="HF2004" s="20">
        <v>0</v>
      </c>
      <c r="HG2004" s="20">
        <v>0</v>
      </c>
      <c r="HH2004" s="20">
        <v>0</v>
      </c>
      <c r="HI2004" s="20">
        <v>0</v>
      </c>
      <c r="HJ2004" s="20">
        <v>0</v>
      </c>
      <c r="HK2004" s="20">
        <v>0</v>
      </c>
      <c r="HL2004" s="20">
        <v>0</v>
      </c>
      <c r="HM2004" s="20">
        <v>0</v>
      </c>
      <c r="HN2004" s="20">
        <v>0</v>
      </c>
      <c r="HO2004" s="20">
        <v>0</v>
      </c>
      <c r="HP2004" s="20">
        <v>0</v>
      </c>
      <c r="HQ2004" s="20">
        <v>0</v>
      </c>
      <c r="HR2004" s="20">
        <v>0</v>
      </c>
      <c r="HS2004" s="20">
        <v>0</v>
      </c>
      <c r="HT2004" s="20">
        <v>0</v>
      </c>
      <c r="HU2004" s="20">
        <v>0</v>
      </c>
      <c r="HV2004" s="20">
        <v>0</v>
      </c>
      <c r="HW2004" s="20">
        <v>0</v>
      </c>
      <c r="HX2004" s="20">
        <v>0</v>
      </c>
      <c r="HY2004" s="20">
        <v>0</v>
      </c>
      <c r="HZ2004" s="20">
        <v>0</v>
      </c>
      <c r="IA2004" s="20">
        <v>0</v>
      </c>
      <c r="IB2004" s="20">
        <v>0</v>
      </c>
      <c r="IC2004" s="20">
        <v>0</v>
      </c>
    </row>
    <row r="2005">
      <c r="A2005" s="2" t="s">
        <v>7224</v>
      </c>
      <c r="B2005" s="2" t="s">
        <v>817</v>
      </c>
      <c r="C2005" s="2" t="s">
        <v>324</v>
      </c>
      <c r="D2005" s="2" t="s">
        <v>818</v>
      </c>
      <c r="E2005" s="2" t="s">
        <v>1689</v>
      </c>
      <c r="F2005" s="2" t="s">
        <v>7225</v>
      </c>
      <c r="G2005" s="2" t="s">
        <v>7225</v>
      </c>
      <c r="H2005" s="2" t="s">
        <v>7225</v>
      </c>
      <c r="I2005" s="2" t="s">
        <v>7226</v>
      </c>
      <c r="J2005" s="2" t="s">
        <v>806</v>
      </c>
      <c r="K2005" s="2" t="s">
        <v>7227</v>
      </c>
      <c r="L2005" s="3">
        <v>6.66</v>
      </c>
      <c r="M2005" s="3">
        <v>6.99</v>
      </c>
      <c r="N2005" s="3">
        <v>19.99</v>
      </c>
      <c r="O2005" s="2" t="s">
        <v>485</v>
      </c>
      <c r="P2005" s="2" t="s">
        <v>408</v>
      </c>
      <c r="Q2005" s="2" t="s">
        <v>234</v>
      </c>
      <c r="R2005" s="2" t="s">
        <v>235</v>
      </c>
      <c r="S2005" s="2" t="s">
        <v>235</v>
      </c>
      <c r="T2005" s="2" t="s">
        <v>235</v>
      </c>
      <c r="U2005" s="2" t="s">
        <v>807</v>
      </c>
      <c r="V2005" s="2" t="s">
        <v>1693</v>
      </c>
      <c r="W2005" s="2" t="s">
        <v>239</v>
      </c>
      <c r="X2005" s="2" t="s">
        <v>1596</v>
      </c>
      <c r="Y2005" s="2" t="s">
        <v>1701</v>
      </c>
      <c r="Z2005" s="4">
        <v>4</v>
      </c>
      <c r="AA2005" s="4">
        <f>=ROUNDDOWN(0.727272727272727,0)</f>
      </c>
      <c r="AB2005" s="5">
        <v>5.5</v>
      </c>
      <c r="AC2005" s="2" t="s">
        <v>235</v>
      </c>
      <c r="AD2005" s="4"/>
      <c r="AE2005" s="4"/>
      <c r="AF2005" s="6">
        <v>63</v>
      </c>
      <c r="AG2005" s="6"/>
      <c r="AH2005" s="7">
        <v>1</v>
      </c>
      <c r="AI2005" s="4"/>
      <c r="AJ2005" s="4">
        <f>=ROUNDDOWN({0},0)</f>
      </c>
      <c r="AK2005" s="5"/>
      <c r="AL2005" s="2" t="s">
        <v>235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 t="s">
        <v>235</v>
      </c>
      <c r="BD2005" s="8" t="s">
        <v>235</v>
      </c>
      <c r="BE2005" s="4" t="s">
        <v>235</v>
      </c>
      <c r="BF2005" s="8" t="s">
        <v>235</v>
      </c>
      <c r="BG2005" s="7" t="s">
        <v>235</v>
      </c>
      <c r="BH2005" s="7" t="s">
        <v>235</v>
      </c>
      <c r="BI2005" s="7"/>
      <c r="BJ2005" s="4">
        <v>20</v>
      </c>
      <c r="BK2005" s="8">
        <v>157.15</v>
      </c>
      <c r="BL2005" s="2" t="s">
        <v>7228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7229</v>
      </c>
      <c r="BV2005" s="2" t="s">
        <v>828</v>
      </c>
      <c r="BW2005" s="2" t="s">
        <v>235</v>
      </c>
      <c r="BX2005" s="2" t="s">
        <v>414</v>
      </c>
      <c r="BY2005" s="2" t="s">
        <v>245</v>
      </c>
      <c r="BZ2005" s="2" t="s">
        <v>232</v>
      </c>
      <c r="CA2005" s="2" t="s">
        <v>3964</v>
      </c>
      <c r="CB2005" s="2" t="s">
        <v>3896</v>
      </c>
      <c r="CC2005" s="2" t="s">
        <v>248</v>
      </c>
      <c r="CD2005" s="2" t="s">
        <v>248</v>
      </c>
      <c r="CE2005" s="2" t="s">
        <v>235</v>
      </c>
      <c r="CF2005" s="4"/>
      <c r="CG2005" s="4">
        <v>4</v>
      </c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>
        <v>4</v>
      </c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19">
        <v>0.8</v>
      </c>
      <c r="HE2005" s="20">
        <v>0</v>
      </c>
      <c r="HF2005" s="20">
        <v>0</v>
      </c>
      <c r="HG2005" s="20">
        <v>0</v>
      </c>
      <c r="HH2005" s="20">
        <v>0</v>
      </c>
      <c r="HI2005" s="20">
        <v>0</v>
      </c>
      <c r="HJ2005" s="20">
        <v>0</v>
      </c>
      <c r="HK2005" s="20">
        <v>0</v>
      </c>
      <c r="HL2005" s="20">
        <v>0</v>
      </c>
      <c r="HM2005" s="20">
        <v>0</v>
      </c>
      <c r="HN2005" s="20">
        <v>0</v>
      </c>
      <c r="HO2005" s="20">
        <v>0</v>
      </c>
      <c r="HP2005" s="20">
        <v>0</v>
      </c>
      <c r="HQ2005" s="20">
        <v>0</v>
      </c>
      <c r="HR2005" s="20">
        <v>0</v>
      </c>
      <c r="HS2005" s="20">
        <v>0</v>
      </c>
      <c r="HT2005" s="20">
        <v>0</v>
      </c>
      <c r="HU2005" s="20">
        <v>0</v>
      </c>
      <c r="HV2005" s="20">
        <v>0</v>
      </c>
      <c r="HW2005" s="20">
        <v>0</v>
      </c>
      <c r="HX2005" s="20">
        <v>0</v>
      </c>
      <c r="HY2005" s="20">
        <v>0</v>
      </c>
      <c r="HZ2005" s="20">
        <v>0</v>
      </c>
      <c r="IA2005" s="20">
        <v>0</v>
      </c>
      <c r="IB2005" s="20">
        <v>0</v>
      </c>
      <c r="IC2005" s="20">
        <v>0</v>
      </c>
    </row>
    <row r="2006">
      <c r="A2006" s="2" t="s">
        <v>7230</v>
      </c>
      <c r="B2006" s="2" t="s">
        <v>817</v>
      </c>
      <c r="C2006" s="2" t="s">
        <v>324</v>
      </c>
      <c r="D2006" s="2" t="s">
        <v>818</v>
      </c>
      <c r="E2006" s="2" t="s">
        <v>1689</v>
      </c>
      <c r="F2006" s="2" t="s">
        <v>7225</v>
      </c>
      <c r="G2006" s="2" t="s">
        <v>7225</v>
      </c>
      <c r="H2006" s="2" t="s">
        <v>7225</v>
      </c>
      <c r="I2006" s="2" t="s">
        <v>7231</v>
      </c>
      <c r="J2006" s="2" t="s">
        <v>806</v>
      </c>
      <c r="K2006" s="2" t="s">
        <v>7232</v>
      </c>
      <c r="L2006" s="3">
        <v>6.66</v>
      </c>
      <c r="M2006" s="3">
        <v>6.99</v>
      </c>
      <c r="N2006" s="3">
        <v>19.99</v>
      </c>
      <c r="O2006" s="2" t="s">
        <v>407</v>
      </c>
      <c r="P2006" s="2" t="s">
        <v>408</v>
      </c>
      <c r="Q2006" s="2" t="s">
        <v>234</v>
      </c>
      <c r="R2006" s="2" t="s">
        <v>235</v>
      </c>
      <c r="S2006" s="2" t="s">
        <v>235</v>
      </c>
      <c r="T2006" s="2" t="s">
        <v>235</v>
      </c>
      <c r="U2006" s="2" t="s">
        <v>807</v>
      </c>
      <c r="V2006" s="2" t="s">
        <v>1693</v>
      </c>
      <c r="W2006" s="2" t="s">
        <v>239</v>
      </c>
      <c r="X2006" s="2" t="s">
        <v>1596</v>
      </c>
      <c r="Y2006" s="2" t="s">
        <v>1694</v>
      </c>
      <c r="Z2006" s="4">
        <v>50</v>
      </c>
      <c r="AA2006" s="4">
        <f>=ROUNDDOWN(11.1111111111111,0)</f>
      </c>
      <c r="AB2006" s="5">
        <v>4.5</v>
      </c>
      <c r="AC2006" s="2" t="s">
        <v>235</v>
      </c>
      <c r="AD2006" s="4"/>
      <c r="AE2006" s="4"/>
      <c r="AF2006" s="6">
        <v>61</v>
      </c>
      <c r="AG2006" s="6"/>
      <c r="AH2006" s="7">
        <v>1</v>
      </c>
      <c r="AI2006" s="4"/>
      <c r="AJ2006" s="4">
        <f>=ROUNDDOWN({0},0)</f>
      </c>
      <c r="AK2006" s="5"/>
      <c r="AL2006" s="2" t="s">
        <v>235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 t="s">
        <v>235</v>
      </c>
      <c r="BD2006" s="8" t="s">
        <v>235</v>
      </c>
      <c r="BE2006" s="4" t="s">
        <v>235</v>
      </c>
      <c r="BF2006" s="8" t="s">
        <v>235</v>
      </c>
      <c r="BG2006" s="7" t="s">
        <v>235</v>
      </c>
      <c r="BH2006" s="7" t="s">
        <v>235</v>
      </c>
      <c r="BI2006" s="7"/>
      <c r="BJ2006" s="4">
        <v>12</v>
      </c>
      <c r="BK2006" s="8">
        <v>92.76</v>
      </c>
      <c r="BL2006" s="2" t="s">
        <v>7233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7234</v>
      </c>
      <c r="BV2006" s="2" t="s">
        <v>828</v>
      </c>
      <c r="BW2006" s="2" t="s">
        <v>235</v>
      </c>
      <c r="BX2006" s="2" t="s">
        <v>414</v>
      </c>
      <c r="BY2006" s="2" t="s">
        <v>245</v>
      </c>
      <c r="BZ2006" s="2" t="s">
        <v>232</v>
      </c>
      <c r="CA2006" s="2" t="s">
        <v>3964</v>
      </c>
      <c r="CB2006" s="2" t="s">
        <v>5037</v>
      </c>
      <c r="CC2006" s="2" t="s">
        <v>248</v>
      </c>
      <c r="CD2006" s="2" t="s">
        <v>248</v>
      </c>
      <c r="CE2006" s="2" t="s">
        <v>235</v>
      </c>
      <c r="CF2006" s="4"/>
      <c r="CG2006" s="4">
        <v>50</v>
      </c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>
        <v>50</v>
      </c>
      <c r="GE2006" s="4">
        <v>46</v>
      </c>
      <c r="GF2006" s="4">
        <v>42</v>
      </c>
      <c r="GG2006" s="4">
        <v>38</v>
      </c>
      <c r="GH2006" s="4">
        <v>34</v>
      </c>
      <c r="GI2006" s="4">
        <v>30</v>
      </c>
      <c r="GJ2006" s="4">
        <v>26</v>
      </c>
      <c r="GK2006" s="4">
        <v>22</v>
      </c>
      <c r="GL2006" s="4">
        <v>18</v>
      </c>
      <c r="GM2006" s="4">
        <v>14</v>
      </c>
      <c r="GN2006" s="4">
        <v>10</v>
      </c>
      <c r="GO2006" s="4">
        <v>6</v>
      </c>
      <c r="GP2006" s="4">
        <v>2</v>
      </c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19">
        <v>12.5</v>
      </c>
      <c r="HE2006" s="19">
        <v>11.5</v>
      </c>
      <c r="HF2006" s="19">
        <v>10.5</v>
      </c>
      <c r="HG2006" s="19">
        <v>9.5</v>
      </c>
      <c r="HH2006" s="19">
        <v>8.5</v>
      </c>
      <c r="HI2006" s="19">
        <v>7.5</v>
      </c>
      <c r="HJ2006" s="19">
        <v>6.5</v>
      </c>
      <c r="HK2006" s="19">
        <v>5.5</v>
      </c>
      <c r="HL2006" s="19">
        <v>4.5</v>
      </c>
      <c r="HM2006" s="19">
        <v>3.5</v>
      </c>
      <c r="HN2006" s="19">
        <v>2.5</v>
      </c>
      <c r="HO2006" s="19">
        <v>1.5</v>
      </c>
      <c r="HP2006" s="19">
        <v>0.5</v>
      </c>
      <c r="HQ2006" s="20">
        <v>0</v>
      </c>
      <c r="HR2006" s="20">
        <v>0</v>
      </c>
      <c r="HS2006" s="20">
        <v>0</v>
      </c>
      <c r="HT2006" s="20">
        <v>0</v>
      </c>
      <c r="HU2006" s="20">
        <v>0</v>
      </c>
      <c r="HV2006" s="20">
        <v>0</v>
      </c>
      <c r="HW2006" s="20">
        <v>0</v>
      </c>
      <c r="HX2006" s="20">
        <v>0</v>
      </c>
      <c r="HY2006" s="20">
        <v>0</v>
      </c>
      <c r="HZ2006" s="20">
        <v>0</v>
      </c>
      <c r="IA2006" s="20">
        <v>0</v>
      </c>
      <c r="IB2006" s="20">
        <v>0</v>
      </c>
      <c r="IC2006" s="20">
        <v>0</v>
      </c>
    </row>
    <row r="2007">
      <c r="A2007" s="2" t="s">
        <v>7235</v>
      </c>
      <c r="B2007" s="2" t="s">
        <v>817</v>
      </c>
      <c r="C2007" s="2" t="s">
        <v>324</v>
      </c>
      <c r="D2007" s="2" t="s">
        <v>818</v>
      </c>
      <c r="E2007" s="2" t="s">
        <v>1689</v>
      </c>
      <c r="F2007" s="2" t="s">
        <v>7225</v>
      </c>
      <c r="G2007" s="2" t="s">
        <v>7225</v>
      </c>
      <c r="H2007" s="2" t="s">
        <v>7225</v>
      </c>
      <c r="I2007" s="2" t="s">
        <v>7236</v>
      </c>
      <c r="J2007" s="2" t="s">
        <v>806</v>
      </c>
      <c r="K2007" s="2" t="s">
        <v>7237</v>
      </c>
      <c r="L2007" s="3">
        <v>6.66</v>
      </c>
      <c r="M2007" s="3">
        <v>6.99</v>
      </c>
      <c r="N2007" s="3">
        <v>19.99</v>
      </c>
      <c r="O2007" s="2" t="s">
        <v>485</v>
      </c>
      <c r="P2007" s="2" t="s">
        <v>408</v>
      </c>
      <c r="Q2007" s="2" t="s">
        <v>234</v>
      </c>
      <c r="R2007" s="2" t="s">
        <v>235</v>
      </c>
      <c r="S2007" s="2" t="s">
        <v>235</v>
      </c>
      <c r="T2007" s="2" t="s">
        <v>235</v>
      </c>
      <c r="U2007" s="2" t="s">
        <v>807</v>
      </c>
      <c r="V2007" s="2" t="s">
        <v>1693</v>
      </c>
      <c r="W2007" s="2" t="s">
        <v>239</v>
      </c>
      <c r="X2007" s="2" t="s">
        <v>1596</v>
      </c>
      <c r="Y2007" s="2" t="s">
        <v>1694</v>
      </c>
      <c r="Z2007" s="4">
        <v>95</v>
      </c>
      <c r="AA2007" s="4">
        <f>=ROUNDDOWN(26.3888888888889,0)</f>
      </c>
      <c r="AB2007" s="5">
        <v>3.6</v>
      </c>
      <c r="AC2007" s="2" t="s">
        <v>235</v>
      </c>
      <c r="AD2007" s="4"/>
      <c r="AE2007" s="4"/>
      <c r="AF2007" s="6">
        <v>63</v>
      </c>
      <c r="AG2007" s="6"/>
      <c r="AH2007" s="7">
        <v>1</v>
      </c>
      <c r="AI2007" s="4"/>
      <c r="AJ2007" s="4">
        <f>=ROUNDDOWN({0},0)</f>
      </c>
      <c r="AK2007" s="5"/>
      <c r="AL2007" s="2" t="s">
        <v>235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 t="s">
        <v>235</v>
      </c>
      <c r="BD2007" s="8" t="s">
        <v>235</v>
      </c>
      <c r="BE2007" s="4" t="s">
        <v>235</v>
      </c>
      <c r="BF2007" s="8" t="s">
        <v>235</v>
      </c>
      <c r="BG2007" s="7" t="s">
        <v>235</v>
      </c>
      <c r="BH2007" s="7" t="s">
        <v>235</v>
      </c>
      <c r="BI2007" s="7"/>
      <c r="BJ2007" s="4">
        <v>13</v>
      </c>
      <c r="BK2007" s="8">
        <v>100.81</v>
      </c>
      <c r="BL2007" s="2" t="s">
        <v>517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7238</v>
      </c>
      <c r="BV2007" s="2" t="s">
        <v>828</v>
      </c>
      <c r="BW2007" s="2" t="s">
        <v>235</v>
      </c>
      <c r="BX2007" s="2" t="s">
        <v>414</v>
      </c>
      <c r="BY2007" s="2" t="s">
        <v>245</v>
      </c>
      <c r="BZ2007" s="2" t="s">
        <v>232</v>
      </c>
      <c r="CA2007" s="2" t="s">
        <v>3964</v>
      </c>
      <c r="CB2007" s="2" t="s">
        <v>3896</v>
      </c>
      <c r="CC2007" s="2" t="s">
        <v>248</v>
      </c>
      <c r="CD2007" s="2" t="s">
        <v>248</v>
      </c>
      <c r="CE2007" s="2" t="s">
        <v>235</v>
      </c>
      <c r="CF2007" s="4"/>
      <c r="CG2007" s="4">
        <v>95</v>
      </c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>
        <v>96</v>
      </c>
      <c r="GE2007" s="4">
        <v>93</v>
      </c>
      <c r="GF2007" s="4">
        <v>90</v>
      </c>
      <c r="GG2007" s="4">
        <v>87</v>
      </c>
      <c r="GH2007" s="4">
        <v>84</v>
      </c>
      <c r="GI2007" s="4">
        <v>81</v>
      </c>
      <c r="GJ2007" s="4">
        <v>78</v>
      </c>
      <c r="GK2007" s="4">
        <v>75</v>
      </c>
      <c r="GL2007" s="4">
        <v>72</v>
      </c>
      <c r="GM2007" s="4">
        <v>69</v>
      </c>
      <c r="GN2007" s="4">
        <v>66</v>
      </c>
      <c r="GO2007" s="4">
        <v>63</v>
      </c>
      <c r="GP2007" s="4">
        <v>60</v>
      </c>
      <c r="GQ2007" s="4">
        <v>57</v>
      </c>
      <c r="GR2007" s="4">
        <v>54</v>
      </c>
      <c r="GS2007" s="4">
        <v>51</v>
      </c>
      <c r="GT2007" s="4">
        <v>48</v>
      </c>
      <c r="GU2007" s="4">
        <v>45</v>
      </c>
      <c r="GV2007" s="4">
        <v>43</v>
      </c>
      <c r="GW2007" s="4">
        <v>41</v>
      </c>
      <c r="GX2007" s="4">
        <v>39</v>
      </c>
      <c r="GY2007" s="4">
        <v>37</v>
      </c>
      <c r="GZ2007" s="4">
        <v>34</v>
      </c>
      <c r="HA2007" s="4">
        <v>31</v>
      </c>
      <c r="HB2007" s="4">
        <v>28</v>
      </c>
      <c r="HC2007" s="4">
        <v>25</v>
      </c>
      <c r="HD2007" s="19">
        <v>32</v>
      </c>
      <c r="HE2007" s="19">
        <v>31</v>
      </c>
      <c r="HF2007" s="19">
        <v>30</v>
      </c>
      <c r="HG2007" s="19">
        <v>29</v>
      </c>
      <c r="HH2007" s="19">
        <v>28</v>
      </c>
      <c r="HI2007" s="19">
        <v>27</v>
      </c>
      <c r="HJ2007" s="19">
        <v>26</v>
      </c>
      <c r="HK2007" s="19">
        <v>25</v>
      </c>
      <c r="HL2007" s="19">
        <v>24</v>
      </c>
      <c r="HM2007" s="19">
        <v>23</v>
      </c>
      <c r="HN2007" s="19">
        <v>22</v>
      </c>
      <c r="HO2007" s="19">
        <v>21</v>
      </c>
      <c r="HP2007" s="19">
        <v>20</v>
      </c>
      <c r="HQ2007" s="19">
        <v>19</v>
      </c>
      <c r="HR2007" s="19">
        <v>18</v>
      </c>
      <c r="HS2007" s="19">
        <v>25.5</v>
      </c>
      <c r="HT2007" s="19">
        <v>24</v>
      </c>
      <c r="HU2007" s="19">
        <v>22.5</v>
      </c>
      <c r="HV2007" s="19">
        <v>21.5</v>
      </c>
      <c r="HW2007" s="19">
        <v>20.5</v>
      </c>
      <c r="HX2007" s="19">
        <v>13</v>
      </c>
      <c r="HY2007" s="19">
        <v>12.3</v>
      </c>
      <c r="HZ2007" s="19">
        <v>11.3</v>
      </c>
      <c r="IA2007" s="19">
        <v>15.5</v>
      </c>
      <c r="IB2007" s="19">
        <v>14</v>
      </c>
      <c r="IC2007" s="19">
        <v>12.5</v>
      </c>
    </row>
    <row r="2008">
      <c r="A2008" s="2" t="s">
        <v>7239</v>
      </c>
      <c r="B2008" s="2" t="s">
        <v>871</v>
      </c>
      <c r="C2008" s="2" t="s">
        <v>980</v>
      </c>
      <c r="D2008" s="2" t="s">
        <v>361</v>
      </c>
      <c r="E2008" s="2" t="s">
        <v>872</v>
      </c>
      <c r="F2008" s="2" t="s">
        <v>7240</v>
      </c>
      <c r="G2008" s="2" t="s">
        <v>7240</v>
      </c>
      <c r="H2008" s="2" t="s">
        <v>7240</v>
      </c>
      <c r="I2008" s="2" t="s">
        <v>7241</v>
      </c>
      <c r="J2008" s="2" t="s">
        <v>365</v>
      </c>
      <c r="K2008" s="2" t="s">
        <v>2029</v>
      </c>
      <c r="L2008" s="3">
        <v>73.14</v>
      </c>
      <c r="M2008" s="3">
        <v>76.8</v>
      </c>
      <c r="N2008" s="3">
        <v>159.99</v>
      </c>
      <c r="O2008" s="2" t="s">
        <v>232</v>
      </c>
      <c r="P2008" s="2" t="s">
        <v>262</v>
      </c>
      <c r="Q2008" s="2" t="s">
        <v>234</v>
      </c>
      <c r="R2008" s="2" t="s">
        <v>235</v>
      </c>
      <c r="S2008" s="2" t="s">
        <v>235</v>
      </c>
      <c r="T2008" s="2" t="s">
        <v>879</v>
      </c>
      <c r="U2008" s="2" t="s">
        <v>282</v>
      </c>
      <c r="V2008" s="2" t="s">
        <v>1147</v>
      </c>
      <c r="W2008" s="2" t="s">
        <v>1082</v>
      </c>
      <c r="X2008" s="2" t="s">
        <v>1082</v>
      </c>
      <c r="Y2008" s="2" t="s">
        <v>235</v>
      </c>
      <c r="Z2008" s="4"/>
      <c r="AA2008" s="4">
        <f>=ROUNDDOWN({0},0)</f>
      </c>
      <c r="AB2008" s="5"/>
      <c r="AC2008" s="2" t="s">
        <v>7242</v>
      </c>
      <c r="AD2008" s="4">
        <v>400</v>
      </c>
      <c r="AE2008" s="4">
        <v>400</v>
      </c>
      <c r="AF2008" s="6">
        <v>65</v>
      </c>
      <c r="AG2008" s="6"/>
      <c r="AH2008" s="7"/>
      <c r="AI2008" s="4"/>
      <c r="AJ2008" s="4">
        <f>=ROUNDDOWN({0},0)</f>
      </c>
      <c r="AK2008" s="5"/>
      <c r="AL2008" s="2" t="s">
        <v>235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235</v>
      </c>
      <c r="AW2008" s="8" t="s">
        <v>235</v>
      </c>
      <c r="AX2008" s="4" t="s">
        <v>235</v>
      </c>
      <c r="AY2008" s="8" t="s">
        <v>235</v>
      </c>
      <c r="AZ2008" s="7" t="s">
        <v>235</v>
      </c>
      <c r="BA2008" s="7" t="s">
        <v>235</v>
      </c>
      <c r="BB2008" s="7"/>
      <c r="BC2008" s="4" t="s">
        <v>235</v>
      </c>
      <c r="BD2008" s="8" t="s">
        <v>235</v>
      </c>
      <c r="BE2008" s="4" t="s">
        <v>235</v>
      </c>
      <c r="BF2008" s="8" t="s">
        <v>235</v>
      </c>
      <c r="BG2008" s="7" t="s">
        <v>235</v>
      </c>
      <c r="BH2008" s="7" t="s">
        <v>235</v>
      </c>
      <c r="BI2008" s="7"/>
      <c r="BJ2008" s="4"/>
      <c r="BK2008" s="8"/>
      <c r="BL2008" s="2" t="s">
        <v>235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330</v>
      </c>
      <c r="BV2008" s="2" t="s">
        <v>235</v>
      </c>
      <c r="BW2008" s="2" t="s">
        <v>235</v>
      </c>
      <c r="BX2008" s="2" t="s">
        <v>330</v>
      </c>
      <c r="BY2008" s="2" t="s">
        <v>331</v>
      </c>
      <c r="BZ2008" s="2" t="s">
        <v>232</v>
      </c>
      <c r="CA2008" s="2" t="s">
        <v>235</v>
      </c>
      <c r="CB2008" s="2" t="s">
        <v>235</v>
      </c>
      <c r="CC2008" s="2" t="s">
        <v>248</v>
      </c>
      <c r="CD2008" s="2" t="s">
        <v>248</v>
      </c>
      <c r="CE2008" s="2" t="s">
        <v>235</v>
      </c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>
        <v>400</v>
      </c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>
        <v>400</v>
      </c>
      <c r="GR2008" s="4">
        <v>388</v>
      </c>
      <c r="GS2008" s="4">
        <v>381</v>
      </c>
      <c r="GT2008" s="4">
        <v>373</v>
      </c>
      <c r="GU2008" s="4">
        <v>368</v>
      </c>
      <c r="GV2008" s="4">
        <v>362</v>
      </c>
      <c r="GW2008" s="4">
        <v>354</v>
      </c>
      <c r="GX2008" s="4">
        <v>347</v>
      </c>
      <c r="GY2008" s="4">
        <v>341</v>
      </c>
      <c r="GZ2008" s="4">
        <v>331</v>
      </c>
      <c r="HA2008" s="4">
        <v>322</v>
      </c>
      <c r="HB2008" s="4">
        <v>313</v>
      </c>
      <c r="HC2008" s="4">
        <v>296</v>
      </c>
      <c r="HD2008" s="9"/>
      <c r="HE2008" s="9"/>
      <c r="HF2008" s="9"/>
      <c r="HG2008" s="9"/>
      <c r="HH2008" s="9"/>
      <c r="HI2008" s="9"/>
      <c r="HJ2008" s="9"/>
      <c r="HK2008" s="9"/>
      <c r="HL2008" s="9"/>
      <c r="HM2008" s="9"/>
      <c r="HN2008" s="9"/>
      <c r="HO2008" s="9"/>
      <c r="HP2008" s="9"/>
      <c r="HQ2008" s="19">
        <v>50</v>
      </c>
      <c r="HR2008" s="19">
        <v>64.7</v>
      </c>
      <c r="HS2008" s="19">
        <v>54.4</v>
      </c>
      <c r="HT2008" s="19">
        <v>62.2</v>
      </c>
      <c r="HU2008" s="19">
        <v>52.6</v>
      </c>
      <c r="HV2008" s="19">
        <v>45.3</v>
      </c>
      <c r="HW2008" s="19">
        <v>44.3</v>
      </c>
      <c r="HX2008" s="19">
        <v>43.4</v>
      </c>
      <c r="HY2008" s="19">
        <v>31</v>
      </c>
      <c r="HZ2008" s="19">
        <v>30.1</v>
      </c>
      <c r="IA2008" s="19">
        <v>24.8</v>
      </c>
      <c r="IB2008" s="19">
        <v>22.4</v>
      </c>
      <c r="IC2008" s="19">
        <v>24.7</v>
      </c>
    </row>
    <row r="2009">
      <c r="A2009" s="2" t="s">
        <v>7243</v>
      </c>
      <c r="B2009" s="2" t="s">
        <v>871</v>
      </c>
      <c r="C2009" s="2" t="s">
        <v>980</v>
      </c>
      <c r="D2009" s="2" t="s">
        <v>361</v>
      </c>
      <c r="E2009" s="2" t="s">
        <v>872</v>
      </c>
      <c r="F2009" s="2" t="s">
        <v>7240</v>
      </c>
      <c r="G2009" s="2" t="s">
        <v>7240</v>
      </c>
      <c r="H2009" s="2" t="s">
        <v>7240</v>
      </c>
      <c r="I2009" s="2" t="s">
        <v>7241</v>
      </c>
      <c r="J2009" s="2" t="s">
        <v>270</v>
      </c>
      <c r="K2009" s="2" t="s">
        <v>2029</v>
      </c>
      <c r="L2009" s="3">
        <v>82.29</v>
      </c>
      <c r="M2009" s="3">
        <v>86.4</v>
      </c>
      <c r="N2009" s="3">
        <v>179.99</v>
      </c>
      <c r="O2009" s="2" t="s">
        <v>232</v>
      </c>
      <c r="P2009" s="2" t="s">
        <v>262</v>
      </c>
      <c r="Q2009" s="2" t="s">
        <v>234</v>
      </c>
      <c r="R2009" s="2" t="s">
        <v>235</v>
      </c>
      <c r="S2009" s="2" t="s">
        <v>235</v>
      </c>
      <c r="T2009" s="2" t="s">
        <v>879</v>
      </c>
      <c r="U2009" s="2" t="s">
        <v>282</v>
      </c>
      <c r="V2009" s="2" t="s">
        <v>1147</v>
      </c>
      <c r="W2009" s="2" t="s">
        <v>1082</v>
      </c>
      <c r="X2009" s="2" t="s">
        <v>1082</v>
      </c>
      <c r="Y2009" s="2" t="s">
        <v>235</v>
      </c>
      <c r="Z2009" s="4"/>
      <c r="AA2009" s="4">
        <f>=ROUNDDOWN({0},0)</f>
      </c>
      <c r="AB2009" s="5"/>
      <c r="AC2009" s="2" t="s">
        <v>7242</v>
      </c>
      <c r="AD2009" s="4">
        <v>400</v>
      </c>
      <c r="AE2009" s="4">
        <v>400</v>
      </c>
      <c r="AF2009" s="6">
        <v>65</v>
      </c>
      <c r="AG2009" s="6"/>
      <c r="AH2009" s="7"/>
      <c r="AI2009" s="4"/>
      <c r="AJ2009" s="4">
        <f>=ROUNDDOWN({0},0)</f>
      </c>
      <c r="AK2009" s="5"/>
      <c r="AL2009" s="2" t="s">
        <v>235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235</v>
      </c>
      <c r="AW2009" s="8" t="s">
        <v>235</v>
      </c>
      <c r="AX2009" s="4" t="s">
        <v>235</v>
      </c>
      <c r="AY2009" s="8" t="s">
        <v>235</v>
      </c>
      <c r="AZ2009" s="7" t="s">
        <v>235</v>
      </c>
      <c r="BA2009" s="7" t="s">
        <v>235</v>
      </c>
      <c r="BB2009" s="7"/>
      <c r="BC2009" s="4" t="s">
        <v>235</v>
      </c>
      <c r="BD2009" s="8" t="s">
        <v>235</v>
      </c>
      <c r="BE2009" s="4" t="s">
        <v>235</v>
      </c>
      <c r="BF2009" s="8" t="s">
        <v>235</v>
      </c>
      <c r="BG2009" s="7" t="s">
        <v>235</v>
      </c>
      <c r="BH2009" s="7" t="s">
        <v>235</v>
      </c>
      <c r="BI2009" s="7"/>
      <c r="BJ2009" s="4"/>
      <c r="BK2009" s="8"/>
      <c r="BL2009" s="2" t="s">
        <v>235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330</v>
      </c>
      <c r="BV2009" s="2" t="s">
        <v>235</v>
      </c>
      <c r="BW2009" s="2" t="s">
        <v>235</v>
      </c>
      <c r="BX2009" s="2" t="s">
        <v>330</v>
      </c>
      <c r="BY2009" s="2" t="s">
        <v>331</v>
      </c>
      <c r="BZ2009" s="2" t="s">
        <v>232</v>
      </c>
      <c r="CA2009" s="2" t="s">
        <v>235</v>
      </c>
      <c r="CB2009" s="2" t="s">
        <v>235</v>
      </c>
      <c r="CC2009" s="2" t="s">
        <v>248</v>
      </c>
      <c r="CD2009" s="2" t="s">
        <v>248</v>
      </c>
      <c r="CE2009" s="2" t="s">
        <v>235</v>
      </c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>
        <v>400</v>
      </c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>
        <v>400</v>
      </c>
      <c r="GR2009" s="4">
        <v>386</v>
      </c>
      <c r="GS2009" s="4">
        <v>380</v>
      </c>
      <c r="GT2009" s="4">
        <v>373</v>
      </c>
      <c r="GU2009" s="4">
        <v>367</v>
      </c>
      <c r="GV2009" s="4">
        <v>362</v>
      </c>
      <c r="GW2009" s="4">
        <v>354</v>
      </c>
      <c r="GX2009" s="4">
        <v>348</v>
      </c>
      <c r="GY2009" s="4">
        <v>341</v>
      </c>
      <c r="GZ2009" s="4">
        <v>326</v>
      </c>
      <c r="HA2009" s="4">
        <v>317</v>
      </c>
      <c r="HB2009" s="4">
        <v>306</v>
      </c>
      <c r="HC2009" s="4">
        <v>291</v>
      </c>
      <c r="HD2009" s="9"/>
      <c r="HE2009" s="9"/>
      <c r="HF2009" s="9"/>
      <c r="HG2009" s="9"/>
      <c r="HH2009" s="9"/>
      <c r="HI2009" s="9"/>
      <c r="HJ2009" s="9"/>
      <c r="HK2009" s="9"/>
      <c r="HL2009" s="9"/>
      <c r="HM2009" s="9"/>
      <c r="HN2009" s="9"/>
      <c r="HO2009" s="9"/>
      <c r="HP2009" s="9"/>
      <c r="HQ2009" s="19">
        <v>50</v>
      </c>
      <c r="HR2009" s="19">
        <v>64.3</v>
      </c>
      <c r="HS2009" s="19">
        <v>63.3</v>
      </c>
      <c r="HT2009" s="19">
        <v>62.2</v>
      </c>
      <c r="HU2009" s="19">
        <v>61.2</v>
      </c>
      <c r="HV2009" s="19">
        <v>40.2</v>
      </c>
      <c r="HW2009" s="19">
        <v>39.3</v>
      </c>
      <c r="HX2009" s="19">
        <v>34.8</v>
      </c>
      <c r="HY2009" s="19">
        <v>28.4</v>
      </c>
      <c r="HZ2009" s="19">
        <v>29.6</v>
      </c>
      <c r="IA2009" s="19">
        <v>24.4</v>
      </c>
      <c r="IB2009" s="19">
        <v>20.4</v>
      </c>
      <c r="IC2009" s="19">
        <v>20.8</v>
      </c>
    </row>
    <row r="2010">
      <c r="A2010" s="2" t="s">
        <v>7244</v>
      </c>
      <c r="B2010" s="2" t="s">
        <v>1139</v>
      </c>
      <c r="C2010" s="2" t="s">
        <v>324</v>
      </c>
      <c r="D2010" s="2" t="s">
        <v>607</v>
      </c>
      <c r="E2010" s="2" t="s">
        <v>608</v>
      </c>
      <c r="F2010" s="2" t="s">
        <v>7245</v>
      </c>
      <c r="G2010" s="2" t="s">
        <v>7245</v>
      </c>
      <c r="H2010" s="2" t="s">
        <v>7245</v>
      </c>
      <c r="I2010" s="2" t="s">
        <v>6690</v>
      </c>
      <c r="J2010" s="2" t="s">
        <v>611</v>
      </c>
      <c r="K2010" s="2" t="s">
        <v>231</v>
      </c>
      <c r="L2010" s="3">
        <v>28.085429</v>
      </c>
      <c r="M2010" s="3">
        <v>29.49</v>
      </c>
      <c r="N2010" s="3">
        <v>62.99</v>
      </c>
      <c r="O2010" s="2" t="s">
        <v>232</v>
      </c>
      <c r="P2010" s="2" t="s">
        <v>878</v>
      </c>
      <c r="Q2010" s="2" t="s">
        <v>234</v>
      </c>
      <c r="R2010" s="2" t="s">
        <v>235</v>
      </c>
      <c r="S2010" s="2" t="s">
        <v>235</v>
      </c>
      <c r="T2010" s="2" t="s">
        <v>263</v>
      </c>
      <c r="U2010" s="2" t="s">
        <v>807</v>
      </c>
      <c r="V2010" s="2" t="s">
        <v>420</v>
      </c>
      <c r="W2010" s="2" t="s">
        <v>682</v>
      </c>
      <c r="X2010" s="2" t="s">
        <v>235</v>
      </c>
      <c r="Y2010" s="2" t="s">
        <v>235</v>
      </c>
      <c r="Z2010" s="4"/>
      <c r="AA2010" s="4">
        <f>=ROUNDDOWN({0},0)</f>
      </c>
      <c r="AB2010" s="5"/>
      <c r="AC2010" s="2" t="s">
        <v>188</v>
      </c>
      <c r="AD2010" s="4">
        <v>1242</v>
      </c>
      <c r="AE2010" s="4">
        <v>1242</v>
      </c>
      <c r="AF2010" s="6">
        <v>80</v>
      </c>
      <c r="AG2010" s="6"/>
      <c r="AH2010" s="7"/>
      <c r="AI2010" s="4"/>
      <c r="AJ2010" s="4">
        <f>=ROUNDDOWN({0},0)</f>
      </c>
      <c r="AK2010" s="5"/>
      <c r="AL2010" s="2" t="s">
        <v>235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 t="s">
        <v>235</v>
      </c>
      <c r="BD2010" s="8" t="s">
        <v>235</v>
      </c>
      <c r="BE2010" s="4" t="s">
        <v>235</v>
      </c>
      <c r="BF2010" s="8" t="s">
        <v>235</v>
      </c>
      <c r="BG2010" s="7" t="s">
        <v>235</v>
      </c>
      <c r="BH2010" s="7" t="s">
        <v>235</v>
      </c>
      <c r="BI2010" s="7"/>
      <c r="BJ2010" s="4"/>
      <c r="BK2010" s="8"/>
      <c r="BL2010" s="2" t="s">
        <v>235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330</v>
      </c>
      <c r="BV2010" s="2" t="s">
        <v>235</v>
      </c>
      <c r="BW2010" s="2" t="s">
        <v>235</v>
      </c>
      <c r="BX2010" s="2" t="s">
        <v>330</v>
      </c>
      <c r="BY2010" s="2" t="s">
        <v>331</v>
      </c>
      <c r="BZ2010" s="2" t="s">
        <v>232</v>
      </c>
      <c r="CA2010" s="2" t="s">
        <v>235</v>
      </c>
      <c r="CB2010" s="2" t="s">
        <v>235</v>
      </c>
      <c r="CC2010" s="2" t="s">
        <v>248</v>
      </c>
      <c r="CD2010" s="2" t="s">
        <v>248</v>
      </c>
      <c r="CE2010" s="2" t="s">
        <v>235</v>
      </c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>
        <v>1242</v>
      </c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>
        <v>1242</v>
      </c>
      <c r="GQ2010" s="4">
        <v>999</v>
      </c>
      <c r="GR2010" s="4">
        <v>963</v>
      </c>
      <c r="GS2010" s="4">
        <v>927</v>
      </c>
      <c r="GT2010" s="4">
        <v>890</v>
      </c>
      <c r="GU2010" s="4">
        <v>861</v>
      </c>
      <c r="GV2010" s="4">
        <v>828</v>
      </c>
      <c r="GW2010" s="4">
        <v>795</v>
      </c>
      <c r="GX2010" s="4">
        <v>748</v>
      </c>
      <c r="GY2010" s="4">
        <v>701</v>
      </c>
      <c r="GZ2010" s="4">
        <v>650</v>
      </c>
      <c r="HA2010" s="4">
        <v>597</v>
      </c>
      <c r="HB2010" s="4">
        <v>531</v>
      </c>
      <c r="HC2010" s="4">
        <v>465</v>
      </c>
      <c r="HD2010" s="9"/>
      <c r="HE2010" s="9"/>
      <c r="HF2010" s="9"/>
      <c r="HG2010" s="9"/>
      <c r="HH2010" s="9"/>
      <c r="HI2010" s="9"/>
      <c r="HJ2010" s="9"/>
      <c r="HK2010" s="9"/>
      <c r="HL2010" s="9"/>
      <c r="HM2010" s="9"/>
      <c r="HN2010" s="9"/>
      <c r="HO2010" s="9"/>
      <c r="HP2010" s="19">
        <v>14.1</v>
      </c>
      <c r="HQ2010" s="19">
        <v>29.4</v>
      </c>
      <c r="HR2010" s="19">
        <v>28.3</v>
      </c>
      <c r="HS2010" s="19">
        <v>28.1</v>
      </c>
      <c r="HT2010" s="19">
        <v>24.7</v>
      </c>
      <c r="HU2010" s="19">
        <v>21.5</v>
      </c>
      <c r="HV2010" s="19">
        <v>18.8</v>
      </c>
      <c r="HW2010" s="19">
        <v>15.9</v>
      </c>
      <c r="HX2010" s="19">
        <v>13.9</v>
      </c>
      <c r="HY2010" s="19">
        <v>11.9</v>
      </c>
      <c r="HZ2010" s="19">
        <v>10.3</v>
      </c>
      <c r="IA2010" s="19">
        <v>8.9</v>
      </c>
      <c r="IB2010" s="19">
        <v>7.8</v>
      </c>
      <c r="IC2010" s="19">
        <v>6.8</v>
      </c>
    </row>
    <row r="2011">
      <c r="A2011" s="2" t="s">
        <v>7246</v>
      </c>
      <c r="B2011" s="2" t="s">
        <v>1139</v>
      </c>
      <c r="C2011" s="2" t="s">
        <v>324</v>
      </c>
      <c r="D2011" s="2" t="s">
        <v>607</v>
      </c>
      <c r="E2011" s="2" t="s">
        <v>608</v>
      </c>
      <c r="F2011" s="2" t="s">
        <v>7245</v>
      </c>
      <c r="G2011" s="2" t="s">
        <v>7245</v>
      </c>
      <c r="H2011" s="2" t="s">
        <v>7245</v>
      </c>
      <c r="I2011" s="2" t="s">
        <v>6690</v>
      </c>
      <c r="J2011" s="2" t="s">
        <v>611</v>
      </c>
      <c r="K2011" s="2" t="s">
        <v>1238</v>
      </c>
      <c r="L2011" s="3">
        <v>28.085429</v>
      </c>
      <c r="M2011" s="3">
        <v>29.49</v>
      </c>
      <c r="N2011" s="3">
        <v>62.99</v>
      </c>
      <c r="O2011" s="2" t="s">
        <v>232</v>
      </c>
      <c r="P2011" s="2" t="s">
        <v>878</v>
      </c>
      <c r="Q2011" s="2" t="s">
        <v>234</v>
      </c>
      <c r="R2011" s="2" t="s">
        <v>235</v>
      </c>
      <c r="S2011" s="2" t="s">
        <v>235</v>
      </c>
      <c r="T2011" s="2" t="s">
        <v>263</v>
      </c>
      <c r="U2011" s="2" t="s">
        <v>807</v>
      </c>
      <c r="V2011" s="2" t="s">
        <v>420</v>
      </c>
      <c r="W2011" s="2" t="s">
        <v>682</v>
      </c>
      <c r="X2011" s="2" t="s">
        <v>235</v>
      </c>
      <c r="Y2011" s="2" t="s">
        <v>235</v>
      </c>
      <c r="Z2011" s="4"/>
      <c r="AA2011" s="4">
        <f>=ROUNDDOWN({0},0)</f>
      </c>
      <c r="AB2011" s="5"/>
      <c r="AC2011" s="2" t="s">
        <v>188</v>
      </c>
      <c r="AD2011" s="4">
        <v>893</v>
      </c>
      <c r="AE2011" s="4">
        <v>893</v>
      </c>
      <c r="AF2011" s="6">
        <v>80</v>
      </c>
      <c r="AG2011" s="6"/>
      <c r="AH2011" s="7"/>
      <c r="AI2011" s="4"/>
      <c r="AJ2011" s="4">
        <f>=ROUNDDOWN({0},0)</f>
      </c>
      <c r="AK2011" s="5"/>
      <c r="AL2011" s="2" t="s">
        <v>235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 t="s">
        <v>235</v>
      </c>
      <c r="BD2011" s="8" t="s">
        <v>235</v>
      </c>
      <c r="BE2011" s="4" t="s">
        <v>235</v>
      </c>
      <c r="BF2011" s="8" t="s">
        <v>235</v>
      </c>
      <c r="BG2011" s="7" t="s">
        <v>235</v>
      </c>
      <c r="BH2011" s="7" t="s">
        <v>235</v>
      </c>
      <c r="BI2011" s="7"/>
      <c r="BJ2011" s="4"/>
      <c r="BK2011" s="8"/>
      <c r="BL2011" s="2" t="s">
        <v>235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330</v>
      </c>
      <c r="BV2011" s="2" t="s">
        <v>235</v>
      </c>
      <c r="BW2011" s="2" t="s">
        <v>235</v>
      </c>
      <c r="BX2011" s="2" t="s">
        <v>330</v>
      </c>
      <c r="BY2011" s="2" t="s">
        <v>331</v>
      </c>
      <c r="BZ2011" s="2" t="s">
        <v>232</v>
      </c>
      <c r="CA2011" s="2" t="s">
        <v>235</v>
      </c>
      <c r="CB2011" s="2" t="s">
        <v>235</v>
      </c>
      <c r="CC2011" s="2" t="s">
        <v>248</v>
      </c>
      <c r="CD2011" s="2" t="s">
        <v>248</v>
      </c>
      <c r="CE2011" s="2" t="s">
        <v>235</v>
      </c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>
        <v>893</v>
      </c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>
        <v>893</v>
      </c>
      <c r="GQ2011" s="4">
        <v>713</v>
      </c>
      <c r="GR2011" s="4">
        <v>686</v>
      </c>
      <c r="GS2011" s="4">
        <v>660</v>
      </c>
      <c r="GT2011" s="4">
        <v>634</v>
      </c>
      <c r="GU2011" s="4">
        <v>614</v>
      </c>
      <c r="GV2011" s="4">
        <v>591</v>
      </c>
      <c r="GW2011" s="4">
        <v>568</v>
      </c>
      <c r="GX2011" s="4">
        <v>534</v>
      </c>
      <c r="GY2011" s="4">
        <v>500</v>
      </c>
      <c r="GZ2011" s="4">
        <v>464</v>
      </c>
      <c r="HA2011" s="4">
        <v>426</v>
      </c>
      <c r="HB2011" s="4">
        <v>378</v>
      </c>
      <c r="HC2011" s="4">
        <v>330</v>
      </c>
      <c r="HD2011" s="9"/>
      <c r="HE2011" s="9"/>
      <c r="HF2011" s="9"/>
      <c r="HG2011" s="9"/>
      <c r="HH2011" s="9"/>
      <c r="HI2011" s="9"/>
      <c r="HJ2011" s="9"/>
      <c r="HK2011" s="9"/>
      <c r="HL2011" s="9"/>
      <c r="HM2011" s="9"/>
      <c r="HN2011" s="9"/>
      <c r="HO2011" s="9"/>
      <c r="HP2011" s="19">
        <v>13.7</v>
      </c>
      <c r="HQ2011" s="19">
        <v>28.5</v>
      </c>
      <c r="HR2011" s="19">
        <v>28.6</v>
      </c>
      <c r="HS2011" s="19">
        <v>28.7</v>
      </c>
      <c r="HT2011" s="19">
        <v>25.4</v>
      </c>
      <c r="HU2011" s="19">
        <v>21.9</v>
      </c>
      <c r="HV2011" s="19">
        <v>18.5</v>
      </c>
      <c r="HW2011" s="19">
        <v>15.8</v>
      </c>
      <c r="HX2011" s="19">
        <v>13.7</v>
      </c>
      <c r="HY2011" s="19">
        <v>11.9</v>
      </c>
      <c r="HZ2011" s="19">
        <v>10.1</v>
      </c>
      <c r="IA2011" s="19">
        <v>8.7</v>
      </c>
      <c r="IB2011" s="19">
        <v>7.6</v>
      </c>
      <c r="IC2011" s="19">
        <v>6.6</v>
      </c>
    </row>
    <row r="2012">
      <c r="A2012" s="2" t="s">
        <v>7247</v>
      </c>
      <c r="B2012" s="2" t="s">
        <v>1139</v>
      </c>
      <c r="C2012" s="2" t="s">
        <v>324</v>
      </c>
      <c r="D2012" s="2" t="s">
        <v>607</v>
      </c>
      <c r="E2012" s="2" t="s">
        <v>608</v>
      </c>
      <c r="F2012" s="2" t="s">
        <v>7245</v>
      </c>
      <c r="G2012" s="2" t="s">
        <v>7245</v>
      </c>
      <c r="H2012" s="2" t="s">
        <v>7245</v>
      </c>
      <c r="I2012" s="2" t="s">
        <v>6690</v>
      </c>
      <c r="J2012" s="2" t="s">
        <v>611</v>
      </c>
      <c r="K2012" s="2" t="s">
        <v>822</v>
      </c>
      <c r="L2012" s="3">
        <v>28.085429</v>
      </c>
      <c r="M2012" s="3">
        <v>29.49</v>
      </c>
      <c r="N2012" s="3">
        <v>62.99</v>
      </c>
      <c r="O2012" s="2" t="s">
        <v>232</v>
      </c>
      <c r="P2012" s="2" t="s">
        <v>878</v>
      </c>
      <c r="Q2012" s="2" t="s">
        <v>234</v>
      </c>
      <c r="R2012" s="2" t="s">
        <v>235</v>
      </c>
      <c r="S2012" s="2" t="s">
        <v>235</v>
      </c>
      <c r="T2012" s="2" t="s">
        <v>263</v>
      </c>
      <c r="U2012" s="2" t="s">
        <v>807</v>
      </c>
      <c r="V2012" s="2" t="s">
        <v>420</v>
      </c>
      <c r="W2012" s="2" t="s">
        <v>682</v>
      </c>
      <c r="X2012" s="2" t="s">
        <v>235</v>
      </c>
      <c r="Y2012" s="2" t="s">
        <v>235</v>
      </c>
      <c r="Z2012" s="4"/>
      <c r="AA2012" s="4">
        <f>=ROUNDDOWN({0},0)</f>
      </c>
      <c r="AB2012" s="5"/>
      <c r="AC2012" s="2" t="s">
        <v>188</v>
      </c>
      <c r="AD2012" s="4">
        <v>1338</v>
      </c>
      <c r="AE2012" s="4">
        <v>1338</v>
      </c>
      <c r="AF2012" s="6">
        <v>80</v>
      </c>
      <c r="AG2012" s="6"/>
      <c r="AH2012" s="7"/>
      <c r="AI2012" s="4"/>
      <c r="AJ2012" s="4">
        <f>=ROUNDDOWN({0},0)</f>
      </c>
      <c r="AK2012" s="5"/>
      <c r="AL2012" s="2" t="s">
        <v>235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 t="s">
        <v>235</v>
      </c>
      <c r="BD2012" s="8" t="s">
        <v>235</v>
      </c>
      <c r="BE2012" s="4" t="s">
        <v>235</v>
      </c>
      <c r="BF2012" s="8" t="s">
        <v>235</v>
      </c>
      <c r="BG2012" s="7" t="s">
        <v>235</v>
      </c>
      <c r="BH2012" s="7" t="s">
        <v>235</v>
      </c>
      <c r="BI2012" s="7"/>
      <c r="BJ2012" s="4"/>
      <c r="BK2012" s="8"/>
      <c r="BL2012" s="2" t="s">
        <v>235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330</v>
      </c>
      <c r="BV2012" s="2" t="s">
        <v>235</v>
      </c>
      <c r="BW2012" s="2" t="s">
        <v>235</v>
      </c>
      <c r="BX2012" s="2" t="s">
        <v>330</v>
      </c>
      <c r="BY2012" s="2" t="s">
        <v>331</v>
      </c>
      <c r="BZ2012" s="2" t="s">
        <v>232</v>
      </c>
      <c r="CA2012" s="2" t="s">
        <v>235</v>
      </c>
      <c r="CB2012" s="2" t="s">
        <v>235</v>
      </c>
      <c r="CC2012" s="2" t="s">
        <v>248</v>
      </c>
      <c r="CD2012" s="2" t="s">
        <v>248</v>
      </c>
      <c r="CE2012" s="2" t="s">
        <v>235</v>
      </c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>
        <v>1338</v>
      </c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>
        <v>1338</v>
      </c>
      <c r="GQ2012" s="4">
        <v>1073</v>
      </c>
      <c r="GR2012" s="4">
        <v>1034</v>
      </c>
      <c r="GS2012" s="4">
        <v>995</v>
      </c>
      <c r="GT2012" s="4">
        <v>955</v>
      </c>
      <c r="GU2012" s="4">
        <v>924</v>
      </c>
      <c r="GV2012" s="4">
        <v>889</v>
      </c>
      <c r="GW2012" s="4">
        <v>854</v>
      </c>
      <c r="GX2012" s="4">
        <v>803</v>
      </c>
      <c r="GY2012" s="4">
        <v>752</v>
      </c>
      <c r="GZ2012" s="4">
        <v>697</v>
      </c>
      <c r="HA2012" s="4">
        <v>640</v>
      </c>
      <c r="HB2012" s="4">
        <v>569</v>
      </c>
      <c r="HC2012" s="4">
        <v>498</v>
      </c>
      <c r="HD2012" s="9"/>
      <c r="HE2012" s="9"/>
      <c r="HF2012" s="9"/>
      <c r="HG2012" s="9"/>
      <c r="HH2012" s="9"/>
      <c r="HI2012" s="9"/>
      <c r="HJ2012" s="9"/>
      <c r="HK2012" s="9"/>
      <c r="HL2012" s="9"/>
      <c r="HM2012" s="9"/>
      <c r="HN2012" s="9"/>
      <c r="HO2012" s="9"/>
      <c r="HP2012" s="19">
        <v>13.9</v>
      </c>
      <c r="HQ2012" s="19">
        <v>29</v>
      </c>
      <c r="HR2012" s="19">
        <v>28.7</v>
      </c>
      <c r="HS2012" s="19">
        <v>28.4</v>
      </c>
      <c r="HT2012" s="19">
        <v>25.1</v>
      </c>
      <c r="HU2012" s="19">
        <v>21.5</v>
      </c>
      <c r="HV2012" s="19">
        <v>18.5</v>
      </c>
      <c r="HW2012" s="19">
        <v>15.8</v>
      </c>
      <c r="HX2012" s="19">
        <v>13.8</v>
      </c>
      <c r="HY2012" s="19">
        <v>11.8</v>
      </c>
      <c r="HZ2012" s="19">
        <v>10.3</v>
      </c>
      <c r="IA2012" s="19">
        <v>8.9</v>
      </c>
      <c r="IB2012" s="19">
        <v>7.7</v>
      </c>
      <c r="IC2012" s="19">
        <v>6.7</v>
      </c>
    </row>
    <row r="2013">
      <c r="A2013" s="2" t="s">
        <v>7248</v>
      </c>
      <c r="B2013" s="2" t="s">
        <v>1139</v>
      </c>
      <c r="C2013" s="2" t="s">
        <v>324</v>
      </c>
      <c r="D2013" s="2" t="s">
        <v>607</v>
      </c>
      <c r="E2013" s="2" t="s">
        <v>608</v>
      </c>
      <c r="F2013" s="2" t="s">
        <v>7245</v>
      </c>
      <c r="G2013" s="2" t="s">
        <v>7245</v>
      </c>
      <c r="H2013" s="2" t="s">
        <v>7245</v>
      </c>
      <c r="I2013" s="2" t="s">
        <v>6690</v>
      </c>
      <c r="J2013" s="2" t="s">
        <v>611</v>
      </c>
      <c r="K2013" s="2" t="s">
        <v>7249</v>
      </c>
      <c r="L2013" s="3">
        <v>28.085429</v>
      </c>
      <c r="M2013" s="3">
        <v>29.49</v>
      </c>
      <c r="N2013" s="3">
        <v>62.99</v>
      </c>
      <c r="O2013" s="2" t="s">
        <v>232</v>
      </c>
      <c r="P2013" s="2" t="s">
        <v>878</v>
      </c>
      <c r="Q2013" s="2" t="s">
        <v>234</v>
      </c>
      <c r="R2013" s="2" t="s">
        <v>235</v>
      </c>
      <c r="S2013" s="2" t="s">
        <v>235</v>
      </c>
      <c r="T2013" s="2" t="s">
        <v>263</v>
      </c>
      <c r="U2013" s="2" t="s">
        <v>807</v>
      </c>
      <c r="V2013" s="2" t="s">
        <v>420</v>
      </c>
      <c r="W2013" s="2" t="s">
        <v>682</v>
      </c>
      <c r="X2013" s="2" t="s">
        <v>235</v>
      </c>
      <c r="Y2013" s="2" t="s">
        <v>235</v>
      </c>
      <c r="Z2013" s="4"/>
      <c r="AA2013" s="4">
        <f>=ROUNDDOWN({0},0)</f>
      </c>
      <c r="AB2013" s="5"/>
      <c r="AC2013" s="2" t="s">
        <v>188</v>
      </c>
      <c r="AD2013" s="4">
        <v>765</v>
      </c>
      <c r="AE2013" s="4">
        <v>765</v>
      </c>
      <c r="AF2013" s="6">
        <v>80</v>
      </c>
      <c r="AG2013" s="6"/>
      <c r="AH2013" s="7"/>
      <c r="AI2013" s="4"/>
      <c r="AJ2013" s="4">
        <f>=ROUNDDOWN({0},0)</f>
      </c>
      <c r="AK2013" s="5"/>
      <c r="AL2013" s="2" t="s">
        <v>235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 t="s">
        <v>235</v>
      </c>
      <c r="BD2013" s="8" t="s">
        <v>235</v>
      </c>
      <c r="BE2013" s="4" t="s">
        <v>235</v>
      </c>
      <c r="BF2013" s="8" t="s">
        <v>235</v>
      </c>
      <c r="BG2013" s="7" t="s">
        <v>235</v>
      </c>
      <c r="BH2013" s="7" t="s">
        <v>235</v>
      </c>
      <c r="BI2013" s="7"/>
      <c r="BJ2013" s="4"/>
      <c r="BK2013" s="8"/>
      <c r="BL2013" s="2" t="s">
        <v>235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330</v>
      </c>
      <c r="BV2013" s="2" t="s">
        <v>235</v>
      </c>
      <c r="BW2013" s="2" t="s">
        <v>235</v>
      </c>
      <c r="BX2013" s="2" t="s">
        <v>330</v>
      </c>
      <c r="BY2013" s="2" t="s">
        <v>331</v>
      </c>
      <c r="BZ2013" s="2" t="s">
        <v>232</v>
      </c>
      <c r="CA2013" s="2" t="s">
        <v>235</v>
      </c>
      <c r="CB2013" s="2" t="s">
        <v>235</v>
      </c>
      <c r="CC2013" s="2" t="s">
        <v>248</v>
      </c>
      <c r="CD2013" s="2" t="s">
        <v>248</v>
      </c>
      <c r="CE2013" s="2" t="s">
        <v>235</v>
      </c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>
        <v>765</v>
      </c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>
        <v>765</v>
      </c>
      <c r="GQ2013" s="4">
        <v>617</v>
      </c>
      <c r="GR2013" s="4">
        <v>595</v>
      </c>
      <c r="GS2013" s="4">
        <v>573</v>
      </c>
      <c r="GT2013" s="4">
        <v>550</v>
      </c>
      <c r="GU2013" s="4">
        <v>532</v>
      </c>
      <c r="GV2013" s="4">
        <v>512</v>
      </c>
      <c r="GW2013" s="4">
        <v>492</v>
      </c>
      <c r="GX2013" s="4">
        <v>463</v>
      </c>
      <c r="GY2013" s="4">
        <v>434</v>
      </c>
      <c r="GZ2013" s="4">
        <v>403</v>
      </c>
      <c r="HA2013" s="4">
        <v>371</v>
      </c>
      <c r="HB2013" s="4">
        <v>331</v>
      </c>
      <c r="HC2013" s="4">
        <v>291</v>
      </c>
      <c r="HD2013" s="9"/>
      <c r="HE2013" s="9"/>
      <c r="HF2013" s="9"/>
      <c r="HG2013" s="9"/>
      <c r="HH2013" s="9"/>
      <c r="HI2013" s="9"/>
      <c r="HJ2013" s="9"/>
      <c r="HK2013" s="9"/>
      <c r="HL2013" s="9"/>
      <c r="HM2013" s="9"/>
      <c r="HN2013" s="9"/>
      <c r="HO2013" s="9"/>
      <c r="HP2013" s="19">
        <v>14.2</v>
      </c>
      <c r="HQ2013" s="19">
        <v>29.4</v>
      </c>
      <c r="HR2013" s="19">
        <v>28.3</v>
      </c>
      <c r="HS2013" s="19">
        <v>28.7</v>
      </c>
      <c r="HT2013" s="19">
        <v>25</v>
      </c>
      <c r="HU2013" s="19">
        <v>22.2</v>
      </c>
      <c r="HV2013" s="19">
        <v>19</v>
      </c>
      <c r="HW2013" s="19">
        <v>16.4</v>
      </c>
      <c r="HX2013" s="19">
        <v>14</v>
      </c>
      <c r="HY2013" s="19">
        <v>12.1</v>
      </c>
      <c r="HZ2013" s="19">
        <v>10.6</v>
      </c>
      <c r="IA2013" s="19">
        <v>9</v>
      </c>
      <c r="IB2013" s="19">
        <v>7.9</v>
      </c>
      <c r="IC2013" s="19">
        <v>6.9</v>
      </c>
    </row>
    <row r="2014">
      <c r="A2014" s="2" t="s">
        <v>7250</v>
      </c>
      <c r="B2014" s="2" t="s">
        <v>255</v>
      </c>
      <c r="C2014" s="2" t="s">
        <v>2023</v>
      </c>
      <c r="D2014" s="2" t="s">
        <v>906</v>
      </c>
      <c r="E2014" s="2" t="s">
        <v>1301</v>
      </c>
      <c r="F2014" s="2" t="s">
        <v>7251</v>
      </c>
      <c r="G2014" s="2" t="s">
        <v>235</v>
      </c>
      <c r="H2014" s="2" t="s">
        <v>235</v>
      </c>
      <c r="I2014" s="2" t="s">
        <v>907</v>
      </c>
      <c r="J2014" s="2" t="s">
        <v>365</v>
      </c>
      <c r="K2014" s="2" t="s">
        <v>295</v>
      </c>
      <c r="L2014" s="3">
        <v>96.89</v>
      </c>
      <c r="M2014" s="3">
        <v>101.74</v>
      </c>
      <c r="N2014" s="3">
        <v>199.99</v>
      </c>
      <c r="O2014" s="2" t="s">
        <v>232</v>
      </c>
      <c r="P2014" s="2" t="s">
        <v>408</v>
      </c>
      <c r="Q2014" s="2" t="s">
        <v>234</v>
      </c>
      <c r="R2014" s="2" t="s">
        <v>235</v>
      </c>
      <c r="S2014" s="2" t="s">
        <v>7252</v>
      </c>
      <c r="T2014" s="2" t="s">
        <v>4369</v>
      </c>
      <c r="U2014" s="2" t="s">
        <v>235</v>
      </c>
      <c r="V2014" s="2" t="s">
        <v>1394</v>
      </c>
      <c r="W2014" s="2" t="s">
        <v>881</v>
      </c>
      <c r="X2014" s="2" t="s">
        <v>2060</v>
      </c>
      <c r="Y2014" s="2" t="s">
        <v>240</v>
      </c>
      <c r="Z2014" s="4">
        <v>108</v>
      </c>
      <c r="AA2014" s="4">
        <f>=ROUNDDOWN(98.1818181818182,0)</f>
      </c>
      <c r="AB2014" s="5">
        <v>1.1</v>
      </c>
      <c r="AC2014" s="2" t="s">
        <v>235</v>
      </c>
      <c r="AD2014" s="4"/>
      <c r="AE2014" s="4"/>
      <c r="AF2014" s="6">
        <v>77</v>
      </c>
      <c r="AG2014" s="6"/>
      <c r="AH2014" s="7">
        <v>1</v>
      </c>
      <c r="AI2014" s="4"/>
      <c r="AJ2014" s="4">
        <f>=ROUNDDOWN({0},0)</f>
      </c>
      <c r="AK2014" s="5"/>
      <c r="AL2014" s="2" t="s">
        <v>235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/>
      <c r="BD2014" s="8"/>
      <c r="BE2014" s="4"/>
      <c r="BF2014" s="8"/>
      <c r="BG2014" s="7"/>
      <c r="BH2014" s="7"/>
      <c r="BI2014" s="7"/>
      <c r="BJ2014" s="4"/>
      <c r="BK2014" s="8"/>
      <c r="BL2014" s="2" t="s">
        <v>7095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7253</v>
      </c>
      <c r="BV2014" s="2" t="s">
        <v>243</v>
      </c>
      <c r="BW2014" s="2" t="s">
        <v>235</v>
      </c>
      <c r="BX2014" s="2" t="s">
        <v>383</v>
      </c>
      <c r="BY2014" s="2" t="s">
        <v>245</v>
      </c>
      <c r="BZ2014" s="2" t="s">
        <v>232</v>
      </c>
      <c r="CA2014" s="2" t="s">
        <v>252</v>
      </c>
      <c r="CB2014" s="2" t="s">
        <v>7254</v>
      </c>
      <c r="CC2014" s="2" t="s">
        <v>248</v>
      </c>
      <c r="CD2014" s="2" t="s">
        <v>248</v>
      </c>
      <c r="CE2014" s="2" t="s">
        <v>235</v>
      </c>
      <c r="CF2014" s="4">
        <v>108</v>
      </c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>
        <v>109</v>
      </c>
      <c r="GE2014" s="4">
        <v>101</v>
      </c>
      <c r="GF2014" s="4">
        <v>100</v>
      </c>
      <c r="GG2014" s="4">
        <v>99</v>
      </c>
      <c r="GH2014" s="4">
        <v>98</v>
      </c>
      <c r="GI2014" s="4">
        <v>97</v>
      </c>
      <c r="GJ2014" s="4">
        <v>96</v>
      </c>
      <c r="GK2014" s="4">
        <v>94</v>
      </c>
      <c r="GL2014" s="4">
        <v>93</v>
      </c>
      <c r="GM2014" s="4">
        <v>92</v>
      </c>
      <c r="GN2014" s="4">
        <v>91</v>
      </c>
      <c r="GO2014" s="4">
        <v>90</v>
      </c>
      <c r="GP2014" s="4">
        <v>89</v>
      </c>
      <c r="GQ2014" s="4">
        <v>88</v>
      </c>
      <c r="GR2014" s="4">
        <v>87</v>
      </c>
      <c r="GS2014" s="4">
        <v>86</v>
      </c>
      <c r="GT2014" s="4">
        <v>85</v>
      </c>
      <c r="GU2014" s="4">
        <v>84</v>
      </c>
      <c r="GV2014" s="4">
        <v>83</v>
      </c>
      <c r="GW2014" s="4">
        <v>82</v>
      </c>
      <c r="GX2014" s="4">
        <v>80</v>
      </c>
      <c r="GY2014" s="4">
        <v>80</v>
      </c>
      <c r="GZ2014" s="4">
        <v>79</v>
      </c>
      <c r="HA2014" s="4">
        <v>78</v>
      </c>
      <c r="HB2014" s="4">
        <v>77</v>
      </c>
      <c r="HC2014" s="4">
        <v>75</v>
      </c>
      <c r="HD2014" s="19">
        <v>36.3</v>
      </c>
      <c r="HE2014" s="19">
        <v>101</v>
      </c>
      <c r="HF2014" s="19">
        <v>100</v>
      </c>
      <c r="HG2014" s="19">
        <v>99</v>
      </c>
      <c r="HH2014" s="19">
        <v>98</v>
      </c>
      <c r="HI2014" s="19">
        <v>97</v>
      </c>
      <c r="HJ2014" s="19">
        <v>96</v>
      </c>
      <c r="HK2014" s="19">
        <v>94</v>
      </c>
      <c r="HL2014" s="19">
        <v>93</v>
      </c>
      <c r="HM2014" s="19">
        <v>92</v>
      </c>
      <c r="HN2014" s="19">
        <v>91</v>
      </c>
      <c r="HO2014" s="19">
        <v>90</v>
      </c>
      <c r="HP2014" s="19">
        <v>89</v>
      </c>
      <c r="HQ2014" s="19">
        <v>88</v>
      </c>
      <c r="HR2014" s="19">
        <v>87</v>
      </c>
      <c r="HS2014" s="19">
        <v>86</v>
      </c>
      <c r="HT2014" s="19">
        <v>85</v>
      </c>
      <c r="HU2014" s="19">
        <v>84</v>
      </c>
      <c r="HV2014" s="19">
        <v>83</v>
      </c>
      <c r="HW2014" s="19">
        <v>82</v>
      </c>
      <c r="HX2014" s="19">
        <v>80</v>
      </c>
      <c r="HY2014" s="19">
        <v>80</v>
      </c>
      <c r="HZ2014" s="19">
        <v>79</v>
      </c>
      <c r="IA2014" s="19">
        <v>78</v>
      </c>
      <c r="IB2014" s="19">
        <v>77</v>
      </c>
      <c r="IC2014" s="19">
        <v>75</v>
      </c>
    </row>
    <row r="2015">
      <c r="A2015" s="2" t="s">
        <v>7255</v>
      </c>
      <c r="B2015" s="2" t="s">
        <v>1071</v>
      </c>
      <c r="C2015" s="2" t="s">
        <v>893</v>
      </c>
      <c r="D2015" s="2" t="s">
        <v>1482</v>
      </c>
      <c r="E2015" s="2" t="s">
        <v>1483</v>
      </c>
      <c r="F2015" s="2" t="s">
        <v>7256</v>
      </c>
      <c r="G2015" s="2" t="s">
        <v>7256</v>
      </c>
      <c r="H2015" s="2" t="s">
        <v>7256</v>
      </c>
      <c r="I2015" s="2" t="s">
        <v>7257</v>
      </c>
      <c r="J2015" s="2" t="s">
        <v>897</v>
      </c>
      <c r="K2015" s="2" t="s">
        <v>378</v>
      </c>
      <c r="L2015" s="3">
        <v>114</v>
      </c>
      <c r="M2015" s="3">
        <v>119.7</v>
      </c>
      <c r="N2015" s="3">
        <v>239</v>
      </c>
      <c r="O2015" s="2" t="s">
        <v>407</v>
      </c>
      <c r="P2015" s="2" t="s">
        <v>408</v>
      </c>
      <c r="Q2015" s="2" t="s">
        <v>234</v>
      </c>
      <c r="R2015" s="2" t="s">
        <v>235</v>
      </c>
      <c r="S2015" s="2" t="s">
        <v>7258</v>
      </c>
      <c r="T2015" s="2" t="s">
        <v>235</v>
      </c>
      <c r="U2015" s="2" t="s">
        <v>235</v>
      </c>
      <c r="V2015" s="2" t="s">
        <v>238</v>
      </c>
      <c r="W2015" s="2" t="s">
        <v>3596</v>
      </c>
      <c r="X2015" s="2" t="s">
        <v>235</v>
      </c>
      <c r="Y2015" s="2" t="s">
        <v>7259</v>
      </c>
      <c r="Z2015" s="4">
        <v>53</v>
      </c>
      <c r="AA2015" s="4">
        <f>=ROUNDDOWN(10.3921568627451,0)</f>
      </c>
      <c r="AB2015" s="5">
        <v>5.1</v>
      </c>
      <c r="AC2015" s="2" t="s">
        <v>235</v>
      </c>
      <c r="AD2015" s="4"/>
      <c r="AE2015" s="4"/>
      <c r="AF2015" s="6">
        <v>83</v>
      </c>
      <c r="AG2015" s="6">
        <v>69</v>
      </c>
      <c r="AH2015" s="7">
        <v>1</v>
      </c>
      <c r="AI2015" s="4"/>
      <c r="AJ2015" s="4">
        <f>=ROUNDDOWN({0},0)</f>
      </c>
      <c r="AK2015" s="5"/>
      <c r="AL2015" s="2" t="s">
        <v>235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>
        <v>5</v>
      </c>
      <c r="BK2015" s="8">
        <v>373.72</v>
      </c>
      <c r="BL2015" s="2" t="s">
        <v>7260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7261</v>
      </c>
      <c r="BV2015" s="2" t="s">
        <v>1488</v>
      </c>
      <c r="BW2015" s="2" t="s">
        <v>235</v>
      </c>
      <c r="BX2015" s="2" t="s">
        <v>414</v>
      </c>
      <c r="BY2015" s="2" t="s">
        <v>245</v>
      </c>
      <c r="BZ2015" s="2" t="s">
        <v>232</v>
      </c>
      <c r="CA2015" s="2" t="s">
        <v>4131</v>
      </c>
      <c r="CB2015" s="2" t="s">
        <v>6604</v>
      </c>
      <c r="CC2015" s="2" t="s">
        <v>248</v>
      </c>
      <c r="CD2015" s="2" t="s">
        <v>248</v>
      </c>
      <c r="CE2015" s="2" t="s">
        <v>235</v>
      </c>
      <c r="CF2015" s="4"/>
      <c r="CG2015" s="4">
        <v>53</v>
      </c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>
        <v>53</v>
      </c>
      <c r="GE2015" s="4">
        <v>47</v>
      </c>
      <c r="GF2015" s="4">
        <v>42</v>
      </c>
      <c r="GG2015" s="4">
        <v>36</v>
      </c>
      <c r="GH2015" s="4">
        <v>30</v>
      </c>
      <c r="GI2015" s="4">
        <v>25</v>
      </c>
      <c r="GJ2015" s="4">
        <v>20</v>
      </c>
      <c r="GK2015" s="4">
        <v>15</v>
      </c>
      <c r="GL2015" s="4">
        <v>10</v>
      </c>
      <c r="GM2015" s="4">
        <v>5</v>
      </c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19">
        <v>4.4</v>
      </c>
      <c r="HE2015" s="19">
        <v>3.9</v>
      </c>
      <c r="HF2015" s="19">
        <v>3.5</v>
      </c>
      <c r="HG2015" s="19">
        <v>3.6</v>
      </c>
      <c r="HH2015" s="19">
        <v>3</v>
      </c>
      <c r="HI2015" s="19">
        <v>2.5</v>
      </c>
      <c r="HJ2015" s="19">
        <v>2</v>
      </c>
      <c r="HK2015" s="19">
        <v>1.3</v>
      </c>
      <c r="HL2015" s="19">
        <v>0.9</v>
      </c>
      <c r="HM2015" s="19">
        <v>0.3</v>
      </c>
      <c r="HN2015" s="20">
        <v>0</v>
      </c>
      <c r="HO2015" s="20">
        <v>0</v>
      </c>
      <c r="HP2015" s="20">
        <v>0</v>
      </c>
      <c r="HQ2015" s="20">
        <v>0</v>
      </c>
      <c r="HR2015" s="20">
        <v>0</v>
      </c>
      <c r="HS2015" s="20">
        <v>0</v>
      </c>
      <c r="HT2015" s="20">
        <v>0</v>
      </c>
      <c r="HU2015" s="20">
        <v>0</v>
      </c>
      <c r="HV2015" s="20">
        <v>0</v>
      </c>
      <c r="HW2015" s="20">
        <v>0</v>
      </c>
      <c r="HX2015" s="20">
        <v>0</v>
      </c>
      <c r="HY2015" s="20">
        <v>0</v>
      </c>
      <c r="HZ2015" s="20">
        <v>0</v>
      </c>
      <c r="IA2015" s="20">
        <v>0</v>
      </c>
      <c r="IB2015" s="20">
        <v>0</v>
      </c>
      <c r="IC2015" s="20">
        <v>0</v>
      </c>
    </row>
    <row r="2016">
      <c r="A2016" s="2" t="s">
        <v>7262</v>
      </c>
      <c r="B2016" s="2" t="s">
        <v>871</v>
      </c>
      <c r="C2016" s="2" t="s">
        <v>893</v>
      </c>
      <c r="D2016" s="2" t="s">
        <v>906</v>
      </c>
      <c r="E2016" s="2" t="s">
        <v>907</v>
      </c>
      <c r="F2016" s="2" t="s">
        <v>7263</v>
      </c>
      <c r="G2016" s="2" t="s">
        <v>7263</v>
      </c>
      <c r="H2016" s="2" t="s">
        <v>7263</v>
      </c>
      <c r="I2016" s="2" t="s">
        <v>7264</v>
      </c>
      <c r="J2016" s="2" t="s">
        <v>372</v>
      </c>
      <c r="K2016" s="2" t="s">
        <v>7265</v>
      </c>
      <c r="L2016" s="3">
        <v>67.2</v>
      </c>
      <c r="M2016" s="3">
        <v>70.56</v>
      </c>
      <c r="N2016" s="3">
        <v>139.99</v>
      </c>
      <c r="O2016" s="2" t="s">
        <v>232</v>
      </c>
      <c r="P2016" s="2" t="s">
        <v>1282</v>
      </c>
      <c r="Q2016" s="2" t="s">
        <v>234</v>
      </c>
      <c r="R2016" s="2" t="s">
        <v>235</v>
      </c>
      <c r="S2016" s="2" t="s">
        <v>7266</v>
      </c>
      <c r="T2016" s="2" t="s">
        <v>4369</v>
      </c>
      <c r="U2016" s="2" t="s">
        <v>552</v>
      </c>
      <c r="V2016" s="2" t="s">
        <v>863</v>
      </c>
      <c r="W2016" s="2" t="s">
        <v>986</v>
      </c>
      <c r="X2016" s="2" t="s">
        <v>239</v>
      </c>
      <c r="Y2016" s="2" t="s">
        <v>7267</v>
      </c>
      <c r="Z2016" s="4">
        <v>141</v>
      </c>
      <c r="AA2016" s="4">
        <f>=ROUNDDOWN(28.2,0)</f>
      </c>
      <c r="AB2016" s="5">
        <v>5</v>
      </c>
      <c r="AC2016" s="2" t="s">
        <v>205</v>
      </c>
      <c r="AD2016" s="4">
        <v>100</v>
      </c>
      <c r="AE2016" s="4">
        <v>100</v>
      </c>
      <c r="AF2016" s="6">
        <v>75</v>
      </c>
      <c r="AG2016" s="6"/>
      <c r="AH2016" s="7">
        <v>1</v>
      </c>
      <c r="AI2016" s="4"/>
      <c r="AJ2016" s="4">
        <f>=ROUNDDOWN({0},0)</f>
      </c>
      <c r="AK2016" s="5"/>
      <c r="AL2016" s="2" t="s">
        <v>235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/>
      <c r="BD2016" s="8"/>
      <c r="BE2016" s="4"/>
      <c r="BF2016" s="8"/>
      <c r="BG2016" s="7"/>
      <c r="BH2016" s="7"/>
      <c r="BI2016" s="7"/>
      <c r="BJ2016" s="4">
        <v>12</v>
      </c>
      <c r="BK2016" s="8">
        <v>966.21</v>
      </c>
      <c r="BL2016" s="2" t="s">
        <v>1695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7268</v>
      </c>
      <c r="BV2016" s="2" t="s">
        <v>243</v>
      </c>
      <c r="BW2016" s="2" t="s">
        <v>235</v>
      </c>
      <c r="BX2016" s="2" t="s">
        <v>244</v>
      </c>
      <c r="BY2016" s="2" t="s">
        <v>245</v>
      </c>
      <c r="BZ2016" s="2" t="s">
        <v>232</v>
      </c>
      <c r="CA2016" s="2" t="s">
        <v>5534</v>
      </c>
      <c r="CB2016" s="2" t="s">
        <v>7269</v>
      </c>
      <c r="CC2016" s="2" t="s">
        <v>248</v>
      </c>
      <c r="CD2016" s="2" t="s">
        <v>248</v>
      </c>
      <c r="CE2016" s="2" t="s">
        <v>235</v>
      </c>
      <c r="CF2016" s="4">
        <v>141</v>
      </c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>
        <v>100</v>
      </c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>
        <v>144</v>
      </c>
      <c r="GE2016" s="4">
        <v>132</v>
      </c>
      <c r="GF2016" s="4">
        <v>127</v>
      </c>
      <c r="GG2016" s="4">
        <v>122</v>
      </c>
      <c r="GH2016" s="4">
        <v>116</v>
      </c>
      <c r="GI2016" s="4">
        <v>112</v>
      </c>
      <c r="GJ2016" s="4">
        <v>105</v>
      </c>
      <c r="GK2016" s="4">
        <v>99</v>
      </c>
      <c r="GL2016" s="4">
        <v>93</v>
      </c>
      <c r="GM2016" s="4">
        <v>89</v>
      </c>
      <c r="GN2016" s="4">
        <v>83</v>
      </c>
      <c r="GO2016" s="4">
        <v>74</v>
      </c>
      <c r="GP2016" s="4">
        <v>65</v>
      </c>
      <c r="GQ2016" s="4">
        <v>46</v>
      </c>
      <c r="GR2016" s="4">
        <v>38</v>
      </c>
      <c r="GS2016" s="4">
        <v>129</v>
      </c>
      <c r="GT2016" s="4">
        <v>123</v>
      </c>
      <c r="GU2016" s="4">
        <v>119</v>
      </c>
      <c r="GV2016" s="4">
        <v>115</v>
      </c>
      <c r="GW2016" s="4">
        <v>110</v>
      </c>
      <c r="GX2016" s="4">
        <v>105</v>
      </c>
      <c r="GY2016" s="4">
        <v>100</v>
      </c>
      <c r="GZ2016" s="4">
        <v>95</v>
      </c>
      <c r="HA2016" s="4">
        <v>90</v>
      </c>
      <c r="HB2016" s="4">
        <v>85</v>
      </c>
      <c r="HC2016" s="4">
        <v>80</v>
      </c>
      <c r="HD2016" s="19">
        <v>20.6</v>
      </c>
      <c r="HE2016" s="19">
        <v>26.4</v>
      </c>
      <c r="HF2016" s="19">
        <v>21.2</v>
      </c>
      <c r="HG2016" s="19">
        <v>20.3</v>
      </c>
      <c r="HH2016" s="19">
        <v>19.3</v>
      </c>
      <c r="HI2016" s="19">
        <v>18.7</v>
      </c>
      <c r="HJ2016" s="19">
        <v>17.5</v>
      </c>
      <c r="HK2016" s="19">
        <v>16.5</v>
      </c>
      <c r="HL2016" s="19">
        <v>13.3</v>
      </c>
      <c r="HM2016" s="19">
        <v>8.1</v>
      </c>
      <c r="HN2016" s="19">
        <v>7.5</v>
      </c>
      <c r="HO2016" s="19">
        <v>6.7</v>
      </c>
      <c r="HP2016" s="19">
        <v>6.5</v>
      </c>
      <c r="HQ2016" s="19">
        <v>6.6</v>
      </c>
      <c r="HR2016" s="19">
        <v>6.3</v>
      </c>
      <c r="HS2016" s="19">
        <v>25.8</v>
      </c>
      <c r="HT2016" s="19">
        <v>30.8</v>
      </c>
      <c r="HU2016" s="19">
        <v>23.8</v>
      </c>
      <c r="HV2016" s="19">
        <v>23</v>
      </c>
      <c r="HW2016" s="19">
        <v>22</v>
      </c>
      <c r="HX2016" s="19">
        <v>21</v>
      </c>
      <c r="HY2016" s="19">
        <v>20</v>
      </c>
      <c r="HZ2016" s="19">
        <v>19</v>
      </c>
      <c r="IA2016" s="19">
        <v>18</v>
      </c>
      <c r="IB2016" s="19">
        <v>17</v>
      </c>
      <c r="IC2016" s="19">
        <v>16</v>
      </c>
    </row>
    <row r="2017">
      <c r="A2017" s="2" t="s">
        <v>7270</v>
      </c>
      <c r="B2017" s="2" t="s">
        <v>1529</v>
      </c>
      <c r="C2017" s="2" t="s">
        <v>1381</v>
      </c>
      <c r="D2017" s="2" t="s">
        <v>1539</v>
      </c>
      <c r="E2017" s="2" t="s">
        <v>1540</v>
      </c>
      <c r="F2017" s="2" t="s">
        <v>7271</v>
      </c>
      <c r="G2017" s="2" t="s">
        <v>7271</v>
      </c>
      <c r="H2017" s="2" t="s">
        <v>7271</v>
      </c>
      <c r="I2017" s="2" t="s">
        <v>7272</v>
      </c>
      <c r="J2017" s="2" t="s">
        <v>1542</v>
      </c>
      <c r="K2017" s="2" t="s">
        <v>612</v>
      </c>
      <c r="L2017" s="3">
        <v>28.56</v>
      </c>
      <c r="M2017" s="3">
        <v>29.99</v>
      </c>
      <c r="N2017" s="3">
        <v>79.99</v>
      </c>
      <c r="O2017" s="2" t="s">
        <v>232</v>
      </c>
      <c r="P2017" s="2" t="s">
        <v>1533</v>
      </c>
      <c r="Q2017" s="2" t="s">
        <v>234</v>
      </c>
      <c r="R2017" s="2" t="s">
        <v>235</v>
      </c>
      <c r="S2017" s="2" t="s">
        <v>235</v>
      </c>
      <c r="T2017" s="2" t="s">
        <v>235</v>
      </c>
      <c r="U2017" s="2" t="s">
        <v>807</v>
      </c>
      <c r="V2017" s="2" t="s">
        <v>238</v>
      </c>
      <c r="W2017" s="2" t="s">
        <v>235</v>
      </c>
      <c r="X2017" s="2" t="s">
        <v>235</v>
      </c>
      <c r="Y2017" s="2" t="s">
        <v>2279</v>
      </c>
      <c r="Z2017" s="4">
        <v>138</v>
      </c>
      <c r="AA2017" s="4">
        <f>=ROUNDDOWN(57.5,0)</f>
      </c>
      <c r="AB2017" s="5">
        <v>2.4</v>
      </c>
      <c r="AC2017" s="2" t="s">
        <v>235</v>
      </c>
      <c r="AD2017" s="4"/>
      <c r="AE2017" s="4"/>
      <c r="AF2017" s="6"/>
      <c r="AG2017" s="6"/>
      <c r="AH2017" s="7">
        <v>1</v>
      </c>
      <c r="AI2017" s="4"/>
      <c r="AJ2017" s="4">
        <f>=ROUNDDOWN({0},0)</f>
      </c>
      <c r="AK2017" s="5"/>
      <c r="AL2017" s="2" t="s">
        <v>235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235</v>
      </c>
      <c r="AW2017" s="8" t="s">
        <v>235</v>
      </c>
      <c r="AX2017" s="4" t="s">
        <v>235</v>
      </c>
      <c r="AY2017" s="8" t="s">
        <v>235</v>
      </c>
      <c r="AZ2017" s="7" t="s">
        <v>235</v>
      </c>
      <c r="BA2017" s="7" t="s">
        <v>235</v>
      </c>
      <c r="BB2017" s="7"/>
      <c r="BC2017" s="4" t="s">
        <v>235</v>
      </c>
      <c r="BD2017" s="8" t="s">
        <v>235</v>
      </c>
      <c r="BE2017" s="4" t="s">
        <v>235</v>
      </c>
      <c r="BF2017" s="8" t="s">
        <v>235</v>
      </c>
      <c r="BG2017" s="7" t="s">
        <v>235</v>
      </c>
      <c r="BH2017" s="7" t="s">
        <v>235</v>
      </c>
      <c r="BI2017" s="7"/>
      <c r="BJ2017" s="4">
        <v>8</v>
      </c>
      <c r="BK2017" s="8"/>
      <c r="BL2017" s="2" t="s">
        <v>900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7273</v>
      </c>
      <c r="BV2017" s="2" t="s">
        <v>243</v>
      </c>
      <c r="BW2017" s="2" t="s">
        <v>235</v>
      </c>
      <c r="BX2017" s="2" t="s">
        <v>244</v>
      </c>
      <c r="BY2017" s="2" t="s">
        <v>245</v>
      </c>
      <c r="BZ2017" s="2" t="s">
        <v>232</v>
      </c>
      <c r="CA2017" s="2" t="s">
        <v>941</v>
      </c>
      <c r="CB2017" s="2" t="s">
        <v>235</v>
      </c>
      <c r="CC2017" s="2" t="s">
        <v>248</v>
      </c>
      <c r="CD2017" s="2" t="s">
        <v>248</v>
      </c>
      <c r="CE2017" s="2" t="s">
        <v>235</v>
      </c>
      <c r="CF2017" s="4"/>
      <c r="CG2017" s="4">
        <v>79</v>
      </c>
      <c r="CH2017" s="4"/>
      <c r="CI2017" s="4">
        <v>59</v>
      </c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9"/>
      <c r="HE2017" s="9"/>
      <c r="HF2017" s="9"/>
      <c r="HG2017" s="9"/>
      <c r="HH2017" s="9"/>
      <c r="HI2017" s="9"/>
      <c r="HJ2017" s="9"/>
      <c r="HK2017" s="9"/>
      <c r="HL2017" s="9"/>
      <c r="HM2017" s="9"/>
      <c r="HN2017" s="9"/>
      <c r="HO2017" s="9"/>
      <c r="HP2017" s="9"/>
      <c r="HQ2017" s="9"/>
      <c r="HR2017" s="9"/>
      <c r="HS2017" s="9"/>
      <c r="HT2017" s="9"/>
      <c r="HU2017" s="9"/>
      <c r="HV2017" s="9"/>
      <c r="HW2017" s="9"/>
      <c r="HX2017" s="9"/>
      <c r="HY2017" s="9"/>
      <c r="HZ2017" s="9"/>
      <c r="IA2017" s="9"/>
      <c r="IB2017" s="9"/>
      <c r="IC2017" s="9"/>
    </row>
    <row r="2018">
      <c r="A2018" s="2" t="s">
        <v>7274</v>
      </c>
      <c r="B2018" s="2" t="s">
        <v>1529</v>
      </c>
      <c r="C2018" s="2" t="s">
        <v>1381</v>
      </c>
      <c r="D2018" s="2" t="s">
        <v>6281</v>
      </c>
      <c r="E2018" s="2" t="s">
        <v>5885</v>
      </c>
      <c r="F2018" s="2" t="s">
        <v>7271</v>
      </c>
      <c r="G2018" s="2" t="s">
        <v>7271</v>
      </c>
      <c r="H2018" s="2" t="s">
        <v>7271</v>
      </c>
      <c r="I2018" s="2" t="s">
        <v>7275</v>
      </c>
      <c r="J2018" s="2" t="s">
        <v>897</v>
      </c>
      <c r="K2018" s="2" t="s">
        <v>612</v>
      </c>
      <c r="L2018" s="3">
        <v>98.57</v>
      </c>
      <c r="M2018" s="3">
        <v>103.5</v>
      </c>
      <c r="N2018" s="3">
        <v>299</v>
      </c>
      <c r="O2018" s="2" t="s">
        <v>232</v>
      </c>
      <c r="P2018" s="2" t="s">
        <v>1533</v>
      </c>
      <c r="Q2018" s="2" t="s">
        <v>234</v>
      </c>
      <c r="R2018" s="2" t="s">
        <v>235</v>
      </c>
      <c r="S2018" s="2" t="s">
        <v>235</v>
      </c>
      <c r="T2018" s="2" t="s">
        <v>235</v>
      </c>
      <c r="U2018" s="2" t="s">
        <v>807</v>
      </c>
      <c r="V2018" s="2" t="s">
        <v>238</v>
      </c>
      <c r="W2018" s="2" t="s">
        <v>235</v>
      </c>
      <c r="X2018" s="2" t="s">
        <v>235</v>
      </c>
      <c r="Y2018" s="2" t="s">
        <v>2279</v>
      </c>
      <c r="Z2018" s="4">
        <v>130</v>
      </c>
      <c r="AA2018" s="4">
        <f>=ROUNDDOWN(162.5,0)</f>
      </c>
      <c r="AB2018" s="5">
        <v>0.8</v>
      </c>
      <c r="AC2018" s="2" t="s">
        <v>235</v>
      </c>
      <c r="AD2018" s="4"/>
      <c r="AE2018" s="4"/>
      <c r="AF2018" s="6"/>
      <c r="AG2018" s="6"/>
      <c r="AH2018" s="7">
        <v>1</v>
      </c>
      <c r="AI2018" s="4"/>
      <c r="AJ2018" s="4">
        <f>=ROUNDDOWN({0},0)</f>
      </c>
      <c r="AK2018" s="5"/>
      <c r="AL2018" s="2" t="s">
        <v>235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235</v>
      </c>
      <c r="AW2018" s="8" t="s">
        <v>235</v>
      </c>
      <c r="AX2018" s="4" t="s">
        <v>235</v>
      </c>
      <c r="AY2018" s="8" t="s">
        <v>235</v>
      </c>
      <c r="AZ2018" s="7" t="s">
        <v>235</v>
      </c>
      <c r="BA2018" s="7" t="s">
        <v>235</v>
      </c>
      <c r="BB2018" s="7"/>
      <c r="BC2018" s="4" t="s">
        <v>235</v>
      </c>
      <c r="BD2018" s="8" t="s">
        <v>235</v>
      </c>
      <c r="BE2018" s="4" t="s">
        <v>235</v>
      </c>
      <c r="BF2018" s="8" t="s">
        <v>235</v>
      </c>
      <c r="BG2018" s="7" t="s">
        <v>235</v>
      </c>
      <c r="BH2018" s="7" t="s">
        <v>235</v>
      </c>
      <c r="BI2018" s="7"/>
      <c r="BJ2018" s="4">
        <v>4</v>
      </c>
      <c r="BK2018" s="8">
        <v>331.2</v>
      </c>
      <c r="BL2018" s="2" t="s">
        <v>900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7276</v>
      </c>
      <c r="BV2018" s="2" t="s">
        <v>1448</v>
      </c>
      <c r="BW2018" s="2" t="s">
        <v>235</v>
      </c>
      <c r="BX2018" s="2" t="s">
        <v>244</v>
      </c>
      <c r="BY2018" s="2" t="s">
        <v>245</v>
      </c>
      <c r="BZ2018" s="2" t="s">
        <v>232</v>
      </c>
      <c r="CA2018" s="2" t="s">
        <v>1536</v>
      </c>
      <c r="CB2018" s="2" t="s">
        <v>6383</v>
      </c>
      <c r="CC2018" s="2" t="s">
        <v>248</v>
      </c>
      <c r="CD2018" s="2" t="s">
        <v>248</v>
      </c>
      <c r="CE2018" s="2" t="s">
        <v>235</v>
      </c>
      <c r="CF2018" s="4"/>
      <c r="CG2018" s="4">
        <v>49</v>
      </c>
      <c r="CH2018" s="4"/>
      <c r="CI2018" s="4">
        <v>81</v>
      </c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9"/>
      <c r="HE2018" s="9"/>
      <c r="HF2018" s="9"/>
      <c r="HG2018" s="9"/>
      <c r="HH2018" s="9"/>
      <c r="HI2018" s="9"/>
      <c r="HJ2018" s="9"/>
      <c r="HK2018" s="9"/>
      <c r="HL2018" s="9"/>
      <c r="HM2018" s="9"/>
      <c r="HN2018" s="9"/>
      <c r="HO2018" s="9"/>
      <c r="HP2018" s="9"/>
      <c r="HQ2018" s="9"/>
      <c r="HR2018" s="9"/>
      <c r="HS2018" s="9"/>
      <c r="HT2018" s="9"/>
      <c r="HU2018" s="9"/>
      <c r="HV2018" s="9"/>
      <c r="HW2018" s="9"/>
      <c r="HX2018" s="9"/>
      <c r="HY2018" s="9"/>
      <c r="HZ2018" s="9"/>
      <c r="IA2018" s="9"/>
      <c r="IB2018" s="9"/>
      <c r="IC2018" s="9"/>
    </row>
    <row r="2019">
      <c r="A2019" s="2" t="s">
        <v>7277</v>
      </c>
      <c r="B2019" s="2" t="s">
        <v>1529</v>
      </c>
      <c r="C2019" s="2" t="s">
        <v>1381</v>
      </c>
      <c r="D2019" s="2" t="s">
        <v>1539</v>
      </c>
      <c r="E2019" s="2" t="s">
        <v>1540</v>
      </c>
      <c r="F2019" s="2" t="s">
        <v>7271</v>
      </c>
      <c r="G2019" s="2" t="s">
        <v>7271</v>
      </c>
      <c r="H2019" s="2" t="s">
        <v>7271</v>
      </c>
      <c r="I2019" s="2" t="s">
        <v>7272</v>
      </c>
      <c r="J2019" s="2" t="s">
        <v>1542</v>
      </c>
      <c r="K2019" s="2" t="s">
        <v>1238</v>
      </c>
      <c r="L2019" s="3">
        <v>28.56</v>
      </c>
      <c r="M2019" s="3">
        <v>29.99</v>
      </c>
      <c r="N2019" s="3">
        <v>79.99</v>
      </c>
      <c r="O2019" s="2" t="s">
        <v>232</v>
      </c>
      <c r="P2019" s="2" t="s">
        <v>1533</v>
      </c>
      <c r="Q2019" s="2" t="s">
        <v>234</v>
      </c>
      <c r="R2019" s="2" t="s">
        <v>235</v>
      </c>
      <c r="S2019" s="2" t="s">
        <v>235</v>
      </c>
      <c r="T2019" s="2" t="s">
        <v>235</v>
      </c>
      <c r="U2019" s="2" t="s">
        <v>807</v>
      </c>
      <c r="V2019" s="2" t="s">
        <v>238</v>
      </c>
      <c r="W2019" s="2" t="s">
        <v>235</v>
      </c>
      <c r="X2019" s="2" t="s">
        <v>235</v>
      </c>
      <c r="Y2019" s="2" t="s">
        <v>5925</v>
      </c>
      <c r="Z2019" s="4">
        <v>96</v>
      </c>
      <c r="AA2019" s="4">
        <f>=ROUNDDOWN(60,0)</f>
      </c>
      <c r="AB2019" s="5">
        <v>1.6</v>
      </c>
      <c r="AC2019" s="2" t="s">
        <v>235</v>
      </c>
      <c r="AD2019" s="4"/>
      <c r="AE2019" s="4"/>
      <c r="AF2019" s="6"/>
      <c r="AG2019" s="6"/>
      <c r="AH2019" s="7">
        <v>1</v>
      </c>
      <c r="AI2019" s="4"/>
      <c r="AJ2019" s="4">
        <f>=ROUNDDOWN({0},0)</f>
      </c>
      <c r="AK2019" s="5"/>
      <c r="AL2019" s="2" t="s">
        <v>235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235</v>
      </c>
      <c r="AW2019" s="8" t="s">
        <v>235</v>
      </c>
      <c r="AX2019" s="4" t="s">
        <v>235</v>
      </c>
      <c r="AY2019" s="8" t="s">
        <v>235</v>
      </c>
      <c r="AZ2019" s="7" t="s">
        <v>235</v>
      </c>
      <c r="BA2019" s="7" t="s">
        <v>235</v>
      </c>
      <c r="BB2019" s="7"/>
      <c r="BC2019" s="4" t="s">
        <v>235</v>
      </c>
      <c r="BD2019" s="8" t="s">
        <v>235</v>
      </c>
      <c r="BE2019" s="4" t="s">
        <v>235</v>
      </c>
      <c r="BF2019" s="8" t="s">
        <v>235</v>
      </c>
      <c r="BG2019" s="7" t="s">
        <v>235</v>
      </c>
      <c r="BH2019" s="7" t="s">
        <v>235</v>
      </c>
      <c r="BI2019" s="7"/>
      <c r="BJ2019" s="4">
        <v>6</v>
      </c>
      <c r="BK2019" s="8"/>
      <c r="BL2019" s="2" t="s">
        <v>900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7273</v>
      </c>
      <c r="BV2019" s="2" t="s">
        <v>243</v>
      </c>
      <c r="BW2019" s="2" t="s">
        <v>235</v>
      </c>
      <c r="BX2019" s="2" t="s">
        <v>244</v>
      </c>
      <c r="BY2019" s="2" t="s">
        <v>245</v>
      </c>
      <c r="BZ2019" s="2" t="s">
        <v>232</v>
      </c>
      <c r="CA2019" s="2" t="s">
        <v>941</v>
      </c>
      <c r="CB2019" s="2" t="s">
        <v>5231</v>
      </c>
      <c r="CC2019" s="2" t="s">
        <v>248</v>
      </c>
      <c r="CD2019" s="2" t="s">
        <v>248</v>
      </c>
      <c r="CE2019" s="2" t="s">
        <v>235</v>
      </c>
      <c r="CF2019" s="4"/>
      <c r="CG2019" s="4">
        <v>36</v>
      </c>
      <c r="CH2019" s="4"/>
      <c r="CI2019" s="4">
        <v>60</v>
      </c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9"/>
      <c r="HE2019" s="9"/>
      <c r="HF2019" s="9"/>
      <c r="HG2019" s="9"/>
      <c r="HH2019" s="9"/>
      <c r="HI2019" s="9"/>
      <c r="HJ2019" s="9"/>
      <c r="HK2019" s="9"/>
      <c r="HL2019" s="9"/>
      <c r="HM2019" s="9"/>
      <c r="HN2019" s="9"/>
      <c r="HO2019" s="9"/>
      <c r="HP2019" s="9"/>
      <c r="HQ2019" s="9"/>
      <c r="HR2019" s="9"/>
      <c r="HS2019" s="9"/>
      <c r="HT2019" s="9"/>
      <c r="HU2019" s="9"/>
      <c r="HV2019" s="9"/>
      <c r="HW2019" s="9"/>
      <c r="HX2019" s="9"/>
      <c r="HY2019" s="9"/>
      <c r="HZ2019" s="9"/>
      <c r="IA2019" s="9"/>
      <c r="IB2019" s="9"/>
      <c r="IC2019" s="9"/>
    </row>
    <row r="2020">
      <c r="A2020" s="2" t="s">
        <v>7278</v>
      </c>
      <c r="B2020" s="2" t="s">
        <v>1529</v>
      </c>
      <c r="C2020" s="2" t="s">
        <v>1381</v>
      </c>
      <c r="D2020" s="2" t="s">
        <v>6281</v>
      </c>
      <c r="E2020" s="2" t="s">
        <v>5885</v>
      </c>
      <c r="F2020" s="2" t="s">
        <v>7271</v>
      </c>
      <c r="G2020" s="2" t="s">
        <v>7271</v>
      </c>
      <c r="H2020" s="2" t="s">
        <v>7271</v>
      </c>
      <c r="I2020" s="2" t="s">
        <v>7275</v>
      </c>
      <c r="J2020" s="2" t="s">
        <v>897</v>
      </c>
      <c r="K2020" s="2" t="s">
        <v>1238</v>
      </c>
      <c r="L2020" s="3">
        <v>98.57</v>
      </c>
      <c r="M2020" s="3">
        <v>103.5</v>
      </c>
      <c r="N2020" s="3">
        <v>299</v>
      </c>
      <c r="O2020" s="2" t="s">
        <v>232</v>
      </c>
      <c r="P2020" s="2" t="s">
        <v>1533</v>
      </c>
      <c r="Q2020" s="2" t="s">
        <v>234</v>
      </c>
      <c r="R2020" s="2" t="s">
        <v>235</v>
      </c>
      <c r="S2020" s="2" t="s">
        <v>235</v>
      </c>
      <c r="T2020" s="2" t="s">
        <v>235</v>
      </c>
      <c r="U2020" s="2" t="s">
        <v>807</v>
      </c>
      <c r="V2020" s="2" t="s">
        <v>238</v>
      </c>
      <c r="W2020" s="2" t="s">
        <v>235</v>
      </c>
      <c r="X2020" s="2" t="s">
        <v>235</v>
      </c>
      <c r="Y2020" s="2" t="s">
        <v>7279</v>
      </c>
      <c r="Z2020" s="4">
        <v>160</v>
      </c>
      <c r="AA2020" s="4">
        <f>=ROUNDDOWN(200,0)</f>
      </c>
      <c r="AB2020" s="5">
        <v>0.8</v>
      </c>
      <c r="AC2020" s="2" t="s">
        <v>235</v>
      </c>
      <c r="AD2020" s="4"/>
      <c r="AE2020" s="4"/>
      <c r="AF2020" s="6"/>
      <c r="AG2020" s="6"/>
      <c r="AH2020" s="7">
        <v>1</v>
      </c>
      <c r="AI2020" s="4"/>
      <c r="AJ2020" s="4">
        <f>=ROUNDDOWN({0},0)</f>
      </c>
      <c r="AK2020" s="5"/>
      <c r="AL2020" s="2" t="s">
        <v>235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235</v>
      </c>
      <c r="AW2020" s="8" t="s">
        <v>235</v>
      </c>
      <c r="AX2020" s="4" t="s">
        <v>235</v>
      </c>
      <c r="AY2020" s="8" t="s">
        <v>235</v>
      </c>
      <c r="AZ2020" s="7" t="s">
        <v>235</v>
      </c>
      <c r="BA2020" s="7" t="s">
        <v>235</v>
      </c>
      <c r="BB2020" s="7"/>
      <c r="BC2020" s="4" t="s">
        <v>235</v>
      </c>
      <c r="BD2020" s="8" t="s">
        <v>235</v>
      </c>
      <c r="BE2020" s="4" t="s">
        <v>235</v>
      </c>
      <c r="BF2020" s="8" t="s">
        <v>235</v>
      </c>
      <c r="BG2020" s="7" t="s">
        <v>235</v>
      </c>
      <c r="BH2020" s="7" t="s">
        <v>235</v>
      </c>
      <c r="BI2020" s="7"/>
      <c r="BJ2020" s="4">
        <v>2</v>
      </c>
      <c r="BK2020" s="8">
        <v>165.6</v>
      </c>
      <c r="BL2020" s="2" t="s">
        <v>900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7276</v>
      </c>
      <c r="BV2020" s="2" t="s">
        <v>1448</v>
      </c>
      <c r="BW2020" s="2" t="s">
        <v>235</v>
      </c>
      <c r="BX2020" s="2" t="s">
        <v>244</v>
      </c>
      <c r="BY2020" s="2" t="s">
        <v>245</v>
      </c>
      <c r="BZ2020" s="2" t="s">
        <v>232</v>
      </c>
      <c r="CA2020" s="2" t="s">
        <v>1536</v>
      </c>
      <c r="CB2020" s="2" t="s">
        <v>1656</v>
      </c>
      <c r="CC2020" s="2" t="s">
        <v>248</v>
      </c>
      <c r="CD2020" s="2" t="s">
        <v>248</v>
      </c>
      <c r="CE2020" s="2" t="s">
        <v>235</v>
      </c>
      <c r="CF2020" s="4"/>
      <c r="CG2020" s="4">
        <v>74</v>
      </c>
      <c r="CH2020" s="4"/>
      <c r="CI2020" s="4">
        <v>86</v>
      </c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9"/>
      <c r="HE2020" s="9"/>
      <c r="HF2020" s="9"/>
      <c r="HG2020" s="9"/>
      <c r="HH2020" s="9"/>
      <c r="HI2020" s="9"/>
      <c r="HJ2020" s="9"/>
      <c r="HK2020" s="9"/>
      <c r="HL2020" s="9"/>
      <c r="HM2020" s="9"/>
      <c r="HN2020" s="9"/>
      <c r="HO2020" s="9"/>
      <c r="HP2020" s="9"/>
      <c r="HQ2020" s="9"/>
      <c r="HR2020" s="9"/>
      <c r="HS2020" s="9"/>
      <c r="HT2020" s="9"/>
      <c r="HU2020" s="9"/>
      <c r="HV2020" s="9"/>
      <c r="HW2020" s="9"/>
      <c r="HX2020" s="9"/>
      <c r="HY2020" s="9"/>
      <c r="HZ2020" s="9"/>
      <c r="IA2020" s="9"/>
      <c r="IB2020" s="9"/>
      <c r="IC2020" s="9"/>
    </row>
    <row r="2021">
      <c r="A2021" s="2" t="s">
        <v>7280</v>
      </c>
      <c r="B2021" s="2" t="s">
        <v>905</v>
      </c>
      <c r="C2021" s="2" t="s">
        <v>980</v>
      </c>
      <c r="D2021" s="2" t="s">
        <v>1177</v>
      </c>
      <c r="E2021" s="2" t="s">
        <v>1178</v>
      </c>
      <c r="F2021" s="2" t="s">
        <v>7281</v>
      </c>
      <c r="G2021" s="2" t="s">
        <v>7281</v>
      </c>
      <c r="H2021" s="2" t="s">
        <v>235</v>
      </c>
      <c r="I2021" s="2" t="s">
        <v>7282</v>
      </c>
      <c r="J2021" s="2" t="s">
        <v>3871</v>
      </c>
      <c r="K2021" s="2" t="s">
        <v>1463</v>
      </c>
      <c r="L2021" s="3">
        <v>37.72</v>
      </c>
      <c r="M2021" s="3">
        <v>39.61</v>
      </c>
      <c r="N2021" s="3">
        <v>81.99</v>
      </c>
      <c r="O2021" s="2" t="s">
        <v>407</v>
      </c>
      <c r="P2021" s="2" t="s">
        <v>408</v>
      </c>
      <c r="Q2021" s="2" t="s">
        <v>234</v>
      </c>
      <c r="R2021" s="2" t="s">
        <v>235</v>
      </c>
      <c r="S2021" s="2" t="s">
        <v>7283</v>
      </c>
      <c r="T2021" s="2" t="s">
        <v>1081</v>
      </c>
      <c r="U2021" s="2" t="s">
        <v>235</v>
      </c>
      <c r="V2021" s="2" t="s">
        <v>1222</v>
      </c>
      <c r="W2021" s="2" t="s">
        <v>1798</v>
      </c>
      <c r="X2021" s="2" t="s">
        <v>1596</v>
      </c>
      <c r="Y2021" s="2" t="s">
        <v>240</v>
      </c>
      <c r="Z2021" s="4">
        <v>212</v>
      </c>
      <c r="AA2021" s="4">
        <f>=ROUNDDOWN(14.0397350993377,0)</f>
      </c>
      <c r="AB2021" s="5">
        <v>15.1</v>
      </c>
      <c r="AC2021" s="2" t="s">
        <v>235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235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/>
      <c r="BD2021" s="8"/>
      <c r="BE2021" s="4"/>
      <c r="BF2021" s="8"/>
      <c r="BG2021" s="7"/>
      <c r="BH2021" s="7"/>
      <c r="BI2021" s="7"/>
      <c r="BJ2021" s="4">
        <v>12</v>
      </c>
      <c r="BK2021" s="8">
        <v>493.33</v>
      </c>
      <c r="BL2021" s="2" t="s">
        <v>7284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7285</v>
      </c>
      <c r="BV2021" s="2" t="s">
        <v>243</v>
      </c>
      <c r="BW2021" s="2" t="s">
        <v>235</v>
      </c>
      <c r="BX2021" s="2" t="s">
        <v>414</v>
      </c>
      <c r="BY2021" s="2" t="s">
        <v>245</v>
      </c>
      <c r="BZ2021" s="2" t="s">
        <v>232</v>
      </c>
      <c r="CA2021" s="2" t="s">
        <v>4498</v>
      </c>
      <c r="CB2021" s="2" t="s">
        <v>2974</v>
      </c>
      <c r="CC2021" s="2" t="s">
        <v>248</v>
      </c>
      <c r="CD2021" s="2" t="s">
        <v>248</v>
      </c>
      <c r="CE2021" s="2" t="s">
        <v>235</v>
      </c>
      <c r="CF2021" s="4">
        <v>23</v>
      </c>
      <c r="CG2021" s="4">
        <v>189</v>
      </c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>
        <v>213</v>
      </c>
      <c r="GE2021" s="4">
        <v>210</v>
      </c>
      <c r="GF2021" s="4">
        <v>205</v>
      </c>
      <c r="GG2021" s="4">
        <v>200</v>
      </c>
      <c r="GH2021" s="4">
        <v>189</v>
      </c>
      <c r="GI2021" s="4">
        <v>170</v>
      </c>
      <c r="GJ2021" s="4">
        <v>137</v>
      </c>
      <c r="GK2021" s="4">
        <v>96</v>
      </c>
      <c r="GL2021" s="4">
        <v>63</v>
      </c>
      <c r="GM2021" s="4">
        <v>26</v>
      </c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19">
        <v>35.5</v>
      </c>
      <c r="HE2021" s="19">
        <v>21</v>
      </c>
      <c r="HF2021" s="19">
        <v>12.1</v>
      </c>
      <c r="HG2021" s="19">
        <v>7.7</v>
      </c>
      <c r="HH2021" s="19">
        <v>5.9</v>
      </c>
      <c r="HI2021" s="19">
        <v>4.7</v>
      </c>
      <c r="HJ2021" s="19">
        <v>3.6</v>
      </c>
      <c r="HK2021" s="19">
        <v>2.3</v>
      </c>
      <c r="HL2021" s="19">
        <v>1.2</v>
      </c>
      <c r="HM2021" s="19">
        <v>0.3</v>
      </c>
      <c r="HN2021" s="20">
        <v>0</v>
      </c>
      <c r="HO2021" s="20">
        <v>0</v>
      </c>
      <c r="HP2021" s="20">
        <v>0</v>
      </c>
      <c r="HQ2021" s="20">
        <v>0</v>
      </c>
      <c r="HR2021" s="20">
        <v>0</v>
      </c>
      <c r="HS2021" s="20">
        <v>0</v>
      </c>
      <c r="HT2021" s="20">
        <v>0</v>
      </c>
      <c r="HU2021" s="20">
        <v>0</v>
      </c>
      <c r="HV2021" s="20">
        <v>0</v>
      </c>
      <c r="HW2021" s="20">
        <v>0</v>
      </c>
      <c r="HX2021" s="20">
        <v>0</v>
      </c>
      <c r="HY2021" s="20">
        <v>0</v>
      </c>
      <c r="HZ2021" s="20">
        <v>0</v>
      </c>
      <c r="IA2021" s="20">
        <v>0</v>
      </c>
      <c r="IB2021" s="20">
        <v>0</v>
      </c>
      <c r="IC2021" s="20">
        <v>0</v>
      </c>
    </row>
    <row r="2022">
      <c r="A2022" s="2" t="s">
        <v>7286</v>
      </c>
      <c r="B2022" s="2" t="s">
        <v>871</v>
      </c>
      <c r="C2022" s="2" t="s">
        <v>324</v>
      </c>
      <c r="D2022" s="2" t="s">
        <v>1452</v>
      </c>
      <c r="E2022" s="2" t="s">
        <v>1895</v>
      </c>
      <c r="F2022" s="2" t="s">
        <v>7287</v>
      </c>
      <c r="G2022" s="2" t="s">
        <v>7288</v>
      </c>
      <c r="H2022" s="2" t="s">
        <v>7289</v>
      </c>
      <c r="I2022" s="2" t="s">
        <v>7290</v>
      </c>
      <c r="J2022" s="2" t="s">
        <v>372</v>
      </c>
      <c r="K2022" s="2" t="s">
        <v>7291</v>
      </c>
      <c r="L2022" s="3">
        <v>46.49</v>
      </c>
      <c r="M2022" s="3">
        <v>48.81</v>
      </c>
      <c r="N2022" s="3">
        <v>99.99</v>
      </c>
      <c r="O2022" s="2" t="s">
        <v>232</v>
      </c>
      <c r="P2022" s="2" t="s">
        <v>1282</v>
      </c>
      <c r="Q2022" s="2" t="s">
        <v>234</v>
      </c>
      <c r="R2022" s="2" t="s">
        <v>235</v>
      </c>
      <c r="S2022" s="2" t="s">
        <v>7292</v>
      </c>
      <c r="T2022" s="2" t="s">
        <v>501</v>
      </c>
      <c r="U2022" s="2" t="s">
        <v>552</v>
      </c>
      <c r="V2022" s="2" t="s">
        <v>1222</v>
      </c>
      <c r="W2022" s="2" t="s">
        <v>1082</v>
      </c>
      <c r="X2022" s="2" t="s">
        <v>5158</v>
      </c>
      <c r="Y2022" s="2" t="s">
        <v>7293</v>
      </c>
      <c r="Z2022" s="4">
        <v>290</v>
      </c>
      <c r="AA2022" s="4">
        <f>=ROUNDDOWN(19.3333333333333,0)</f>
      </c>
      <c r="AB2022" s="5">
        <v>15</v>
      </c>
      <c r="AC2022" s="2" t="s">
        <v>2410</v>
      </c>
      <c r="AD2022" s="4">
        <v>650</v>
      </c>
      <c r="AE2022" s="4">
        <v>650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235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 t="s">
        <v>235</v>
      </c>
      <c r="BD2022" s="8" t="s">
        <v>235</v>
      </c>
      <c r="BE2022" s="4" t="s">
        <v>235</v>
      </c>
      <c r="BF2022" s="8" t="s">
        <v>235</v>
      </c>
      <c r="BG2022" s="7" t="s">
        <v>235</v>
      </c>
      <c r="BH2022" s="7" t="s">
        <v>235</v>
      </c>
      <c r="BI2022" s="7"/>
      <c r="BJ2022" s="4">
        <v>51</v>
      </c>
      <c r="BK2022" s="8">
        <v>2507.68</v>
      </c>
      <c r="BL2022" s="2" t="s">
        <v>7294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7295</v>
      </c>
      <c r="BV2022" s="2" t="s">
        <v>243</v>
      </c>
      <c r="BW2022" s="2" t="s">
        <v>235</v>
      </c>
      <c r="BX2022" s="2" t="s">
        <v>244</v>
      </c>
      <c r="BY2022" s="2" t="s">
        <v>245</v>
      </c>
      <c r="BZ2022" s="2" t="s">
        <v>232</v>
      </c>
      <c r="CA2022" s="2" t="s">
        <v>6269</v>
      </c>
      <c r="CB2022" s="2" t="s">
        <v>7296</v>
      </c>
      <c r="CC2022" s="2" t="s">
        <v>248</v>
      </c>
      <c r="CD2022" s="2" t="s">
        <v>248</v>
      </c>
      <c r="CE2022" s="2" t="s">
        <v>235</v>
      </c>
      <c r="CF2022" s="4">
        <v>183</v>
      </c>
      <c r="CG2022" s="4">
        <v>107</v>
      </c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>
        <v>650</v>
      </c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>
        <v>296</v>
      </c>
      <c r="GE2022" s="4">
        <v>204</v>
      </c>
      <c r="GF2022" s="4">
        <v>174</v>
      </c>
      <c r="GG2022" s="4">
        <v>142</v>
      </c>
      <c r="GH2022" s="4">
        <v>109</v>
      </c>
      <c r="GI2022" s="4">
        <v>69</v>
      </c>
      <c r="GJ2022" s="4">
        <v>7</v>
      </c>
      <c r="GK2022" s="4"/>
      <c r="GL2022" s="4"/>
      <c r="GM2022" s="4">
        <v>650</v>
      </c>
      <c r="GN2022" s="4">
        <v>568</v>
      </c>
      <c r="GO2022" s="4">
        <v>525</v>
      </c>
      <c r="GP2022" s="4">
        <v>472</v>
      </c>
      <c r="GQ2022" s="4">
        <v>359</v>
      </c>
      <c r="GR2022" s="4">
        <v>293</v>
      </c>
      <c r="GS2022" s="4">
        <v>224</v>
      </c>
      <c r="GT2022" s="4">
        <v>205</v>
      </c>
      <c r="GU2022" s="4">
        <v>191</v>
      </c>
      <c r="GV2022" s="4">
        <v>161</v>
      </c>
      <c r="GW2022" s="4">
        <v>391</v>
      </c>
      <c r="GX2022" s="4">
        <v>361</v>
      </c>
      <c r="GY2022" s="4">
        <v>331</v>
      </c>
      <c r="GZ2022" s="4">
        <v>301</v>
      </c>
      <c r="HA2022" s="4">
        <v>286</v>
      </c>
      <c r="HB2022" s="4">
        <v>271</v>
      </c>
      <c r="HC2022" s="4">
        <v>255</v>
      </c>
      <c r="HD2022" s="19">
        <v>6.3</v>
      </c>
      <c r="HE2022" s="19">
        <v>6</v>
      </c>
      <c r="HF2022" s="19">
        <v>4.1</v>
      </c>
      <c r="HG2022" s="19">
        <v>3.6</v>
      </c>
      <c r="HH2022" s="19">
        <v>2.9</v>
      </c>
      <c r="HI2022" s="19">
        <v>2</v>
      </c>
      <c r="HJ2022" s="19">
        <v>0.2</v>
      </c>
      <c r="HK2022" s="20">
        <v>0</v>
      </c>
      <c r="HL2022" s="20">
        <v>0</v>
      </c>
      <c r="HM2022" s="19">
        <v>8.9</v>
      </c>
      <c r="HN2022" s="19">
        <v>8.2</v>
      </c>
      <c r="HO2022" s="19">
        <v>7</v>
      </c>
      <c r="HP2022" s="19">
        <v>7</v>
      </c>
      <c r="HQ2022" s="19">
        <v>8.5</v>
      </c>
      <c r="HR2022" s="19">
        <v>8.9</v>
      </c>
      <c r="HS2022" s="19">
        <v>9.7</v>
      </c>
      <c r="HT2022" s="19">
        <v>7.9</v>
      </c>
      <c r="HU2022" s="19">
        <v>6.4</v>
      </c>
      <c r="HV2022" s="19">
        <v>5.4</v>
      </c>
      <c r="HW2022" s="19">
        <v>15</v>
      </c>
      <c r="HX2022" s="19">
        <v>16.4</v>
      </c>
      <c r="HY2022" s="19">
        <v>17.4</v>
      </c>
      <c r="HZ2022" s="19">
        <v>20.1</v>
      </c>
      <c r="IA2022" s="19">
        <v>19.1</v>
      </c>
      <c r="IB2022" s="19">
        <v>18.1</v>
      </c>
      <c r="IC2022" s="19">
        <v>17</v>
      </c>
    </row>
    <row r="2023">
      <c r="A2023" s="2" t="s">
        <v>7297</v>
      </c>
      <c r="B2023" s="2" t="s">
        <v>871</v>
      </c>
      <c r="C2023" s="2" t="s">
        <v>324</v>
      </c>
      <c r="D2023" s="2" t="s">
        <v>1452</v>
      </c>
      <c r="E2023" s="2" t="s">
        <v>2263</v>
      </c>
      <c r="F2023" s="2" t="s">
        <v>7287</v>
      </c>
      <c r="G2023" s="2" t="s">
        <v>7288</v>
      </c>
      <c r="H2023" s="2" t="s">
        <v>7289</v>
      </c>
      <c r="I2023" s="2" t="s">
        <v>7290</v>
      </c>
      <c r="J2023" s="2" t="s">
        <v>372</v>
      </c>
      <c r="K2023" s="2" t="s">
        <v>4981</v>
      </c>
      <c r="L2023" s="3">
        <v>46.38</v>
      </c>
      <c r="M2023" s="3">
        <v>48.7</v>
      </c>
      <c r="N2023" s="3">
        <v>99.99</v>
      </c>
      <c r="O2023" s="2" t="s">
        <v>232</v>
      </c>
      <c r="P2023" s="2" t="s">
        <v>336</v>
      </c>
      <c r="Q2023" s="2" t="s">
        <v>234</v>
      </c>
      <c r="R2023" s="2" t="s">
        <v>235</v>
      </c>
      <c r="S2023" s="2" t="s">
        <v>7298</v>
      </c>
      <c r="T2023" s="2" t="s">
        <v>501</v>
      </c>
      <c r="U2023" s="2" t="s">
        <v>552</v>
      </c>
      <c r="V2023" s="2" t="s">
        <v>1222</v>
      </c>
      <c r="W2023" s="2" t="s">
        <v>1082</v>
      </c>
      <c r="X2023" s="2" t="s">
        <v>1682</v>
      </c>
      <c r="Y2023" s="2" t="s">
        <v>4873</v>
      </c>
      <c r="Z2023" s="4">
        <v>1397</v>
      </c>
      <c r="AA2023" s="4">
        <f>=ROUNDDOWN(69.85,0)</f>
      </c>
      <c r="AB2023" s="5">
        <v>20</v>
      </c>
      <c r="AC2023" s="2" t="s">
        <v>235</v>
      </c>
      <c r="AD2023" s="4"/>
      <c r="AE2023" s="4"/>
      <c r="AF2023" s="6">
        <v>65</v>
      </c>
      <c r="AG2023" s="6"/>
      <c r="AH2023" s="7">
        <v>0.9677</v>
      </c>
      <c r="AI2023" s="4"/>
      <c r="AJ2023" s="4">
        <f>=ROUNDDOWN({0},0)</f>
      </c>
      <c r="AK2023" s="5"/>
      <c r="AL2023" s="2" t="s">
        <v>235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 t="s">
        <v>235</v>
      </c>
      <c r="BD2023" s="8" t="s">
        <v>235</v>
      </c>
      <c r="BE2023" s="4" t="s">
        <v>235</v>
      </c>
      <c r="BF2023" s="8" t="s">
        <v>235</v>
      </c>
      <c r="BG2023" s="7" t="s">
        <v>235</v>
      </c>
      <c r="BH2023" s="7" t="s">
        <v>235</v>
      </c>
      <c r="BI2023" s="7"/>
      <c r="BJ2023" s="4">
        <v>125</v>
      </c>
      <c r="BK2023" s="8">
        <v>6147.85</v>
      </c>
      <c r="BL2023" s="2" t="s">
        <v>7299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7295</v>
      </c>
      <c r="BV2023" s="2" t="s">
        <v>243</v>
      </c>
      <c r="BW2023" s="2" t="s">
        <v>235</v>
      </c>
      <c r="BX2023" s="2" t="s">
        <v>244</v>
      </c>
      <c r="BY2023" s="2" t="s">
        <v>245</v>
      </c>
      <c r="BZ2023" s="2" t="s">
        <v>232</v>
      </c>
      <c r="CA2023" s="2" t="s">
        <v>1489</v>
      </c>
      <c r="CB2023" s="2" t="s">
        <v>1609</v>
      </c>
      <c r="CC2023" s="2" t="s">
        <v>248</v>
      </c>
      <c r="CD2023" s="2" t="s">
        <v>248</v>
      </c>
      <c r="CE2023" s="2" t="s">
        <v>235</v>
      </c>
      <c r="CF2023" s="4">
        <v>1397</v>
      </c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>
        <v>1460</v>
      </c>
      <c r="GE2023" s="4">
        <v>1312</v>
      </c>
      <c r="GF2023" s="4">
        <v>1272</v>
      </c>
      <c r="GG2023" s="4">
        <v>1228</v>
      </c>
      <c r="GH2023" s="4">
        <v>1182</v>
      </c>
      <c r="GI2023" s="4">
        <v>1126</v>
      </c>
      <c r="GJ2023" s="4">
        <v>1031</v>
      </c>
      <c r="GK2023" s="4">
        <v>966</v>
      </c>
      <c r="GL2023" s="4">
        <v>859</v>
      </c>
      <c r="GM2023" s="4">
        <v>820</v>
      </c>
      <c r="GN2023" s="4">
        <v>779</v>
      </c>
      <c r="GO2023" s="4">
        <v>723</v>
      </c>
      <c r="GP2023" s="4">
        <v>655</v>
      </c>
      <c r="GQ2023" s="4">
        <v>516</v>
      </c>
      <c r="GR2023" s="4">
        <v>433</v>
      </c>
      <c r="GS2023" s="4">
        <v>338</v>
      </c>
      <c r="GT2023" s="4">
        <v>313</v>
      </c>
      <c r="GU2023" s="4">
        <v>294</v>
      </c>
      <c r="GV2023" s="4">
        <v>255</v>
      </c>
      <c r="GW2023" s="4">
        <v>217</v>
      </c>
      <c r="GX2023" s="4">
        <v>179</v>
      </c>
      <c r="GY2023" s="4">
        <v>141</v>
      </c>
      <c r="GZ2023" s="4">
        <v>103</v>
      </c>
      <c r="HA2023" s="4">
        <v>83</v>
      </c>
      <c r="HB2023" s="4">
        <v>63</v>
      </c>
      <c r="HC2023" s="4">
        <v>42</v>
      </c>
      <c r="HD2023" s="19">
        <v>20.9</v>
      </c>
      <c r="HE2023" s="19">
        <v>28.5</v>
      </c>
      <c r="HF2023" s="19">
        <v>21.2</v>
      </c>
      <c r="HG2023" s="19">
        <v>18.6</v>
      </c>
      <c r="HH2023" s="19">
        <v>14.6</v>
      </c>
      <c r="HI2023" s="19">
        <v>14.8</v>
      </c>
      <c r="HJ2023" s="19">
        <v>16.4</v>
      </c>
      <c r="HK2023" s="19">
        <v>15.8</v>
      </c>
      <c r="HL2023" s="19">
        <v>16.8</v>
      </c>
      <c r="HM2023" s="19">
        <v>10.8</v>
      </c>
      <c r="HN2023" s="19">
        <v>9.1</v>
      </c>
      <c r="HO2023" s="19">
        <v>7.5</v>
      </c>
      <c r="HP2023" s="19">
        <v>7.6</v>
      </c>
      <c r="HQ2023" s="19">
        <v>9.2</v>
      </c>
      <c r="HR2023" s="19">
        <v>9.8</v>
      </c>
      <c r="HS2023" s="19">
        <v>11.3</v>
      </c>
      <c r="HT2023" s="19">
        <v>9.2</v>
      </c>
      <c r="HU2023" s="19">
        <v>7.7</v>
      </c>
      <c r="HV2023" s="19">
        <v>6.7</v>
      </c>
      <c r="HW2023" s="19">
        <v>6.4</v>
      </c>
      <c r="HX2023" s="19">
        <v>6.2</v>
      </c>
      <c r="HY2023" s="19">
        <v>5.6</v>
      </c>
      <c r="HZ2023" s="19">
        <v>5.2</v>
      </c>
      <c r="IA2023" s="19">
        <v>4.2</v>
      </c>
      <c r="IB2023" s="19">
        <v>3.2</v>
      </c>
      <c r="IC2023" s="19">
        <v>2.1</v>
      </c>
    </row>
    <row r="2024">
      <c r="A2024" s="2" t="s">
        <v>7300</v>
      </c>
      <c r="B2024" s="2" t="s">
        <v>1529</v>
      </c>
      <c r="C2024" s="2" t="s">
        <v>1381</v>
      </c>
      <c r="D2024" s="2" t="s">
        <v>4374</v>
      </c>
      <c r="E2024" s="2" t="s">
        <v>4375</v>
      </c>
      <c r="F2024" s="2" t="s">
        <v>7301</v>
      </c>
      <c r="G2024" s="2" t="s">
        <v>7301</v>
      </c>
      <c r="H2024" s="2" t="s">
        <v>7301</v>
      </c>
      <c r="I2024" s="2" t="s">
        <v>7302</v>
      </c>
      <c r="J2024" s="2" t="s">
        <v>897</v>
      </c>
      <c r="K2024" s="2" t="s">
        <v>1196</v>
      </c>
      <c r="L2024" s="3">
        <v>205</v>
      </c>
      <c r="M2024" s="3">
        <v>215.25</v>
      </c>
      <c r="N2024" s="3">
        <v>599</v>
      </c>
      <c r="O2024" s="2" t="s">
        <v>232</v>
      </c>
      <c r="P2024" s="2" t="s">
        <v>1533</v>
      </c>
      <c r="Q2024" s="2" t="s">
        <v>234</v>
      </c>
      <c r="R2024" s="2" t="s">
        <v>235</v>
      </c>
      <c r="S2024" s="2" t="s">
        <v>235</v>
      </c>
      <c r="T2024" s="2" t="s">
        <v>235</v>
      </c>
      <c r="U2024" s="2" t="s">
        <v>807</v>
      </c>
      <c r="V2024" s="2" t="s">
        <v>238</v>
      </c>
      <c r="W2024" s="2" t="s">
        <v>235</v>
      </c>
      <c r="X2024" s="2" t="s">
        <v>235</v>
      </c>
      <c r="Y2024" s="2" t="s">
        <v>931</v>
      </c>
      <c r="Z2024" s="4">
        <v>1</v>
      </c>
      <c r="AA2024" s="4">
        <f>=ROUNDDOWN(1.66666666666667,0)</f>
      </c>
      <c r="AB2024" s="5">
        <v>0.6</v>
      </c>
      <c r="AC2024" s="2" t="s">
        <v>235</v>
      </c>
      <c r="AD2024" s="4"/>
      <c r="AE2024" s="4"/>
      <c r="AF2024" s="6"/>
      <c r="AG2024" s="6"/>
      <c r="AH2024" s="7">
        <v>0</v>
      </c>
      <c r="AI2024" s="4"/>
      <c r="AJ2024" s="4">
        <f>=ROUNDDOWN({0},0)</f>
      </c>
      <c r="AK2024" s="5"/>
      <c r="AL2024" s="2" t="s">
        <v>235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235</v>
      </c>
      <c r="AW2024" s="8" t="s">
        <v>235</v>
      </c>
      <c r="AX2024" s="4" t="s">
        <v>235</v>
      </c>
      <c r="AY2024" s="8" t="s">
        <v>235</v>
      </c>
      <c r="AZ2024" s="7" t="s">
        <v>235</v>
      </c>
      <c r="BA2024" s="7" t="s">
        <v>235</v>
      </c>
      <c r="BB2024" s="7" t="s">
        <v>235</v>
      </c>
      <c r="BC2024" s="4" t="s">
        <v>235</v>
      </c>
      <c r="BD2024" s="8" t="s">
        <v>235</v>
      </c>
      <c r="BE2024" s="4" t="s">
        <v>235</v>
      </c>
      <c r="BF2024" s="8" t="s">
        <v>235</v>
      </c>
      <c r="BG2024" s="7" t="s">
        <v>235</v>
      </c>
      <c r="BH2024" s="7" t="s">
        <v>235</v>
      </c>
      <c r="BI2024" s="7"/>
      <c r="BJ2024" s="4">
        <v>2</v>
      </c>
      <c r="BK2024" s="8">
        <v>574.66</v>
      </c>
      <c r="BL2024" s="2" t="s">
        <v>900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7303</v>
      </c>
      <c r="BV2024" s="2" t="s">
        <v>1488</v>
      </c>
      <c r="BW2024" s="2" t="s">
        <v>235</v>
      </c>
      <c r="BX2024" s="2" t="s">
        <v>244</v>
      </c>
      <c r="BY2024" s="2" t="s">
        <v>245</v>
      </c>
      <c r="BZ2024" s="2" t="s">
        <v>232</v>
      </c>
      <c r="CA2024" s="2" t="s">
        <v>1536</v>
      </c>
      <c r="CB2024" s="2" t="s">
        <v>1646</v>
      </c>
      <c r="CC2024" s="2" t="s">
        <v>248</v>
      </c>
      <c r="CD2024" s="2" t="s">
        <v>248</v>
      </c>
      <c r="CE2024" s="2" t="s">
        <v>235</v>
      </c>
      <c r="CF2024" s="4"/>
      <c r="CG2024" s="4"/>
      <c r="CH2024" s="4"/>
      <c r="CI2024" s="4">
        <v>1</v>
      </c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/>
      <c r="GV2024" s="4"/>
      <c r="GW2024" s="4"/>
      <c r="GX2024" s="4"/>
      <c r="GY2024" s="4"/>
      <c r="GZ2024" s="4"/>
      <c r="HA2024" s="4"/>
      <c r="HB2024" s="4"/>
      <c r="HC2024" s="4"/>
      <c r="HD2024" s="9"/>
      <c r="HE2024" s="9"/>
      <c r="HF2024" s="9"/>
      <c r="HG2024" s="9"/>
      <c r="HH2024" s="9"/>
      <c r="HI2024" s="9"/>
      <c r="HJ2024" s="9"/>
      <c r="HK2024" s="9"/>
      <c r="HL2024" s="9"/>
      <c r="HM2024" s="9"/>
      <c r="HN2024" s="9"/>
      <c r="HO2024" s="9"/>
      <c r="HP2024" s="9"/>
      <c r="HQ2024" s="9"/>
      <c r="HR2024" s="9"/>
      <c r="HS2024" s="9"/>
      <c r="HT2024" s="9"/>
      <c r="HU2024" s="9"/>
      <c r="HV2024" s="9"/>
      <c r="HW2024" s="9"/>
      <c r="HX2024" s="9"/>
      <c r="HY2024" s="9"/>
      <c r="HZ2024" s="9"/>
      <c r="IA2024" s="9"/>
      <c r="IB2024" s="9"/>
      <c r="IC2024" s="9"/>
    </row>
    <row r="2025">
      <c r="A2025" s="2" t="s">
        <v>7304</v>
      </c>
      <c r="B2025" s="2" t="s">
        <v>1529</v>
      </c>
      <c r="C2025" s="2" t="s">
        <v>1381</v>
      </c>
      <c r="D2025" s="2" t="s">
        <v>4819</v>
      </c>
      <c r="E2025" s="2" t="s">
        <v>6148</v>
      </c>
      <c r="F2025" s="2" t="s">
        <v>7301</v>
      </c>
      <c r="G2025" s="2" t="s">
        <v>7301</v>
      </c>
      <c r="H2025" s="2" t="s">
        <v>7301</v>
      </c>
      <c r="I2025" s="2" t="s">
        <v>5799</v>
      </c>
      <c r="J2025" s="2" t="s">
        <v>897</v>
      </c>
      <c r="K2025" s="2" t="s">
        <v>1196</v>
      </c>
      <c r="L2025" s="3">
        <v>75</v>
      </c>
      <c r="M2025" s="3">
        <v>78.75</v>
      </c>
      <c r="N2025" s="3">
        <v>219</v>
      </c>
      <c r="O2025" s="2" t="s">
        <v>232</v>
      </c>
      <c r="P2025" s="2" t="s">
        <v>1533</v>
      </c>
      <c r="Q2025" s="2" t="s">
        <v>234</v>
      </c>
      <c r="R2025" s="2" t="s">
        <v>235</v>
      </c>
      <c r="S2025" s="2" t="s">
        <v>235</v>
      </c>
      <c r="T2025" s="2" t="s">
        <v>235</v>
      </c>
      <c r="U2025" s="2" t="s">
        <v>807</v>
      </c>
      <c r="V2025" s="2" t="s">
        <v>238</v>
      </c>
      <c r="W2025" s="2" t="s">
        <v>235</v>
      </c>
      <c r="X2025" s="2" t="s">
        <v>235</v>
      </c>
      <c r="Y2025" s="2" t="s">
        <v>931</v>
      </c>
      <c r="Z2025" s="4"/>
      <c r="AA2025" s="4">
        <f>=ROUNDDOWN({0},0)</f>
      </c>
      <c r="AB2025" s="5">
        <v>0.6</v>
      </c>
      <c r="AC2025" s="2" t="s">
        <v>235</v>
      </c>
      <c r="AD2025" s="4"/>
      <c r="AE2025" s="4"/>
      <c r="AF2025" s="6"/>
      <c r="AG2025" s="6"/>
      <c r="AH2025" s="7">
        <v>0</v>
      </c>
      <c r="AI2025" s="4"/>
      <c r="AJ2025" s="4">
        <f>=ROUNDDOWN({0},0)</f>
      </c>
      <c r="AK2025" s="5"/>
      <c r="AL2025" s="2" t="s">
        <v>235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235</v>
      </c>
      <c r="AW2025" s="8" t="s">
        <v>235</v>
      </c>
      <c r="AX2025" s="4" t="s">
        <v>235</v>
      </c>
      <c r="AY2025" s="8" t="s">
        <v>235</v>
      </c>
      <c r="AZ2025" s="7" t="s">
        <v>235</v>
      </c>
      <c r="BA2025" s="7" t="s">
        <v>235</v>
      </c>
      <c r="BB2025" s="7" t="s">
        <v>235</v>
      </c>
      <c r="BC2025" s="4" t="s">
        <v>235</v>
      </c>
      <c r="BD2025" s="8" t="s">
        <v>235</v>
      </c>
      <c r="BE2025" s="4" t="s">
        <v>235</v>
      </c>
      <c r="BF2025" s="8" t="s">
        <v>235</v>
      </c>
      <c r="BG2025" s="7" t="s">
        <v>235</v>
      </c>
      <c r="BH2025" s="7" t="s">
        <v>235</v>
      </c>
      <c r="BI2025" s="7"/>
      <c r="BJ2025" s="4"/>
      <c r="BK2025" s="8"/>
      <c r="BL2025" s="2" t="s">
        <v>900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7305</v>
      </c>
      <c r="BV2025" s="2" t="s">
        <v>4384</v>
      </c>
      <c r="BW2025" s="2" t="s">
        <v>235</v>
      </c>
      <c r="BX2025" s="2" t="s">
        <v>244</v>
      </c>
      <c r="BY2025" s="2" t="s">
        <v>245</v>
      </c>
      <c r="BZ2025" s="2" t="s">
        <v>232</v>
      </c>
      <c r="CA2025" s="2" t="s">
        <v>1536</v>
      </c>
      <c r="CB2025" s="2" t="s">
        <v>7188</v>
      </c>
      <c r="CC2025" s="2" t="s">
        <v>248</v>
      </c>
      <c r="CD2025" s="2" t="s">
        <v>248</v>
      </c>
      <c r="CE2025" s="2" t="s">
        <v>235</v>
      </c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9"/>
      <c r="HE2025" s="9"/>
      <c r="HF2025" s="9"/>
      <c r="HG2025" s="9"/>
      <c r="HH2025" s="9"/>
      <c r="HI2025" s="9"/>
      <c r="HJ2025" s="9"/>
      <c r="HK2025" s="9"/>
      <c r="HL2025" s="9"/>
      <c r="HM2025" s="9"/>
      <c r="HN2025" s="9"/>
      <c r="HO2025" s="9"/>
      <c r="HP2025" s="9"/>
      <c r="HQ2025" s="9"/>
      <c r="HR2025" s="9"/>
      <c r="HS2025" s="9"/>
      <c r="HT2025" s="9"/>
      <c r="HU2025" s="9"/>
      <c r="HV2025" s="9"/>
      <c r="HW2025" s="9"/>
      <c r="HX2025" s="9"/>
      <c r="HY2025" s="9"/>
      <c r="HZ2025" s="9"/>
      <c r="IA2025" s="9"/>
      <c r="IB2025" s="9"/>
      <c r="IC2025" s="9"/>
    </row>
    <row r="2026">
      <c r="A2026" s="2" t="s">
        <v>7306</v>
      </c>
      <c r="B2026" s="2" t="s">
        <v>605</v>
      </c>
      <c r="C2026" s="2" t="s">
        <v>360</v>
      </c>
      <c r="D2026" s="2" t="s">
        <v>607</v>
      </c>
      <c r="E2026" s="2" t="s">
        <v>608</v>
      </c>
      <c r="F2026" s="2" t="s">
        <v>7307</v>
      </c>
      <c r="G2026" s="2" t="s">
        <v>7307</v>
      </c>
      <c r="H2026" s="2" t="s">
        <v>7307</v>
      </c>
      <c r="I2026" s="2" t="s">
        <v>7308</v>
      </c>
      <c r="J2026" s="2" t="s">
        <v>7309</v>
      </c>
      <c r="K2026" s="2" t="s">
        <v>338</v>
      </c>
      <c r="L2026" s="3">
        <v>33.6</v>
      </c>
      <c r="M2026" s="3">
        <v>35.28</v>
      </c>
      <c r="N2026" s="3">
        <v>69.99</v>
      </c>
      <c r="O2026" s="2" t="s">
        <v>232</v>
      </c>
      <c r="P2026" s="2" t="s">
        <v>233</v>
      </c>
      <c r="Q2026" s="2" t="s">
        <v>234</v>
      </c>
      <c r="R2026" s="2" t="s">
        <v>235</v>
      </c>
      <c r="S2026" s="2" t="s">
        <v>7310</v>
      </c>
      <c r="T2026" s="2" t="s">
        <v>263</v>
      </c>
      <c r="U2026" s="2" t="s">
        <v>278</v>
      </c>
      <c r="V2026" s="2" t="s">
        <v>238</v>
      </c>
      <c r="W2026" s="2" t="s">
        <v>239</v>
      </c>
      <c r="X2026" s="2" t="s">
        <v>235</v>
      </c>
      <c r="Y2026" s="2" t="s">
        <v>1030</v>
      </c>
      <c r="Z2026" s="4">
        <v>272</v>
      </c>
      <c r="AA2026" s="4">
        <f>=ROUNDDOWN(36.2666666666667,0)</f>
      </c>
      <c r="AB2026" s="5">
        <v>7.5</v>
      </c>
      <c r="AC2026" s="2" t="s">
        <v>235</v>
      </c>
      <c r="AD2026" s="4"/>
      <c r="AE2026" s="4"/>
      <c r="AF2026" s="6">
        <v>69</v>
      </c>
      <c r="AG2026" s="6"/>
      <c r="AH2026" s="7">
        <v>1</v>
      </c>
      <c r="AI2026" s="4"/>
      <c r="AJ2026" s="4">
        <f>=ROUNDDOWN({0},0)</f>
      </c>
      <c r="AK2026" s="5"/>
      <c r="AL2026" s="2" t="s">
        <v>235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 t="s">
        <v>235</v>
      </c>
      <c r="BD2026" s="8" t="s">
        <v>235</v>
      </c>
      <c r="BE2026" s="4" t="s">
        <v>235</v>
      </c>
      <c r="BF2026" s="8" t="s">
        <v>235</v>
      </c>
      <c r="BG2026" s="7" t="s">
        <v>235</v>
      </c>
      <c r="BH2026" s="7" t="s">
        <v>235</v>
      </c>
      <c r="BI2026" s="7"/>
      <c r="BJ2026" s="4">
        <v>22</v>
      </c>
      <c r="BK2026" s="8">
        <v>860.41</v>
      </c>
      <c r="BL2026" s="2" t="s">
        <v>7311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7312</v>
      </c>
      <c r="BV2026" s="2" t="s">
        <v>618</v>
      </c>
      <c r="BW2026" s="2" t="s">
        <v>235</v>
      </c>
      <c r="BX2026" s="2" t="s">
        <v>244</v>
      </c>
      <c r="BY2026" s="2" t="s">
        <v>245</v>
      </c>
      <c r="BZ2026" s="2" t="s">
        <v>232</v>
      </c>
      <c r="CA2026" s="2" t="s">
        <v>2744</v>
      </c>
      <c r="CB2026" s="2" t="s">
        <v>798</v>
      </c>
      <c r="CC2026" s="2" t="s">
        <v>248</v>
      </c>
      <c r="CD2026" s="2" t="s">
        <v>248</v>
      </c>
      <c r="CE2026" s="2" t="s">
        <v>235</v>
      </c>
      <c r="CF2026" s="4">
        <v>272</v>
      </c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>
        <v>272</v>
      </c>
      <c r="GE2026" s="4">
        <v>264</v>
      </c>
      <c r="GF2026" s="4">
        <v>259</v>
      </c>
      <c r="GG2026" s="4">
        <v>254</v>
      </c>
      <c r="GH2026" s="4">
        <v>249</v>
      </c>
      <c r="GI2026" s="4">
        <v>243</v>
      </c>
      <c r="GJ2026" s="4">
        <v>236</v>
      </c>
      <c r="GK2026" s="4">
        <v>229</v>
      </c>
      <c r="GL2026" s="4">
        <v>223</v>
      </c>
      <c r="GM2026" s="4">
        <v>217</v>
      </c>
      <c r="GN2026" s="4">
        <v>211</v>
      </c>
      <c r="GO2026" s="4">
        <v>203</v>
      </c>
      <c r="GP2026" s="4">
        <v>192</v>
      </c>
      <c r="GQ2026" s="4">
        <v>178</v>
      </c>
      <c r="GR2026" s="4">
        <v>162</v>
      </c>
      <c r="GS2026" s="4">
        <v>150</v>
      </c>
      <c r="GT2026" s="4">
        <v>141</v>
      </c>
      <c r="GU2026" s="4">
        <v>135</v>
      </c>
      <c r="GV2026" s="4">
        <v>129</v>
      </c>
      <c r="GW2026" s="4">
        <v>123</v>
      </c>
      <c r="GX2026" s="4">
        <v>117</v>
      </c>
      <c r="GY2026" s="4">
        <v>111</v>
      </c>
      <c r="GZ2026" s="4">
        <v>104</v>
      </c>
      <c r="HA2026" s="4">
        <v>97</v>
      </c>
      <c r="HB2026" s="4">
        <v>90</v>
      </c>
      <c r="HC2026" s="4">
        <v>83</v>
      </c>
      <c r="HD2026" s="19">
        <v>45.3</v>
      </c>
      <c r="HE2026" s="19">
        <v>52.8</v>
      </c>
      <c r="HF2026" s="19">
        <v>43.2</v>
      </c>
      <c r="HG2026" s="19">
        <v>42.3</v>
      </c>
      <c r="HH2026" s="19">
        <v>41.5</v>
      </c>
      <c r="HI2026" s="19">
        <v>40.5</v>
      </c>
      <c r="HJ2026" s="19">
        <v>39.3</v>
      </c>
      <c r="HK2026" s="19">
        <v>38.2</v>
      </c>
      <c r="HL2026" s="19">
        <v>27.9</v>
      </c>
      <c r="HM2026" s="19">
        <v>21.7</v>
      </c>
      <c r="HN2026" s="19">
        <v>17.6</v>
      </c>
      <c r="HO2026" s="19">
        <v>15.6</v>
      </c>
      <c r="HP2026" s="19">
        <v>14.8</v>
      </c>
      <c r="HQ2026" s="19">
        <v>16.2</v>
      </c>
      <c r="HR2026" s="19">
        <v>20.3</v>
      </c>
      <c r="HS2026" s="19">
        <v>21.4</v>
      </c>
      <c r="HT2026" s="19">
        <v>23.5</v>
      </c>
      <c r="HU2026" s="19">
        <v>22.5</v>
      </c>
      <c r="HV2026" s="19">
        <v>21.5</v>
      </c>
      <c r="HW2026" s="19">
        <v>20.5</v>
      </c>
      <c r="HX2026" s="19">
        <v>16.7</v>
      </c>
      <c r="HY2026" s="19">
        <v>15.9</v>
      </c>
      <c r="HZ2026" s="19">
        <v>14.9</v>
      </c>
      <c r="IA2026" s="19">
        <v>13.9</v>
      </c>
      <c r="IB2026" s="19">
        <v>12.9</v>
      </c>
      <c r="IC2026" s="19">
        <v>11.9</v>
      </c>
    </row>
    <row r="2027">
      <c r="A2027" s="2" t="s">
        <v>7313</v>
      </c>
      <c r="B2027" s="2" t="s">
        <v>605</v>
      </c>
      <c r="C2027" s="2" t="s">
        <v>360</v>
      </c>
      <c r="D2027" s="2" t="s">
        <v>607</v>
      </c>
      <c r="E2027" s="2" t="s">
        <v>608</v>
      </c>
      <c r="F2027" s="2" t="s">
        <v>7307</v>
      </c>
      <c r="G2027" s="2" t="s">
        <v>7307</v>
      </c>
      <c r="H2027" s="2" t="s">
        <v>7307</v>
      </c>
      <c r="I2027" s="2" t="s">
        <v>7308</v>
      </c>
      <c r="J2027" s="2" t="s">
        <v>7309</v>
      </c>
      <c r="K2027" s="2" t="s">
        <v>292</v>
      </c>
      <c r="L2027" s="3">
        <v>33.6</v>
      </c>
      <c r="M2027" s="3">
        <v>35.28</v>
      </c>
      <c r="N2027" s="3">
        <v>69.99</v>
      </c>
      <c r="O2027" s="2" t="s">
        <v>232</v>
      </c>
      <c r="P2027" s="2" t="s">
        <v>233</v>
      </c>
      <c r="Q2027" s="2" t="s">
        <v>234</v>
      </c>
      <c r="R2027" s="2" t="s">
        <v>235</v>
      </c>
      <c r="S2027" s="2" t="s">
        <v>7310</v>
      </c>
      <c r="T2027" s="2" t="s">
        <v>263</v>
      </c>
      <c r="U2027" s="2" t="s">
        <v>278</v>
      </c>
      <c r="V2027" s="2" t="s">
        <v>238</v>
      </c>
      <c r="W2027" s="2" t="s">
        <v>239</v>
      </c>
      <c r="X2027" s="2" t="s">
        <v>235</v>
      </c>
      <c r="Y2027" s="2" t="s">
        <v>1030</v>
      </c>
      <c r="Z2027" s="4">
        <v>310</v>
      </c>
      <c r="AA2027" s="4">
        <f>=ROUNDDOWN(86.1111111111111,0)</f>
      </c>
      <c r="AB2027" s="5">
        <v>3.6</v>
      </c>
      <c r="AC2027" s="2" t="s">
        <v>235</v>
      </c>
      <c r="AD2027" s="4"/>
      <c r="AE2027" s="4"/>
      <c r="AF2027" s="6">
        <v>69</v>
      </c>
      <c r="AG2027" s="6"/>
      <c r="AH2027" s="7">
        <v>1</v>
      </c>
      <c r="AI2027" s="4"/>
      <c r="AJ2027" s="4">
        <f>=ROUNDDOWN({0},0)</f>
      </c>
      <c r="AK2027" s="5"/>
      <c r="AL2027" s="2" t="s">
        <v>235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235</v>
      </c>
      <c r="BD2027" s="8" t="s">
        <v>235</v>
      </c>
      <c r="BE2027" s="4" t="s">
        <v>235</v>
      </c>
      <c r="BF2027" s="8" t="s">
        <v>235</v>
      </c>
      <c r="BG2027" s="7" t="s">
        <v>235</v>
      </c>
      <c r="BH2027" s="7" t="s">
        <v>235</v>
      </c>
      <c r="BI2027" s="7"/>
      <c r="BJ2027" s="4">
        <v>18</v>
      </c>
      <c r="BK2027" s="8">
        <v>681.9</v>
      </c>
      <c r="BL2027" s="2" t="s">
        <v>7314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7312</v>
      </c>
      <c r="BV2027" s="2" t="s">
        <v>618</v>
      </c>
      <c r="BW2027" s="2" t="s">
        <v>235</v>
      </c>
      <c r="BX2027" s="2" t="s">
        <v>244</v>
      </c>
      <c r="BY2027" s="2" t="s">
        <v>245</v>
      </c>
      <c r="BZ2027" s="2" t="s">
        <v>232</v>
      </c>
      <c r="CA2027" s="2" t="s">
        <v>2744</v>
      </c>
      <c r="CB2027" s="2" t="s">
        <v>1379</v>
      </c>
      <c r="CC2027" s="2" t="s">
        <v>248</v>
      </c>
      <c r="CD2027" s="2" t="s">
        <v>248</v>
      </c>
      <c r="CE2027" s="2" t="s">
        <v>235</v>
      </c>
      <c r="CF2027" s="4">
        <v>310</v>
      </c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>
        <v>311</v>
      </c>
      <c r="GE2027" s="4">
        <v>308</v>
      </c>
      <c r="GF2027" s="4">
        <v>306</v>
      </c>
      <c r="GG2027" s="4">
        <v>304</v>
      </c>
      <c r="GH2027" s="4">
        <v>302</v>
      </c>
      <c r="GI2027" s="4">
        <v>300</v>
      </c>
      <c r="GJ2027" s="4">
        <v>297</v>
      </c>
      <c r="GK2027" s="4">
        <v>294</v>
      </c>
      <c r="GL2027" s="4">
        <v>291</v>
      </c>
      <c r="GM2027" s="4">
        <v>288</v>
      </c>
      <c r="GN2027" s="4">
        <v>285</v>
      </c>
      <c r="GO2027" s="4">
        <v>282</v>
      </c>
      <c r="GP2027" s="4">
        <v>277</v>
      </c>
      <c r="GQ2027" s="4">
        <v>270</v>
      </c>
      <c r="GR2027" s="4">
        <v>262</v>
      </c>
      <c r="GS2027" s="4">
        <v>257</v>
      </c>
      <c r="GT2027" s="4">
        <v>253</v>
      </c>
      <c r="GU2027" s="4">
        <v>251</v>
      </c>
      <c r="GV2027" s="4">
        <v>249</v>
      </c>
      <c r="GW2027" s="4">
        <v>247</v>
      </c>
      <c r="GX2027" s="4">
        <v>245</v>
      </c>
      <c r="GY2027" s="4">
        <v>243</v>
      </c>
      <c r="GZ2027" s="4">
        <v>240</v>
      </c>
      <c r="HA2027" s="4">
        <v>237</v>
      </c>
      <c r="HB2027" s="4">
        <v>234</v>
      </c>
      <c r="HC2027" s="4">
        <v>231</v>
      </c>
      <c r="HD2027" s="19">
        <v>155.5</v>
      </c>
      <c r="HE2027" s="19">
        <v>154</v>
      </c>
      <c r="HF2027" s="19">
        <v>153</v>
      </c>
      <c r="HG2027" s="19">
        <v>152</v>
      </c>
      <c r="HH2027" s="19">
        <v>100.7</v>
      </c>
      <c r="HI2027" s="19">
        <v>100</v>
      </c>
      <c r="HJ2027" s="19">
        <v>99</v>
      </c>
      <c r="HK2027" s="19">
        <v>98</v>
      </c>
      <c r="HL2027" s="19">
        <v>72.8</v>
      </c>
      <c r="HM2027" s="19">
        <v>72</v>
      </c>
      <c r="HN2027" s="19">
        <v>47.5</v>
      </c>
      <c r="HO2027" s="19">
        <v>47</v>
      </c>
      <c r="HP2027" s="19">
        <v>46.2</v>
      </c>
      <c r="HQ2027" s="19">
        <v>54</v>
      </c>
      <c r="HR2027" s="19">
        <v>87.3</v>
      </c>
      <c r="HS2027" s="19">
        <v>128.5</v>
      </c>
      <c r="HT2027" s="19">
        <v>126.5</v>
      </c>
      <c r="HU2027" s="19">
        <v>125.5</v>
      </c>
      <c r="HV2027" s="19">
        <v>124.5</v>
      </c>
      <c r="HW2027" s="19">
        <v>123.5</v>
      </c>
      <c r="HX2027" s="19">
        <v>81.7</v>
      </c>
      <c r="HY2027" s="19">
        <v>81</v>
      </c>
      <c r="HZ2027" s="19">
        <v>80</v>
      </c>
      <c r="IA2027" s="19">
        <v>79</v>
      </c>
      <c r="IB2027" s="19">
        <v>78</v>
      </c>
      <c r="IC2027" s="19">
        <v>77</v>
      </c>
    </row>
    <row r="2028">
      <c r="A2028" s="2" t="s">
        <v>7315</v>
      </c>
      <c r="B2028" s="2" t="s">
        <v>605</v>
      </c>
      <c r="C2028" s="2" t="s">
        <v>360</v>
      </c>
      <c r="D2028" s="2" t="s">
        <v>607</v>
      </c>
      <c r="E2028" s="2" t="s">
        <v>608</v>
      </c>
      <c r="F2028" s="2" t="s">
        <v>7307</v>
      </c>
      <c r="G2028" s="2" t="s">
        <v>7307</v>
      </c>
      <c r="H2028" s="2" t="s">
        <v>7307</v>
      </c>
      <c r="I2028" s="2" t="s">
        <v>7308</v>
      </c>
      <c r="J2028" s="2" t="s">
        <v>7309</v>
      </c>
      <c r="K2028" s="2" t="s">
        <v>1169</v>
      </c>
      <c r="L2028" s="3">
        <v>33.6</v>
      </c>
      <c r="M2028" s="3">
        <v>35.28</v>
      </c>
      <c r="N2028" s="3">
        <v>69.99</v>
      </c>
      <c r="O2028" s="2" t="s">
        <v>232</v>
      </c>
      <c r="P2028" s="2" t="s">
        <v>233</v>
      </c>
      <c r="Q2028" s="2" t="s">
        <v>234</v>
      </c>
      <c r="R2028" s="2" t="s">
        <v>235</v>
      </c>
      <c r="S2028" s="2" t="s">
        <v>7310</v>
      </c>
      <c r="T2028" s="2" t="s">
        <v>263</v>
      </c>
      <c r="U2028" s="2" t="s">
        <v>278</v>
      </c>
      <c r="V2028" s="2" t="s">
        <v>238</v>
      </c>
      <c r="W2028" s="2" t="s">
        <v>239</v>
      </c>
      <c r="X2028" s="2" t="s">
        <v>235</v>
      </c>
      <c r="Y2028" s="2" t="s">
        <v>1030</v>
      </c>
      <c r="Z2028" s="4">
        <v>395</v>
      </c>
      <c r="AA2028" s="4">
        <f>=ROUNDDOWN(127.41935483871,0)</f>
      </c>
      <c r="AB2028" s="5">
        <v>3.1</v>
      </c>
      <c r="AC2028" s="2" t="s">
        <v>235</v>
      </c>
      <c r="AD2028" s="4"/>
      <c r="AE2028" s="4"/>
      <c r="AF2028" s="6">
        <v>69</v>
      </c>
      <c r="AG2028" s="6"/>
      <c r="AH2028" s="7">
        <v>1</v>
      </c>
      <c r="AI2028" s="4"/>
      <c r="AJ2028" s="4">
        <f>=ROUNDDOWN({0},0)</f>
      </c>
      <c r="AK2028" s="5"/>
      <c r="AL2028" s="2" t="s">
        <v>235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 t="s">
        <v>235</v>
      </c>
      <c r="BD2028" s="8" t="s">
        <v>235</v>
      </c>
      <c r="BE2028" s="4" t="s">
        <v>235</v>
      </c>
      <c r="BF2028" s="8" t="s">
        <v>235</v>
      </c>
      <c r="BG2028" s="7" t="s">
        <v>235</v>
      </c>
      <c r="BH2028" s="7" t="s">
        <v>235</v>
      </c>
      <c r="BI2028" s="7"/>
      <c r="BJ2028" s="4">
        <v>17</v>
      </c>
      <c r="BK2028" s="8">
        <v>645.58</v>
      </c>
      <c r="BL2028" s="2" t="s">
        <v>7316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7312</v>
      </c>
      <c r="BV2028" s="2" t="s">
        <v>618</v>
      </c>
      <c r="BW2028" s="2" t="s">
        <v>235</v>
      </c>
      <c r="BX2028" s="2" t="s">
        <v>244</v>
      </c>
      <c r="BY2028" s="2" t="s">
        <v>245</v>
      </c>
      <c r="BZ2028" s="2" t="s">
        <v>232</v>
      </c>
      <c r="CA2028" s="2" t="s">
        <v>2744</v>
      </c>
      <c r="CB2028" s="2" t="s">
        <v>687</v>
      </c>
      <c r="CC2028" s="2" t="s">
        <v>248</v>
      </c>
      <c r="CD2028" s="2" t="s">
        <v>248</v>
      </c>
      <c r="CE2028" s="2" t="s">
        <v>235</v>
      </c>
      <c r="CF2028" s="4">
        <v>395</v>
      </c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>
        <v>396</v>
      </c>
      <c r="GE2028" s="4">
        <v>392</v>
      </c>
      <c r="GF2028" s="4">
        <v>390</v>
      </c>
      <c r="GG2028" s="4">
        <v>388</v>
      </c>
      <c r="GH2028" s="4">
        <v>386</v>
      </c>
      <c r="GI2028" s="4">
        <v>383</v>
      </c>
      <c r="GJ2028" s="4">
        <v>378</v>
      </c>
      <c r="GK2028" s="4">
        <v>373</v>
      </c>
      <c r="GL2028" s="4">
        <v>369</v>
      </c>
      <c r="GM2028" s="4">
        <v>365</v>
      </c>
      <c r="GN2028" s="4">
        <v>361</v>
      </c>
      <c r="GO2028" s="4">
        <v>357</v>
      </c>
      <c r="GP2028" s="4">
        <v>351</v>
      </c>
      <c r="GQ2028" s="4">
        <v>343</v>
      </c>
      <c r="GR2028" s="4">
        <v>334</v>
      </c>
      <c r="GS2028" s="4">
        <v>328</v>
      </c>
      <c r="GT2028" s="4">
        <v>323</v>
      </c>
      <c r="GU2028" s="4">
        <v>320</v>
      </c>
      <c r="GV2028" s="4">
        <v>317</v>
      </c>
      <c r="GW2028" s="4">
        <v>314</v>
      </c>
      <c r="GX2028" s="4">
        <v>311</v>
      </c>
      <c r="GY2028" s="4">
        <v>308</v>
      </c>
      <c r="GZ2028" s="4">
        <v>304</v>
      </c>
      <c r="HA2028" s="4">
        <v>300</v>
      </c>
      <c r="HB2028" s="4">
        <v>296</v>
      </c>
      <c r="HC2028" s="4">
        <v>292</v>
      </c>
      <c r="HD2028" s="19">
        <v>198</v>
      </c>
      <c r="HE2028" s="19">
        <v>196</v>
      </c>
      <c r="HF2028" s="19">
        <v>130</v>
      </c>
      <c r="HG2028" s="19">
        <v>97</v>
      </c>
      <c r="HH2028" s="19">
        <v>96.5</v>
      </c>
      <c r="HI2028" s="19">
        <v>95.8</v>
      </c>
      <c r="HJ2028" s="19">
        <v>94.5</v>
      </c>
      <c r="HK2028" s="19">
        <v>93.3</v>
      </c>
      <c r="HL2028" s="19">
        <v>92.3</v>
      </c>
      <c r="HM2028" s="19">
        <v>60.8</v>
      </c>
      <c r="HN2028" s="19">
        <v>51.6</v>
      </c>
      <c r="HO2028" s="19">
        <v>51</v>
      </c>
      <c r="HP2028" s="19">
        <v>50.1</v>
      </c>
      <c r="HQ2028" s="19">
        <v>57.2</v>
      </c>
      <c r="HR2028" s="19">
        <v>83.5</v>
      </c>
      <c r="HS2028" s="19">
        <v>82</v>
      </c>
      <c r="HT2028" s="19">
        <v>107.7</v>
      </c>
      <c r="HU2028" s="19">
        <v>106.7</v>
      </c>
      <c r="HV2028" s="19">
        <v>105.7</v>
      </c>
      <c r="HW2028" s="19">
        <v>78.5</v>
      </c>
      <c r="HX2028" s="19">
        <v>77.8</v>
      </c>
      <c r="HY2028" s="19">
        <v>77</v>
      </c>
      <c r="HZ2028" s="19">
        <v>76</v>
      </c>
      <c r="IA2028" s="19">
        <v>75</v>
      </c>
      <c r="IB2028" s="19">
        <v>74</v>
      </c>
      <c r="IC2028" s="19">
        <v>73</v>
      </c>
    </row>
    <row r="2029">
      <c r="A2029" s="2" t="s">
        <v>7317</v>
      </c>
      <c r="B2029" s="2" t="s">
        <v>605</v>
      </c>
      <c r="C2029" s="2" t="s">
        <v>360</v>
      </c>
      <c r="D2029" s="2" t="s">
        <v>607</v>
      </c>
      <c r="E2029" s="2" t="s">
        <v>608</v>
      </c>
      <c r="F2029" s="2" t="s">
        <v>7307</v>
      </c>
      <c r="G2029" s="2" t="s">
        <v>7307</v>
      </c>
      <c r="H2029" s="2" t="s">
        <v>7307</v>
      </c>
      <c r="I2029" s="2" t="s">
        <v>7308</v>
      </c>
      <c r="J2029" s="2" t="s">
        <v>7309</v>
      </c>
      <c r="K2029" s="2" t="s">
        <v>316</v>
      </c>
      <c r="L2029" s="3">
        <v>33.6</v>
      </c>
      <c r="M2029" s="3">
        <v>35.28</v>
      </c>
      <c r="N2029" s="3">
        <v>69.99</v>
      </c>
      <c r="O2029" s="2" t="s">
        <v>232</v>
      </c>
      <c r="P2029" s="2" t="s">
        <v>233</v>
      </c>
      <c r="Q2029" s="2" t="s">
        <v>234</v>
      </c>
      <c r="R2029" s="2" t="s">
        <v>235</v>
      </c>
      <c r="S2029" s="2" t="s">
        <v>7310</v>
      </c>
      <c r="T2029" s="2" t="s">
        <v>263</v>
      </c>
      <c r="U2029" s="2" t="s">
        <v>278</v>
      </c>
      <c r="V2029" s="2" t="s">
        <v>238</v>
      </c>
      <c r="W2029" s="2" t="s">
        <v>239</v>
      </c>
      <c r="X2029" s="2" t="s">
        <v>235</v>
      </c>
      <c r="Y2029" s="2" t="s">
        <v>1030</v>
      </c>
      <c r="Z2029" s="4">
        <v>511</v>
      </c>
      <c r="AA2029" s="4">
        <f>=ROUNDDOWN(100.196078431373,0)</f>
      </c>
      <c r="AB2029" s="5">
        <v>5.1</v>
      </c>
      <c r="AC2029" s="2" t="s">
        <v>235</v>
      </c>
      <c r="AD2029" s="4"/>
      <c r="AE2029" s="4"/>
      <c r="AF2029" s="6">
        <v>69</v>
      </c>
      <c r="AG2029" s="6"/>
      <c r="AH2029" s="7">
        <v>1</v>
      </c>
      <c r="AI2029" s="4"/>
      <c r="AJ2029" s="4">
        <f>=ROUNDDOWN({0},0)</f>
      </c>
      <c r="AK2029" s="5"/>
      <c r="AL2029" s="2" t="s">
        <v>235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 t="s">
        <v>235</v>
      </c>
      <c r="BD2029" s="8" t="s">
        <v>235</v>
      </c>
      <c r="BE2029" s="4" t="s">
        <v>235</v>
      </c>
      <c r="BF2029" s="8" t="s">
        <v>235</v>
      </c>
      <c r="BG2029" s="7" t="s">
        <v>235</v>
      </c>
      <c r="BH2029" s="7" t="s">
        <v>235</v>
      </c>
      <c r="BI2029" s="7"/>
      <c r="BJ2029" s="4">
        <v>23</v>
      </c>
      <c r="BK2029" s="8">
        <v>861.46</v>
      </c>
      <c r="BL2029" s="2" t="s">
        <v>7318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7312</v>
      </c>
      <c r="BV2029" s="2" t="s">
        <v>618</v>
      </c>
      <c r="BW2029" s="2" t="s">
        <v>235</v>
      </c>
      <c r="BX2029" s="2" t="s">
        <v>244</v>
      </c>
      <c r="BY2029" s="2" t="s">
        <v>245</v>
      </c>
      <c r="BZ2029" s="2" t="s">
        <v>232</v>
      </c>
      <c r="CA2029" s="2" t="s">
        <v>2744</v>
      </c>
      <c r="CB2029" s="2" t="s">
        <v>2716</v>
      </c>
      <c r="CC2029" s="2" t="s">
        <v>248</v>
      </c>
      <c r="CD2029" s="2" t="s">
        <v>248</v>
      </c>
      <c r="CE2029" s="2" t="s">
        <v>235</v>
      </c>
      <c r="CF2029" s="4">
        <v>511</v>
      </c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>
        <v>520</v>
      </c>
      <c r="GE2029" s="4">
        <v>506</v>
      </c>
      <c r="GF2029" s="4">
        <v>501</v>
      </c>
      <c r="GG2029" s="4">
        <v>496</v>
      </c>
      <c r="GH2029" s="4">
        <v>491</v>
      </c>
      <c r="GI2029" s="4">
        <v>485</v>
      </c>
      <c r="GJ2029" s="4">
        <v>477</v>
      </c>
      <c r="GK2029" s="4">
        <v>469</v>
      </c>
      <c r="GL2029" s="4">
        <v>463</v>
      </c>
      <c r="GM2029" s="4">
        <v>456</v>
      </c>
      <c r="GN2029" s="4">
        <v>450</v>
      </c>
      <c r="GO2029" s="4">
        <v>444</v>
      </c>
      <c r="GP2029" s="4">
        <v>435</v>
      </c>
      <c r="GQ2029" s="4">
        <v>424</v>
      </c>
      <c r="GR2029" s="4">
        <v>412</v>
      </c>
      <c r="GS2029" s="4">
        <v>403</v>
      </c>
      <c r="GT2029" s="4">
        <v>395</v>
      </c>
      <c r="GU2029" s="4">
        <v>390</v>
      </c>
      <c r="GV2029" s="4">
        <v>385</v>
      </c>
      <c r="GW2029" s="4">
        <v>380</v>
      </c>
      <c r="GX2029" s="4">
        <v>375</v>
      </c>
      <c r="GY2029" s="4">
        <v>370</v>
      </c>
      <c r="GZ2029" s="4">
        <v>364</v>
      </c>
      <c r="HA2029" s="4">
        <v>358</v>
      </c>
      <c r="HB2029" s="4">
        <v>352</v>
      </c>
      <c r="HC2029" s="4">
        <v>346</v>
      </c>
      <c r="HD2029" s="19">
        <v>74.3</v>
      </c>
      <c r="HE2029" s="19">
        <v>101.2</v>
      </c>
      <c r="HF2029" s="19">
        <v>83.5</v>
      </c>
      <c r="HG2029" s="19">
        <v>70.9</v>
      </c>
      <c r="HH2029" s="19">
        <v>70.1</v>
      </c>
      <c r="HI2029" s="19">
        <v>69.3</v>
      </c>
      <c r="HJ2029" s="19">
        <v>68.1</v>
      </c>
      <c r="HK2029" s="19">
        <v>78.2</v>
      </c>
      <c r="HL2029" s="19">
        <v>66.1</v>
      </c>
      <c r="HM2029" s="19">
        <v>57</v>
      </c>
      <c r="HN2029" s="19">
        <v>45</v>
      </c>
      <c r="HO2029" s="19">
        <v>44.4</v>
      </c>
      <c r="HP2029" s="19">
        <v>43.5</v>
      </c>
      <c r="HQ2029" s="19">
        <v>53</v>
      </c>
      <c r="HR2029" s="19">
        <v>58.9</v>
      </c>
      <c r="HS2029" s="19">
        <v>67.2</v>
      </c>
      <c r="HT2029" s="19">
        <v>79</v>
      </c>
      <c r="HU2029" s="19">
        <v>78</v>
      </c>
      <c r="HV2029" s="19">
        <v>77</v>
      </c>
      <c r="HW2029" s="19">
        <v>63.3</v>
      </c>
      <c r="HX2029" s="19">
        <v>62.5</v>
      </c>
      <c r="HY2029" s="19">
        <v>61.7</v>
      </c>
      <c r="HZ2029" s="19">
        <v>60.7</v>
      </c>
      <c r="IA2029" s="19">
        <v>59.7</v>
      </c>
      <c r="IB2029" s="19">
        <v>58.7</v>
      </c>
      <c r="IC2029" s="19">
        <v>57.7</v>
      </c>
    </row>
    <row r="2030">
      <c r="A2030" s="2" t="s">
        <v>7319</v>
      </c>
      <c r="B2030" s="2" t="s">
        <v>871</v>
      </c>
      <c r="C2030" s="2" t="s">
        <v>606</v>
      </c>
      <c r="D2030" s="2" t="s">
        <v>4227</v>
      </c>
      <c r="E2030" s="2" t="s">
        <v>4228</v>
      </c>
      <c r="F2030" s="2" t="s">
        <v>7320</v>
      </c>
      <c r="G2030" s="2" t="s">
        <v>7321</v>
      </c>
      <c r="H2030" s="2" t="s">
        <v>7322</v>
      </c>
      <c r="I2030" s="2" t="s">
        <v>7323</v>
      </c>
      <c r="J2030" s="2" t="s">
        <v>394</v>
      </c>
      <c r="K2030" s="2" t="s">
        <v>231</v>
      </c>
      <c r="L2030" s="3">
        <v>18.09</v>
      </c>
      <c r="M2030" s="3">
        <v>18.99</v>
      </c>
      <c r="N2030" s="3">
        <v>37.99</v>
      </c>
      <c r="O2030" s="2" t="s">
        <v>232</v>
      </c>
      <c r="P2030" s="2" t="s">
        <v>878</v>
      </c>
      <c r="Q2030" s="2" t="s">
        <v>234</v>
      </c>
      <c r="R2030" s="2" t="s">
        <v>235</v>
      </c>
      <c r="S2030" s="2" t="s">
        <v>235</v>
      </c>
      <c r="T2030" s="2" t="s">
        <v>879</v>
      </c>
      <c r="U2030" s="2" t="s">
        <v>278</v>
      </c>
      <c r="V2030" s="2" t="s">
        <v>986</v>
      </c>
      <c r="W2030" s="2" t="s">
        <v>986</v>
      </c>
      <c r="X2030" s="2" t="s">
        <v>986</v>
      </c>
      <c r="Y2030" s="2" t="s">
        <v>2270</v>
      </c>
      <c r="Z2030" s="4">
        <v>1020</v>
      </c>
      <c r="AA2030" s="4">
        <f>=ROUNDDOWN(510,0)</f>
      </c>
      <c r="AB2030" s="5">
        <v>2</v>
      </c>
      <c r="AC2030" s="2" t="s">
        <v>235</v>
      </c>
      <c r="AD2030" s="4"/>
      <c r="AE2030" s="4"/>
      <c r="AF2030" s="6">
        <v>64</v>
      </c>
      <c r="AG2030" s="6">
        <v>47</v>
      </c>
      <c r="AH2030" s="7">
        <v>1</v>
      </c>
      <c r="AI2030" s="4"/>
      <c r="AJ2030" s="4">
        <f>=ROUNDDOWN({0},0)</f>
      </c>
      <c r="AK2030" s="5"/>
      <c r="AL2030" s="2" t="s">
        <v>235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235</v>
      </c>
      <c r="AW2030" s="8" t="s">
        <v>235</v>
      </c>
      <c r="AX2030" s="4" t="s">
        <v>235</v>
      </c>
      <c r="AY2030" s="8" t="s">
        <v>235</v>
      </c>
      <c r="AZ2030" s="7" t="s">
        <v>235</v>
      </c>
      <c r="BA2030" s="7" t="s">
        <v>235</v>
      </c>
      <c r="BB2030" s="7"/>
      <c r="BC2030" s="4" t="s">
        <v>235</v>
      </c>
      <c r="BD2030" s="8" t="s">
        <v>235</v>
      </c>
      <c r="BE2030" s="4" t="s">
        <v>235</v>
      </c>
      <c r="BF2030" s="8" t="s">
        <v>235</v>
      </c>
      <c r="BG2030" s="7" t="s">
        <v>235</v>
      </c>
      <c r="BH2030" s="7" t="s">
        <v>235</v>
      </c>
      <c r="BI2030" s="7"/>
      <c r="BJ2030" s="4">
        <v>63</v>
      </c>
      <c r="BK2030" s="8">
        <v>1613.18</v>
      </c>
      <c r="BL2030" s="2" t="s">
        <v>7324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7325</v>
      </c>
      <c r="BV2030" s="2" t="s">
        <v>235</v>
      </c>
      <c r="BW2030" s="2" t="s">
        <v>235</v>
      </c>
      <c r="BX2030" s="2" t="s">
        <v>619</v>
      </c>
      <c r="BY2030" s="2" t="s">
        <v>245</v>
      </c>
      <c r="BZ2030" s="2" t="s">
        <v>232</v>
      </c>
      <c r="CA2030" s="2" t="s">
        <v>235</v>
      </c>
      <c r="CB2030" s="2" t="s">
        <v>235</v>
      </c>
      <c r="CC2030" s="2" t="s">
        <v>248</v>
      </c>
      <c r="CD2030" s="2" t="s">
        <v>248</v>
      </c>
      <c r="CE2030" s="2" t="s">
        <v>235</v>
      </c>
      <c r="CF2030" s="4">
        <v>301</v>
      </c>
      <c r="CG2030" s="4"/>
      <c r="CH2030" s="4"/>
      <c r="CI2030" s="4">
        <v>719</v>
      </c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>
        <v>1020</v>
      </c>
      <c r="GE2030" s="4">
        <v>1017</v>
      </c>
      <c r="GF2030" s="4">
        <v>1014</v>
      </c>
      <c r="GG2030" s="4">
        <v>1011</v>
      </c>
      <c r="GH2030" s="4">
        <v>1008</v>
      </c>
      <c r="GI2030" s="4">
        <v>1005</v>
      </c>
      <c r="GJ2030" s="4">
        <v>1002</v>
      </c>
      <c r="GK2030" s="4">
        <v>999</v>
      </c>
      <c r="GL2030" s="4">
        <v>996</v>
      </c>
      <c r="GM2030" s="4">
        <v>993</v>
      </c>
      <c r="GN2030" s="4">
        <v>990</v>
      </c>
      <c r="GO2030" s="4">
        <v>987</v>
      </c>
      <c r="GP2030" s="4">
        <v>982</v>
      </c>
      <c r="GQ2030" s="4">
        <v>976</v>
      </c>
      <c r="GR2030" s="4">
        <v>970</v>
      </c>
      <c r="GS2030" s="4">
        <v>965</v>
      </c>
      <c r="GT2030" s="4">
        <v>962</v>
      </c>
      <c r="GU2030" s="4">
        <v>959</v>
      </c>
      <c r="GV2030" s="4">
        <v>956</v>
      </c>
      <c r="GW2030" s="4">
        <v>953</v>
      </c>
      <c r="GX2030" s="4">
        <v>950</v>
      </c>
      <c r="GY2030" s="4">
        <v>947</v>
      </c>
      <c r="GZ2030" s="4">
        <v>943</v>
      </c>
      <c r="HA2030" s="4">
        <v>939</v>
      </c>
      <c r="HB2030" s="4">
        <v>935</v>
      </c>
      <c r="HC2030" s="4">
        <v>931</v>
      </c>
      <c r="HD2030" s="19">
        <v>434.8</v>
      </c>
      <c r="HE2030" s="19">
        <v>433.8</v>
      </c>
      <c r="HF2030" s="19">
        <v>432.8</v>
      </c>
      <c r="HG2030" s="19">
        <v>431.8</v>
      </c>
      <c r="HH2030" s="19">
        <v>430.8</v>
      </c>
      <c r="HI2030" s="19">
        <v>429.8</v>
      </c>
      <c r="HJ2030" s="19">
        <v>428.8</v>
      </c>
      <c r="HK2030" s="19">
        <v>427.8</v>
      </c>
      <c r="HL2030" s="19">
        <v>426.8</v>
      </c>
      <c r="HM2030" s="19">
        <v>224.7</v>
      </c>
      <c r="HN2030" s="19">
        <v>224.1</v>
      </c>
      <c r="HO2030" s="19">
        <v>211.9</v>
      </c>
      <c r="HP2030" s="19">
        <v>222.5</v>
      </c>
      <c r="HQ2030" s="19">
        <v>221.4</v>
      </c>
      <c r="HR2030" s="19">
        <v>418</v>
      </c>
      <c r="HS2030" s="19">
        <v>416.3</v>
      </c>
      <c r="HT2030" s="19">
        <v>415.3</v>
      </c>
      <c r="HU2030" s="19">
        <v>414.3</v>
      </c>
      <c r="HV2030" s="19">
        <v>413.3</v>
      </c>
      <c r="HW2030" s="19">
        <v>412.3</v>
      </c>
      <c r="HX2030" s="19">
        <v>390</v>
      </c>
      <c r="HY2030" s="19">
        <v>389.2</v>
      </c>
      <c r="HZ2030" s="19">
        <v>388.2</v>
      </c>
      <c r="IA2030" s="19">
        <v>387.2</v>
      </c>
      <c r="IB2030" s="19">
        <v>386.2</v>
      </c>
      <c r="IC2030" s="19">
        <v>385.2</v>
      </c>
    </row>
    <row r="2031">
      <c r="A2031" s="2" t="s">
        <v>7326</v>
      </c>
      <c r="B2031" s="2" t="s">
        <v>871</v>
      </c>
      <c r="C2031" s="2" t="s">
        <v>606</v>
      </c>
      <c r="D2031" s="2" t="s">
        <v>4227</v>
      </c>
      <c r="E2031" s="2" t="s">
        <v>4228</v>
      </c>
      <c r="F2031" s="2" t="s">
        <v>7320</v>
      </c>
      <c r="G2031" s="2" t="s">
        <v>7321</v>
      </c>
      <c r="H2031" s="2" t="s">
        <v>7322</v>
      </c>
      <c r="I2031" s="2" t="s">
        <v>7323</v>
      </c>
      <c r="J2031" s="2" t="s">
        <v>365</v>
      </c>
      <c r="K2031" s="2" t="s">
        <v>231</v>
      </c>
      <c r="L2031" s="3">
        <v>21.42</v>
      </c>
      <c r="M2031" s="3">
        <v>22.49</v>
      </c>
      <c r="N2031" s="3">
        <v>44.99</v>
      </c>
      <c r="O2031" s="2" t="s">
        <v>232</v>
      </c>
      <c r="P2031" s="2" t="s">
        <v>878</v>
      </c>
      <c r="Q2031" s="2" t="s">
        <v>234</v>
      </c>
      <c r="R2031" s="2" t="s">
        <v>235</v>
      </c>
      <c r="S2031" s="2" t="s">
        <v>235</v>
      </c>
      <c r="T2031" s="2" t="s">
        <v>879</v>
      </c>
      <c r="U2031" s="2" t="s">
        <v>552</v>
      </c>
      <c r="V2031" s="2" t="s">
        <v>986</v>
      </c>
      <c r="W2031" s="2" t="s">
        <v>986</v>
      </c>
      <c r="X2031" s="2" t="s">
        <v>986</v>
      </c>
      <c r="Y2031" s="2" t="s">
        <v>4811</v>
      </c>
      <c r="Z2031" s="4">
        <v>715</v>
      </c>
      <c r="AA2031" s="4">
        <f>=ROUNDDOWN(340.47619047619,0)</f>
      </c>
      <c r="AB2031" s="5">
        <v>2.1</v>
      </c>
      <c r="AC2031" s="2" t="s">
        <v>235</v>
      </c>
      <c r="AD2031" s="4"/>
      <c r="AE2031" s="4"/>
      <c r="AF2031" s="6">
        <v>64</v>
      </c>
      <c r="AG2031" s="6">
        <v>47</v>
      </c>
      <c r="AH2031" s="7">
        <v>1</v>
      </c>
      <c r="AI2031" s="4"/>
      <c r="AJ2031" s="4">
        <f>=ROUNDDOWN({0},0)</f>
      </c>
      <c r="AK2031" s="5"/>
      <c r="AL2031" s="2" t="s">
        <v>235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235</v>
      </c>
      <c r="AW2031" s="8" t="s">
        <v>235</v>
      </c>
      <c r="AX2031" s="4" t="s">
        <v>235</v>
      </c>
      <c r="AY2031" s="8" t="s">
        <v>235</v>
      </c>
      <c r="AZ2031" s="7" t="s">
        <v>235</v>
      </c>
      <c r="BA2031" s="7" t="s">
        <v>235</v>
      </c>
      <c r="BB2031" s="7"/>
      <c r="BC2031" s="4" t="s">
        <v>235</v>
      </c>
      <c r="BD2031" s="8" t="s">
        <v>235</v>
      </c>
      <c r="BE2031" s="4" t="s">
        <v>235</v>
      </c>
      <c r="BF2031" s="8" t="s">
        <v>235</v>
      </c>
      <c r="BG2031" s="7" t="s">
        <v>235</v>
      </c>
      <c r="BH2031" s="7" t="s">
        <v>235</v>
      </c>
      <c r="BI2031" s="7"/>
      <c r="BJ2031" s="4">
        <v>13</v>
      </c>
      <c r="BK2031" s="8">
        <v>467.06</v>
      </c>
      <c r="BL2031" s="2" t="s">
        <v>7327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7325</v>
      </c>
      <c r="BV2031" s="2" t="s">
        <v>235</v>
      </c>
      <c r="BW2031" s="2" t="s">
        <v>235</v>
      </c>
      <c r="BX2031" s="2" t="s">
        <v>619</v>
      </c>
      <c r="BY2031" s="2" t="s">
        <v>245</v>
      </c>
      <c r="BZ2031" s="2" t="s">
        <v>232</v>
      </c>
      <c r="CA2031" s="2" t="s">
        <v>235</v>
      </c>
      <c r="CB2031" s="2" t="s">
        <v>235</v>
      </c>
      <c r="CC2031" s="2" t="s">
        <v>248</v>
      </c>
      <c r="CD2031" s="2" t="s">
        <v>248</v>
      </c>
      <c r="CE2031" s="2" t="s">
        <v>235</v>
      </c>
      <c r="CF2031" s="4">
        <v>348</v>
      </c>
      <c r="CG2031" s="4"/>
      <c r="CH2031" s="4"/>
      <c r="CI2031" s="4">
        <v>367</v>
      </c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>
        <v>718</v>
      </c>
      <c r="GE2031" s="4">
        <v>711</v>
      </c>
      <c r="GF2031" s="4">
        <v>709</v>
      </c>
      <c r="GG2031" s="4">
        <v>707</v>
      </c>
      <c r="GH2031" s="4">
        <v>705</v>
      </c>
      <c r="GI2031" s="4">
        <v>703</v>
      </c>
      <c r="GJ2031" s="4">
        <v>701</v>
      </c>
      <c r="GK2031" s="4">
        <v>699</v>
      </c>
      <c r="GL2031" s="4">
        <v>697</v>
      </c>
      <c r="GM2031" s="4">
        <v>695</v>
      </c>
      <c r="GN2031" s="4">
        <v>692</v>
      </c>
      <c r="GO2031" s="4">
        <v>689</v>
      </c>
      <c r="GP2031" s="4">
        <v>685</v>
      </c>
      <c r="GQ2031" s="4">
        <v>679</v>
      </c>
      <c r="GR2031" s="4">
        <v>675</v>
      </c>
      <c r="GS2031" s="4">
        <v>672</v>
      </c>
      <c r="GT2031" s="4">
        <v>670</v>
      </c>
      <c r="GU2031" s="4">
        <v>668</v>
      </c>
      <c r="GV2031" s="4">
        <v>666</v>
      </c>
      <c r="GW2031" s="4">
        <v>664</v>
      </c>
      <c r="GX2031" s="4">
        <v>662</v>
      </c>
      <c r="GY2031" s="4">
        <v>660</v>
      </c>
      <c r="GZ2031" s="4">
        <v>658</v>
      </c>
      <c r="HA2031" s="4">
        <v>656</v>
      </c>
      <c r="HB2031" s="4">
        <v>654</v>
      </c>
      <c r="HC2031" s="4">
        <v>652</v>
      </c>
      <c r="HD2031" s="19">
        <v>58</v>
      </c>
      <c r="HE2031" s="19">
        <v>85.5</v>
      </c>
      <c r="HF2031" s="19">
        <v>85</v>
      </c>
      <c r="HG2031" s="19">
        <v>84.5</v>
      </c>
      <c r="HH2031" s="19">
        <v>84</v>
      </c>
      <c r="HI2031" s="19">
        <v>83.5</v>
      </c>
      <c r="HJ2031" s="19">
        <v>83</v>
      </c>
      <c r="HK2031" s="19">
        <v>82.5</v>
      </c>
      <c r="HL2031" s="19">
        <v>54.7</v>
      </c>
      <c r="HM2031" s="19">
        <v>40.8</v>
      </c>
      <c r="HN2031" s="19">
        <v>40.4</v>
      </c>
      <c r="HO2031" s="19">
        <v>40</v>
      </c>
      <c r="HP2031" s="19">
        <v>39.5</v>
      </c>
      <c r="HQ2031" s="19">
        <v>51.7</v>
      </c>
      <c r="HR2031" s="19">
        <v>76.5</v>
      </c>
      <c r="HS2031" s="19">
        <v>75.8</v>
      </c>
      <c r="HT2031" s="19">
        <v>75.3</v>
      </c>
      <c r="HU2031" s="19">
        <v>74.8</v>
      </c>
      <c r="HV2031" s="19">
        <v>74.3</v>
      </c>
      <c r="HW2031" s="19">
        <v>73.8</v>
      </c>
      <c r="HX2031" s="19">
        <v>73.3</v>
      </c>
      <c r="HY2031" s="19">
        <v>72.8</v>
      </c>
      <c r="HZ2031" s="19">
        <v>72.3</v>
      </c>
      <c r="IA2031" s="19">
        <v>71.8</v>
      </c>
      <c r="IB2031" s="19">
        <v>71.3</v>
      </c>
      <c r="IC2031" s="19">
        <v>70.8</v>
      </c>
    </row>
    <row r="2032">
      <c r="A2032" s="2" t="s">
        <v>7328</v>
      </c>
      <c r="B2032" s="2" t="s">
        <v>871</v>
      </c>
      <c r="C2032" s="2" t="s">
        <v>606</v>
      </c>
      <c r="D2032" s="2" t="s">
        <v>4227</v>
      </c>
      <c r="E2032" s="2" t="s">
        <v>4228</v>
      </c>
      <c r="F2032" s="2" t="s">
        <v>7320</v>
      </c>
      <c r="G2032" s="2" t="s">
        <v>7321</v>
      </c>
      <c r="H2032" s="2" t="s">
        <v>7322</v>
      </c>
      <c r="I2032" s="2" t="s">
        <v>7323</v>
      </c>
      <c r="J2032" s="2" t="s">
        <v>270</v>
      </c>
      <c r="K2032" s="2" t="s">
        <v>231</v>
      </c>
      <c r="L2032" s="3">
        <v>23.8</v>
      </c>
      <c r="M2032" s="3">
        <v>24.99</v>
      </c>
      <c r="N2032" s="3">
        <v>49.99</v>
      </c>
      <c r="O2032" s="2" t="s">
        <v>232</v>
      </c>
      <c r="P2032" s="2" t="s">
        <v>878</v>
      </c>
      <c r="Q2032" s="2" t="s">
        <v>234</v>
      </c>
      <c r="R2032" s="2" t="s">
        <v>235</v>
      </c>
      <c r="S2032" s="2" t="s">
        <v>235</v>
      </c>
      <c r="T2032" s="2" t="s">
        <v>879</v>
      </c>
      <c r="U2032" s="2" t="s">
        <v>552</v>
      </c>
      <c r="V2032" s="2" t="s">
        <v>986</v>
      </c>
      <c r="W2032" s="2" t="s">
        <v>986</v>
      </c>
      <c r="X2032" s="2" t="s">
        <v>986</v>
      </c>
      <c r="Y2032" s="2" t="s">
        <v>2270</v>
      </c>
      <c r="Z2032" s="4">
        <v>463</v>
      </c>
      <c r="AA2032" s="4">
        <f>=ROUNDDOWN(178.076923076923,0)</f>
      </c>
      <c r="AB2032" s="5">
        <v>2.6</v>
      </c>
      <c r="AC2032" s="2" t="s">
        <v>235</v>
      </c>
      <c r="AD2032" s="4"/>
      <c r="AE2032" s="4"/>
      <c r="AF2032" s="6">
        <v>64</v>
      </c>
      <c r="AG2032" s="6">
        <v>47</v>
      </c>
      <c r="AH2032" s="7">
        <v>1</v>
      </c>
      <c r="AI2032" s="4"/>
      <c r="AJ2032" s="4">
        <f>=ROUNDDOWN({0},0)</f>
      </c>
      <c r="AK2032" s="5"/>
      <c r="AL2032" s="2" t="s">
        <v>235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235</v>
      </c>
      <c r="AW2032" s="8" t="s">
        <v>235</v>
      </c>
      <c r="AX2032" s="4" t="s">
        <v>235</v>
      </c>
      <c r="AY2032" s="8" t="s">
        <v>235</v>
      </c>
      <c r="AZ2032" s="7" t="s">
        <v>235</v>
      </c>
      <c r="BA2032" s="7" t="s">
        <v>235</v>
      </c>
      <c r="BB2032" s="7"/>
      <c r="BC2032" s="4" t="s">
        <v>235</v>
      </c>
      <c r="BD2032" s="8" t="s">
        <v>235</v>
      </c>
      <c r="BE2032" s="4" t="s">
        <v>235</v>
      </c>
      <c r="BF2032" s="8" t="s">
        <v>235</v>
      </c>
      <c r="BG2032" s="7" t="s">
        <v>235</v>
      </c>
      <c r="BH2032" s="7" t="s">
        <v>235</v>
      </c>
      <c r="BI2032" s="7"/>
      <c r="BJ2032" s="4">
        <v>20</v>
      </c>
      <c r="BK2032" s="8">
        <v>828.32</v>
      </c>
      <c r="BL2032" s="2" t="s">
        <v>7327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7325</v>
      </c>
      <c r="BV2032" s="2" t="s">
        <v>235</v>
      </c>
      <c r="BW2032" s="2" t="s">
        <v>235</v>
      </c>
      <c r="BX2032" s="2" t="s">
        <v>619</v>
      </c>
      <c r="BY2032" s="2" t="s">
        <v>245</v>
      </c>
      <c r="BZ2032" s="2" t="s">
        <v>232</v>
      </c>
      <c r="CA2032" s="2" t="s">
        <v>235</v>
      </c>
      <c r="CB2032" s="2" t="s">
        <v>235</v>
      </c>
      <c r="CC2032" s="2" t="s">
        <v>248</v>
      </c>
      <c r="CD2032" s="2" t="s">
        <v>248</v>
      </c>
      <c r="CE2032" s="2" t="s">
        <v>235</v>
      </c>
      <c r="CF2032" s="4">
        <v>235</v>
      </c>
      <c r="CG2032" s="4"/>
      <c r="CH2032" s="4"/>
      <c r="CI2032" s="4">
        <v>228</v>
      </c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>
        <v>463</v>
      </c>
      <c r="GE2032" s="4">
        <v>453</v>
      </c>
      <c r="GF2032" s="4">
        <v>446</v>
      </c>
      <c r="GG2032" s="4">
        <v>439</v>
      </c>
      <c r="GH2032" s="4">
        <v>432</v>
      </c>
      <c r="GI2032" s="4">
        <v>425</v>
      </c>
      <c r="GJ2032" s="4">
        <v>418</v>
      </c>
      <c r="GK2032" s="4">
        <v>411</v>
      </c>
      <c r="GL2032" s="4">
        <v>404</v>
      </c>
      <c r="GM2032" s="4">
        <v>397</v>
      </c>
      <c r="GN2032" s="4">
        <v>388</v>
      </c>
      <c r="GO2032" s="4">
        <v>379</v>
      </c>
      <c r="GP2032" s="4">
        <v>367</v>
      </c>
      <c r="GQ2032" s="4">
        <v>351</v>
      </c>
      <c r="GR2032" s="4">
        <v>339</v>
      </c>
      <c r="GS2032" s="4">
        <v>328</v>
      </c>
      <c r="GT2032" s="4">
        <v>321</v>
      </c>
      <c r="GU2032" s="4">
        <v>314</v>
      </c>
      <c r="GV2032" s="4">
        <v>307</v>
      </c>
      <c r="GW2032" s="4">
        <v>300</v>
      </c>
      <c r="GX2032" s="4">
        <v>293</v>
      </c>
      <c r="GY2032" s="4">
        <v>286</v>
      </c>
      <c r="GZ2032" s="4">
        <v>279</v>
      </c>
      <c r="HA2032" s="4">
        <v>272</v>
      </c>
      <c r="HB2032" s="4">
        <v>265</v>
      </c>
      <c r="HC2032" s="4">
        <v>256</v>
      </c>
      <c r="HD2032" s="19">
        <v>57.9</v>
      </c>
      <c r="HE2032" s="19">
        <v>66.3</v>
      </c>
      <c r="HF2032" s="19">
        <v>65.3</v>
      </c>
      <c r="HG2032" s="19">
        <v>64.3</v>
      </c>
      <c r="HH2032" s="19">
        <v>63.3</v>
      </c>
      <c r="HI2032" s="19">
        <v>62.3</v>
      </c>
      <c r="HJ2032" s="19">
        <v>61.3</v>
      </c>
      <c r="HK2032" s="19">
        <v>51.4</v>
      </c>
      <c r="HL2032" s="19">
        <v>45.7</v>
      </c>
      <c r="HM2032" s="19">
        <v>36.5</v>
      </c>
      <c r="HN2032" s="19">
        <v>33.5</v>
      </c>
      <c r="HO2032" s="19">
        <v>29.5</v>
      </c>
      <c r="HP2032" s="19">
        <v>33.8</v>
      </c>
      <c r="HQ2032" s="19">
        <v>39.8</v>
      </c>
      <c r="HR2032" s="19">
        <v>42.4</v>
      </c>
      <c r="HS2032" s="19">
        <v>48.4</v>
      </c>
      <c r="HT2032" s="19">
        <v>47.4</v>
      </c>
      <c r="HU2032" s="19">
        <v>46.4</v>
      </c>
      <c r="HV2032" s="19">
        <v>45.4</v>
      </c>
      <c r="HW2032" s="19">
        <v>44.4</v>
      </c>
      <c r="HX2032" s="19">
        <v>43.4</v>
      </c>
      <c r="HY2032" s="19">
        <v>42.4</v>
      </c>
      <c r="HZ2032" s="19">
        <v>41.4</v>
      </c>
      <c r="IA2032" s="19">
        <v>40.4</v>
      </c>
      <c r="IB2032" s="19">
        <v>39.4</v>
      </c>
      <c r="IC2032" s="19">
        <v>38.1</v>
      </c>
    </row>
    <row r="2033">
      <c r="A2033" s="2" t="s">
        <v>7329</v>
      </c>
      <c r="B2033" s="2" t="s">
        <v>871</v>
      </c>
      <c r="C2033" s="2" t="s">
        <v>606</v>
      </c>
      <c r="D2033" s="2" t="s">
        <v>4227</v>
      </c>
      <c r="E2033" s="2" t="s">
        <v>4228</v>
      </c>
      <c r="F2033" s="2" t="s">
        <v>7320</v>
      </c>
      <c r="G2033" s="2" t="s">
        <v>7321</v>
      </c>
      <c r="H2033" s="2" t="s">
        <v>7322</v>
      </c>
      <c r="I2033" s="2" t="s">
        <v>7323</v>
      </c>
      <c r="J2033" s="2" t="s">
        <v>365</v>
      </c>
      <c r="K2033" s="2" t="s">
        <v>889</v>
      </c>
      <c r="L2033" s="3">
        <v>21.42</v>
      </c>
      <c r="M2033" s="3">
        <v>22.49</v>
      </c>
      <c r="N2033" s="3">
        <v>44.99</v>
      </c>
      <c r="O2033" s="2" t="s">
        <v>232</v>
      </c>
      <c r="P2033" s="2" t="s">
        <v>878</v>
      </c>
      <c r="Q2033" s="2" t="s">
        <v>234</v>
      </c>
      <c r="R2033" s="2" t="s">
        <v>235</v>
      </c>
      <c r="S2033" s="2" t="s">
        <v>235</v>
      </c>
      <c r="T2033" s="2" t="s">
        <v>879</v>
      </c>
      <c r="U2033" s="2" t="s">
        <v>552</v>
      </c>
      <c r="V2033" s="2" t="s">
        <v>986</v>
      </c>
      <c r="W2033" s="2" t="s">
        <v>986</v>
      </c>
      <c r="X2033" s="2" t="s">
        <v>986</v>
      </c>
      <c r="Y2033" s="2" t="s">
        <v>4811</v>
      </c>
      <c r="Z2033" s="4">
        <v>429</v>
      </c>
      <c r="AA2033" s="4">
        <f>=ROUNDDOWN(252.352941176471,0)</f>
      </c>
      <c r="AB2033" s="5">
        <v>1.7</v>
      </c>
      <c r="AC2033" s="2" t="s">
        <v>235</v>
      </c>
      <c r="AD2033" s="4"/>
      <c r="AE2033" s="4"/>
      <c r="AF2033" s="6">
        <v>64</v>
      </c>
      <c r="AG2033" s="6">
        <v>47</v>
      </c>
      <c r="AH2033" s="7">
        <v>1</v>
      </c>
      <c r="AI2033" s="4"/>
      <c r="AJ2033" s="4">
        <f>=ROUNDDOWN({0},0)</f>
      </c>
      <c r="AK2033" s="5"/>
      <c r="AL2033" s="2" t="s">
        <v>235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235</v>
      </c>
      <c r="AW2033" s="8" t="s">
        <v>235</v>
      </c>
      <c r="AX2033" s="4" t="s">
        <v>235</v>
      </c>
      <c r="AY2033" s="8" t="s">
        <v>235</v>
      </c>
      <c r="AZ2033" s="7" t="s">
        <v>235</v>
      </c>
      <c r="BA2033" s="7" t="s">
        <v>235</v>
      </c>
      <c r="BB2033" s="7"/>
      <c r="BC2033" s="4" t="s">
        <v>235</v>
      </c>
      <c r="BD2033" s="8" t="s">
        <v>235</v>
      </c>
      <c r="BE2033" s="4" t="s">
        <v>235</v>
      </c>
      <c r="BF2033" s="8" t="s">
        <v>235</v>
      </c>
      <c r="BG2033" s="7" t="s">
        <v>235</v>
      </c>
      <c r="BH2033" s="7" t="s">
        <v>235</v>
      </c>
      <c r="BI2033" s="7"/>
      <c r="BJ2033" s="4">
        <v>79</v>
      </c>
      <c r="BK2033" s="8">
        <v>2520.1</v>
      </c>
      <c r="BL2033" s="2" t="s">
        <v>2683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7325</v>
      </c>
      <c r="BV2033" s="2" t="s">
        <v>235</v>
      </c>
      <c r="BW2033" s="2" t="s">
        <v>235</v>
      </c>
      <c r="BX2033" s="2" t="s">
        <v>619</v>
      </c>
      <c r="BY2033" s="2" t="s">
        <v>245</v>
      </c>
      <c r="BZ2033" s="2" t="s">
        <v>232</v>
      </c>
      <c r="CA2033" s="2" t="s">
        <v>235</v>
      </c>
      <c r="CB2033" s="2" t="s">
        <v>235</v>
      </c>
      <c r="CC2033" s="2" t="s">
        <v>248</v>
      </c>
      <c r="CD2033" s="2" t="s">
        <v>248</v>
      </c>
      <c r="CE2033" s="2" t="s">
        <v>235</v>
      </c>
      <c r="CF2033" s="4">
        <v>170</v>
      </c>
      <c r="CG2033" s="4"/>
      <c r="CH2033" s="4"/>
      <c r="CI2033" s="4">
        <v>259</v>
      </c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>
        <v>431</v>
      </c>
      <c r="GE2033" s="4">
        <v>412</v>
      </c>
      <c r="GF2033" s="4">
        <v>396</v>
      </c>
      <c r="GG2033" s="4">
        <v>380</v>
      </c>
      <c r="GH2033" s="4">
        <v>364</v>
      </c>
      <c r="GI2033" s="4">
        <v>348</v>
      </c>
      <c r="GJ2033" s="4">
        <v>332</v>
      </c>
      <c r="GK2033" s="4">
        <v>316</v>
      </c>
      <c r="GL2033" s="4">
        <v>300</v>
      </c>
      <c r="GM2033" s="4">
        <v>284</v>
      </c>
      <c r="GN2033" s="4">
        <v>261</v>
      </c>
      <c r="GO2033" s="4">
        <v>236</v>
      </c>
      <c r="GP2033" s="4">
        <v>203</v>
      </c>
      <c r="GQ2033" s="4">
        <v>159</v>
      </c>
      <c r="GR2033" s="4">
        <v>132</v>
      </c>
      <c r="GS2033" s="4">
        <v>297</v>
      </c>
      <c r="GT2033" s="4">
        <v>281</v>
      </c>
      <c r="GU2033" s="4">
        <v>265</v>
      </c>
      <c r="GV2033" s="4">
        <v>1151</v>
      </c>
      <c r="GW2033" s="4">
        <v>1135</v>
      </c>
      <c r="GX2033" s="4">
        <v>1119</v>
      </c>
      <c r="GY2033" s="4">
        <v>1103</v>
      </c>
      <c r="GZ2033" s="4">
        <v>1087</v>
      </c>
      <c r="HA2033" s="4">
        <v>1071</v>
      </c>
      <c r="HB2033" s="4">
        <v>1055</v>
      </c>
      <c r="HC2033" s="4">
        <v>1036</v>
      </c>
      <c r="HD2033" s="19">
        <v>39.8</v>
      </c>
      <c r="HE2033" s="19">
        <v>38.5</v>
      </c>
      <c r="HF2033" s="19">
        <v>37.5</v>
      </c>
      <c r="HG2033" s="19">
        <v>36.5</v>
      </c>
      <c r="HH2033" s="19">
        <v>35.5</v>
      </c>
      <c r="HI2033" s="19">
        <v>34.5</v>
      </c>
      <c r="HJ2033" s="19">
        <v>33.2</v>
      </c>
      <c r="HK2033" s="19">
        <v>26</v>
      </c>
      <c r="HL2033" s="19">
        <v>21</v>
      </c>
      <c r="HM2033" s="19">
        <v>8.9</v>
      </c>
      <c r="HN2033" s="19">
        <v>6.8</v>
      </c>
      <c r="HO2033" s="19">
        <v>5.6</v>
      </c>
      <c r="HP2033" s="19">
        <v>3.8</v>
      </c>
      <c r="HQ2033" s="19">
        <v>4</v>
      </c>
      <c r="HR2033" s="19">
        <v>3.7</v>
      </c>
      <c r="HS2033" s="19">
        <v>11.4</v>
      </c>
      <c r="HT2033" s="19">
        <v>14.1</v>
      </c>
      <c r="HU2033" s="19">
        <v>19</v>
      </c>
      <c r="HV2033" s="19">
        <v>68.8</v>
      </c>
      <c r="HW2033" s="19">
        <v>67.8</v>
      </c>
      <c r="HX2033" s="19">
        <v>66.8</v>
      </c>
      <c r="HY2033" s="19">
        <v>65.8</v>
      </c>
      <c r="HZ2033" s="19">
        <v>64.8</v>
      </c>
      <c r="IA2033" s="19">
        <v>63.8</v>
      </c>
      <c r="IB2033" s="19">
        <v>62.8</v>
      </c>
      <c r="IC2033" s="19">
        <v>61.5</v>
      </c>
    </row>
    <row r="2034">
      <c r="A2034" s="2" t="s">
        <v>7330</v>
      </c>
      <c r="B2034" s="2" t="s">
        <v>871</v>
      </c>
      <c r="C2034" s="2" t="s">
        <v>606</v>
      </c>
      <c r="D2034" s="2" t="s">
        <v>4227</v>
      </c>
      <c r="E2034" s="2" t="s">
        <v>4228</v>
      </c>
      <c r="F2034" s="2" t="s">
        <v>7320</v>
      </c>
      <c r="G2034" s="2" t="s">
        <v>7321</v>
      </c>
      <c r="H2034" s="2" t="s">
        <v>7322</v>
      </c>
      <c r="I2034" s="2" t="s">
        <v>7323</v>
      </c>
      <c r="J2034" s="2" t="s">
        <v>270</v>
      </c>
      <c r="K2034" s="2" t="s">
        <v>889</v>
      </c>
      <c r="L2034" s="3">
        <v>23.8</v>
      </c>
      <c r="M2034" s="3">
        <v>24.99</v>
      </c>
      <c r="N2034" s="3">
        <v>49.99</v>
      </c>
      <c r="O2034" s="2" t="s">
        <v>232</v>
      </c>
      <c r="P2034" s="2" t="s">
        <v>878</v>
      </c>
      <c r="Q2034" s="2" t="s">
        <v>234</v>
      </c>
      <c r="R2034" s="2" t="s">
        <v>235</v>
      </c>
      <c r="S2034" s="2" t="s">
        <v>235</v>
      </c>
      <c r="T2034" s="2" t="s">
        <v>879</v>
      </c>
      <c r="U2034" s="2" t="s">
        <v>552</v>
      </c>
      <c r="V2034" s="2" t="s">
        <v>986</v>
      </c>
      <c r="W2034" s="2" t="s">
        <v>986</v>
      </c>
      <c r="X2034" s="2" t="s">
        <v>986</v>
      </c>
      <c r="Y2034" s="2" t="s">
        <v>4811</v>
      </c>
      <c r="Z2034" s="4">
        <v>227</v>
      </c>
      <c r="AA2034" s="4">
        <f>=ROUNDDOWN(58.2051282051282,0)</f>
      </c>
      <c r="AB2034" s="5">
        <v>3.9</v>
      </c>
      <c r="AC2034" s="2" t="s">
        <v>235</v>
      </c>
      <c r="AD2034" s="4"/>
      <c r="AE2034" s="4"/>
      <c r="AF2034" s="6">
        <v>64</v>
      </c>
      <c r="AG2034" s="6">
        <v>47</v>
      </c>
      <c r="AH2034" s="7">
        <v>1</v>
      </c>
      <c r="AI2034" s="4"/>
      <c r="AJ2034" s="4">
        <f>=ROUNDDOWN({0},0)</f>
      </c>
      <c r="AK2034" s="5"/>
      <c r="AL2034" s="2" t="s">
        <v>235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235</v>
      </c>
      <c r="AW2034" s="8" t="s">
        <v>235</v>
      </c>
      <c r="AX2034" s="4" t="s">
        <v>235</v>
      </c>
      <c r="AY2034" s="8" t="s">
        <v>235</v>
      </c>
      <c r="AZ2034" s="7" t="s">
        <v>235</v>
      </c>
      <c r="BA2034" s="7" t="s">
        <v>235</v>
      </c>
      <c r="BB2034" s="7"/>
      <c r="BC2034" s="4" t="s">
        <v>235</v>
      </c>
      <c r="BD2034" s="8" t="s">
        <v>235</v>
      </c>
      <c r="BE2034" s="4" t="s">
        <v>235</v>
      </c>
      <c r="BF2034" s="8" t="s">
        <v>235</v>
      </c>
      <c r="BG2034" s="7" t="s">
        <v>235</v>
      </c>
      <c r="BH2034" s="7" t="s">
        <v>235</v>
      </c>
      <c r="BI2034" s="7"/>
      <c r="BJ2034" s="4">
        <v>85</v>
      </c>
      <c r="BK2034" s="8">
        <v>3077.37</v>
      </c>
      <c r="BL2034" s="2" t="s">
        <v>7324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7325</v>
      </c>
      <c r="BV2034" s="2" t="s">
        <v>235</v>
      </c>
      <c r="BW2034" s="2" t="s">
        <v>235</v>
      </c>
      <c r="BX2034" s="2" t="s">
        <v>619</v>
      </c>
      <c r="BY2034" s="2" t="s">
        <v>245</v>
      </c>
      <c r="BZ2034" s="2" t="s">
        <v>232</v>
      </c>
      <c r="CA2034" s="2" t="s">
        <v>235</v>
      </c>
      <c r="CB2034" s="2" t="s">
        <v>235</v>
      </c>
      <c r="CC2034" s="2" t="s">
        <v>248</v>
      </c>
      <c r="CD2034" s="2" t="s">
        <v>248</v>
      </c>
      <c r="CE2034" s="2" t="s">
        <v>235</v>
      </c>
      <c r="CF2034" s="4">
        <v>91</v>
      </c>
      <c r="CG2034" s="4"/>
      <c r="CH2034" s="4"/>
      <c r="CI2034" s="4">
        <v>136</v>
      </c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>
        <v>227</v>
      </c>
      <c r="GE2034" s="4">
        <v>222</v>
      </c>
      <c r="GF2034" s="4">
        <v>218</v>
      </c>
      <c r="GG2034" s="4">
        <v>214</v>
      </c>
      <c r="GH2034" s="4">
        <v>210</v>
      </c>
      <c r="GI2034" s="4">
        <v>206</v>
      </c>
      <c r="GJ2034" s="4">
        <v>202</v>
      </c>
      <c r="GK2034" s="4">
        <v>198</v>
      </c>
      <c r="GL2034" s="4">
        <v>194</v>
      </c>
      <c r="GM2034" s="4">
        <v>190</v>
      </c>
      <c r="GN2034" s="4">
        <v>185</v>
      </c>
      <c r="GO2034" s="4">
        <v>180</v>
      </c>
      <c r="GP2034" s="4">
        <v>173</v>
      </c>
      <c r="GQ2034" s="4">
        <v>164</v>
      </c>
      <c r="GR2034" s="4">
        <v>157</v>
      </c>
      <c r="GS2034" s="4">
        <v>151</v>
      </c>
      <c r="GT2034" s="4">
        <v>147</v>
      </c>
      <c r="GU2034" s="4">
        <v>143</v>
      </c>
      <c r="GV2034" s="4">
        <v>483</v>
      </c>
      <c r="GW2034" s="4">
        <v>479</v>
      </c>
      <c r="GX2034" s="4">
        <v>473</v>
      </c>
      <c r="GY2034" s="4">
        <v>466</v>
      </c>
      <c r="GZ2034" s="4">
        <v>459</v>
      </c>
      <c r="HA2034" s="4">
        <v>452</v>
      </c>
      <c r="HB2034" s="4">
        <v>445</v>
      </c>
      <c r="HC2034" s="4">
        <v>437</v>
      </c>
      <c r="HD2034" s="19">
        <v>11.4</v>
      </c>
      <c r="HE2034" s="19">
        <v>10.8</v>
      </c>
      <c r="HF2034" s="19">
        <v>10.3</v>
      </c>
      <c r="HG2034" s="19">
        <v>9.8</v>
      </c>
      <c r="HH2034" s="19">
        <v>9.3</v>
      </c>
      <c r="HI2034" s="19">
        <v>8.8</v>
      </c>
      <c r="HJ2034" s="19">
        <v>8.3</v>
      </c>
      <c r="HK2034" s="19">
        <v>7.8</v>
      </c>
      <c r="HL2034" s="19">
        <v>5.8</v>
      </c>
      <c r="HM2034" s="19">
        <v>4.5</v>
      </c>
      <c r="HN2034" s="19">
        <v>3.5</v>
      </c>
      <c r="HO2034" s="19">
        <v>3.2</v>
      </c>
      <c r="HP2034" s="19">
        <v>3.1</v>
      </c>
      <c r="HQ2034" s="19">
        <v>2.8</v>
      </c>
      <c r="HR2034" s="19">
        <v>2.7</v>
      </c>
      <c r="HS2034" s="19">
        <v>1.9</v>
      </c>
      <c r="HT2034" s="19">
        <v>1.4</v>
      </c>
      <c r="HU2034" s="19">
        <v>0.7</v>
      </c>
      <c r="HV2034" s="19">
        <v>28.9</v>
      </c>
      <c r="HW2034" s="19">
        <v>96.6</v>
      </c>
      <c r="HX2034" s="19">
        <v>96.1</v>
      </c>
      <c r="HY2034" s="19">
        <v>95.1</v>
      </c>
      <c r="HZ2034" s="19">
        <v>94.1</v>
      </c>
      <c r="IA2034" s="19">
        <v>93.1</v>
      </c>
      <c r="IB2034" s="19">
        <v>92.1</v>
      </c>
      <c r="IC2034" s="19">
        <v>91</v>
      </c>
    </row>
    <row r="2035">
      <c r="A2035" s="2" t="s">
        <v>7331</v>
      </c>
      <c r="B2035" s="2" t="s">
        <v>800</v>
      </c>
      <c r="C2035" s="2" t="s">
        <v>893</v>
      </c>
      <c r="D2035" s="2" t="s">
        <v>960</v>
      </c>
      <c r="E2035" s="2" t="s">
        <v>961</v>
      </c>
      <c r="F2035" s="2" t="s">
        <v>7332</v>
      </c>
      <c r="G2035" s="2" t="s">
        <v>7332</v>
      </c>
      <c r="H2035" s="2" t="s">
        <v>7332</v>
      </c>
      <c r="I2035" s="2" t="s">
        <v>7333</v>
      </c>
      <c r="J2035" s="2" t="s">
        <v>897</v>
      </c>
      <c r="K2035" s="2" t="s">
        <v>316</v>
      </c>
      <c r="L2035" s="3">
        <v>52.8</v>
      </c>
      <c r="M2035" s="3">
        <v>55.44</v>
      </c>
      <c r="N2035" s="3">
        <v>92.49</v>
      </c>
      <c r="O2035" s="2" t="s">
        <v>232</v>
      </c>
      <c r="P2035" s="2" t="s">
        <v>336</v>
      </c>
      <c r="Q2035" s="2" t="s">
        <v>234</v>
      </c>
      <c r="R2035" s="2" t="s">
        <v>235</v>
      </c>
      <c r="S2035" s="2" t="s">
        <v>235</v>
      </c>
      <c r="T2035" s="2" t="s">
        <v>235</v>
      </c>
      <c r="U2035" s="2" t="s">
        <v>807</v>
      </c>
      <c r="V2035" s="2" t="s">
        <v>808</v>
      </c>
      <c r="W2035" s="2" t="s">
        <v>682</v>
      </c>
      <c r="X2035" s="2" t="s">
        <v>239</v>
      </c>
      <c r="Y2035" s="2" t="s">
        <v>1536</v>
      </c>
      <c r="Z2035" s="4">
        <v>117</v>
      </c>
      <c r="AA2035" s="4">
        <f>=ROUNDDOWN(10.6363636363636,0)</f>
      </c>
      <c r="AB2035" s="5">
        <v>11</v>
      </c>
      <c r="AC2035" s="2" t="s">
        <v>161</v>
      </c>
      <c r="AD2035" s="4">
        <v>100</v>
      </c>
      <c r="AE2035" s="4">
        <v>100</v>
      </c>
      <c r="AF2035" s="6">
        <v>64</v>
      </c>
      <c r="AG2035" s="6"/>
      <c r="AH2035" s="7">
        <v>0.6129</v>
      </c>
      <c r="AI2035" s="4"/>
      <c r="AJ2035" s="4">
        <f>=ROUNDDOWN({0},0)</f>
      </c>
      <c r="AK2035" s="5"/>
      <c r="AL2035" s="2" t="s">
        <v>235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>
        <v>5</v>
      </c>
      <c r="BK2035" s="8">
        <v>314.65</v>
      </c>
      <c r="BL2035" s="2" t="s">
        <v>2401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7334</v>
      </c>
      <c r="BV2035" s="2" t="s">
        <v>813</v>
      </c>
      <c r="BW2035" s="2" t="s">
        <v>235</v>
      </c>
      <c r="BX2035" s="2" t="s">
        <v>244</v>
      </c>
      <c r="BY2035" s="2" t="s">
        <v>245</v>
      </c>
      <c r="BZ2035" s="2" t="s">
        <v>232</v>
      </c>
      <c r="CA2035" s="2" t="s">
        <v>1193</v>
      </c>
      <c r="CB2035" s="2" t="s">
        <v>1982</v>
      </c>
      <c r="CC2035" s="2" t="s">
        <v>248</v>
      </c>
      <c r="CD2035" s="2" t="s">
        <v>248</v>
      </c>
      <c r="CE2035" s="2" t="s">
        <v>235</v>
      </c>
      <c r="CF2035" s="4"/>
      <c r="CG2035" s="4">
        <v>117</v>
      </c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>
        <v>100</v>
      </c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>
        <v>121</v>
      </c>
      <c r="GE2035" s="4">
        <v>106</v>
      </c>
      <c r="GF2035" s="4">
        <v>95</v>
      </c>
      <c r="GG2035" s="4">
        <v>84</v>
      </c>
      <c r="GH2035" s="4">
        <v>73</v>
      </c>
      <c r="GI2035" s="4">
        <v>62</v>
      </c>
      <c r="GJ2035" s="4">
        <v>151</v>
      </c>
      <c r="GK2035" s="4">
        <v>140</v>
      </c>
      <c r="GL2035" s="4">
        <v>129</v>
      </c>
      <c r="GM2035" s="4">
        <v>117</v>
      </c>
      <c r="GN2035" s="4">
        <v>105</v>
      </c>
      <c r="GO2035" s="4">
        <v>92</v>
      </c>
      <c r="GP2035" s="4">
        <v>78</v>
      </c>
      <c r="GQ2035" s="4">
        <v>66</v>
      </c>
      <c r="GR2035" s="4">
        <v>54</v>
      </c>
      <c r="GS2035" s="4">
        <v>40</v>
      </c>
      <c r="GT2035" s="4">
        <v>28</v>
      </c>
      <c r="GU2035" s="4">
        <v>16</v>
      </c>
      <c r="GV2035" s="4">
        <v>156</v>
      </c>
      <c r="GW2035" s="4">
        <v>145</v>
      </c>
      <c r="GX2035" s="4">
        <v>134</v>
      </c>
      <c r="GY2035" s="4">
        <v>123</v>
      </c>
      <c r="GZ2035" s="4">
        <v>112</v>
      </c>
      <c r="HA2035" s="4">
        <v>101</v>
      </c>
      <c r="HB2035" s="4">
        <v>90</v>
      </c>
      <c r="HC2035" s="4">
        <v>77</v>
      </c>
      <c r="HD2035" s="19">
        <v>10.1</v>
      </c>
      <c r="HE2035" s="19">
        <v>9.6</v>
      </c>
      <c r="HF2035" s="19">
        <v>8.6</v>
      </c>
      <c r="HG2035" s="19">
        <v>7.6</v>
      </c>
      <c r="HH2035" s="19">
        <v>6.6</v>
      </c>
      <c r="HI2035" s="19">
        <v>5.6</v>
      </c>
      <c r="HJ2035" s="19">
        <v>12.6</v>
      </c>
      <c r="HK2035" s="19">
        <v>11.7</v>
      </c>
      <c r="HL2035" s="19">
        <v>9.9</v>
      </c>
      <c r="HM2035" s="19">
        <v>9</v>
      </c>
      <c r="HN2035" s="19">
        <v>8.1</v>
      </c>
      <c r="HO2035" s="19">
        <v>7.1</v>
      </c>
      <c r="HP2035" s="19">
        <v>6.5</v>
      </c>
      <c r="HQ2035" s="19">
        <v>5.5</v>
      </c>
      <c r="HR2035" s="19">
        <v>4.5</v>
      </c>
      <c r="HS2035" s="19">
        <v>3.3</v>
      </c>
      <c r="HT2035" s="19">
        <v>2.5</v>
      </c>
      <c r="HU2035" s="19">
        <v>1.5</v>
      </c>
      <c r="HV2035" s="19">
        <v>14.2</v>
      </c>
      <c r="HW2035" s="19">
        <v>13.2</v>
      </c>
      <c r="HX2035" s="19">
        <v>12.2</v>
      </c>
      <c r="HY2035" s="19">
        <v>10.3</v>
      </c>
      <c r="HZ2035" s="19">
        <v>9.3</v>
      </c>
      <c r="IA2035" s="19">
        <v>8.4</v>
      </c>
      <c r="IB2035" s="19">
        <v>7.5</v>
      </c>
      <c r="IC2035" s="19">
        <v>7</v>
      </c>
    </row>
    <row r="2036">
      <c r="A2036" s="2" t="s">
        <v>7335</v>
      </c>
      <c r="B2036" s="2" t="s">
        <v>905</v>
      </c>
      <c r="C2036" s="2" t="s">
        <v>853</v>
      </c>
      <c r="D2036" s="2" t="s">
        <v>361</v>
      </c>
      <c r="E2036" s="2" t="s">
        <v>924</v>
      </c>
      <c r="F2036" s="2" t="s">
        <v>7336</v>
      </c>
      <c r="G2036" s="2" t="s">
        <v>7336</v>
      </c>
      <c r="H2036" s="2" t="s">
        <v>7336</v>
      </c>
      <c r="I2036" s="2" t="s">
        <v>7337</v>
      </c>
      <c r="J2036" s="2" t="s">
        <v>394</v>
      </c>
      <c r="K2036" s="2" t="s">
        <v>567</v>
      </c>
      <c r="L2036" s="3">
        <v>33.33</v>
      </c>
      <c r="M2036" s="3">
        <v>35</v>
      </c>
      <c r="N2036" s="3">
        <v>69.99</v>
      </c>
      <c r="O2036" s="2" t="s">
        <v>407</v>
      </c>
      <c r="P2036" s="2" t="s">
        <v>408</v>
      </c>
      <c r="Q2036" s="2" t="s">
        <v>234</v>
      </c>
      <c r="R2036" s="2" t="s">
        <v>235</v>
      </c>
      <c r="S2036" s="2" t="s">
        <v>7338</v>
      </c>
      <c r="T2036" s="2" t="s">
        <v>2541</v>
      </c>
      <c r="U2036" s="2" t="s">
        <v>278</v>
      </c>
      <c r="V2036" s="2" t="s">
        <v>238</v>
      </c>
      <c r="W2036" s="2" t="s">
        <v>239</v>
      </c>
      <c r="X2036" s="2" t="s">
        <v>235</v>
      </c>
      <c r="Y2036" s="2" t="s">
        <v>2301</v>
      </c>
      <c r="Z2036" s="4">
        <v>282</v>
      </c>
      <c r="AA2036" s="4">
        <f>=ROUNDDOWN(705,0)</f>
      </c>
      <c r="AB2036" s="5">
        <v>0.4</v>
      </c>
      <c r="AC2036" s="2" t="s">
        <v>235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235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>
        <v>4</v>
      </c>
      <c r="BK2036" s="8">
        <v>148.05</v>
      </c>
      <c r="BL2036" s="2" t="s">
        <v>7339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7340</v>
      </c>
      <c r="BV2036" s="2" t="s">
        <v>243</v>
      </c>
      <c r="BW2036" s="2" t="s">
        <v>235</v>
      </c>
      <c r="BX2036" s="2" t="s">
        <v>414</v>
      </c>
      <c r="BY2036" s="2" t="s">
        <v>245</v>
      </c>
      <c r="BZ2036" s="2" t="s">
        <v>232</v>
      </c>
      <c r="CA2036" s="2" t="s">
        <v>2298</v>
      </c>
      <c r="CB2036" s="2" t="s">
        <v>790</v>
      </c>
      <c r="CC2036" s="2" t="s">
        <v>248</v>
      </c>
      <c r="CD2036" s="2" t="s">
        <v>248</v>
      </c>
      <c r="CE2036" s="2" t="s">
        <v>235</v>
      </c>
      <c r="CF2036" s="4">
        <v>282</v>
      </c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>
        <v>282</v>
      </c>
      <c r="GE2036" s="4">
        <v>282</v>
      </c>
      <c r="GF2036" s="4">
        <v>282</v>
      </c>
      <c r="GG2036" s="4">
        <v>282</v>
      </c>
      <c r="GH2036" s="4">
        <v>282</v>
      </c>
      <c r="GI2036" s="4">
        <v>280</v>
      </c>
      <c r="GJ2036" s="4">
        <v>278</v>
      </c>
      <c r="GK2036" s="4">
        <v>276</v>
      </c>
      <c r="GL2036" s="4">
        <v>274</v>
      </c>
      <c r="GM2036" s="4">
        <v>272</v>
      </c>
      <c r="GN2036" s="4">
        <v>269</v>
      </c>
      <c r="GO2036" s="4">
        <v>265</v>
      </c>
      <c r="GP2036" s="4">
        <v>260</v>
      </c>
      <c r="GQ2036" s="4">
        <v>250</v>
      </c>
      <c r="GR2036" s="4">
        <v>244</v>
      </c>
      <c r="GS2036" s="4">
        <v>238</v>
      </c>
      <c r="GT2036" s="4">
        <v>234</v>
      </c>
      <c r="GU2036" s="4">
        <v>232</v>
      </c>
      <c r="GV2036" s="4">
        <v>230</v>
      </c>
      <c r="GW2036" s="4">
        <v>228</v>
      </c>
      <c r="GX2036" s="4">
        <v>226</v>
      </c>
      <c r="GY2036" s="4">
        <v>225</v>
      </c>
      <c r="GZ2036" s="4">
        <v>225</v>
      </c>
      <c r="HA2036" s="4">
        <v>225</v>
      </c>
      <c r="HB2036" s="4">
        <v>225</v>
      </c>
      <c r="HC2036" s="4">
        <v>225</v>
      </c>
      <c r="HD2036" s="9"/>
      <c r="HE2036" s="9"/>
      <c r="HF2036" s="19">
        <v>282</v>
      </c>
      <c r="HG2036" s="19">
        <v>141</v>
      </c>
      <c r="HH2036" s="19">
        <v>141</v>
      </c>
      <c r="HI2036" s="19">
        <v>140</v>
      </c>
      <c r="HJ2036" s="19">
        <v>139</v>
      </c>
      <c r="HK2036" s="19">
        <v>92</v>
      </c>
      <c r="HL2036" s="19">
        <v>68.5</v>
      </c>
      <c r="HM2036" s="19">
        <v>45.3</v>
      </c>
      <c r="HN2036" s="19">
        <v>44.8</v>
      </c>
      <c r="HO2036" s="19">
        <v>37.9</v>
      </c>
      <c r="HP2036" s="19">
        <v>43.3</v>
      </c>
      <c r="HQ2036" s="19">
        <v>62.5</v>
      </c>
      <c r="HR2036" s="19">
        <v>61</v>
      </c>
      <c r="HS2036" s="19">
        <v>119</v>
      </c>
      <c r="HT2036" s="19">
        <v>117</v>
      </c>
      <c r="HU2036" s="19">
        <v>116</v>
      </c>
      <c r="HV2036" s="19">
        <v>230</v>
      </c>
      <c r="HW2036" s="19">
        <v>228</v>
      </c>
      <c r="HX2036" s="20">
        <v>0</v>
      </c>
      <c r="HY2036" s="9"/>
      <c r="HZ2036" s="9"/>
      <c r="IA2036" s="9"/>
      <c r="IB2036" s="9"/>
      <c r="IC2036" s="9"/>
    </row>
    <row r="2037">
      <c r="A2037" s="2" t="s">
        <v>7341</v>
      </c>
      <c r="B2037" s="2" t="s">
        <v>871</v>
      </c>
      <c r="C2037" s="2" t="s">
        <v>801</v>
      </c>
      <c r="D2037" s="2" t="s">
        <v>1452</v>
      </c>
      <c r="E2037" s="2" t="s">
        <v>1453</v>
      </c>
      <c r="F2037" s="2" t="s">
        <v>7342</v>
      </c>
      <c r="G2037" s="2" t="s">
        <v>7342</v>
      </c>
      <c r="H2037" s="2" t="s">
        <v>235</v>
      </c>
      <c r="I2037" s="2" t="s">
        <v>7343</v>
      </c>
      <c r="J2037" s="2" t="s">
        <v>261</v>
      </c>
      <c r="K2037" s="2" t="s">
        <v>302</v>
      </c>
      <c r="L2037" s="3">
        <v>78.55</v>
      </c>
      <c r="M2037" s="3">
        <v>82.48</v>
      </c>
      <c r="N2037" s="3">
        <v>179.99</v>
      </c>
      <c r="O2037" s="2" t="s">
        <v>407</v>
      </c>
      <c r="P2037" s="2" t="s">
        <v>408</v>
      </c>
      <c r="Q2037" s="2" t="s">
        <v>234</v>
      </c>
      <c r="R2037" s="2" t="s">
        <v>235</v>
      </c>
      <c r="S2037" s="2" t="s">
        <v>7344</v>
      </c>
      <c r="T2037" s="2" t="s">
        <v>235</v>
      </c>
      <c r="U2037" s="2" t="s">
        <v>552</v>
      </c>
      <c r="V2037" s="2" t="s">
        <v>238</v>
      </c>
      <c r="W2037" s="2" t="s">
        <v>1157</v>
      </c>
      <c r="X2037" s="2" t="s">
        <v>1053</v>
      </c>
      <c r="Y2037" s="2" t="s">
        <v>7345</v>
      </c>
      <c r="Z2037" s="4">
        <v>131</v>
      </c>
      <c r="AA2037" s="4">
        <f>=ROUNDDOWN(65.5,0)</f>
      </c>
      <c r="AB2037" s="5">
        <v>2</v>
      </c>
      <c r="AC2037" s="2" t="s">
        <v>235</v>
      </c>
      <c r="AD2037" s="4"/>
      <c r="AE2037" s="4"/>
      <c r="AF2037" s="6">
        <v>67</v>
      </c>
      <c r="AG2037" s="6"/>
      <c r="AH2037" s="7">
        <v>1</v>
      </c>
      <c r="AI2037" s="4"/>
      <c r="AJ2037" s="4">
        <f>=ROUNDDOWN({0},0)</f>
      </c>
      <c r="AK2037" s="5"/>
      <c r="AL2037" s="2" t="s">
        <v>235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 t="s">
        <v>235</v>
      </c>
      <c r="BD2037" s="8" t="s">
        <v>235</v>
      </c>
      <c r="BE2037" s="4" t="s">
        <v>235</v>
      </c>
      <c r="BF2037" s="8" t="s">
        <v>235</v>
      </c>
      <c r="BG2037" s="7" t="s">
        <v>235</v>
      </c>
      <c r="BH2037" s="7" t="s">
        <v>235</v>
      </c>
      <c r="BI2037" s="7"/>
      <c r="BJ2037" s="4">
        <v>7</v>
      </c>
      <c r="BK2037" s="8">
        <v>619.78</v>
      </c>
      <c r="BL2037" s="2" t="s">
        <v>4344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7346</v>
      </c>
      <c r="BV2037" s="2" t="s">
        <v>243</v>
      </c>
      <c r="BW2037" s="2" t="s">
        <v>235</v>
      </c>
      <c r="BX2037" s="2" t="s">
        <v>414</v>
      </c>
      <c r="BY2037" s="2" t="s">
        <v>245</v>
      </c>
      <c r="BZ2037" s="2" t="s">
        <v>232</v>
      </c>
      <c r="CA2037" s="2" t="s">
        <v>252</v>
      </c>
      <c r="CB2037" s="2" t="s">
        <v>7347</v>
      </c>
      <c r="CC2037" s="2" t="s">
        <v>248</v>
      </c>
      <c r="CD2037" s="2" t="s">
        <v>248</v>
      </c>
      <c r="CE2037" s="2" t="s">
        <v>235</v>
      </c>
      <c r="CF2037" s="4">
        <v>131</v>
      </c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>
        <v>131</v>
      </c>
      <c r="GE2037" s="4">
        <v>129</v>
      </c>
      <c r="GF2037" s="4">
        <v>127</v>
      </c>
      <c r="GG2037" s="4">
        <v>125</v>
      </c>
      <c r="GH2037" s="4">
        <v>123</v>
      </c>
      <c r="GI2037" s="4">
        <v>121</v>
      </c>
      <c r="GJ2037" s="4">
        <v>119</v>
      </c>
      <c r="GK2037" s="4">
        <v>117</v>
      </c>
      <c r="GL2037" s="4">
        <v>115</v>
      </c>
      <c r="GM2037" s="4">
        <v>113</v>
      </c>
      <c r="GN2037" s="4">
        <v>111</v>
      </c>
      <c r="GO2037" s="4">
        <v>109</v>
      </c>
      <c r="GP2037" s="4">
        <v>106</v>
      </c>
      <c r="GQ2037" s="4">
        <v>102</v>
      </c>
      <c r="GR2037" s="4">
        <v>99</v>
      </c>
      <c r="GS2037" s="4">
        <v>97</v>
      </c>
      <c r="GT2037" s="4">
        <v>95</v>
      </c>
      <c r="GU2037" s="4">
        <v>94</v>
      </c>
      <c r="GV2037" s="4">
        <v>92</v>
      </c>
      <c r="GW2037" s="4">
        <v>90</v>
      </c>
      <c r="GX2037" s="4">
        <v>88</v>
      </c>
      <c r="GY2037" s="4">
        <v>86</v>
      </c>
      <c r="GZ2037" s="4">
        <v>84</v>
      </c>
      <c r="HA2037" s="4">
        <v>82</v>
      </c>
      <c r="HB2037" s="4">
        <v>80</v>
      </c>
      <c r="HC2037" s="4">
        <v>78</v>
      </c>
      <c r="HD2037" s="19">
        <v>65.5</v>
      </c>
      <c r="HE2037" s="19">
        <v>64.5</v>
      </c>
      <c r="HF2037" s="19">
        <v>63.5</v>
      </c>
      <c r="HG2037" s="19">
        <v>62.5</v>
      </c>
      <c r="HH2037" s="19">
        <v>61.5</v>
      </c>
      <c r="HI2037" s="19">
        <v>60.5</v>
      </c>
      <c r="HJ2037" s="19">
        <v>59.5</v>
      </c>
      <c r="HK2037" s="19">
        <v>58.5</v>
      </c>
      <c r="HL2037" s="19">
        <v>57.5</v>
      </c>
      <c r="HM2037" s="19">
        <v>37.7</v>
      </c>
      <c r="HN2037" s="19">
        <v>37</v>
      </c>
      <c r="HO2037" s="19">
        <v>36.3</v>
      </c>
      <c r="HP2037" s="19">
        <v>35.3</v>
      </c>
      <c r="HQ2037" s="19">
        <v>51</v>
      </c>
      <c r="HR2037" s="19">
        <v>49.5</v>
      </c>
      <c r="HS2037" s="19">
        <v>48.5</v>
      </c>
      <c r="HT2037" s="19">
        <v>47.5</v>
      </c>
      <c r="HU2037" s="19">
        <v>47</v>
      </c>
      <c r="HV2037" s="19">
        <v>46</v>
      </c>
      <c r="HW2037" s="19">
        <v>45</v>
      </c>
      <c r="HX2037" s="19">
        <v>44</v>
      </c>
      <c r="HY2037" s="19">
        <v>43</v>
      </c>
      <c r="HZ2037" s="19">
        <v>42</v>
      </c>
      <c r="IA2037" s="19">
        <v>41</v>
      </c>
      <c r="IB2037" s="19">
        <v>40</v>
      </c>
      <c r="IC2037" s="19">
        <v>39</v>
      </c>
    </row>
    <row r="2038">
      <c r="A2038" s="2" t="s">
        <v>7348</v>
      </c>
      <c r="B2038" s="2" t="s">
        <v>871</v>
      </c>
      <c r="C2038" s="2" t="s">
        <v>801</v>
      </c>
      <c r="D2038" s="2" t="s">
        <v>1452</v>
      </c>
      <c r="E2038" s="2" t="s">
        <v>1453</v>
      </c>
      <c r="F2038" s="2" t="s">
        <v>7342</v>
      </c>
      <c r="G2038" s="2" t="s">
        <v>7342</v>
      </c>
      <c r="H2038" s="2" t="s">
        <v>235</v>
      </c>
      <c r="I2038" s="2" t="s">
        <v>7343</v>
      </c>
      <c r="J2038" s="2" t="s">
        <v>261</v>
      </c>
      <c r="K2038" s="2" t="s">
        <v>7349</v>
      </c>
      <c r="L2038" s="3">
        <v>73.15</v>
      </c>
      <c r="M2038" s="3">
        <v>76.81</v>
      </c>
      <c r="N2038" s="3">
        <v>209</v>
      </c>
      <c r="O2038" s="2" t="s">
        <v>485</v>
      </c>
      <c r="P2038" s="2" t="s">
        <v>408</v>
      </c>
      <c r="Q2038" s="2" t="s">
        <v>234</v>
      </c>
      <c r="R2038" s="2" t="s">
        <v>235</v>
      </c>
      <c r="S2038" s="2" t="s">
        <v>7350</v>
      </c>
      <c r="T2038" s="2" t="s">
        <v>235</v>
      </c>
      <c r="U2038" s="2" t="s">
        <v>552</v>
      </c>
      <c r="V2038" s="2" t="s">
        <v>238</v>
      </c>
      <c r="W2038" s="2" t="s">
        <v>1157</v>
      </c>
      <c r="X2038" s="2" t="s">
        <v>1053</v>
      </c>
      <c r="Y2038" s="2" t="s">
        <v>240</v>
      </c>
      <c r="Z2038" s="4"/>
      <c r="AA2038" s="4">
        <f>=ROUNDDOWN({0},0)</f>
      </c>
      <c r="AB2038" s="5">
        <v>2</v>
      </c>
      <c r="AC2038" s="2" t="s">
        <v>235</v>
      </c>
      <c r="AD2038" s="4"/>
      <c r="AE2038" s="4"/>
      <c r="AF2038" s="6">
        <v>67</v>
      </c>
      <c r="AG2038" s="6"/>
      <c r="AH2038" s="7">
        <v>0.8387</v>
      </c>
      <c r="AI2038" s="4"/>
      <c r="AJ2038" s="4">
        <f>=ROUNDDOWN({0},0)</f>
      </c>
      <c r="AK2038" s="5"/>
      <c r="AL2038" s="2" t="s">
        <v>235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 t="s">
        <v>235</v>
      </c>
      <c r="BD2038" s="8" t="s">
        <v>235</v>
      </c>
      <c r="BE2038" s="4" t="s">
        <v>235</v>
      </c>
      <c r="BF2038" s="8" t="s">
        <v>235</v>
      </c>
      <c r="BG2038" s="7" t="s">
        <v>235</v>
      </c>
      <c r="BH2038" s="7" t="s">
        <v>235</v>
      </c>
      <c r="BI2038" s="7"/>
      <c r="BJ2038" s="4">
        <v>4</v>
      </c>
      <c r="BK2038" s="8">
        <v>283.71</v>
      </c>
      <c r="BL2038" s="2" t="s">
        <v>7351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7346</v>
      </c>
      <c r="BV2038" s="2" t="s">
        <v>243</v>
      </c>
      <c r="BW2038" s="2" t="s">
        <v>235</v>
      </c>
      <c r="BX2038" s="2" t="s">
        <v>414</v>
      </c>
      <c r="BY2038" s="2" t="s">
        <v>245</v>
      </c>
      <c r="BZ2038" s="2" t="s">
        <v>232</v>
      </c>
      <c r="CA2038" s="2" t="s">
        <v>252</v>
      </c>
      <c r="CB2038" s="2" t="s">
        <v>7352</v>
      </c>
      <c r="CC2038" s="2" t="s">
        <v>248</v>
      </c>
      <c r="CD2038" s="2" t="s">
        <v>248</v>
      </c>
      <c r="CE2038" s="2" t="s">
        <v>235</v>
      </c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>
        <v>52</v>
      </c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19">
        <v>3.5</v>
      </c>
      <c r="HE2038" s="20">
        <v>0</v>
      </c>
      <c r="HF2038" s="20">
        <v>0</v>
      </c>
      <c r="HG2038" s="20">
        <v>0</v>
      </c>
      <c r="HH2038" s="20">
        <v>0</v>
      </c>
      <c r="HI2038" s="20">
        <v>0</v>
      </c>
      <c r="HJ2038" s="20">
        <v>0</v>
      </c>
      <c r="HK2038" s="20">
        <v>0</v>
      </c>
      <c r="HL2038" s="20">
        <v>0</v>
      </c>
      <c r="HM2038" s="20">
        <v>0</v>
      </c>
      <c r="HN2038" s="20">
        <v>0</v>
      </c>
      <c r="HO2038" s="20">
        <v>0</v>
      </c>
      <c r="HP2038" s="20">
        <v>0</v>
      </c>
      <c r="HQ2038" s="20">
        <v>0</v>
      </c>
      <c r="HR2038" s="20">
        <v>0</v>
      </c>
      <c r="HS2038" s="20">
        <v>0</v>
      </c>
      <c r="HT2038" s="20">
        <v>0</v>
      </c>
      <c r="HU2038" s="20">
        <v>0</v>
      </c>
      <c r="HV2038" s="20">
        <v>0</v>
      </c>
      <c r="HW2038" s="20">
        <v>0</v>
      </c>
      <c r="HX2038" s="20">
        <v>0</v>
      </c>
      <c r="HY2038" s="20">
        <v>0</v>
      </c>
      <c r="HZ2038" s="20">
        <v>0</v>
      </c>
      <c r="IA2038" s="20">
        <v>0</v>
      </c>
      <c r="IB2038" s="20">
        <v>0</v>
      </c>
      <c r="IC2038" s="20">
        <v>0</v>
      </c>
    </row>
    <row r="2039">
      <c r="A2039" s="2" t="s">
        <v>7353</v>
      </c>
      <c r="B2039" s="2" t="s">
        <v>852</v>
      </c>
      <c r="C2039" s="2" t="s">
        <v>324</v>
      </c>
      <c r="D2039" s="2" t="s">
        <v>854</v>
      </c>
      <c r="E2039" s="2" t="s">
        <v>855</v>
      </c>
      <c r="F2039" s="2" t="s">
        <v>7354</v>
      </c>
      <c r="G2039" s="2" t="s">
        <v>2357</v>
      </c>
      <c r="H2039" s="2" t="s">
        <v>6966</v>
      </c>
      <c r="I2039" s="2" t="s">
        <v>6873</v>
      </c>
      <c r="J2039" s="2" t="s">
        <v>860</v>
      </c>
      <c r="K2039" s="2" t="s">
        <v>6712</v>
      </c>
      <c r="L2039" s="3">
        <v>17.49</v>
      </c>
      <c r="M2039" s="3">
        <v>18.36</v>
      </c>
      <c r="N2039" s="3">
        <v>39.99</v>
      </c>
      <c r="O2039" s="2" t="s">
        <v>232</v>
      </c>
      <c r="P2039" s="2" t="s">
        <v>878</v>
      </c>
      <c r="Q2039" s="2" t="s">
        <v>234</v>
      </c>
      <c r="R2039" s="2" t="s">
        <v>235</v>
      </c>
      <c r="S2039" s="2" t="s">
        <v>7355</v>
      </c>
      <c r="T2039" s="2" t="s">
        <v>235</v>
      </c>
      <c r="U2039" s="2" t="s">
        <v>807</v>
      </c>
      <c r="V2039" s="2" t="s">
        <v>3806</v>
      </c>
      <c r="W2039" s="2" t="s">
        <v>235</v>
      </c>
      <c r="X2039" s="2" t="s">
        <v>235</v>
      </c>
      <c r="Y2039" s="2" t="s">
        <v>3807</v>
      </c>
      <c r="Z2039" s="4">
        <v>1503</v>
      </c>
      <c r="AA2039" s="4">
        <f>=ROUNDDOWN(442.058823529412,0)</f>
      </c>
      <c r="AB2039" s="5">
        <v>3.4</v>
      </c>
      <c r="AC2039" s="2" t="s">
        <v>235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235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235</v>
      </c>
      <c r="AW2039" s="8" t="s">
        <v>235</v>
      </c>
      <c r="AX2039" s="4" t="s">
        <v>235</v>
      </c>
      <c r="AY2039" s="8" t="s">
        <v>235</v>
      </c>
      <c r="AZ2039" s="7" t="s">
        <v>235</v>
      </c>
      <c r="BA2039" s="7" t="s">
        <v>235</v>
      </c>
      <c r="BB2039" s="7"/>
      <c r="BC2039" s="4" t="s">
        <v>235</v>
      </c>
      <c r="BD2039" s="8" t="s">
        <v>235</v>
      </c>
      <c r="BE2039" s="4" t="s">
        <v>235</v>
      </c>
      <c r="BF2039" s="8" t="s">
        <v>235</v>
      </c>
      <c r="BG2039" s="7" t="s">
        <v>235</v>
      </c>
      <c r="BH2039" s="7" t="s">
        <v>235</v>
      </c>
      <c r="BI2039" s="7"/>
      <c r="BJ2039" s="4">
        <v>16</v>
      </c>
      <c r="BK2039" s="8">
        <v>545.04</v>
      </c>
      <c r="BL2039" s="2" t="s">
        <v>7356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7357</v>
      </c>
      <c r="BV2039" s="2" t="s">
        <v>867</v>
      </c>
      <c r="BW2039" s="2" t="s">
        <v>235</v>
      </c>
      <c r="BX2039" s="2" t="s">
        <v>244</v>
      </c>
      <c r="BY2039" s="2" t="s">
        <v>245</v>
      </c>
      <c r="BZ2039" s="2" t="s">
        <v>232</v>
      </c>
      <c r="CA2039" s="2" t="s">
        <v>3810</v>
      </c>
      <c r="CB2039" s="2" t="s">
        <v>7358</v>
      </c>
      <c r="CC2039" s="2" t="s">
        <v>248</v>
      </c>
      <c r="CD2039" s="2" t="s">
        <v>248</v>
      </c>
      <c r="CE2039" s="2" t="s">
        <v>235</v>
      </c>
      <c r="CF2039" s="4">
        <v>1173</v>
      </c>
      <c r="CG2039" s="4"/>
      <c r="CH2039" s="4"/>
      <c r="CI2039" s="4">
        <v>330</v>
      </c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>
        <v>1503</v>
      </c>
      <c r="GE2039" s="4">
        <v>1501</v>
      </c>
      <c r="GF2039" s="4">
        <v>1499</v>
      </c>
      <c r="GG2039" s="4">
        <v>1497</v>
      </c>
      <c r="GH2039" s="4">
        <v>1495</v>
      </c>
      <c r="GI2039" s="4">
        <v>1493</v>
      </c>
      <c r="GJ2039" s="4">
        <v>1491</v>
      </c>
      <c r="GK2039" s="4">
        <v>1489</v>
      </c>
      <c r="GL2039" s="4">
        <v>1487</v>
      </c>
      <c r="GM2039" s="4">
        <v>1485</v>
      </c>
      <c r="GN2039" s="4">
        <v>1482</v>
      </c>
      <c r="GO2039" s="4">
        <v>1479</v>
      </c>
      <c r="GP2039" s="4">
        <v>1476</v>
      </c>
      <c r="GQ2039" s="4">
        <v>1472</v>
      </c>
      <c r="GR2039" s="4">
        <v>1468</v>
      </c>
      <c r="GS2039" s="4">
        <v>1464</v>
      </c>
      <c r="GT2039" s="4">
        <v>1461</v>
      </c>
      <c r="GU2039" s="4">
        <v>1458</v>
      </c>
      <c r="GV2039" s="4">
        <v>1455</v>
      </c>
      <c r="GW2039" s="4">
        <v>1452</v>
      </c>
      <c r="GX2039" s="4">
        <v>1449</v>
      </c>
      <c r="GY2039" s="4">
        <v>1446</v>
      </c>
      <c r="GZ2039" s="4">
        <v>1443</v>
      </c>
      <c r="HA2039" s="4">
        <v>1440</v>
      </c>
      <c r="HB2039" s="4">
        <v>1437</v>
      </c>
      <c r="HC2039" s="4">
        <v>1434</v>
      </c>
      <c r="HD2039" s="19">
        <v>751.5</v>
      </c>
      <c r="HE2039" s="19">
        <v>750.5</v>
      </c>
      <c r="HF2039" s="19">
        <v>749.5</v>
      </c>
      <c r="HG2039" s="19">
        <v>748.5</v>
      </c>
      <c r="HH2039" s="19">
        <v>747.5</v>
      </c>
      <c r="HI2039" s="19">
        <v>746.5</v>
      </c>
      <c r="HJ2039" s="19">
        <v>745.5</v>
      </c>
      <c r="HK2039" s="19">
        <v>744.5</v>
      </c>
      <c r="HL2039" s="19">
        <v>495.7</v>
      </c>
      <c r="HM2039" s="19">
        <v>495</v>
      </c>
      <c r="HN2039" s="19">
        <v>370.5</v>
      </c>
      <c r="HO2039" s="19">
        <v>369.8</v>
      </c>
      <c r="HP2039" s="19">
        <v>369</v>
      </c>
      <c r="HQ2039" s="19">
        <v>368</v>
      </c>
      <c r="HR2039" s="19">
        <v>489.3</v>
      </c>
      <c r="HS2039" s="19">
        <v>488</v>
      </c>
      <c r="HT2039" s="19">
        <v>487</v>
      </c>
      <c r="HU2039" s="19">
        <v>486</v>
      </c>
      <c r="HV2039" s="19">
        <v>485</v>
      </c>
      <c r="HW2039" s="19">
        <v>484</v>
      </c>
      <c r="HX2039" s="19">
        <v>483</v>
      </c>
      <c r="HY2039" s="19">
        <v>482</v>
      </c>
      <c r="HZ2039" s="19">
        <v>481</v>
      </c>
      <c r="IA2039" s="19">
        <v>480</v>
      </c>
      <c r="IB2039" s="19">
        <v>479</v>
      </c>
      <c r="IC2039" s="19">
        <v>478</v>
      </c>
    </row>
    <row r="2040">
      <c r="A2040" s="2" t="s">
        <v>7359</v>
      </c>
      <c r="B2040" s="2" t="s">
        <v>852</v>
      </c>
      <c r="C2040" s="2" t="s">
        <v>324</v>
      </c>
      <c r="D2040" s="2" t="s">
        <v>854</v>
      </c>
      <c r="E2040" s="2" t="s">
        <v>855</v>
      </c>
      <c r="F2040" s="2" t="s">
        <v>7354</v>
      </c>
      <c r="G2040" s="2" t="s">
        <v>2357</v>
      </c>
      <c r="H2040" s="2" t="s">
        <v>6966</v>
      </c>
      <c r="I2040" s="2" t="s">
        <v>6873</v>
      </c>
      <c r="J2040" s="2" t="s">
        <v>1130</v>
      </c>
      <c r="K2040" s="2" t="s">
        <v>6712</v>
      </c>
      <c r="L2040" s="3">
        <v>19.71</v>
      </c>
      <c r="M2040" s="3">
        <v>20.7</v>
      </c>
      <c r="N2040" s="3">
        <v>44.99</v>
      </c>
      <c r="O2040" s="2" t="s">
        <v>232</v>
      </c>
      <c r="P2040" s="2" t="s">
        <v>878</v>
      </c>
      <c r="Q2040" s="2" t="s">
        <v>234</v>
      </c>
      <c r="R2040" s="2" t="s">
        <v>235</v>
      </c>
      <c r="S2040" s="2" t="s">
        <v>7355</v>
      </c>
      <c r="T2040" s="2" t="s">
        <v>235</v>
      </c>
      <c r="U2040" s="2" t="s">
        <v>807</v>
      </c>
      <c r="V2040" s="2" t="s">
        <v>3806</v>
      </c>
      <c r="W2040" s="2" t="s">
        <v>235</v>
      </c>
      <c r="X2040" s="2" t="s">
        <v>235</v>
      </c>
      <c r="Y2040" s="2" t="s">
        <v>3807</v>
      </c>
      <c r="Z2040" s="4">
        <v>746</v>
      </c>
      <c r="AA2040" s="4">
        <f>=ROUNDDOWN(532.857142857143,0)</f>
      </c>
      <c r="AB2040" s="5">
        <v>1.4</v>
      </c>
      <c r="AC2040" s="2" t="s">
        <v>235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235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235</v>
      </c>
      <c r="AW2040" s="8" t="s">
        <v>235</v>
      </c>
      <c r="AX2040" s="4" t="s">
        <v>235</v>
      </c>
      <c r="AY2040" s="8" t="s">
        <v>235</v>
      </c>
      <c r="AZ2040" s="7" t="s">
        <v>235</v>
      </c>
      <c r="BA2040" s="7" t="s">
        <v>235</v>
      </c>
      <c r="BB2040" s="7"/>
      <c r="BC2040" s="4" t="s">
        <v>235</v>
      </c>
      <c r="BD2040" s="8" t="s">
        <v>235</v>
      </c>
      <c r="BE2040" s="4" t="s">
        <v>235</v>
      </c>
      <c r="BF2040" s="8" t="s">
        <v>235</v>
      </c>
      <c r="BG2040" s="7" t="s">
        <v>235</v>
      </c>
      <c r="BH2040" s="7" t="s">
        <v>235</v>
      </c>
      <c r="BI2040" s="7"/>
      <c r="BJ2040" s="4"/>
      <c r="BK2040" s="8"/>
      <c r="BL2040" s="2" t="s">
        <v>235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7357</v>
      </c>
      <c r="BV2040" s="2" t="s">
        <v>867</v>
      </c>
      <c r="BW2040" s="2" t="s">
        <v>235</v>
      </c>
      <c r="BX2040" s="2" t="s">
        <v>244</v>
      </c>
      <c r="BY2040" s="2" t="s">
        <v>245</v>
      </c>
      <c r="BZ2040" s="2" t="s">
        <v>232</v>
      </c>
      <c r="CA2040" s="2" t="s">
        <v>3810</v>
      </c>
      <c r="CB2040" s="2" t="s">
        <v>235</v>
      </c>
      <c r="CC2040" s="2" t="s">
        <v>248</v>
      </c>
      <c r="CD2040" s="2" t="s">
        <v>248</v>
      </c>
      <c r="CE2040" s="2" t="s">
        <v>235</v>
      </c>
      <c r="CF2040" s="4">
        <v>589</v>
      </c>
      <c r="CG2040" s="4"/>
      <c r="CH2040" s="4"/>
      <c r="CI2040" s="4">
        <v>157</v>
      </c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>
        <v>746</v>
      </c>
      <c r="GE2040" s="4">
        <v>745</v>
      </c>
      <c r="GF2040" s="4">
        <v>744</v>
      </c>
      <c r="GG2040" s="4">
        <v>743</v>
      </c>
      <c r="GH2040" s="4">
        <v>742</v>
      </c>
      <c r="GI2040" s="4">
        <v>741</v>
      </c>
      <c r="GJ2040" s="4">
        <v>740</v>
      </c>
      <c r="GK2040" s="4">
        <v>739</v>
      </c>
      <c r="GL2040" s="4">
        <v>738</v>
      </c>
      <c r="GM2040" s="4">
        <v>737</v>
      </c>
      <c r="GN2040" s="4">
        <v>735</v>
      </c>
      <c r="GO2040" s="4">
        <v>732</v>
      </c>
      <c r="GP2040" s="4">
        <v>730</v>
      </c>
      <c r="GQ2040" s="4">
        <v>727</v>
      </c>
      <c r="GR2040" s="4">
        <v>725</v>
      </c>
      <c r="GS2040" s="4">
        <v>722</v>
      </c>
      <c r="GT2040" s="4">
        <v>720</v>
      </c>
      <c r="GU2040" s="4">
        <v>718</v>
      </c>
      <c r="GV2040" s="4">
        <v>716</v>
      </c>
      <c r="GW2040" s="4">
        <v>714</v>
      </c>
      <c r="GX2040" s="4">
        <v>712</v>
      </c>
      <c r="GY2040" s="4">
        <v>710</v>
      </c>
      <c r="GZ2040" s="4">
        <v>708</v>
      </c>
      <c r="HA2040" s="4">
        <v>706</v>
      </c>
      <c r="HB2040" s="4">
        <v>704</v>
      </c>
      <c r="HC2040" s="4">
        <v>702</v>
      </c>
      <c r="HD2040" s="19">
        <v>746</v>
      </c>
      <c r="HE2040" s="19">
        <v>745</v>
      </c>
      <c r="HF2040" s="19">
        <v>744</v>
      </c>
      <c r="HG2040" s="19">
        <v>743</v>
      </c>
      <c r="HH2040" s="19">
        <v>742</v>
      </c>
      <c r="HI2040" s="19">
        <v>741</v>
      </c>
      <c r="HJ2040" s="19">
        <v>740</v>
      </c>
      <c r="HK2040" s="19">
        <v>369.5</v>
      </c>
      <c r="HL2040" s="19">
        <v>369</v>
      </c>
      <c r="HM2040" s="19">
        <v>368.5</v>
      </c>
      <c r="HN2040" s="19">
        <v>367.5</v>
      </c>
      <c r="HO2040" s="19">
        <v>366</v>
      </c>
      <c r="HP2040" s="19">
        <v>365</v>
      </c>
      <c r="HQ2040" s="19">
        <v>363.5</v>
      </c>
      <c r="HR2040" s="19">
        <v>362.5</v>
      </c>
      <c r="HS2040" s="19">
        <v>361</v>
      </c>
      <c r="HT2040" s="19">
        <v>360</v>
      </c>
      <c r="HU2040" s="19">
        <v>359</v>
      </c>
      <c r="HV2040" s="19">
        <v>358</v>
      </c>
      <c r="HW2040" s="19">
        <v>357</v>
      </c>
      <c r="HX2040" s="19">
        <v>356</v>
      </c>
      <c r="HY2040" s="19">
        <v>355</v>
      </c>
      <c r="HZ2040" s="19">
        <v>354</v>
      </c>
      <c r="IA2040" s="19">
        <v>353</v>
      </c>
      <c r="IB2040" s="19">
        <v>352</v>
      </c>
      <c r="IC2040" s="19">
        <v>351</v>
      </c>
    </row>
    <row r="2041">
      <c r="A2041" s="2" t="s">
        <v>7360</v>
      </c>
      <c r="B2041" s="2" t="s">
        <v>1071</v>
      </c>
      <c r="C2041" s="2" t="s">
        <v>360</v>
      </c>
      <c r="D2041" s="2" t="s">
        <v>7361</v>
      </c>
      <c r="E2041" s="2" t="s">
        <v>7362</v>
      </c>
      <c r="F2041" s="2" t="s">
        <v>5154</v>
      </c>
      <c r="G2041" s="2" t="s">
        <v>5154</v>
      </c>
      <c r="H2041" s="2" t="s">
        <v>5154</v>
      </c>
      <c r="I2041" s="2" t="s">
        <v>7363</v>
      </c>
      <c r="J2041" s="2" t="s">
        <v>897</v>
      </c>
      <c r="K2041" s="2" t="s">
        <v>1730</v>
      </c>
      <c r="L2041" s="3">
        <v>178.17</v>
      </c>
      <c r="M2041" s="3">
        <v>187.08</v>
      </c>
      <c r="N2041" s="3">
        <v>379</v>
      </c>
      <c r="O2041" s="2" t="s">
        <v>232</v>
      </c>
      <c r="P2041" s="2" t="s">
        <v>878</v>
      </c>
      <c r="Q2041" s="2" t="s">
        <v>234</v>
      </c>
      <c r="R2041" s="2" t="s">
        <v>235</v>
      </c>
      <c r="S2041" s="2" t="s">
        <v>235</v>
      </c>
      <c r="T2041" s="2" t="s">
        <v>235</v>
      </c>
      <c r="U2041" s="2" t="s">
        <v>235</v>
      </c>
      <c r="V2041" s="2" t="s">
        <v>238</v>
      </c>
      <c r="W2041" s="2" t="s">
        <v>1029</v>
      </c>
      <c r="X2041" s="2" t="s">
        <v>235</v>
      </c>
      <c r="Y2041" s="2" t="s">
        <v>1650</v>
      </c>
      <c r="Z2041" s="4">
        <v>158</v>
      </c>
      <c r="AA2041" s="4">
        <f>=ROUNDDOWN(79,0)</f>
      </c>
      <c r="AB2041" s="5">
        <v>2</v>
      </c>
      <c r="AC2041" s="2" t="s">
        <v>235</v>
      </c>
      <c r="AD2041" s="4"/>
      <c r="AE2041" s="4"/>
      <c r="AF2041" s="6">
        <v>74</v>
      </c>
      <c r="AG2041" s="6"/>
      <c r="AH2041" s="7">
        <v>1</v>
      </c>
      <c r="AI2041" s="4"/>
      <c r="AJ2041" s="4">
        <f>=ROUNDDOWN({0},0)</f>
      </c>
      <c r="AK2041" s="5"/>
      <c r="AL2041" s="2" t="s">
        <v>235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235</v>
      </c>
      <c r="BD2041" s="8" t="s">
        <v>235</v>
      </c>
      <c r="BE2041" s="4" t="s">
        <v>235</v>
      </c>
      <c r="BF2041" s="8" t="s">
        <v>235</v>
      </c>
      <c r="BG2041" s="7" t="s">
        <v>235</v>
      </c>
      <c r="BH2041" s="7" t="s">
        <v>235</v>
      </c>
      <c r="BI2041" s="7"/>
      <c r="BJ2041" s="4">
        <v>4</v>
      </c>
      <c r="BK2041" s="8">
        <v>748.32</v>
      </c>
      <c r="BL2041" s="2" t="s">
        <v>900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7364</v>
      </c>
      <c r="BV2041" s="2" t="s">
        <v>235</v>
      </c>
      <c r="BW2041" s="2" t="s">
        <v>235</v>
      </c>
      <c r="BX2041" s="2" t="s">
        <v>383</v>
      </c>
      <c r="BY2041" s="2" t="s">
        <v>245</v>
      </c>
      <c r="BZ2041" s="2" t="s">
        <v>232</v>
      </c>
      <c r="CA2041" s="2" t="s">
        <v>235</v>
      </c>
      <c r="CB2041" s="2" t="s">
        <v>235</v>
      </c>
      <c r="CC2041" s="2" t="s">
        <v>248</v>
      </c>
      <c r="CD2041" s="2" t="s">
        <v>248</v>
      </c>
      <c r="CE2041" s="2" t="s">
        <v>235</v>
      </c>
      <c r="CF2041" s="4"/>
      <c r="CG2041" s="4">
        <v>158</v>
      </c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>
        <v>159</v>
      </c>
      <c r="GE2041" s="4">
        <v>156</v>
      </c>
      <c r="GF2041" s="4">
        <v>154</v>
      </c>
      <c r="GG2041" s="4">
        <v>152</v>
      </c>
      <c r="GH2041" s="4">
        <v>150</v>
      </c>
      <c r="GI2041" s="4">
        <v>148</v>
      </c>
      <c r="GJ2041" s="4">
        <v>146</v>
      </c>
      <c r="GK2041" s="4">
        <v>144</v>
      </c>
      <c r="GL2041" s="4">
        <v>142</v>
      </c>
      <c r="GM2041" s="4">
        <v>141</v>
      </c>
      <c r="GN2041" s="4">
        <v>138</v>
      </c>
      <c r="GO2041" s="4">
        <v>136</v>
      </c>
      <c r="GP2041" s="4">
        <v>134</v>
      </c>
      <c r="GQ2041" s="4">
        <v>131</v>
      </c>
      <c r="GR2041" s="4">
        <v>129</v>
      </c>
      <c r="GS2041" s="4">
        <v>127</v>
      </c>
      <c r="GT2041" s="4">
        <v>126</v>
      </c>
      <c r="GU2041" s="4">
        <v>125</v>
      </c>
      <c r="GV2041" s="4">
        <v>123</v>
      </c>
      <c r="GW2041" s="4">
        <v>121</v>
      </c>
      <c r="GX2041" s="4">
        <v>119</v>
      </c>
      <c r="GY2041" s="4">
        <v>117</v>
      </c>
      <c r="GZ2041" s="4">
        <v>115</v>
      </c>
      <c r="HA2041" s="4">
        <v>113</v>
      </c>
      <c r="HB2041" s="4">
        <v>111</v>
      </c>
      <c r="HC2041" s="4">
        <v>109</v>
      </c>
      <c r="HD2041" s="19">
        <v>79.5</v>
      </c>
      <c r="HE2041" s="19">
        <v>78</v>
      </c>
      <c r="HF2041" s="19">
        <v>77</v>
      </c>
      <c r="HG2041" s="19">
        <v>76</v>
      </c>
      <c r="HH2041" s="19">
        <v>75</v>
      </c>
      <c r="HI2041" s="19">
        <v>74</v>
      </c>
      <c r="HJ2041" s="19">
        <v>73</v>
      </c>
      <c r="HK2041" s="19">
        <v>72</v>
      </c>
      <c r="HL2041" s="19">
        <v>71</v>
      </c>
      <c r="HM2041" s="19">
        <v>70.5</v>
      </c>
      <c r="HN2041" s="19">
        <v>69</v>
      </c>
      <c r="HO2041" s="19">
        <v>68</v>
      </c>
      <c r="HP2041" s="19">
        <v>67</v>
      </c>
      <c r="HQ2041" s="19">
        <v>65.5</v>
      </c>
      <c r="HR2041" s="19">
        <v>64.5</v>
      </c>
      <c r="HS2041" s="19">
        <v>63.5</v>
      </c>
      <c r="HT2041" s="19">
        <v>63</v>
      </c>
      <c r="HU2041" s="19">
        <v>62.5</v>
      </c>
      <c r="HV2041" s="19">
        <v>61.5</v>
      </c>
      <c r="HW2041" s="19">
        <v>60.5</v>
      </c>
      <c r="HX2041" s="19">
        <v>59.5</v>
      </c>
      <c r="HY2041" s="19">
        <v>58.5</v>
      </c>
      <c r="HZ2041" s="19">
        <v>57.5</v>
      </c>
      <c r="IA2041" s="19">
        <v>56.5</v>
      </c>
      <c r="IB2041" s="19">
        <v>55.5</v>
      </c>
      <c r="IC2041" s="19">
        <v>54.5</v>
      </c>
    </row>
    <row r="2042">
      <c r="A2042" s="2" t="s">
        <v>7365</v>
      </c>
      <c r="B2042" s="2" t="s">
        <v>1071</v>
      </c>
      <c r="C2042" s="2" t="s">
        <v>360</v>
      </c>
      <c r="D2042" s="2" t="s">
        <v>7361</v>
      </c>
      <c r="E2042" s="2" t="s">
        <v>7362</v>
      </c>
      <c r="F2042" s="2" t="s">
        <v>5154</v>
      </c>
      <c r="G2042" s="2" t="s">
        <v>5154</v>
      </c>
      <c r="H2042" s="2" t="s">
        <v>5154</v>
      </c>
      <c r="I2042" s="2" t="s">
        <v>7363</v>
      </c>
      <c r="J2042" s="2" t="s">
        <v>897</v>
      </c>
      <c r="K2042" s="2" t="s">
        <v>7366</v>
      </c>
      <c r="L2042" s="3">
        <v>178.17</v>
      </c>
      <c r="M2042" s="3">
        <v>187.08</v>
      </c>
      <c r="N2042" s="3">
        <v>379</v>
      </c>
      <c r="O2042" s="2" t="s">
        <v>232</v>
      </c>
      <c r="P2042" s="2" t="s">
        <v>878</v>
      </c>
      <c r="Q2042" s="2" t="s">
        <v>234</v>
      </c>
      <c r="R2042" s="2" t="s">
        <v>235</v>
      </c>
      <c r="S2042" s="2" t="s">
        <v>235</v>
      </c>
      <c r="T2042" s="2" t="s">
        <v>235</v>
      </c>
      <c r="U2042" s="2" t="s">
        <v>235</v>
      </c>
      <c r="V2042" s="2" t="s">
        <v>238</v>
      </c>
      <c r="W2042" s="2" t="s">
        <v>1029</v>
      </c>
      <c r="X2042" s="2" t="s">
        <v>235</v>
      </c>
      <c r="Y2042" s="2" t="s">
        <v>7367</v>
      </c>
      <c r="Z2042" s="4">
        <v>126</v>
      </c>
      <c r="AA2042" s="4">
        <f>=ROUNDDOWN(126,0)</f>
      </c>
      <c r="AB2042" s="5">
        <v>1</v>
      </c>
      <c r="AC2042" s="2" t="s">
        <v>235</v>
      </c>
      <c r="AD2042" s="4"/>
      <c r="AE2042" s="4"/>
      <c r="AF2042" s="6">
        <v>74</v>
      </c>
      <c r="AG2042" s="6"/>
      <c r="AH2042" s="7">
        <v>1</v>
      </c>
      <c r="AI2042" s="4"/>
      <c r="AJ2042" s="4">
        <f>=ROUNDDOWN({0},0)</f>
      </c>
      <c r="AK2042" s="5"/>
      <c r="AL2042" s="2" t="s">
        <v>235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235</v>
      </c>
      <c r="BD2042" s="8" t="s">
        <v>235</v>
      </c>
      <c r="BE2042" s="4" t="s">
        <v>235</v>
      </c>
      <c r="BF2042" s="8" t="s">
        <v>235</v>
      </c>
      <c r="BG2042" s="7" t="s">
        <v>235</v>
      </c>
      <c r="BH2042" s="7" t="s">
        <v>235</v>
      </c>
      <c r="BI2042" s="7"/>
      <c r="BJ2042" s="4">
        <v>2</v>
      </c>
      <c r="BK2042" s="8">
        <v>374.16</v>
      </c>
      <c r="BL2042" s="2" t="s">
        <v>900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7364</v>
      </c>
      <c r="BV2042" s="2" t="s">
        <v>235</v>
      </c>
      <c r="BW2042" s="2" t="s">
        <v>235</v>
      </c>
      <c r="BX2042" s="2" t="s">
        <v>383</v>
      </c>
      <c r="BY2042" s="2" t="s">
        <v>245</v>
      </c>
      <c r="BZ2042" s="2" t="s">
        <v>232</v>
      </c>
      <c r="CA2042" s="2" t="s">
        <v>235</v>
      </c>
      <c r="CB2042" s="2" t="s">
        <v>235</v>
      </c>
      <c r="CC2042" s="2" t="s">
        <v>248</v>
      </c>
      <c r="CD2042" s="2" t="s">
        <v>248</v>
      </c>
      <c r="CE2042" s="2" t="s">
        <v>235</v>
      </c>
      <c r="CF2042" s="4"/>
      <c r="CG2042" s="4">
        <v>126</v>
      </c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>
        <v>126</v>
      </c>
      <c r="GE2042" s="4">
        <v>125</v>
      </c>
      <c r="GF2042" s="4">
        <v>124</v>
      </c>
      <c r="GG2042" s="4">
        <v>123</v>
      </c>
      <c r="GH2042" s="4">
        <v>122</v>
      </c>
      <c r="GI2042" s="4">
        <v>121</v>
      </c>
      <c r="GJ2042" s="4">
        <v>120</v>
      </c>
      <c r="GK2042" s="4">
        <v>119</v>
      </c>
      <c r="GL2042" s="4">
        <v>118</v>
      </c>
      <c r="GM2042" s="4">
        <v>117</v>
      </c>
      <c r="GN2042" s="4">
        <v>116</v>
      </c>
      <c r="GO2042" s="4">
        <v>115</v>
      </c>
      <c r="GP2042" s="4">
        <v>114</v>
      </c>
      <c r="GQ2042" s="4">
        <v>112</v>
      </c>
      <c r="GR2042" s="4">
        <v>111</v>
      </c>
      <c r="GS2042" s="4">
        <v>110</v>
      </c>
      <c r="GT2042" s="4">
        <v>110</v>
      </c>
      <c r="GU2042" s="4">
        <v>110</v>
      </c>
      <c r="GV2042" s="4">
        <v>109</v>
      </c>
      <c r="GW2042" s="4">
        <v>108</v>
      </c>
      <c r="GX2042" s="4">
        <v>107</v>
      </c>
      <c r="GY2042" s="4">
        <v>106</v>
      </c>
      <c r="GZ2042" s="4">
        <v>105</v>
      </c>
      <c r="HA2042" s="4">
        <v>104</v>
      </c>
      <c r="HB2042" s="4">
        <v>103</v>
      </c>
      <c r="HC2042" s="4">
        <v>102</v>
      </c>
      <c r="HD2042" s="19">
        <v>126</v>
      </c>
      <c r="HE2042" s="19">
        <v>125</v>
      </c>
      <c r="HF2042" s="19">
        <v>124</v>
      </c>
      <c r="HG2042" s="19">
        <v>123</v>
      </c>
      <c r="HH2042" s="19">
        <v>122</v>
      </c>
      <c r="HI2042" s="19">
        <v>121</v>
      </c>
      <c r="HJ2042" s="19">
        <v>120</v>
      </c>
      <c r="HK2042" s="19">
        <v>119</v>
      </c>
      <c r="HL2042" s="19">
        <v>118</v>
      </c>
      <c r="HM2042" s="19">
        <v>117</v>
      </c>
      <c r="HN2042" s="19">
        <v>116</v>
      </c>
      <c r="HO2042" s="19">
        <v>115</v>
      </c>
      <c r="HP2042" s="19">
        <v>114</v>
      </c>
      <c r="HQ2042" s="20">
        <v>0</v>
      </c>
      <c r="HR2042" s="20">
        <v>0</v>
      </c>
      <c r="HS2042" s="9"/>
      <c r="HT2042" s="19">
        <v>110</v>
      </c>
      <c r="HU2042" s="19">
        <v>110</v>
      </c>
      <c r="HV2042" s="19">
        <v>109</v>
      </c>
      <c r="HW2042" s="19">
        <v>108</v>
      </c>
      <c r="HX2042" s="19">
        <v>107</v>
      </c>
      <c r="HY2042" s="19">
        <v>106</v>
      </c>
      <c r="HZ2042" s="19">
        <v>105</v>
      </c>
      <c r="IA2042" s="19">
        <v>104</v>
      </c>
      <c r="IB2042" s="19">
        <v>103</v>
      </c>
      <c r="IC2042" s="19">
        <v>102</v>
      </c>
    </row>
    <row r="2043">
      <c r="A2043" s="2" t="s">
        <v>7368</v>
      </c>
      <c r="B2043" s="2" t="s">
        <v>871</v>
      </c>
      <c r="C2043" s="2" t="s">
        <v>324</v>
      </c>
      <c r="D2043" s="2" t="s">
        <v>361</v>
      </c>
      <c r="E2043" s="2" t="s">
        <v>872</v>
      </c>
      <c r="F2043" s="2" t="s">
        <v>7369</v>
      </c>
      <c r="G2043" s="2" t="s">
        <v>7370</v>
      </c>
      <c r="H2043" s="2" t="s">
        <v>7371</v>
      </c>
      <c r="I2043" s="2" t="s">
        <v>5400</v>
      </c>
      <c r="J2043" s="2" t="s">
        <v>272</v>
      </c>
      <c r="K2043" s="2" t="s">
        <v>292</v>
      </c>
      <c r="L2043" s="3">
        <v>70.55</v>
      </c>
      <c r="M2043" s="3">
        <v>74.08</v>
      </c>
      <c r="N2043" s="3">
        <v>149.99</v>
      </c>
      <c r="O2043" s="2" t="s">
        <v>232</v>
      </c>
      <c r="P2043" s="2" t="s">
        <v>408</v>
      </c>
      <c r="Q2043" s="2" t="s">
        <v>234</v>
      </c>
      <c r="R2043" s="2" t="s">
        <v>235</v>
      </c>
      <c r="S2043" s="2" t="s">
        <v>7372</v>
      </c>
      <c r="T2043" s="2" t="s">
        <v>2235</v>
      </c>
      <c r="U2043" s="2" t="s">
        <v>742</v>
      </c>
      <c r="V2043" s="2" t="s">
        <v>1132</v>
      </c>
      <c r="W2043" s="2" t="s">
        <v>1029</v>
      </c>
      <c r="X2043" s="2" t="s">
        <v>6994</v>
      </c>
      <c r="Y2043" s="2" t="s">
        <v>240</v>
      </c>
      <c r="Z2043" s="4">
        <v>177</v>
      </c>
      <c r="AA2043" s="4">
        <f>=ROUNDDOWN(27.65625,0)</f>
      </c>
      <c r="AB2043" s="5">
        <v>6.4</v>
      </c>
      <c r="AC2043" s="2" t="s">
        <v>235</v>
      </c>
      <c r="AD2043" s="4"/>
      <c r="AE2043" s="4"/>
      <c r="AF2043" s="6">
        <v>78</v>
      </c>
      <c r="AG2043" s="6"/>
      <c r="AH2043" s="7">
        <v>1</v>
      </c>
      <c r="AI2043" s="4"/>
      <c r="AJ2043" s="4">
        <f>=ROUNDDOWN({0},0)</f>
      </c>
      <c r="AK2043" s="5"/>
      <c r="AL2043" s="2" t="s">
        <v>235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/>
      <c r="BD2043" s="8"/>
      <c r="BE2043" s="4"/>
      <c r="BF2043" s="8"/>
      <c r="BG2043" s="7"/>
      <c r="BH2043" s="7"/>
      <c r="BI2043" s="7"/>
      <c r="BJ2043" s="4">
        <v>29</v>
      </c>
      <c r="BK2043" s="8">
        <v>2361.53</v>
      </c>
      <c r="BL2043" s="2" t="s">
        <v>7373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7374</v>
      </c>
      <c r="BV2043" s="2" t="s">
        <v>243</v>
      </c>
      <c r="BW2043" s="2" t="s">
        <v>235</v>
      </c>
      <c r="BX2043" s="2" t="s">
        <v>383</v>
      </c>
      <c r="BY2043" s="2" t="s">
        <v>245</v>
      </c>
      <c r="BZ2043" s="2" t="s">
        <v>232</v>
      </c>
      <c r="CA2043" s="2" t="s">
        <v>252</v>
      </c>
      <c r="CB2043" s="2" t="s">
        <v>2045</v>
      </c>
      <c r="CC2043" s="2" t="s">
        <v>248</v>
      </c>
      <c r="CD2043" s="2" t="s">
        <v>248</v>
      </c>
      <c r="CE2043" s="2" t="s">
        <v>235</v>
      </c>
      <c r="CF2043" s="4">
        <v>105</v>
      </c>
      <c r="CG2043" s="4">
        <v>53</v>
      </c>
      <c r="CH2043" s="4"/>
      <c r="CI2043" s="4">
        <v>19</v>
      </c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>
        <v>189</v>
      </c>
      <c r="GE2043" s="4">
        <v>183</v>
      </c>
      <c r="GF2043" s="4">
        <v>177</v>
      </c>
      <c r="GG2043" s="4">
        <v>172</v>
      </c>
      <c r="GH2043" s="4">
        <v>170</v>
      </c>
      <c r="GI2043" s="4">
        <v>162</v>
      </c>
      <c r="GJ2043" s="4">
        <v>155</v>
      </c>
      <c r="GK2043" s="4">
        <v>148</v>
      </c>
      <c r="GL2043" s="4">
        <v>140</v>
      </c>
      <c r="GM2043" s="4">
        <v>135</v>
      </c>
      <c r="GN2043" s="4">
        <v>129</v>
      </c>
      <c r="GO2043" s="4">
        <v>124</v>
      </c>
      <c r="GP2043" s="4">
        <v>117</v>
      </c>
      <c r="GQ2043" s="4">
        <v>108</v>
      </c>
      <c r="GR2043" s="4">
        <v>101</v>
      </c>
      <c r="GS2043" s="4">
        <v>93</v>
      </c>
      <c r="GT2043" s="4">
        <v>88</v>
      </c>
      <c r="GU2043" s="4">
        <v>81</v>
      </c>
      <c r="GV2043" s="4">
        <v>72</v>
      </c>
      <c r="GW2043" s="4">
        <v>65</v>
      </c>
      <c r="GX2043" s="4">
        <v>61</v>
      </c>
      <c r="GY2043" s="4">
        <v>54</v>
      </c>
      <c r="GZ2043" s="4">
        <v>49</v>
      </c>
      <c r="HA2043" s="4">
        <v>42</v>
      </c>
      <c r="HB2043" s="4">
        <v>34</v>
      </c>
      <c r="HC2043" s="4">
        <v>25</v>
      </c>
      <c r="HD2043" s="19">
        <v>37.8</v>
      </c>
      <c r="HE2043" s="19">
        <v>36.6</v>
      </c>
      <c r="HF2043" s="19">
        <v>29.5</v>
      </c>
      <c r="HG2043" s="19">
        <v>28.7</v>
      </c>
      <c r="HH2043" s="19">
        <v>21.3</v>
      </c>
      <c r="HI2043" s="19">
        <v>23.1</v>
      </c>
      <c r="HJ2043" s="19">
        <v>25.8</v>
      </c>
      <c r="HK2043" s="19">
        <v>24.7</v>
      </c>
      <c r="HL2043" s="19">
        <v>23.3</v>
      </c>
      <c r="HM2043" s="19">
        <v>19.3</v>
      </c>
      <c r="HN2043" s="19">
        <v>18.4</v>
      </c>
      <c r="HO2043" s="19">
        <v>15.5</v>
      </c>
      <c r="HP2043" s="19">
        <v>16.7</v>
      </c>
      <c r="HQ2043" s="19">
        <v>15.4</v>
      </c>
      <c r="HR2043" s="19">
        <v>14.4</v>
      </c>
      <c r="HS2043" s="19">
        <v>13.3</v>
      </c>
      <c r="HT2043" s="19">
        <v>12.6</v>
      </c>
      <c r="HU2043" s="19">
        <v>11.6</v>
      </c>
      <c r="HV2043" s="19">
        <v>12</v>
      </c>
      <c r="HW2043" s="19">
        <v>10.8</v>
      </c>
      <c r="HX2043" s="19">
        <v>8.7</v>
      </c>
      <c r="HY2043" s="19">
        <v>7.7</v>
      </c>
      <c r="HZ2043" s="19">
        <v>6.1</v>
      </c>
      <c r="IA2043" s="19">
        <v>5.3</v>
      </c>
      <c r="IB2043" s="19">
        <v>4.9</v>
      </c>
      <c r="IC2043" s="19">
        <v>4.2</v>
      </c>
    </row>
    <row r="2044">
      <c r="A2044" s="2" t="s">
        <v>7375</v>
      </c>
      <c r="B2044" s="2" t="s">
        <v>905</v>
      </c>
      <c r="C2044" s="2" t="s">
        <v>324</v>
      </c>
      <c r="D2044" s="2" t="s">
        <v>990</v>
      </c>
      <c r="E2044" s="2" t="s">
        <v>991</v>
      </c>
      <c r="F2044" s="2" t="s">
        <v>7376</v>
      </c>
      <c r="G2044" s="2" t="s">
        <v>2197</v>
      </c>
      <c r="H2044" s="2" t="s">
        <v>2197</v>
      </c>
      <c r="I2044" s="2" t="s">
        <v>7377</v>
      </c>
      <c r="J2044" s="2" t="s">
        <v>993</v>
      </c>
      <c r="K2044" s="2" t="s">
        <v>295</v>
      </c>
      <c r="L2044" s="3">
        <v>22.92</v>
      </c>
      <c r="M2044" s="3">
        <v>24.07</v>
      </c>
      <c r="N2044" s="3">
        <v>49.99</v>
      </c>
      <c r="O2044" s="2" t="s">
        <v>232</v>
      </c>
      <c r="P2044" s="2" t="s">
        <v>233</v>
      </c>
      <c r="Q2044" s="2" t="s">
        <v>234</v>
      </c>
      <c r="R2044" s="2" t="s">
        <v>235</v>
      </c>
      <c r="S2044" s="2" t="s">
        <v>7378</v>
      </c>
      <c r="T2044" s="2" t="s">
        <v>912</v>
      </c>
      <c r="U2044" s="2" t="s">
        <v>807</v>
      </c>
      <c r="V2044" s="2" t="s">
        <v>238</v>
      </c>
      <c r="W2044" s="2" t="s">
        <v>329</v>
      </c>
      <c r="X2044" s="2" t="s">
        <v>235</v>
      </c>
      <c r="Y2044" s="2" t="s">
        <v>7379</v>
      </c>
      <c r="Z2044" s="4">
        <v>661</v>
      </c>
      <c r="AA2044" s="4">
        <f>=ROUNDDOWN(28.7391304347826,0)</f>
      </c>
      <c r="AB2044" s="5">
        <v>23</v>
      </c>
      <c r="AC2044" s="2" t="s">
        <v>201</v>
      </c>
      <c r="AD2044" s="4">
        <v>500</v>
      </c>
      <c r="AE2044" s="4">
        <v>500</v>
      </c>
      <c r="AF2044" s="6">
        <v>64</v>
      </c>
      <c r="AG2044" s="6"/>
      <c r="AH2044" s="7">
        <v>1</v>
      </c>
      <c r="AI2044" s="4"/>
      <c r="AJ2044" s="4">
        <f>=ROUNDDOWN({0},0)</f>
      </c>
      <c r="AK2044" s="5"/>
      <c r="AL2044" s="2" t="s">
        <v>235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235</v>
      </c>
      <c r="BD2044" s="8" t="s">
        <v>235</v>
      </c>
      <c r="BE2044" s="4" t="s">
        <v>235</v>
      </c>
      <c r="BF2044" s="8" t="s">
        <v>235</v>
      </c>
      <c r="BG2044" s="7" t="s">
        <v>235</v>
      </c>
      <c r="BH2044" s="7" t="s">
        <v>235</v>
      </c>
      <c r="BI2044" s="7"/>
      <c r="BJ2044" s="4">
        <v>95</v>
      </c>
      <c r="BK2044" s="8">
        <v>2616.45</v>
      </c>
      <c r="BL2044" s="2" t="s">
        <v>2310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7380</v>
      </c>
      <c r="BV2044" s="2" t="s">
        <v>243</v>
      </c>
      <c r="BW2044" s="2" t="s">
        <v>235</v>
      </c>
      <c r="BX2044" s="2" t="s">
        <v>244</v>
      </c>
      <c r="BY2044" s="2" t="s">
        <v>245</v>
      </c>
      <c r="BZ2044" s="2" t="s">
        <v>232</v>
      </c>
      <c r="CA2044" s="2" t="s">
        <v>3955</v>
      </c>
      <c r="CB2044" s="2" t="s">
        <v>2759</v>
      </c>
      <c r="CC2044" s="2" t="s">
        <v>248</v>
      </c>
      <c r="CD2044" s="2" t="s">
        <v>248</v>
      </c>
      <c r="CE2044" s="2" t="s">
        <v>235</v>
      </c>
      <c r="CF2044" s="4">
        <v>661</v>
      </c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>
        <v>500</v>
      </c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>
        <v>681</v>
      </c>
      <c r="GE2044" s="4">
        <v>643</v>
      </c>
      <c r="GF2044" s="4">
        <v>619</v>
      </c>
      <c r="GG2044" s="4">
        <v>595</v>
      </c>
      <c r="GH2044" s="4">
        <v>571</v>
      </c>
      <c r="GI2044" s="4">
        <v>542</v>
      </c>
      <c r="GJ2044" s="4">
        <v>511</v>
      </c>
      <c r="GK2044" s="4">
        <v>483</v>
      </c>
      <c r="GL2044" s="4">
        <v>454</v>
      </c>
      <c r="GM2044" s="4">
        <v>427</v>
      </c>
      <c r="GN2044" s="4">
        <v>390</v>
      </c>
      <c r="GO2044" s="4">
        <v>325</v>
      </c>
      <c r="GP2044" s="4">
        <v>259</v>
      </c>
      <c r="GQ2044" s="4">
        <v>146</v>
      </c>
      <c r="GR2044" s="4">
        <v>561</v>
      </c>
      <c r="GS2044" s="4">
        <v>447</v>
      </c>
      <c r="GT2044" s="4">
        <v>388</v>
      </c>
      <c r="GU2044" s="4">
        <v>340</v>
      </c>
      <c r="GV2044" s="4">
        <v>290</v>
      </c>
      <c r="GW2044" s="4">
        <v>277</v>
      </c>
      <c r="GX2044" s="4">
        <v>264</v>
      </c>
      <c r="GY2044" s="4">
        <v>251</v>
      </c>
      <c r="GZ2044" s="4">
        <v>228</v>
      </c>
      <c r="HA2044" s="4">
        <v>205</v>
      </c>
      <c r="HB2044" s="4">
        <v>182</v>
      </c>
      <c r="HC2044" s="4">
        <v>157</v>
      </c>
      <c r="HD2044" s="19">
        <v>24.3</v>
      </c>
      <c r="HE2044" s="19">
        <v>25.7</v>
      </c>
      <c r="HF2044" s="19">
        <v>22.9</v>
      </c>
      <c r="HG2044" s="19">
        <v>21.3</v>
      </c>
      <c r="HH2044" s="19">
        <v>19.7</v>
      </c>
      <c r="HI2044" s="19">
        <v>18.7</v>
      </c>
      <c r="HJ2044" s="19">
        <v>17</v>
      </c>
      <c r="HK2044" s="19">
        <v>12.1</v>
      </c>
      <c r="HL2044" s="19">
        <v>9.3</v>
      </c>
      <c r="HM2044" s="19">
        <v>6.1</v>
      </c>
      <c r="HN2044" s="19">
        <v>4.8</v>
      </c>
      <c r="HO2044" s="19">
        <v>3.5</v>
      </c>
      <c r="HP2044" s="19">
        <v>2.8</v>
      </c>
      <c r="HQ2044" s="19">
        <v>1.9</v>
      </c>
      <c r="HR2044" s="19">
        <v>8.3</v>
      </c>
      <c r="HS2044" s="19">
        <v>10.6</v>
      </c>
      <c r="HT2044" s="19">
        <v>12.5</v>
      </c>
      <c r="HU2044" s="19">
        <v>15.5</v>
      </c>
      <c r="HV2044" s="19">
        <v>18.1</v>
      </c>
      <c r="HW2044" s="19">
        <v>15.4</v>
      </c>
      <c r="HX2044" s="19">
        <v>13.2</v>
      </c>
      <c r="HY2044" s="19">
        <v>10.5</v>
      </c>
      <c r="HZ2044" s="19">
        <v>9.5</v>
      </c>
      <c r="IA2044" s="19">
        <v>8.5</v>
      </c>
      <c r="IB2044" s="19">
        <v>7.6</v>
      </c>
      <c r="IC2044" s="19">
        <v>6.8</v>
      </c>
    </row>
    <row r="2045">
      <c r="A2045" s="2" t="s">
        <v>7381</v>
      </c>
      <c r="B2045" s="2" t="s">
        <v>905</v>
      </c>
      <c r="C2045" s="2" t="s">
        <v>324</v>
      </c>
      <c r="D2045" s="2" t="s">
        <v>990</v>
      </c>
      <c r="E2045" s="2" t="s">
        <v>991</v>
      </c>
      <c r="F2045" s="2" t="s">
        <v>7376</v>
      </c>
      <c r="G2045" s="2" t="s">
        <v>2197</v>
      </c>
      <c r="H2045" s="2" t="s">
        <v>2197</v>
      </c>
      <c r="I2045" s="2" t="s">
        <v>7377</v>
      </c>
      <c r="J2045" s="2" t="s">
        <v>993</v>
      </c>
      <c r="K2045" s="2" t="s">
        <v>1546</v>
      </c>
      <c r="L2045" s="3">
        <v>22.9</v>
      </c>
      <c r="M2045" s="3">
        <v>24.04</v>
      </c>
      <c r="N2045" s="3">
        <v>49.99</v>
      </c>
      <c r="O2045" s="2" t="s">
        <v>232</v>
      </c>
      <c r="P2045" s="2" t="s">
        <v>878</v>
      </c>
      <c r="Q2045" s="2" t="s">
        <v>234</v>
      </c>
      <c r="R2045" s="2" t="s">
        <v>235</v>
      </c>
      <c r="S2045" s="2" t="s">
        <v>235</v>
      </c>
      <c r="T2045" s="2" t="s">
        <v>912</v>
      </c>
      <c r="U2045" s="2" t="s">
        <v>807</v>
      </c>
      <c r="V2045" s="2" t="s">
        <v>238</v>
      </c>
      <c r="W2045" s="2" t="s">
        <v>329</v>
      </c>
      <c r="X2045" s="2" t="s">
        <v>235</v>
      </c>
      <c r="Y2045" s="2" t="s">
        <v>3459</v>
      </c>
      <c r="Z2045" s="4">
        <v>879</v>
      </c>
      <c r="AA2045" s="4">
        <f>=ROUNDDOWN(73.25,0)</f>
      </c>
      <c r="AB2045" s="5">
        <v>12</v>
      </c>
      <c r="AC2045" s="2" t="s">
        <v>235</v>
      </c>
      <c r="AD2045" s="4"/>
      <c r="AE2045" s="4"/>
      <c r="AF2045" s="6">
        <v>64</v>
      </c>
      <c r="AG2045" s="6"/>
      <c r="AH2045" s="7">
        <v>1</v>
      </c>
      <c r="AI2045" s="4"/>
      <c r="AJ2045" s="4">
        <f>=ROUNDDOWN({0},0)</f>
      </c>
      <c r="AK2045" s="5"/>
      <c r="AL2045" s="2" t="s">
        <v>235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235</v>
      </c>
      <c r="BD2045" s="8" t="s">
        <v>235</v>
      </c>
      <c r="BE2045" s="4" t="s">
        <v>235</v>
      </c>
      <c r="BF2045" s="8" t="s">
        <v>235</v>
      </c>
      <c r="BG2045" s="7" t="s">
        <v>235</v>
      </c>
      <c r="BH2045" s="7" t="s">
        <v>235</v>
      </c>
      <c r="BI2045" s="7"/>
      <c r="BJ2045" s="4"/>
      <c r="BK2045" s="8"/>
      <c r="BL2045" s="2" t="s">
        <v>235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7380</v>
      </c>
      <c r="BV2045" s="2" t="s">
        <v>235</v>
      </c>
      <c r="BW2045" s="2" t="s">
        <v>235</v>
      </c>
      <c r="BX2045" s="2" t="s">
        <v>244</v>
      </c>
      <c r="BY2045" s="2" t="s">
        <v>245</v>
      </c>
      <c r="BZ2045" s="2" t="s">
        <v>232</v>
      </c>
      <c r="CA2045" s="2" t="s">
        <v>235</v>
      </c>
      <c r="CB2045" s="2" t="s">
        <v>235</v>
      </c>
      <c r="CC2045" s="2" t="s">
        <v>248</v>
      </c>
      <c r="CD2045" s="2" t="s">
        <v>248</v>
      </c>
      <c r="CE2045" s="2" t="s">
        <v>235</v>
      </c>
      <c r="CF2045" s="4">
        <v>400</v>
      </c>
      <c r="CG2045" s="4"/>
      <c r="CH2045" s="4"/>
      <c r="CI2045" s="4">
        <v>479</v>
      </c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>
        <v>880</v>
      </c>
      <c r="GE2045" s="4">
        <v>870</v>
      </c>
      <c r="GF2045" s="4">
        <v>867</v>
      </c>
      <c r="GG2045" s="4">
        <v>862</v>
      </c>
      <c r="GH2045" s="4">
        <v>857</v>
      </c>
      <c r="GI2045" s="4">
        <v>839</v>
      </c>
      <c r="GJ2045" s="4">
        <v>819</v>
      </c>
      <c r="GK2045" s="4">
        <v>802</v>
      </c>
      <c r="GL2045" s="4">
        <v>784</v>
      </c>
      <c r="GM2045" s="4">
        <v>759</v>
      </c>
      <c r="GN2045" s="4">
        <v>725</v>
      </c>
      <c r="GO2045" s="4">
        <v>666</v>
      </c>
      <c r="GP2045" s="4">
        <v>606</v>
      </c>
      <c r="GQ2045" s="4">
        <v>503</v>
      </c>
      <c r="GR2045" s="4">
        <v>425</v>
      </c>
      <c r="GS2045" s="4">
        <v>321</v>
      </c>
      <c r="GT2045" s="4">
        <v>267</v>
      </c>
      <c r="GU2045" s="4">
        <v>223</v>
      </c>
      <c r="GV2045" s="4">
        <v>177</v>
      </c>
      <c r="GW2045" s="4">
        <v>165</v>
      </c>
      <c r="GX2045" s="4">
        <v>153</v>
      </c>
      <c r="GY2045" s="4">
        <v>141</v>
      </c>
      <c r="GZ2045" s="4">
        <v>129</v>
      </c>
      <c r="HA2045" s="4">
        <v>117</v>
      </c>
      <c r="HB2045" s="4">
        <v>505</v>
      </c>
      <c r="HC2045" s="4">
        <v>492</v>
      </c>
      <c r="HD2045" s="19">
        <v>146.7</v>
      </c>
      <c r="HE2045" s="19">
        <v>108.8</v>
      </c>
      <c r="HF2045" s="19">
        <v>72.3</v>
      </c>
      <c r="HG2045" s="19">
        <v>57.5</v>
      </c>
      <c r="HH2045" s="19">
        <v>47.6</v>
      </c>
      <c r="HI2045" s="19">
        <v>42</v>
      </c>
      <c r="HJ2045" s="19">
        <v>34.1</v>
      </c>
      <c r="HK2045" s="19">
        <v>23.6</v>
      </c>
      <c r="HL2045" s="19">
        <v>17.8</v>
      </c>
      <c r="HM2045" s="19">
        <v>11.9</v>
      </c>
      <c r="HN2045" s="19">
        <v>9.7</v>
      </c>
      <c r="HO2045" s="19">
        <v>7.7</v>
      </c>
      <c r="HP2045" s="19">
        <v>7.1</v>
      </c>
      <c r="HQ2045" s="19">
        <v>7.2</v>
      </c>
      <c r="HR2045" s="19">
        <v>6.9</v>
      </c>
      <c r="HS2045" s="19">
        <v>8.2</v>
      </c>
      <c r="HT2045" s="19">
        <v>9.5</v>
      </c>
      <c r="HU2045" s="19">
        <v>11.2</v>
      </c>
      <c r="HV2045" s="19">
        <v>14.8</v>
      </c>
      <c r="HW2045" s="19">
        <v>13.8</v>
      </c>
      <c r="HX2045" s="19">
        <v>12.8</v>
      </c>
      <c r="HY2045" s="19">
        <v>11.8</v>
      </c>
      <c r="HZ2045" s="19">
        <v>10.8</v>
      </c>
      <c r="IA2045" s="19">
        <v>9.8</v>
      </c>
      <c r="IB2045" s="19">
        <v>42.1</v>
      </c>
      <c r="IC2045" s="19">
        <v>41</v>
      </c>
    </row>
    <row r="2046">
      <c r="A2046" s="2" t="s">
        <v>7382</v>
      </c>
      <c r="B2046" s="2" t="s">
        <v>905</v>
      </c>
      <c r="C2046" s="2" t="s">
        <v>324</v>
      </c>
      <c r="D2046" s="2" t="s">
        <v>990</v>
      </c>
      <c r="E2046" s="2" t="s">
        <v>991</v>
      </c>
      <c r="F2046" s="2" t="s">
        <v>7376</v>
      </c>
      <c r="G2046" s="2" t="s">
        <v>2197</v>
      </c>
      <c r="H2046" s="2" t="s">
        <v>2197</v>
      </c>
      <c r="I2046" s="2" t="s">
        <v>7377</v>
      </c>
      <c r="J2046" s="2" t="s">
        <v>993</v>
      </c>
      <c r="K2046" s="2" t="s">
        <v>889</v>
      </c>
      <c r="L2046" s="3">
        <v>22.9</v>
      </c>
      <c r="M2046" s="3">
        <v>24.04</v>
      </c>
      <c r="N2046" s="3">
        <v>49.99</v>
      </c>
      <c r="O2046" s="2" t="s">
        <v>232</v>
      </c>
      <c r="P2046" s="2" t="s">
        <v>878</v>
      </c>
      <c r="Q2046" s="2" t="s">
        <v>234</v>
      </c>
      <c r="R2046" s="2" t="s">
        <v>235</v>
      </c>
      <c r="S2046" s="2" t="s">
        <v>235</v>
      </c>
      <c r="T2046" s="2" t="s">
        <v>912</v>
      </c>
      <c r="U2046" s="2" t="s">
        <v>807</v>
      </c>
      <c r="V2046" s="2" t="s">
        <v>238</v>
      </c>
      <c r="W2046" s="2" t="s">
        <v>329</v>
      </c>
      <c r="X2046" s="2" t="s">
        <v>235</v>
      </c>
      <c r="Y2046" s="2" t="s">
        <v>3459</v>
      </c>
      <c r="Z2046" s="4">
        <v>990</v>
      </c>
      <c r="AA2046" s="4">
        <f>=ROUNDDOWN(90,0)</f>
      </c>
      <c r="AB2046" s="5">
        <v>11</v>
      </c>
      <c r="AC2046" s="2" t="s">
        <v>235</v>
      </c>
      <c r="AD2046" s="4"/>
      <c r="AE2046" s="4"/>
      <c r="AF2046" s="6">
        <v>64</v>
      </c>
      <c r="AG2046" s="6"/>
      <c r="AH2046" s="7">
        <v>1</v>
      </c>
      <c r="AI2046" s="4"/>
      <c r="AJ2046" s="4">
        <f>=ROUNDDOWN({0},0)</f>
      </c>
      <c r="AK2046" s="5"/>
      <c r="AL2046" s="2" t="s">
        <v>235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235</v>
      </c>
      <c r="BD2046" s="8" t="s">
        <v>235</v>
      </c>
      <c r="BE2046" s="4" t="s">
        <v>235</v>
      </c>
      <c r="BF2046" s="8" t="s">
        <v>235</v>
      </c>
      <c r="BG2046" s="7" t="s">
        <v>235</v>
      </c>
      <c r="BH2046" s="7" t="s">
        <v>235</v>
      </c>
      <c r="BI2046" s="7"/>
      <c r="BJ2046" s="4"/>
      <c r="BK2046" s="8"/>
      <c r="BL2046" s="2" t="s">
        <v>235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7380</v>
      </c>
      <c r="BV2046" s="2" t="s">
        <v>235</v>
      </c>
      <c r="BW2046" s="2" t="s">
        <v>235</v>
      </c>
      <c r="BX2046" s="2" t="s">
        <v>244</v>
      </c>
      <c r="BY2046" s="2" t="s">
        <v>245</v>
      </c>
      <c r="BZ2046" s="2" t="s">
        <v>232</v>
      </c>
      <c r="CA2046" s="2" t="s">
        <v>235</v>
      </c>
      <c r="CB2046" s="2" t="s">
        <v>235</v>
      </c>
      <c r="CC2046" s="2" t="s">
        <v>248</v>
      </c>
      <c r="CD2046" s="2" t="s">
        <v>248</v>
      </c>
      <c r="CE2046" s="2" t="s">
        <v>235</v>
      </c>
      <c r="CF2046" s="4">
        <v>300</v>
      </c>
      <c r="CG2046" s="4"/>
      <c r="CH2046" s="4"/>
      <c r="CI2046" s="4">
        <v>690</v>
      </c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>
        <v>990</v>
      </c>
      <c r="GE2046" s="4">
        <v>981</v>
      </c>
      <c r="GF2046" s="4">
        <v>978</v>
      </c>
      <c r="GG2046" s="4">
        <v>973</v>
      </c>
      <c r="GH2046" s="4">
        <v>968</v>
      </c>
      <c r="GI2046" s="4">
        <v>951</v>
      </c>
      <c r="GJ2046" s="4">
        <v>932</v>
      </c>
      <c r="GK2046" s="4">
        <v>916</v>
      </c>
      <c r="GL2046" s="4">
        <v>899</v>
      </c>
      <c r="GM2046" s="4">
        <v>876</v>
      </c>
      <c r="GN2046" s="4">
        <v>845</v>
      </c>
      <c r="GO2046" s="4">
        <v>791</v>
      </c>
      <c r="GP2046" s="4">
        <v>736</v>
      </c>
      <c r="GQ2046" s="4">
        <v>642</v>
      </c>
      <c r="GR2046" s="4">
        <v>571</v>
      </c>
      <c r="GS2046" s="4">
        <v>476</v>
      </c>
      <c r="GT2046" s="4">
        <v>427</v>
      </c>
      <c r="GU2046" s="4">
        <v>387</v>
      </c>
      <c r="GV2046" s="4">
        <v>345</v>
      </c>
      <c r="GW2046" s="4">
        <v>334</v>
      </c>
      <c r="GX2046" s="4">
        <v>323</v>
      </c>
      <c r="GY2046" s="4">
        <v>312</v>
      </c>
      <c r="GZ2046" s="4">
        <v>301</v>
      </c>
      <c r="HA2046" s="4">
        <v>290</v>
      </c>
      <c r="HB2046" s="4">
        <v>679</v>
      </c>
      <c r="HC2046" s="4">
        <v>667</v>
      </c>
      <c r="HD2046" s="19">
        <v>165</v>
      </c>
      <c r="HE2046" s="19">
        <v>122.6</v>
      </c>
      <c r="HF2046" s="19">
        <v>81.5</v>
      </c>
      <c r="HG2046" s="19">
        <v>69.5</v>
      </c>
      <c r="HH2046" s="19">
        <v>56.9</v>
      </c>
      <c r="HI2046" s="19">
        <v>50.1</v>
      </c>
      <c r="HJ2046" s="19">
        <v>42.4</v>
      </c>
      <c r="HK2046" s="19">
        <v>29.5</v>
      </c>
      <c r="HL2046" s="19">
        <v>21.9</v>
      </c>
      <c r="HM2046" s="19">
        <v>15.1</v>
      </c>
      <c r="HN2046" s="19">
        <v>12.4</v>
      </c>
      <c r="HO2046" s="19">
        <v>10</v>
      </c>
      <c r="HP2046" s="19">
        <v>9.6</v>
      </c>
      <c r="HQ2046" s="19">
        <v>10</v>
      </c>
      <c r="HR2046" s="19">
        <v>10.2</v>
      </c>
      <c r="HS2046" s="19">
        <v>13.2</v>
      </c>
      <c r="HT2046" s="19">
        <v>16.4</v>
      </c>
      <c r="HU2046" s="19">
        <v>20.4</v>
      </c>
      <c r="HV2046" s="19">
        <v>31.4</v>
      </c>
      <c r="HW2046" s="19">
        <v>30.4</v>
      </c>
      <c r="HX2046" s="19">
        <v>29.4</v>
      </c>
      <c r="HY2046" s="19">
        <v>28.4</v>
      </c>
      <c r="HZ2046" s="19">
        <v>27.4</v>
      </c>
      <c r="IA2046" s="19">
        <v>26.4</v>
      </c>
      <c r="IB2046" s="19">
        <v>61.7</v>
      </c>
      <c r="IC2046" s="19">
        <v>60.6</v>
      </c>
    </row>
    <row r="2047">
      <c r="A2047" s="2" t="s">
        <v>7383</v>
      </c>
      <c r="B2047" s="2" t="s">
        <v>905</v>
      </c>
      <c r="C2047" s="2" t="s">
        <v>324</v>
      </c>
      <c r="D2047" s="2" t="s">
        <v>990</v>
      </c>
      <c r="E2047" s="2" t="s">
        <v>991</v>
      </c>
      <c r="F2047" s="2" t="s">
        <v>7376</v>
      </c>
      <c r="G2047" s="2" t="s">
        <v>2197</v>
      </c>
      <c r="H2047" s="2" t="s">
        <v>2197</v>
      </c>
      <c r="I2047" s="2" t="s">
        <v>7377</v>
      </c>
      <c r="J2047" s="2" t="s">
        <v>993</v>
      </c>
      <c r="K2047" s="2" t="s">
        <v>2718</v>
      </c>
      <c r="L2047" s="3">
        <v>22.9</v>
      </c>
      <c r="M2047" s="3">
        <v>24.04</v>
      </c>
      <c r="N2047" s="3">
        <v>49.99</v>
      </c>
      <c r="O2047" s="2" t="s">
        <v>232</v>
      </c>
      <c r="P2047" s="2" t="s">
        <v>878</v>
      </c>
      <c r="Q2047" s="2" t="s">
        <v>234</v>
      </c>
      <c r="R2047" s="2" t="s">
        <v>235</v>
      </c>
      <c r="S2047" s="2" t="s">
        <v>235</v>
      </c>
      <c r="T2047" s="2" t="s">
        <v>912</v>
      </c>
      <c r="U2047" s="2" t="s">
        <v>807</v>
      </c>
      <c r="V2047" s="2" t="s">
        <v>238</v>
      </c>
      <c r="W2047" s="2" t="s">
        <v>329</v>
      </c>
      <c r="X2047" s="2" t="s">
        <v>235</v>
      </c>
      <c r="Y2047" s="2" t="s">
        <v>3459</v>
      </c>
      <c r="Z2047" s="4">
        <v>986</v>
      </c>
      <c r="AA2047" s="4">
        <f>=ROUNDDOWN(75.8461538461539,0)</f>
      </c>
      <c r="AB2047" s="5">
        <v>13</v>
      </c>
      <c r="AC2047" s="2" t="s">
        <v>235</v>
      </c>
      <c r="AD2047" s="4"/>
      <c r="AE2047" s="4"/>
      <c r="AF2047" s="6">
        <v>64</v>
      </c>
      <c r="AG2047" s="6"/>
      <c r="AH2047" s="7">
        <v>1</v>
      </c>
      <c r="AI2047" s="4"/>
      <c r="AJ2047" s="4">
        <f>=ROUNDDOWN({0},0)</f>
      </c>
      <c r="AK2047" s="5"/>
      <c r="AL2047" s="2" t="s">
        <v>235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 t="s">
        <v>235</v>
      </c>
      <c r="BD2047" s="8" t="s">
        <v>235</v>
      </c>
      <c r="BE2047" s="4" t="s">
        <v>235</v>
      </c>
      <c r="BF2047" s="8" t="s">
        <v>235</v>
      </c>
      <c r="BG2047" s="7" t="s">
        <v>235</v>
      </c>
      <c r="BH2047" s="7" t="s">
        <v>235</v>
      </c>
      <c r="BI2047" s="7"/>
      <c r="BJ2047" s="4">
        <v>2</v>
      </c>
      <c r="BK2047" s="8">
        <v>57</v>
      </c>
      <c r="BL2047" s="2" t="s">
        <v>900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7380</v>
      </c>
      <c r="BV2047" s="2" t="s">
        <v>235</v>
      </c>
      <c r="BW2047" s="2" t="s">
        <v>235</v>
      </c>
      <c r="BX2047" s="2" t="s">
        <v>244</v>
      </c>
      <c r="BY2047" s="2" t="s">
        <v>245</v>
      </c>
      <c r="BZ2047" s="2" t="s">
        <v>232</v>
      </c>
      <c r="CA2047" s="2" t="s">
        <v>235</v>
      </c>
      <c r="CB2047" s="2" t="s">
        <v>235</v>
      </c>
      <c r="CC2047" s="2" t="s">
        <v>248</v>
      </c>
      <c r="CD2047" s="2" t="s">
        <v>248</v>
      </c>
      <c r="CE2047" s="2" t="s">
        <v>235</v>
      </c>
      <c r="CF2047" s="4">
        <v>396</v>
      </c>
      <c r="CG2047" s="4"/>
      <c r="CH2047" s="4"/>
      <c r="CI2047" s="4">
        <v>505</v>
      </c>
      <c r="CJ2047" s="4"/>
      <c r="CK2047" s="4"/>
      <c r="CL2047" s="4"/>
      <c r="CM2047" s="4"/>
      <c r="CN2047" s="4"/>
      <c r="CO2047" s="4"/>
      <c r="CP2047" s="4"/>
      <c r="CQ2047" s="4">
        <v>85</v>
      </c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>
        <v>986</v>
      </c>
      <c r="GE2047" s="4">
        <v>977</v>
      </c>
      <c r="GF2047" s="4">
        <v>974</v>
      </c>
      <c r="GG2047" s="4">
        <v>969</v>
      </c>
      <c r="GH2047" s="4">
        <v>964</v>
      </c>
      <c r="GI2047" s="4">
        <v>944</v>
      </c>
      <c r="GJ2047" s="4">
        <v>922</v>
      </c>
      <c r="GK2047" s="4">
        <v>903</v>
      </c>
      <c r="GL2047" s="4">
        <v>883</v>
      </c>
      <c r="GM2047" s="4">
        <v>856</v>
      </c>
      <c r="GN2047" s="4">
        <v>819</v>
      </c>
      <c r="GO2047" s="4">
        <v>754</v>
      </c>
      <c r="GP2047" s="4">
        <v>688</v>
      </c>
      <c r="GQ2047" s="4">
        <v>575</v>
      </c>
      <c r="GR2047" s="4">
        <v>490</v>
      </c>
      <c r="GS2047" s="4">
        <v>376</v>
      </c>
      <c r="GT2047" s="4">
        <v>317</v>
      </c>
      <c r="GU2047" s="4">
        <v>269</v>
      </c>
      <c r="GV2047" s="4">
        <v>219</v>
      </c>
      <c r="GW2047" s="4">
        <v>206</v>
      </c>
      <c r="GX2047" s="4">
        <v>193</v>
      </c>
      <c r="GY2047" s="4">
        <v>180</v>
      </c>
      <c r="GZ2047" s="4">
        <v>167</v>
      </c>
      <c r="HA2047" s="4">
        <v>154</v>
      </c>
      <c r="HB2047" s="4">
        <v>541</v>
      </c>
      <c r="HC2047" s="4">
        <v>527</v>
      </c>
      <c r="HD2047" s="19">
        <v>164.3</v>
      </c>
      <c r="HE2047" s="19">
        <v>122.1</v>
      </c>
      <c r="HF2047" s="19">
        <v>74.9</v>
      </c>
      <c r="HG2047" s="19">
        <v>60.6</v>
      </c>
      <c r="HH2047" s="19">
        <v>48.2</v>
      </c>
      <c r="HI2047" s="19">
        <v>42.9</v>
      </c>
      <c r="HJ2047" s="19">
        <v>35.5</v>
      </c>
      <c r="HK2047" s="19">
        <v>24.4</v>
      </c>
      <c r="HL2047" s="19">
        <v>18</v>
      </c>
      <c r="HM2047" s="19">
        <v>12.2</v>
      </c>
      <c r="HN2047" s="19">
        <v>10</v>
      </c>
      <c r="HO2047" s="19">
        <v>8</v>
      </c>
      <c r="HP2047" s="19">
        <v>7.4</v>
      </c>
      <c r="HQ2047" s="19">
        <v>7.6</v>
      </c>
      <c r="HR2047" s="19">
        <v>7.2</v>
      </c>
      <c r="HS2047" s="19">
        <v>9</v>
      </c>
      <c r="HT2047" s="19">
        <v>10.2</v>
      </c>
      <c r="HU2047" s="19">
        <v>12.2</v>
      </c>
      <c r="HV2047" s="19">
        <v>16.8</v>
      </c>
      <c r="HW2047" s="19">
        <v>15.8</v>
      </c>
      <c r="HX2047" s="19">
        <v>14.8</v>
      </c>
      <c r="HY2047" s="19">
        <v>13.8</v>
      </c>
      <c r="HZ2047" s="19">
        <v>12.8</v>
      </c>
      <c r="IA2047" s="19">
        <v>11.8</v>
      </c>
      <c r="IB2047" s="19">
        <v>41.6</v>
      </c>
      <c r="IC2047" s="19">
        <v>40.5</v>
      </c>
    </row>
    <row r="2048">
      <c r="A2048" s="2" t="s">
        <v>7384</v>
      </c>
      <c r="B2048" s="2" t="s">
        <v>871</v>
      </c>
      <c r="C2048" s="2" t="s">
        <v>1381</v>
      </c>
      <c r="D2048" s="2" t="s">
        <v>361</v>
      </c>
      <c r="E2048" s="2" t="s">
        <v>924</v>
      </c>
      <c r="F2048" s="2" t="s">
        <v>7385</v>
      </c>
      <c r="G2048" s="2" t="s">
        <v>7385</v>
      </c>
      <c r="H2048" s="2" t="s">
        <v>7385</v>
      </c>
      <c r="I2048" s="2" t="s">
        <v>924</v>
      </c>
      <c r="J2048" s="2" t="s">
        <v>365</v>
      </c>
      <c r="K2048" s="2" t="s">
        <v>822</v>
      </c>
      <c r="L2048" s="3">
        <v>78.37</v>
      </c>
      <c r="M2048" s="3">
        <v>82.29</v>
      </c>
      <c r="N2048" s="3">
        <v>189.99</v>
      </c>
      <c r="O2048" s="2" t="s">
        <v>232</v>
      </c>
      <c r="P2048" s="2" t="s">
        <v>878</v>
      </c>
      <c r="Q2048" s="2" t="s">
        <v>234</v>
      </c>
      <c r="R2048" s="2" t="s">
        <v>235</v>
      </c>
      <c r="S2048" s="2" t="s">
        <v>235</v>
      </c>
      <c r="T2048" s="2" t="s">
        <v>263</v>
      </c>
      <c r="U2048" s="2" t="s">
        <v>552</v>
      </c>
      <c r="V2048" s="2" t="s">
        <v>420</v>
      </c>
      <c r="W2048" s="2" t="s">
        <v>235</v>
      </c>
      <c r="X2048" s="2" t="s">
        <v>235</v>
      </c>
      <c r="Y2048" s="2" t="s">
        <v>235</v>
      </c>
      <c r="Z2048" s="4"/>
      <c r="AA2048" s="4">
        <f>=ROUNDDOWN({0},0)</f>
      </c>
      <c r="AB2048" s="5"/>
      <c r="AC2048" s="2" t="s">
        <v>235</v>
      </c>
      <c r="AD2048" s="4"/>
      <c r="AE2048" s="4"/>
      <c r="AF2048" s="6"/>
      <c r="AG2048" s="6"/>
      <c r="AH2048" s="7"/>
      <c r="AI2048" s="4"/>
      <c r="AJ2048" s="4">
        <f>=ROUNDDOWN({0},0)</f>
      </c>
      <c r="AK2048" s="5"/>
      <c r="AL2048" s="2" t="s">
        <v>235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235</v>
      </c>
      <c r="AW2048" s="8" t="s">
        <v>235</v>
      </c>
      <c r="AX2048" s="4" t="s">
        <v>235</v>
      </c>
      <c r="AY2048" s="8" t="s">
        <v>235</v>
      </c>
      <c r="AZ2048" s="7" t="s">
        <v>235</v>
      </c>
      <c r="BA2048" s="7" t="s">
        <v>235</v>
      </c>
      <c r="BB2048" s="7"/>
      <c r="BC2048" s="4" t="s">
        <v>235</v>
      </c>
      <c r="BD2048" s="8" t="s">
        <v>235</v>
      </c>
      <c r="BE2048" s="4" t="s">
        <v>235</v>
      </c>
      <c r="BF2048" s="8" t="s">
        <v>235</v>
      </c>
      <c r="BG2048" s="7" t="s">
        <v>235</v>
      </c>
      <c r="BH2048" s="7" t="s">
        <v>235</v>
      </c>
      <c r="BI2048" s="7"/>
      <c r="BJ2048" s="4"/>
      <c r="BK2048" s="8"/>
      <c r="BL2048" s="2" t="s">
        <v>235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330</v>
      </c>
      <c r="BV2048" s="2" t="s">
        <v>235</v>
      </c>
      <c r="BW2048" s="2" t="s">
        <v>235</v>
      </c>
      <c r="BX2048" s="2" t="s">
        <v>330</v>
      </c>
      <c r="BY2048" s="2" t="s">
        <v>6787</v>
      </c>
      <c r="BZ2048" s="2" t="s">
        <v>232</v>
      </c>
      <c r="CA2048" s="2" t="s">
        <v>235</v>
      </c>
      <c r="CB2048" s="2" t="s">
        <v>235</v>
      </c>
      <c r="CC2048" s="2" t="s">
        <v>248</v>
      </c>
      <c r="CD2048" s="2" t="s">
        <v>248</v>
      </c>
      <c r="CE2048" s="2" t="s">
        <v>235</v>
      </c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/>
      <c r="GY2048" s="4"/>
      <c r="GZ2048" s="4"/>
      <c r="HA2048" s="4"/>
      <c r="HB2048" s="4"/>
      <c r="HC2048" s="4"/>
      <c r="HD2048" s="9"/>
      <c r="HE2048" s="9"/>
      <c r="HF2048" s="9"/>
      <c r="HG2048" s="9"/>
      <c r="HH2048" s="9"/>
      <c r="HI2048" s="9"/>
      <c r="HJ2048" s="9"/>
      <c r="HK2048" s="9"/>
      <c r="HL2048" s="9"/>
      <c r="HM2048" s="9"/>
      <c r="HN2048" s="9"/>
      <c r="HO2048" s="9"/>
      <c r="HP2048" s="9"/>
      <c r="HQ2048" s="9"/>
      <c r="HR2048" s="9"/>
      <c r="HS2048" s="9"/>
      <c r="HT2048" s="9"/>
      <c r="HU2048" s="9"/>
      <c r="HV2048" s="9"/>
      <c r="HW2048" s="9"/>
      <c r="HX2048" s="9"/>
      <c r="HY2048" s="9"/>
      <c r="HZ2048" s="9"/>
      <c r="IA2048" s="9"/>
      <c r="IB2048" s="9"/>
      <c r="IC2048" s="9"/>
    </row>
    <row r="2049">
      <c r="A2049" s="2" t="s">
        <v>7386</v>
      </c>
      <c r="B2049" s="2" t="s">
        <v>871</v>
      </c>
      <c r="C2049" s="2" t="s">
        <v>1381</v>
      </c>
      <c r="D2049" s="2" t="s">
        <v>361</v>
      </c>
      <c r="E2049" s="2" t="s">
        <v>924</v>
      </c>
      <c r="F2049" s="2" t="s">
        <v>7385</v>
      </c>
      <c r="G2049" s="2" t="s">
        <v>7385</v>
      </c>
      <c r="H2049" s="2" t="s">
        <v>7385</v>
      </c>
      <c r="I2049" s="2" t="s">
        <v>924</v>
      </c>
      <c r="J2049" s="2" t="s">
        <v>372</v>
      </c>
      <c r="K2049" s="2" t="s">
        <v>822</v>
      </c>
      <c r="L2049" s="3">
        <v>90.75</v>
      </c>
      <c r="M2049" s="3">
        <v>95.29</v>
      </c>
      <c r="N2049" s="3">
        <v>219.99</v>
      </c>
      <c r="O2049" s="2" t="s">
        <v>232</v>
      </c>
      <c r="P2049" s="2" t="s">
        <v>878</v>
      </c>
      <c r="Q2049" s="2" t="s">
        <v>234</v>
      </c>
      <c r="R2049" s="2" t="s">
        <v>235</v>
      </c>
      <c r="S2049" s="2" t="s">
        <v>235</v>
      </c>
      <c r="T2049" s="2" t="s">
        <v>263</v>
      </c>
      <c r="U2049" s="2" t="s">
        <v>552</v>
      </c>
      <c r="V2049" s="2" t="s">
        <v>420</v>
      </c>
      <c r="W2049" s="2" t="s">
        <v>235</v>
      </c>
      <c r="X2049" s="2" t="s">
        <v>235</v>
      </c>
      <c r="Y2049" s="2" t="s">
        <v>235</v>
      </c>
      <c r="Z2049" s="4"/>
      <c r="AA2049" s="4">
        <f>=ROUNDDOWN({0},0)</f>
      </c>
      <c r="AB2049" s="5"/>
      <c r="AC2049" s="2" t="s">
        <v>235</v>
      </c>
      <c r="AD2049" s="4"/>
      <c r="AE2049" s="4"/>
      <c r="AF2049" s="6"/>
      <c r="AG2049" s="6"/>
      <c r="AH2049" s="7"/>
      <c r="AI2049" s="4"/>
      <c r="AJ2049" s="4">
        <f>=ROUNDDOWN({0},0)</f>
      </c>
      <c r="AK2049" s="5"/>
      <c r="AL2049" s="2" t="s">
        <v>235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235</v>
      </c>
      <c r="AW2049" s="8" t="s">
        <v>235</v>
      </c>
      <c r="AX2049" s="4" t="s">
        <v>235</v>
      </c>
      <c r="AY2049" s="8" t="s">
        <v>235</v>
      </c>
      <c r="AZ2049" s="7" t="s">
        <v>235</v>
      </c>
      <c r="BA2049" s="7" t="s">
        <v>235</v>
      </c>
      <c r="BB2049" s="7"/>
      <c r="BC2049" s="4" t="s">
        <v>235</v>
      </c>
      <c r="BD2049" s="8" t="s">
        <v>235</v>
      </c>
      <c r="BE2049" s="4" t="s">
        <v>235</v>
      </c>
      <c r="BF2049" s="8" t="s">
        <v>235</v>
      </c>
      <c r="BG2049" s="7" t="s">
        <v>235</v>
      </c>
      <c r="BH2049" s="7" t="s">
        <v>235</v>
      </c>
      <c r="BI2049" s="7"/>
      <c r="BJ2049" s="4"/>
      <c r="BK2049" s="8"/>
      <c r="BL2049" s="2" t="s">
        <v>235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330</v>
      </c>
      <c r="BV2049" s="2" t="s">
        <v>235</v>
      </c>
      <c r="BW2049" s="2" t="s">
        <v>235</v>
      </c>
      <c r="BX2049" s="2" t="s">
        <v>330</v>
      </c>
      <c r="BY2049" s="2" t="s">
        <v>6787</v>
      </c>
      <c r="BZ2049" s="2" t="s">
        <v>232</v>
      </c>
      <c r="CA2049" s="2" t="s">
        <v>235</v>
      </c>
      <c r="CB2049" s="2" t="s">
        <v>235</v>
      </c>
      <c r="CC2049" s="2" t="s">
        <v>248</v>
      </c>
      <c r="CD2049" s="2" t="s">
        <v>248</v>
      </c>
      <c r="CE2049" s="2" t="s">
        <v>235</v>
      </c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/>
      <c r="GY2049" s="4"/>
      <c r="GZ2049" s="4"/>
      <c r="HA2049" s="4"/>
      <c r="HB2049" s="4"/>
      <c r="HC2049" s="4"/>
      <c r="HD2049" s="9"/>
      <c r="HE2049" s="9"/>
      <c r="HF2049" s="9"/>
      <c r="HG2049" s="9"/>
      <c r="HH2049" s="9"/>
      <c r="HI2049" s="9"/>
      <c r="HJ2049" s="9"/>
      <c r="HK2049" s="9"/>
      <c r="HL2049" s="9"/>
      <c r="HM2049" s="9"/>
      <c r="HN2049" s="9"/>
      <c r="HO2049" s="9"/>
      <c r="HP2049" s="9"/>
      <c r="HQ2049" s="9"/>
      <c r="HR2049" s="9"/>
      <c r="HS2049" s="9"/>
      <c r="HT2049" s="9"/>
      <c r="HU2049" s="9"/>
      <c r="HV2049" s="9"/>
      <c r="HW2049" s="9"/>
      <c r="HX2049" s="9"/>
      <c r="HY2049" s="9"/>
      <c r="HZ2049" s="9"/>
      <c r="IA2049" s="9"/>
      <c r="IB2049" s="9"/>
      <c r="IC2049" s="9"/>
    </row>
    <row r="2050">
      <c r="A2050" s="2" t="s">
        <v>7387</v>
      </c>
      <c r="B2050" s="2" t="s">
        <v>224</v>
      </c>
      <c r="C2050" s="2" t="s">
        <v>225</v>
      </c>
      <c r="D2050" s="2" t="s">
        <v>361</v>
      </c>
      <c r="E2050" s="2" t="s">
        <v>362</v>
      </c>
      <c r="F2050" s="2" t="s">
        <v>7388</v>
      </c>
      <c r="G2050" s="2" t="s">
        <v>7388</v>
      </c>
      <c r="H2050" s="2" t="s">
        <v>7388</v>
      </c>
      <c r="I2050" s="2" t="s">
        <v>7389</v>
      </c>
      <c r="J2050" s="2" t="s">
        <v>394</v>
      </c>
      <c r="K2050" s="2" t="s">
        <v>316</v>
      </c>
      <c r="L2050" s="3">
        <v>38.4</v>
      </c>
      <c r="M2050" s="3">
        <v>40.32</v>
      </c>
      <c r="N2050" s="3">
        <v>79.99</v>
      </c>
      <c r="O2050" s="2" t="s">
        <v>232</v>
      </c>
      <c r="P2050" s="2" t="s">
        <v>233</v>
      </c>
      <c r="Q2050" s="2" t="s">
        <v>234</v>
      </c>
      <c r="R2050" s="2" t="s">
        <v>235</v>
      </c>
      <c r="S2050" s="2" t="s">
        <v>7390</v>
      </c>
      <c r="T2050" s="2" t="s">
        <v>263</v>
      </c>
      <c r="U2050" s="2" t="s">
        <v>235</v>
      </c>
      <c r="V2050" s="2" t="s">
        <v>238</v>
      </c>
      <c r="W2050" s="2" t="s">
        <v>239</v>
      </c>
      <c r="X2050" s="2" t="s">
        <v>235</v>
      </c>
      <c r="Y2050" s="2" t="s">
        <v>240</v>
      </c>
      <c r="Z2050" s="4">
        <v>156</v>
      </c>
      <c r="AA2050" s="4">
        <f>=ROUNDDOWN(156,0)</f>
      </c>
      <c r="AB2050" s="5">
        <v>1</v>
      </c>
      <c r="AC2050" s="2" t="s">
        <v>235</v>
      </c>
      <c r="AD2050" s="4"/>
      <c r="AE2050" s="4"/>
      <c r="AF2050" s="6">
        <v>79</v>
      </c>
      <c r="AG2050" s="6"/>
      <c r="AH2050" s="7">
        <v>1</v>
      </c>
      <c r="AI2050" s="4"/>
      <c r="AJ2050" s="4">
        <f>=ROUNDDOWN({0},0)</f>
      </c>
      <c r="AK2050" s="5"/>
      <c r="AL2050" s="2" t="s">
        <v>235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235</v>
      </c>
      <c r="AW2050" s="8" t="s">
        <v>235</v>
      </c>
      <c r="AX2050" s="4" t="s">
        <v>235</v>
      </c>
      <c r="AY2050" s="8" t="s">
        <v>235</v>
      </c>
      <c r="AZ2050" s="7" t="s">
        <v>235</v>
      </c>
      <c r="BA2050" s="7" t="s">
        <v>235</v>
      </c>
      <c r="BB2050" s="7"/>
      <c r="BC2050" s="4" t="s">
        <v>235</v>
      </c>
      <c r="BD2050" s="8" t="s">
        <v>235</v>
      </c>
      <c r="BE2050" s="4" t="s">
        <v>235</v>
      </c>
      <c r="BF2050" s="8" t="s">
        <v>235</v>
      </c>
      <c r="BG2050" s="7" t="s">
        <v>235</v>
      </c>
      <c r="BH2050" s="7" t="s">
        <v>235</v>
      </c>
      <c r="BI2050" s="7"/>
      <c r="BJ2050" s="4">
        <v>6</v>
      </c>
      <c r="BK2050" s="8">
        <v>240.77</v>
      </c>
      <c r="BL2050" s="2" t="s">
        <v>2107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7391</v>
      </c>
      <c r="BV2050" s="2" t="s">
        <v>243</v>
      </c>
      <c r="BW2050" s="2" t="s">
        <v>235</v>
      </c>
      <c r="BX2050" s="2" t="s">
        <v>244</v>
      </c>
      <c r="BY2050" s="2" t="s">
        <v>245</v>
      </c>
      <c r="BZ2050" s="2" t="s">
        <v>232</v>
      </c>
      <c r="CA2050" s="2" t="s">
        <v>252</v>
      </c>
      <c r="CB2050" s="2" t="s">
        <v>7392</v>
      </c>
      <c r="CC2050" s="2" t="s">
        <v>248</v>
      </c>
      <c r="CD2050" s="2" t="s">
        <v>248</v>
      </c>
      <c r="CE2050" s="2" t="s">
        <v>235</v>
      </c>
      <c r="CF2050" s="4">
        <v>156</v>
      </c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>
        <v>157</v>
      </c>
      <c r="GE2050" s="4">
        <v>155</v>
      </c>
      <c r="GF2050" s="4">
        <v>154</v>
      </c>
      <c r="GG2050" s="4">
        <v>153</v>
      </c>
      <c r="GH2050" s="4">
        <v>152</v>
      </c>
      <c r="GI2050" s="4">
        <v>151</v>
      </c>
      <c r="GJ2050" s="4">
        <v>150</v>
      </c>
      <c r="GK2050" s="4">
        <v>149</v>
      </c>
      <c r="GL2050" s="4">
        <v>148</v>
      </c>
      <c r="GM2050" s="4">
        <v>147</v>
      </c>
      <c r="GN2050" s="4">
        <v>145</v>
      </c>
      <c r="GO2050" s="4">
        <v>142</v>
      </c>
      <c r="GP2050" s="4">
        <v>139</v>
      </c>
      <c r="GQ2050" s="4">
        <v>134</v>
      </c>
      <c r="GR2050" s="4">
        <v>131</v>
      </c>
      <c r="GS2050" s="4">
        <v>128</v>
      </c>
      <c r="GT2050" s="4">
        <v>126</v>
      </c>
      <c r="GU2050" s="4">
        <v>125</v>
      </c>
      <c r="GV2050" s="4">
        <v>124</v>
      </c>
      <c r="GW2050" s="4">
        <v>123</v>
      </c>
      <c r="GX2050" s="4">
        <v>122</v>
      </c>
      <c r="GY2050" s="4">
        <v>121</v>
      </c>
      <c r="GZ2050" s="4">
        <v>120</v>
      </c>
      <c r="HA2050" s="4">
        <v>119</v>
      </c>
      <c r="HB2050" s="4">
        <v>118</v>
      </c>
      <c r="HC2050" s="4">
        <v>117</v>
      </c>
      <c r="HD2050" s="19">
        <v>157</v>
      </c>
      <c r="HE2050" s="19">
        <v>155</v>
      </c>
      <c r="HF2050" s="19">
        <v>154</v>
      </c>
      <c r="HG2050" s="19">
        <v>153</v>
      </c>
      <c r="HH2050" s="19">
        <v>152</v>
      </c>
      <c r="HI2050" s="19">
        <v>151</v>
      </c>
      <c r="HJ2050" s="19">
        <v>150</v>
      </c>
      <c r="HK2050" s="19">
        <v>74.5</v>
      </c>
      <c r="HL2050" s="19">
        <v>74</v>
      </c>
      <c r="HM2050" s="19">
        <v>49</v>
      </c>
      <c r="HN2050" s="19">
        <v>36.3</v>
      </c>
      <c r="HO2050" s="19">
        <v>35.5</v>
      </c>
      <c r="HP2050" s="19">
        <v>46.3</v>
      </c>
      <c r="HQ2050" s="19">
        <v>67</v>
      </c>
      <c r="HR2050" s="19">
        <v>65.5</v>
      </c>
      <c r="HS2050" s="19">
        <v>128</v>
      </c>
      <c r="HT2050" s="19">
        <v>126</v>
      </c>
      <c r="HU2050" s="19">
        <v>125</v>
      </c>
      <c r="HV2050" s="19">
        <v>124</v>
      </c>
      <c r="HW2050" s="19">
        <v>123</v>
      </c>
      <c r="HX2050" s="19">
        <v>122</v>
      </c>
      <c r="HY2050" s="19">
        <v>121</v>
      </c>
      <c r="HZ2050" s="19">
        <v>120</v>
      </c>
      <c r="IA2050" s="19">
        <v>119</v>
      </c>
      <c r="IB2050" s="19">
        <v>118</v>
      </c>
      <c r="IC2050" s="19">
        <v>117</v>
      </c>
    </row>
    <row r="2051">
      <c r="A2051" s="2" t="s">
        <v>7393</v>
      </c>
      <c r="B2051" s="2" t="s">
        <v>224</v>
      </c>
      <c r="C2051" s="2" t="s">
        <v>225</v>
      </c>
      <c r="D2051" s="2" t="s">
        <v>361</v>
      </c>
      <c r="E2051" s="2" t="s">
        <v>362</v>
      </c>
      <c r="F2051" s="2" t="s">
        <v>7388</v>
      </c>
      <c r="G2051" s="2" t="s">
        <v>7388</v>
      </c>
      <c r="H2051" s="2" t="s">
        <v>7388</v>
      </c>
      <c r="I2051" s="2" t="s">
        <v>7389</v>
      </c>
      <c r="J2051" s="2" t="s">
        <v>270</v>
      </c>
      <c r="K2051" s="2" t="s">
        <v>316</v>
      </c>
      <c r="L2051" s="3">
        <v>60</v>
      </c>
      <c r="M2051" s="3">
        <v>63</v>
      </c>
      <c r="N2051" s="3">
        <v>119.99</v>
      </c>
      <c r="O2051" s="2" t="s">
        <v>232</v>
      </c>
      <c r="P2051" s="2" t="s">
        <v>233</v>
      </c>
      <c r="Q2051" s="2" t="s">
        <v>234</v>
      </c>
      <c r="R2051" s="2" t="s">
        <v>235</v>
      </c>
      <c r="S2051" s="2" t="s">
        <v>7390</v>
      </c>
      <c r="T2051" s="2" t="s">
        <v>263</v>
      </c>
      <c r="U2051" s="2" t="s">
        <v>235</v>
      </c>
      <c r="V2051" s="2" t="s">
        <v>238</v>
      </c>
      <c r="W2051" s="2" t="s">
        <v>239</v>
      </c>
      <c r="X2051" s="2" t="s">
        <v>235</v>
      </c>
      <c r="Y2051" s="2" t="s">
        <v>240</v>
      </c>
      <c r="Z2051" s="4">
        <v>118</v>
      </c>
      <c r="AA2051" s="4">
        <f>=ROUNDDOWN(39.3333333333333,0)</f>
      </c>
      <c r="AB2051" s="5">
        <v>3</v>
      </c>
      <c r="AC2051" s="2" t="s">
        <v>189</v>
      </c>
      <c r="AD2051" s="4">
        <v>30</v>
      </c>
      <c r="AE2051" s="4">
        <v>30</v>
      </c>
      <c r="AF2051" s="6">
        <v>79</v>
      </c>
      <c r="AG2051" s="6"/>
      <c r="AH2051" s="7">
        <v>1</v>
      </c>
      <c r="AI2051" s="4"/>
      <c r="AJ2051" s="4">
        <f>=ROUNDDOWN({0},0)</f>
      </c>
      <c r="AK2051" s="5"/>
      <c r="AL2051" s="2" t="s">
        <v>235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235</v>
      </c>
      <c r="AW2051" s="8" t="s">
        <v>235</v>
      </c>
      <c r="AX2051" s="4" t="s">
        <v>235</v>
      </c>
      <c r="AY2051" s="8" t="s">
        <v>235</v>
      </c>
      <c r="AZ2051" s="7" t="s">
        <v>235</v>
      </c>
      <c r="BA2051" s="7" t="s">
        <v>235</v>
      </c>
      <c r="BB2051" s="7"/>
      <c r="BC2051" s="4" t="s">
        <v>235</v>
      </c>
      <c r="BD2051" s="8" t="s">
        <v>235</v>
      </c>
      <c r="BE2051" s="4" t="s">
        <v>235</v>
      </c>
      <c r="BF2051" s="8" t="s">
        <v>235</v>
      </c>
      <c r="BG2051" s="7" t="s">
        <v>235</v>
      </c>
      <c r="BH2051" s="7" t="s">
        <v>235</v>
      </c>
      <c r="BI2051" s="7"/>
      <c r="BJ2051" s="4">
        <v>11</v>
      </c>
      <c r="BK2051" s="8">
        <v>694.95</v>
      </c>
      <c r="BL2051" s="2" t="s">
        <v>6035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7391</v>
      </c>
      <c r="BV2051" s="2" t="s">
        <v>243</v>
      </c>
      <c r="BW2051" s="2" t="s">
        <v>235</v>
      </c>
      <c r="BX2051" s="2" t="s">
        <v>244</v>
      </c>
      <c r="BY2051" s="2" t="s">
        <v>245</v>
      </c>
      <c r="BZ2051" s="2" t="s">
        <v>232</v>
      </c>
      <c r="CA2051" s="2" t="s">
        <v>252</v>
      </c>
      <c r="CB2051" s="2" t="s">
        <v>7394</v>
      </c>
      <c r="CC2051" s="2" t="s">
        <v>248</v>
      </c>
      <c r="CD2051" s="2" t="s">
        <v>248</v>
      </c>
      <c r="CE2051" s="2" t="s">
        <v>235</v>
      </c>
      <c r="CF2051" s="4">
        <v>118</v>
      </c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>
        <v>30</v>
      </c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>
        <v>121</v>
      </c>
      <c r="GE2051" s="4">
        <v>116</v>
      </c>
      <c r="GF2051" s="4">
        <v>113</v>
      </c>
      <c r="GG2051" s="4">
        <v>110</v>
      </c>
      <c r="GH2051" s="4">
        <v>107</v>
      </c>
      <c r="GI2051" s="4">
        <v>104</v>
      </c>
      <c r="GJ2051" s="4">
        <v>101</v>
      </c>
      <c r="GK2051" s="4">
        <v>98</v>
      </c>
      <c r="GL2051" s="4">
        <v>95</v>
      </c>
      <c r="GM2051" s="4">
        <v>92</v>
      </c>
      <c r="GN2051" s="4">
        <v>87</v>
      </c>
      <c r="GO2051" s="4">
        <v>79</v>
      </c>
      <c r="GP2051" s="4">
        <v>101</v>
      </c>
      <c r="GQ2051" s="4">
        <v>85</v>
      </c>
      <c r="GR2051" s="4">
        <v>78</v>
      </c>
      <c r="GS2051" s="4">
        <v>72</v>
      </c>
      <c r="GT2051" s="4">
        <v>68</v>
      </c>
      <c r="GU2051" s="4">
        <v>66</v>
      </c>
      <c r="GV2051" s="4">
        <v>63</v>
      </c>
      <c r="GW2051" s="4">
        <v>61</v>
      </c>
      <c r="GX2051" s="4">
        <v>59</v>
      </c>
      <c r="GY2051" s="4">
        <v>57</v>
      </c>
      <c r="GZ2051" s="4">
        <v>55</v>
      </c>
      <c r="HA2051" s="4">
        <v>52</v>
      </c>
      <c r="HB2051" s="4">
        <v>49</v>
      </c>
      <c r="HC2051" s="4">
        <v>45</v>
      </c>
      <c r="HD2051" s="19">
        <v>30.3</v>
      </c>
      <c r="HE2051" s="19">
        <v>38.7</v>
      </c>
      <c r="HF2051" s="19">
        <v>37.7</v>
      </c>
      <c r="HG2051" s="19">
        <v>36.7</v>
      </c>
      <c r="HH2051" s="19">
        <v>35.7</v>
      </c>
      <c r="HI2051" s="19">
        <v>34.7</v>
      </c>
      <c r="HJ2051" s="19">
        <v>25.3</v>
      </c>
      <c r="HK2051" s="19">
        <v>19.6</v>
      </c>
      <c r="HL2051" s="19">
        <v>15.8</v>
      </c>
      <c r="HM2051" s="19">
        <v>10.2</v>
      </c>
      <c r="HN2051" s="19">
        <v>8.7</v>
      </c>
      <c r="HO2051" s="19">
        <v>8.8</v>
      </c>
      <c r="HP2051" s="19">
        <v>12.6</v>
      </c>
      <c r="HQ2051" s="19">
        <v>17</v>
      </c>
      <c r="HR2051" s="19">
        <v>19.5</v>
      </c>
      <c r="HS2051" s="19">
        <v>24</v>
      </c>
      <c r="HT2051" s="19">
        <v>34</v>
      </c>
      <c r="HU2051" s="19">
        <v>33</v>
      </c>
      <c r="HV2051" s="19">
        <v>31.5</v>
      </c>
      <c r="HW2051" s="19">
        <v>30.5</v>
      </c>
      <c r="HX2051" s="19">
        <v>29.5</v>
      </c>
      <c r="HY2051" s="19">
        <v>19</v>
      </c>
      <c r="HZ2051" s="19">
        <v>18.3</v>
      </c>
      <c r="IA2051" s="19">
        <v>13</v>
      </c>
      <c r="IB2051" s="19">
        <v>12.3</v>
      </c>
      <c r="IC2051" s="19">
        <v>11.3</v>
      </c>
    </row>
    <row r="2052">
      <c r="A2052" s="2" t="s">
        <v>7395</v>
      </c>
      <c r="B2052" s="2" t="s">
        <v>1071</v>
      </c>
      <c r="C2052" s="2" t="s">
        <v>324</v>
      </c>
      <c r="D2052" s="2" t="s">
        <v>5022</v>
      </c>
      <c r="E2052" s="2" t="s">
        <v>5023</v>
      </c>
      <c r="F2052" s="2" t="s">
        <v>7396</v>
      </c>
      <c r="G2052" s="2" t="s">
        <v>7396</v>
      </c>
      <c r="H2052" s="2" t="s">
        <v>7396</v>
      </c>
      <c r="I2052" s="2" t="s">
        <v>7397</v>
      </c>
      <c r="J2052" s="2" t="s">
        <v>897</v>
      </c>
      <c r="K2052" s="2" t="s">
        <v>1667</v>
      </c>
      <c r="L2052" s="3">
        <v>114</v>
      </c>
      <c r="M2052" s="3">
        <v>119.7</v>
      </c>
      <c r="N2052" s="3">
        <v>239</v>
      </c>
      <c r="O2052" s="2" t="s">
        <v>232</v>
      </c>
      <c r="P2052" s="2" t="s">
        <v>878</v>
      </c>
      <c r="Q2052" s="2" t="s">
        <v>234</v>
      </c>
      <c r="R2052" s="2" t="s">
        <v>235</v>
      </c>
      <c r="S2052" s="2" t="s">
        <v>7398</v>
      </c>
      <c r="T2052" s="2" t="s">
        <v>235</v>
      </c>
      <c r="U2052" s="2" t="s">
        <v>235</v>
      </c>
      <c r="V2052" s="2" t="s">
        <v>238</v>
      </c>
      <c r="W2052" s="2" t="s">
        <v>1029</v>
      </c>
      <c r="X2052" s="2" t="s">
        <v>235</v>
      </c>
      <c r="Y2052" s="2" t="s">
        <v>1089</v>
      </c>
      <c r="Z2052" s="4">
        <v>82</v>
      </c>
      <c r="AA2052" s="4">
        <f>=ROUNDDOWN(27.3333333333333,0)</f>
      </c>
      <c r="AB2052" s="5">
        <v>3</v>
      </c>
      <c r="AC2052" s="2" t="s">
        <v>235</v>
      </c>
      <c r="AD2052" s="4"/>
      <c r="AE2052" s="4"/>
      <c r="AF2052" s="6">
        <v>74</v>
      </c>
      <c r="AG2052" s="6"/>
      <c r="AH2052" s="7">
        <v>1</v>
      </c>
      <c r="AI2052" s="4"/>
      <c r="AJ2052" s="4">
        <f>=ROUNDDOWN({0},0)</f>
      </c>
      <c r="AK2052" s="5"/>
      <c r="AL2052" s="2" t="s">
        <v>235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/>
      <c r="BD2052" s="8"/>
      <c r="BE2052" s="4"/>
      <c r="BF2052" s="8"/>
      <c r="BG2052" s="7"/>
      <c r="BH2052" s="7"/>
      <c r="BI2052" s="7"/>
      <c r="BJ2052" s="4">
        <v>11</v>
      </c>
      <c r="BK2052" s="8">
        <v>1392.24</v>
      </c>
      <c r="BL2052" s="2" t="s">
        <v>7399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7400</v>
      </c>
      <c r="BV2052" s="2" t="s">
        <v>235</v>
      </c>
      <c r="BW2052" s="2" t="s">
        <v>235</v>
      </c>
      <c r="BX2052" s="2" t="s">
        <v>619</v>
      </c>
      <c r="BY2052" s="2" t="s">
        <v>245</v>
      </c>
      <c r="BZ2052" s="2" t="s">
        <v>232</v>
      </c>
      <c r="CA2052" s="2" t="s">
        <v>235</v>
      </c>
      <c r="CB2052" s="2" t="s">
        <v>7401</v>
      </c>
      <c r="CC2052" s="2" t="s">
        <v>248</v>
      </c>
      <c r="CD2052" s="2" t="s">
        <v>248</v>
      </c>
      <c r="CE2052" s="2" t="s">
        <v>235</v>
      </c>
      <c r="CF2052" s="4"/>
      <c r="CG2052" s="4">
        <v>82</v>
      </c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>
        <v>84</v>
      </c>
      <c r="GE2052" s="4">
        <v>72</v>
      </c>
      <c r="GF2052" s="4">
        <v>68</v>
      </c>
      <c r="GG2052" s="4">
        <v>64</v>
      </c>
      <c r="GH2052" s="4">
        <v>60</v>
      </c>
      <c r="GI2052" s="4">
        <v>56</v>
      </c>
      <c r="GJ2052" s="4">
        <v>53</v>
      </c>
      <c r="GK2052" s="4">
        <v>50</v>
      </c>
      <c r="GL2052" s="4">
        <v>47</v>
      </c>
      <c r="GM2052" s="4">
        <v>42</v>
      </c>
      <c r="GN2052" s="4">
        <v>39</v>
      </c>
      <c r="GO2052" s="4">
        <v>35</v>
      </c>
      <c r="GP2052" s="4">
        <v>32</v>
      </c>
      <c r="GQ2052" s="4">
        <v>27</v>
      </c>
      <c r="GR2052" s="4">
        <v>23</v>
      </c>
      <c r="GS2052" s="4">
        <v>20</v>
      </c>
      <c r="GT2052" s="4">
        <v>18</v>
      </c>
      <c r="GU2052" s="4">
        <v>15</v>
      </c>
      <c r="GV2052" s="4">
        <v>12</v>
      </c>
      <c r="GW2052" s="4">
        <v>9</v>
      </c>
      <c r="GX2052" s="4">
        <v>6</v>
      </c>
      <c r="GY2052" s="4">
        <v>3</v>
      </c>
      <c r="GZ2052" s="4">
        <v>90</v>
      </c>
      <c r="HA2052" s="4">
        <v>87</v>
      </c>
      <c r="HB2052" s="4">
        <v>84</v>
      </c>
      <c r="HC2052" s="4">
        <v>80</v>
      </c>
      <c r="HD2052" s="19">
        <v>14</v>
      </c>
      <c r="HE2052" s="19">
        <v>18</v>
      </c>
      <c r="HF2052" s="19">
        <v>17</v>
      </c>
      <c r="HG2052" s="19">
        <v>16</v>
      </c>
      <c r="HH2052" s="19">
        <v>20</v>
      </c>
      <c r="HI2052" s="19">
        <v>14</v>
      </c>
      <c r="HJ2052" s="19">
        <v>13.3</v>
      </c>
      <c r="HK2052" s="19">
        <v>12.5</v>
      </c>
      <c r="HL2052" s="19">
        <v>11.8</v>
      </c>
      <c r="HM2052" s="19">
        <v>10.5</v>
      </c>
      <c r="HN2052" s="19">
        <v>9.8</v>
      </c>
      <c r="HO2052" s="19">
        <v>8.8</v>
      </c>
      <c r="HP2052" s="19">
        <v>8</v>
      </c>
      <c r="HQ2052" s="19">
        <v>9</v>
      </c>
      <c r="HR2052" s="19">
        <v>7.7</v>
      </c>
      <c r="HS2052" s="19">
        <v>6.7</v>
      </c>
      <c r="HT2052" s="19">
        <v>6</v>
      </c>
      <c r="HU2052" s="19">
        <v>5</v>
      </c>
      <c r="HV2052" s="19">
        <v>4</v>
      </c>
      <c r="HW2052" s="19">
        <v>3</v>
      </c>
      <c r="HX2052" s="19">
        <v>2</v>
      </c>
      <c r="HY2052" s="19">
        <v>1</v>
      </c>
      <c r="HZ2052" s="19">
        <v>30</v>
      </c>
      <c r="IA2052" s="19">
        <v>29</v>
      </c>
      <c r="IB2052" s="19">
        <v>28</v>
      </c>
      <c r="IC2052" s="19">
        <v>26.7</v>
      </c>
    </row>
    <row r="2053">
      <c r="A2053" s="2" t="s">
        <v>7402</v>
      </c>
      <c r="B2053" s="2" t="s">
        <v>255</v>
      </c>
      <c r="C2053" s="2" t="s">
        <v>256</v>
      </c>
      <c r="D2053" s="2" t="s">
        <v>361</v>
      </c>
      <c r="E2053" s="2" t="s">
        <v>872</v>
      </c>
      <c r="F2053" s="2" t="s">
        <v>7403</v>
      </c>
      <c r="G2053" s="2" t="s">
        <v>7403</v>
      </c>
      <c r="H2053" s="2" t="s">
        <v>7403</v>
      </c>
      <c r="I2053" s="2" t="s">
        <v>7404</v>
      </c>
      <c r="J2053" s="2" t="s">
        <v>365</v>
      </c>
      <c r="K2053" s="2" t="s">
        <v>316</v>
      </c>
      <c r="L2053" s="3">
        <v>400</v>
      </c>
      <c r="M2053" s="3">
        <v>420</v>
      </c>
      <c r="N2053" s="3">
        <v>999.99</v>
      </c>
      <c r="O2053" s="2" t="s">
        <v>232</v>
      </c>
      <c r="P2053" s="2" t="s">
        <v>262</v>
      </c>
      <c r="Q2053" s="2" t="s">
        <v>234</v>
      </c>
      <c r="R2053" s="2" t="s">
        <v>235</v>
      </c>
      <c r="S2053" s="2" t="s">
        <v>235</v>
      </c>
      <c r="T2053" s="2" t="s">
        <v>263</v>
      </c>
      <c r="U2053" s="2" t="s">
        <v>807</v>
      </c>
      <c r="V2053" s="2" t="s">
        <v>238</v>
      </c>
      <c r="W2053" s="2" t="s">
        <v>329</v>
      </c>
      <c r="X2053" s="2" t="s">
        <v>235</v>
      </c>
      <c r="Y2053" s="2" t="s">
        <v>2275</v>
      </c>
      <c r="Z2053" s="4">
        <v>204</v>
      </c>
      <c r="AA2053" s="4">
        <f>=ROUNDDOWN(40.8,0)</f>
      </c>
      <c r="AB2053" s="5">
        <v>5</v>
      </c>
      <c r="AC2053" s="2" t="s">
        <v>235</v>
      </c>
      <c r="AD2053" s="4"/>
      <c r="AE2053" s="4"/>
      <c r="AF2053" s="6"/>
      <c r="AG2053" s="6">
        <v>50</v>
      </c>
      <c r="AH2053" s="7">
        <v>1</v>
      </c>
      <c r="AI2053" s="4"/>
      <c r="AJ2053" s="4">
        <f>=ROUNDDOWN({0},0)</f>
      </c>
      <c r="AK2053" s="5"/>
      <c r="AL2053" s="2" t="s">
        <v>235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235</v>
      </c>
      <c r="AW2053" s="8" t="s">
        <v>235</v>
      </c>
      <c r="AX2053" s="4" t="s">
        <v>235</v>
      </c>
      <c r="AY2053" s="8" t="s">
        <v>235</v>
      </c>
      <c r="AZ2053" s="7" t="s">
        <v>235</v>
      </c>
      <c r="BA2053" s="7" t="s">
        <v>235</v>
      </c>
      <c r="BB2053" s="7"/>
      <c r="BC2053" s="4" t="s">
        <v>235</v>
      </c>
      <c r="BD2053" s="8" t="s">
        <v>235</v>
      </c>
      <c r="BE2053" s="4" t="s">
        <v>235</v>
      </c>
      <c r="BF2053" s="8" t="s">
        <v>235</v>
      </c>
      <c r="BG2053" s="7" t="s">
        <v>235</v>
      </c>
      <c r="BH2053" s="7" t="s">
        <v>235</v>
      </c>
      <c r="BI2053" s="7"/>
      <c r="BJ2053" s="4"/>
      <c r="BK2053" s="8"/>
      <c r="BL2053" s="2" t="s">
        <v>235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7405</v>
      </c>
      <c r="BV2053" s="2" t="s">
        <v>235</v>
      </c>
      <c r="BW2053" s="2" t="s">
        <v>235</v>
      </c>
      <c r="BX2053" s="2" t="s">
        <v>244</v>
      </c>
      <c r="BY2053" s="2" t="s">
        <v>245</v>
      </c>
      <c r="BZ2053" s="2" t="s">
        <v>232</v>
      </c>
      <c r="CA2053" s="2" t="s">
        <v>235</v>
      </c>
      <c r="CB2053" s="2" t="s">
        <v>235</v>
      </c>
      <c r="CC2053" s="2" t="s">
        <v>248</v>
      </c>
      <c r="CD2053" s="2" t="s">
        <v>248</v>
      </c>
      <c r="CE2053" s="2" t="s">
        <v>235</v>
      </c>
      <c r="CF2053" s="4"/>
      <c r="CG2053" s="4"/>
      <c r="CH2053" s="4"/>
      <c r="CI2053" s="4">
        <v>204</v>
      </c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>
        <v>204</v>
      </c>
      <c r="GE2053" s="4">
        <v>197</v>
      </c>
      <c r="GF2053" s="4">
        <v>193</v>
      </c>
      <c r="GG2053" s="4">
        <v>189</v>
      </c>
      <c r="GH2053" s="4">
        <v>184</v>
      </c>
      <c r="GI2053" s="4">
        <v>179</v>
      </c>
      <c r="GJ2053" s="4">
        <v>171</v>
      </c>
      <c r="GK2053" s="4">
        <v>165</v>
      </c>
      <c r="GL2053" s="4">
        <v>159</v>
      </c>
      <c r="GM2053" s="4">
        <v>154</v>
      </c>
      <c r="GN2053" s="4">
        <v>148</v>
      </c>
      <c r="GO2053" s="4">
        <v>140</v>
      </c>
      <c r="GP2053" s="4">
        <v>132</v>
      </c>
      <c r="GQ2053" s="4">
        <v>117</v>
      </c>
      <c r="GR2053" s="4">
        <v>108</v>
      </c>
      <c r="GS2053" s="4">
        <v>100</v>
      </c>
      <c r="GT2053" s="4">
        <v>95</v>
      </c>
      <c r="GU2053" s="4">
        <v>91</v>
      </c>
      <c r="GV2053" s="4">
        <v>86</v>
      </c>
      <c r="GW2053" s="4">
        <v>80</v>
      </c>
      <c r="GX2053" s="4">
        <v>74</v>
      </c>
      <c r="GY2053" s="4">
        <v>68</v>
      </c>
      <c r="GZ2053" s="4">
        <v>63</v>
      </c>
      <c r="HA2053" s="4">
        <v>58</v>
      </c>
      <c r="HB2053" s="4">
        <v>53</v>
      </c>
      <c r="HC2053" s="4">
        <v>48</v>
      </c>
      <c r="HD2053" s="19">
        <v>40.8</v>
      </c>
      <c r="HE2053" s="19">
        <v>49.3</v>
      </c>
      <c r="HF2053" s="19">
        <v>32.2</v>
      </c>
      <c r="HG2053" s="19">
        <v>31.5</v>
      </c>
      <c r="HH2053" s="19">
        <v>30.7</v>
      </c>
      <c r="HI2053" s="19">
        <v>29.8</v>
      </c>
      <c r="HJ2053" s="19">
        <v>28.5</v>
      </c>
      <c r="HK2053" s="19">
        <v>27.5</v>
      </c>
      <c r="HL2053" s="19">
        <v>22.7</v>
      </c>
      <c r="HM2053" s="19">
        <v>17.1</v>
      </c>
      <c r="HN2053" s="19">
        <v>14.8</v>
      </c>
      <c r="HO2053" s="19">
        <v>14</v>
      </c>
      <c r="HP2053" s="19">
        <v>14.7</v>
      </c>
      <c r="HQ2053" s="19">
        <v>19.5</v>
      </c>
      <c r="HR2053" s="19">
        <v>18</v>
      </c>
      <c r="HS2053" s="19">
        <v>20</v>
      </c>
      <c r="HT2053" s="19">
        <v>19</v>
      </c>
      <c r="HU2053" s="19">
        <v>15.2</v>
      </c>
      <c r="HV2053" s="19">
        <v>14.3</v>
      </c>
      <c r="HW2053" s="19">
        <v>13.3</v>
      </c>
      <c r="HX2053" s="19">
        <v>14.8</v>
      </c>
      <c r="HY2053" s="19">
        <v>13.6</v>
      </c>
      <c r="HZ2053" s="19">
        <v>12.6</v>
      </c>
      <c r="IA2053" s="19">
        <v>11.6</v>
      </c>
      <c r="IB2053" s="19">
        <v>10.6</v>
      </c>
      <c r="IC2053" s="19">
        <v>9.6</v>
      </c>
    </row>
    <row r="2054">
      <c r="A2054" s="2" t="s">
        <v>7406</v>
      </c>
      <c r="B2054" s="2" t="s">
        <v>255</v>
      </c>
      <c r="C2054" s="2" t="s">
        <v>256</v>
      </c>
      <c r="D2054" s="2" t="s">
        <v>361</v>
      </c>
      <c r="E2054" s="2" t="s">
        <v>872</v>
      </c>
      <c r="F2054" s="2" t="s">
        <v>7403</v>
      </c>
      <c r="G2054" s="2" t="s">
        <v>7403</v>
      </c>
      <c r="H2054" s="2" t="s">
        <v>7403</v>
      </c>
      <c r="I2054" s="2" t="s">
        <v>7404</v>
      </c>
      <c r="J2054" s="2" t="s">
        <v>372</v>
      </c>
      <c r="K2054" s="2" t="s">
        <v>316</v>
      </c>
      <c r="L2054" s="3">
        <v>439.6</v>
      </c>
      <c r="M2054" s="3">
        <v>461.58</v>
      </c>
      <c r="N2054" s="3">
        <v>1099</v>
      </c>
      <c r="O2054" s="2" t="s">
        <v>232</v>
      </c>
      <c r="P2054" s="2" t="s">
        <v>262</v>
      </c>
      <c r="Q2054" s="2" t="s">
        <v>234</v>
      </c>
      <c r="R2054" s="2" t="s">
        <v>235</v>
      </c>
      <c r="S2054" s="2" t="s">
        <v>235</v>
      </c>
      <c r="T2054" s="2" t="s">
        <v>263</v>
      </c>
      <c r="U2054" s="2" t="s">
        <v>807</v>
      </c>
      <c r="V2054" s="2" t="s">
        <v>238</v>
      </c>
      <c r="W2054" s="2" t="s">
        <v>329</v>
      </c>
      <c r="X2054" s="2" t="s">
        <v>235</v>
      </c>
      <c r="Y2054" s="2" t="s">
        <v>2275</v>
      </c>
      <c r="Z2054" s="4">
        <v>304</v>
      </c>
      <c r="AA2054" s="4">
        <f>=ROUNDDOWN(50.6666666666667,0)</f>
      </c>
      <c r="AB2054" s="5">
        <v>6</v>
      </c>
      <c r="AC2054" s="2" t="s">
        <v>235</v>
      </c>
      <c r="AD2054" s="4"/>
      <c r="AE2054" s="4"/>
      <c r="AF2054" s="6"/>
      <c r="AG2054" s="6">
        <v>50</v>
      </c>
      <c r="AH2054" s="7">
        <v>1</v>
      </c>
      <c r="AI2054" s="4"/>
      <c r="AJ2054" s="4">
        <f>=ROUNDDOWN({0},0)</f>
      </c>
      <c r="AK2054" s="5"/>
      <c r="AL2054" s="2" t="s">
        <v>235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235</v>
      </c>
      <c r="AW2054" s="8" t="s">
        <v>235</v>
      </c>
      <c r="AX2054" s="4" t="s">
        <v>235</v>
      </c>
      <c r="AY2054" s="8" t="s">
        <v>235</v>
      </c>
      <c r="AZ2054" s="7" t="s">
        <v>235</v>
      </c>
      <c r="BA2054" s="7" t="s">
        <v>235</v>
      </c>
      <c r="BB2054" s="7"/>
      <c r="BC2054" s="4" t="s">
        <v>235</v>
      </c>
      <c r="BD2054" s="8" t="s">
        <v>235</v>
      </c>
      <c r="BE2054" s="4" t="s">
        <v>235</v>
      </c>
      <c r="BF2054" s="8" t="s">
        <v>235</v>
      </c>
      <c r="BG2054" s="7" t="s">
        <v>235</v>
      </c>
      <c r="BH2054" s="7" t="s">
        <v>235</v>
      </c>
      <c r="BI2054" s="7"/>
      <c r="BJ2054" s="4"/>
      <c r="BK2054" s="8"/>
      <c r="BL2054" s="2" t="s">
        <v>235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7405</v>
      </c>
      <c r="BV2054" s="2" t="s">
        <v>235</v>
      </c>
      <c r="BW2054" s="2" t="s">
        <v>235</v>
      </c>
      <c r="BX2054" s="2" t="s">
        <v>244</v>
      </c>
      <c r="BY2054" s="2" t="s">
        <v>245</v>
      </c>
      <c r="BZ2054" s="2" t="s">
        <v>232</v>
      </c>
      <c r="CA2054" s="2" t="s">
        <v>235</v>
      </c>
      <c r="CB2054" s="2" t="s">
        <v>235</v>
      </c>
      <c r="CC2054" s="2" t="s">
        <v>248</v>
      </c>
      <c r="CD2054" s="2" t="s">
        <v>248</v>
      </c>
      <c r="CE2054" s="2" t="s">
        <v>235</v>
      </c>
      <c r="CF2054" s="4"/>
      <c r="CG2054" s="4"/>
      <c r="CH2054" s="4"/>
      <c r="CI2054" s="4">
        <v>304</v>
      </c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>
        <v>304</v>
      </c>
      <c r="GE2054" s="4">
        <v>296</v>
      </c>
      <c r="GF2054" s="4">
        <v>291</v>
      </c>
      <c r="GG2054" s="4">
        <v>286</v>
      </c>
      <c r="GH2054" s="4">
        <v>280</v>
      </c>
      <c r="GI2054" s="4">
        <v>274</v>
      </c>
      <c r="GJ2054" s="4">
        <v>265</v>
      </c>
      <c r="GK2054" s="4">
        <v>258</v>
      </c>
      <c r="GL2054" s="4">
        <v>250</v>
      </c>
      <c r="GM2054" s="4">
        <v>243</v>
      </c>
      <c r="GN2054" s="4">
        <v>235</v>
      </c>
      <c r="GO2054" s="4">
        <v>225</v>
      </c>
      <c r="GP2054" s="4">
        <v>215</v>
      </c>
      <c r="GQ2054" s="4">
        <v>196</v>
      </c>
      <c r="GR2054" s="4">
        <v>185</v>
      </c>
      <c r="GS2054" s="4">
        <v>175</v>
      </c>
      <c r="GT2054" s="4">
        <v>169</v>
      </c>
      <c r="GU2054" s="4">
        <v>164</v>
      </c>
      <c r="GV2054" s="4">
        <v>157</v>
      </c>
      <c r="GW2054" s="4">
        <v>150</v>
      </c>
      <c r="GX2054" s="4">
        <v>143</v>
      </c>
      <c r="GY2054" s="4">
        <v>136</v>
      </c>
      <c r="GZ2054" s="4">
        <v>129</v>
      </c>
      <c r="HA2054" s="4">
        <v>122</v>
      </c>
      <c r="HB2054" s="4">
        <v>115</v>
      </c>
      <c r="HC2054" s="4">
        <v>108</v>
      </c>
      <c r="HD2054" s="19">
        <v>50.7</v>
      </c>
      <c r="HE2054" s="19">
        <v>49.3</v>
      </c>
      <c r="HF2054" s="19">
        <v>48.5</v>
      </c>
      <c r="HG2054" s="19">
        <v>40.9</v>
      </c>
      <c r="HH2054" s="19">
        <v>35</v>
      </c>
      <c r="HI2054" s="19">
        <v>34.3</v>
      </c>
      <c r="HJ2054" s="19">
        <v>33.1</v>
      </c>
      <c r="HK2054" s="19">
        <v>32.3</v>
      </c>
      <c r="HL2054" s="19">
        <v>27.8</v>
      </c>
      <c r="HM2054" s="19">
        <v>20.3</v>
      </c>
      <c r="HN2054" s="19">
        <v>19.6</v>
      </c>
      <c r="HO2054" s="19">
        <v>18.8</v>
      </c>
      <c r="HP2054" s="19">
        <v>17.9</v>
      </c>
      <c r="HQ2054" s="19">
        <v>24.5</v>
      </c>
      <c r="HR2054" s="19">
        <v>26.4</v>
      </c>
      <c r="HS2054" s="19">
        <v>29.2</v>
      </c>
      <c r="HT2054" s="19">
        <v>28.2</v>
      </c>
      <c r="HU2054" s="19">
        <v>23.4</v>
      </c>
      <c r="HV2054" s="19">
        <v>22.4</v>
      </c>
      <c r="HW2054" s="19">
        <v>21.4</v>
      </c>
      <c r="HX2054" s="19">
        <v>20.4</v>
      </c>
      <c r="HY2054" s="19">
        <v>19.4</v>
      </c>
      <c r="HZ2054" s="19">
        <v>18.4</v>
      </c>
      <c r="IA2054" s="19">
        <v>20.3</v>
      </c>
      <c r="IB2054" s="19">
        <v>19.2</v>
      </c>
      <c r="IC2054" s="19">
        <v>18</v>
      </c>
    </row>
    <row r="2055">
      <c r="A2055" s="2" t="s">
        <v>7407</v>
      </c>
      <c r="B2055" s="2" t="s">
        <v>1071</v>
      </c>
      <c r="C2055" s="2" t="s">
        <v>324</v>
      </c>
      <c r="D2055" s="2" t="s">
        <v>4819</v>
      </c>
      <c r="E2055" s="2" t="s">
        <v>4820</v>
      </c>
      <c r="F2055" s="2" t="s">
        <v>5234</v>
      </c>
      <c r="G2055" s="2" t="s">
        <v>7408</v>
      </c>
      <c r="H2055" s="2" t="s">
        <v>7409</v>
      </c>
      <c r="I2055" s="2" t="s">
        <v>7410</v>
      </c>
      <c r="J2055" s="2" t="s">
        <v>806</v>
      </c>
      <c r="K2055" s="2" t="s">
        <v>1169</v>
      </c>
      <c r="L2055" s="3">
        <v>198</v>
      </c>
      <c r="M2055" s="3">
        <v>207.9</v>
      </c>
      <c r="N2055" s="3">
        <v>419</v>
      </c>
      <c r="O2055" s="2" t="s">
        <v>485</v>
      </c>
      <c r="P2055" s="2" t="s">
        <v>408</v>
      </c>
      <c r="Q2055" s="2" t="s">
        <v>234</v>
      </c>
      <c r="R2055" s="2" t="s">
        <v>235</v>
      </c>
      <c r="S2055" s="2" t="s">
        <v>235</v>
      </c>
      <c r="T2055" s="2" t="s">
        <v>235</v>
      </c>
      <c r="U2055" s="2" t="s">
        <v>235</v>
      </c>
      <c r="V2055" s="2" t="s">
        <v>808</v>
      </c>
      <c r="W2055" s="2" t="s">
        <v>3596</v>
      </c>
      <c r="X2055" s="2" t="s">
        <v>239</v>
      </c>
      <c r="Y2055" s="2" t="s">
        <v>7411</v>
      </c>
      <c r="Z2055" s="4">
        <v>6</v>
      </c>
      <c r="AA2055" s="4">
        <f>=ROUNDDOWN(15,0)</f>
      </c>
      <c r="AB2055" s="5">
        <v>0.4</v>
      </c>
      <c r="AC2055" s="2" t="s">
        <v>235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235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 t="s">
        <v>235</v>
      </c>
      <c r="BD2055" s="8" t="s">
        <v>235</v>
      </c>
      <c r="BE2055" s="4" t="s">
        <v>235</v>
      </c>
      <c r="BF2055" s="8" t="s">
        <v>235</v>
      </c>
      <c r="BG2055" s="7" t="s">
        <v>235</v>
      </c>
      <c r="BH2055" s="7" t="s">
        <v>235</v>
      </c>
      <c r="BI2055" s="7"/>
      <c r="BJ2055" s="4">
        <v>3</v>
      </c>
      <c r="BK2055" s="8">
        <v>53.73</v>
      </c>
      <c r="BL2055" s="2" t="s">
        <v>1122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7412</v>
      </c>
      <c r="BV2055" s="2" t="s">
        <v>4384</v>
      </c>
      <c r="BW2055" s="2" t="s">
        <v>235</v>
      </c>
      <c r="BX2055" s="2" t="s">
        <v>414</v>
      </c>
      <c r="BY2055" s="2" t="s">
        <v>245</v>
      </c>
      <c r="BZ2055" s="2" t="s">
        <v>232</v>
      </c>
      <c r="CA2055" s="2" t="s">
        <v>7413</v>
      </c>
      <c r="CB2055" s="2" t="s">
        <v>2012</v>
      </c>
      <c r="CC2055" s="2" t="s">
        <v>492</v>
      </c>
      <c r="CD2055" s="2" t="s">
        <v>248</v>
      </c>
      <c r="CE2055" s="2" t="s">
        <v>235</v>
      </c>
      <c r="CF2055" s="4"/>
      <c r="CG2055" s="4">
        <v>6</v>
      </c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>
        <v>6</v>
      </c>
      <c r="GE2055" s="4">
        <v>6</v>
      </c>
      <c r="GF2055" s="4">
        <v>6</v>
      </c>
      <c r="GG2055" s="4">
        <v>6</v>
      </c>
      <c r="GH2055" s="4">
        <v>6</v>
      </c>
      <c r="GI2055" s="4">
        <v>6</v>
      </c>
      <c r="GJ2055" s="4">
        <v>6</v>
      </c>
      <c r="GK2055" s="4">
        <v>6</v>
      </c>
      <c r="GL2055" s="4">
        <v>6</v>
      </c>
      <c r="GM2055" s="4">
        <v>6</v>
      </c>
      <c r="GN2055" s="4">
        <v>6</v>
      </c>
      <c r="GO2055" s="4">
        <v>6</v>
      </c>
      <c r="GP2055" s="4">
        <v>6</v>
      </c>
      <c r="GQ2055" s="4">
        <v>6</v>
      </c>
      <c r="GR2055" s="4">
        <v>6</v>
      </c>
      <c r="GS2055" s="4">
        <v>6</v>
      </c>
      <c r="GT2055" s="4">
        <v>6</v>
      </c>
      <c r="GU2055" s="4">
        <v>6</v>
      </c>
      <c r="GV2055" s="4">
        <v>6</v>
      </c>
      <c r="GW2055" s="4">
        <v>6</v>
      </c>
      <c r="GX2055" s="4">
        <v>6</v>
      </c>
      <c r="GY2055" s="4">
        <v>6</v>
      </c>
      <c r="GZ2055" s="4">
        <v>6</v>
      </c>
      <c r="HA2055" s="4">
        <v>6</v>
      </c>
      <c r="HB2055" s="4">
        <v>6</v>
      </c>
      <c r="HC2055" s="4">
        <v>6</v>
      </c>
      <c r="HD2055" s="9"/>
      <c r="HE2055" s="9"/>
      <c r="HF2055" s="9"/>
      <c r="HG2055" s="9"/>
      <c r="HH2055" s="9"/>
      <c r="HI2055" s="9"/>
      <c r="HJ2055" s="9"/>
      <c r="HK2055" s="9"/>
      <c r="HL2055" s="9"/>
      <c r="HM2055" s="9"/>
      <c r="HN2055" s="9"/>
      <c r="HO2055" s="9"/>
      <c r="HP2055" s="9"/>
      <c r="HQ2055" s="9"/>
      <c r="HR2055" s="9"/>
      <c r="HS2055" s="9"/>
      <c r="HT2055" s="9"/>
      <c r="HU2055" s="9"/>
      <c r="HV2055" s="9"/>
      <c r="HW2055" s="9"/>
      <c r="HX2055" s="9"/>
      <c r="HY2055" s="9"/>
      <c r="HZ2055" s="9"/>
      <c r="IA2055" s="9"/>
      <c r="IB2055" s="9"/>
      <c r="IC2055" s="9"/>
    </row>
    <row r="2056">
      <c r="A2056" s="2" t="s">
        <v>7414</v>
      </c>
      <c r="B2056" s="2" t="s">
        <v>871</v>
      </c>
      <c r="C2056" s="2" t="s">
        <v>324</v>
      </c>
      <c r="D2056" s="2" t="s">
        <v>1452</v>
      </c>
      <c r="E2056" s="2" t="s">
        <v>1453</v>
      </c>
      <c r="F2056" s="2" t="s">
        <v>5234</v>
      </c>
      <c r="G2056" s="2" t="s">
        <v>7415</v>
      </c>
      <c r="H2056" s="2" t="s">
        <v>7416</v>
      </c>
      <c r="I2056" s="2" t="s">
        <v>7417</v>
      </c>
      <c r="J2056" s="2" t="s">
        <v>261</v>
      </c>
      <c r="K2056" s="2" t="s">
        <v>309</v>
      </c>
      <c r="L2056" s="3">
        <v>59.42</v>
      </c>
      <c r="M2056" s="3">
        <v>62.4</v>
      </c>
      <c r="N2056" s="3">
        <v>129.99</v>
      </c>
      <c r="O2056" s="2" t="s">
        <v>232</v>
      </c>
      <c r="P2056" s="2" t="s">
        <v>878</v>
      </c>
      <c r="Q2056" s="2" t="s">
        <v>234</v>
      </c>
      <c r="R2056" s="2" t="s">
        <v>235</v>
      </c>
      <c r="S2056" s="2" t="s">
        <v>235</v>
      </c>
      <c r="T2056" s="2" t="s">
        <v>1298</v>
      </c>
      <c r="U2056" s="2" t="s">
        <v>552</v>
      </c>
      <c r="V2056" s="2" t="s">
        <v>880</v>
      </c>
      <c r="W2056" s="2" t="s">
        <v>671</v>
      </c>
      <c r="X2056" s="2" t="s">
        <v>881</v>
      </c>
      <c r="Y2056" s="2" t="s">
        <v>3986</v>
      </c>
      <c r="Z2056" s="4">
        <v>456</v>
      </c>
      <c r="AA2056" s="4">
        <f>=ROUNDDOWN(38,0)</f>
      </c>
      <c r="AB2056" s="5">
        <v>12</v>
      </c>
      <c r="AC2056" s="2" t="s">
        <v>235</v>
      </c>
      <c r="AD2056" s="4"/>
      <c r="AE2056" s="4"/>
      <c r="AF2056" s="6">
        <v>72</v>
      </c>
      <c r="AG2056" s="6"/>
      <c r="AH2056" s="7">
        <v>1</v>
      </c>
      <c r="AI2056" s="4"/>
      <c r="AJ2056" s="4">
        <f>=ROUNDDOWN({0},0)</f>
      </c>
      <c r="AK2056" s="5"/>
      <c r="AL2056" s="2" t="s">
        <v>235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235</v>
      </c>
      <c r="AW2056" s="8" t="s">
        <v>235</v>
      </c>
      <c r="AX2056" s="4" t="s">
        <v>235</v>
      </c>
      <c r="AY2056" s="8" t="s">
        <v>235</v>
      </c>
      <c r="AZ2056" s="7" t="s">
        <v>235</v>
      </c>
      <c r="BA2056" s="7" t="s">
        <v>235</v>
      </c>
      <c r="BB2056" s="7"/>
      <c r="BC2056" s="4" t="s">
        <v>235</v>
      </c>
      <c r="BD2056" s="8" t="s">
        <v>235</v>
      </c>
      <c r="BE2056" s="4" t="s">
        <v>235</v>
      </c>
      <c r="BF2056" s="8" t="s">
        <v>235</v>
      </c>
      <c r="BG2056" s="7" t="s">
        <v>235</v>
      </c>
      <c r="BH2056" s="7" t="s">
        <v>235</v>
      </c>
      <c r="BI2056" s="7"/>
      <c r="BJ2056" s="4">
        <v>8</v>
      </c>
      <c r="BK2056" s="8">
        <v>481.69</v>
      </c>
      <c r="BL2056" s="2" t="s">
        <v>2123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7418</v>
      </c>
      <c r="BV2056" s="2" t="s">
        <v>235</v>
      </c>
      <c r="BW2056" s="2" t="s">
        <v>235</v>
      </c>
      <c r="BX2056" s="2" t="s">
        <v>244</v>
      </c>
      <c r="BY2056" s="2" t="s">
        <v>245</v>
      </c>
      <c r="BZ2056" s="2" t="s">
        <v>232</v>
      </c>
      <c r="CA2056" s="2" t="s">
        <v>235</v>
      </c>
      <c r="CB2056" s="2" t="s">
        <v>235</v>
      </c>
      <c r="CC2056" s="2" t="s">
        <v>248</v>
      </c>
      <c r="CD2056" s="2" t="s">
        <v>248</v>
      </c>
      <c r="CE2056" s="2" t="s">
        <v>235</v>
      </c>
      <c r="CF2056" s="4">
        <v>456</v>
      </c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>
        <v>456</v>
      </c>
      <c r="GE2056" s="4">
        <v>431</v>
      </c>
      <c r="GF2056" s="4">
        <v>419</v>
      </c>
      <c r="GG2056" s="4">
        <v>406</v>
      </c>
      <c r="GH2056" s="4">
        <v>391</v>
      </c>
      <c r="GI2056" s="4">
        <v>376</v>
      </c>
      <c r="GJ2056" s="4">
        <v>353</v>
      </c>
      <c r="GK2056" s="4">
        <v>336</v>
      </c>
      <c r="GL2056" s="4">
        <v>320</v>
      </c>
      <c r="GM2056" s="4">
        <v>307</v>
      </c>
      <c r="GN2056" s="4">
        <v>294</v>
      </c>
      <c r="GO2056" s="4">
        <v>276</v>
      </c>
      <c r="GP2056" s="4">
        <v>258</v>
      </c>
      <c r="GQ2056" s="4">
        <v>225</v>
      </c>
      <c r="GR2056" s="4">
        <v>206</v>
      </c>
      <c r="GS2056" s="4">
        <v>188</v>
      </c>
      <c r="GT2056" s="4">
        <v>177</v>
      </c>
      <c r="GU2056" s="4">
        <v>167</v>
      </c>
      <c r="GV2056" s="4">
        <v>154</v>
      </c>
      <c r="GW2056" s="4">
        <v>142</v>
      </c>
      <c r="GX2056" s="4">
        <v>130</v>
      </c>
      <c r="GY2056" s="4">
        <v>118</v>
      </c>
      <c r="GZ2056" s="4">
        <v>106</v>
      </c>
      <c r="HA2056" s="4">
        <v>94</v>
      </c>
      <c r="HB2056" s="4">
        <v>82</v>
      </c>
      <c r="HC2056" s="4">
        <v>69</v>
      </c>
      <c r="HD2056" s="19">
        <v>28.5</v>
      </c>
      <c r="HE2056" s="19">
        <v>30.8</v>
      </c>
      <c r="HF2056" s="19">
        <v>26.2</v>
      </c>
      <c r="HG2056" s="19">
        <v>22.6</v>
      </c>
      <c r="HH2056" s="19">
        <v>21.7</v>
      </c>
      <c r="HI2056" s="19">
        <v>22.1</v>
      </c>
      <c r="HJ2056" s="19">
        <v>23.5</v>
      </c>
      <c r="HK2056" s="19">
        <v>22.4</v>
      </c>
      <c r="HL2056" s="19">
        <v>20</v>
      </c>
      <c r="HM2056" s="19">
        <v>15.4</v>
      </c>
      <c r="HN2056" s="19">
        <v>13.4</v>
      </c>
      <c r="HO2056" s="19">
        <v>12.5</v>
      </c>
      <c r="HP2056" s="19">
        <v>12.9</v>
      </c>
      <c r="HQ2056" s="19">
        <v>16.1</v>
      </c>
      <c r="HR2056" s="19">
        <v>15.8</v>
      </c>
      <c r="HS2056" s="19">
        <v>15.7</v>
      </c>
      <c r="HT2056" s="19">
        <v>14.8</v>
      </c>
      <c r="HU2056" s="19">
        <v>13.9</v>
      </c>
      <c r="HV2056" s="19">
        <v>12.8</v>
      </c>
      <c r="HW2056" s="19">
        <v>11.8</v>
      </c>
      <c r="HX2056" s="19">
        <v>10.8</v>
      </c>
      <c r="HY2056" s="19">
        <v>9.8</v>
      </c>
      <c r="HZ2056" s="19">
        <v>8.8</v>
      </c>
      <c r="IA2056" s="19">
        <v>7.8</v>
      </c>
      <c r="IB2056" s="19">
        <v>6.8</v>
      </c>
      <c r="IC2056" s="19">
        <v>5.8</v>
      </c>
    </row>
    <row r="2057">
      <c r="A2057" s="2" t="s">
        <v>7419</v>
      </c>
      <c r="B2057" s="2" t="s">
        <v>871</v>
      </c>
      <c r="C2057" s="2" t="s">
        <v>324</v>
      </c>
      <c r="D2057" s="2" t="s">
        <v>1452</v>
      </c>
      <c r="E2057" s="2" t="s">
        <v>1453</v>
      </c>
      <c r="F2057" s="2" t="s">
        <v>5234</v>
      </c>
      <c r="G2057" s="2" t="s">
        <v>7415</v>
      </c>
      <c r="H2057" s="2" t="s">
        <v>7416</v>
      </c>
      <c r="I2057" s="2" t="s">
        <v>7417</v>
      </c>
      <c r="J2057" s="2" t="s">
        <v>270</v>
      </c>
      <c r="K2057" s="2" t="s">
        <v>309</v>
      </c>
      <c r="L2057" s="3">
        <v>68.57</v>
      </c>
      <c r="M2057" s="3">
        <v>72</v>
      </c>
      <c r="N2057" s="3">
        <v>149.99</v>
      </c>
      <c r="O2057" s="2" t="s">
        <v>232</v>
      </c>
      <c r="P2057" s="2" t="s">
        <v>878</v>
      </c>
      <c r="Q2057" s="2" t="s">
        <v>234</v>
      </c>
      <c r="R2057" s="2" t="s">
        <v>235</v>
      </c>
      <c r="S2057" s="2" t="s">
        <v>235</v>
      </c>
      <c r="T2057" s="2" t="s">
        <v>1298</v>
      </c>
      <c r="U2057" s="2" t="s">
        <v>552</v>
      </c>
      <c r="V2057" s="2" t="s">
        <v>880</v>
      </c>
      <c r="W2057" s="2" t="s">
        <v>671</v>
      </c>
      <c r="X2057" s="2" t="s">
        <v>881</v>
      </c>
      <c r="Y2057" s="2" t="s">
        <v>3986</v>
      </c>
      <c r="Z2057" s="4">
        <v>473</v>
      </c>
      <c r="AA2057" s="4">
        <f>=ROUNDDOWN(43,0)</f>
      </c>
      <c r="AB2057" s="5">
        <v>11</v>
      </c>
      <c r="AC2057" s="2" t="s">
        <v>235</v>
      </c>
      <c r="AD2057" s="4"/>
      <c r="AE2057" s="4"/>
      <c r="AF2057" s="6">
        <v>72</v>
      </c>
      <c r="AG2057" s="6"/>
      <c r="AH2057" s="7">
        <v>1</v>
      </c>
      <c r="AI2057" s="4"/>
      <c r="AJ2057" s="4">
        <f>=ROUNDDOWN({0},0)</f>
      </c>
      <c r="AK2057" s="5"/>
      <c r="AL2057" s="2" t="s">
        <v>235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235</v>
      </c>
      <c r="AW2057" s="8" t="s">
        <v>235</v>
      </c>
      <c r="AX2057" s="4" t="s">
        <v>235</v>
      </c>
      <c r="AY2057" s="8" t="s">
        <v>235</v>
      </c>
      <c r="AZ2057" s="7" t="s">
        <v>235</v>
      </c>
      <c r="BA2057" s="7" t="s">
        <v>235</v>
      </c>
      <c r="BB2057" s="7"/>
      <c r="BC2057" s="4" t="s">
        <v>235</v>
      </c>
      <c r="BD2057" s="8" t="s">
        <v>235</v>
      </c>
      <c r="BE2057" s="4" t="s">
        <v>235</v>
      </c>
      <c r="BF2057" s="8" t="s">
        <v>235</v>
      </c>
      <c r="BG2057" s="7" t="s">
        <v>235</v>
      </c>
      <c r="BH2057" s="7" t="s">
        <v>235</v>
      </c>
      <c r="BI2057" s="7"/>
      <c r="BJ2057" s="4">
        <v>4</v>
      </c>
      <c r="BK2057" s="8">
        <v>313.92</v>
      </c>
      <c r="BL2057" s="2" t="s">
        <v>400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7418</v>
      </c>
      <c r="BV2057" s="2" t="s">
        <v>235</v>
      </c>
      <c r="BW2057" s="2" t="s">
        <v>235</v>
      </c>
      <c r="BX2057" s="2" t="s">
        <v>244</v>
      </c>
      <c r="BY2057" s="2" t="s">
        <v>245</v>
      </c>
      <c r="BZ2057" s="2" t="s">
        <v>232</v>
      </c>
      <c r="CA2057" s="2" t="s">
        <v>235</v>
      </c>
      <c r="CB2057" s="2" t="s">
        <v>6869</v>
      </c>
      <c r="CC2057" s="2" t="s">
        <v>248</v>
      </c>
      <c r="CD2057" s="2" t="s">
        <v>248</v>
      </c>
      <c r="CE2057" s="2" t="s">
        <v>235</v>
      </c>
      <c r="CF2057" s="4">
        <v>473</v>
      </c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>
        <v>474</v>
      </c>
      <c r="GE2057" s="4">
        <v>464</v>
      </c>
      <c r="GF2057" s="4">
        <v>455</v>
      </c>
      <c r="GG2057" s="4">
        <v>443</v>
      </c>
      <c r="GH2057" s="4">
        <v>430</v>
      </c>
      <c r="GI2057" s="4">
        <v>417</v>
      </c>
      <c r="GJ2057" s="4">
        <v>398</v>
      </c>
      <c r="GK2057" s="4">
        <v>384</v>
      </c>
      <c r="GL2057" s="4">
        <v>370</v>
      </c>
      <c r="GM2057" s="4">
        <v>358</v>
      </c>
      <c r="GN2057" s="4">
        <v>346</v>
      </c>
      <c r="GO2057" s="4">
        <v>331</v>
      </c>
      <c r="GP2057" s="4">
        <v>314</v>
      </c>
      <c r="GQ2057" s="4">
        <v>285</v>
      </c>
      <c r="GR2057" s="4">
        <v>268</v>
      </c>
      <c r="GS2057" s="4">
        <v>253</v>
      </c>
      <c r="GT2057" s="4">
        <v>243</v>
      </c>
      <c r="GU2057" s="4">
        <v>234</v>
      </c>
      <c r="GV2057" s="4">
        <v>222</v>
      </c>
      <c r="GW2057" s="4">
        <v>211</v>
      </c>
      <c r="GX2057" s="4">
        <v>200</v>
      </c>
      <c r="GY2057" s="4">
        <v>189</v>
      </c>
      <c r="GZ2057" s="4">
        <v>178</v>
      </c>
      <c r="HA2057" s="4">
        <v>167</v>
      </c>
      <c r="HB2057" s="4">
        <v>156</v>
      </c>
      <c r="HC2057" s="4">
        <v>144</v>
      </c>
      <c r="HD2057" s="19">
        <v>43.1</v>
      </c>
      <c r="HE2057" s="19">
        <v>38.7</v>
      </c>
      <c r="HF2057" s="19">
        <v>32.5</v>
      </c>
      <c r="HG2057" s="19">
        <v>29.5</v>
      </c>
      <c r="HH2057" s="19">
        <v>28.7</v>
      </c>
      <c r="HI2057" s="19">
        <v>27.8</v>
      </c>
      <c r="HJ2057" s="19">
        <v>30.6</v>
      </c>
      <c r="HK2057" s="19">
        <v>29.5</v>
      </c>
      <c r="HL2057" s="19">
        <v>26.4</v>
      </c>
      <c r="HM2057" s="19">
        <v>19.9</v>
      </c>
      <c r="HN2057" s="19">
        <v>17.3</v>
      </c>
      <c r="HO2057" s="19">
        <v>16.6</v>
      </c>
      <c r="HP2057" s="19">
        <v>17.4</v>
      </c>
      <c r="HQ2057" s="19">
        <v>21.9</v>
      </c>
      <c r="HR2057" s="19">
        <v>22.3</v>
      </c>
      <c r="HS2057" s="19">
        <v>25.3</v>
      </c>
      <c r="HT2057" s="19">
        <v>22.1</v>
      </c>
      <c r="HU2057" s="19">
        <v>21.3</v>
      </c>
      <c r="HV2057" s="19">
        <v>20.2</v>
      </c>
      <c r="HW2057" s="19">
        <v>19.2</v>
      </c>
      <c r="HX2057" s="19">
        <v>18.2</v>
      </c>
      <c r="HY2057" s="19">
        <v>17.2</v>
      </c>
      <c r="HZ2057" s="19">
        <v>16.2</v>
      </c>
      <c r="IA2057" s="19">
        <v>15.2</v>
      </c>
      <c r="IB2057" s="19">
        <v>14.2</v>
      </c>
      <c r="IC2057" s="19">
        <v>13.1</v>
      </c>
    </row>
    <row r="2058">
      <c r="A2058" s="2" t="s">
        <v>7420</v>
      </c>
      <c r="B2058" s="2" t="s">
        <v>871</v>
      </c>
      <c r="C2058" s="2" t="s">
        <v>324</v>
      </c>
      <c r="D2058" s="2" t="s">
        <v>1452</v>
      </c>
      <c r="E2058" s="2" t="s">
        <v>1453</v>
      </c>
      <c r="F2058" s="2" t="s">
        <v>5234</v>
      </c>
      <c r="G2058" s="2" t="s">
        <v>7415</v>
      </c>
      <c r="H2058" s="2" t="s">
        <v>7416</v>
      </c>
      <c r="I2058" s="2" t="s">
        <v>7417</v>
      </c>
      <c r="J2058" s="2" t="s">
        <v>261</v>
      </c>
      <c r="K2058" s="2" t="s">
        <v>316</v>
      </c>
      <c r="L2058" s="3">
        <v>59.42</v>
      </c>
      <c r="M2058" s="3">
        <v>62.4</v>
      </c>
      <c r="N2058" s="3">
        <v>129.99</v>
      </c>
      <c r="O2058" s="2" t="s">
        <v>232</v>
      </c>
      <c r="P2058" s="2" t="s">
        <v>878</v>
      </c>
      <c r="Q2058" s="2" t="s">
        <v>234</v>
      </c>
      <c r="R2058" s="2" t="s">
        <v>235</v>
      </c>
      <c r="S2058" s="2" t="s">
        <v>235</v>
      </c>
      <c r="T2058" s="2" t="s">
        <v>1298</v>
      </c>
      <c r="U2058" s="2" t="s">
        <v>552</v>
      </c>
      <c r="V2058" s="2" t="s">
        <v>880</v>
      </c>
      <c r="W2058" s="2" t="s">
        <v>671</v>
      </c>
      <c r="X2058" s="2" t="s">
        <v>881</v>
      </c>
      <c r="Y2058" s="2" t="s">
        <v>3986</v>
      </c>
      <c r="Z2058" s="4">
        <v>729</v>
      </c>
      <c r="AA2058" s="4">
        <f>=ROUNDDOWN(56.0769230769231,0)</f>
      </c>
      <c r="AB2058" s="5">
        <v>13</v>
      </c>
      <c r="AC2058" s="2" t="s">
        <v>235</v>
      </c>
      <c r="AD2058" s="4"/>
      <c r="AE2058" s="4"/>
      <c r="AF2058" s="6">
        <v>72</v>
      </c>
      <c r="AG2058" s="6"/>
      <c r="AH2058" s="7">
        <v>1</v>
      </c>
      <c r="AI2058" s="4"/>
      <c r="AJ2058" s="4">
        <f>=ROUNDDOWN({0},0)</f>
      </c>
      <c r="AK2058" s="5"/>
      <c r="AL2058" s="2" t="s">
        <v>235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235</v>
      </c>
      <c r="AW2058" s="8" t="s">
        <v>235</v>
      </c>
      <c r="AX2058" s="4" t="s">
        <v>235</v>
      </c>
      <c r="AY2058" s="8" t="s">
        <v>235</v>
      </c>
      <c r="AZ2058" s="7" t="s">
        <v>235</v>
      </c>
      <c r="BA2058" s="7" t="s">
        <v>235</v>
      </c>
      <c r="BB2058" s="7"/>
      <c r="BC2058" s="4" t="s">
        <v>235</v>
      </c>
      <c r="BD2058" s="8" t="s">
        <v>235</v>
      </c>
      <c r="BE2058" s="4" t="s">
        <v>235</v>
      </c>
      <c r="BF2058" s="8" t="s">
        <v>235</v>
      </c>
      <c r="BG2058" s="7" t="s">
        <v>235</v>
      </c>
      <c r="BH2058" s="7" t="s">
        <v>235</v>
      </c>
      <c r="BI2058" s="7"/>
      <c r="BJ2058" s="4">
        <v>4</v>
      </c>
      <c r="BK2058" s="8">
        <v>272.97</v>
      </c>
      <c r="BL2058" s="2" t="s">
        <v>1625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7418</v>
      </c>
      <c r="BV2058" s="2" t="s">
        <v>235</v>
      </c>
      <c r="BW2058" s="2" t="s">
        <v>235</v>
      </c>
      <c r="BX2058" s="2" t="s">
        <v>244</v>
      </c>
      <c r="BY2058" s="2" t="s">
        <v>245</v>
      </c>
      <c r="BZ2058" s="2" t="s">
        <v>232</v>
      </c>
      <c r="CA2058" s="2" t="s">
        <v>235</v>
      </c>
      <c r="CB2058" s="2" t="s">
        <v>1235</v>
      </c>
      <c r="CC2058" s="2" t="s">
        <v>248</v>
      </c>
      <c r="CD2058" s="2" t="s">
        <v>248</v>
      </c>
      <c r="CE2058" s="2" t="s">
        <v>235</v>
      </c>
      <c r="CF2058" s="4">
        <v>729</v>
      </c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>
        <v>729</v>
      </c>
      <c r="GE2058" s="4">
        <v>676</v>
      </c>
      <c r="GF2058" s="4">
        <v>662</v>
      </c>
      <c r="GG2058" s="4">
        <v>647</v>
      </c>
      <c r="GH2058" s="4">
        <v>630</v>
      </c>
      <c r="GI2058" s="4">
        <v>613</v>
      </c>
      <c r="GJ2058" s="4">
        <v>586</v>
      </c>
      <c r="GK2058" s="4">
        <v>567</v>
      </c>
      <c r="GL2058" s="4">
        <v>549</v>
      </c>
      <c r="GM2058" s="4">
        <v>535</v>
      </c>
      <c r="GN2058" s="4">
        <v>521</v>
      </c>
      <c r="GO2058" s="4">
        <v>501</v>
      </c>
      <c r="GP2058" s="4">
        <v>482</v>
      </c>
      <c r="GQ2058" s="4">
        <v>448</v>
      </c>
      <c r="GR2058" s="4">
        <v>428</v>
      </c>
      <c r="GS2058" s="4">
        <v>409</v>
      </c>
      <c r="GT2058" s="4">
        <v>397</v>
      </c>
      <c r="GU2058" s="4">
        <v>386</v>
      </c>
      <c r="GV2058" s="4">
        <v>371</v>
      </c>
      <c r="GW2058" s="4">
        <v>358</v>
      </c>
      <c r="GX2058" s="4">
        <v>345</v>
      </c>
      <c r="GY2058" s="4">
        <v>332</v>
      </c>
      <c r="GZ2058" s="4">
        <v>319</v>
      </c>
      <c r="HA2058" s="4">
        <v>306</v>
      </c>
      <c r="HB2058" s="4">
        <v>293</v>
      </c>
      <c r="HC2058" s="4">
        <v>279</v>
      </c>
      <c r="HD2058" s="19">
        <v>29.2</v>
      </c>
      <c r="HE2058" s="19">
        <v>42.3</v>
      </c>
      <c r="HF2058" s="19">
        <v>34.8</v>
      </c>
      <c r="HG2058" s="19">
        <v>32.4</v>
      </c>
      <c r="HH2058" s="19">
        <v>31.5</v>
      </c>
      <c r="HI2058" s="19">
        <v>30.7</v>
      </c>
      <c r="HJ2058" s="19">
        <v>36.6</v>
      </c>
      <c r="HK2058" s="19">
        <v>35.4</v>
      </c>
      <c r="HL2058" s="19">
        <v>32.3</v>
      </c>
      <c r="HM2058" s="19">
        <v>24.3</v>
      </c>
      <c r="HN2058" s="19">
        <v>22.7</v>
      </c>
      <c r="HO2058" s="19">
        <v>21.8</v>
      </c>
      <c r="HP2058" s="19">
        <v>23</v>
      </c>
      <c r="HQ2058" s="19">
        <v>28</v>
      </c>
      <c r="HR2058" s="19">
        <v>30.6</v>
      </c>
      <c r="HS2058" s="19">
        <v>31.5</v>
      </c>
      <c r="HT2058" s="19">
        <v>30.5</v>
      </c>
      <c r="HU2058" s="19">
        <v>27.6</v>
      </c>
      <c r="HV2058" s="19">
        <v>28.5</v>
      </c>
      <c r="HW2058" s="19">
        <v>27.5</v>
      </c>
      <c r="HX2058" s="19">
        <v>26.5</v>
      </c>
      <c r="HY2058" s="19">
        <v>25.5</v>
      </c>
      <c r="HZ2058" s="19">
        <v>24.5</v>
      </c>
      <c r="IA2058" s="19">
        <v>23.5</v>
      </c>
      <c r="IB2058" s="19">
        <v>22.5</v>
      </c>
      <c r="IC2058" s="19">
        <v>21.5</v>
      </c>
    </row>
    <row r="2059">
      <c r="A2059" s="2" t="s">
        <v>7421</v>
      </c>
      <c r="B2059" s="2" t="s">
        <v>871</v>
      </c>
      <c r="C2059" s="2" t="s">
        <v>324</v>
      </c>
      <c r="D2059" s="2" t="s">
        <v>1452</v>
      </c>
      <c r="E2059" s="2" t="s">
        <v>1453</v>
      </c>
      <c r="F2059" s="2" t="s">
        <v>5234</v>
      </c>
      <c r="G2059" s="2" t="s">
        <v>7415</v>
      </c>
      <c r="H2059" s="2" t="s">
        <v>7416</v>
      </c>
      <c r="I2059" s="2" t="s">
        <v>7417</v>
      </c>
      <c r="J2059" s="2" t="s">
        <v>270</v>
      </c>
      <c r="K2059" s="2" t="s">
        <v>316</v>
      </c>
      <c r="L2059" s="3">
        <v>68.57</v>
      </c>
      <c r="M2059" s="3">
        <v>72</v>
      </c>
      <c r="N2059" s="3">
        <v>149.99</v>
      </c>
      <c r="O2059" s="2" t="s">
        <v>232</v>
      </c>
      <c r="P2059" s="2" t="s">
        <v>878</v>
      </c>
      <c r="Q2059" s="2" t="s">
        <v>234</v>
      </c>
      <c r="R2059" s="2" t="s">
        <v>235</v>
      </c>
      <c r="S2059" s="2" t="s">
        <v>235</v>
      </c>
      <c r="T2059" s="2" t="s">
        <v>1298</v>
      </c>
      <c r="U2059" s="2" t="s">
        <v>552</v>
      </c>
      <c r="V2059" s="2" t="s">
        <v>880</v>
      </c>
      <c r="W2059" s="2" t="s">
        <v>671</v>
      </c>
      <c r="X2059" s="2" t="s">
        <v>881</v>
      </c>
      <c r="Y2059" s="2" t="s">
        <v>3986</v>
      </c>
      <c r="Z2059" s="4">
        <v>708</v>
      </c>
      <c r="AA2059" s="4">
        <f>=ROUNDDOWN(54.4615384615385,0)</f>
      </c>
      <c r="AB2059" s="5">
        <v>13</v>
      </c>
      <c r="AC2059" s="2" t="s">
        <v>235</v>
      </c>
      <c r="AD2059" s="4"/>
      <c r="AE2059" s="4"/>
      <c r="AF2059" s="6">
        <v>72</v>
      </c>
      <c r="AG2059" s="6"/>
      <c r="AH2059" s="7">
        <v>1</v>
      </c>
      <c r="AI2059" s="4"/>
      <c r="AJ2059" s="4">
        <f>=ROUNDDOWN({0},0)</f>
      </c>
      <c r="AK2059" s="5"/>
      <c r="AL2059" s="2" t="s">
        <v>235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235</v>
      </c>
      <c r="AW2059" s="8" t="s">
        <v>235</v>
      </c>
      <c r="AX2059" s="4" t="s">
        <v>235</v>
      </c>
      <c r="AY2059" s="8" t="s">
        <v>235</v>
      </c>
      <c r="AZ2059" s="7" t="s">
        <v>235</v>
      </c>
      <c r="BA2059" s="7" t="s">
        <v>235</v>
      </c>
      <c r="BB2059" s="7"/>
      <c r="BC2059" s="4" t="s">
        <v>235</v>
      </c>
      <c r="BD2059" s="8" t="s">
        <v>235</v>
      </c>
      <c r="BE2059" s="4" t="s">
        <v>235</v>
      </c>
      <c r="BF2059" s="8" t="s">
        <v>235</v>
      </c>
      <c r="BG2059" s="7" t="s">
        <v>235</v>
      </c>
      <c r="BH2059" s="7" t="s">
        <v>235</v>
      </c>
      <c r="BI2059" s="7"/>
      <c r="BJ2059" s="4">
        <v>6</v>
      </c>
      <c r="BK2059" s="8">
        <v>388.26</v>
      </c>
      <c r="BL2059" s="2" t="s">
        <v>7422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7418</v>
      </c>
      <c r="BV2059" s="2" t="s">
        <v>235</v>
      </c>
      <c r="BW2059" s="2" t="s">
        <v>235</v>
      </c>
      <c r="BX2059" s="2" t="s">
        <v>244</v>
      </c>
      <c r="BY2059" s="2" t="s">
        <v>245</v>
      </c>
      <c r="BZ2059" s="2" t="s">
        <v>232</v>
      </c>
      <c r="CA2059" s="2" t="s">
        <v>235</v>
      </c>
      <c r="CB2059" s="2" t="s">
        <v>235</v>
      </c>
      <c r="CC2059" s="2" t="s">
        <v>248</v>
      </c>
      <c r="CD2059" s="2" t="s">
        <v>248</v>
      </c>
      <c r="CE2059" s="2" t="s">
        <v>235</v>
      </c>
      <c r="CF2059" s="4">
        <v>708</v>
      </c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>
        <v>709</v>
      </c>
      <c r="GE2059" s="4">
        <v>699</v>
      </c>
      <c r="GF2059" s="4">
        <v>691</v>
      </c>
      <c r="GG2059" s="4">
        <v>683</v>
      </c>
      <c r="GH2059" s="4">
        <v>667</v>
      </c>
      <c r="GI2059" s="4">
        <v>650</v>
      </c>
      <c r="GJ2059" s="4">
        <v>625</v>
      </c>
      <c r="GK2059" s="4">
        <v>607</v>
      </c>
      <c r="GL2059" s="4">
        <v>590</v>
      </c>
      <c r="GM2059" s="4">
        <v>576</v>
      </c>
      <c r="GN2059" s="4">
        <v>562</v>
      </c>
      <c r="GO2059" s="4">
        <v>544</v>
      </c>
      <c r="GP2059" s="4">
        <v>525</v>
      </c>
      <c r="GQ2059" s="4">
        <v>494</v>
      </c>
      <c r="GR2059" s="4">
        <v>475</v>
      </c>
      <c r="GS2059" s="4">
        <v>458</v>
      </c>
      <c r="GT2059" s="4">
        <v>446</v>
      </c>
      <c r="GU2059" s="4">
        <v>435</v>
      </c>
      <c r="GV2059" s="4">
        <v>420</v>
      </c>
      <c r="GW2059" s="4">
        <v>407</v>
      </c>
      <c r="GX2059" s="4">
        <v>394</v>
      </c>
      <c r="GY2059" s="4">
        <v>381</v>
      </c>
      <c r="GZ2059" s="4">
        <v>368</v>
      </c>
      <c r="HA2059" s="4">
        <v>355</v>
      </c>
      <c r="HB2059" s="4">
        <v>342</v>
      </c>
      <c r="HC2059" s="4">
        <v>328</v>
      </c>
      <c r="HD2059" s="19">
        <v>70.9</v>
      </c>
      <c r="HE2059" s="19">
        <v>58.3</v>
      </c>
      <c r="HF2059" s="19">
        <v>43.2</v>
      </c>
      <c r="HG2059" s="19">
        <v>35.9</v>
      </c>
      <c r="HH2059" s="19">
        <v>35.1</v>
      </c>
      <c r="HI2059" s="19">
        <v>36.1</v>
      </c>
      <c r="HJ2059" s="19">
        <v>39.1</v>
      </c>
      <c r="HK2059" s="19">
        <v>37.9</v>
      </c>
      <c r="HL2059" s="19">
        <v>36.9</v>
      </c>
      <c r="HM2059" s="19">
        <v>28.8</v>
      </c>
      <c r="HN2059" s="19">
        <v>25.5</v>
      </c>
      <c r="HO2059" s="19">
        <v>24.7</v>
      </c>
      <c r="HP2059" s="19">
        <v>26.3</v>
      </c>
      <c r="HQ2059" s="19">
        <v>32.9</v>
      </c>
      <c r="HR2059" s="19">
        <v>33.9</v>
      </c>
      <c r="HS2059" s="19">
        <v>35.2</v>
      </c>
      <c r="HT2059" s="19">
        <v>34.3</v>
      </c>
      <c r="HU2059" s="19">
        <v>31.1</v>
      </c>
      <c r="HV2059" s="19">
        <v>32.3</v>
      </c>
      <c r="HW2059" s="19">
        <v>31.3</v>
      </c>
      <c r="HX2059" s="19">
        <v>30.3</v>
      </c>
      <c r="HY2059" s="19">
        <v>29.3</v>
      </c>
      <c r="HZ2059" s="19">
        <v>28.3</v>
      </c>
      <c r="IA2059" s="19">
        <v>27.3</v>
      </c>
      <c r="IB2059" s="19">
        <v>26.3</v>
      </c>
      <c r="IC2059" s="19">
        <v>25.2</v>
      </c>
    </row>
    <row r="2060">
      <c r="A2060" s="2" t="s">
        <v>7423</v>
      </c>
      <c r="B2060" s="2" t="s">
        <v>871</v>
      </c>
      <c r="C2060" s="2" t="s">
        <v>1561</v>
      </c>
      <c r="D2060" s="2" t="s">
        <v>1539</v>
      </c>
      <c r="E2060" s="2" t="s">
        <v>1839</v>
      </c>
      <c r="F2060" s="2" t="s">
        <v>7424</v>
      </c>
      <c r="G2060" s="2" t="s">
        <v>7424</v>
      </c>
      <c r="H2060" s="2" t="s">
        <v>7424</v>
      </c>
      <c r="I2060" s="2" t="s">
        <v>1841</v>
      </c>
      <c r="J2060" s="2" t="s">
        <v>1542</v>
      </c>
      <c r="K2060" s="2" t="s">
        <v>1575</v>
      </c>
      <c r="L2060" s="3">
        <v>37.83</v>
      </c>
      <c r="M2060" s="3">
        <v>39.72</v>
      </c>
      <c r="N2060" s="3">
        <v>124.99</v>
      </c>
      <c r="O2060" s="2" t="s">
        <v>232</v>
      </c>
      <c r="P2060" s="2" t="s">
        <v>233</v>
      </c>
      <c r="Q2060" s="2" t="s">
        <v>234</v>
      </c>
      <c r="R2060" s="2" t="s">
        <v>235</v>
      </c>
      <c r="S2060" s="2" t="s">
        <v>235</v>
      </c>
      <c r="T2060" s="2" t="s">
        <v>235</v>
      </c>
      <c r="U2060" s="2" t="s">
        <v>807</v>
      </c>
      <c r="V2060" s="2" t="s">
        <v>238</v>
      </c>
      <c r="W2060" s="2" t="s">
        <v>671</v>
      </c>
      <c r="X2060" s="2" t="s">
        <v>235</v>
      </c>
      <c r="Y2060" s="2" t="s">
        <v>1844</v>
      </c>
      <c r="Z2060" s="4">
        <v>20</v>
      </c>
      <c r="AA2060" s="4">
        <f>=ROUNDDOWN(7.14285714285714,0)</f>
      </c>
      <c r="AB2060" s="5">
        <v>2.8</v>
      </c>
      <c r="AC2060" s="2" t="s">
        <v>235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235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/>
      <c r="BD2060" s="8"/>
      <c r="BE2060" s="4"/>
      <c r="BF2060" s="8"/>
      <c r="BG2060" s="7"/>
      <c r="BH2060" s="7"/>
      <c r="BI2060" s="7"/>
      <c r="BJ2060" s="4">
        <v>8</v>
      </c>
      <c r="BK2060" s="8">
        <v>408.67</v>
      </c>
      <c r="BL2060" s="2" t="s">
        <v>7425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7426</v>
      </c>
      <c r="BV2060" s="2" t="s">
        <v>243</v>
      </c>
      <c r="BW2060" s="2" t="s">
        <v>235</v>
      </c>
      <c r="BX2060" s="2" t="s">
        <v>244</v>
      </c>
      <c r="BY2060" s="2" t="s">
        <v>245</v>
      </c>
      <c r="BZ2060" s="2" t="s">
        <v>232</v>
      </c>
      <c r="CA2060" s="2" t="s">
        <v>1577</v>
      </c>
      <c r="CB2060" s="2" t="s">
        <v>6519</v>
      </c>
      <c r="CC2060" s="2" t="s">
        <v>248</v>
      </c>
      <c r="CD2060" s="2" t="s">
        <v>248</v>
      </c>
      <c r="CE2060" s="2" t="s">
        <v>235</v>
      </c>
      <c r="CF2060" s="4">
        <v>20</v>
      </c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>
        <v>21</v>
      </c>
      <c r="GE2060" s="4">
        <v>17</v>
      </c>
      <c r="GF2060" s="4">
        <v>14</v>
      </c>
      <c r="GG2060" s="4">
        <v>11</v>
      </c>
      <c r="GH2060" s="4">
        <v>8</v>
      </c>
      <c r="GI2060" s="4">
        <v>5</v>
      </c>
      <c r="GJ2060" s="4">
        <v>2</v>
      </c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>
        <v>181</v>
      </c>
      <c r="GX2060" s="4">
        <v>178</v>
      </c>
      <c r="GY2060" s="4">
        <v>175</v>
      </c>
      <c r="GZ2060" s="4">
        <v>172</v>
      </c>
      <c r="HA2060" s="4">
        <v>169</v>
      </c>
      <c r="HB2060" s="4">
        <v>166</v>
      </c>
      <c r="HC2060" s="4">
        <v>163</v>
      </c>
      <c r="HD2060" s="19">
        <v>7</v>
      </c>
      <c r="HE2060" s="19">
        <v>5.7</v>
      </c>
      <c r="HF2060" s="19">
        <v>4.7</v>
      </c>
      <c r="HG2060" s="19">
        <v>3.7</v>
      </c>
      <c r="HH2060" s="19">
        <v>2.7</v>
      </c>
      <c r="HI2060" s="19">
        <v>1.7</v>
      </c>
      <c r="HJ2060" s="19">
        <v>0.7</v>
      </c>
      <c r="HK2060" s="20">
        <v>0</v>
      </c>
      <c r="HL2060" s="20">
        <v>0</v>
      </c>
      <c r="HM2060" s="20">
        <v>0</v>
      </c>
      <c r="HN2060" s="20">
        <v>0</v>
      </c>
      <c r="HO2060" s="20">
        <v>0</v>
      </c>
      <c r="HP2060" s="20">
        <v>0</v>
      </c>
      <c r="HQ2060" s="20">
        <v>0</v>
      </c>
      <c r="HR2060" s="20">
        <v>0</v>
      </c>
      <c r="HS2060" s="20">
        <v>0</v>
      </c>
      <c r="HT2060" s="20">
        <v>0</v>
      </c>
      <c r="HU2060" s="20">
        <v>0</v>
      </c>
      <c r="HV2060" s="20">
        <v>0</v>
      </c>
      <c r="HW2060" s="19">
        <v>60.3</v>
      </c>
      <c r="HX2060" s="19">
        <v>59.3</v>
      </c>
      <c r="HY2060" s="19">
        <v>58.3</v>
      </c>
      <c r="HZ2060" s="19">
        <v>57.3</v>
      </c>
      <c r="IA2060" s="19">
        <v>56.3</v>
      </c>
      <c r="IB2060" s="19">
        <v>55.3</v>
      </c>
      <c r="IC2060" s="19">
        <v>54.3</v>
      </c>
    </row>
    <row r="2061">
      <c r="A2061" s="2" t="s">
        <v>7427</v>
      </c>
      <c r="B2061" s="2" t="s">
        <v>224</v>
      </c>
      <c r="C2061" s="2" t="s">
        <v>324</v>
      </c>
      <c r="D2061" s="2" t="s">
        <v>981</v>
      </c>
      <c r="E2061" s="2" t="s">
        <v>2509</v>
      </c>
      <c r="F2061" s="2" t="s">
        <v>7428</v>
      </c>
      <c r="G2061" s="2" t="s">
        <v>7429</v>
      </c>
      <c r="H2061" s="2" t="s">
        <v>7429</v>
      </c>
      <c r="I2061" s="2" t="s">
        <v>7430</v>
      </c>
      <c r="J2061" s="2" t="s">
        <v>394</v>
      </c>
      <c r="K2061" s="2" t="s">
        <v>378</v>
      </c>
      <c r="L2061" s="3">
        <v>18.25</v>
      </c>
      <c r="M2061" s="3">
        <v>19.16</v>
      </c>
      <c r="N2061" s="3">
        <v>39.99</v>
      </c>
      <c r="O2061" s="2" t="s">
        <v>232</v>
      </c>
      <c r="P2061" s="2" t="s">
        <v>878</v>
      </c>
      <c r="Q2061" s="2" t="s">
        <v>234</v>
      </c>
      <c r="R2061" s="2" t="s">
        <v>235</v>
      </c>
      <c r="S2061" s="2" t="s">
        <v>7431</v>
      </c>
      <c r="T2061" s="2" t="s">
        <v>501</v>
      </c>
      <c r="U2061" s="2" t="s">
        <v>807</v>
      </c>
      <c r="V2061" s="2" t="s">
        <v>238</v>
      </c>
      <c r="W2061" s="2" t="s">
        <v>239</v>
      </c>
      <c r="X2061" s="2" t="s">
        <v>235</v>
      </c>
      <c r="Y2061" s="2" t="s">
        <v>3554</v>
      </c>
      <c r="Z2061" s="4">
        <v>511</v>
      </c>
      <c r="AA2061" s="4">
        <f>=ROUNDDOWN(56.7777777777778,0)</f>
      </c>
      <c r="AB2061" s="5">
        <v>9</v>
      </c>
      <c r="AC2061" s="2" t="s">
        <v>190</v>
      </c>
      <c r="AD2061" s="4">
        <v>120</v>
      </c>
      <c r="AE2061" s="4">
        <v>120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235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235</v>
      </c>
      <c r="BD2061" s="8" t="s">
        <v>235</v>
      </c>
      <c r="BE2061" s="4" t="s">
        <v>235</v>
      </c>
      <c r="BF2061" s="8" t="s">
        <v>235</v>
      </c>
      <c r="BG2061" s="7" t="s">
        <v>235</v>
      </c>
      <c r="BH2061" s="7" t="s">
        <v>235</v>
      </c>
      <c r="BI2061" s="7"/>
      <c r="BJ2061" s="4">
        <v>170</v>
      </c>
      <c r="BK2061" s="8">
        <v>3254.78</v>
      </c>
      <c r="BL2061" s="2" t="s">
        <v>529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7432</v>
      </c>
      <c r="BV2061" s="2" t="s">
        <v>243</v>
      </c>
      <c r="BW2061" s="2" t="s">
        <v>235</v>
      </c>
      <c r="BX2061" s="2" t="s">
        <v>685</v>
      </c>
      <c r="BY2061" s="2" t="s">
        <v>245</v>
      </c>
      <c r="BZ2061" s="2" t="s">
        <v>232</v>
      </c>
      <c r="CA2061" s="2" t="s">
        <v>4717</v>
      </c>
      <c r="CB2061" s="2" t="s">
        <v>1609</v>
      </c>
      <c r="CC2061" s="2" t="s">
        <v>248</v>
      </c>
      <c r="CD2061" s="2" t="s">
        <v>248</v>
      </c>
      <c r="CE2061" s="2" t="s">
        <v>235</v>
      </c>
      <c r="CF2061" s="4">
        <v>192</v>
      </c>
      <c r="CG2061" s="4">
        <v>319</v>
      </c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>
        <v>120</v>
      </c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>
        <v>192</v>
      </c>
      <c r="GE2061" s="4">
        <v>189</v>
      </c>
      <c r="GF2061" s="4">
        <v>188</v>
      </c>
      <c r="GG2061" s="4">
        <v>187</v>
      </c>
      <c r="GH2061" s="4">
        <v>186</v>
      </c>
      <c r="GI2061" s="4">
        <v>185</v>
      </c>
      <c r="GJ2061" s="4">
        <v>164</v>
      </c>
      <c r="GK2061" s="4">
        <v>143</v>
      </c>
      <c r="GL2061" s="4">
        <v>120</v>
      </c>
      <c r="GM2061" s="4">
        <v>109</v>
      </c>
      <c r="GN2061" s="4">
        <v>103</v>
      </c>
      <c r="GO2061" s="4">
        <v>78</v>
      </c>
      <c r="GP2061" s="4">
        <v>176</v>
      </c>
      <c r="GQ2061" s="4">
        <v>155</v>
      </c>
      <c r="GR2061" s="4">
        <v>137</v>
      </c>
      <c r="GS2061" s="4">
        <v>129</v>
      </c>
      <c r="GT2061" s="4">
        <v>112</v>
      </c>
      <c r="GU2061" s="4">
        <v>96</v>
      </c>
      <c r="GV2061" s="4">
        <v>76</v>
      </c>
      <c r="GW2061" s="4">
        <v>68</v>
      </c>
      <c r="GX2061" s="4">
        <v>59</v>
      </c>
      <c r="GY2061" s="4">
        <v>50</v>
      </c>
      <c r="GZ2061" s="4">
        <v>41</v>
      </c>
      <c r="HA2061" s="4">
        <v>32</v>
      </c>
      <c r="HB2061" s="4">
        <v>23</v>
      </c>
      <c r="HC2061" s="4">
        <v>194</v>
      </c>
      <c r="HD2061" s="19">
        <v>96</v>
      </c>
      <c r="HE2061" s="19">
        <v>189</v>
      </c>
      <c r="HF2061" s="19">
        <v>31.3</v>
      </c>
      <c r="HG2061" s="19">
        <v>17</v>
      </c>
      <c r="HH2061" s="19">
        <v>11.6</v>
      </c>
      <c r="HI2061" s="19">
        <v>9.7</v>
      </c>
      <c r="HJ2061" s="19">
        <v>10.9</v>
      </c>
      <c r="HK2061" s="19">
        <v>8.9</v>
      </c>
      <c r="HL2061" s="19">
        <v>7.5</v>
      </c>
      <c r="HM2061" s="19">
        <v>6.1</v>
      </c>
      <c r="HN2061" s="19">
        <v>4.7</v>
      </c>
      <c r="HO2061" s="19">
        <v>4.6</v>
      </c>
      <c r="HP2061" s="19">
        <v>11</v>
      </c>
      <c r="HQ2061" s="19">
        <v>10.3</v>
      </c>
      <c r="HR2061" s="19">
        <v>9.1</v>
      </c>
      <c r="HS2061" s="19">
        <v>8.6</v>
      </c>
      <c r="HT2061" s="19">
        <v>8.6</v>
      </c>
      <c r="HU2061" s="19">
        <v>8</v>
      </c>
      <c r="HV2061" s="19">
        <v>8.4</v>
      </c>
      <c r="HW2061" s="19">
        <v>7.6</v>
      </c>
      <c r="HX2061" s="19">
        <v>6.6</v>
      </c>
      <c r="HY2061" s="19">
        <v>5.6</v>
      </c>
      <c r="HZ2061" s="19">
        <v>4.6</v>
      </c>
      <c r="IA2061" s="19">
        <v>3.6</v>
      </c>
      <c r="IB2061" s="19">
        <v>2.6</v>
      </c>
      <c r="IC2061" s="19">
        <v>21.6</v>
      </c>
    </row>
    <row r="2062">
      <c r="A2062" s="2" t="s">
        <v>7433</v>
      </c>
      <c r="B2062" s="2" t="s">
        <v>224</v>
      </c>
      <c r="C2062" s="2" t="s">
        <v>324</v>
      </c>
      <c r="D2062" s="2" t="s">
        <v>981</v>
      </c>
      <c r="E2062" s="2" t="s">
        <v>2509</v>
      </c>
      <c r="F2062" s="2" t="s">
        <v>7428</v>
      </c>
      <c r="G2062" s="2" t="s">
        <v>7429</v>
      </c>
      <c r="H2062" s="2" t="s">
        <v>7429</v>
      </c>
      <c r="I2062" s="2" t="s">
        <v>7430</v>
      </c>
      <c r="J2062" s="2" t="s">
        <v>270</v>
      </c>
      <c r="K2062" s="2" t="s">
        <v>1238</v>
      </c>
      <c r="L2062" s="3">
        <v>30</v>
      </c>
      <c r="M2062" s="3">
        <v>31.5</v>
      </c>
      <c r="N2062" s="3">
        <v>59.99</v>
      </c>
      <c r="O2062" s="2" t="s">
        <v>232</v>
      </c>
      <c r="P2062" s="2" t="s">
        <v>878</v>
      </c>
      <c r="Q2062" s="2" t="s">
        <v>234</v>
      </c>
      <c r="R2062" s="2" t="s">
        <v>235</v>
      </c>
      <c r="S2062" s="2" t="s">
        <v>7434</v>
      </c>
      <c r="T2062" s="2" t="s">
        <v>501</v>
      </c>
      <c r="U2062" s="2" t="s">
        <v>807</v>
      </c>
      <c r="V2062" s="2" t="s">
        <v>238</v>
      </c>
      <c r="W2062" s="2" t="s">
        <v>239</v>
      </c>
      <c r="X2062" s="2" t="s">
        <v>235</v>
      </c>
      <c r="Y2062" s="2" t="s">
        <v>7435</v>
      </c>
      <c r="Z2062" s="4">
        <v>139</v>
      </c>
      <c r="AA2062" s="4">
        <f>=ROUNDDOWN(8.17647058823529,0)</f>
      </c>
      <c r="AB2062" s="5">
        <v>17</v>
      </c>
      <c r="AC2062" s="2" t="s">
        <v>7436</v>
      </c>
      <c r="AD2062" s="4">
        <v>588</v>
      </c>
      <c r="AE2062" s="4">
        <v>588</v>
      </c>
      <c r="AF2062" s="6">
        <v>65</v>
      </c>
      <c r="AG2062" s="6"/>
      <c r="AH2062" s="7">
        <v>0.2258</v>
      </c>
      <c r="AI2062" s="4"/>
      <c r="AJ2062" s="4">
        <f>=ROUNDDOWN({0},0)</f>
      </c>
      <c r="AK2062" s="5"/>
      <c r="AL2062" s="2" t="s">
        <v>235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 t="s">
        <v>235</v>
      </c>
      <c r="BD2062" s="8" t="s">
        <v>235</v>
      </c>
      <c r="BE2062" s="4" t="s">
        <v>235</v>
      </c>
      <c r="BF2062" s="8" t="s">
        <v>235</v>
      </c>
      <c r="BG2062" s="7" t="s">
        <v>235</v>
      </c>
      <c r="BH2062" s="7" t="s">
        <v>235</v>
      </c>
      <c r="BI2062" s="7"/>
      <c r="BJ2062" s="4">
        <v>6</v>
      </c>
      <c r="BK2062" s="8">
        <v>186.38</v>
      </c>
      <c r="BL2062" s="2" t="s">
        <v>659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7432</v>
      </c>
      <c r="BV2062" s="2" t="s">
        <v>235</v>
      </c>
      <c r="BW2062" s="2" t="s">
        <v>235</v>
      </c>
      <c r="BX2062" s="2" t="s">
        <v>685</v>
      </c>
      <c r="BY2062" s="2" t="s">
        <v>245</v>
      </c>
      <c r="BZ2062" s="2" t="s">
        <v>232</v>
      </c>
      <c r="CA2062" s="2" t="s">
        <v>235</v>
      </c>
      <c r="CB2062" s="2" t="s">
        <v>7204</v>
      </c>
      <c r="CC2062" s="2" t="s">
        <v>248</v>
      </c>
      <c r="CD2062" s="2" t="s">
        <v>248</v>
      </c>
      <c r="CE2062" s="2" t="s">
        <v>235</v>
      </c>
      <c r="CF2062" s="4">
        <v>139</v>
      </c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>
        <v>588</v>
      </c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>
        <v>189</v>
      </c>
      <c r="GE2062" s="4">
        <v>164</v>
      </c>
      <c r="GF2062" s="4">
        <v>154</v>
      </c>
      <c r="GG2062" s="4">
        <v>144</v>
      </c>
      <c r="GH2062" s="4">
        <v>134</v>
      </c>
      <c r="GI2062" s="4">
        <v>701</v>
      </c>
      <c r="GJ2062" s="4">
        <v>632</v>
      </c>
      <c r="GK2062" s="4">
        <v>608</v>
      </c>
      <c r="GL2062" s="4">
        <v>583</v>
      </c>
      <c r="GM2062" s="4">
        <v>565</v>
      </c>
      <c r="GN2062" s="4">
        <v>532</v>
      </c>
      <c r="GO2062" s="4">
        <v>474</v>
      </c>
      <c r="GP2062" s="4">
        <v>424</v>
      </c>
      <c r="GQ2062" s="4">
        <v>356</v>
      </c>
      <c r="GR2062" s="4">
        <v>329</v>
      </c>
      <c r="GS2062" s="4">
        <v>304</v>
      </c>
      <c r="GT2062" s="4">
        <v>289</v>
      </c>
      <c r="GU2062" s="4">
        <v>277</v>
      </c>
      <c r="GV2062" s="4">
        <v>260</v>
      </c>
      <c r="GW2062" s="4">
        <v>244</v>
      </c>
      <c r="GX2062" s="4">
        <v>228</v>
      </c>
      <c r="GY2062" s="4">
        <v>213</v>
      </c>
      <c r="GZ2062" s="4">
        <v>198</v>
      </c>
      <c r="HA2062" s="4">
        <v>184</v>
      </c>
      <c r="HB2062" s="4">
        <v>167</v>
      </c>
      <c r="HC2062" s="4">
        <v>151</v>
      </c>
      <c r="HD2062" s="19">
        <v>13.5</v>
      </c>
      <c r="HE2062" s="19">
        <v>12.6</v>
      </c>
      <c r="HF2062" s="19">
        <v>5.5</v>
      </c>
      <c r="HG2062" s="19">
        <v>4.6</v>
      </c>
      <c r="HH2062" s="19">
        <v>3.8</v>
      </c>
      <c r="HI2062" s="19">
        <v>20.6</v>
      </c>
      <c r="HJ2062" s="19">
        <v>25.3</v>
      </c>
      <c r="HK2062" s="19">
        <v>17.9</v>
      </c>
      <c r="HL2062" s="19">
        <v>14.6</v>
      </c>
      <c r="HM2062" s="19">
        <v>10.9</v>
      </c>
      <c r="HN2062" s="19">
        <v>10.4</v>
      </c>
      <c r="HO2062" s="19">
        <v>11.3</v>
      </c>
      <c r="HP2062" s="19">
        <v>12.5</v>
      </c>
      <c r="HQ2062" s="19">
        <v>17.8</v>
      </c>
      <c r="HR2062" s="19">
        <v>19.4</v>
      </c>
      <c r="HS2062" s="19">
        <v>20.3</v>
      </c>
      <c r="HT2062" s="19">
        <v>19.3</v>
      </c>
      <c r="HU2062" s="19">
        <v>17.3</v>
      </c>
      <c r="HV2062" s="19">
        <v>16.3</v>
      </c>
      <c r="HW2062" s="19">
        <v>16.3</v>
      </c>
      <c r="HX2062" s="19">
        <v>15.2</v>
      </c>
      <c r="HY2062" s="19">
        <v>13.3</v>
      </c>
      <c r="HZ2062" s="19">
        <v>12.4</v>
      </c>
      <c r="IA2062" s="19">
        <v>11.5</v>
      </c>
      <c r="IB2062" s="19">
        <v>10.4</v>
      </c>
      <c r="IC2062" s="19">
        <v>8.9</v>
      </c>
    </row>
    <row r="2063">
      <c r="A2063" s="2" t="s">
        <v>7437</v>
      </c>
      <c r="B2063" s="2" t="s">
        <v>224</v>
      </c>
      <c r="C2063" s="2" t="s">
        <v>324</v>
      </c>
      <c r="D2063" s="2" t="s">
        <v>981</v>
      </c>
      <c r="E2063" s="2" t="s">
        <v>2509</v>
      </c>
      <c r="F2063" s="2" t="s">
        <v>7428</v>
      </c>
      <c r="G2063" s="2" t="s">
        <v>7429</v>
      </c>
      <c r="H2063" s="2" t="s">
        <v>7429</v>
      </c>
      <c r="I2063" s="2" t="s">
        <v>7430</v>
      </c>
      <c r="J2063" s="2" t="s">
        <v>394</v>
      </c>
      <c r="K2063" s="2" t="s">
        <v>7438</v>
      </c>
      <c r="L2063" s="3">
        <v>18.35</v>
      </c>
      <c r="M2063" s="3">
        <v>19.27</v>
      </c>
      <c r="N2063" s="3">
        <v>39.99</v>
      </c>
      <c r="O2063" s="2" t="s">
        <v>232</v>
      </c>
      <c r="P2063" s="2" t="s">
        <v>878</v>
      </c>
      <c r="Q2063" s="2" t="s">
        <v>234</v>
      </c>
      <c r="R2063" s="2" t="s">
        <v>235</v>
      </c>
      <c r="S2063" s="2" t="s">
        <v>7434</v>
      </c>
      <c r="T2063" s="2" t="s">
        <v>501</v>
      </c>
      <c r="U2063" s="2" t="s">
        <v>807</v>
      </c>
      <c r="V2063" s="2" t="s">
        <v>238</v>
      </c>
      <c r="W2063" s="2" t="s">
        <v>239</v>
      </c>
      <c r="X2063" s="2" t="s">
        <v>235</v>
      </c>
      <c r="Y2063" s="2" t="s">
        <v>7439</v>
      </c>
      <c r="Z2063" s="4">
        <v>534</v>
      </c>
      <c r="AA2063" s="4">
        <f>=ROUNDDOWN(89,0)</f>
      </c>
      <c r="AB2063" s="5">
        <v>6</v>
      </c>
      <c r="AC2063" s="2" t="s">
        <v>235</v>
      </c>
      <c r="AD2063" s="4"/>
      <c r="AE2063" s="4"/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235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 t="s">
        <v>235</v>
      </c>
      <c r="BD2063" s="8" t="s">
        <v>235</v>
      </c>
      <c r="BE2063" s="4" t="s">
        <v>235</v>
      </c>
      <c r="BF2063" s="8" t="s">
        <v>235</v>
      </c>
      <c r="BG2063" s="7" t="s">
        <v>235</v>
      </c>
      <c r="BH2063" s="7" t="s">
        <v>235</v>
      </c>
      <c r="BI2063" s="7"/>
      <c r="BJ2063" s="4">
        <v>13</v>
      </c>
      <c r="BK2063" s="8">
        <v>250.12</v>
      </c>
      <c r="BL2063" s="2" t="s">
        <v>1642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7432</v>
      </c>
      <c r="BV2063" s="2" t="s">
        <v>235</v>
      </c>
      <c r="BW2063" s="2" t="s">
        <v>235</v>
      </c>
      <c r="BX2063" s="2" t="s">
        <v>685</v>
      </c>
      <c r="BY2063" s="2" t="s">
        <v>245</v>
      </c>
      <c r="BZ2063" s="2" t="s">
        <v>232</v>
      </c>
      <c r="CA2063" s="2" t="s">
        <v>235</v>
      </c>
      <c r="CB2063" s="2" t="s">
        <v>3792</v>
      </c>
      <c r="CC2063" s="2" t="s">
        <v>248</v>
      </c>
      <c r="CD2063" s="2" t="s">
        <v>248</v>
      </c>
      <c r="CE2063" s="2" t="s">
        <v>235</v>
      </c>
      <c r="CF2063" s="4">
        <v>534</v>
      </c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>
        <v>534</v>
      </c>
      <c r="GE2063" s="4">
        <v>531</v>
      </c>
      <c r="GF2063" s="4">
        <v>528</v>
      </c>
      <c r="GG2063" s="4">
        <v>525</v>
      </c>
      <c r="GH2063" s="4">
        <v>514</v>
      </c>
      <c r="GI2063" s="4">
        <v>503</v>
      </c>
      <c r="GJ2063" s="4">
        <v>483</v>
      </c>
      <c r="GK2063" s="4">
        <v>472</v>
      </c>
      <c r="GL2063" s="4">
        <v>461</v>
      </c>
      <c r="GM2063" s="4">
        <v>453</v>
      </c>
      <c r="GN2063" s="4">
        <v>444</v>
      </c>
      <c r="GO2063" s="4">
        <v>427</v>
      </c>
      <c r="GP2063" s="4">
        <v>412</v>
      </c>
      <c r="GQ2063" s="4">
        <v>392</v>
      </c>
      <c r="GR2063" s="4">
        <v>381</v>
      </c>
      <c r="GS2063" s="4">
        <v>374</v>
      </c>
      <c r="GT2063" s="4">
        <v>369</v>
      </c>
      <c r="GU2063" s="4">
        <v>365</v>
      </c>
      <c r="GV2063" s="4">
        <v>359</v>
      </c>
      <c r="GW2063" s="4">
        <v>353</v>
      </c>
      <c r="GX2063" s="4">
        <v>347</v>
      </c>
      <c r="GY2063" s="4">
        <v>342</v>
      </c>
      <c r="GZ2063" s="4">
        <v>337</v>
      </c>
      <c r="HA2063" s="4">
        <v>331</v>
      </c>
      <c r="HB2063" s="4">
        <v>325</v>
      </c>
      <c r="HC2063" s="4">
        <v>319</v>
      </c>
      <c r="HD2063" s="19">
        <v>106.8</v>
      </c>
      <c r="HE2063" s="19">
        <v>75.9</v>
      </c>
      <c r="HF2063" s="19">
        <v>48</v>
      </c>
      <c r="HG2063" s="19">
        <v>40.4</v>
      </c>
      <c r="HH2063" s="19">
        <v>39.5</v>
      </c>
      <c r="HI2063" s="19">
        <v>41.9</v>
      </c>
      <c r="HJ2063" s="19">
        <v>48.3</v>
      </c>
      <c r="HK2063" s="19">
        <v>42.9</v>
      </c>
      <c r="HL2063" s="19">
        <v>38.4</v>
      </c>
      <c r="HM2063" s="19">
        <v>30.2</v>
      </c>
      <c r="HN2063" s="19">
        <v>27.8</v>
      </c>
      <c r="HO2063" s="19">
        <v>32.8</v>
      </c>
      <c r="HP2063" s="19">
        <v>37.5</v>
      </c>
      <c r="HQ2063" s="19">
        <v>56</v>
      </c>
      <c r="HR2063" s="19">
        <v>63.5</v>
      </c>
      <c r="HS2063" s="19">
        <v>74.8</v>
      </c>
      <c r="HT2063" s="19">
        <v>61.5</v>
      </c>
      <c r="HU2063" s="19">
        <v>60.8</v>
      </c>
      <c r="HV2063" s="19">
        <v>59.8</v>
      </c>
      <c r="HW2063" s="19">
        <v>58.8</v>
      </c>
      <c r="HX2063" s="19">
        <v>57.8</v>
      </c>
      <c r="HY2063" s="19">
        <v>57</v>
      </c>
      <c r="HZ2063" s="19">
        <v>56.2</v>
      </c>
      <c r="IA2063" s="19">
        <v>55.2</v>
      </c>
      <c r="IB2063" s="19">
        <v>54.2</v>
      </c>
      <c r="IC2063" s="19">
        <v>53.2</v>
      </c>
    </row>
    <row r="2064">
      <c r="A2064" s="2" t="s">
        <v>7440</v>
      </c>
      <c r="B2064" s="2" t="s">
        <v>817</v>
      </c>
      <c r="C2064" s="2" t="s">
        <v>893</v>
      </c>
      <c r="D2064" s="2" t="s">
        <v>818</v>
      </c>
      <c r="E2064" s="2" t="s">
        <v>1689</v>
      </c>
      <c r="F2064" s="2" t="s">
        <v>7441</v>
      </c>
      <c r="G2064" s="2" t="s">
        <v>7441</v>
      </c>
      <c r="H2064" s="2" t="s">
        <v>7441</v>
      </c>
      <c r="I2064" s="2" t="s">
        <v>7442</v>
      </c>
      <c r="J2064" s="2" t="s">
        <v>897</v>
      </c>
      <c r="K2064" s="2" t="s">
        <v>1196</v>
      </c>
      <c r="L2064" s="3">
        <v>27.85</v>
      </c>
      <c r="M2064" s="3">
        <v>29.24</v>
      </c>
      <c r="N2064" s="3">
        <v>64.99</v>
      </c>
      <c r="O2064" s="2" t="s">
        <v>407</v>
      </c>
      <c r="P2064" s="2" t="s">
        <v>408</v>
      </c>
      <c r="Q2064" s="2" t="s">
        <v>234</v>
      </c>
      <c r="R2064" s="2" t="s">
        <v>235</v>
      </c>
      <c r="S2064" s="2" t="s">
        <v>235</v>
      </c>
      <c r="T2064" s="2" t="s">
        <v>235</v>
      </c>
      <c r="U2064" s="2" t="s">
        <v>807</v>
      </c>
      <c r="V2064" s="2" t="s">
        <v>808</v>
      </c>
      <c r="W2064" s="2" t="s">
        <v>1596</v>
      </c>
      <c r="X2064" s="2" t="s">
        <v>1798</v>
      </c>
      <c r="Y2064" s="2" t="s">
        <v>4041</v>
      </c>
      <c r="Z2064" s="4">
        <v>17</v>
      </c>
      <c r="AA2064" s="4">
        <f>=ROUNDDOWN(12.1428571428571,0)</f>
      </c>
      <c r="AB2064" s="5">
        <v>1.4</v>
      </c>
      <c r="AC2064" s="2" t="s">
        <v>235</v>
      </c>
      <c r="AD2064" s="4"/>
      <c r="AE2064" s="4"/>
      <c r="AF2064" s="6">
        <v>61</v>
      </c>
      <c r="AG2064" s="6"/>
      <c r="AH2064" s="7">
        <v>1</v>
      </c>
      <c r="AI2064" s="4"/>
      <c r="AJ2064" s="4">
        <f>=ROUNDDOWN({0},0)</f>
      </c>
      <c r="AK2064" s="5"/>
      <c r="AL2064" s="2" t="s">
        <v>235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/>
      <c r="BD2064" s="8"/>
      <c r="BE2064" s="4"/>
      <c r="BF2064" s="8"/>
      <c r="BG2064" s="7"/>
      <c r="BH2064" s="7"/>
      <c r="BI2064" s="7"/>
      <c r="BJ2064" s="4">
        <v>1</v>
      </c>
      <c r="BK2064" s="8">
        <v>32.75</v>
      </c>
      <c r="BL2064" s="2" t="s">
        <v>1203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7443</v>
      </c>
      <c r="BV2064" s="2" t="s">
        <v>828</v>
      </c>
      <c r="BW2064" s="2" t="s">
        <v>235</v>
      </c>
      <c r="BX2064" s="2" t="s">
        <v>414</v>
      </c>
      <c r="BY2064" s="2" t="s">
        <v>245</v>
      </c>
      <c r="BZ2064" s="2" t="s">
        <v>232</v>
      </c>
      <c r="CA2064" s="2" t="s">
        <v>4015</v>
      </c>
      <c r="CB2064" s="2" t="s">
        <v>2740</v>
      </c>
      <c r="CC2064" s="2" t="s">
        <v>248</v>
      </c>
      <c r="CD2064" s="2" t="s">
        <v>248</v>
      </c>
      <c r="CE2064" s="2" t="s">
        <v>235</v>
      </c>
      <c r="CF2064" s="4"/>
      <c r="CG2064" s="4">
        <v>17</v>
      </c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>
        <v>21</v>
      </c>
      <c r="GE2064" s="4">
        <v>16</v>
      </c>
      <c r="GF2064" s="4">
        <v>15</v>
      </c>
      <c r="GG2064" s="4">
        <v>14</v>
      </c>
      <c r="GH2064" s="4">
        <v>13</v>
      </c>
      <c r="GI2064" s="4">
        <v>12</v>
      </c>
      <c r="GJ2064" s="4">
        <v>11</v>
      </c>
      <c r="GK2064" s="4">
        <v>10</v>
      </c>
      <c r="GL2064" s="4">
        <v>9</v>
      </c>
      <c r="GM2064" s="4">
        <v>8</v>
      </c>
      <c r="GN2064" s="4">
        <v>7</v>
      </c>
      <c r="GO2064" s="4">
        <v>6</v>
      </c>
      <c r="GP2064" s="4">
        <v>5</v>
      </c>
      <c r="GQ2064" s="4">
        <v>4</v>
      </c>
      <c r="GR2064" s="4">
        <v>3</v>
      </c>
      <c r="GS2064" s="4">
        <v>2</v>
      </c>
      <c r="GT2064" s="4">
        <v>1</v>
      </c>
      <c r="GU2064" s="4"/>
      <c r="GV2064" s="4"/>
      <c r="GW2064" s="4"/>
      <c r="GX2064" s="4"/>
      <c r="GY2064" s="4"/>
      <c r="GZ2064" s="4"/>
      <c r="HA2064" s="4"/>
      <c r="HB2064" s="4"/>
      <c r="HC2064" s="4"/>
      <c r="HD2064" s="19">
        <v>10.5</v>
      </c>
      <c r="HE2064" s="19">
        <v>16</v>
      </c>
      <c r="HF2064" s="19">
        <v>15</v>
      </c>
      <c r="HG2064" s="19">
        <v>14</v>
      </c>
      <c r="HH2064" s="19">
        <v>13</v>
      </c>
      <c r="HI2064" s="19">
        <v>12</v>
      </c>
      <c r="HJ2064" s="19">
        <v>11</v>
      </c>
      <c r="HK2064" s="19">
        <v>10</v>
      </c>
      <c r="HL2064" s="19">
        <v>9</v>
      </c>
      <c r="HM2064" s="19">
        <v>8</v>
      </c>
      <c r="HN2064" s="19">
        <v>7</v>
      </c>
      <c r="HO2064" s="19">
        <v>6</v>
      </c>
      <c r="HP2064" s="19">
        <v>5</v>
      </c>
      <c r="HQ2064" s="19">
        <v>4</v>
      </c>
      <c r="HR2064" s="19">
        <v>3</v>
      </c>
      <c r="HS2064" s="19">
        <v>2</v>
      </c>
      <c r="HT2064" s="19">
        <v>1</v>
      </c>
      <c r="HU2064" s="20">
        <v>0</v>
      </c>
      <c r="HV2064" s="20">
        <v>0</v>
      </c>
      <c r="HW2064" s="20">
        <v>0</v>
      </c>
      <c r="HX2064" s="20">
        <v>0</v>
      </c>
      <c r="HY2064" s="20">
        <v>0</v>
      </c>
      <c r="HZ2064" s="20">
        <v>0</v>
      </c>
      <c r="IA2064" s="20">
        <v>0</v>
      </c>
      <c r="IB2064" s="20">
        <v>0</v>
      </c>
      <c r="IC2064" s="20">
        <v>0</v>
      </c>
    </row>
    <row r="2065">
      <c r="A2065" s="2" t="s">
        <v>7444</v>
      </c>
      <c r="B2065" s="2" t="s">
        <v>224</v>
      </c>
      <c r="C2065" s="2" t="s">
        <v>324</v>
      </c>
      <c r="D2065" s="2" t="s">
        <v>361</v>
      </c>
      <c r="E2065" s="2" t="s">
        <v>362</v>
      </c>
      <c r="F2065" s="2" t="s">
        <v>7445</v>
      </c>
      <c r="G2065" s="2" t="s">
        <v>7446</v>
      </c>
      <c r="H2065" s="2" t="s">
        <v>7446</v>
      </c>
      <c r="I2065" s="2" t="s">
        <v>7447</v>
      </c>
      <c r="J2065" s="2" t="s">
        <v>372</v>
      </c>
      <c r="K2065" s="2" t="s">
        <v>567</v>
      </c>
      <c r="L2065" s="3">
        <v>42.5</v>
      </c>
      <c r="M2065" s="3">
        <v>44.62</v>
      </c>
      <c r="N2065" s="3">
        <v>84.99</v>
      </c>
      <c r="O2065" s="2" t="s">
        <v>232</v>
      </c>
      <c r="P2065" s="2" t="s">
        <v>878</v>
      </c>
      <c r="Q2065" s="2" t="s">
        <v>234</v>
      </c>
      <c r="R2065" s="2" t="s">
        <v>235</v>
      </c>
      <c r="S2065" s="2" t="s">
        <v>7448</v>
      </c>
      <c r="T2065" s="2" t="s">
        <v>263</v>
      </c>
      <c r="U2065" s="2" t="s">
        <v>807</v>
      </c>
      <c r="V2065" s="2" t="s">
        <v>238</v>
      </c>
      <c r="W2065" s="2" t="s">
        <v>239</v>
      </c>
      <c r="X2065" s="2" t="s">
        <v>329</v>
      </c>
      <c r="Y2065" s="2" t="s">
        <v>4016</v>
      </c>
      <c r="Z2065" s="4">
        <v>376</v>
      </c>
      <c r="AA2065" s="4">
        <f>=ROUNDDOWN(125.333333333333,0)</f>
      </c>
      <c r="AB2065" s="5">
        <v>3</v>
      </c>
      <c r="AC2065" s="2" t="s">
        <v>235</v>
      </c>
      <c r="AD2065" s="4"/>
      <c r="AE2065" s="4"/>
      <c r="AF2065" s="6">
        <v>81</v>
      </c>
      <c r="AG2065" s="6"/>
      <c r="AH2065" s="7">
        <v>1</v>
      </c>
      <c r="AI2065" s="4"/>
      <c r="AJ2065" s="4">
        <f>=ROUNDDOWN({0},0)</f>
      </c>
      <c r="AK2065" s="5"/>
      <c r="AL2065" s="2" t="s">
        <v>235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/>
      <c r="BD2065" s="8"/>
      <c r="BE2065" s="4"/>
      <c r="BF2065" s="8"/>
      <c r="BG2065" s="7"/>
      <c r="BH2065" s="7"/>
      <c r="BI2065" s="7"/>
      <c r="BJ2065" s="4">
        <v>15</v>
      </c>
      <c r="BK2065" s="8">
        <v>773.45</v>
      </c>
      <c r="BL2065" s="2" t="s">
        <v>7449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7450</v>
      </c>
      <c r="BV2065" s="2" t="s">
        <v>243</v>
      </c>
      <c r="BW2065" s="2" t="s">
        <v>235</v>
      </c>
      <c r="BX2065" s="2" t="s">
        <v>244</v>
      </c>
      <c r="BY2065" s="2" t="s">
        <v>245</v>
      </c>
      <c r="BZ2065" s="2" t="s">
        <v>232</v>
      </c>
      <c r="CA2065" s="2" t="s">
        <v>5089</v>
      </c>
      <c r="CB2065" s="2" t="s">
        <v>1372</v>
      </c>
      <c r="CC2065" s="2" t="s">
        <v>248</v>
      </c>
      <c r="CD2065" s="2" t="s">
        <v>248</v>
      </c>
      <c r="CE2065" s="2" t="s">
        <v>235</v>
      </c>
      <c r="CF2065" s="4">
        <v>376</v>
      </c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>
        <v>377</v>
      </c>
      <c r="GE2065" s="4">
        <v>373</v>
      </c>
      <c r="GF2065" s="4">
        <v>370</v>
      </c>
      <c r="GG2065" s="4">
        <v>367</v>
      </c>
      <c r="GH2065" s="4">
        <v>364</v>
      </c>
      <c r="GI2065" s="4">
        <v>361</v>
      </c>
      <c r="GJ2065" s="4">
        <v>358</v>
      </c>
      <c r="GK2065" s="4">
        <v>355</v>
      </c>
      <c r="GL2065" s="4">
        <v>352</v>
      </c>
      <c r="GM2065" s="4">
        <v>349</v>
      </c>
      <c r="GN2065" s="4">
        <v>344</v>
      </c>
      <c r="GO2065" s="4">
        <v>336</v>
      </c>
      <c r="GP2065" s="4">
        <v>328</v>
      </c>
      <c r="GQ2065" s="4">
        <v>312</v>
      </c>
      <c r="GR2065" s="4">
        <v>305</v>
      </c>
      <c r="GS2065" s="4">
        <v>299</v>
      </c>
      <c r="GT2065" s="4">
        <v>295</v>
      </c>
      <c r="GU2065" s="4">
        <v>293</v>
      </c>
      <c r="GV2065" s="4">
        <v>290</v>
      </c>
      <c r="GW2065" s="4">
        <v>288</v>
      </c>
      <c r="GX2065" s="4">
        <v>286</v>
      </c>
      <c r="GY2065" s="4">
        <v>284</v>
      </c>
      <c r="GZ2065" s="4">
        <v>282</v>
      </c>
      <c r="HA2065" s="4">
        <v>279</v>
      </c>
      <c r="HB2065" s="4">
        <v>276</v>
      </c>
      <c r="HC2065" s="4">
        <v>272</v>
      </c>
      <c r="HD2065" s="19">
        <v>125.7</v>
      </c>
      <c r="HE2065" s="19">
        <v>124.3</v>
      </c>
      <c r="HF2065" s="19">
        <v>123.3</v>
      </c>
      <c r="HG2065" s="19">
        <v>122.3</v>
      </c>
      <c r="HH2065" s="19">
        <v>121.3</v>
      </c>
      <c r="HI2065" s="19">
        <v>120.3</v>
      </c>
      <c r="HJ2065" s="19">
        <v>89.5</v>
      </c>
      <c r="HK2065" s="19">
        <v>71</v>
      </c>
      <c r="HL2065" s="19">
        <v>58.7</v>
      </c>
      <c r="HM2065" s="19">
        <v>38.8</v>
      </c>
      <c r="HN2065" s="19">
        <v>34.4</v>
      </c>
      <c r="HO2065" s="19">
        <v>37.3</v>
      </c>
      <c r="HP2065" s="19">
        <v>41</v>
      </c>
      <c r="HQ2065" s="19">
        <v>62.4</v>
      </c>
      <c r="HR2065" s="19">
        <v>76.3</v>
      </c>
      <c r="HS2065" s="19">
        <v>99.7</v>
      </c>
      <c r="HT2065" s="19">
        <v>147.5</v>
      </c>
      <c r="HU2065" s="19">
        <v>146.5</v>
      </c>
      <c r="HV2065" s="19">
        <v>145</v>
      </c>
      <c r="HW2065" s="19">
        <v>144</v>
      </c>
      <c r="HX2065" s="19">
        <v>143</v>
      </c>
      <c r="HY2065" s="19">
        <v>94.7</v>
      </c>
      <c r="HZ2065" s="19">
        <v>94</v>
      </c>
      <c r="IA2065" s="19">
        <v>69.8</v>
      </c>
      <c r="IB2065" s="19">
        <v>69</v>
      </c>
      <c r="IC2065" s="19">
        <v>68</v>
      </c>
    </row>
    <row r="2066">
      <c r="A2066" s="2" t="s">
        <v>7451</v>
      </c>
      <c r="B2066" s="2" t="s">
        <v>852</v>
      </c>
      <c r="C2066" s="2" t="s">
        <v>4134</v>
      </c>
      <c r="D2066" s="2" t="s">
        <v>854</v>
      </c>
      <c r="E2066" s="2" t="s">
        <v>855</v>
      </c>
      <c r="F2066" s="2" t="s">
        <v>7452</v>
      </c>
      <c r="G2066" s="2" t="s">
        <v>7452</v>
      </c>
      <c r="H2066" s="2" t="s">
        <v>7452</v>
      </c>
      <c r="I2066" s="2" t="s">
        <v>7453</v>
      </c>
      <c r="J2066" s="2" t="s">
        <v>2785</v>
      </c>
      <c r="K2066" s="2" t="s">
        <v>302</v>
      </c>
      <c r="L2066" s="3">
        <v>27.23</v>
      </c>
      <c r="M2066" s="3">
        <v>28.59</v>
      </c>
      <c r="N2066" s="3">
        <v>79.99</v>
      </c>
      <c r="O2066" s="2" t="s">
        <v>485</v>
      </c>
      <c r="P2066" s="2" t="s">
        <v>408</v>
      </c>
      <c r="Q2066" s="2" t="s">
        <v>234</v>
      </c>
      <c r="R2066" s="2" t="s">
        <v>235</v>
      </c>
      <c r="S2066" s="2" t="s">
        <v>235</v>
      </c>
      <c r="T2066" s="2" t="s">
        <v>235</v>
      </c>
      <c r="U2066" s="2" t="s">
        <v>807</v>
      </c>
      <c r="V2066" s="2" t="s">
        <v>880</v>
      </c>
      <c r="W2066" s="2" t="s">
        <v>682</v>
      </c>
      <c r="X2066" s="2" t="s">
        <v>235</v>
      </c>
      <c r="Y2066" s="2" t="s">
        <v>2145</v>
      </c>
      <c r="Z2066" s="4">
        <v>1</v>
      </c>
      <c r="AA2066" s="4">
        <f>=ROUNDDOWN(2,0)</f>
      </c>
      <c r="AB2066" s="5">
        <v>0.5</v>
      </c>
      <c r="AC2066" s="2" t="s">
        <v>235</v>
      </c>
      <c r="AD2066" s="4"/>
      <c r="AE2066" s="4"/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235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/>
      <c r="BD2066" s="8"/>
      <c r="BE2066" s="4"/>
      <c r="BF2066" s="8"/>
      <c r="BG2066" s="7"/>
      <c r="BH2066" s="7"/>
      <c r="BI2066" s="7"/>
      <c r="BJ2066" s="4"/>
      <c r="BK2066" s="8"/>
      <c r="BL2066" s="2" t="s">
        <v>235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7454</v>
      </c>
      <c r="BV2066" s="2" t="s">
        <v>867</v>
      </c>
      <c r="BW2066" s="2" t="s">
        <v>235</v>
      </c>
      <c r="BX2066" s="2" t="s">
        <v>414</v>
      </c>
      <c r="BY2066" s="2" t="s">
        <v>245</v>
      </c>
      <c r="BZ2066" s="2" t="s">
        <v>232</v>
      </c>
      <c r="CA2066" s="2" t="s">
        <v>1577</v>
      </c>
      <c r="CB2066" s="2" t="s">
        <v>1803</v>
      </c>
      <c r="CC2066" s="2" t="s">
        <v>248</v>
      </c>
      <c r="CD2066" s="2" t="s">
        <v>248</v>
      </c>
      <c r="CE2066" s="2" t="s">
        <v>235</v>
      </c>
      <c r="CF2066" s="4">
        <v>1</v>
      </c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>
        <v>1</v>
      </c>
      <c r="GE2066" s="4">
        <v>1</v>
      </c>
      <c r="GF2066" s="4">
        <v>1</v>
      </c>
      <c r="GG2066" s="4">
        <v>1</v>
      </c>
      <c r="GH2066" s="4">
        <v>1</v>
      </c>
      <c r="GI2066" s="4">
        <v>1</v>
      </c>
      <c r="GJ2066" s="4">
        <v>1</v>
      </c>
      <c r="GK2066" s="4">
        <v>1</v>
      </c>
      <c r="GL2066" s="4">
        <v>1</v>
      </c>
      <c r="GM2066" s="4">
        <v>1</v>
      </c>
      <c r="GN2066" s="4">
        <v>1</v>
      </c>
      <c r="GO2066" s="4">
        <v>1</v>
      </c>
      <c r="GP2066" s="4">
        <v>1</v>
      </c>
      <c r="GQ2066" s="4">
        <v>1</v>
      </c>
      <c r="GR2066" s="4">
        <v>1</v>
      </c>
      <c r="GS2066" s="4">
        <v>1</v>
      </c>
      <c r="GT2066" s="4">
        <v>1</v>
      </c>
      <c r="GU2066" s="4">
        <v>1</v>
      </c>
      <c r="GV2066" s="4">
        <v>1</v>
      </c>
      <c r="GW2066" s="4">
        <v>1</v>
      </c>
      <c r="GX2066" s="4">
        <v>1</v>
      </c>
      <c r="GY2066" s="4">
        <v>1</v>
      </c>
      <c r="GZ2066" s="4">
        <v>1</v>
      </c>
      <c r="HA2066" s="4">
        <v>1</v>
      </c>
      <c r="HB2066" s="4">
        <v>1</v>
      </c>
      <c r="HC2066" s="4">
        <v>1</v>
      </c>
      <c r="HD2066" s="9"/>
      <c r="HE2066" s="9"/>
      <c r="HF2066" s="9"/>
      <c r="HG2066" s="9"/>
      <c r="HH2066" s="9"/>
      <c r="HI2066" s="9"/>
      <c r="HJ2066" s="9"/>
      <c r="HK2066" s="9"/>
      <c r="HL2066" s="9"/>
      <c r="HM2066" s="9"/>
      <c r="HN2066" s="9"/>
      <c r="HO2066" s="9"/>
      <c r="HP2066" s="9"/>
      <c r="HQ2066" s="9"/>
      <c r="HR2066" s="9"/>
      <c r="HS2066" s="9"/>
      <c r="HT2066" s="9"/>
      <c r="HU2066" s="9"/>
      <c r="HV2066" s="9"/>
      <c r="HW2066" s="9"/>
      <c r="HX2066" s="9"/>
      <c r="HY2066" s="9"/>
      <c r="HZ2066" s="9"/>
      <c r="IA2066" s="9"/>
      <c r="IB2066" s="9"/>
      <c r="IC2066" s="9"/>
    </row>
    <row r="2067">
      <c r="A2067" s="2" t="s">
        <v>7455</v>
      </c>
      <c r="B2067" s="2" t="s">
        <v>871</v>
      </c>
      <c r="C2067" s="2" t="s">
        <v>324</v>
      </c>
      <c r="D2067" s="2" t="s">
        <v>1452</v>
      </c>
      <c r="E2067" s="2" t="s">
        <v>1895</v>
      </c>
      <c r="F2067" s="2" t="s">
        <v>7456</v>
      </c>
      <c r="G2067" s="2" t="s">
        <v>7457</v>
      </c>
      <c r="H2067" s="2" t="s">
        <v>7458</v>
      </c>
      <c r="I2067" s="2" t="s">
        <v>1895</v>
      </c>
      <c r="J2067" s="2" t="s">
        <v>261</v>
      </c>
      <c r="K2067" s="2" t="s">
        <v>1463</v>
      </c>
      <c r="L2067" s="3">
        <v>47.61</v>
      </c>
      <c r="M2067" s="3">
        <v>49.99</v>
      </c>
      <c r="N2067" s="3">
        <v>99.99</v>
      </c>
      <c r="O2067" s="2" t="s">
        <v>232</v>
      </c>
      <c r="P2067" s="2" t="s">
        <v>878</v>
      </c>
      <c r="Q2067" s="2" t="s">
        <v>234</v>
      </c>
      <c r="R2067" s="2" t="s">
        <v>235</v>
      </c>
      <c r="S2067" s="2" t="s">
        <v>235</v>
      </c>
      <c r="T2067" s="2" t="s">
        <v>7459</v>
      </c>
      <c r="U2067" s="2" t="s">
        <v>552</v>
      </c>
      <c r="V2067" s="2" t="s">
        <v>930</v>
      </c>
      <c r="W2067" s="2" t="s">
        <v>682</v>
      </c>
      <c r="X2067" s="2" t="s">
        <v>882</v>
      </c>
      <c r="Y2067" s="2" t="s">
        <v>7460</v>
      </c>
      <c r="Z2067" s="4">
        <v>144</v>
      </c>
      <c r="AA2067" s="4">
        <f>=ROUNDDOWN({0},0)</f>
      </c>
      <c r="AB2067" s="5"/>
      <c r="AC2067" s="2" t="s">
        <v>4370</v>
      </c>
      <c r="AD2067" s="4">
        <v>336</v>
      </c>
      <c r="AE2067" s="4">
        <v>336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235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235</v>
      </c>
      <c r="AW2067" s="8" t="s">
        <v>235</v>
      </c>
      <c r="AX2067" s="4" t="s">
        <v>235</v>
      </c>
      <c r="AY2067" s="8" t="s">
        <v>235</v>
      </c>
      <c r="AZ2067" s="7" t="s">
        <v>235</v>
      </c>
      <c r="BA2067" s="7" t="s">
        <v>235</v>
      </c>
      <c r="BB2067" s="7"/>
      <c r="BC2067" s="4" t="s">
        <v>235</v>
      </c>
      <c r="BD2067" s="8" t="s">
        <v>235</v>
      </c>
      <c r="BE2067" s="4" t="s">
        <v>235</v>
      </c>
      <c r="BF2067" s="8" t="s">
        <v>235</v>
      </c>
      <c r="BG2067" s="7" t="s">
        <v>235</v>
      </c>
      <c r="BH2067" s="7" t="s">
        <v>235</v>
      </c>
      <c r="BI2067" s="7"/>
      <c r="BJ2067" s="4"/>
      <c r="BK2067" s="8"/>
      <c r="BL2067" s="2" t="s">
        <v>235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7461</v>
      </c>
      <c r="BV2067" s="2" t="s">
        <v>235</v>
      </c>
      <c r="BW2067" s="2" t="s">
        <v>235</v>
      </c>
      <c r="BX2067" s="2" t="s">
        <v>244</v>
      </c>
      <c r="BY2067" s="2" t="s">
        <v>245</v>
      </c>
      <c r="BZ2067" s="2" t="s">
        <v>232</v>
      </c>
      <c r="CA2067" s="2" t="s">
        <v>235</v>
      </c>
      <c r="CB2067" s="2" t="s">
        <v>235</v>
      </c>
      <c r="CC2067" s="2" t="s">
        <v>248</v>
      </c>
      <c r="CD2067" s="2" t="s">
        <v>248</v>
      </c>
      <c r="CE2067" s="2" t="s">
        <v>235</v>
      </c>
      <c r="CF2067" s="4"/>
      <c r="CG2067" s="4"/>
      <c r="CH2067" s="4"/>
      <c r="CI2067" s="4">
        <v>144</v>
      </c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>
        <v>336</v>
      </c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>
        <v>144</v>
      </c>
      <c r="GE2067" s="4">
        <v>442</v>
      </c>
      <c r="GF2067" s="4">
        <v>429</v>
      </c>
      <c r="GG2067" s="4">
        <v>416</v>
      </c>
      <c r="GH2067" s="4">
        <v>396</v>
      </c>
      <c r="GI2067" s="4">
        <v>373</v>
      </c>
      <c r="GJ2067" s="4">
        <v>327</v>
      </c>
      <c r="GK2067" s="4">
        <v>281</v>
      </c>
      <c r="GL2067" s="4">
        <v>247</v>
      </c>
      <c r="GM2067" s="4">
        <v>218</v>
      </c>
      <c r="GN2067" s="4">
        <v>193</v>
      </c>
      <c r="GO2067" s="4">
        <v>159</v>
      </c>
      <c r="GP2067" s="4">
        <v>126</v>
      </c>
      <c r="GQ2067" s="4">
        <v>90</v>
      </c>
      <c r="GR2067" s="4">
        <v>47</v>
      </c>
      <c r="GS2067" s="4">
        <v>27</v>
      </c>
      <c r="GT2067" s="4">
        <v>12</v>
      </c>
      <c r="GU2067" s="4">
        <v>1</v>
      </c>
      <c r="GV2067" s="4"/>
      <c r="GW2067" s="4">
        <v>447</v>
      </c>
      <c r="GX2067" s="4">
        <v>420</v>
      </c>
      <c r="GY2067" s="4">
        <v>409</v>
      </c>
      <c r="GZ2067" s="4">
        <v>398</v>
      </c>
      <c r="HA2067" s="4">
        <v>389</v>
      </c>
      <c r="HB2067" s="4">
        <v>380</v>
      </c>
      <c r="HC2067" s="4">
        <v>369</v>
      </c>
      <c r="HD2067" s="19">
        <v>6.9</v>
      </c>
      <c r="HE2067" s="19">
        <v>26</v>
      </c>
      <c r="HF2067" s="19">
        <v>16.5</v>
      </c>
      <c r="HG2067" s="19">
        <v>12.2</v>
      </c>
      <c r="HH2067" s="19">
        <v>10.7</v>
      </c>
      <c r="HI2067" s="19">
        <v>9.6</v>
      </c>
      <c r="HJ2067" s="19">
        <v>9.6</v>
      </c>
      <c r="HK2067" s="19">
        <v>9.4</v>
      </c>
      <c r="HL2067" s="19">
        <v>8.2</v>
      </c>
      <c r="HM2067" s="19">
        <v>6.8</v>
      </c>
      <c r="HN2067" s="19">
        <v>5.4</v>
      </c>
      <c r="HO2067" s="19">
        <v>4.8</v>
      </c>
      <c r="HP2067" s="19">
        <v>4.5</v>
      </c>
      <c r="HQ2067" s="19">
        <v>4.1</v>
      </c>
      <c r="HR2067" s="19">
        <v>3.4</v>
      </c>
      <c r="HS2067" s="19">
        <v>2.7</v>
      </c>
      <c r="HT2067" s="19">
        <v>0.9</v>
      </c>
      <c r="HU2067" s="19">
        <v>0.1</v>
      </c>
      <c r="HV2067" s="20">
        <v>0</v>
      </c>
      <c r="HW2067" s="19">
        <v>31.9</v>
      </c>
      <c r="HX2067" s="19">
        <v>42</v>
      </c>
      <c r="HY2067" s="19">
        <v>40.9</v>
      </c>
      <c r="HZ2067" s="19">
        <v>39.8</v>
      </c>
      <c r="IA2067" s="19">
        <v>32.4</v>
      </c>
      <c r="IB2067" s="19">
        <v>29.2</v>
      </c>
      <c r="IC2067" s="19">
        <v>28.4</v>
      </c>
    </row>
    <row r="2068">
      <c r="A2068" s="2" t="s">
        <v>7462</v>
      </c>
      <c r="B2068" s="2" t="s">
        <v>871</v>
      </c>
      <c r="C2068" s="2" t="s">
        <v>324</v>
      </c>
      <c r="D2068" s="2" t="s">
        <v>1452</v>
      </c>
      <c r="E2068" s="2" t="s">
        <v>1895</v>
      </c>
      <c r="F2068" s="2" t="s">
        <v>7456</v>
      </c>
      <c r="G2068" s="2" t="s">
        <v>7457</v>
      </c>
      <c r="H2068" s="2" t="s">
        <v>7458</v>
      </c>
      <c r="I2068" s="2" t="s">
        <v>1895</v>
      </c>
      <c r="J2068" s="2" t="s">
        <v>270</v>
      </c>
      <c r="K2068" s="2" t="s">
        <v>1463</v>
      </c>
      <c r="L2068" s="3">
        <v>52.38</v>
      </c>
      <c r="M2068" s="3">
        <v>55</v>
      </c>
      <c r="N2068" s="3">
        <v>109.99</v>
      </c>
      <c r="O2068" s="2" t="s">
        <v>232</v>
      </c>
      <c r="P2068" s="2" t="s">
        <v>878</v>
      </c>
      <c r="Q2068" s="2" t="s">
        <v>234</v>
      </c>
      <c r="R2068" s="2" t="s">
        <v>235</v>
      </c>
      <c r="S2068" s="2" t="s">
        <v>235</v>
      </c>
      <c r="T2068" s="2" t="s">
        <v>7459</v>
      </c>
      <c r="U2068" s="2" t="s">
        <v>552</v>
      </c>
      <c r="V2068" s="2" t="s">
        <v>930</v>
      </c>
      <c r="W2068" s="2" t="s">
        <v>682</v>
      </c>
      <c r="X2068" s="2" t="s">
        <v>882</v>
      </c>
      <c r="Y2068" s="2" t="s">
        <v>7460</v>
      </c>
      <c r="Z2068" s="4">
        <v>198</v>
      </c>
      <c r="AA2068" s="4">
        <f>=ROUNDDOWN({0},0)</f>
      </c>
      <c r="AB2068" s="5"/>
      <c r="AC2068" s="2" t="s">
        <v>4370</v>
      </c>
      <c r="AD2068" s="4">
        <v>256</v>
      </c>
      <c r="AE2068" s="4">
        <v>256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235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235</v>
      </c>
      <c r="AW2068" s="8" t="s">
        <v>235</v>
      </c>
      <c r="AX2068" s="4" t="s">
        <v>235</v>
      </c>
      <c r="AY2068" s="8" t="s">
        <v>235</v>
      </c>
      <c r="AZ2068" s="7" t="s">
        <v>235</v>
      </c>
      <c r="BA2068" s="7" t="s">
        <v>235</v>
      </c>
      <c r="BB2068" s="7"/>
      <c r="BC2068" s="4" t="s">
        <v>235</v>
      </c>
      <c r="BD2068" s="8" t="s">
        <v>235</v>
      </c>
      <c r="BE2068" s="4" t="s">
        <v>235</v>
      </c>
      <c r="BF2068" s="8" t="s">
        <v>235</v>
      </c>
      <c r="BG2068" s="7" t="s">
        <v>235</v>
      </c>
      <c r="BH2068" s="7" t="s">
        <v>235</v>
      </c>
      <c r="BI2068" s="7"/>
      <c r="BJ2068" s="4"/>
      <c r="BK2068" s="8"/>
      <c r="BL2068" s="2" t="s">
        <v>235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7461</v>
      </c>
      <c r="BV2068" s="2" t="s">
        <v>235</v>
      </c>
      <c r="BW2068" s="2" t="s">
        <v>235</v>
      </c>
      <c r="BX2068" s="2" t="s">
        <v>244</v>
      </c>
      <c r="BY2068" s="2" t="s">
        <v>245</v>
      </c>
      <c r="BZ2068" s="2" t="s">
        <v>232</v>
      </c>
      <c r="CA2068" s="2" t="s">
        <v>235</v>
      </c>
      <c r="CB2068" s="2" t="s">
        <v>235</v>
      </c>
      <c r="CC2068" s="2" t="s">
        <v>248</v>
      </c>
      <c r="CD2068" s="2" t="s">
        <v>248</v>
      </c>
      <c r="CE2068" s="2" t="s">
        <v>235</v>
      </c>
      <c r="CF2068" s="4"/>
      <c r="CG2068" s="4"/>
      <c r="CH2068" s="4"/>
      <c r="CI2068" s="4">
        <v>198</v>
      </c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>
        <v>256</v>
      </c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>
        <v>198</v>
      </c>
      <c r="GE2068" s="4">
        <v>425</v>
      </c>
      <c r="GF2068" s="4">
        <v>416</v>
      </c>
      <c r="GG2068" s="4">
        <v>399</v>
      </c>
      <c r="GH2068" s="4">
        <v>375</v>
      </c>
      <c r="GI2068" s="4">
        <v>352</v>
      </c>
      <c r="GJ2068" s="4">
        <v>309</v>
      </c>
      <c r="GK2068" s="4">
        <v>275</v>
      </c>
      <c r="GL2068" s="4">
        <v>247</v>
      </c>
      <c r="GM2068" s="4">
        <v>214</v>
      </c>
      <c r="GN2068" s="4">
        <v>181</v>
      </c>
      <c r="GO2068" s="4">
        <v>148</v>
      </c>
      <c r="GP2068" s="4">
        <v>109</v>
      </c>
      <c r="GQ2068" s="4">
        <v>89</v>
      </c>
      <c r="GR2068" s="4">
        <v>66</v>
      </c>
      <c r="GS2068" s="4">
        <v>32</v>
      </c>
      <c r="GT2068" s="4"/>
      <c r="GU2068" s="4"/>
      <c r="GV2068" s="4"/>
      <c r="GW2068" s="4">
        <v>570</v>
      </c>
      <c r="GX2068" s="4">
        <v>532</v>
      </c>
      <c r="GY2068" s="4">
        <v>519</v>
      </c>
      <c r="GZ2068" s="4">
        <v>499</v>
      </c>
      <c r="HA2068" s="4">
        <v>478</v>
      </c>
      <c r="HB2068" s="4">
        <v>463</v>
      </c>
      <c r="HC2068" s="4">
        <v>449</v>
      </c>
      <c r="HD2068" s="19">
        <v>9.9</v>
      </c>
      <c r="HE2068" s="19">
        <v>23.6</v>
      </c>
      <c r="HF2068" s="19">
        <v>15.4</v>
      </c>
      <c r="HG2068" s="19">
        <v>12.9</v>
      </c>
      <c r="HH2068" s="19">
        <v>11.7</v>
      </c>
      <c r="HI2068" s="19">
        <v>10.4</v>
      </c>
      <c r="HJ2068" s="19">
        <v>9.7</v>
      </c>
      <c r="HK2068" s="19">
        <v>8.6</v>
      </c>
      <c r="HL2068" s="19">
        <v>7.3</v>
      </c>
      <c r="HM2068" s="19">
        <v>6.9</v>
      </c>
      <c r="HN2068" s="19">
        <v>6.2</v>
      </c>
      <c r="HO2068" s="19">
        <v>5.1</v>
      </c>
      <c r="HP2068" s="19">
        <v>4</v>
      </c>
      <c r="HQ2068" s="19">
        <v>3.6</v>
      </c>
      <c r="HR2068" s="19">
        <v>3.3</v>
      </c>
      <c r="HS2068" s="19">
        <v>2.3</v>
      </c>
      <c r="HT2068" s="20">
        <v>0</v>
      </c>
      <c r="HU2068" s="20">
        <v>0</v>
      </c>
      <c r="HV2068" s="20">
        <v>0</v>
      </c>
      <c r="HW2068" s="19">
        <v>24.8</v>
      </c>
      <c r="HX2068" s="19">
        <v>31.3</v>
      </c>
      <c r="HY2068" s="19">
        <v>28.8</v>
      </c>
      <c r="HZ2068" s="19">
        <v>29.4</v>
      </c>
      <c r="IA2068" s="19">
        <v>29.9</v>
      </c>
      <c r="IB2068" s="19">
        <v>27.2</v>
      </c>
      <c r="IC2068" s="19">
        <v>26.4</v>
      </c>
    </row>
    <row r="2069">
      <c r="A2069" s="2" t="s">
        <v>7463</v>
      </c>
      <c r="B2069" s="2" t="s">
        <v>871</v>
      </c>
      <c r="C2069" s="2" t="s">
        <v>324</v>
      </c>
      <c r="D2069" s="2" t="s">
        <v>990</v>
      </c>
      <c r="E2069" s="2" t="s">
        <v>991</v>
      </c>
      <c r="F2069" s="2" t="s">
        <v>7456</v>
      </c>
      <c r="G2069" s="2" t="s">
        <v>7457</v>
      </c>
      <c r="H2069" s="2" t="s">
        <v>7458</v>
      </c>
      <c r="I2069" s="2" t="s">
        <v>7464</v>
      </c>
      <c r="J2069" s="2" t="s">
        <v>993</v>
      </c>
      <c r="K2069" s="2" t="s">
        <v>1463</v>
      </c>
      <c r="L2069" s="3">
        <v>28.57</v>
      </c>
      <c r="M2069" s="3">
        <v>30</v>
      </c>
      <c r="N2069" s="3">
        <v>59.99</v>
      </c>
      <c r="O2069" s="2" t="s">
        <v>232</v>
      </c>
      <c r="P2069" s="2" t="s">
        <v>878</v>
      </c>
      <c r="Q2069" s="2" t="s">
        <v>234</v>
      </c>
      <c r="R2069" s="2" t="s">
        <v>235</v>
      </c>
      <c r="S2069" s="2" t="s">
        <v>235</v>
      </c>
      <c r="T2069" s="2" t="s">
        <v>7459</v>
      </c>
      <c r="U2069" s="2" t="s">
        <v>278</v>
      </c>
      <c r="V2069" s="2" t="s">
        <v>930</v>
      </c>
      <c r="W2069" s="2" t="s">
        <v>682</v>
      </c>
      <c r="X2069" s="2" t="s">
        <v>882</v>
      </c>
      <c r="Y2069" s="2" t="s">
        <v>7460</v>
      </c>
      <c r="Z2069" s="4">
        <v>92</v>
      </c>
      <c r="AA2069" s="4">
        <f>=ROUNDDOWN({0},0)</f>
      </c>
      <c r="AB2069" s="5"/>
      <c r="AC2069" s="2" t="s">
        <v>4370</v>
      </c>
      <c r="AD2069" s="4">
        <v>400</v>
      </c>
      <c r="AE2069" s="4">
        <v>400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235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235</v>
      </c>
      <c r="AW2069" s="8" t="s">
        <v>235</v>
      </c>
      <c r="AX2069" s="4" t="s">
        <v>235</v>
      </c>
      <c r="AY2069" s="8" t="s">
        <v>235</v>
      </c>
      <c r="AZ2069" s="7" t="s">
        <v>235</v>
      </c>
      <c r="BA2069" s="7" t="s">
        <v>235</v>
      </c>
      <c r="BB2069" s="7"/>
      <c r="BC2069" s="4" t="s">
        <v>235</v>
      </c>
      <c r="BD2069" s="8" t="s">
        <v>235</v>
      </c>
      <c r="BE2069" s="4" t="s">
        <v>235</v>
      </c>
      <c r="BF2069" s="8" t="s">
        <v>235</v>
      </c>
      <c r="BG2069" s="7" t="s">
        <v>235</v>
      </c>
      <c r="BH2069" s="7" t="s">
        <v>235</v>
      </c>
      <c r="BI2069" s="7"/>
      <c r="BJ2069" s="4"/>
      <c r="BK2069" s="8"/>
      <c r="BL2069" s="2" t="s">
        <v>235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7465</v>
      </c>
      <c r="BV2069" s="2" t="s">
        <v>235</v>
      </c>
      <c r="BW2069" s="2" t="s">
        <v>235</v>
      </c>
      <c r="BX2069" s="2" t="s">
        <v>244</v>
      </c>
      <c r="BY2069" s="2" t="s">
        <v>245</v>
      </c>
      <c r="BZ2069" s="2" t="s">
        <v>232</v>
      </c>
      <c r="CA2069" s="2" t="s">
        <v>235</v>
      </c>
      <c r="CB2069" s="2" t="s">
        <v>235</v>
      </c>
      <c r="CC2069" s="2" t="s">
        <v>248</v>
      </c>
      <c r="CD2069" s="2" t="s">
        <v>248</v>
      </c>
      <c r="CE2069" s="2" t="s">
        <v>235</v>
      </c>
      <c r="CF2069" s="4"/>
      <c r="CG2069" s="4"/>
      <c r="CH2069" s="4"/>
      <c r="CI2069" s="4">
        <v>92</v>
      </c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>
        <v>400</v>
      </c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>
        <v>92</v>
      </c>
      <c r="GE2069" s="4">
        <v>459</v>
      </c>
      <c r="GF2069" s="4">
        <v>443</v>
      </c>
      <c r="GG2069" s="4">
        <v>424</v>
      </c>
      <c r="GH2069" s="4">
        <v>392</v>
      </c>
      <c r="GI2069" s="4">
        <v>356</v>
      </c>
      <c r="GJ2069" s="4">
        <v>308</v>
      </c>
      <c r="GK2069" s="4">
        <v>257</v>
      </c>
      <c r="GL2069" s="4">
        <v>190</v>
      </c>
      <c r="GM2069" s="4">
        <v>134</v>
      </c>
      <c r="GN2069" s="4">
        <v>58</v>
      </c>
      <c r="GO2069" s="4">
        <v>23</v>
      </c>
      <c r="GP2069" s="4">
        <v>1</v>
      </c>
      <c r="GQ2069" s="4"/>
      <c r="GR2069" s="4"/>
      <c r="GS2069" s="4"/>
      <c r="GT2069" s="4"/>
      <c r="GU2069" s="4"/>
      <c r="GV2069" s="4"/>
      <c r="GW2069" s="4">
        <v>336</v>
      </c>
      <c r="GX2069" s="4">
        <v>286</v>
      </c>
      <c r="GY2069" s="4">
        <v>280</v>
      </c>
      <c r="GZ2069" s="4">
        <v>269</v>
      </c>
      <c r="HA2069" s="4">
        <v>261</v>
      </c>
      <c r="HB2069" s="4">
        <v>257</v>
      </c>
      <c r="HC2069" s="4">
        <v>242</v>
      </c>
      <c r="HD2069" s="19">
        <v>3.7</v>
      </c>
      <c r="HE2069" s="19">
        <v>17.7</v>
      </c>
      <c r="HF2069" s="19">
        <v>13</v>
      </c>
      <c r="HG2069" s="19">
        <v>10.1</v>
      </c>
      <c r="HH2069" s="19">
        <v>7.8</v>
      </c>
      <c r="HI2069" s="19">
        <v>6.4</v>
      </c>
      <c r="HJ2069" s="19">
        <v>5</v>
      </c>
      <c r="HK2069" s="19">
        <v>4.4</v>
      </c>
      <c r="HL2069" s="19">
        <v>4</v>
      </c>
      <c r="HM2069" s="19">
        <v>3.7</v>
      </c>
      <c r="HN2069" s="19">
        <v>1.7</v>
      </c>
      <c r="HO2069" s="19">
        <v>0.6</v>
      </c>
      <c r="HP2069" s="20">
        <v>0</v>
      </c>
      <c r="HQ2069" s="20">
        <v>0</v>
      </c>
      <c r="HR2069" s="20">
        <v>0</v>
      </c>
      <c r="HS2069" s="20">
        <v>0</v>
      </c>
      <c r="HT2069" s="20">
        <v>0</v>
      </c>
      <c r="HU2069" s="20">
        <v>0</v>
      </c>
      <c r="HV2069" s="20">
        <v>0</v>
      </c>
      <c r="HW2069" s="19">
        <v>17.7</v>
      </c>
      <c r="HX2069" s="19">
        <v>40.9</v>
      </c>
      <c r="HY2069" s="19">
        <v>28</v>
      </c>
      <c r="HZ2069" s="19">
        <v>33.6</v>
      </c>
      <c r="IA2069" s="19">
        <v>32.6</v>
      </c>
      <c r="IB2069" s="19">
        <v>28.6</v>
      </c>
      <c r="IC2069" s="19">
        <v>34.6</v>
      </c>
    </row>
    <row r="2070">
      <c r="A2070" s="2" t="s">
        <v>7466</v>
      </c>
      <c r="B2070" s="2" t="s">
        <v>871</v>
      </c>
      <c r="C2070" s="2" t="s">
        <v>980</v>
      </c>
      <c r="D2070" s="2" t="s">
        <v>990</v>
      </c>
      <c r="E2070" s="2" t="s">
        <v>1329</v>
      </c>
      <c r="F2070" s="2" t="s">
        <v>7467</v>
      </c>
      <c r="G2070" s="2" t="s">
        <v>7467</v>
      </c>
      <c r="H2070" s="2" t="s">
        <v>7467</v>
      </c>
      <c r="I2070" s="2" t="s">
        <v>7468</v>
      </c>
      <c r="J2070" s="2" t="s">
        <v>2041</v>
      </c>
      <c r="K2070" s="2" t="s">
        <v>2718</v>
      </c>
      <c r="L2070" s="3">
        <v>24.39</v>
      </c>
      <c r="M2070" s="3">
        <v>25.61</v>
      </c>
      <c r="N2070" s="3">
        <v>49.99</v>
      </c>
      <c r="O2070" s="2" t="s">
        <v>232</v>
      </c>
      <c r="P2070" s="2" t="s">
        <v>333</v>
      </c>
      <c r="Q2070" s="2" t="s">
        <v>234</v>
      </c>
      <c r="R2070" s="2" t="s">
        <v>235</v>
      </c>
      <c r="S2070" s="2" t="s">
        <v>7469</v>
      </c>
      <c r="T2070" s="2" t="s">
        <v>235</v>
      </c>
      <c r="U2070" s="2" t="s">
        <v>235</v>
      </c>
      <c r="V2070" s="2" t="s">
        <v>1222</v>
      </c>
      <c r="W2070" s="2" t="s">
        <v>1798</v>
      </c>
      <c r="X2070" s="2" t="s">
        <v>2236</v>
      </c>
      <c r="Y2070" s="2" t="s">
        <v>240</v>
      </c>
      <c r="Z2070" s="4">
        <v>1248</v>
      </c>
      <c r="AA2070" s="4">
        <f>=ROUNDDOWN(41.6,0)</f>
      </c>
      <c r="AB2070" s="5">
        <v>30</v>
      </c>
      <c r="AC2070" s="2" t="s">
        <v>201</v>
      </c>
      <c r="AD2070" s="4">
        <v>130</v>
      </c>
      <c r="AE2070" s="4">
        <v>130</v>
      </c>
      <c r="AF2070" s="6">
        <v>69</v>
      </c>
      <c r="AG2070" s="6"/>
      <c r="AH2070" s="7">
        <v>0.1613</v>
      </c>
      <c r="AI2070" s="4"/>
      <c r="AJ2070" s="4">
        <f>=ROUNDDOWN({0},0)</f>
      </c>
      <c r="AK2070" s="5"/>
      <c r="AL2070" s="2" t="s">
        <v>235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/>
      <c r="BD2070" s="8"/>
      <c r="BE2070" s="4"/>
      <c r="BF2070" s="8"/>
      <c r="BG2070" s="7"/>
      <c r="BH2070" s="7"/>
      <c r="BI2070" s="7"/>
      <c r="BJ2070" s="4">
        <v>18</v>
      </c>
      <c r="BK2070" s="8">
        <v>453.13</v>
      </c>
      <c r="BL2070" s="2" t="s">
        <v>7470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7471</v>
      </c>
      <c r="BV2070" s="2" t="s">
        <v>243</v>
      </c>
      <c r="BW2070" s="2" t="s">
        <v>235</v>
      </c>
      <c r="BX2070" s="2" t="s">
        <v>244</v>
      </c>
      <c r="BY2070" s="2" t="s">
        <v>245</v>
      </c>
      <c r="BZ2070" s="2" t="s">
        <v>232</v>
      </c>
      <c r="CA2070" s="2" t="s">
        <v>7472</v>
      </c>
      <c r="CB2070" s="2" t="s">
        <v>4507</v>
      </c>
      <c r="CC2070" s="2" t="s">
        <v>248</v>
      </c>
      <c r="CD2070" s="2" t="s">
        <v>248</v>
      </c>
      <c r="CE2070" s="2" t="s">
        <v>235</v>
      </c>
      <c r="CF2070" s="4"/>
      <c r="CG2070" s="4"/>
      <c r="CH2070" s="4"/>
      <c r="CI2070" s="4">
        <v>1248</v>
      </c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>
        <v>130</v>
      </c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>
        <v>1397</v>
      </c>
      <c r="GE2070" s="4">
        <v>1362</v>
      </c>
      <c r="GF2070" s="4">
        <v>1357</v>
      </c>
      <c r="GG2070" s="4">
        <v>1349</v>
      </c>
      <c r="GH2070" s="4">
        <v>1318</v>
      </c>
      <c r="GI2070" s="4">
        <v>1291</v>
      </c>
      <c r="GJ2070" s="4">
        <v>1233</v>
      </c>
      <c r="GK2070" s="4">
        <v>1210</v>
      </c>
      <c r="GL2070" s="4">
        <v>1178</v>
      </c>
      <c r="GM2070" s="4">
        <v>1140</v>
      </c>
      <c r="GN2070" s="4">
        <v>1012</v>
      </c>
      <c r="GO2070" s="4">
        <v>941</v>
      </c>
      <c r="GP2070" s="4">
        <v>911</v>
      </c>
      <c r="GQ2070" s="4">
        <v>869</v>
      </c>
      <c r="GR2070" s="4">
        <v>878</v>
      </c>
      <c r="GS2070" s="4">
        <v>804</v>
      </c>
      <c r="GT2070" s="4">
        <v>758</v>
      </c>
      <c r="GU2070" s="4">
        <v>733</v>
      </c>
      <c r="GV2070" s="4">
        <v>719</v>
      </c>
      <c r="GW2070" s="4">
        <v>701</v>
      </c>
      <c r="GX2070" s="4">
        <v>688</v>
      </c>
      <c r="GY2070" s="4">
        <v>670</v>
      </c>
      <c r="GZ2070" s="4">
        <v>651</v>
      </c>
      <c r="HA2070" s="4">
        <v>634</v>
      </c>
      <c r="HB2070" s="4">
        <v>625</v>
      </c>
      <c r="HC2070" s="4">
        <v>608</v>
      </c>
      <c r="HD2070" s="19">
        <v>69.9</v>
      </c>
      <c r="HE2070" s="19">
        <v>75.7</v>
      </c>
      <c r="HF2070" s="19">
        <v>43.8</v>
      </c>
      <c r="HG2070" s="19">
        <v>38.5</v>
      </c>
      <c r="HH2070" s="19">
        <v>37.7</v>
      </c>
      <c r="HI2070" s="19">
        <v>34</v>
      </c>
      <c r="HJ2070" s="19">
        <v>22.4</v>
      </c>
      <c r="HK2070" s="19">
        <v>18.1</v>
      </c>
      <c r="HL2070" s="19">
        <v>17.6</v>
      </c>
      <c r="HM2070" s="19">
        <v>16.8</v>
      </c>
      <c r="HN2070" s="19">
        <v>15.3</v>
      </c>
      <c r="HO2070" s="19">
        <v>14</v>
      </c>
      <c r="HP2070" s="19">
        <v>12.8</v>
      </c>
      <c r="HQ2070" s="19">
        <v>13.2</v>
      </c>
      <c r="HR2070" s="19">
        <v>22</v>
      </c>
      <c r="HS2070" s="19">
        <v>30.9</v>
      </c>
      <c r="HT2070" s="19">
        <v>42.1</v>
      </c>
      <c r="HU2070" s="19">
        <v>45.8</v>
      </c>
      <c r="HV2070" s="19">
        <v>42.3</v>
      </c>
      <c r="HW2070" s="19">
        <v>41.2</v>
      </c>
      <c r="HX2070" s="19">
        <v>43</v>
      </c>
      <c r="HY2070" s="19">
        <v>41.9</v>
      </c>
      <c r="HZ2070" s="19">
        <v>40.7</v>
      </c>
      <c r="IA2070" s="19">
        <v>39.6</v>
      </c>
      <c r="IB2070" s="19">
        <v>34.7</v>
      </c>
      <c r="IC2070" s="19">
        <v>33.8</v>
      </c>
    </row>
    <row r="2071">
      <c r="A2071" s="2" t="s">
        <v>7473</v>
      </c>
      <c r="B2071" s="2" t="s">
        <v>224</v>
      </c>
      <c r="C2071" s="2" t="s">
        <v>225</v>
      </c>
      <c r="D2071" s="2" t="s">
        <v>981</v>
      </c>
      <c r="E2071" s="2" t="s">
        <v>2509</v>
      </c>
      <c r="F2071" s="2" t="s">
        <v>7474</v>
      </c>
      <c r="G2071" s="2" t="s">
        <v>235</v>
      </c>
      <c r="H2071" s="2" t="s">
        <v>235</v>
      </c>
      <c r="I2071" s="2" t="s">
        <v>7475</v>
      </c>
      <c r="J2071" s="2" t="s">
        <v>394</v>
      </c>
      <c r="K2071" s="2" t="s">
        <v>316</v>
      </c>
      <c r="L2071" s="3">
        <v>41.39</v>
      </c>
      <c r="M2071" s="3">
        <v>43.46</v>
      </c>
      <c r="N2071" s="3">
        <v>89.99</v>
      </c>
      <c r="O2071" s="2" t="s">
        <v>232</v>
      </c>
      <c r="P2071" s="2" t="s">
        <v>233</v>
      </c>
      <c r="Q2071" s="2" t="s">
        <v>234</v>
      </c>
      <c r="R2071" s="2" t="s">
        <v>235</v>
      </c>
      <c r="S2071" s="2" t="s">
        <v>7476</v>
      </c>
      <c r="T2071" s="2" t="s">
        <v>7477</v>
      </c>
      <c r="U2071" s="2" t="s">
        <v>235</v>
      </c>
      <c r="V2071" s="2" t="s">
        <v>238</v>
      </c>
      <c r="W2071" s="2" t="s">
        <v>239</v>
      </c>
      <c r="X2071" s="2" t="s">
        <v>235</v>
      </c>
      <c r="Y2071" s="2" t="s">
        <v>240</v>
      </c>
      <c r="Z2071" s="4">
        <v>254</v>
      </c>
      <c r="AA2071" s="4">
        <f>=ROUNDDOWN(84.6666666666667,0)</f>
      </c>
      <c r="AB2071" s="5">
        <v>3</v>
      </c>
      <c r="AC2071" s="2" t="s">
        <v>235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235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4</v>
      </c>
      <c r="BK2071" s="8">
        <v>168.82</v>
      </c>
      <c r="BL2071" s="2" t="s">
        <v>7478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7479</v>
      </c>
      <c r="BV2071" s="2" t="s">
        <v>243</v>
      </c>
      <c r="BW2071" s="2" t="s">
        <v>235</v>
      </c>
      <c r="BX2071" s="2" t="s">
        <v>244</v>
      </c>
      <c r="BY2071" s="2" t="s">
        <v>245</v>
      </c>
      <c r="BZ2071" s="2" t="s">
        <v>232</v>
      </c>
      <c r="CA2071" s="2" t="s">
        <v>252</v>
      </c>
      <c r="CB2071" s="2" t="s">
        <v>4537</v>
      </c>
      <c r="CC2071" s="2" t="s">
        <v>248</v>
      </c>
      <c r="CD2071" s="2" t="s">
        <v>248</v>
      </c>
      <c r="CE2071" s="2" t="s">
        <v>235</v>
      </c>
      <c r="CF2071" s="4">
        <v>254</v>
      </c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>
        <v>258</v>
      </c>
      <c r="GE2071" s="4">
        <v>233</v>
      </c>
      <c r="GF2071" s="4">
        <v>228</v>
      </c>
      <c r="GG2071" s="4">
        <v>222</v>
      </c>
      <c r="GH2071" s="4">
        <v>212</v>
      </c>
      <c r="GI2071" s="4">
        <v>203</v>
      </c>
      <c r="GJ2071" s="4">
        <v>190</v>
      </c>
      <c r="GK2071" s="4">
        <v>185</v>
      </c>
      <c r="GL2071" s="4">
        <v>180</v>
      </c>
      <c r="GM2071" s="4">
        <v>176</v>
      </c>
      <c r="GN2071" s="4">
        <v>172</v>
      </c>
      <c r="GO2071" s="4">
        <v>165</v>
      </c>
      <c r="GP2071" s="4">
        <v>159</v>
      </c>
      <c r="GQ2071" s="4">
        <v>152</v>
      </c>
      <c r="GR2071" s="4">
        <v>148</v>
      </c>
      <c r="GS2071" s="4">
        <v>144</v>
      </c>
      <c r="GT2071" s="4">
        <v>142</v>
      </c>
      <c r="GU2071" s="4">
        <v>140</v>
      </c>
      <c r="GV2071" s="4">
        <v>138</v>
      </c>
      <c r="GW2071" s="4">
        <v>136</v>
      </c>
      <c r="GX2071" s="4">
        <v>133</v>
      </c>
      <c r="GY2071" s="4">
        <v>130</v>
      </c>
      <c r="GZ2071" s="4">
        <v>127</v>
      </c>
      <c r="HA2071" s="4">
        <v>124</v>
      </c>
      <c r="HB2071" s="4">
        <v>121</v>
      </c>
      <c r="HC2071" s="4">
        <v>118</v>
      </c>
      <c r="HD2071" s="19">
        <v>21.5</v>
      </c>
      <c r="HE2071" s="19">
        <v>29.1</v>
      </c>
      <c r="HF2071" s="19">
        <v>22.8</v>
      </c>
      <c r="HG2071" s="19">
        <v>24.7</v>
      </c>
      <c r="HH2071" s="19">
        <v>26.5</v>
      </c>
      <c r="HI2071" s="19">
        <v>29</v>
      </c>
      <c r="HJ2071" s="19">
        <v>47.5</v>
      </c>
      <c r="HK2071" s="19">
        <v>37</v>
      </c>
      <c r="HL2071" s="19">
        <v>36</v>
      </c>
      <c r="HM2071" s="19">
        <v>29.3</v>
      </c>
      <c r="HN2071" s="19">
        <v>28.7</v>
      </c>
      <c r="HO2071" s="19">
        <v>33</v>
      </c>
      <c r="HP2071" s="19">
        <v>39.8</v>
      </c>
      <c r="HQ2071" s="19">
        <v>50.7</v>
      </c>
      <c r="HR2071" s="19">
        <v>74</v>
      </c>
      <c r="HS2071" s="19">
        <v>72</v>
      </c>
      <c r="HT2071" s="19">
        <v>71</v>
      </c>
      <c r="HU2071" s="19">
        <v>70</v>
      </c>
      <c r="HV2071" s="19">
        <v>46</v>
      </c>
      <c r="HW2071" s="19">
        <v>45.3</v>
      </c>
      <c r="HX2071" s="19">
        <v>44.3</v>
      </c>
      <c r="HY2071" s="19">
        <v>43.3</v>
      </c>
      <c r="HZ2071" s="19">
        <v>42.3</v>
      </c>
      <c r="IA2071" s="19">
        <v>41.3</v>
      </c>
      <c r="IB2071" s="19">
        <v>40.3</v>
      </c>
      <c r="IC2071" s="19">
        <v>39.3</v>
      </c>
    </row>
    <row r="2072">
      <c r="A2072" s="2" t="s">
        <v>7480</v>
      </c>
      <c r="B2072" s="2" t="s">
        <v>800</v>
      </c>
      <c r="C2072" s="2" t="s">
        <v>893</v>
      </c>
      <c r="D2072" s="2" t="s">
        <v>894</v>
      </c>
      <c r="E2072" s="2" t="s">
        <v>895</v>
      </c>
      <c r="F2072" s="2" t="s">
        <v>7481</v>
      </c>
      <c r="G2072" s="2" t="s">
        <v>7481</v>
      </c>
      <c r="H2072" s="2" t="s">
        <v>7481</v>
      </c>
      <c r="I2072" s="2" t="s">
        <v>7482</v>
      </c>
      <c r="J2072" s="2" t="s">
        <v>897</v>
      </c>
      <c r="K2072" s="2" t="s">
        <v>1169</v>
      </c>
      <c r="L2072" s="3">
        <v>40.5</v>
      </c>
      <c r="M2072" s="3">
        <v>42.52</v>
      </c>
      <c r="N2072" s="3">
        <v>94.99</v>
      </c>
      <c r="O2072" s="2" t="s">
        <v>485</v>
      </c>
      <c r="P2072" s="2" t="s">
        <v>408</v>
      </c>
      <c r="Q2072" s="2" t="s">
        <v>234</v>
      </c>
      <c r="R2072" s="2" t="s">
        <v>235</v>
      </c>
      <c r="S2072" s="2" t="s">
        <v>235</v>
      </c>
      <c r="T2072" s="2" t="s">
        <v>235</v>
      </c>
      <c r="U2072" s="2" t="s">
        <v>807</v>
      </c>
      <c r="V2072" s="2" t="s">
        <v>808</v>
      </c>
      <c r="W2072" s="2" t="s">
        <v>682</v>
      </c>
      <c r="X2072" s="2" t="s">
        <v>1362</v>
      </c>
      <c r="Y2072" s="2" t="s">
        <v>1363</v>
      </c>
      <c r="Z2072" s="4">
        <v>55</v>
      </c>
      <c r="AA2072" s="4">
        <f>=ROUNDDOWN(39.2857142857143,0)</f>
      </c>
      <c r="AB2072" s="5">
        <v>1.4</v>
      </c>
      <c r="AC2072" s="2" t="s">
        <v>235</v>
      </c>
      <c r="AD2072" s="4"/>
      <c r="AE2072" s="4"/>
      <c r="AF2072" s="6">
        <v>63</v>
      </c>
      <c r="AG2072" s="6"/>
      <c r="AH2072" s="7">
        <v>1</v>
      </c>
      <c r="AI2072" s="4"/>
      <c r="AJ2072" s="4">
        <f>=ROUNDDOWN({0},0)</f>
      </c>
      <c r="AK2072" s="5"/>
      <c r="AL2072" s="2" t="s">
        <v>235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/>
      <c r="BD2072" s="8"/>
      <c r="BE2072" s="4"/>
      <c r="BF2072" s="8"/>
      <c r="BG2072" s="7"/>
      <c r="BH2072" s="7"/>
      <c r="BI2072" s="7"/>
      <c r="BJ2072" s="4">
        <v>11</v>
      </c>
      <c r="BK2072" s="8">
        <v>397.04</v>
      </c>
      <c r="BL2072" s="2" t="s">
        <v>3639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7483</v>
      </c>
      <c r="BV2072" s="2" t="s">
        <v>813</v>
      </c>
      <c r="BW2072" s="2" t="s">
        <v>235</v>
      </c>
      <c r="BX2072" s="2" t="s">
        <v>414</v>
      </c>
      <c r="BY2072" s="2" t="s">
        <v>245</v>
      </c>
      <c r="BZ2072" s="2" t="s">
        <v>232</v>
      </c>
      <c r="CA2072" s="2" t="s">
        <v>1366</v>
      </c>
      <c r="CB2072" s="2" t="s">
        <v>1803</v>
      </c>
      <c r="CC2072" s="2" t="s">
        <v>248</v>
      </c>
      <c r="CD2072" s="2" t="s">
        <v>248</v>
      </c>
      <c r="CE2072" s="2" t="s">
        <v>235</v>
      </c>
      <c r="CF2072" s="4"/>
      <c r="CG2072" s="4">
        <v>55</v>
      </c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>
        <v>57</v>
      </c>
      <c r="GE2072" s="4">
        <v>54</v>
      </c>
      <c r="GF2072" s="4">
        <v>53</v>
      </c>
      <c r="GG2072" s="4">
        <v>52</v>
      </c>
      <c r="GH2072" s="4">
        <v>51</v>
      </c>
      <c r="GI2072" s="4">
        <v>50</v>
      </c>
      <c r="GJ2072" s="4">
        <v>49</v>
      </c>
      <c r="GK2072" s="4">
        <v>48</v>
      </c>
      <c r="GL2072" s="4">
        <v>47</v>
      </c>
      <c r="GM2072" s="4">
        <v>46</v>
      </c>
      <c r="GN2072" s="4">
        <v>45</v>
      </c>
      <c r="GO2072" s="4">
        <v>44</v>
      </c>
      <c r="GP2072" s="4">
        <v>43</v>
      </c>
      <c r="GQ2072" s="4">
        <v>42</v>
      </c>
      <c r="GR2072" s="4">
        <v>41</v>
      </c>
      <c r="GS2072" s="4">
        <v>40</v>
      </c>
      <c r="GT2072" s="4">
        <v>39</v>
      </c>
      <c r="GU2072" s="4">
        <v>38</v>
      </c>
      <c r="GV2072" s="4">
        <v>37</v>
      </c>
      <c r="GW2072" s="4">
        <v>36</v>
      </c>
      <c r="GX2072" s="4">
        <v>35</v>
      </c>
      <c r="GY2072" s="4">
        <v>34</v>
      </c>
      <c r="GZ2072" s="4">
        <v>33</v>
      </c>
      <c r="HA2072" s="4">
        <v>32</v>
      </c>
      <c r="HB2072" s="4">
        <v>31</v>
      </c>
      <c r="HC2072" s="4">
        <v>30</v>
      </c>
      <c r="HD2072" s="19">
        <v>28.5</v>
      </c>
      <c r="HE2072" s="19">
        <v>54</v>
      </c>
      <c r="HF2072" s="19">
        <v>53</v>
      </c>
      <c r="HG2072" s="19">
        <v>52</v>
      </c>
      <c r="HH2072" s="19">
        <v>51</v>
      </c>
      <c r="HI2072" s="19">
        <v>50</v>
      </c>
      <c r="HJ2072" s="19">
        <v>49</v>
      </c>
      <c r="HK2072" s="19">
        <v>48</v>
      </c>
      <c r="HL2072" s="19">
        <v>47</v>
      </c>
      <c r="HM2072" s="19">
        <v>46</v>
      </c>
      <c r="HN2072" s="19">
        <v>45</v>
      </c>
      <c r="HO2072" s="19">
        <v>44</v>
      </c>
      <c r="HP2072" s="19">
        <v>43</v>
      </c>
      <c r="HQ2072" s="19">
        <v>42</v>
      </c>
      <c r="HR2072" s="19">
        <v>41</v>
      </c>
      <c r="HS2072" s="19">
        <v>40</v>
      </c>
      <c r="HT2072" s="19">
        <v>39</v>
      </c>
      <c r="HU2072" s="19">
        <v>38</v>
      </c>
      <c r="HV2072" s="19">
        <v>37</v>
      </c>
      <c r="HW2072" s="19">
        <v>36</v>
      </c>
      <c r="HX2072" s="19">
        <v>35</v>
      </c>
      <c r="HY2072" s="19">
        <v>34</v>
      </c>
      <c r="HZ2072" s="19">
        <v>33</v>
      </c>
      <c r="IA2072" s="19">
        <v>32</v>
      </c>
      <c r="IB2072" s="19">
        <v>31</v>
      </c>
      <c r="IC2072" s="19">
        <v>30</v>
      </c>
    </row>
    <row r="2073">
      <c r="A2073" s="2" t="s">
        <v>7484</v>
      </c>
      <c r="B2073" s="2" t="s">
        <v>1529</v>
      </c>
      <c r="C2073" s="2" t="s">
        <v>1381</v>
      </c>
      <c r="D2073" s="2" t="s">
        <v>4778</v>
      </c>
      <c r="E2073" s="2" t="s">
        <v>4779</v>
      </c>
      <c r="F2073" s="2" t="s">
        <v>7485</v>
      </c>
      <c r="G2073" s="2" t="s">
        <v>7485</v>
      </c>
      <c r="H2073" s="2" t="s">
        <v>7485</v>
      </c>
      <c r="I2073" s="2" t="s">
        <v>7486</v>
      </c>
      <c r="J2073" s="2" t="s">
        <v>897</v>
      </c>
      <c r="K2073" s="2" t="s">
        <v>7487</v>
      </c>
      <c r="L2073" s="3">
        <v>250</v>
      </c>
      <c r="M2073" s="3">
        <v>262.5</v>
      </c>
      <c r="N2073" s="3">
        <v>739</v>
      </c>
      <c r="O2073" s="2" t="s">
        <v>232</v>
      </c>
      <c r="P2073" s="2" t="s">
        <v>1533</v>
      </c>
      <c r="Q2073" s="2" t="s">
        <v>234</v>
      </c>
      <c r="R2073" s="2" t="s">
        <v>235</v>
      </c>
      <c r="S2073" s="2" t="s">
        <v>235</v>
      </c>
      <c r="T2073" s="2" t="s">
        <v>235</v>
      </c>
      <c r="U2073" s="2" t="s">
        <v>807</v>
      </c>
      <c r="V2073" s="2" t="s">
        <v>238</v>
      </c>
      <c r="W2073" s="2" t="s">
        <v>235</v>
      </c>
      <c r="X2073" s="2" t="s">
        <v>235</v>
      </c>
      <c r="Y2073" s="2" t="s">
        <v>931</v>
      </c>
      <c r="Z2073" s="4">
        <v>2</v>
      </c>
      <c r="AA2073" s="4">
        <f>=ROUNDDOWN(3.33333333333333,0)</f>
      </c>
      <c r="AB2073" s="5">
        <v>0.6</v>
      </c>
      <c r="AC2073" s="2" t="s">
        <v>235</v>
      </c>
      <c r="AD2073" s="4"/>
      <c r="AE2073" s="4"/>
      <c r="AF2073" s="6"/>
      <c r="AG2073" s="6"/>
      <c r="AH2073" s="7">
        <v>0</v>
      </c>
      <c r="AI2073" s="4"/>
      <c r="AJ2073" s="4">
        <f>=ROUNDDOWN({0},0)</f>
      </c>
      <c r="AK2073" s="5"/>
      <c r="AL2073" s="2" t="s">
        <v>235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/>
      <c r="BD2073" s="8"/>
      <c r="BE2073" s="4"/>
      <c r="BF2073" s="8"/>
      <c r="BG2073" s="7"/>
      <c r="BH2073" s="7"/>
      <c r="BI2073" s="7"/>
      <c r="BJ2073" s="4">
        <v>1</v>
      </c>
      <c r="BK2073" s="8">
        <v>389.34</v>
      </c>
      <c r="BL2073" s="2" t="s">
        <v>900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7488</v>
      </c>
      <c r="BV2073" s="2" t="s">
        <v>4384</v>
      </c>
      <c r="BW2073" s="2" t="s">
        <v>235</v>
      </c>
      <c r="BX2073" s="2" t="s">
        <v>244</v>
      </c>
      <c r="BY2073" s="2" t="s">
        <v>245</v>
      </c>
      <c r="BZ2073" s="2" t="s">
        <v>232</v>
      </c>
      <c r="CA2073" s="2" t="s">
        <v>1536</v>
      </c>
      <c r="CB2073" s="2" t="s">
        <v>7489</v>
      </c>
      <c r="CC2073" s="2" t="s">
        <v>248</v>
      </c>
      <c r="CD2073" s="2" t="s">
        <v>248</v>
      </c>
      <c r="CE2073" s="2" t="s">
        <v>235</v>
      </c>
      <c r="CF2073" s="4"/>
      <c r="CG2073" s="4"/>
      <c r="CH2073" s="4"/>
      <c r="CI2073" s="4">
        <v>2</v>
      </c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9"/>
      <c r="HE2073" s="9"/>
      <c r="HF2073" s="9"/>
      <c r="HG2073" s="9"/>
      <c r="HH2073" s="9"/>
      <c r="HI2073" s="9"/>
      <c r="HJ2073" s="9"/>
      <c r="HK2073" s="9"/>
      <c r="HL2073" s="9"/>
      <c r="HM2073" s="9"/>
      <c r="HN2073" s="9"/>
      <c r="HO2073" s="9"/>
      <c r="HP2073" s="9"/>
      <c r="HQ2073" s="9"/>
      <c r="HR2073" s="9"/>
      <c r="HS2073" s="9"/>
      <c r="HT2073" s="9"/>
      <c r="HU2073" s="9"/>
      <c r="HV2073" s="9"/>
      <c r="HW2073" s="9"/>
      <c r="HX2073" s="9"/>
      <c r="HY2073" s="9"/>
      <c r="HZ2073" s="9"/>
      <c r="IA2073" s="9"/>
      <c r="IB2073" s="9"/>
      <c r="IC2073" s="9"/>
    </row>
    <row r="2074">
      <c r="A2074" s="2" t="s">
        <v>7490</v>
      </c>
      <c r="B2074" s="2" t="s">
        <v>905</v>
      </c>
      <c r="C2074" s="2" t="s">
        <v>324</v>
      </c>
      <c r="D2074" s="2" t="s">
        <v>361</v>
      </c>
      <c r="E2074" s="2" t="s">
        <v>924</v>
      </c>
      <c r="F2074" s="2" t="s">
        <v>7491</v>
      </c>
      <c r="G2074" s="2" t="s">
        <v>7492</v>
      </c>
      <c r="H2074" s="2" t="s">
        <v>7492</v>
      </c>
      <c r="I2074" s="2" t="s">
        <v>3605</v>
      </c>
      <c r="J2074" s="2" t="s">
        <v>394</v>
      </c>
      <c r="K2074" s="2" t="s">
        <v>292</v>
      </c>
      <c r="L2074" s="3">
        <v>32.09</v>
      </c>
      <c r="M2074" s="3">
        <v>33.69</v>
      </c>
      <c r="N2074" s="3">
        <v>69.99</v>
      </c>
      <c r="O2074" s="2" t="s">
        <v>485</v>
      </c>
      <c r="P2074" s="2" t="s">
        <v>408</v>
      </c>
      <c r="Q2074" s="2" t="s">
        <v>234</v>
      </c>
      <c r="R2074" s="2" t="s">
        <v>235</v>
      </c>
      <c r="S2074" s="2" t="s">
        <v>7493</v>
      </c>
      <c r="T2074" s="2" t="s">
        <v>879</v>
      </c>
      <c r="U2074" s="2" t="s">
        <v>278</v>
      </c>
      <c r="V2074" s="2" t="s">
        <v>238</v>
      </c>
      <c r="W2074" s="2" t="s">
        <v>239</v>
      </c>
      <c r="X2074" s="2" t="s">
        <v>1354</v>
      </c>
      <c r="Y2074" s="2" t="s">
        <v>7494</v>
      </c>
      <c r="Z2074" s="4">
        <v>219</v>
      </c>
      <c r="AA2074" s="4">
        <f>=ROUNDDOWN(43.8,0)</f>
      </c>
      <c r="AB2074" s="5">
        <v>5</v>
      </c>
      <c r="AC2074" s="2" t="s">
        <v>235</v>
      </c>
      <c r="AD2074" s="4"/>
      <c r="AE2074" s="4"/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235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235</v>
      </c>
      <c r="AW2074" s="8" t="s">
        <v>235</v>
      </c>
      <c r="AX2074" s="4" t="s">
        <v>235</v>
      </c>
      <c r="AY2074" s="8" t="s">
        <v>235</v>
      </c>
      <c r="AZ2074" s="7" t="s">
        <v>235</v>
      </c>
      <c r="BA2074" s="7" t="s">
        <v>235</v>
      </c>
      <c r="BB2074" s="7"/>
      <c r="BC2074" s="4" t="s">
        <v>235</v>
      </c>
      <c r="BD2074" s="8" t="s">
        <v>235</v>
      </c>
      <c r="BE2074" s="4" t="s">
        <v>235</v>
      </c>
      <c r="BF2074" s="8" t="s">
        <v>235</v>
      </c>
      <c r="BG2074" s="7" t="s">
        <v>235</v>
      </c>
      <c r="BH2074" s="7" t="s">
        <v>235</v>
      </c>
      <c r="BI2074" s="7"/>
      <c r="BJ2074" s="4">
        <v>1</v>
      </c>
      <c r="BK2074" s="8">
        <v>41.74</v>
      </c>
      <c r="BL2074" s="2" t="s">
        <v>5836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7495</v>
      </c>
      <c r="BV2074" s="2" t="s">
        <v>243</v>
      </c>
      <c r="BW2074" s="2" t="s">
        <v>235</v>
      </c>
      <c r="BX2074" s="2" t="s">
        <v>414</v>
      </c>
      <c r="BY2074" s="2" t="s">
        <v>245</v>
      </c>
      <c r="BZ2074" s="2" t="s">
        <v>232</v>
      </c>
      <c r="CA2074" s="2" t="s">
        <v>1976</v>
      </c>
      <c r="CB2074" s="2" t="s">
        <v>235</v>
      </c>
      <c r="CC2074" s="2" t="s">
        <v>248</v>
      </c>
      <c r="CD2074" s="2" t="s">
        <v>248</v>
      </c>
      <c r="CE2074" s="2" t="s">
        <v>235</v>
      </c>
      <c r="CF2074" s="4">
        <v>41</v>
      </c>
      <c r="CG2074" s="4">
        <v>54</v>
      </c>
      <c r="CH2074" s="4"/>
      <c r="CI2074" s="4">
        <v>124</v>
      </c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>
        <v>219</v>
      </c>
      <c r="GE2074" s="4">
        <v>209</v>
      </c>
      <c r="GF2074" s="4">
        <v>207</v>
      </c>
      <c r="GG2074" s="4">
        <v>205</v>
      </c>
      <c r="GH2074" s="4">
        <v>202</v>
      </c>
      <c r="GI2074" s="4">
        <v>199</v>
      </c>
      <c r="GJ2074" s="4">
        <v>193</v>
      </c>
      <c r="GK2074" s="4">
        <v>191</v>
      </c>
      <c r="GL2074" s="4">
        <v>188</v>
      </c>
      <c r="GM2074" s="4">
        <v>186</v>
      </c>
      <c r="GN2074" s="4">
        <v>185</v>
      </c>
      <c r="GO2074" s="4">
        <v>183</v>
      </c>
      <c r="GP2074" s="4">
        <v>182</v>
      </c>
      <c r="GQ2074" s="4">
        <v>182</v>
      </c>
      <c r="GR2074" s="4">
        <v>182</v>
      </c>
      <c r="GS2074" s="4">
        <v>181</v>
      </c>
      <c r="GT2074" s="4">
        <v>180</v>
      </c>
      <c r="GU2074" s="4">
        <v>179</v>
      </c>
      <c r="GV2074" s="4">
        <v>178</v>
      </c>
      <c r="GW2074" s="4">
        <v>177</v>
      </c>
      <c r="GX2074" s="4">
        <v>176</v>
      </c>
      <c r="GY2074" s="4">
        <v>175</v>
      </c>
      <c r="GZ2074" s="4">
        <v>173</v>
      </c>
      <c r="HA2074" s="4">
        <v>171</v>
      </c>
      <c r="HB2074" s="4">
        <v>169</v>
      </c>
      <c r="HC2074" s="4">
        <v>167</v>
      </c>
      <c r="HD2074" s="19">
        <v>54.8</v>
      </c>
      <c r="HE2074" s="19">
        <v>104.5</v>
      </c>
      <c r="HF2074" s="19">
        <v>51.8</v>
      </c>
      <c r="HG2074" s="19">
        <v>51.3</v>
      </c>
      <c r="HH2074" s="19">
        <v>50.5</v>
      </c>
      <c r="HI2074" s="19">
        <v>66.3</v>
      </c>
      <c r="HJ2074" s="19">
        <v>96.5</v>
      </c>
      <c r="HK2074" s="19">
        <v>95.5</v>
      </c>
      <c r="HL2074" s="19">
        <v>94</v>
      </c>
      <c r="HM2074" s="19">
        <v>186</v>
      </c>
      <c r="HN2074" s="19">
        <v>185</v>
      </c>
      <c r="HO2074" s="20">
        <v>0</v>
      </c>
      <c r="HP2074" s="9"/>
      <c r="HQ2074" s="19">
        <v>182</v>
      </c>
      <c r="HR2074" s="19">
        <v>182</v>
      </c>
      <c r="HS2074" s="19">
        <v>181</v>
      </c>
      <c r="HT2074" s="19">
        <v>180</v>
      </c>
      <c r="HU2074" s="19">
        <v>179</v>
      </c>
      <c r="HV2074" s="19">
        <v>178</v>
      </c>
      <c r="HW2074" s="19">
        <v>88.5</v>
      </c>
      <c r="HX2074" s="19">
        <v>88</v>
      </c>
      <c r="HY2074" s="19">
        <v>87.5</v>
      </c>
      <c r="HZ2074" s="19">
        <v>86.5</v>
      </c>
      <c r="IA2074" s="19">
        <v>85.5</v>
      </c>
      <c r="IB2074" s="19">
        <v>84.5</v>
      </c>
      <c r="IC2074" s="19">
        <v>83.5</v>
      </c>
    </row>
    <row r="2075">
      <c r="A2075" s="2" t="s">
        <v>7496</v>
      </c>
      <c r="B2075" s="2" t="s">
        <v>905</v>
      </c>
      <c r="C2075" s="2" t="s">
        <v>324</v>
      </c>
      <c r="D2075" s="2" t="s">
        <v>361</v>
      </c>
      <c r="E2075" s="2" t="s">
        <v>924</v>
      </c>
      <c r="F2075" s="2" t="s">
        <v>7491</v>
      </c>
      <c r="G2075" s="2" t="s">
        <v>7492</v>
      </c>
      <c r="H2075" s="2" t="s">
        <v>7492</v>
      </c>
      <c r="I2075" s="2" t="s">
        <v>3605</v>
      </c>
      <c r="J2075" s="2" t="s">
        <v>365</v>
      </c>
      <c r="K2075" s="2" t="s">
        <v>292</v>
      </c>
      <c r="L2075" s="3">
        <v>37.95</v>
      </c>
      <c r="M2075" s="3">
        <v>39.85</v>
      </c>
      <c r="N2075" s="3">
        <v>79.99</v>
      </c>
      <c r="O2075" s="2" t="s">
        <v>485</v>
      </c>
      <c r="P2075" s="2" t="s">
        <v>408</v>
      </c>
      <c r="Q2075" s="2" t="s">
        <v>234</v>
      </c>
      <c r="R2075" s="2" t="s">
        <v>235</v>
      </c>
      <c r="S2075" s="2" t="s">
        <v>7493</v>
      </c>
      <c r="T2075" s="2" t="s">
        <v>879</v>
      </c>
      <c r="U2075" s="2" t="s">
        <v>552</v>
      </c>
      <c r="V2075" s="2" t="s">
        <v>238</v>
      </c>
      <c r="W2075" s="2" t="s">
        <v>239</v>
      </c>
      <c r="X2075" s="2" t="s">
        <v>1354</v>
      </c>
      <c r="Y2075" s="2" t="s">
        <v>7494</v>
      </c>
      <c r="Z2075" s="4">
        <v>469</v>
      </c>
      <c r="AA2075" s="4">
        <f>=ROUNDDOWN(106.590909090909,0)</f>
      </c>
      <c r="AB2075" s="5">
        <v>4.4</v>
      </c>
      <c r="AC2075" s="2" t="s">
        <v>235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235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235</v>
      </c>
      <c r="AW2075" s="8" t="s">
        <v>235</v>
      </c>
      <c r="AX2075" s="4" t="s">
        <v>235</v>
      </c>
      <c r="AY2075" s="8" t="s">
        <v>235</v>
      </c>
      <c r="AZ2075" s="7" t="s">
        <v>235</v>
      </c>
      <c r="BA2075" s="7" t="s">
        <v>235</v>
      </c>
      <c r="BB2075" s="7"/>
      <c r="BC2075" s="4" t="s">
        <v>235</v>
      </c>
      <c r="BD2075" s="8" t="s">
        <v>235</v>
      </c>
      <c r="BE2075" s="4" t="s">
        <v>235</v>
      </c>
      <c r="BF2075" s="8" t="s">
        <v>235</v>
      </c>
      <c r="BG2075" s="7" t="s">
        <v>235</v>
      </c>
      <c r="BH2075" s="7" t="s">
        <v>235</v>
      </c>
      <c r="BI2075" s="7"/>
      <c r="BJ2075" s="4">
        <v>5</v>
      </c>
      <c r="BK2075" s="8">
        <v>231.67</v>
      </c>
      <c r="BL2075" s="2" t="s">
        <v>4344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7495</v>
      </c>
      <c r="BV2075" s="2" t="s">
        <v>243</v>
      </c>
      <c r="BW2075" s="2" t="s">
        <v>235</v>
      </c>
      <c r="BX2075" s="2" t="s">
        <v>414</v>
      </c>
      <c r="BY2075" s="2" t="s">
        <v>245</v>
      </c>
      <c r="BZ2075" s="2" t="s">
        <v>232</v>
      </c>
      <c r="CA2075" s="2" t="s">
        <v>1976</v>
      </c>
      <c r="CB2075" s="2" t="s">
        <v>235</v>
      </c>
      <c r="CC2075" s="2" t="s">
        <v>248</v>
      </c>
      <c r="CD2075" s="2" t="s">
        <v>248</v>
      </c>
      <c r="CE2075" s="2" t="s">
        <v>235</v>
      </c>
      <c r="CF2075" s="4">
        <v>97</v>
      </c>
      <c r="CG2075" s="4">
        <v>134</v>
      </c>
      <c r="CH2075" s="4"/>
      <c r="CI2075" s="4">
        <v>238</v>
      </c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>
        <v>485</v>
      </c>
      <c r="GE2075" s="4">
        <v>482</v>
      </c>
      <c r="GF2075" s="4">
        <v>479</v>
      </c>
      <c r="GG2075" s="4">
        <v>476</v>
      </c>
      <c r="GH2075" s="4">
        <v>473</v>
      </c>
      <c r="GI2075" s="4">
        <v>469</v>
      </c>
      <c r="GJ2075" s="4">
        <v>465</v>
      </c>
      <c r="GK2075" s="4">
        <v>461</v>
      </c>
      <c r="GL2075" s="4">
        <v>457</v>
      </c>
      <c r="GM2075" s="4">
        <v>454</v>
      </c>
      <c r="GN2075" s="4">
        <v>450</v>
      </c>
      <c r="GO2075" s="4">
        <v>443</v>
      </c>
      <c r="GP2075" s="4">
        <v>434</v>
      </c>
      <c r="GQ2075" s="4">
        <v>412</v>
      </c>
      <c r="GR2075" s="4">
        <v>399</v>
      </c>
      <c r="GS2075" s="4">
        <v>382</v>
      </c>
      <c r="GT2075" s="4">
        <v>369</v>
      </c>
      <c r="GU2075" s="4">
        <v>362</v>
      </c>
      <c r="GV2075" s="4">
        <v>358</v>
      </c>
      <c r="GW2075" s="4">
        <v>356</v>
      </c>
      <c r="GX2075" s="4">
        <v>356</v>
      </c>
      <c r="GY2075" s="4">
        <v>355</v>
      </c>
      <c r="GZ2075" s="4">
        <v>354</v>
      </c>
      <c r="HA2075" s="4">
        <v>352</v>
      </c>
      <c r="HB2075" s="4">
        <v>350</v>
      </c>
      <c r="HC2075" s="4">
        <v>348</v>
      </c>
      <c r="HD2075" s="19">
        <v>161.7</v>
      </c>
      <c r="HE2075" s="19">
        <v>160.7</v>
      </c>
      <c r="HF2075" s="19">
        <v>119.8</v>
      </c>
      <c r="HG2075" s="19">
        <v>119</v>
      </c>
      <c r="HH2075" s="19">
        <v>118.3</v>
      </c>
      <c r="HI2075" s="19">
        <v>117.3</v>
      </c>
      <c r="HJ2075" s="19">
        <v>116.3</v>
      </c>
      <c r="HK2075" s="19">
        <v>115.3</v>
      </c>
      <c r="HL2075" s="19">
        <v>76.2</v>
      </c>
      <c r="HM2075" s="19">
        <v>45.4</v>
      </c>
      <c r="HN2075" s="19">
        <v>34.6</v>
      </c>
      <c r="HO2075" s="19">
        <v>29.5</v>
      </c>
      <c r="HP2075" s="19">
        <v>27.1</v>
      </c>
      <c r="HQ2075" s="19">
        <v>34.3</v>
      </c>
      <c r="HR2075" s="19">
        <v>39.9</v>
      </c>
      <c r="HS2075" s="19">
        <v>63.7</v>
      </c>
      <c r="HT2075" s="19">
        <v>123</v>
      </c>
      <c r="HU2075" s="19">
        <v>181</v>
      </c>
      <c r="HV2075" s="19">
        <v>358</v>
      </c>
      <c r="HW2075" s="19">
        <v>356</v>
      </c>
      <c r="HX2075" s="19">
        <v>178</v>
      </c>
      <c r="HY2075" s="19">
        <v>177.5</v>
      </c>
      <c r="HZ2075" s="19">
        <v>177</v>
      </c>
      <c r="IA2075" s="19">
        <v>176</v>
      </c>
      <c r="IB2075" s="19">
        <v>175</v>
      </c>
      <c r="IC2075" s="19">
        <v>174</v>
      </c>
    </row>
    <row r="2076">
      <c r="A2076" s="2" t="s">
        <v>7497</v>
      </c>
      <c r="B2076" s="2" t="s">
        <v>871</v>
      </c>
      <c r="C2076" s="2" t="s">
        <v>324</v>
      </c>
      <c r="D2076" s="2" t="s">
        <v>1452</v>
      </c>
      <c r="E2076" s="2" t="s">
        <v>2263</v>
      </c>
      <c r="F2076" s="2" t="s">
        <v>7498</v>
      </c>
      <c r="G2076" s="2" t="s">
        <v>7499</v>
      </c>
      <c r="H2076" s="2" t="s">
        <v>7500</v>
      </c>
      <c r="I2076" s="2" t="s">
        <v>7501</v>
      </c>
      <c r="J2076" s="2" t="s">
        <v>877</v>
      </c>
      <c r="K2076" s="2" t="s">
        <v>2386</v>
      </c>
      <c r="L2076" s="3">
        <v>49.99</v>
      </c>
      <c r="M2076" s="3">
        <v>52.49</v>
      </c>
      <c r="N2076" s="3">
        <v>99.99</v>
      </c>
      <c r="O2076" s="2" t="s">
        <v>232</v>
      </c>
      <c r="P2076" s="2" t="s">
        <v>233</v>
      </c>
      <c r="Q2076" s="2" t="s">
        <v>234</v>
      </c>
      <c r="R2076" s="2" t="s">
        <v>235</v>
      </c>
      <c r="S2076" s="2" t="s">
        <v>7502</v>
      </c>
      <c r="T2076" s="2" t="s">
        <v>501</v>
      </c>
      <c r="U2076" s="2" t="s">
        <v>282</v>
      </c>
      <c r="V2076" s="2" t="s">
        <v>420</v>
      </c>
      <c r="W2076" s="2" t="s">
        <v>1082</v>
      </c>
      <c r="X2076" s="2" t="s">
        <v>235</v>
      </c>
      <c r="Y2076" s="2" t="s">
        <v>240</v>
      </c>
      <c r="Z2076" s="4">
        <v>86</v>
      </c>
      <c r="AA2076" s="4">
        <f>=ROUNDDOWN(28.6666666666667,0)</f>
      </c>
      <c r="AB2076" s="5">
        <v>3</v>
      </c>
      <c r="AC2076" s="2" t="s">
        <v>235</v>
      </c>
      <c r="AD2076" s="4"/>
      <c r="AE2076" s="4"/>
      <c r="AF2076" s="6">
        <v>78</v>
      </c>
      <c r="AG2076" s="6"/>
      <c r="AH2076" s="7">
        <v>1</v>
      </c>
      <c r="AI2076" s="4"/>
      <c r="AJ2076" s="4">
        <f>=ROUNDDOWN({0},0)</f>
      </c>
      <c r="AK2076" s="5"/>
      <c r="AL2076" s="2" t="s">
        <v>235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/>
      <c r="BD2076" s="8"/>
      <c r="BE2076" s="4"/>
      <c r="BF2076" s="8"/>
      <c r="BG2076" s="7"/>
      <c r="BH2076" s="7"/>
      <c r="BI2076" s="7"/>
      <c r="BJ2076" s="4">
        <v>4</v>
      </c>
      <c r="BK2076" s="8">
        <v>209.18</v>
      </c>
      <c r="BL2076" s="2" t="s">
        <v>7503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7504</v>
      </c>
      <c r="BV2076" s="2" t="s">
        <v>243</v>
      </c>
      <c r="BW2076" s="2" t="s">
        <v>235</v>
      </c>
      <c r="BX2076" s="2" t="s">
        <v>383</v>
      </c>
      <c r="BY2076" s="2" t="s">
        <v>245</v>
      </c>
      <c r="BZ2076" s="2" t="s">
        <v>232</v>
      </c>
      <c r="CA2076" s="2" t="s">
        <v>252</v>
      </c>
      <c r="CB2076" s="2" t="s">
        <v>7505</v>
      </c>
      <c r="CC2076" s="2" t="s">
        <v>248</v>
      </c>
      <c r="CD2076" s="2" t="s">
        <v>248</v>
      </c>
      <c r="CE2076" s="2" t="s">
        <v>235</v>
      </c>
      <c r="CF2076" s="4">
        <v>86</v>
      </c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>
        <v>86</v>
      </c>
      <c r="GE2076" s="4">
        <v>82</v>
      </c>
      <c r="GF2076" s="4">
        <v>80</v>
      </c>
      <c r="GG2076" s="4">
        <v>78</v>
      </c>
      <c r="GH2076" s="4">
        <v>76</v>
      </c>
      <c r="GI2076" s="4">
        <v>74</v>
      </c>
      <c r="GJ2076" s="4">
        <v>71</v>
      </c>
      <c r="GK2076" s="4">
        <v>68</v>
      </c>
      <c r="GL2076" s="4">
        <v>66</v>
      </c>
      <c r="GM2076" s="4">
        <v>64</v>
      </c>
      <c r="GN2076" s="4">
        <v>62</v>
      </c>
      <c r="GO2076" s="4">
        <v>60</v>
      </c>
      <c r="GP2076" s="4">
        <v>57</v>
      </c>
      <c r="GQ2076" s="4">
        <v>54</v>
      </c>
      <c r="GR2076" s="4">
        <v>50</v>
      </c>
      <c r="GS2076" s="4">
        <v>47</v>
      </c>
      <c r="GT2076" s="4">
        <v>45</v>
      </c>
      <c r="GU2076" s="4">
        <v>44</v>
      </c>
      <c r="GV2076" s="4">
        <v>41</v>
      </c>
      <c r="GW2076" s="4">
        <v>38</v>
      </c>
      <c r="GX2076" s="4">
        <v>36</v>
      </c>
      <c r="GY2076" s="4">
        <v>102</v>
      </c>
      <c r="GZ2076" s="4">
        <v>100</v>
      </c>
      <c r="HA2076" s="4">
        <v>98</v>
      </c>
      <c r="HB2076" s="4">
        <v>96</v>
      </c>
      <c r="HC2076" s="4">
        <v>93</v>
      </c>
      <c r="HD2076" s="19">
        <v>43</v>
      </c>
      <c r="HE2076" s="19">
        <v>41</v>
      </c>
      <c r="HF2076" s="19">
        <v>40</v>
      </c>
      <c r="HG2076" s="19">
        <v>39</v>
      </c>
      <c r="HH2076" s="19">
        <v>38</v>
      </c>
      <c r="HI2076" s="19">
        <v>37</v>
      </c>
      <c r="HJ2076" s="19">
        <v>35.5</v>
      </c>
      <c r="HK2076" s="19">
        <v>34</v>
      </c>
      <c r="HL2076" s="19">
        <v>33</v>
      </c>
      <c r="HM2076" s="19">
        <v>32</v>
      </c>
      <c r="HN2076" s="19">
        <v>20.7</v>
      </c>
      <c r="HO2076" s="19">
        <v>20</v>
      </c>
      <c r="HP2076" s="19">
        <v>19</v>
      </c>
      <c r="HQ2076" s="19">
        <v>27</v>
      </c>
      <c r="HR2076" s="19">
        <v>25</v>
      </c>
      <c r="HS2076" s="19">
        <v>23.5</v>
      </c>
      <c r="HT2076" s="19">
        <v>22.5</v>
      </c>
      <c r="HU2076" s="19">
        <v>22</v>
      </c>
      <c r="HV2076" s="19">
        <v>20.5</v>
      </c>
      <c r="HW2076" s="19">
        <v>19</v>
      </c>
      <c r="HX2076" s="19">
        <v>18</v>
      </c>
      <c r="HY2076" s="19">
        <v>51</v>
      </c>
      <c r="HZ2076" s="19">
        <v>33.3</v>
      </c>
      <c r="IA2076" s="19">
        <v>24.5</v>
      </c>
      <c r="IB2076" s="19">
        <v>19.2</v>
      </c>
      <c r="IC2076" s="19">
        <v>18.6</v>
      </c>
    </row>
    <row r="2077">
      <c r="A2077" s="2" t="s">
        <v>7506</v>
      </c>
      <c r="B2077" s="2" t="s">
        <v>800</v>
      </c>
      <c r="C2077" s="2" t="s">
        <v>943</v>
      </c>
      <c r="D2077" s="2" t="s">
        <v>960</v>
      </c>
      <c r="E2077" s="2" t="s">
        <v>961</v>
      </c>
      <c r="F2077" s="2" t="s">
        <v>7507</v>
      </c>
      <c r="G2077" s="2" t="s">
        <v>7507</v>
      </c>
      <c r="H2077" s="2" t="s">
        <v>7507</v>
      </c>
      <c r="I2077" s="2" t="s">
        <v>7508</v>
      </c>
      <c r="J2077" s="2" t="s">
        <v>806</v>
      </c>
      <c r="K2077" s="2" t="s">
        <v>292</v>
      </c>
      <c r="L2077" s="3">
        <v>53</v>
      </c>
      <c r="M2077" s="3">
        <v>55.65</v>
      </c>
      <c r="N2077" s="3">
        <v>109.99</v>
      </c>
      <c r="O2077" s="2" t="s">
        <v>485</v>
      </c>
      <c r="P2077" s="2" t="s">
        <v>408</v>
      </c>
      <c r="Q2077" s="2" t="s">
        <v>234</v>
      </c>
      <c r="R2077" s="2" t="s">
        <v>235</v>
      </c>
      <c r="S2077" s="2" t="s">
        <v>235</v>
      </c>
      <c r="T2077" s="2" t="s">
        <v>235</v>
      </c>
      <c r="U2077" s="2" t="s">
        <v>807</v>
      </c>
      <c r="V2077" s="2" t="s">
        <v>808</v>
      </c>
      <c r="W2077" s="2" t="s">
        <v>1157</v>
      </c>
      <c r="X2077" s="2" t="s">
        <v>329</v>
      </c>
      <c r="Y2077" s="2" t="s">
        <v>967</v>
      </c>
      <c r="Z2077" s="4"/>
      <c r="AA2077" s="4">
        <f>=ROUNDDOWN({0},0)</f>
      </c>
      <c r="AB2077" s="5">
        <v>1.6</v>
      </c>
      <c r="AC2077" s="2" t="s">
        <v>235</v>
      </c>
      <c r="AD2077" s="4"/>
      <c r="AE2077" s="4"/>
      <c r="AF2077" s="6">
        <v>69</v>
      </c>
      <c r="AG2077" s="6"/>
      <c r="AH2077" s="7">
        <v>0.9355</v>
      </c>
      <c r="AI2077" s="4"/>
      <c r="AJ2077" s="4">
        <f>=ROUNDDOWN({0},0)</f>
      </c>
      <c r="AK2077" s="5"/>
      <c r="AL2077" s="2" t="s">
        <v>235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/>
      <c r="BD2077" s="8"/>
      <c r="BE2077" s="4"/>
      <c r="BF2077" s="8"/>
      <c r="BG2077" s="7"/>
      <c r="BH2077" s="7"/>
      <c r="BI2077" s="7"/>
      <c r="BJ2077" s="4">
        <v>4</v>
      </c>
      <c r="BK2077" s="8">
        <v>257.18</v>
      </c>
      <c r="BL2077" s="2" t="s">
        <v>7509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7510</v>
      </c>
      <c r="BV2077" s="2" t="s">
        <v>813</v>
      </c>
      <c r="BW2077" s="2" t="s">
        <v>235</v>
      </c>
      <c r="BX2077" s="2" t="s">
        <v>414</v>
      </c>
      <c r="BY2077" s="2" t="s">
        <v>245</v>
      </c>
      <c r="BZ2077" s="2" t="s">
        <v>232</v>
      </c>
      <c r="CA2077" s="2" t="s">
        <v>415</v>
      </c>
      <c r="CB2077" s="2" t="s">
        <v>235</v>
      </c>
      <c r="CC2077" s="2" t="s">
        <v>248</v>
      </c>
      <c r="CD2077" s="2" t="s">
        <v>248</v>
      </c>
      <c r="CE2077" s="2" t="s">
        <v>235</v>
      </c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>
        <v>70</v>
      </c>
      <c r="GE2077" s="4">
        <v>68</v>
      </c>
      <c r="GF2077" s="4">
        <v>66</v>
      </c>
      <c r="GG2077" s="4">
        <v>64</v>
      </c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19">
        <v>3.5</v>
      </c>
      <c r="HE2077" s="19">
        <v>3.4</v>
      </c>
      <c r="HF2077" s="19">
        <v>3.3</v>
      </c>
      <c r="HG2077" s="19">
        <v>3.2</v>
      </c>
      <c r="HH2077" s="20">
        <v>0</v>
      </c>
      <c r="HI2077" s="20">
        <v>0</v>
      </c>
      <c r="HJ2077" s="20">
        <v>0</v>
      </c>
      <c r="HK2077" s="20">
        <v>0</v>
      </c>
      <c r="HL2077" s="20">
        <v>0</v>
      </c>
      <c r="HM2077" s="20">
        <v>0</v>
      </c>
      <c r="HN2077" s="20">
        <v>0</v>
      </c>
      <c r="HO2077" s="20">
        <v>0</v>
      </c>
      <c r="HP2077" s="20">
        <v>0</v>
      </c>
      <c r="HQ2077" s="20">
        <v>0</v>
      </c>
      <c r="HR2077" s="20">
        <v>0</v>
      </c>
      <c r="HS2077" s="20">
        <v>0</v>
      </c>
      <c r="HT2077" s="20">
        <v>0</v>
      </c>
      <c r="HU2077" s="20">
        <v>0</v>
      </c>
      <c r="HV2077" s="20">
        <v>0</v>
      </c>
      <c r="HW2077" s="20">
        <v>0</v>
      </c>
      <c r="HX2077" s="20">
        <v>0</v>
      </c>
      <c r="HY2077" s="20">
        <v>0</v>
      </c>
      <c r="HZ2077" s="20">
        <v>0</v>
      </c>
      <c r="IA2077" s="20">
        <v>0</v>
      </c>
      <c r="IB2077" s="20">
        <v>0</v>
      </c>
      <c r="IC2077" s="20">
        <v>0</v>
      </c>
    </row>
    <row r="2078">
      <c r="A2078" s="2" t="s">
        <v>7511</v>
      </c>
      <c r="B2078" s="2" t="s">
        <v>1529</v>
      </c>
      <c r="C2078" s="2" t="s">
        <v>1381</v>
      </c>
      <c r="D2078" s="2" t="s">
        <v>6281</v>
      </c>
      <c r="E2078" s="2" t="s">
        <v>5885</v>
      </c>
      <c r="F2078" s="2" t="s">
        <v>7512</v>
      </c>
      <c r="G2078" s="2" t="s">
        <v>7512</v>
      </c>
      <c r="H2078" s="2" t="s">
        <v>7512</v>
      </c>
      <c r="I2078" s="2" t="s">
        <v>7513</v>
      </c>
      <c r="J2078" s="2" t="s">
        <v>897</v>
      </c>
      <c r="K2078" s="2" t="s">
        <v>612</v>
      </c>
      <c r="L2078" s="3">
        <v>98.57</v>
      </c>
      <c r="M2078" s="3">
        <v>103.5</v>
      </c>
      <c r="N2078" s="3">
        <v>299</v>
      </c>
      <c r="O2078" s="2" t="s">
        <v>232</v>
      </c>
      <c r="P2078" s="2" t="s">
        <v>1533</v>
      </c>
      <c r="Q2078" s="2" t="s">
        <v>234</v>
      </c>
      <c r="R2078" s="2" t="s">
        <v>235</v>
      </c>
      <c r="S2078" s="2" t="s">
        <v>235</v>
      </c>
      <c r="T2078" s="2" t="s">
        <v>235</v>
      </c>
      <c r="U2078" s="2" t="s">
        <v>807</v>
      </c>
      <c r="V2078" s="2" t="s">
        <v>238</v>
      </c>
      <c r="W2078" s="2" t="s">
        <v>235</v>
      </c>
      <c r="X2078" s="2" t="s">
        <v>235</v>
      </c>
      <c r="Y2078" s="2" t="s">
        <v>2279</v>
      </c>
      <c r="Z2078" s="4">
        <v>3</v>
      </c>
      <c r="AA2078" s="4">
        <f>=ROUNDDOWN(15,0)</f>
      </c>
      <c r="AB2078" s="5">
        <v>0.2</v>
      </c>
      <c r="AC2078" s="2" t="s">
        <v>235</v>
      </c>
      <c r="AD2078" s="4"/>
      <c r="AE2078" s="4"/>
      <c r="AF2078" s="6"/>
      <c r="AG2078" s="6"/>
      <c r="AH2078" s="7">
        <v>0</v>
      </c>
      <c r="AI2078" s="4"/>
      <c r="AJ2078" s="4">
        <f>=ROUNDDOWN({0},0)</f>
      </c>
      <c r="AK2078" s="5"/>
      <c r="AL2078" s="2" t="s">
        <v>235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 t="s">
        <v>235</v>
      </c>
      <c r="BD2078" s="8" t="s">
        <v>235</v>
      </c>
      <c r="BE2078" s="4" t="s">
        <v>235</v>
      </c>
      <c r="BF2078" s="8" t="s">
        <v>235</v>
      </c>
      <c r="BG2078" s="7" t="s">
        <v>235</v>
      </c>
      <c r="BH2078" s="7" t="s">
        <v>235</v>
      </c>
      <c r="BI2078" s="7"/>
      <c r="BJ2078" s="4"/>
      <c r="BK2078" s="8"/>
      <c r="BL2078" s="2" t="s">
        <v>900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7514</v>
      </c>
      <c r="BV2078" s="2" t="s">
        <v>1448</v>
      </c>
      <c r="BW2078" s="2" t="s">
        <v>235</v>
      </c>
      <c r="BX2078" s="2" t="s">
        <v>244</v>
      </c>
      <c r="BY2078" s="2" t="s">
        <v>245</v>
      </c>
      <c r="BZ2078" s="2" t="s">
        <v>232</v>
      </c>
      <c r="CA2078" s="2" t="s">
        <v>235</v>
      </c>
      <c r="CB2078" s="2" t="s">
        <v>3792</v>
      </c>
      <c r="CC2078" s="2" t="s">
        <v>248</v>
      </c>
      <c r="CD2078" s="2" t="s">
        <v>248</v>
      </c>
      <c r="CE2078" s="2" t="s">
        <v>235</v>
      </c>
      <c r="CF2078" s="4"/>
      <c r="CG2078" s="4">
        <v>3</v>
      </c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9"/>
      <c r="HE2078" s="9"/>
      <c r="HF2078" s="9"/>
      <c r="HG2078" s="9"/>
      <c r="HH2078" s="9"/>
      <c r="HI2078" s="9"/>
      <c r="HJ2078" s="9"/>
      <c r="HK2078" s="9"/>
      <c r="HL2078" s="9"/>
      <c r="HM2078" s="9"/>
      <c r="HN2078" s="9"/>
      <c r="HO2078" s="9"/>
      <c r="HP2078" s="9"/>
      <c r="HQ2078" s="9"/>
      <c r="HR2078" s="9"/>
      <c r="HS2078" s="9"/>
      <c r="HT2078" s="9"/>
      <c r="HU2078" s="9"/>
      <c r="HV2078" s="9"/>
      <c r="HW2078" s="9"/>
      <c r="HX2078" s="9"/>
      <c r="HY2078" s="9"/>
      <c r="HZ2078" s="9"/>
      <c r="IA2078" s="9"/>
      <c r="IB2078" s="9"/>
      <c r="IC2078" s="9"/>
    </row>
    <row r="2079">
      <c r="A2079" s="2" t="s">
        <v>7515</v>
      </c>
      <c r="B2079" s="2" t="s">
        <v>1529</v>
      </c>
      <c r="C2079" s="2" t="s">
        <v>1381</v>
      </c>
      <c r="D2079" s="2" t="s">
        <v>1539</v>
      </c>
      <c r="E2079" s="2" t="s">
        <v>1540</v>
      </c>
      <c r="F2079" s="2" t="s">
        <v>7512</v>
      </c>
      <c r="G2079" s="2" t="s">
        <v>7512</v>
      </c>
      <c r="H2079" s="2" t="s">
        <v>7512</v>
      </c>
      <c r="I2079" s="2" t="s">
        <v>7516</v>
      </c>
      <c r="J2079" s="2" t="s">
        <v>1542</v>
      </c>
      <c r="K2079" s="2" t="s">
        <v>7517</v>
      </c>
      <c r="L2079" s="3">
        <v>28.56</v>
      </c>
      <c r="M2079" s="3">
        <v>29.99</v>
      </c>
      <c r="N2079" s="3">
        <v>79.99</v>
      </c>
      <c r="O2079" s="2" t="s">
        <v>232</v>
      </c>
      <c r="P2079" s="2" t="s">
        <v>1533</v>
      </c>
      <c r="Q2079" s="2" t="s">
        <v>234</v>
      </c>
      <c r="R2079" s="2" t="s">
        <v>235</v>
      </c>
      <c r="S2079" s="2" t="s">
        <v>235</v>
      </c>
      <c r="T2079" s="2" t="s">
        <v>235</v>
      </c>
      <c r="U2079" s="2" t="s">
        <v>807</v>
      </c>
      <c r="V2079" s="2" t="s">
        <v>238</v>
      </c>
      <c r="W2079" s="2" t="s">
        <v>235</v>
      </c>
      <c r="X2079" s="2" t="s">
        <v>235</v>
      </c>
      <c r="Y2079" s="2" t="s">
        <v>2279</v>
      </c>
      <c r="Z2079" s="4">
        <v>7</v>
      </c>
      <c r="AA2079" s="4">
        <f>=ROUNDDOWN(17.5,0)</f>
      </c>
      <c r="AB2079" s="5">
        <v>0.4</v>
      </c>
      <c r="AC2079" s="2" t="s">
        <v>235</v>
      </c>
      <c r="AD2079" s="4"/>
      <c r="AE2079" s="4"/>
      <c r="AF2079" s="6"/>
      <c r="AG2079" s="6"/>
      <c r="AH2079" s="7">
        <v>1</v>
      </c>
      <c r="AI2079" s="4"/>
      <c r="AJ2079" s="4">
        <f>=ROUNDDOWN({0},0)</f>
      </c>
      <c r="AK2079" s="5"/>
      <c r="AL2079" s="2" t="s">
        <v>235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 t="s">
        <v>235</v>
      </c>
      <c r="BD2079" s="8" t="s">
        <v>235</v>
      </c>
      <c r="BE2079" s="4" t="s">
        <v>235</v>
      </c>
      <c r="BF2079" s="8" t="s">
        <v>235</v>
      </c>
      <c r="BG2079" s="7" t="s">
        <v>235</v>
      </c>
      <c r="BH2079" s="7" t="s">
        <v>235</v>
      </c>
      <c r="BI2079" s="7"/>
      <c r="BJ2079" s="4">
        <v>5</v>
      </c>
      <c r="BK2079" s="8">
        <v>187.81</v>
      </c>
      <c r="BL2079" s="2" t="s">
        <v>900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7518</v>
      </c>
      <c r="BV2079" s="2" t="s">
        <v>243</v>
      </c>
      <c r="BW2079" s="2" t="s">
        <v>235</v>
      </c>
      <c r="BX2079" s="2" t="s">
        <v>244</v>
      </c>
      <c r="BY2079" s="2" t="s">
        <v>245</v>
      </c>
      <c r="BZ2079" s="2" t="s">
        <v>232</v>
      </c>
      <c r="CA2079" s="2" t="s">
        <v>941</v>
      </c>
      <c r="CB2079" s="2" t="s">
        <v>2822</v>
      </c>
      <c r="CC2079" s="2" t="s">
        <v>248</v>
      </c>
      <c r="CD2079" s="2" t="s">
        <v>248</v>
      </c>
      <c r="CE2079" s="2" t="s">
        <v>235</v>
      </c>
      <c r="CF2079" s="4"/>
      <c r="CG2079" s="4"/>
      <c r="CH2079" s="4"/>
      <c r="CI2079" s="4">
        <v>7</v>
      </c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9"/>
      <c r="HE2079" s="9"/>
      <c r="HF2079" s="9"/>
      <c r="HG2079" s="9"/>
      <c r="HH2079" s="9"/>
      <c r="HI2079" s="9"/>
      <c r="HJ2079" s="9"/>
      <c r="HK2079" s="9"/>
      <c r="HL2079" s="9"/>
      <c r="HM2079" s="9"/>
      <c r="HN2079" s="9"/>
      <c r="HO2079" s="9"/>
      <c r="HP2079" s="9"/>
      <c r="HQ2079" s="9"/>
      <c r="HR2079" s="9"/>
      <c r="HS2079" s="9"/>
      <c r="HT2079" s="9"/>
      <c r="HU2079" s="9"/>
      <c r="HV2079" s="9"/>
      <c r="HW2079" s="9"/>
      <c r="HX2079" s="9"/>
      <c r="HY2079" s="9"/>
      <c r="HZ2079" s="9"/>
      <c r="IA2079" s="9"/>
      <c r="IB2079" s="9"/>
      <c r="IC2079" s="9"/>
    </row>
    <row r="2080">
      <c r="A2080" s="2" t="s">
        <v>7519</v>
      </c>
      <c r="B2080" s="2" t="s">
        <v>1529</v>
      </c>
      <c r="C2080" s="2" t="s">
        <v>1381</v>
      </c>
      <c r="D2080" s="2" t="s">
        <v>6281</v>
      </c>
      <c r="E2080" s="2" t="s">
        <v>5885</v>
      </c>
      <c r="F2080" s="2" t="s">
        <v>7512</v>
      </c>
      <c r="G2080" s="2" t="s">
        <v>7512</v>
      </c>
      <c r="H2080" s="2" t="s">
        <v>7512</v>
      </c>
      <c r="I2080" s="2" t="s">
        <v>7513</v>
      </c>
      <c r="J2080" s="2" t="s">
        <v>897</v>
      </c>
      <c r="K2080" s="2" t="s">
        <v>2386</v>
      </c>
      <c r="L2080" s="3">
        <v>98.57</v>
      </c>
      <c r="M2080" s="3">
        <v>103.5</v>
      </c>
      <c r="N2080" s="3">
        <v>299</v>
      </c>
      <c r="O2080" s="2" t="s">
        <v>232</v>
      </c>
      <c r="P2080" s="2" t="s">
        <v>1533</v>
      </c>
      <c r="Q2080" s="2" t="s">
        <v>234</v>
      </c>
      <c r="R2080" s="2" t="s">
        <v>235</v>
      </c>
      <c r="S2080" s="2" t="s">
        <v>235</v>
      </c>
      <c r="T2080" s="2" t="s">
        <v>235</v>
      </c>
      <c r="U2080" s="2" t="s">
        <v>807</v>
      </c>
      <c r="V2080" s="2" t="s">
        <v>238</v>
      </c>
      <c r="W2080" s="2" t="s">
        <v>235</v>
      </c>
      <c r="X2080" s="2" t="s">
        <v>235</v>
      </c>
      <c r="Y2080" s="2" t="s">
        <v>7279</v>
      </c>
      <c r="Z2080" s="4">
        <v>78</v>
      </c>
      <c r="AA2080" s="4">
        <f>=ROUNDDOWN(78,0)</f>
      </c>
      <c r="AB2080" s="5">
        <v>1</v>
      </c>
      <c r="AC2080" s="2" t="s">
        <v>235</v>
      </c>
      <c r="AD2080" s="4"/>
      <c r="AE2080" s="4"/>
      <c r="AF2080" s="6"/>
      <c r="AG2080" s="6"/>
      <c r="AH2080" s="7">
        <v>1</v>
      </c>
      <c r="AI2080" s="4"/>
      <c r="AJ2080" s="4">
        <f>=ROUNDDOWN({0},0)</f>
      </c>
      <c r="AK2080" s="5"/>
      <c r="AL2080" s="2" t="s">
        <v>235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 t="s">
        <v>235</v>
      </c>
      <c r="BD2080" s="8" t="s">
        <v>235</v>
      </c>
      <c r="BE2080" s="4" t="s">
        <v>235</v>
      </c>
      <c r="BF2080" s="8" t="s">
        <v>235</v>
      </c>
      <c r="BG2080" s="7" t="s">
        <v>235</v>
      </c>
      <c r="BH2080" s="7" t="s">
        <v>235</v>
      </c>
      <c r="BI2080" s="7"/>
      <c r="BJ2080" s="4">
        <v>4</v>
      </c>
      <c r="BK2080" s="8">
        <v>322.92</v>
      </c>
      <c r="BL2080" s="2" t="s">
        <v>4467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7514</v>
      </c>
      <c r="BV2080" s="2" t="s">
        <v>1448</v>
      </c>
      <c r="BW2080" s="2" t="s">
        <v>235</v>
      </c>
      <c r="BX2080" s="2" t="s">
        <v>244</v>
      </c>
      <c r="BY2080" s="2" t="s">
        <v>245</v>
      </c>
      <c r="BZ2080" s="2" t="s">
        <v>232</v>
      </c>
      <c r="CA2080" s="2" t="s">
        <v>1536</v>
      </c>
      <c r="CB2080" s="2" t="s">
        <v>6107</v>
      </c>
      <c r="CC2080" s="2" t="s">
        <v>248</v>
      </c>
      <c r="CD2080" s="2" t="s">
        <v>248</v>
      </c>
      <c r="CE2080" s="2" t="s">
        <v>235</v>
      </c>
      <c r="CF2080" s="4"/>
      <c r="CG2080" s="4">
        <v>35</v>
      </c>
      <c r="CH2080" s="4"/>
      <c r="CI2080" s="4">
        <v>43</v>
      </c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9"/>
      <c r="HE2080" s="9"/>
      <c r="HF2080" s="9"/>
      <c r="HG2080" s="9"/>
      <c r="HH2080" s="9"/>
      <c r="HI2080" s="9"/>
      <c r="HJ2080" s="9"/>
      <c r="HK2080" s="9"/>
      <c r="HL2080" s="9"/>
      <c r="HM2080" s="9"/>
      <c r="HN2080" s="9"/>
      <c r="HO2080" s="9"/>
      <c r="HP2080" s="9"/>
      <c r="HQ2080" s="9"/>
      <c r="HR2080" s="9"/>
      <c r="HS2080" s="9"/>
      <c r="HT2080" s="9"/>
      <c r="HU2080" s="9"/>
      <c r="HV2080" s="9"/>
      <c r="HW2080" s="9"/>
      <c r="HX2080" s="9"/>
      <c r="HY2080" s="9"/>
      <c r="HZ2080" s="9"/>
      <c r="IA2080" s="9"/>
      <c r="IB2080" s="9"/>
      <c r="IC2080" s="9"/>
    </row>
    <row r="2081">
      <c r="A2081" s="2" t="s">
        <v>7520</v>
      </c>
      <c r="B2081" s="2" t="s">
        <v>1529</v>
      </c>
      <c r="C2081" s="2" t="s">
        <v>1381</v>
      </c>
      <c r="D2081" s="2" t="s">
        <v>1539</v>
      </c>
      <c r="E2081" s="2" t="s">
        <v>1540</v>
      </c>
      <c r="F2081" s="2" t="s">
        <v>7512</v>
      </c>
      <c r="G2081" s="2" t="s">
        <v>7512</v>
      </c>
      <c r="H2081" s="2" t="s">
        <v>7512</v>
      </c>
      <c r="I2081" s="2" t="s">
        <v>1541</v>
      </c>
      <c r="J2081" s="2" t="s">
        <v>1542</v>
      </c>
      <c r="K2081" s="2" t="s">
        <v>7521</v>
      </c>
      <c r="L2081" s="3">
        <v>28.56</v>
      </c>
      <c r="M2081" s="3">
        <v>29.99</v>
      </c>
      <c r="N2081" s="3">
        <v>79.99</v>
      </c>
      <c r="O2081" s="2" t="s">
        <v>232</v>
      </c>
      <c r="P2081" s="2" t="s">
        <v>1533</v>
      </c>
      <c r="Q2081" s="2" t="s">
        <v>234</v>
      </c>
      <c r="R2081" s="2" t="s">
        <v>235</v>
      </c>
      <c r="S2081" s="2" t="s">
        <v>235</v>
      </c>
      <c r="T2081" s="2" t="s">
        <v>235</v>
      </c>
      <c r="U2081" s="2" t="s">
        <v>807</v>
      </c>
      <c r="V2081" s="2" t="s">
        <v>238</v>
      </c>
      <c r="W2081" s="2" t="s">
        <v>235</v>
      </c>
      <c r="X2081" s="2" t="s">
        <v>235</v>
      </c>
      <c r="Y2081" s="2" t="s">
        <v>2279</v>
      </c>
      <c r="Z2081" s="4">
        <v>62</v>
      </c>
      <c r="AA2081" s="4">
        <f>=ROUNDDOWN({0},0)</f>
      </c>
      <c r="AB2081" s="5"/>
      <c r="AC2081" s="2" t="s">
        <v>235</v>
      </c>
      <c r="AD2081" s="4"/>
      <c r="AE2081" s="4"/>
      <c r="AF2081" s="6"/>
      <c r="AG2081" s="6"/>
      <c r="AH2081" s="7">
        <v>1</v>
      </c>
      <c r="AI2081" s="4"/>
      <c r="AJ2081" s="4">
        <f>=ROUNDDOWN({0},0)</f>
      </c>
      <c r="AK2081" s="5"/>
      <c r="AL2081" s="2" t="s">
        <v>235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235</v>
      </c>
      <c r="AW2081" s="8" t="s">
        <v>235</v>
      </c>
      <c r="AX2081" s="4" t="s">
        <v>235</v>
      </c>
      <c r="AY2081" s="8" t="s">
        <v>235</v>
      </c>
      <c r="AZ2081" s="7" t="s">
        <v>235</v>
      </c>
      <c r="BA2081" s="7" t="s">
        <v>235</v>
      </c>
      <c r="BB2081" s="7"/>
      <c r="BC2081" s="4" t="s">
        <v>235</v>
      </c>
      <c r="BD2081" s="8" t="s">
        <v>235</v>
      </c>
      <c r="BE2081" s="4" t="s">
        <v>235</v>
      </c>
      <c r="BF2081" s="8" t="s">
        <v>235</v>
      </c>
      <c r="BG2081" s="7" t="s">
        <v>235</v>
      </c>
      <c r="BH2081" s="7" t="s">
        <v>235</v>
      </c>
      <c r="BI2081" s="7"/>
      <c r="BJ2081" s="4"/>
      <c r="BK2081" s="8"/>
      <c r="BL2081" s="2" t="s">
        <v>900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7518</v>
      </c>
      <c r="BV2081" s="2" t="s">
        <v>243</v>
      </c>
      <c r="BW2081" s="2" t="s">
        <v>235</v>
      </c>
      <c r="BX2081" s="2" t="s">
        <v>244</v>
      </c>
      <c r="BY2081" s="2" t="s">
        <v>245</v>
      </c>
      <c r="BZ2081" s="2" t="s">
        <v>232</v>
      </c>
      <c r="CA2081" s="2" t="s">
        <v>941</v>
      </c>
      <c r="CB2081" s="2" t="s">
        <v>235</v>
      </c>
      <c r="CC2081" s="2" t="s">
        <v>248</v>
      </c>
      <c r="CD2081" s="2" t="s">
        <v>248</v>
      </c>
      <c r="CE2081" s="2" t="s">
        <v>235</v>
      </c>
      <c r="CF2081" s="4"/>
      <c r="CG2081" s="4">
        <v>31</v>
      </c>
      <c r="CH2081" s="4"/>
      <c r="CI2081" s="4">
        <v>31</v>
      </c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9"/>
      <c r="HE2081" s="9"/>
      <c r="HF2081" s="9"/>
      <c r="HG2081" s="9"/>
      <c r="HH2081" s="9"/>
      <c r="HI2081" s="9"/>
      <c r="HJ2081" s="9"/>
      <c r="HK2081" s="9"/>
      <c r="HL2081" s="9"/>
      <c r="HM2081" s="9"/>
      <c r="HN2081" s="9"/>
      <c r="HO2081" s="9"/>
      <c r="HP2081" s="9"/>
      <c r="HQ2081" s="9"/>
      <c r="HR2081" s="9"/>
      <c r="HS2081" s="9"/>
      <c r="HT2081" s="9"/>
      <c r="HU2081" s="9"/>
      <c r="HV2081" s="9"/>
      <c r="HW2081" s="9"/>
      <c r="HX2081" s="9"/>
      <c r="HY2081" s="9"/>
      <c r="HZ2081" s="9"/>
      <c r="IA2081" s="9"/>
      <c r="IB2081" s="9"/>
      <c r="IC2081" s="9"/>
    </row>
    <row r="2082">
      <c r="A2082" s="2" t="s">
        <v>7522</v>
      </c>
      <c r="B2082" s="2" t="s">
        <v>1529</v>
      </c>
      <c r="C2082" s="2" t="s">
        <v>1381</v>
      </c>
      <c r="D2082" s="2" t="s">
        <v>6281</v>
      </c>
      <c r="E2082" s="2" t="s">
        <v>5885</v>
      </c>
      <c r="F2082" s="2" t="s">
        <v>7512</v>
      </c>
      <c r="G2082" s="2" t="s">
        <v>7512</v>
      </c>
      <c r="H2082" s="2" t="s">
        <v>7512</v>
      </c>
      <c r="I2082" s="2" t="s">
        <v>7513</v>
      </c>
      <c r="J2082" s="2" t="s">
        <v>897</v>
      </c>
      <c r="K2082" s="2" t="s">
        <v>7521</v>
      </c>
      <c r="L2082" s="3">
        <v>98.57</v>
      </c>
      <c r="M2082" s="3">
        <v>103.5</v>
      </c>
      <c r="N2082" s="3">
        <v>299</v>
      </c>
      <c r="O2082" s="2" t="s">
        <v>232</v>
      </c>
      <c r="P2082" s="2" t="s">
        <v>1533</v>
      </c>
      <c r="Q2082" s="2" t="s">
        <v>234</v>
      </c>
      <c r="R2082" s="2" t="s">
        <v>235</v>
      </c>
      <c r="S2082" s="2" t="s">
        <v>235</v>
      </c>
      <c r="T2082" s="2" t="s">
        <v>235</v>
      </c>
      <c r="U2082" s="2" t="s">
        <v>807</v>
      </c>
      <c r="V2082" s="2" t="s">
        <v>238</v>
      </c>
      <c r="W2082" s="2" t="s">
        <v>235</v>
      </c>
      <c r="X2082" s="2" t="s">
        <v>235</v>
      </c>
      <c r="Y2082" s="2" t="s">
        <v>2279</v>
      </c>
      <c r="Z2082" s="4">
        <v>52</v>
      </c>
      <c r="AA2082" s="4">
        <f>=ROUNDDOWN(520,0)</f>
      </c>
      <c r="AB2082" s="5">
        <v>0.1</v>
      </c>
      <c r="AC2082" s="2" t="s">
        <v>235</v>
      </c>
      <c r="AD2082" s="4"/>
      <c r="AE2082" s="4"/>
      <c r="AF2082" s="6"/>
      <c r="AG2082" s="6"/>
      <c r="AH2082" s="7">
        <v>1</v>
      </c>
      <c r="AI2082" s="4"/>
      <c r="AJ2082" s="4">
        <f>=ROUNDDOWN({0},0)</f>
      </c>
      <c r="AK2082" s="5"/>
      <c r="AL2082" s="2" t="s">
        <v>235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235</v>
      </c>
      <c r="AW2082" s="8" t="s">
        <v>235</v>
      </c>
      <c r="AX2082" s="4" t="s">
        <v>235</v>
      </c>
      <c r="AY2082" s="8" t="s">
        <v>235</v>
      </c>
      <c r="AZ2082" s="7" t="s">
        <v>235</v>
      </c>
      <c r="BA2082" s="7" t="s">
        <v>235</v>
      </c>
      <c r="BB2082" s="7"/>
      <c r="BC2082" s="4" t="s">
        <v>235</v>
      </c>
      <c r="BD2082" s="8" t="s">
        <v>235</v>
      </c>
      <c r="BE2082" s="4" t="s">
        <v>235</v>
      </c>
      <c r="BF2082" s="8" t="s">
        <v>235</v>
      </c>
      <c r="BG2082" s="7" t="s">
        <v>235</v>
      </c>
      <c r="BH2082" s="7" t="s">
        <v>235</v>
      </c>
      <c r="BI2082" s="7"/>
      <c r="BJ2082" s="4">
        <v>2</v>
      </c>
      <c r="BK2082" s="8">
        <v>149.04</v>
      </c>
      <c r="BL2082" s="2" t="s">
        <v>900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7514</v>
      </c>
      <c r="BV2082" s="2" t="s">
        <v>1448</v>
      </c>
      <c r="BW2082" s="2" t="s">
        <v>235</v>
      </c>
      <c r="BX2082" s="2" t="s">
        <v>244</v>
      </c>
      <c r="BY2082" s="2" t="s">
        <v>245</v>
      </c>
      <c r="BZ2082" s="2" t="s">
        <v>232</v>
      </c>
      <c r="CA2082" s="2" t="s">
        <v>1536</v>
      </c>
      <c r="CB2082" s="2" t="s">
        <v>235</v>
      </c>
      <c r="CC2082" s="2" t="s">
        <v>248</v>
      </c>
      <c r="CD2082" s="2" t="s">
        <v>248</v>
      </c>
      <c r="CE2082" s="2" t="s">
        <v>235</v>
      </c>
      <c r="CF2082" s="4"/>
      <c r="CG2082" s="4">
        <v>8</v>
      </c>
      <c r="CH2082" s="4"/>
      <c r="CI2082" s="4">
        <v>44</v>
      </c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9"/>
      <c r="HE2082" s="9"/>
      <c r="HF2082" s="9"/>
      <c r="HG2082" s="9"/>
      <c r="HH2082" s="9"/>
      <c r="HI2082" s="9"/>
      <c r="HJ2082" s="9"/>
      <c r="HK2082" s="9"/>
      <c r="HL2082" s="9"/>
      <c r="HM2082" s="9"/>
      <c r="HN2082" s="9"/>
      <c r="HO2082" s="9"/>
      <c r="HP2082" s="9"/>
      <c r="HQ2082" s="9"/>
      <c r="HR2082" s="9"/>
      <c r="HS2082" s="9"/>
      <c r="HT2082" s="9"/>
      <c r="HU2082" s="9"/>
      <c r="HV2082" s="9"/>
      <c r="HW2082" s="9"/>
      <c r="HX2082" s="9"/>
      <c r="HY2082" s="9"/>
      <c r="HZ2082" s="9"/>
      <c r="IA2082" s="9"/>
      <c r="IB2082" s="9"/>
      <c r="IC2082" s="9"/>
    </row>
    <row r="2083">
      <c r="A2083" s="2" t="s">
        <v>7523</v>
      </c>
      <c r="B2083" s="2" t="s">
        <v>905</v>
      </c>
      <c r="C2083" s="2" t="s">
        <v>324</v>
      </c>
      <c r="D2083" s="2" t="s">
        <v>990</v>
      </c>
      <c r="E2083" s="2" t="s">
        <v>991</v>
      </c>
      <c r="F2083" s="2" t="s">
        <v>7217</v>
      </c>
      <c r="G2083" s="2" t="s">
        <v>7524</v>
      </c>
      <c r="H2083" s="2" t="s">
        <v>7524</v>
      </c>
      <c r="I2083" s="2" t="s">
        <v>6845</v>
      </c>
      <c r="J2083" s="2" t="s">
        <v>3871</v>
      </c>
      <c r="K2083" s="2" t="s">
        <v>861</v>
      </c>
      <c r="L2083" s="3">
        <v>17.58</v>
      </c>
      <c r="M2083" s="3">
        <v>18.46</v>
      </c>
      <c r="N2083" s="3">
        <v>39.99</v>
      </c>
      <c r="O2083" s="2" t="s">
        <v>232</v>
      </c>
      <c r="P2083" s="2" t="s">
        <v>233</v>
      </c>
      <c r="Q2083" s="2" t="s">
        <v>234</v>
      </c>
      <c r="R2083" s="2" t="s">
        <v>235</v>
      </c>
      <c r="S2083" s="2" t="s">
        <v>7525</v>
      </c>
      <c r="T2083" s="2" t="s">
        <v>912</v>
      </c>
      <c r="U2083" s="2" t="s">
        <v>807</v>
      </c>
      <c r="V2083" s="2" t="s">
        <v>1693</v>
      </c>
      <c r="W2083" s="2" t="s">
        <v>329</v>
      </c>
      <c r="X2083" s="2" t="s">
        <v>235</v>
      </c>
      <c r="Y2083" s="2" t="s">
        <v>7526</v>
      </c>
      <c r="Z2083" s="4">
        <v>2374</v>
      </c>
      <c r="AA2083" s="4">
        <f>=ROUNDDOWN(189.92,0)</f>
      </c>
      <c r="AB2083" s="5">
        <v>12.5</v>
      </c>
      <c r="AC2083" s="2" t="s">
        <v>235</v>
      </c>
      <c r="AD2083" s="4"/>
      <c r="AE2083" s="4"/>
      <c r="AF2083" s="6">
        <v>64</v>
      </c>
      <c r="AG2083" s="6"/>
      <c r="AH2083" s="7">
        <v>1</v>
      </c>
      <c r="AI2083" s="4"/>
      <c r="AJ2083" s="4">
        <f>=ROUNDDOWN({0},0)</f>
      </c>
      <c r="AK2083" s="5"/>
      <c r="AL2083" s="2" t="s">
        <v>235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235</v>
      </c>
      <c r="BD2083" s="8" t="s">
        <v>235</v>
      </c>
      <c r="BE2083" s="4" t="s">
        <v>235</v>
      </c>
      <c r="BF2083" s="8" t="s">
        <v>235</v>
      </c>
      <c r="BG2083" s="7" t="s">
        <v>235</v>
      </c>
      <c r="BH2083" s="7" t="s">
        <v>235</v>
      </c>
      <c r="BI2083" s="7"/>
      <c r="BJ2083" s="4">
        <v>32</v>
      </c>
      <c r="BK2083" s="8">
        <v>592.31</v>
      </c>
      <c r="BL2083" s="2" t="s">
        <v>7527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7528</v>
      </c>
      <c r="BV2083" s="2" t="s">
        <v>243</v>
      </c>
      <c r="BW2083" s="2" t="s">
        <v>235</v>
      </c>
      <c r="BX2083" s="2" t="s">
        <v>244</v>
      </c>
      <c r="BY2083" s="2" t="s">
        <v>245</v>
      </c>
      <c r="BZ2083" s="2" t="s">
        <v>232</v>
      </c>
      <c r="CA2083" s="2" t="s">
        <v>7529</v>
      </c>
      <c r="CB2083" s="2" t="s">
        <v>7530</v>
      </c>
      <c r="CC2083" s="2" t="s">
        <v>248</v>
      </c>
      <c r="CD2083" s="2" t="s">
        <v>248</v>
      </c>
      <c r="CE2083" s="2" t="s">
        <v>235</v>
      </c>
      <c r="CF2083" s="4">
        <v>2374</v>
      </c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>
        <v>2402</v>
      </c>
      <c r="GE2083" s="4">
        <v>2365</v>
      </c>
      <c r="GF2083" s="4">
        <v>2356</v>
      </c>
      <c r="GG2083" s="4">
        <v>2347</v>
      </c>
      <c r="GH2083" s="4">
        <v>2338</v>
      </c>
      <c r="GI2083" s="4">
        <v>2296</v>
      </c>
      <c r="GJ2083" s="4">
        <v>2254</v>
      </c>
      <c r="GK2083" s="4">
        <v>2212</v>
      </c>
      <c r="GL2083" s="4">
        <v>2170</v>
      </c>
      <c r="GM2083" s="4">
        <v>2122</v>
      </c>
      <c r="GN2083" s="4">
        <v>2060</v>
      </c>
      <c r="GO2083" s="4">
        <v>1862</v>
      </c>
      <c r="GP2083" s="4">
        <v>1637</v>
      </c>
      <c r="GQ2083" s="4">
        <v>1106</v>
      </c>
      <c r="GR2083" s="4">
        <v>954</v>
      </c>
      <c r="GS2083" s="4">
        <v>735</v>
      </c>
      <c r="GT2083" s="4">
        <v>577</v>
      </c>
      <c r="GU2083" s="4">
        <v>545</v>
      </c>
      <c r="GV2083" s="4">
        <v>506</v>
      </c>
      <c r="GW2083" s="4">
        <v>470</v>
      </c>
      <c r="GX2083" s="4">
        <v>434</v>
      </c>
      <c r="GY2083" s="4">
        <v>398</v>
      </c>
      <c r="GZ2083" s="4">
        <v>380</v>
      </c>
      <c r="HA2083" s="4">
        <v>367</v>
      </c>
      <c r="HB2083" s="4">
        <v>354</v>
      </c>
      <c r="HC2083" s="4">
        <v>340</v>
      </c>
      <c r="HD2083" s="19">
        <v>150.1</v>
      </c>
      <c r="HE2083" s="19">
        <v>139.1</v>
      </c>
      <c r="HF2083" s="19">
        <v>90.6</v>
      </c>
      <c r="HG2083" s="19">
        <v>69</v>
      </c>
      <c r="HH2083" s="19">
        <v>55.7</v>
      </c>
      <c r="HI2083" s="19">
        <v>52.2</v>
      </c>
      <c r="HJ2083" s="19">
        <v>47</v>
      </c>
      <c r="HK2083" s="19">
        <v>25.1</v>
      </c>
      <c r="HL2083" s="19">
        <v>16.3</v>
      </c>
      <c r="HM2083" s="19">
        <v>8.4</v>
      </c>
      <c r="HN2083" s="19">
        <v>7.5</v>
      </c>
      <c r="HO2083" s="19">
        <v>6.6</v>
      </c>
      <c r="HP2083" s="19">
        <v>6.2</v>
      </c>
      <c r="HQ2083" s="19">
        <v>7.9</v>
      </c>
      <c r="HR2083" s="19">
        <v>8.5</v>
      </c>
      <c r="HS2083" s="19">
        <v>11.1</v>
      </c>
      <c r="HT2083" s="19">
        <v>16</v>
      </c>
      <c r="HU2083" s="19">
        <v>14.7</v>
      </c>
      <c r="HV2083" s="19">
        <v>15.8</v>
      </c>
      <c r="HW2083" s="19">
        <v>18.1</v>
      </c>
      <c r="HX2083" s="19">
        <v>21.7</v>
      </c>
      <c r="HY2083" s="19">
        <v>28.4</v>
      </c>
      <c r="HZ2083" s="19">
        <v>29.2</v>
      </c>
      <c r="IA2083" s="19">
        <v>28.2</v>
      </c>
      <c r="IB2083" s="19">
        <v>27.2</v>
      </c>
      <c r="IC2083" s="19">
        <v>26.2</v>
      </c>
    </row>
    <row r="2084">
      <c r="A2084" s="2" t="s">
        <v>7531</v>
      </c>
      <c r="B2084" s="2" t="s">
        <v>905</v>
      </c>
      <c r="C2084" s="2" t="s">
        <v>678</v>
      </c>
      <c r="D2084" s="2" t="s">
        <v>1177</v>
      </c>
      <c r="E2084" s="2" t="s">
        <v>1178</v>
      </c>
      <c r="F2084" s="2" t="s">
        <v>7217</v>
      </c>
      <c r="G2084" s="2" t="s">
        <v>7524</v>
      </c>
      <c r="H2084" s="2" t="s">
        <v>7524</v>
      </c>
      <c r="I2084" s="2" t="s">
        <v>7532</v>
      </c>
      <c r="J2084" s="2" t="s">
        <v>2041</v>
      </c>
      <c r="K2084" s="2" t="s">
        <v>7533</v>
      </c>
      <c r="L2084" s="3">
        <v>41.7</v>
      </c>
      <c r="M2084" s="3">
        <v>43.78</v>
      </c>
      <c r="N2084" s="3">
        <v>94.99</v>
      </c>
      <c r="O2084" s="2" t="s">
        <v>232</v>
      </c>
      <c r="P2084" s="2" t="s">
        <v>878</v>
      </c>
      <c r="Q2084" s="2" t="s">
        <v>234</v>
      </c>
      <c r="R2084" s="2" t="s">
        <v>235</v>
      </c>
      <c r="S2084" s="2" t="s">
        <v>7534</v>
      </c>
      <c r="T2084" s="2" t="s">
        <v>912</v>
      </c>
      <c r="U2084" s="2" t="s">
        <v>807</v>
      </c>
      <c r="V2084" s="2" t="s">
        <v>238</v>
      </c>
      <c r="W2084" s="2" t="s">
        <v>329</v>
      </c>
      <c r="X2084" s="2" t="s">
        <v>1157</v>
      </c>
      <c r="Y2084" s="2" t="s">
        <v>2187</v>
      </c>
      <c r="Z2084" s="4">
        <v>193</v>
      </c>
      <c r="AA2084" s="4">
        <f>=ROUNDDOWN(6.24595469255663,0)</f>
      </c>
      <c r="AB2084" s="5">
        <v>30.9</v>
      </c>
      <c r="AC2084" s="2" t="s">
        <v>235</v>
      </c>
      <c r="AD2084" s="4"/>
      <c r="AE2084" s="4"/>
      <c r="AF2084" s="6">
        <v>66</v>
      </c>
      <c r="AG2084" s="6"/>
      <c r="AH2084" s="7">
        <v>1</v>
      </c>
      <c r="AI2084" s="4"/>
      <c r="AJ2084" s="4">
        <f>=ROUNDDOWN({0},0)</f>
      </c>
      <c r="AK2084" s="5"/>
      <c r="AL2084" s="2" t="s">
        <v>235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235</v>
      </c>
      <c r="BD2084" s="8" t="s">
        <v>235</v>
      </c>
      <c r="BE2084" s="4" t="s">
        <v>235</v>
      </c>
      <c r="BF2084" s="8" t="s">
        <v>235</v>
      </c>
      <c r="BG2084" s="7" t="s">
        <v>235</v>
      </c>
      <c r="BH2084" s="7" t="s">
        <v>235</v>
      </c>
      <c r="BI2084" s="7"/>
      <c r="BJ2084" s="4">
        <v>68</v>
      </c>
      <c r="BK2084" s="8">
        <v>3005.26</v>
      </c>
      <c r="BL2084" s="2" t="s">
        <v>3243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7535</v>
      </c>
      <c r="BV2084" s="2" t="s">
        <v>243</v>
      </c>
      <c r="BW2084" s="2" t="s">
        <v>235</v>
      </c>
      <c r="BX2084" s="2" t="s">
        <v>244</v>
      </c>
      <c r="BY2084" s="2" t="s">
        <v>245</v>
      </c>
      <c r="BZ2084" s="2" t="s">
        <v>232</v>
      </c>
      <c r="CA2084" s="2" t="s">
        <v>1609</v>
      </c>
      <c r="CB2084" s="2" t="s">
        <v>3892</v>
      </c>
      <c r="CC2084" s="2" t="s">
        <v>248</v>
      </c>
      <c r="CD2084" s="2" t="s">
        <v>248</v>
      </c>
      <c r="CE2084" s="2" t="s">
        <v>235</v>
      </c>
      <c r="CF2084" s="4">
        <v>193</v>
      </c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>
        <v>197</v>
      </c>
      <c r="GE2084" s="4">
        <v>183</v>
      </c>
      <c r="GF2084" s="4">
        <v>173</v>
      </c>
      <c r="GG2084" s="4">
        <v>163</v>
      </c>
      <c r="GH2084" s="4">
        <v>153</v>
      </c>
      <c r="GI2084" s="4">
        <v>147</v>
      </c>
      <c r="GJ2084" s="4">
        <v>136</v>
      </c>
      <c r="GK2084" s="4">
        <v>117</v>
      </c>
      <c r="GL2084" s="4">
        <v>96</v>
      </c>
      <c r="GM2084" s="4">
        <v>76</v>
      </c>
      <c r="GN2084" s="4">
        <v>66</v>
      </c>
      <c r="GO2084" s="4">
        <v>49</v>
      </c>
      <c r="GP2084" s="4">
        <v>22</v>
      </c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>
        <v>800</v>
      </c>
      <c r="HD2084" s="19">
        <v>17.9</v>
      </c>
      <c r="HE2084" s="19">
        <v>20.3</v>
      </c>
      <c r="HF2084" s="19">
        <v>19.2</v>
      </c>
      <c r="HG2084" s="19">
        <v>13.6</v>
      </c>
      <c r="HH2084" s="19">
        <v>10.9</v>
      </c>
      <c r="HI2084" s="19">
        <v>8.2</v>
      </c>
      <c r="HJ2084" s="19">
        <v>7.6</v>
      </c>
      <c r="HK2084" s="19">
        <v>6.9</v>
      </c>
      <c r="HL2084" s="19">
        <v>5.3</v>
      </c>
      <c r="HM2084" s="19">
        <v>3.6</v>
      </c>
      <c r="HN2084" s="19">
        <v>1.7</v>
      </c>
      <c r="HO2084" s="19">
        <v>0.9</v>
      </c>
      <c r="HP2084" s="19">
        <v>0.3</v>
      </c>
      <c r="HQ2084" s="20">
        <v>0</v>
      </c>
      <c r="HR2084" s="20">
        <v>0</v>
      </c>
      <c r="HS2084" s="20">
        <v>0</v>
      </c>
      <c r="HT2084" s="20">
        <v>0</v>
      </c>
      <c r="HU2084" s="20">
        <v>0</v>
      </c>
      <c r="HV2084" s="20">
        <v>0</v>
      </c>
      <c r="HW2084" s="20">
        <v>0</v>
      </c>
      <c r="HX2084" s="20">
        <v>0</v>
      </c>
      <c r="HY2084" s="20">
        <v>0</v>
      </c>
      <c r="HZ2084" s="20">
        <v>0</v>
      </c>
      <c r="IA2084" s="20">
        <v>0</v>
      </c>
      <c r="IB2084" s="20">
        <v>0</v>
      </c>
      <c r="IC2084" s="19">
        <v>44.4</v>
      </c>
    </row>
    <row r="2085">
      <c r="A2085" s="2" t="s">
        <v>7536</v>
      </c>
      <c r="B2085" s="2" t="s">
        <v>905</v>
      </c>
      <c r="C2085" s="2" t="s">
        <v>324</v>
      </c>
      <c r="D2085" s="2" t="s">
        <v>361</v>
      </c>
      <c r="E2085" s="2" t="s">
        <v>872</v>
      </c>
      <c r="F2085" s="2" t="s">
        <v>7217</v>
      </c>
      <c r="G2085" s="2" t="s">
        <v>7524</v>
      </c>
      <c r="H2085" s="2" t="s">
        <v>7524</v>
      </c>
      <c r="I2085" s="2" t="s">
        <v>7537</v>
      </c>
      <c r="J2085" s="2" t="s">
        <v>365</v>
      </c>
      <c r="K2085" s="2" t="s">
        <v>7538</v>
      </c>
      <c r="L2085" s="3">
        <v>54.24</v>
      </c>
      <c r="M2085" s="3">
        <v>56.95</v>
      </c>
      <c r="N2085" s="3">
        <v>124.99</v>
      </c>
      <c r="O2085" s="2" t="s">
        <v>232</v>
      </c>
      <c r="P2085" s="2" t="s">
        <v>233</v>
      </c>
      <c r="Q2085" s="2" t="s">
        <v>234</v>
      </c>
      <c r="R2085" s="2" t="s">
        <v>235</v>
      </c>
      <c r="S2085" s="2" t="s">
        <v>7539</v>
      </c>
      <c r="T2085" s="2" t="s">
        <v>912</v>
      </c>
      <c r="U2085" s="2" t="s">
        <v>264</v>
      </c>
      <c r="V2085" s="2" t="s">
        <v>1693</v>
      </c>
      <c r="W2085" s="2" t="s">
        <v>329</v>
      </c>
      <c r="X2085" s="2" t="s">
        <v>682</v>
      </c>
      <c r="Y2085" s="2" t="s">
        <v>7540</v>
      </c>
      <c r="Z2085" s="4">
        <v>332</v>
      </c>
      <c r="AA2085" s="4">
        <f>=ROUNDDOWN(166,0)</f>
      </c>
      <c r="AB2085" s="5">
        <v>2</v>
      </c>
      <c r="AC2085" s="2" t="s">
        <v>235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235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235</v>
      </c>
      <c r="AW2085" s="8" t="s">
        <v>235</v>
      </c>
      <c r="AX2085" s="4" t="s">
        <v>235</v>
      </c>
      <c r="AY2085" s="8" t="s">
        <v>235</v>
      </c>
      <c r="AZ2085" s="7" t="s">
        <v>235</v>
      </c>
      <c r="BA2085" s="7" t="s">
        <v>235</v>
      </c>
      <c r="BB2085" s="7"/>
      <c r="BC2085" s="4" t="s">
        <v>235</v>
      </c>
      <c r="BD2085" s="8" t="s">
        <v>235</v>
      </c>
      <c r="BE2085" s="4" t="s">
        <v>235</v>
      </c>
      <c r="BF2085" s="8" t="s">
        <v>235</v>
      </c>
      <c r="BG2085" s="7" t="s">
        <v>235</v>
      </c>
      <c r="BH2085" s="7" t="s">
        <v>235</v>
      </c>
      <c r="BI2085" s="7"/>
      <c r="BJ2085" s="4">
        <v>3</v>
      </c>
      <c r="BK2085" s="8">
        <v>176.64</v>
      </c>
      <c r="BL2085" s="2" t="s">
        <v>7541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7542</v>
      </c>
      <c r="BV2085" s="2" t="s">
        <v>243</v>
      </c>
      <c r="BW2085" s="2" t="s">
        <v>235</v>
      </c>
      <c r="BX2085" s="2" t="s">
        <v>4145</v>
      </c>
      <c r="BY2085" s="2" t="s">
        <v>245</v>
      </c>
      <c r="BZ2085" s="2" t="s">
        <v>232</v>
      </c>
      <c r="CA2085" s="2" t="s">
        <v>3937</v>
      </c>
      <c r="CB2085" s="2" t="s">
        <v>7543</v>
      </c>
      <c r="CC2085" s="2" t="s">
        <v>248</v>
      </c>
      <c r="CD2085" s="2" t="s">
        <v>248</v>
      </c>
      <c r="CE2085" s="2" t="s">
        <v>235</v>
      </c>
      <c r="CF2085" s="4">
        <v>166</v>
      </c>
      <c r="CG2085" s="4"/>
      <c r="CH2085" s="4"/>
      <c r="CI2085" s="4">
        <v>166</v>
      </c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>
        <v>332</v>
      </c>
      <c r="GE2085" s="4">
        <v>326</v>
      </c>
      <c r="GF2085" s="4">
        <v>325</v>
      </c>
      <c r="GG2085" s="4">
        <v>324</v>
      </c>
      <c r="GH2085" s="4">
        <v>323</v>
      </c>
      <c r="GI2085" s="4">
        <v>318</v>
      </c>
      <c r="GJ2085" s="4">
        <v>313</v>
      </c>
      <c r="GK2085" s="4">
        <v>308</v>
      </c>
      <c r="GL2085" s="4">
        <v>303</v>
      </c>
      <c r="GM2085" s="4">
        <v>298</v>
      </c>
      <c r="GN2085" s="4">
        <v>294</v>
      </c>
      <c r="GO2085" s="4">
        <v>287</v>
      </c>
      <c r="GP2085" s="4">
        <v>280</v>
      </c>
      <c r="GQ2085" s="4">
        <v>264</v>
      </c>
      <c r="GR2085" s="4">
        <v>252</v>
      </c>
      <c r="GS2085" s="4">
        <v>240</v>
      </c>
      <c r="GT2085" s="4">
        <v>233</v>
      </c>
      <c r="GU2085" s="4">
        <v>228</v>
      </c>
      <c r="GV2085" s="4">
        <v>223</v>
      </c>
      <c r="GW2085" s="4">
        <v>218</v>
      </c>
      <c r="GX2085" s="4">
        <v>213</v>
      </c>
      <c r="GY2085" s="4">
        <v>208</v>
      </c>
      <c r="GZ2085" s="4">
        <v>204</v>
      </c>
      <c r="HA2085" s="4">
        <v>202</v>
      </c>
      <c r="HB2085" s="4">
        <v>200</v>
      </c>
      <c r="HC2085" s="4">
        <v>198</v>
      </c>
      <c r="HD2085" s="19">
        <v>166</v>
      </c>
      <c r="HE2085" s="19">
        <v>163</v>
      </c>
      <c r="HF2085" s="19">
        <v>108.3</v>
      </c>
      <c r="HG2085" s="19">
        <v>81</v>
      </c>
      <c r="HH2085" s="19">
        <v>64.6</v>
      </c>
      <c r="HI2085" s="19">
        <v>63.6</v>
      </c>
      <c r="HJ2085" s="19">
        <v>62.6</v>
      </c>
      <c r="HK2085" s="19">
        <v>61.6</v>
      </c>
      <c r="HL2085" s="19">
        <v>50.5</v>
      </c>
      <c r="HM2085" s="19">
        <v>37.3</v>
      </c>
      <c r="HN2085" s="19">
        <v>29.4</v>
      </c>
      <c r="HO2085" s="19">
        <v>23.9</v>
      </c>
      <c r="HP2085" s="19">
        <v>23.3</v>
      </c>
      <c r="HQ2085" s="19">
        <v>29.3</v>
      </c>
      <c r="HR2085" s="19">
        <v>36</v>
      </c>
      <c r="HS2085" s="19">
        <v>40</v>
      </c>
      <c r="HT2085" s="19">
        <v>46.6</v>
      </c>
      <c r="HU2085" s="19">
        <v>45.6</v>
      </c>
      <c r="HV2085" s="19">
        <v>44.6</v>
      </c>
      <c r="HW2085" s="19">
        <v>54.5</v>
      </c>
      <c r="HX2085" s="19">
        <v>71</v>
      </c>
      <c r="HY2085" s="19">
        <v>104</v>
      </c>
      <c r="HZ2085" s="19">
        <v>102</v>
      </c>
      <c r="IA2085" s="19">
        <v>101</v>
      </c>
      <c r="IB2085" s="19">
        <v>100</v>
      </c>
      <c r="IC2085" s="19">
        <v>99</v>
      </c>
    </row>
    <row r="2086">
      <c r="A2086" s="2" t="s">
        <v>7544</v>
      </c>
      <c r="B2086" s="2" t="s">
        <v>905</v>
      </c>
      <c r="C2086" s="2" t="s">
        <v>324</v>
      </c>
      <c r="D2086" s="2" t="s">
        <v>981</v>
      </c>
      <c r="E2086" s="2" t="s">
        <v>982</v>
      </c>
      <c r="F2086" s="2" t="s">
        <v>7217</v>
      </c>
      <c r="G2086" s="2" t="s">
        <v>7217</v>
      </c>
      <c r="H2086" s="2" t="s">
        <v>7217</v>
      </c>
      <c r="I2086" s="2" t="s">
        <v>7545</v>
      </c>
      <c r="J2086" s="2" t="s">
        <v>7546</v>
      </c>
      <c r="K2086" s="2" t="s">
        <v>7538</v>
      </c>
      <c r="L2086" s="3">
        <v>17.99</v>
      </c>
      <c r="M2086" s="3">
        <v>18.89</v>
      </c>
      <c r="N2086" s="3">
        <v>29.99</v>
      </c>
      <c r="O2086" s="2" t="s">
        <v>232</v>
      </c>
      <c r="P2086" s="2" t="s">
        <v>878</v>
      </c>
      <c r="Q2086" s="2" t="s">
        <v>234</v>
      </c>
      <c r="R2086" s="2" t="s">
        <v>235</v>
      </c>
      <c r="S2086" s="2" t="s">
        <v>235</v>
      </c>
      <c r="T2086" s="2" t="s">
        <v>235</v>
      </c>
      <c r="U2086" s="2" t="s">
        <v>807</v>
      </c>
      <c r="V2086" s="2" t="s">
        <v>1693</v>
      </c>
      <c r="W2086" s="2" t="s">
        <v>235</v>
      </c>
      <c r="X2086" s="2" t="s">
        <v>235</v>
      </c>
      <c r="Y2086" s="2" t="s">
        <v>2564</v>
      </c>
      <c r="Z2086" s="4">
        <v>87</v>
      </c>
      <c r="AA2086" s="4">
        <f>=ROUNDDOWN(43.5,0)</f>
      </c>
      <c r="AB2086" s="5">
        <v>2</v>
      </c>
      <c r="AC2086" s="2" t="s">
        <v>235</v>
      </c>
      <c r="AD2086" s="4"/>
      <c r="AE2086" s="4"/>
      <c r="AF2086" s="6">
        <v>66</v>
      </c>
      <c r="AG2086" s="6"/>
      <c r="AH2086" s="7">
        <v>1</v>
      </c>
      <c r="AI2086" s="4"/>
      <c r="AJ2086" s="4">
        <f>=ROUNDDOWN({0},0)</f>
      </c>
      <c r="AK2086" s="5"/>
      <c r="AL2086" s="2" t="s">
        <v>235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235</v>
      </c>
      <c r="AW2086" s="8" t="s">
        <v>235</v>
      </c>
      <c r="AX2086" s="4" t="s">
        <v>235</v>
      </c>
      <c r="AY2086" s="8" t="s">
        <v>235</v>
      </c>
      <c r="AZ2086" s="7" t="s">
        <v>235</v>
      </c>
      <c r="BA2086" s="7" t="s">
        <v>235</v>
      </c>
      <c r="BB2086" s="7"/>
      <c r="BC2086" s="4" t="s">
        <v>235</v>
      </c>
      <c r="BD2086" s="8" t="s">
        <v>235</v>
      </c>
      <c r="BE2086" s="4" t="s">
        <v>235</v>
      </c>
      <c r="BF2086" s="8" t="s">
        <v>235</v>
      </c>
      <c r="BG2086" s="7" t="s">
        <v>235</v>
      </c>
      <c r="BH2086" s="7" t="s">
        <v>235</v>
      </c>
      <c r="BI2086" s="7"/>
      <c r="BJ2086" s="4"/>
      <c r="BK2086" s="8"/>
      <c r="BL2086" s="2" t="s">
        <v>235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7547</v>
      </c>
      <c r="BV2086" s="2" t="s">
        <v>235</v>
      </c>
      <c r="BW2086" s="2" t="s">
        <v>235</v>
      </c>
      <c r="BX2086" s="2" t="s">
        <v>244</v>
      </c>
      <c r="BY2086" s="2" t="s">
        <v>245</v>
      </c>
      <c r="BZ2086" s="2" t="s">
        <v>232</v>
      </c>
      <c r="CA2086" s="2" t="s">
        <v>235</v>
      </c>
      <c r="CB2086" s="2" t="s">
        <v>235</v>
      </c>
      <c r="CC2086" s="2" t="s">
        <v>248</v>
      </c>
      <c r="CD2086" s="2" t="s">
        <v>248</v>
      </c>
      <c r="CE2086" s="2" t="s">
        <v>235</v>
      </c>
      <c r="CF2086" s="4"/>
      <c r="CG2086" s="4"/>
      <c r="CH2086" s="4"/>
      <c r="CI2086" s="4">
        <v>87</v>
      </c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>
        <v>87</v>
      </c>
      <c r="GE2086" s="4">
        <v>86</v>
      </c>
      <c r="GF2086" s="4">
        <v>84</v>
      </c>
      <c r="GG2086" s="4">
        <v>82</v>
      </c>
      <c r="GH2086" s="4">
        <v>80</v>
      </c>
      <c r="GI2086" s="4">
        <v>78</v>
      </c>
      <c r="GJ2086" s="4">
        <v>75</v>
      </c>
      <c r="GK2086" s="4">
        <v>72</v>
      </c>
      <c r="GL2086" s="4">
        <v>69</v>
      </c>
      <c r="GM2086" s="4">
        <v>66</v>
      </c>
      <c r="GN2086" s="4">
        <v>64</v>
      </c>
      <c r="GO2086" s="4">
        <v>62</v>
      </c>
      <c r="GP2086" s="4">
        <v>60</v>
      </c>
      <c r="GQ2086" s="4">
        <v>58</v>
      </c>
      <c r="GR2086" s="4">
        <v>56</v>
      </c>
      <c r="GS2086" s="4">
        <v>54</v>
      </c>
      <c r="GT2086" s="4">
        <v>52</v>
      </c>
      <c r="GU2086" s="4">
        <v>50</v>
      </c>
      <c r="GV2086" s="4">
        <v>48</v>
      </c>
      <c r="GW2086" s="4">
        <v>46</v>
      </c>
      <c r="GX2086" s="4">
        <v>44</v>
      </c>
      <c r="GY2086" s="4">
        <v>42</v>
      </c>
      <c r="GZ2086" s="4">
        <v>40</v>
      </c>
      <c r="HA2086" s="4">
        <v>38</v>
      </c>
      <c r="HB2086" s="4">
        <v>36</v>
      </c>
      <c r="HC2086" s="4">
        <v>34</v>
      </c>
      <c r="HD2086" s="19">
        <v>43.5</v>
      </c>
      <c r="HE2086" s="19">
        <v>43</v>
      </c>
      <c r="HF2086" s="19">
        <v>42</v>
      </c>
      <c r="HG2086" s="19">
        <v>41</v>
      </c>
      <c r="HH2086" s="19">
        <v>26.7</v>
      </c>
      <c r="HI2086" s="19">
        <v>26</v>
      </c>
      <c r="HJ2086" s="19">
        <v>25</v>
      </c>
      <c r="HK2086" s="19">
        <v>36</v>
      </c>
      <c r="HL2086" s="19">
        <v>34.5</v>
      </c>
      <c r="HM2086" s="19">
        <v>33</v>
      </c>
      <c r="HN2086" s="19">
        <v>32</v>
      </c>
      <c r="HO2086" s="19">
        <v>31</v>
      </c>
      <c r="HP2086" s="19">
        <v>30</v>
      </c>
      <c r="HQ2086" s="19">
        <v>29</v>
      </c>
      <c r="HR2086" s="19">
        <v>28</v>
      </c>
      <c r="HS2086" s="19">
        <v>27</v>
      </c>
      <c r="HT2086" s="19">
        <v>26</v>
      </c>
      <c r="HU2086" s="19">
        <v>25</v>
      </c>
      <c r="HV2086" s="19">
        <v>24</v>
      </c>
      <c r="HW2086" s="19">
        <v>23</v>
      </c>
      <c r="HX2086" s="19">
        <v>22</v>
      </c>
      <c r="HY2086" s="19">
        <v>21</v>
      </c>
      <c r="HZ2086" s="9"/>
      <c r="IA2086" s="19">
        <v>19</v>
      </c>
      <c r="IB2086" s="19">
        <v>18</v>
      </c>
      <c r="IC2086" s="19">
        <v>11.3</v>
      </c>
    </row>
    <row r="2087">
      <c r="A2087" s="2" t="s">
        <v>7548</v>
      </c>
      <c r="B2087" s="2" t="s">
        <v>905</v>
      </c>
      <c r="C2087" s="2" t="s">
        <v>324</v>
      </c>
      <c r="D2087" s="2" t="s">
        <v>981</v>
      </c>
      <c r="E2087" s="2" t="s">
        <v>982</v>
      </c>
      <c r="F2087" s="2" t="s">
        <v>7217</v>
      </c>
      <c r="G2087" s="2" t="s">
        <v>7217</v>
      </c>
      <c r="H2087" s="2" t="s">
        <v>7217</v>
      </c>
      <c r="I2087" s="2" t="s">
        <v>7545</v>
      </c>
      <c r="J2087" s="2" t="s">
        <v>7549</v>
      </c>
      <c r="K2087" s="2" t="s">
        <v>7538</v>
      </c>
      <c r="L2087" s="3">
        <v>23.99</v>
      </c>
      <c r="M2087" s="3">
        <v>25.19</v>
      </c>
      <c r="N2087" s="3">
        <v>39.99</v>
      </c>
      <c r="O2087" s="2" t="s">
        <v>232</v>
      </c>
      <c r="P2087" s="2" t="s">
        <v>878</v>
      </c>
      <c r="Q2087" s="2" t="s">
        <v>234</v>
      </c>
      <c r="R2087" s="2" t="s">
        <v>235</v>
      </c>
      <c r="S2087" s="2" t="s">
        <v>235</v>
      </c>
      <c r="T2087" s="2" t="s">
        <v>235</v>
      </c>
      <c r="U2087" s="2" t="s">
        <v>807</v>
      </c>
      <c r="V2087" s="2" t="s">
        <v>1693</v>
      </c>
      <c r="W2087" s="2" t="s">
        <v>235</v>
      </c>
      <c r="X2087" s="2" t="s">
        <v>235</v>
      </c>
      <c r="Y2087" s="2" t="s">
        <v>2564</v>
      </c>
      <c r="Z2087" s="4">
        <v>196</v>
      </c>
      <c r="AA2087" s="4">
        <f>=ROUNDDOWN(163.333333333333,0)</f>
      </c>
      <c r="AB2087" s="5">
        <v>1.2</v>
      </c>
      <c r="AC2087" s="2" t="s">
        <v>235</v>
      </c>
      <c r="AD2087" s="4"/>
      <c r="AE2087" s="4"/>
      <c r="AF2087" s="6">
        <v>66</v>
      </c>
      <c r="AG2087" s="6"/>
      <c r="AH2087" s="7">
        <v>1</v>
      </c>
      <c r="AI2087" s="4"/>
      <c r="AJ2087" s="4">
        <f>=ROUNDDOWN({0},0)</f>
      </c>
      <c r="AK2087" s="5"/>
      <c r="AL2087" s="2" t="s">
        <v>235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235</v>
      </c>
      <c r="AW2087" s="8" t="s">
        <v>235</v>
      </c>
      <c r="AX2087" s="4" t="s">
        <v>235</v>
      </c>
      <c r="AY2087" s="8" t="s">
        <v>235</v>
      </c>
      <c r="AZ2087" s="7" t="s">
        <v>235</v>
      </c>
      <c r="BA2087" s="7" t="s">
        <v>235</v>
      </c>
      <c r="BB2087" s="7"/>
      <c r="BC2087" s="4" t="s">
        <v>235</v>
      </c>
      <c r="BD2087" s="8" t="s">
        <v>235</v>
      </c>
      <c r="BE2087" s="4" t="s">
        <v>235</v>
      </c>
      <c r="BF2087" s="8" t="s">
        <v>235</v>
      </c>
      <c r="BG2087" s="7" t="s">
        <v>235</v>
      </c>
      <c r="BH2087" s="7" t="s">
        <v>235</v>
      </c>
      <c r="BI2087" s="7"/>
      <c r="BJ2087" s="4"/>
      <c r="BK2087" s="8"/>
      <c r="BL2087" s="2" t="s">
        <v>235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7547</v>
      </c>
      <c r="BV2087" s="2" t="s">
        <v>235</v>
      </c>
      <c r="BW2087" s="2" t="s">
        <v>235</v>
      </c>
      <c r="BX2087" s="2" t="s">
        <v>244</v>
      </c>
      <c r="BY2087" s="2" t="s">
        <v>245</v>
      </c>
      <c r="BZ2087" s="2" t="s">
        <v>232</v>
      </c>
      <c r="CA2087" s="2" t="s">
        <v>235</v>
      </c>
      <c r="CB2087" s="2" t="s">
        <v>235</v>
      </c>
      <c r="CC2087" s="2" t="s">
        <v>248</v>
      </c>
      <c r="CD2087" s="2" t="s">
        <v>248</v>
      </c>
      <c r="CE2087" s="2" t="s">
        <v>235</v>
      </c>
      <c r="CF2087" s="4"/>
      <c r="CG2087" s="4"/>
      <c r="CH2087" s="4"/>
      <c r="CI2087" s="4">
        <v>196</v>
      </c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>
        <v>196</v>
      </c>
      <c r="GE2087" s="4">
        <v>196</v>
      </c>
      <c r="GF2087" s="4">
        <v>196</v>
      </c>
      <c r="GG2087" s="4">
        <v>196</v>
      </c>
      <c r="GH2087" s="4">
        <v>195</v>
      </c>
      <c r="GI2087" s="4">
        <v>194</v>
      </c>
      <c r="GJ2087" s="4">
        <v>192</v>
      </c>
      <c r="GK2087" s="4">
        <v>191</v>
      </c>
      <c r="GL2087" s="4">
        <v>189</v>
      </c>
      <c r="GM2087" s="4">
        <v>188</v>
      </c>
      <c r="GN2087" s="4">
        <v>187</v>
      </c>
      <c r="GO2087" s="4">
        <v>186</v>
      </c>
      <c r="GP2087" s="4">
        <v>185</v>
      </c>
      <c r="GQ2087" s="4">
        <v>184</v>
      </c>
      <c r="GR2087" s="4">
        <v>183</v>
      </c>
      <c r="GS2087" s="4">
        <v>182</v>
      </c>
      <c r="GT2087" s="4">
        <v>181</v>
      </c>
      <c r="GU2087" s="4">
        <v>180</v>
      </c>
      <c r="GV2087" s="4">
        <v>179</v>
      </c>
      <c r="GW2087" s="4">
        <v>178</v>
      </c>
      <c r="GX2087" s="4">
        <v>177</v>
      </c>
      <c r="GY2087" s="4">
        <v>176</v>
      </c>
      <c r="GZ2087" s="4">
        <v>175</v>
      </c>
      <c r="HA2087" s="4">
        <v>174</v>
      </c>
      <c r="HB2087" s="4">
        <v>173</v>
      </c>
      <c r="HC2087" s="4">
        <v>172</v>
      </c>
      <c r="HD2087" s="9"/>
      <c r="HE2087" s="9"/>
      <c r="HF2087" s="19">
        <v>196</v>
      </c>
      <c r="HG2087" s="19">
        <v>196</v>
      </c>
      <c r="HH2087" s="19">
        <v>97.5</v>
      </c>
      <c r="HI2087" s="19">
        <v>97</v>
      </c>
      <c r="HJ2087" s="19">
        <v>192</v>
      </c>
      <c r="HK2087" s="19">
        <v>191</v>
      </c>
      <c r="HL2087" s="19">
        <v>189</v>
      </c>
      <c r="HM2087" s="19">
        <v>188</v>
      </c>
      <c r="HN2087" s="19">
        <v>187</v>
      </c>
      <c r="HO2087" s="19">
        <v>186</v>
      </c>
      <c r="HP2087" s="19">
        <v>185</v>
      </c>
      <c r="HQ2087" s="19">
        <v>184</v>
      </c>
      <c r="HR2087" s="19">
        <v>183</v>
      </c>
      <c r="HS2087" s="19">
        <v>182</v>
      </c>
      <c r="HT2087" s="19">
        <v>181</v>
      </c>
      <c r="HU2087" s="19">
        <v>180</v>
      </c>
      <c r="HV2087" s="19">
        <v>179</v>
      </c>
      <c r="HW2087" s="19">
        <v>178</v>
      </c>
      <c r="HX2087" s="19">
        <v>177</v>
      </c>
      <c r="HY2087" s="19">
        <v>176</v>
      </c>
      <c r="HZ2087" s="19">
        <v>175</v>
      </c>
      <c r="IA2087" s="19">
        <v>174</v>
      </c>
      <c r="IB2087" s="19">
        <v>86.5</v>
      </c>
      <c r="IC2087" s="19">
        <v>86</v>
      </c>
    </row>
    <row r="2088">
      <c r="A2088" s="2" t="s">
        <v>7550</v>
      </c>
      <c r="B2088" s="2" t="s">
        <v>905</v>
      </c>
      <c r="C2088" s="2" t="s">
        <v>324</v>
      </c>
      <c r="D2088" s="2" t="s">
        <v>990</v>
      </c>
      <c r="E2088" s="2" t="s">
        <v>991</v>
      </c>
      <c r="F2088" s="2" t="s">
        <v>7217</v>
      </c>
      <c r="G2088" s="2" t="s">
        <v>7217</v>
      </c>
      <c r="H2088" s="2" t="s">
        <v>7217</v>
      </c>
      <c r="I2088" s="2" t="s">
        <v>7377</v>
      </c>
      <c r="J2088" s="2" t="s">
        <v>993</v>
      </c>
      <c r="K2088" s="2" t="s">
        <v>7538</v>
      </c>
      <c r="L2088" s="3">
        <v>11.99</v>
      </c>
      <c r="M2088" s="3">
        <v>12.59</v>
      </c>
      <c r="N2088" s="3">
        <v>19.99</v>
      </c>
      <c r="O2088" s="2" t="s">
        <v>232</v>
      </c>
      <c r="P2088" s="2" t="s">
        <v>878</v>
      </c>
      <c r="Q2088" s="2" t="s">
        <v>234</v>
      </c>
      <c r="R2088" s="2" t="s">
        <v>235</v>
      </c>
      <c r="S2088" s="2" t="s">
        <v>235</v>
      </c>
      <c r="T2088" s="2" t="s">
        <v>235</v>
      </c>
      <c r="U2088" s="2" t="s">
        <v>807</v>
      </c>
      <c r="V2088" s="2" t="s">
        <v>1693</v>
      </c>
      <c r="W2088" s="2" t="s">
        <v>235</v>
      </c>
      <c r="X2088" s="2" t="s">
        <v>235</v>
      </c>
      <c r="Y2088" s="2" t="s">
        <v>1207</v>
      </c>
      <c r="Z2088" s="4">
        <v>402</v>
      </c>
      <c r="AA2088" s="4">
        <f>=ROUNDDOWN(201,0)</f>
      </c>
      <c r="AB2088" s="5">
        <v>2</v>
      </c>
      <c r="AC2088" s="2" t="s">
        <v>235</v>
      </c>
      <c r="AD2088" s="4"/>
      <c r="AE2088" s="4"/>
      <c r="AF2088" s="6">
        <v>64</v>
      </c>
      <c r="AG2088" s="6"/>
      <c r="AH2088" s="7">
        <v>1</v>
      </c>
      <c r="AI2088" s="4"/>
      <c r="AJ2088" s="4">
        <f>=ROUNDDOWN({0},0)</f>
      </c>
      <c r="AK2088" s="5"/>
      <c r="AL2088" s="2" t="s">
        <v>235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235</v>
      </c>
      <c r="AW2088" s="8" t="s">
        <v>235</v>
      </c>
      <c r="AX2088" s="4" t="s">
        <v>235</v>
      </c>
      <c r="AY2088" s="8" t="s">
        <v>235</v>
      </c>
      <c r="AZ2088" s="7" t="s">
        <v>235</v>
      </c>
      <c r="BA2088" s="7" t="s">
        <v>235</v>
      </c>
      <c r="BB2088" s="7"/>
      <c r="BC2088" s="4" t="s">
        <v>235</v>
      </c>
      <c r="BD2088" s="8" t="s">
        <v>235</v>
      </c>
      <c r="BE2088" s="4" t="s">
        <v>235</v>
      </c>
      <c r="BF2088" s="8" t="s">
        <v>235</v>
      </c>
      <c r="BG2088" s="7" t="s">
        <v>235</v>
      </c>
      <c r="BH2088" s="7" t="s">
        <v>235</v>
      </c>
      <c r="BI2088" s="7"/>
      <c r="BJ2088" s="4"/>
      <c r="BK2088" s="8"/>
      <c r="BL2088" s="2" t="s">
        <v>235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7528</v>
      </c>
      <c r="BV2088" s="2" t="s">
        <v>235</v>
      </c>
      <c r="BW2088" s="2" t="s">
        <v>235</v>
      </c>
      <c r="BX2088" s="2" t="s">
        <v>244</v>
      </c>
      <c r="BY2088" s="2" t="s">
        <v>245</v>
      </c>
      <c r="BZ2088" s="2" t="s">
        <v>232</v>
      </c>
      <c r="CA2088" s="2" t="s">
        <v>235</v>
      </c>
      <c r="CB2088" s="2" t="s">
        <v>7551</v>
      </c>
      <c r="CC2088" s="2" t="s">
        <v>248</v>
      </c>
      <c r="CD2088" s="2" t="s">
        <v>248</v>
      </c>
      <c r="CE2088" s="2" t="s">
        <v>235</v>
      </c>
      <c r="CF2088" s="4"/>
      <c r="CG2088" s="4"/>
      <c r="CH2088" s="4"/>
      <c r="CI2088" s="4">
        <v>402</v>
      </c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>
        <v>402</v>
      </c>
      <c r="GE2088" s="4">
        <v>402</v>
      </c>
      <c r="GF2088" s="4">
        <v>402</v>
      </c>
      <c r="GG2088" s="4">
        <v>402</v>
      </c>
      <c r="GH2088" s="4">
        <v>402</v>
      </c>
      <c r="GI2088" s="4">
        <v>402</v>
      </c>
      <c r="GJ2088" s="4">
        <v>402</v>
      </c>
      <c r="GK2088" s="4">
        <v>401</v>
      </c>
      <c r="GL2088" s="4">
        <v>398</v>
      </c>
      <c r="GM2088" s="4">
        <v>395</v>
      </c>
      <c r="GN2088" s="4">
        <v>393</v>
      </c>
      <c r="GO2088" s="4">
        <v>391</v>
      </c>
      <c r="GP2088" s="4">
        <v>389</v>
      </c>
      <c r="GQ2088" s="4">
        <v>387</v>
      </c>
      <c r="GR2088" s="4">
        <v>385</v>
      </c>
      <c r="GS2088" s="4">
        <v>383</v>
      </c>
      <c r="GT2088" s="4">
        <v>381</v>
      </c>
      <c r="GU2088" s="4">
        <v>379</v>
      </c>
      <c r="GV2088" s="4">
        <v>377</v>
      </c>
      <c r="GW2088" s="4">
        <v>375</v>
      </c>
      <c r="GX2088" s="4">
        <v>373</v>
      </c>
      <c r="GY2088" s="4">
        <v>371</v>
      </c>
      <c r="GZ2088" s="4">
        <v>369</v>
      </c>
      <c r="HA2088" s="4">
        <v>367</v>
      </c>
      <c r="HB2088" s="4">
        <v>365</v>
      </c>
      <c r="HC2088" s="4">
        <v>363</v>
      </c>
      <c r="HD2088" s="9"/>
      <c r="HE2088" s="9"/>
      <c r="HF2088" s="9"/>
      <c r="HG2088" s="9"/>
      <c r="HH2088" s="19">
        <v>402</v>
      </c>
      <c r="HI2088" s="19">
        <v>201</v>
      </c>
      <c r="HJ2088" s="19">
        <v>201</v>
      </c>
      <c r="HK2088" s="19">
        <v>200.5</v>
      </c>
      <c r="HL2088" s="19">
        <v>199</v>
      </c>
      <c r="HM2088" s="19">
        <v>197.5</v>
      </c>
      <c r="HN2088" s="19">
        <v>196.5</v>
      </c>
      <c r="HO2088" s="19">
        <v>195.5</v>
      </c>
      <c r="HP2088" s="19">
        <v>194.5</v>
      </c>
      <c r="HQ2088" s="19">
        <v>193.5</v>
      </c>
      <c r="HR2088" s="19">
        <v>192.5</v>
      </c>
      <c r="HS2088" s="19">
        <v>191.5</v>
      </c>
      <c r="HT2088" s="19">
        <v>190.5</v>
      </c>
      <c r="HU2088" s="19">
        <v>189.5</v>
      </c>
      <c r="HV2088" s="19">
        <v>188.5</v>
      </c>
      <c r="HW2088" s="19">
        <v>187.5</v>
      </c>
      <c r="HX2088" s="19">
        <v>186.5</v>
      </c>
      <c r="HY2088" s="19">
        <v>185.5</v>
      </c>
      <c r="HZ2088" s="19">
        <v>184.5</v>
      </c>
      <c r="IA2088" s="19">
        <v>183.5</v>
      </c>
      <c r="IB2088" s="19">
        <v>182.5</v>
      </c>
      <c r="IC2088" s="19">
        <v>121</v>
      </c>
    </row>
    <row r="2089">
      <c r="A2089" s="2" t="s">
        <v>7552</v>
      </c>
      <c r="B2089" s="2" t="s">
        <v>905</v>
      </c>
      <c r="C2089" s="2" t="s">
        <v>324</v>
      </c>
      <c r="D2089" s="2" t="s">
        <v>990</v>
      </c>
      <c r="E2089" s="2" t="s">
        <v>991</v>
      </c>
      <c r="F2089" s="2" t="s">
        <v>7217</v>
      </c>
      <c r="G2089" s="2" t="s">
        <v>7524</v>
      </c>
      <c r="H2089" s="2" t="s">
        <v>7524</v>
      </c>
      <c r="I2089" s="2" t="s">
        <v>6845</v>
      </c>
      <c r="J2089" s="2" t="s">
        <v>3871</v>
      </c>
      <c r="K2089" s="2" t="s">
        <v>7538</v>
      </c>
      <c r="L2089" s="3">
        <v>17.58</v>
      </c>
      <c r="M2089" s="3">
        <v>18.46</v>
      </c>
      <c r="N2089" s="3">
        <v>39.99</v>
      </c>
      <c r="O2089" s="2" t="s">
        <v>232</v>
      </c>
      <c r="P2089" s="2" t="s">
        <v>233</v>
      </c>
      <c r="Q2089" s="2" t="s">
        <v>234</v>
      </c>
      <c r="R2089" s="2" t="s">
        <v>235</v>
      </c>
      <c r="S2089" s="2" t="s">
        <v>7553</v>
      </c>
      <c r="T2089" s="2" t="s">
        <v>912</v>
      </c>
      <c r="U2089" s="2" t="s">
        <v>807</v>
      </c>
      <c r="V2089" s="2" t="s">
        <v>420</v>
      </c>
      <c r="W2089" s="2" t="s">
        <v>329</v>
      </c>
      <c r="X2089" s="2" t="s">
        <v>235</v>
      </c>
      <c r="Y2089" s="2" t="s">
        <v>7554</v>
      </c>
      <c r="Z2089" s="4">
        <v>1498</v>
      </c>
      <c r="AA2089" s="4">
        <f>=ROUNDDOWN(156.041666666667,0)</f>
      </c>
      <c r="AB2089" s="5">
        <v>9.6</v>
      </c>
      <c r="AC2089" s="2" t="s">
        <v>235</v>
      </c>
      <c r="AD2089" s="4"/>
      <c r="AE2089" s="4"/>
      <c r="AF2089" s="6">
        <v>64</v>
      </c>
      <c r="AG2089" s="6"/>
      <c r="AH2089" s="7">
        <v>1</v>
      </c>
      <c r="AI2089" s="4"/>
      <c r="AJ2089" s="4">
        <f>=ROUNDDOWN({0},0)</f>
      </c>
      <c r="AK2089" s="5"/>
      <c r="AL2089" s="2" t="s">
        <v>235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235</v>
      </c>
      <c r="AW2089" s="8" t="s">
        <v>235</v>
      </c>
      <c r="AX2089" s="4" t="s">
        <v>235</v>
      </c>
      <c r="AY2089" s="8" t="s">
        <v>235</v>
      </c>
      <c r="AZ2089" s="7" t="s">
        <v>235</v>
      </c>
      <c r="BA2089" s="7" t="s">
        <v>235</v>
      </c>
      <c r="BB2089" s="7"/>
      <c r="BC2089" s="4" t="s">
        <v>235</v>
      </c>
      <c r="BD2089" s="8" t="s">
        <v>235</v>
      </c>
      <c r="BE2089" s="4" t="s">
        <v>235</v>
      </c>
      <c r="BF2089" s="8" t="s">
        <v>235</v>
      </c>
      <c r="BG2089" s="7" t="s">
        <v>235</v>
      </c>
      <c r="BH2089" s="7" t="s">
        <v>235</v>
      </c>
      <c r="BI2089" s="7"/>
      <c r="BJ2089" s="4">
        <v>27</v>
      </c>
      <c r="BK2089" s="8">
        <v>531.11</v>
      </c>
      <c r="BL2089" s="2" t="s">
        <v>7555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7528</v>
      </c>
      <c r="BV2089" s="2" t="s">
        <v>243</v>
      </c>
      <c r="BW2089" s="2" t="s">
        <v>235</v>
      </c>
      <c r="BX2089" s="2" t="s">
        <v>244</v>
      </c>
      <c r="BY2089" s="2" t="s">
        <v>245</v>
      </c>
      <c r="BZ2089" s="2" t="s">
        <v>232</v>
      </c>
      <c r="CA2089" s="2" t="s">
        <v>7556</v>
      </c>
      <c r="CB2089" s="2" t="s">
        <v>7557</v>
      </c>
      <c r="CC2089" s="2" t="s">
        <v>248</v>
      </c>
      <c r="CD2089" s="2" t="s">
        <v>248</v>
      </c>
      <c r="CE2089" s="2" t="s">
        <v>235</v>
      </c>
      <c r="CF2089" s="4"/>
      <c r="CG2089" s="4">
        <v>1148</v>
      </c>
      <c r="CH2089" s="4"/>
      <c r="CI2089" s="4">
        <v>350</v>
      </c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>
        <v>1604</v>
      </c>
      <c r="GE2089" s="4">
        <v>1584</v>
      </c>
      <c r="GF2089" s="4">
        <v>1569</v>
      </c>
      <c r="GG2089" s="4">
        <v>1554</v>
      </c>
      <c r="GH2089" s="4">
        <v>1539</v>
      </c>
      <c r="GI2089" s="4">
        <v>1492</v>
      </c>
      <c r="GJ2089" s="4">
        <v>1443</v>
      </c>
      <c r="GK2089" s="4">
        <v>1397</v>
      </c>
      <c r="GL2089" s="4">
        <v>1350</v>
      </c>
      <c r="GM2089" s="4">
        <v>1305</v>
      </c>
      <c r="GN2089" s="4">
        <v>1244</v>
      </c>
      <c r="GO2089" s="4">
        <v>1047</v>
      </c>
      <c r="GP2089" s="4">
        <v>823</v>
      </c>
      <c r="GQ2089" s="4">
        <v>293</v>
      </c>
      <c r="GR2089" s="4">
        <v>142</v>
      </c>
      <c r="GS2089" s="4"/>
      <c r="GT2089" s="4"/>
      <c r="GU2089" s="4"/>
      <c r="GV2089" s="4">
        <v>814</v>
      </c>
      <c r="GW2089" s="4">
        <v>776</v>
      </c>
      <c r="GX2089" s="4">
        <v>746</v>
      </c>
      <c r="GY2089" s="4">
        <v>716</v>
      </c>
      <c r="GZ2089" s="4">
        <v>700</v>
      </c>
      <c r="HA2089" s="4">
        <v>691</v>
      </c>
      <c r="HB2089" s="4">
        <v>682</v>
      </c>
      <c r="HC2089" s="4">
        <v>672</v>
      </c>
      <c r="HD2089" s="19">
        <v>100.3</v>
      </c>
      <c r="HE2089" s="19">
        <v>68.9</v>
      </c>
      <c r="HF2089" s="19">
        <v>49</v>
      </c>
      <c r="HG2089" s="19">
        <v>39.8</v>
      </c>
      <c r="HH2089" s="19">
        <v>32.7</v>
      </c>
      <c r="HI2089" s="19">
        <v>31.7</v>
      </c>
      <c r="HJ2089" s="19">
        <v>28.9</v>
      </c>
      <c r="HK2089" s="19">
        <v>15.9</v>
      </c>
      <c r="HL2089" s="19">
        <v>10.2</v>
      </c>
      <c r="HM2089" s="19">
        <v>5.2</v>
      </c>
      <c r="HN2089" s="19">
        <v>4.5</v>
      </c>
      <c r="HO2089" s="19">
        <v>3.8</v>
      </c>
      <c r="HP2089" s="19">
        <v>3.2</v>
      </c>
      <c r="HQ2089" s="19">
        <v>2.2</v>
      </c>
      <c r="HR2089" s="19">
        <v>1.4</v>
      </c>
      <c r="HS2089" s="20">
        <v>0</v>
      </c>
      <c r="HT2089" s="20">
        <v>0</v>
      </c>
      <c r="HU2089" s="20">
        <v>0</v>
      </c>
      <c r="HV2089" s="19">
        <v>29.1</v>
      </c>
      <c r="HW2089" s="19">
        <v>37</v>
      </c>
      <c r="HX2089" s="19">
        <v>46.6</v>
      </c>
      <c r="HY2089" s="19">
        <v>65.1</v>
      </c>
      <c r="HZ2089" s="19">
        <v>77.8</v>
      </c>
      <c r="IA2089" s="19">
        <v>76.8</v>
      </c>
      <c r="IB2089" s="19">
        <v>75.8</v>
      </c>
      <c r="IC2089" s="19">
        <v>74.7</v>
      </c>
    </row>
    <row r="2090">
      <c r="A2090" s="2" t="s">
        <v>7558</v>
      </c>
      <c r="B2090" s="2" t="s">
        <v>905</v>
      </c>
      <c r="C2090" s="2" t="s">
        <v>324</v>
      </c>
      <c r="D2090" s="2" t="s">
        <v>981</v>
      </c>
      <c r="E2090" s="2" t="s">
        <v>982</v>
      </c>
      <c r="F2090" s="2" t="s">
        <v>7217</v>
      </c>
      <c r="G2090" s="2" t="s">
        <v>7217</v>
      </c>
      <c r="H2090" s="2" t="s">
        <v>7217</v>
      </c>
      <c r="I2090" s="2" t="s">
        <v>7545</v>
      </c>
      <c r="J2090" s="2" t="s">
        <v>7559</v>
      </c>
      <c r="K2090" s="2" t="s">
        <v>7538</v>
      </c>
      <c r="L2090" s="3">
        <v>20.99</v>
      </c>
      <c r="M2090" s="3">
        <v>22.04</v>
      </c>
      <c r="N2090" s="3">
        <v>34.99</v>
      </c>
      <c r="O2090" s="2" t="s">
        <v>232</v>
      </c>
      <c r="P2090" s="2" t="s">
        <v>878</v>
      </c>
      <c r="Q2090" s="2" t="s">
        <v>234</v>
      </c>
      <c r="R2090" s="2" t="s">
        <v>235</v>
      </c>
      <c r="S2090" s="2" t="s">
        <v>235</v>
      </c>
      <c r="T2090" s="2" t="s">
        <v>235</v>
      </c>
      <c r="U2090" s="2" t="s">
        <v>807</v>
      </c>
      <c r="V2090" s="2" t="s">
        <v>1693</v>
      </c>
      <c r="W2090" s="2" t="s">
        <v>235</v>
      </c>
      <c r="X2090" s="2" t="s">
        <v>235</v>
      </c>
      <c r="Y2090" s="2" t="s">
        <v>2564</v>
      </c>
      <c r="Z2090" s="4">
        <v>259</v>
      </c>
      <c r="AA2090" s="4">
        <f>=ROUNDDOWN(129.5,0)</f>
      </c>
      <c r="AB2090" s="5">
        <v>2</v>
      </c>
      <c r="AC2090" s="2" t="s">
        <v>235</v>
      </c>
      <c r="AD2090" s="4"/>
      <c r="AE2090" s="4"/>
      <c r="AF2090" s="6">
        <v>66</v>
      </c>
      <c r="AG2090" s="6"/>
      <c r="AH2090" s="7">
        <v>1</v>
      </c>
      <c r="AI2090" s="4"/>
      <c r="AJ2090" s="4">
        <f>=ROUNDDOWN({0},0)</f>
      </c>
      <c r="AK2090" s="5"/>
      <c r="AL2090" s="2" t="s">
        <v>235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235</v>
      </c>
      <c r="AW2090" s="8" t="s">
        <v>235</v>
      </c>
      <c r="AX2090" s="4" t="s">
        <v>235</v>
      </c>
      <c r="AY2090" s="8" t="s">
        <v>235</v>
      </c>
      <c r="AZ2090" s="7" t="s">
        <v>235</v>
      </c>
      <c r="BA2090" s="7" t="s">
        <v>235</v>
      </c>
      <c r="BB2090" s="7"/>
      <c r="BC2090" s="4" t="s">
        <v>235</v>
      </c>
      <c r="BD2090" s="8" t="s">
        <v>235</v>
      </c>
      <c r="BE2090" s="4" t="s">
        <v>235</v>
      </c>
      <c r="BF2090" s="8" t="s">
        <v>235</v>
      </c>
      <c r="BG2090" s="7" t="s">
        <v>235</v>
      </c>
      <c r="BH2090" s="7" t="s">
        <v>235</v>
      </c>
      <c r="BI2090" s="7"/>
      <c r="BJ2090" s="4">
        <v>1</v>
      </c>
      <c r="BK2090" s="8">
        <v>33.9</v>
      </c>
      <c r="BL2090" s="2" t="s">
        <v>900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7547</v>
      </c>
      <c r="BV2090" s="2" t="s">
        <v>235</v>
      </c>
      <c r="BW2090" s="2" t="s">
        <v>235</v>
      </c>
      <c r="BX2090" s="2" t="s">
        <v>244</v>
      </c>
      <c r="BY2090" s="2" t="s">
        <v>245</v>
      </c>
      <c r="BZ2090" s="2" t="s">
        <v>232</v>
      </c>
      <c r="CA2090" s="2" t="s">
        <v>235</v>
      </c>
      <c r="CB2090" s="2" t="s">
        <v>235</v>
      </c>
      <c r="CC2090" s="2" t="s">
        <v>248</v>
      </c>
      <c r="CD2090" s="2" t="s">
        <v>248</v>
      </c>
      <c r="CE2090" s="2" t="s">
        <v>235</v>
      </c>
      <c r="CF2090" s="4"/>
      <c r="CG2090" s="4"/>
      <c r="CH2090" s="4"/>
      <c r="CI2090" s="4">
        <v>259</v>
      </c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>
        <v>259</v>
      </c>
      <c r="GE2090" s="4">
        <v>246</v>
      </c>
      <c r="GF2090" s="4">
        <v>244</v>
      </c>
      <c r="GG2090" s="4">
        <v>242</v>
      </c>
      <c r="GH2090" s="4">
        <v>240</v>
      </c>
      <c r="GI2090" s="4">
        <v>238</v>
      </c>
      <c r="GJ2090" s="4">
        <v>235</v>
      </c>
      <c r="GK2090" s="4">
        <v>232</v>
      </c>
      <c r="GL2090" s="4">
        <v>229</v>
      </c>
      <c r="GM2090" s="4">
        <v>226</v>
      </c>
      <c r="GN2090" s="4">
        <v>224</v>
      </c>
      <c r="GO2090" s="4">
        <v>222</v>
      </c>
      <c r="GP2090" s="4">
        <v>220</v>
      </c>
      <c r="GQ2090" s="4">
        <v>218</v>
      </c>
      <c r="GR2090" s="4">
        <v>216</v>
      </c>
      <c r="GS2090" s="4">
        <v>214</v>
      </c>
      <c r="GT2090" s="4">
        <v>212</v>
      </c>
      <c r="GU2090" s="4">
        <v>210</v>
      </c>
      <c r="GV2090" s="4">
        <v>208</v>
      </c>
      <c r="GW2090" s="4">
        <v>206</v>
      </c>
      <c r="GX2090" s="4">
        <v>204</v>
      </c>
      <c r="GY2090" s="4">
        <v>202</v>
      </c>
      <c r="GZ2090" s="4">
        <v>200</v>
      </c>
      <c r="HA2090" s="4">
        <v>198</v>
      </c>
      <c r="HB2090" s="4">
        <v>196</v>
      </c>
      <c r="HC2090" s="4">
        <v>194</v>
      </c>
      <c r="HD2090" s="19">
        <v>51.8</v>
      </c>
      <c r="HE2090" s="19">
        <v>123</v>
      </c>
      <c r="HF2090" s="19">
        <v>122</v>
      </c>
      <c r="HG2090" s="19">
        <v>121</v>
      </c>
      <c r="HH2090" s="19">
        <v>80</v>
      </c>
      <c r="HI2090" s="19">
        <v>79.3</v>
      </c>
      <c r="HJ2090" s="19">
        <v>78.3</v>
      </c>
      <c r="HK2090" s="19">
        <v>116</v>
      </c>
      <c r="HL2090" s="19">
        <v>114.5</v>
      </c>
      <c r="HM2090" s="19">
        <v>113</v>
      </c>
      <c r="HN2090" s="19">
        <v>112</v>
      </c>
      <c r="HO2090" s="19">
        <v>111</v>
      </c>
      <c r="HP2090" s="19">
        <v>110</v>
      </c>
      <c r="HQ2090" s="19">
        <v>109</v>
      </c>
      <c r="HR2090" s="19">
        <v>108</v>
      </c>
      <c r="HS2090" s="19">
        <v>107</v>
      </c>
      <c r="HT2090" s="19">
        <v>106</v>
      </c>
      <c r="HU2090" s="19">
        <v>105</v>
      </c>
      <c r="HV2090" s="19">
        <v>104</v>
      </c>
      <c r="HW2090" s="19">
        <v>103</v>
      </c>
      <c r="HX2090" s="19">
        <v>102</v>
      </c>
      <c r="HY2090" s="19">
        <v>101</v>
      </c>
      <c r="HZ2090" s="19">
        <v>100</v>
      </c>
      <c r="IA2090" s="19">
        <v>99</v>
      </c>
      <c r="IB2090" s="19">
        <v>98</v>
      </c>
      <c r="IC2090" s="19">
        <v>64.7</v>
      </c>
    </row>
    <row r="2091">
      <c r="A2091" s="2" t="s">
        <v>7560</v>
      </c>
      <c r="B2091" s="2" t="s">
        <v>905</v>
      </c>
      <c r="C2091" s="2" t="s">
        <v>324</v>
      </c>
      <c r="D2091" s="2" t="s">
        <v>361</v>
      </c>
      <c r="E2091" s="2" t="s">
        <v>872</v>
      </c>
      <c r="F2091" s="2" t="s">
        <v>7217</v>
      </c>
      <c r="G2091" s="2" t="s">
        <v>7524</v>
      </c>
      <c r="H2091" s="2" t="s">
        <v>7524</v>
      </c>
      <c r="I2091" s="2" t="s">
        <v>7537</v>
      </c>
      <c r="J2091" s="2" t="s">
        <v>365</v>
      </c>
      <c r="K2091" s="2" t="s">
        <v>1196</v>
      </c>
      <c r="L2091" s="3">
        <v>54.24</v>
      </c>
      <c r="M2091" s="3">
        <v>56.95</v>
      </c>
      <c r="N2091" s="3">
        <v>124.99</v>
      </c>
      <c r="O2091" s="2" t="s">
        <v>232</v>
      </c>
      <c r="P2091" s="2" t="s">
        <v>233</v>
      </c>
      <c r="Q2091" s="2" t="s">
        <v>234</v>
      </c>
      <c r="R2091" s="2" t="s">
        <v>235</v>
      </c>
      <c r="S2091" s="2" t="s">
        <v>7561</v>
      </c>
      <c r="T2091" s="2" t="s">
        <v>912</v>
      </c>
      <c r="U2091" s="2" t="s">
        <v>235</v>
      </c>
      <c r="V2091" s="2" t="s">
        <v>1693</v>
      </c>
      <c r="W2091" s="2" t="s">
        <v>329</v>
      </c>
      <c r="X2091" s="2" t="s">
        <v>4051</v>
      </c>
      <c r="Y2091" s="2" t="s">
        <v>240</v>
      </c>
      <c r="Z2091" s="4">
        <v>400</v>
      </c>
      <c r="AA2091" s="4">
        <f>=ROUNDDOWN(133.333333333333,0)</f>
      </c>
      <c r="AB2091" s="5">
        <v>3</v>
      </c>
      <c r="AC2091" s="2" t="s">
        <v>235</v>
      </c>
      <c r="AD2091" s="4"/>
      <c r="AE2091" s="4"/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235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235</v>
      </c>
      <c r="AW2091" s="8" t="s">
        <v>235</v>
      </c>
      <c r="AX2091" s="4" t="s">
        <v>235</v>
      </c>
      <c r="AY2091" s="8" t="s">
        <v>235</v>
      </c>
      <c r="AZ2091" s="7" t="s">
        <v>235</v>
      </c>
      <c r="BA2091" s="7" t="s">
        <v>235</v>
      </c>
      <c r="BB2091" s="7"/>
      <c r="BC2091" s="4" t="s">
        <v>235</v>
      </c>
      <c r="BD2091" s="8" t="s">
        <v>235</v>
      </c>
      <c r="BE2091" s="4" t="s">
        <v>235</v>
      </c>
      <c r="BF2091" s="8" t="s">
        <v>235</v>
      </c>
      <c r="BG2091" s="7" t="s">
        <v>235</v>
      </c>
      <c r="BH2091" s="7" t="s">
        <v>235</v>
      </c>
      <c r="BI2091" s="7"/>
      <c r="BJ2091" s="4">
        <v>15</v>
      </c>
      <c r="BK2091" s="8">
        <v>866.5</v>
      </c>
      <c r="BL2091" s="2" t="s">
        <v>7562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7542</v>
      </c>
      <c r="BV2091" s="2" t="s">
        <v>243</v>
      </c>
      <c r="BW2091" s="2" t="s">
        <v>235</v>
      </c>
      <c r="BX2091" s="2" t="s">
        <v>4145</v>
      </c>
      <c r="BY2091" s="2" t="s">
        <v>245</v>
      </c>
      <c r="BZ2091" s="2" t="s">
        <v>232</v>
      </c>
      <c r="CA2091" s="2" t="s">
        <v>7563</v>
      </c>
      <c r="CB2091" s="2" t="s">
        <v>521</v>
      </c>
      <c r="CC2091" s="2" t="s">
        <v>248</v>
      </c>
      <c r="CD2091" s="2" t="s">
        <v>248</v>
      </c>
      <c r="CE2091" s="2" t="s">
        <v>235</v>
      </c>
      <c r="CF2091" s="4">
        <v>204</v>
      </c>
      <c r="CG2091" s="4"/>
      <c r="CH2091" s="4"/>
      <c r="CI2091" s="4">
        <v>196</v>
      </c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>
        <v>402</v>
      </c>
      <c r="GE2091" s="4">
        <v>399</v>
      </c>
      <c r="GF2091" s="4">
        <v>397</v>
      </c>
      <c r="GG2091" s="4">
        <v>395</v>
      </c>
      <c r="GH2091" s="4">
        <v>393</v>
      </c>
      <c r="GI2091" s="4">
        <v>381</v>
      </c>
      <c r="GJ2091" s="4">
        <v>369</v>
      </c>
      <c r="GK2091" s="4">
        <v>357</v>
      </c>
      <c r="GL2091" s="4">
        <v>345</v>
      </c>
      <c r="GM2091" s="4">
        <v>333</v>
      </c>
      <c r="GN2091" s="4">
        <v>322</v>
      </c>
      <c r="GO2091" s="4">
        <v>305</v>
      </c>
      <c r="GP2091" s="4">
        <v>286</v>
      </c>
      <c r="GQ2091" s="4">
        <v>246</v>
      </c>
      <c r="GR2091" s="4">
        <v>216</v>
      </c>
      <c r="GS2091" s="4">
        <v>184</v>
      </c>
      <c r="GT2091" s="4">
        <v>165</v>
      </c>
      <c r="GU2091" s="4">
        <v>152</v>
      </c>
      <c r="GV2091" s="4">
        <v>138</v>
      </c>
      <c r="GW2091" s="4">
        <v>124</v>
      </c>
      <c r="GX2091" s="4">
        <v>110</v>
      </c>
      <c r="GY2091" s="4">
        <v>96</v>
      </c>
      <c r="GZ2091" s="4">
        <v>90</v>
      </c>
      <c r="HA2091" s="4">
        <v>87</v>
      </c>
      <c r="HB2091" s="4">
        <v>84</v>
      </c>
      <c r="HC2091" s="4">
        <v>81</v>
      </c>
      <c r="HD2091" s="19">
        <v>201</v>
      </c>
      <c r="HE2091" s="19">
        <v>99.8</v>
      </c>
      <c r="HF2091" s="19">
        <v>56.7</v>
      </c>
      <c r="HG2091" s="19">
        <v>39.5</v>
      </c>
      <c r="HH2091" s="19">
        <v>32.8</v>
      </c>
      <c r="HI2091" s="19">
        <v>31.8</v>
      </c>
      <c r="HJ2091" s="19">
        <v>30.8</v>
      </c>
      <c r="HK2091" s="19">
        <v>27.5</v>
      </c>
      <c r="HL2091" s="19">
        <v>23</v>
      </c>
      <c r="HM2091" s="19">
        <v>15.1</v>
      </c>
      <c r="HN2091" s="19">
        <v>12.4</v>
      </c>
      <c r="HO2091" s="19">
        <v>10.2</v>
      </c>
      <c r="HP2091" s="19">
        <v>9.5</v>
      </c>
      <c r="HQ2091" s="19">
        <v>10.3</v>
      </c>
      <c r="HR2091" s="19">
        <v>10.8</v>
      </c>
      <c r="HS2091" s="19">
        <v>12.3</v>
      </c>
      <c r="HT2091" s="19">
        <v>11.8</v>
      </c>
      <c r="HU2091" s="19">
        <v>10.9</v>
      </c>
      <c r="HV2091" s="19">
        <v>11.5</v>
      </c>
      <c r="HW2091" s="19">
        <v>13.8</v>
      </c>
      <c r="HX2091" s="19">
        <v>18.3</v>
      </c>
      <c r="HY2091" s="19">
        <v>24</v>
      </c>
      <c r="HZ2091" s="19">
        <v>30</v>
      </c>
      <c r="IA2091" s="19">
        <v>29</v>
      </c>
      <c r="IB2091" s="19">
        <v>28</v>
      </c>
      <c r="IC2091" s="19">
        <v>27</v>
      </c>
    </row>
    <row r="2092">
      <c r="A2092" s="2" t="s">
        <v>7564</v>
      </c>
      <c r="B2092" s="2" t="s">
        <v>905</v>
      </c>
      <c r="C2092" s="2" t="s">
        <v>324</v>
      </c>
      <c r="D2092" s="2" t="s">
        <v>981</v>
      </c>
      <c r="E2092" s="2" t="s">
        <v>982</v>
      </c>
      <c r="F2092" s="2" t="s">
        <v>7217</v>
      </c>
      <c r="G2092" s="2" t="s">
        <v>7217</v>
      </c>
      <c r="H2092" s="2" t="s">
        <v>7217</v>
      </c>
      <c r="I2092" s="2" t="s">
        <v>7545</v>
      </c>
      <c r="J2092" s="2" t="s">
        <v>7546</v>
      </c>
      <c r="K2092" s="2" t="s">
        <v>1196</v>
      </c>
      <c r="L2092" s="3">
        <v>17.99</v>
      </c>
      <c r="M2092" s="3">
        <v>18.89</v>
      </c>
      <c r="N2092" s="3">
        <v>29.99</v>
      </c>
      <c r="O2092" s="2" t="s">
        <v>232</v>
      </c>
      <c r="P2092" s="2" t="s">
        <v>878</v>
      </c>
      <c r="Q2092" s="2" t="s">
        <v>234</v>
      </c>
      <c r="R2092" s="2" t="s">
        <v>235</v>
      </c>
      <c r="S2092" s="2" t="s">
        <v>235</v>
      </c>
      <c r="T2092" s="2" t="s">
        <v>235</v>
      </c>
      <c r="U2092" s="2" t="s">
        <v>807</v>
      </c>
      <c r="V2092" s="2" t="s">
        <v>1693</v>
      </c>
      <c r="W2092" s="2" t="s">
        <v>235</v>
      </c>
      <c r="X2092" s="2" t="s">
        <v>235</v>
      </c>
      <c r="Y2092" s="2" t="s">
        <v>2564</v>
      </c>
      <c r="Z2092" s="4">
        <v>22</v>
      </c>
      <c r="AA2092" s="4">
        <f>=ROUNDDOWN(15.7142857142857,0)</f>
      </c>
      <c r="AB2092" s="5">
        <v>1.4</v>
      </c>
      <c r="AC2092" s="2" t="s">
        <v>235</v>
      </c>
      <c r="AD2092" s="4"/>
      <c r="AE2092" s="4"/>
      <c r="AF2092" s="6">
        <v>66</v>
      </c>
      <c r="AG2092" s="6"/>
      <c r="AH2092" s="7">
        <v>1</v>
      </c>
      <c r="AI2092" s="4"/>
      <c r="AJ2092" s="4">
        <f>=ROUNDDOWN({0},0)</f>
      </c>
      <c r="AK2092" s="5"/>
      <c r="AL2092" s="2" t="s">
        <v>235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235</v>
      </c>
      <c r="AW2092" s="8" t="s">
        <v>235</v>
      </c>
      <c r="AX2092" s="4" t="s">
        <v>235</v>
      </c>
      <c r="AY2092" s="8" t="s">
        <v>235</v>
      </c>
      <c r="AZ2092" s="7" t="s">
        <v>235</v>
      </c>
      <c r="BA2092" s="7" t="s">
        <v>235</v>
      </c>
      <c r="BB2092" s="7"/>
      <c r="BC2092" s="4" t="s">
        <v>235</v>
      </c>
      <c r="BD2092" s="8" t="s">
        <v>235</v>
      </c>
      <c r="BE2092" s="4" t="s">
        <v>235</v>
      </c>
      <c r="BF2092" s="8" t="s">
        <v>235</v>
      </c>
      <c r="BG2092" s="7" t="s">
        <v>235</v>
      </c>
      <c r="BH2092" s="7" t="s">
        <v>235</v>
      </c>
      <c r="BI2092" s="7"/>
      <c r="BJ2092" s="4"/>
      <c r="BK2092" s="8"/>
      <c r="BL2092" s="2" t="s">
        <v>235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7547</v>
      </c>
      <c r="BV2092" s="2" t="s">
        <v>235</v>
      </c>
      <c r="BW2092" s="2" t="s">
        <v>235</v>
      </c>
      <c r="BX2092" s="2" t="s">
        <v>244</v>
      </c>
      <c r="BY2092" s="2" t="s">
        <v>245</v>
      </c>
      <c r="BZ2092" s="2" t="s">
        <v>232</v>
      </c>
      <c r="CA2092" s="2" t="s">
        <v>235</v>
      </c>
      <c r="CB2092" s="2" t="s">
        <v>235</v>
      </c>
      <c r="CC2092" s="2" t="s">
        <v>248</v>
      </c>
      <c r="CD2092" s="2" t="s">
        <v>248</v>
      </c>
      <c r="CE2092" s="2" t="s">
        <v>235</v>
      </c>
      <c r="CF2092" s="4"/>
      <c r="CG2092" s="4"/>
      <c r="CH2092" s="4"/>
      <c r="CI2092" s="4">
        <v>22</v>
      </c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>
        <v>22</v>
      </c>
      <c r="GE2092" s="4">
        <v>22</v>
      </c>
      <c r="GF2092" s="4">
        <v>22</v>
      </c>
      <c r="GG2092" s="4">
        <v>22</v>
      </c>
      <c r="GH2092" s="4">
        <v>22</v>
      </c>
      <c r="GI2092" s="4">
        <v>21</v>
      </c>
      <c r="GJ2092" s="4">
        <v>19</v>
      </c>
      <c r="GK2092" s="4">
        <v>18</v>
      </c>
      <c r="GL2092" s="4">
        <v>16</v>
      </c>
      <c r="GM2092" s="4">
        <v>15</v>
      </c>
      <c r="GN2092" s="4">
        <v>14</v>
      </c>
      <c r="GO2092" s="4">
        <v>13</v>
      </c>
      <c r="GP2092" s="4">
        <v>12</v>
      </c>
      <c r="GQ2092" s="4">
        <v>11</v>
      </c>
      <c r="GR2092" s="4">
        <v>10</v>
      </c>
      <c r="GS2092" s="4">
        <v>9</v>
      </c>
      <c r="GT2092" s="4">
        <v>8</v>
      </c>
      <c r="GU2092" s="4">
        <v>7</v>
      </c>
      <c r="GV2092" s="4">
        <v>6</v>
      </c>
      <c r="GW2092" s="4">
        <v>5</v>
      </c>
      <c r="GX2092" s="4">
        <v>49</v>
      </c>
      <c r="GY2092" s="4">
        <v>48</v>
      </c>
      <c r="GZ2092" s="4">
        <v>47</v>
      </c>
      <c r="HA2092" s="4">
        <v>46</v>
      </c>
      <c r="HB2092" s="4">
        <v>45</v>
      </c>
      <c r="HC2092" s="4">
        <v>44</v>
      </c>
      <c r="HD2092" s="9"/>
      <c r="HE2092" s="9"/>
      <c r="HF2092" s="19">
        <v>22</v>
      </c>
      <c r="HG2092" s="19">
        <v>22</v>
      </c>
      <c r="HH2092" s="19">
        <v>11</v>
      </c>
      <c r="HI2092" s="19">
        <v>10.5</v>
      </c>
      <c r="HJ2092" s="19">
        <v>19</v>
      </c>
      <c r="HK2092" s="19">
        <v>18</v>
      </c>
      <c r="HL2092" s="19">
        <v>16</v>
      </c>
      <c r="HM2092" s="19">
        <v>15</v>
      </c>
      <c r="HN2092" s="19">
        <v>14</v>
      </c>
      <c r="HO2092" s="19">
        <v>13</v>
      </c>
      <c r="HP2092" s="19">
        <v>12</v>
      </c>
      <c r="HQ2092" s="19">
        <v>11</v>
      </c>
      <c r="HR2092" s="19">
        <v>10</v>
      </c>
      <c r="HS2092" s="19">
        <v>9</v>
      </c>
      <c r="HT2092" s="19">
        <v>8</v>
      </c>
      <c r="HU2092" s="19">
        <v>7</v>
      </c>
      <c r="HV2092" s="19">
        <v>6</v>
      </c>
      <c r="HW2092" s="19">
        <v>5</v>
      </c>
      <c r="HX2092" s="19">
        <v>49</v>
      </c>
      <c r="HY2092" s="19">
        <v>48</v>
      </c>
      <c r="HZ2092" s="19">
        <v>47</v>
      </c>
      <c r="IA2092" s="19">
        <v>46</v>
      </c>
      <c r="IB2092" s="19">
        <v>22.5</v>
      </c>
      <c r="IC2092" s="19">
        <v>22</v>
      </c>
    </row>
    <row r="2093">
      <c r="A2093" s="2" t="s">
        <v>7565</v>
      </c>
      <c r="B2093" s="2" t="s">
        <v>905</v>
      </c>
      <c r="C2093" s="2" t="s">
        <v>324</v>
      </c>
      <c r="D2093" s="2" t="s">
        <v>981</v>
      </c>
      <c r="E2093" s="2" t="s">
        <v>982</v>
      </c>
      <c r="F2093" s="2" t="s">
        <v>7217</v>
      </c>
      <c r="G2093" s="2" t="s">
        <v>7217</v>
      </c>
      <c r="H2093" s="2" t="s">
        <v>7217</v>
      </c>
      <c r="I2093" s="2" t="s">
        <v>7545</v>
      </c>
      <c r="J2093" s="2" t="s">
        <v>7549</v>
      </c>
      <c r="K2093" s="2" t="s">
        <v>1196</v>
      </c>
      <c r="L2093" s="3">
        <v>23.99</v>
      </c>
      <c r="M2093" s="3">
        <v>25.19</v>
      </c>
      <c r="N2093" s="3">
        <v>39.99</v>
      </c>
      <c r="O2093" s="2" t="s">
        <v>232</v>
      </c>
      <c r="P2093" s="2" t="s">
        <v>878</v>
      </c>
      <c r="Q2093" s="2" t="s">
        <v>234</v>
      </c>
      <c r="R2093" s="2" t="s">
        <v>235</v>
      </c>
      <c r="S2093" s="2" t="s">
        <v>235</v>
      </c>
      <c r="T2093" s="2" t="s">
        <v>235</v>
      </c>
      <c r="U2093" s="2" t="s">
        <v>807</v>
      </c>
      <c r="V2093" s="2" t="s">
        <v>1693</v>
      </c>
      <c r="W2093" s="2" t="s">
        <v>235</v>
      </c>
      <c r="X2093" s="2" t="s">
        <v>235</v>
      </c>
      <c r="Y2093" s="2" t="s">
        <v>2564</v>
      </c>
      <c r="Z2093" s="4">
        <v>117</v>
      </c>
      <c r="AA2093" s="4">
        <f>=ROUNDDOWN(27.8571428571429,0)</f>
      </c>
      <c r="AB2093" s="5">
        <v>4.2</v>
      </c>
      <c r="AC2093" s="2" t="s">
        <v>235</v>
      </c>
      <c r="AD2093" s="4"/>
      <c r="AE2093" s="4"/>
      <c r="AF2093" s="6">
        <v>66</v>
      </c>
      <c r="AG2093" s="6"/>
      <c r="AH2093" s="7">
        <v>1</v>
      </c>
      <c r="AI2093" s="4"/>
      <c r="AJ2093" s="4">
        <f>=ROUNDDOWN({0},0)</f>
      </c>
      <c r="AK2093" s="5"/>
      <c r="AL2093" s="2" t="s">
        <v>235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235</v>
      </c>
      <c r="AW2093" s="8" t="s">
        <v>235</v>
      </c>
      <c r="AX2093" s="4" t="s">
        <v>235</v>
      </c>
      <c r="AY2093" s="8" t="s">
        <v>235</v>
      </c>
      <c r="AZ2093" s="7" t="s">
        <v>235</v>
      </c>
      <c r="BA2093" s="7" t="s">
        <v>235</v>
      </c>
      <c r="BB2093" s="7"/>
      <c r="BC2093" s="4" t="s">
        <v>235</v>
      </c>
      <c r="BD2093" s="8" t="s">
        <v>235</v>
      </c>
      <c r="BE2093" s="4" t="s">
        <v>235</v>
      </c>
      <c r="BF2093" s="8" t="s">
        <v>235</v>
      </c>
      <c r="BG2093" s="7" t="s">
        <v>235</v>
      </c>
      <c r="BH2093" s="7" t="s">
        <v>235</v>
      </c>
      <c r="BI2093" s="7"/>
      <c r="BJ2093" s="4">
        <v>5</v>
      </c>
      <c r="BK2093" s="8">
        <v>138.42</v>
      </c>
      <c r="BL2093" s="2" t="s">
        <v>4405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7547</v>
      </c>
      <c r="BV2093" s="2" t="s">
        <v>235</v>
      </c>
      <c r="BW2093" s="2" t="s">
        <v>235</v>
      </c>
      <c r="BX2093" s="2" t="s">
        <v>244</v>
      </c>
      <c r="BY2093" s="2" t="s">
        <v>245</v>
      </c>
      <c r="BZ2093" s="2" t="s">
        <v>232</v>
      </c>
      <c r="CA2093" s="2" t="s">
        <v>235</v>
      </c>
      <c r="CB2093" s="2" t="s">
        <v>235</v>
      </c>
      <c r="CC2093" s="2" t="s">
        <v>248</v>
      </c>
      <c r="CD2093" s="2" t="s">
        <v>248</v>
      </c>
      <c r="CE2093" s="2" t="s">
        <v>235</v>
      </c>
      <c r="CF2093" s="4"/>
      <c r="CG2093" s="4"/>
      <c r="CH2093" s="4"/>
      <c r="CI2093" s="4">
        <v>117</v>
      </c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>
        <v>117</v>
      </c>
      <c r="GE2093" s="4">
        <v>92</v>
      </c>
      <c r="GF2093" s="4">
        <v>88</v>
      </c>
      <c r="GG2093" s="4">
        <v>84</v>
      </c>
      <c r="GH2093" s="4">
        <v>80</v>
      </c>
      <c r="GI2093" s="4">
        <v>76</v>
      </c>
      <c r="GJ2093" s="4">
        <v>70</v>
      </c>
      <c r="GK2093" s="4">
        <v>65</v>
      </c>
      <c r="GL2093" s="4">
        <v>59</v>
      </c>
      <c r="GM2093" s="4">
        <v>54</v>
      </c>
      <c r="GN2093" s="4">
        <v>50</v>
      </c>
      <c r="GO2093" s="4">
        <v>46</v>
      </c>
      <c r="GP2093" s="4">
        <v>42</v>
      </c>
      <c r="GQ2093" s="4">
        <v>37</v>
      </c>
      <c r="GR2093" s="4">
        <v>33</v>
      </c>
      <c r="GS2093" s="4">
        <v>28</v>
      </c>
      <c r="GT2093" s="4">
        <v>24</v>
      </c>
      <c r="GU2093" s="4">
        <v>20</v>
      </c>
      <c r="GV2093" s="4">
        <v>16</v>
      </c>
      <c r="GW2093" s="4">
        <v>12</v>
      </c>
      <c r="GX2093" s="4">
        <v>191</v>
      </c>
      <c r="GY2093" s="4">
        <v>187</v>
      </c>
      <c r="GZ2093" s="4">
        <v>183</v>
      </c>
      <c r="HA2093" s="4">
        <v>179</v>
      </c>
      <c r="HB2093" s="4">
        <v>175</v>
      </c>
      <c r="HC2093" s="4">
        <v>171</v>
      </c>
      <c r="HD2093" s="19">
        <v>13</v>
      </c>
      <c r="HE2093" s="19">
        <v>23</v>
      </c>
      <c r="HF2093" s="19">
        <v>22</v>
      </c>
      <c r="HG2093" s="19">
        <v>16.8</v>
      </c>
      <c r="HH2093" s="19">
        <v>16</v>
      </c>
      <c r="HI2093" s="19">
        <v>12.7</v>
      </c>
      <c r="HJ2093" s="19">
        <v>14</v>
      </c>
      <c r="HK2093" s="19">
        <v>13</v>
      </c>
      <c r="HL2093" s="19">
        <v>14.8</v>
      </c>
      <c r="HM2093" s="19">
        <v>13.5</v>
      </c>
      <c r="HN2093" s="19">
        <v>12.5</v>
      </c>
      <c r="HO2093" s="19">
        <v>11.5</v>
      </c>
      <c r="HP2093" s="19">
        <v>10.5</v>
      </c>
      <c r="HQ2093" s="19">
        <v>9.3</v>
      </c>
      <c r="HR2093" s="19">
        <v>8.3</v>
      </c>
      <c r="HS2093" s="19">
        <v>7</v>
      </c>
      <c r="HT2093" s="19">
        <v>6</v>
      </c>
      <c r="HU2093" s="19">
        <v>5</v>
      </c>
      <c r="HV2093" s="19">
        <v>4</v>
      </c>
      <c r="HW2093" s="19">
        <v>3</v>
      </c>
      <c r="HX2093" s="19">
        <v>47.8</v>
      </c>
      <c r="HY2093" s="19">
        <v>46.8</v>
      </c>
      <c r="HZ2093" s="19">
        <v>45.8</v>
      </c>
      <c r="IA2093" s="19">
        <v>44.8</v>
      </c>
      <c r="IB2093" s="19">
        <v>35</v>
      </c>
      <c r="IC2093" s="19">
        <v>28.5</v>
      </c>
    </row>
    <row r="2094">
      <c r="A2094" s="2" t="s">
        <v>7566</v>
      </c>
      <c r="B2094" s="2" t="s">
        <v>905</v>
      </c>
      <c r="C2094" s="2" t="s">
        <v>324</v>
      </c>
      <c r="D2094" s="2" t="s">
        <v>981</v>
      </c>
      <c r="E2094" s="2" t="s">
        <v>982</v>
      </c>
      <c r="F2094" s="2" t="s">
        <v>7217</v>
      </c>
      <c r="G2094" s="2" t="s">
        <v>7217</v>
      </c>
      <c r="H2094" s="2" t="s">
        <v>7217</v>
      </c>
      <c r="I2094" s="2" t="s">
        <v>7545</v>
      </c>
      <c r="J2094" s="2" t="s">
        <v>7559</v>
      </c>
      <c r="K2094" s="2" t="s">
        <v>1196</v>
      </c>
      <c r="L2094" s="3">
        <v>20.99</v>
      </c>
      <c r="M2094" s="3">
        <v>22.04</v>
      </c>
      <c r="N2094" s="3">
        <v>34.99</v>
      </c>
      <c r="O2094" s="2" t="s">
        <v>232</v>
      </c>
      <c r="P2094" s="2" t="s">
        <v>878</v>
      </c>
      <c r="Q2094" s="2" t="s">
        <v>234</v>
      </c>
      <c r="R2094" s="2" t="s">
        <v>235</v>
      </c>
      <c r="S2094" s="2" t="s">
        <v>235</v>
      </c>
      <c r="T2094" s="2" t="s">
        <v>235</v>
      </c>
      <c r="U2094" s="2" t="s">
        <v>807</v>
      </c>
      <c r="V2094" s="2" t="s">
        <v>1693</v>
      </c>
      <c r="W2094" s="2" t="s">
        <v>235</v>
      </c>
      <c r="X2094" s="2" t="s">
        <v>235</v>
      </c>
      <c r="Y2094" s="2" t="s">
        <v>2564</v>
      </c>
      <c r="Z2094" s="4">
        <v>244</v>
      </c>
      <c r="AA2094" s="4">
        <f>=ROUNDDOWN(271.111111111111,0)</f>
      </c>
      <c r="AB2094" s="5">
        <v>0.9</v>
      </c>
      <c r="AC2094" s="2" t="s">
        <v>235</v>
      </c>
      <c r="AD2094" s="4"/>
      <c r="AE2094" s="4"/>
      <c r="AF2094" s="6">
        <v>66</v>
      </c>
      <c r="AG2094" s="6"/>
      <c r="AH2094" s="7">
        <v>1</v>
      </c>
      <c r="AI2094" s="4"/>
      <c r="AJ2094" s="4">
        <f>=ROUNDDOWN({0},0)</f>
      </c>
      <c r="AK2094" s="5"/>
      <c r="AL2094" s="2" t="s">
        <v>235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235</v>
      </c>
      <c r="AW2094" s="8" t="s">
        <v>235</v>
      </c>
      <c r="AX2094" s="4" t="s">
        <v>235</v>
      </c>
      <c r="AY2094" s="8" t="s">
        <v>235</v>
      </c>
      <c r="AZ2094" s="7" t="s">
        <v>235</v>
      </c>
      <c r="BA2094" s="7" t="s">
        <v>235</v>
      </c>
      <c r="BB2094" s="7"/>
      <c r="BC2094" s="4" t="s">
        <v>235</v>
      </c>
      <c r="BD2094" s="8" t="s">
        <v>235</v>
      </c>
      <c r="BE2094" s="4" t="s">
        <v>235</v>
      </c>
      <c r="BF2094" s="8" t="s">
        <v>235</v>
      </c>
      <c r="BG2094" s="7" t="s">
        <v>235</v>
      </c>
      <c r="BH2094" s="7" t="s">
        <v>235</v>
      </c>
      <c r="BI2094" s="7"/>
      <c r="BJ2094" s="4">
        <v>1</v>
      </c>
      <c r="BK2094" s="8">
        <v>20.99</v>
      </c>
      <c r="BL2094" s="2" t="s">
        <v>1377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7547</v>
      </c>
      <c r="BV2094" s="2" t="s">
        <v>235</v>
      </c>
      <c r="BW2094" s="2" t="s">
        <v>235</v>
      </c>
      <c r="BX2094" s="2" t="s">
        <v>244</v>
      </c>
      <c r="BY2094" s="2" t="s">
        <v>245</v>
      </c>
      <c r="BZ2094" s="2" t="s">
        <v>232</v>
      </c>
      <c r="CA2094" s="2" t="s">
        <v>235</v>
      </c>
      <c r="CB2094" s="2" t="s">
        <v>235</v>
      </c>
      <c r="CC2094" s="2" t="s">
        <v>248</v>
      </c>
      <c r="CD2094" s="2" t="s">
        <v>248</v>
      </c>
      <c r="CE2094" s="2" t="s">
        <v>235</v>
      </c>
      <c r="CF2094" s="4"/>
      <c r="CG2094" s="4"/>
      <c r="CH2094" s="4"/>
      <c r="CI2094" s="4">
        <v>244</v>
      </c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>
        <v>244</v>
      </c>
      <c r="GE2094" s="4">
        <v>240</v>
      </c>
      <c r="GF2094" s="4">
        <v>239</v>
      </c>
      <c r="GG2094" s="4">
        <v>238</v>
      </c>
      <c r="GH2094" s="4">
        <v>237</v>
      </c>
      <c r="GI2094" s="4">
        <v>236</v>
      </c>
      <c r="GJ2094" s="4">
        <v>234</v>
      </c>
      <c r="GK2094" s="4">
        <v>233</v>
      </c>
      <c r="GL2094" s="4">
        <v>231</v>
      </c>
      <c r="GM2094" s="4">
        <v>230</v>
      </c>
      <c r="GN2094" s="4">
        <v>229</v>
      </c>
      <c r="GO2094" s="4">
        <v>228</v>
      </c>
      <c r="GP2094" s="4">
        <v>227</v>
      </c>
      <c r="GQ2094" s="4">
        <v>226</v>
      </c>
      <c r="GR2094" s="4">
        <v>225</v>
      </c>
      <c r="GS2094" s="4">
        <v>224</v>
      </c>
      <c r="GT2094" s="4">
        <v>223</v>
      </c>
      <c r="GU2094" s="4">
        <v>222</v>
      </c>
      <c r="GV2094" s="4">
        <v>221</v>
      </c>
      <c r="GW2094" s="4">
        <v>220</v>
      </c>
      <c r="GX2094" s="4">
        <v>219</v>
      </c>
      <c r="GY2094" s="4">
        <v>218</v>
      </c>
      <c r="GZ2094" s="4">
        <v>217</v>
      </c>
      <c r="HA2094" s="4">
        <v>216</v>
      </c>
      <c r="HB2094" s="4">
        <v>215</v>
      </c>
      <c r="HC2094" s="4">
        <v>214</v>
      </c>
      <c r="HD2094" s="19">
        <v>122</v>
      </c>
      <c r="HE2094" s="19">
        <v>240</v>
      </c>
      <c r="HF2094" s="19">
        <v>239</v>
      </c>
      <c r="HG2094" s="19">
        <v>238</v>
      </c>
      <c r="HH2094" s="19">
        <v>118.5</v>
      </c>
      <c r="HI2094" s="19">
        <v>118</v>
      </c>
      <c r="HJ2094" s="19">
        <v>234</v>
      </c>
      <c r="HK2094" s="19">
        <v>233</v>
      </c>
      <c r="HL2094" s="19">
        <v>231</v>
      </c>
      <c r="HM2094" s="19">
        <v>230</v>
      </c>
      <c r="HN2094" s="19">
        <v>229</v>
      </c>
      <c r="HO2094" s="19">
        <v>228</v>
      </c>
      <c r="HP2094" s="19">
        <v>227</v>
      </c>
      <c r="HQ2094" s="19">
        <v>226</v>
      </c>
      <c r="HR2094" s="19">
        <v>225</v>
      </c>
      <c r="HS2094" s="19">
        <v>224</v>
      </c>
      <c r="HT2094" s="19">
        <v>223</v>
      </c>
      <c r="HU2094" s="19">
        <v>222</v>
      </c>
      <c r="HV2094" s="19">
        <v>221</v>
      </c>
      <c r="HW2094" s="19">
        <v>220</v>
      </c>
      <c r="HX2094" s="19">
        <v>219</v>
      </c>
      <c r="HY2094" s="19">
        <v>218</v>
      </c>
      <c r="HZ2094" s="19">
        <v>217</v>
      </c>
      <c r="IA2094" s="19">
        <v>216</v>
      </c>
      <c r="IB2094" s="19">
        <v>107.5</v>
      </c>
      <c r="IC2094" s="19">
        <v>107</v>
      </c>
    </row>
    <row r="2095">
      <c r="A2095" s="2" t="s">
        <v>7567</v>
      </c>
      <c r="B2095" s="2" t="s">
        <v>905</v>
      </c>
      <c r="C2095" s="2" t="s">
        <v>678</v>
      </c>
      <c r="D2095" s="2" t="s">
        <v>1177</v>
      </c>
      <c r="E2095" s="2" t="s">
        <v>1178</v>
      </c>
      <c r="F2095" s="2" t="s">
        <v>7217</v>
      </c>
      <c r="G2095" s="2" t="s">
        <v>7524</v>
      </c>
      <c r="H2095" s="2" t="s">
        <v>7524</v>
      </c>
      <c r="I2095" s="2" t="s">
        <v>7532</v>
      </c>
      <c r="J2095" s="2" t="s">
        <v>2041</v>
      </c>
      <c r="K2095" s="2" t="s">
        <v>4164</v>
      </c>
      <c r="L2095" s="3">
        <v>41.7</v>
      </c>
      <c r="M2095" s="3">
        <v>43.78</v>
      </c>
      <c r="N2095" s="3">
        <v>94.99</v>
      </c>
      <c r="O2095" s="2" t="s">
        <v>232</v>
      </c>
      <c r="P2095" s="2" t="s">
        <v>233</v>
      </c>
      <c r="Q2095" s="2" t="s">
        <v>234</v>
      </c>
      <c r="R2095" s="2" t="s">
        <v>235</v>
      </c>
      <c r="S2095" s="2" t="s">
        <v>7568</v>
      </c>
      <c r="T2095" s="2" t="s">
        <v>912</v>
      </c>
      <c r="U2095" s="2" t="s">
        <v>807</v>
      </c>
      <c r="V2095" s="2" t="s">
        <v>238</v>
      </c>
      <c r="W2095" s="2" t="s">
        <v>329</v>
      </c>
      <c r="X2095" s="2" t="s">
        <v>1157</v>
      </c>
      <c r="Y2095" s="2" t="s">
        <v>5860</v>
      </c>
      <c r="Z2095" s="4">
        <v>773</v>
      </c>
      <c r="AA2095" s="4">
        <f>=ROUNDDOWN(257.666666666667,0)</f>
      </c>
      <c r="AB2095" s="5">
        <v>3</v>
      </c>
      <c r="AC2095" s="2" t="s">
        <v>235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235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 t="s">
        <v>235</v>
      </c>
      <c r="BD2095" s="8" t="s">
        <v>235</v>
      </c>
      <c r="BE2095" s="4" t="s">
        <v>235</v>
      </c>
      <c r="BF2095" s="8" t="s">
        <v>235</v>
      </c>
      <c r="BG2095" s="7" t="s">
        <v>235</v>
      </c>
      <c r="BH2095" s="7" t="s">
        <v>235</v>
      </c>
      <c r="BI2095" s="7"/>
      <c r="BJ2095" s="4">
        <v>3</v>
      </c>
      <c r="BK2095" s="8">
        <v>134.15</v>
      </c>
      <c r="BL2095" s="2" t="s">
        <v>7569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7535</v>
      </c>
      <c r="BV2095" s="2" t="s">
        <v>243</v>
      </c>
      <c r="BW2095" s="2" t="s">
        <v>235</v>
      </c>
      <c r="BX2095" s="2" t="s">
        <v>244</v>
      </c>
      <c r="BY2095" s="2" t="s">
        <v>245</v>
      </c>
      <c r="BZ2095" s="2" t="s">
        <v>232</v>
      </c>
      <c r="CA2095" s="2" t="s">
        <v>5534</v>
      </c>
      <c r="CB2095" s="2" t="s">
        <v>2773</v>
      </c>
      <c r="CC2095" s="2" t="s">
        <v>248</v>
      </c>
      <c r="CD2095" s="2" t="s">
        <v>248</v>
      </c>
      <c r="CE2095" s="2" t="s">
        <v>235</v>
      </c>
      <c r="CF2095" s="4">
        <v>210</v>
      </c>
      <c r="CG2095" s="4">
        <v>563</v>
      </c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>
        <v>775</v>
      </c>
      <c r="GE2095" s="4">
        <v>773</v>
      </c>
      <c r="GF2095" s="4">
        <v>772</v>
      </c>
      <c r="GG2095" s="4">
        <v>771</v>
      </c>
      <c r="GH2095" s="4">
        <v>769</v>
      </c>
      <c r="GI2095" s="4">
        <v>755</v>
      </c>
      <c r="GJ2095" s="4">
        <v>740</v>
      </c>
      <c r="GK2095" s="4">
        <v>725</v>
      </c>
      <c r="GL2095" s="4">
        <v>708</v>
      </c>
      <c r="GM2095" s="4">
        <v>694</v>
      </c>
      <c r="GN2095" s="4">
        <v>680</v>
      </c>
      <c r="GO2095" s="4">
        <v>650</v>
      </c>
      <c r="GP2095" s="4">
        <v>596</v>
      </c>
      <c r="GQ2095" s="4">
        <v>533</v>
      </c>
      <c r="GR2095" s="4">
        <v>376</v>
      </c>
      <c r="GS2095" s="4">
        <v>197</v>
      </c>
      <c r="GT2095" s="4">
        <v>18</v>
      </c>
      <c r="GU2095" s="4"/>
      <c r="GV2095" s="4"/>
      <c r="GW2095" s="4">
        <v>523</v>
      </c>
      <c r="GX2095" s="4">
        <v>505</v>
      </c>
      <c r="GY2095" s="4">
        <v>490</v>
      </c>
      <c r="GZ2095" s="4">
        <v>487</v>
      </c>
      <c r="HA2095" s="4">
        <v>484</v>
      </c>
      <c r="HB2095" s="4">
        <v>482</v>
      </c>
      <c r="HC2095" s="4">
        <v>480</v>
      </c>
      <c r="HD2095" s="19">
        <v>387.5</v>
      </c>
      <c r="HE2095" s="19">
        <v>193.3</v>
      </c>
      <c r="HF2095" s="19">
        <v>96.5</v>
      </c>
      <c r="HG2095" s="19">
        <v>64.3</v>
      </c>
      <c r="HH2095" s="19">
        <v>51.3</v>
      </c>
      <c r="HI2095" s="19">
        <v>50.3</v>
      </c>
      <c r="HJ2095" s="19">
        <v>49.3</v>
      </c>
      <c r="HK2095" s="19">
        <v>38.2</v>
      </c>
      <c r="HL2095" s="19">
        <v>25.3</v>
      </c>
      <c r="HM2095" s="19">
        <v>17.4</v>
      </c>
      <c r="HN2095" s="19">
        <v>8.9</v>
      </c>
      <c r="HO2095" s="19">
        <v>5.8</v>
      </c>
      <c r="HP2095" s="19">
        <v>4.1</v>
      </c>
      <c r="HQ2095" s="19">
        <v>3.8</v>
      </c>
      <c r="HR2095" s="19">
        <v>3.4</v>
      </c>
      <c r="HS2095" s="19">
        <v>2.9</v>
      </c>
      <c r="HT2095" s="19">
        <v>0.6</v>
      </c>
      <c r="HU2095" s="20">
        <v>0</v>
      </c>
      <c r="HV2095" s="20">
        <v>0</v>
      </c>
      <c r="HW2095" s="19">
        <v>52.3</v>
      </c>
      <c r="HX2095" s="19">
        <v>84.2</v>
      </c>
      <c r="HY2095" s="19">
        <v>245</v>
      </c>
      <c r="HZ2095" s="19">
        <v>243.5</v>
      </c>
      <c r="IA2095" s="19">
        <v>242</v>
      </c>
      <c r="IB2095" s="19">
        <v>241</v>
      </c>
      <c r="IC2095" s="19">
        <v>240</v>
      </c>
    </row>
    <row r="2096">
      <c r="A2096" s="2" t="s">
        <v>7570</v>
      </c>
      <c r="B2096" s="2" t="s">
        <v>905</v>
      </c>
      <c r="C2096" s="2" t="s">
        <v>324</v>
      </c>
      <c r="D2096" s="2" t="s">
        <v>361</v>
      </c>
      <c r="E2096" s="2" t="s">
        <v>872</v>
      </c>
      <c r="F2096" s="2" t="s">
        <v>7217</v>
      </c>
      <c r="G2096" s="2" t="s">
        <v>7524</v>
      </c>
      <c r="H2096" s="2" t="s">
        <v>7524</v>
      </c>
      <c r="I2096" s="2" t="s">
        <v>7537</v>
      </c>
      <c r="J2096" s="2" t="s">
        <v>270</v>
      </c>
      <c r="K2096" s="2" t="s">
        <v>292</v>
      </c>
      <c r="L2096" s="3">
        <v>62.32</v>
      </c>
      <c r="M2096" s="3">
        <v>65.44</v>
      </c>
      <c r="N2096" s="3">
        <v>139.99</v>
      </c>
      <c r="O2096" s="2" t="s">
        <v>232</v>
      </c>
      <c r="P2096" s="2" t="s">
        <v>336</v>
      </c>
      <c r="Q2096" s="2" t="s">
        <v>234</v>
      </c>
      <c r="R2096" s="2" t="s">
        <v>235</v>
      </c>
      <c r="S2096" s="2" t="s">
        <v>7571</v>
      </c>
      <c r="T2096" s="2" t="s">
        <v>912</v>
      </c>
      <c r="U2096" s="2" t="s">
        <v>235</v>
      </c>
      <c r="V2096" s="2" t="s">
        <v>1693</v>
      </c>
      <c r="W2096" s="2" t="s">
        <v>329</v>
      </c>
      <c r="X2096" s="2" t="s">
        <v>4051</v>
      </c>
      <c r="Y2096" s="2" t="s">
        <v>240</v>
      </c>
      <c r="Z2096" s="4">
        <v>835</v>
      </c>
      <c r="AA2096" s="4">
        <f>=ROUNDDOWN(139.166666666667,0)</f>
      </c>
      <c r="AB2096" s="5">
        <v>6</v>
      </c>
      <c r="AC2096" s="2" t="s">
        <v>235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235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235</v>
      </c>
      <c r="AW2096" s="8" t="s">
        <v>235</v>
      </c>
      <c r="AX2096" s="4" t="s">
        <v>235</v>
      </c>
      <c r="AY2096" s="8" t="s">
        <v>235</v>
      </c>
      <c r="AZ2096" s="7" t="s">
        <v>235</v>
      </c>
      <c r="BA2096" s="7" t="s">
        <v>235</v>
      </c>
      <c r="BB2096" s="7"/>
      <c r="BC2096" s="4" t="s">
        <v>235</v>
      </c>
      <c r="BD2096" s="8" t="s">
        <v>235</v>
      </c>
      <c r="BE2096" s="4" t="s">
        <v>235</v>
      </c>
      <c r="BF2096" s="8" t="s">
        <v>235</v>
      </c>
      <c r="BG2096" s="7" t="s">
        <v>235</v>
      </c>
      <c r="BH2096" s="7" t="s">
        <v>235</v>
      </c>
      <c r="BI2096" s="7"/>
      <c r="BJ2096" s="4">
        <v>16</v>
      </c>
      <c r="BK2096" s="8">
        <v>1029.28</v>
      </c>
      <c r="BL2096" s="2" t="s">
        <v>7572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7542</v>
      </c>
      <c r="BV2096" s="2" t="s">
        <v>243</v>
      </c>
      <c r="BW2096" s="2" t="s">
        <v>235</v>
      </c>
      <c r="BX2096" s="2" t="s">
        <v>4145</v>
      </c>
      <c r="BY2096" s="2" t="s">
        <v>245</v>
      </c>
      <c r="BZ2096" s="2" t="s">
        <v>232</v>
      </c>
      <c r="CA2096" s="2" t="s">
        <v>7563</v>
      </c>
      <c r="CB2096" s="2" t="s">
        <v>2960</v>
      </c>
      <c r="CC2096" s="2" t="s">
        <v>248</v>
      </c>
      <c r="CD2096" s="2" t="s">
        <v>248</v>
      </c>
      <c r="CE2096" s="2" t="s">
        <v>235</v>
      </c>
      <c r="CF2096" s="4">
        <v>163</v>
      </c>
      <c r="CG2096" s="4">
        <v>324</v>
      </c>
      <c r="CH2096" s="4"/>
      <c r="CI2096" s="4">
        <v>348</v>
      </c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>
        <v>835</v>
      </c>
      <c r="GE2096" s="4">
        <v>822</v>
      </c>
      <c r="GF2096" s="4">
        <v>816</v>
      </c>
      <c r="GG2096" s="4">
        <v>810</v>
      </c>
      <c r="GH2096" s="4">
        <v>799</v>
      </c>
      <c r="GI2096" s="4">
        <v>779</v>
      </c>
      <c r="GJ2096" s="4">
        <v>751</v>
      </c>
      <c r="GK2096" s="4">
        <v>726</v>
      </c>
      <c r="GL2096" s="4">
        <v>700</v>
      </c>
      <c r="GM2096" s="4">
        <v>680</v>
      </c>
      <c r="GN2096" s="4">
        <v>661</v>
      </c>
      <c r="GO2096" s="4">
        <v>634</v>
      </c>
      <c r="GP2096" s="4">
        <v>604</v>
      </c>
      <c r="GQ2096" s="4">
        <v>546</v>
      </c>
      <c r="GR2096" s="4">
        <v>498</v>
      </c>
      <c r="GS2096" s="4">
        <v>451</v>
      </c>
      <c r="GT2096" s="4">
        <v>424</v>
      </c>
      <c r="GU2096" s="4">
        <v>407</v>
      </c>
      <c r="GV2096" s="4">
        <v>388</v>
      </c>
      <c r="GW2096" s="4">
        <v>369</v>
      </c>
      <c r="GX2096" s="4">
        <v>350</v>
      </c>
      <c r="GY2096" s="4">
        <v>331</v>
      </c>
      <c r="GZ2096" s="4">
        <v>317</v>
      </c>
      <c r="HA2096" s="4">
        <v>311</v>
      </c>
      <c r="HB2096" s="4">
        <v>305</v>
      </c>
      <c r="HC2096" s="4">
        <v>298</v>
      </c>
      <c r="HD2096" s="19">
        <v>92.8</v>
      </c>
      <c r="HE2096" s="19">
        <v>74.7</v>
      </c>
      <c r="HF2096" s="19">
        <v>51</v>
      </c>
      <c r="HG2096" s="19">
        <v>38.6</v>
      </c>
      <c r="HH2096" s="19">
        <v>32</v>
      </c>
      <c r="HI2096" s="19">
        <v>31.2</v>
      </c>
      <c r="HJ2096" s="19">
        <v>34.1</v>
      </c>
      <c r="HK2096" s="19">
        <v>31.6</v>
      </c>
      <c r="HL2096" s="19">
        <v>29.2</v>
      </c>
      <c r="HM2096" s="19">
        <v>20</v>
      </c>
      <c r="HN2096" s="19">
        <v>16.1</v>
      </c>
      <c r="HO2096" s="19">
        <v>13.8</v>
      </c>
      <c r="HP2096" s="19">
        <v>13.4</v>
      </c>
      <c r="HQ2096" s="19">
        <v>15.6</v>
      </c>
      <c r="HR2096" s="19">
        <v>17.8</v>
      </c>
      <c r="HS2096" s="19">
        <v>22.6</v>
      </c>
      <c r="HT2096" s="19">
        <v>23.6</v>
      </c>
      <c r="HU2096" s="19">
        <v>21.4</v>
      </c>
      <c r="HV2096" s="19">
        <v>21.6</v>
      </c>
      <c r="HW2096" s="19">
        <v>26.4</v>
      </c>
      <c r="HX2096" s="19">
        <v>31.8</v>
      </c>
      <c r="HY2096" s="19">
        <v>41.4</v>
      </c>
      <c r="HZ2096" s="19">
        <v>52.8</v>
      </c>
      <c r="IA2096" s="19">
        <v>51.8</v>
      </c>
      <c r="IB2096" s="19">
        <v>50.8</v>
      </c>
      <c r="IC2096" s="19">
        <v>49.7</v>
      </c>
    </row>
    <row r="2097">
      <c r="A2097" s="2" t="s">
        <v>7573</v>
      </c>
      <c r="B2097" s="2" t="s">
        <v>905</v>
      </c>
      <c r="C2097" s="2" t="s">
        <v>324</v>
      </c>
      <c r="D2097" s="2" t="s">
        <v>981</v>
      </c>
      <c r="E2097" s="2" t="s">
        <v>982</v>
      </c>
      <c r="F2097" s="2" t="s">
        <v>7217</v>
      </c>
      <c r="G2097" s="2" t="s">
        <v>7217</v>
      </c>
      <c r="H2097" s="2" t="s">
        <v>7217</v>
      </c>
      <c r="I2097" s="2" t="s">
        <v>7545</v>
      </c>
      <c r="J2097" s="2" t="s">
        <v>7546</v>
      </c>
      <c r="K2097" s="2" t="s">
        <v>292</v>
      </c>
      <c r="L2097" s="3">
        <v>17.99</v>
      </c>
      <c r="M2097" s="3">
        <v>18.89</v>
      </c>
      <c r="N2097" s="3">
        <v>29.99</v>
      </c>
      <c r="O2097" s="2" t="s">
        <v>232</v>
      </c>
      <c r="P2097" s="2" t="s">
        <v>878</v>
      </c>
      <c r="Q2097" s="2" t="s">
        <v>234</v>
      </c>
      <c r="R2097" s="2" t="s">
        <v>235</v>
      </c>
      <c r="S2097" s="2" t="s">
        <v>235</v>
      </c>
      <c r="T2097" s="2" t="s">
        <v>235</v>
      </c>
      <c r="U2097" s="2" t="s">
        <v>807</v>
      </c>
      <c r="V2097" s="2" t="s">
        <v>1693</v>
      </c>
      <c r="W2097" s="2" t="s">
        <v>235</v>
      </c>
      <c r="X2097" s="2" t="s">
        <v>235</v>
      </c>
      <c r="Y2097" s="2" t="s">
        <v>2564</v>
      </c>
      <c r="Z2097" s="4">
        <v>354</v>
      </c>
      <c r="AA2097" s="4">
        <f>=ROUNDDOWN(90.7692307692308,0)</f>
      </c>
      <c r="AB2097" s="5">
        <v>3.9</v>
      </c>
      <c r="AC2097" s="2" t="s">
        <v>235</v>
      </c>
      <c r="AD2097" s="4"/>
      <c r="AE2097" s="4"/>
      <c r="AF2097" s="6">
        <v>66</v>
      </c>
      <c r="AG2097" s="6"/>
      <c r="AH2097" s="7">
        <v>1</v>
      </c>
      <c r="AI2097" s="4"/>
      <c r="AJ2097" s="4">
        <f>=ROUNDDOWN({0},0)</f>
      </c>
      <c r="AK2097" s="5"/>
      <c r="AL2097" s="2" t="s">
        <v>235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235</v>
      </c>
      <c r="AW2097" s="8" t="s">
        <v>235</v>
      </c>
      <c r="AX2097" s="4" t="s">
        <v>235</v>
      </c>
      <c r="AY2097" s="8" t="s">
        <v>235</v>
      </c>
      <c r="AZ2097" s="7" t="s">
        <v>235</v>
      </c>
      <c r="BA2097" s="7" t="s">
        <v>235</v>
      </c>
      <c r="BB2097" s="7"/>
      <c r="BC2097" s="4" t="s">
        <v>235</v>
      </c>
      <c r="BD2097" s="8" t="s">
        <v>235</v>
      </c>
      <c r="BE2097" s="4" t="s">
        <v>235</v>
      </c>
      <c r="BF2097" s="8" t="s">
        <v>235</v>
      </c>
      <c r="BG2097" s="7" t="s">
        <v>235</v>
      </c>
      <c r="BH2097" s="7" t="s">
        <v>235</v>
      </c>
      <c r="BI2097" s="7"/>
      <c r="BJ2097" s="4">
        <v>1</v>
      </c>
      <c r="BK2097" s="8">
        <v>27.97</v>
      </c>
      <c r="BL2097" s="2" t="s">
        <v>900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7547</v>
      </c>
      <c r="BV2097" s="2" t="s">
        <v>235</v>
      </c>
      <c r="BW2097" s="2" t="s">
        <v>235</v>
      </c>
      <c r="BX2097" s="2" t="s">
        <v>244</v>
      </c>
      <c r="BY2097" s="2" t="s">
        <v>245</v>
      </c>
      <c r="BZ2097" s="2" t="s">
        <v>232</v>
      </c>
      <c r="CA2097" s="2" t="s">
        <v>235</v>
      </c>
      <c r="CB2097" s="2" t="s">
        <v>235</v>
      </c>
      <c r="CC2097" s="2" t="s">
        <v>248</v>
      </c>
      <c r="CD2097" s="2" t="s">
        <v>248</v>
      </c>
      <c r="CE2097" s="2" t="s">
        <v>235</v>
      </c>
      <c r="CF2097" s="4"/>
      <c r="CG2097" s="4"/>
      <c r="CH2097" s="4"/>
      <c r="CI2097" s="4">
        <v>354</v>
      </c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>
        <v>354</v>
      </c>
      <c r="GE2097" s="4">
        <v>345</v>
      </c>
      <c r="GF2097" s="4">
        <v>341</v>
      </c>
      <c r="GG2097" s="4">
        <v>337</v>
      </c>
      <c r="GH2097" s="4">
        <v>333</v>
      </c>
      <c r="GI2097" s="4">
        <v>329</v>
      </c>
      <c r="GJ2097" s="4">
        <v>322</v>
      </c>
      <c r="GK2097" s="4">
        <v>317</v>
      </c>
      <c r="GL2097" s="4">
        <v>311</v>
      </c>
      <c r="GM2097" s="4">
        <v>306</v>
      </c>
      <c r="GN2097" s="4">
        <v>302</v>
      </c>
      <c r="GO2097" s="4">
        <v>298</v>
      </c>
      <c r="GP2097" s="4">
        <v>294</v>
      </c>
      <c r="GQ2097" s="4">
        <v>290</v>
      </c>
      <c r="GR2097" s="4">
        <v>286</v>
      </c>
      <c r="GS2097" s="4">
        <v>282</v>
      </c>
      <c r="GT2097" s="4">
        <v>278</v>
      </c>
      <c r="GU2097" s="4">
        <v>274</v>
      </c>
      <c r="GV2097" s="4">
        <v>270</v>
      </c>
      <c r="GW2097" s="4">
        <v>266</v>
      </c>
      <c r="GX2097" s="4">
        <v>262</v>
      </c>
      <c r="GY2097" s="4">
        <v>258</v>
      </c>
      <c r="GZ2097" s="4">
        <v>254</v>
      </c>
      <c r="HA2097" s="4">
        <v>250</v>
      </c>
      <c r="HB2097" s="4">
        <v>246</v>
      </c>
      <c r="HC2097" s="4">
        <v>242</v>
      </c>
      <c r="HD2097" s="19">
        <v>70.8</v>
      </c>
      <c r="HE2097" s="19">
        <v>86.3</v>
      </c>
      <c r="HF2097" s="19">
        <v>68.2</v>
      </c>
      <c r="HG2097" s="19">
        <v>67.4</v>
      </c>
      <c r="HH2097" s="19">
        <v>55.5</v>
      </c>
      <c r="HI2097" s="19">
        <v>54.8</v>
      </c>
      <c r="HJ2097" s="19">
        <v>64.4</v>
      </c>
      <c r="HK2097" s="19">
        <v>63.4</v>
      </c>
      <c r="HL2097" s="19">
        <v>77.8</v>
      </c>
      <c r="HM2097" s="19">
        <v>76.5</v>
      </c>
      <c r="HN2097" s="19">
        <v>75.5</v>
      </c>
      <c r="HO2097" s="19">
        <v>74.5</v>
      </c>
      <c r="HP2097" s="19">
        <v>73.5</v>
      </c>
      <c r="HQ2097" s="19">
        <v>72.5</v>
      </c>
      <c r="HR2097" s="19">
        <v>71.5</v>
      </c>
      <c r="HS2097" s="19">
        <v>70.5</v>
      </c>
      <c r="HT2097" s="19">
        <v>69.5</v>
      </c>
      <c r="HU2097" s="19">
        <v>68.5</v>
      </c>
      <c r="HV2097" s="19">
        <v>67.5</v>
      </c>
      <c r="HW2097" s="19">
        <v>66.5</v>
      </c>
      <c r="HX2097" s="19">
        <v>65.5</v>
      </c>
      <c r="HY2097" s="19">
        <v>64.5</v>
      </c>
      <c r="HZ2097" s="19">
        <v>63.5</v>
      </c>
      <c r="IA2097" s="19">
        <v>50</v>
      </c>
      <c r="IB2097" s="19">
        <v>49.2</v>
      </c>
      <c r="IC2097" s="19">
        <v>40.3</v>
      </c>
    </row>
    <row r="2098">
      <c r="A2098" s="2" t="s">
        <v>7574</v>
      </c>
      <c r="B2098" s="2" t="s">
        <v>905</v>
      </c>
      <c r="C2098" s="2" t="s">
        <v>324</v>
      </c>
      <c r="D2098" s="2" t="s">
        <v>981</v>
      </c>
      <c r="E2098" s="2" t="s">
        <v>982</v>
      </c>
      <c r="F2098" s="2" t="s">
        <v>7217</v>
      </c>
      <c r="G2098" s="2" t="s">
        <v>7217</v>
      </c>
      <c r="H2098" s="2" t="s">
        <v>7217</v>
      </c>
      <c r="I2098" s="2" t="s">
        <v>7545</v>
      </c>
      <c r="J2098" s="2" t="s">
        <v>7549</v>
      </c>
      <c r="K2098" s="2" t="s">
        <v>292</v>
      </c>
      <c r="L2098" s="3">
        <v>23.99</v>
      </c>
      <c r="M2098" s="3">
        <v>25.19</v>
      </c>
      <c r="N2098" s="3">
        <v>39.99</v>
      </c>
      <c r="O2098" s="2" t="s">
        <v>232</v>
      </c>
      <c r="P2098" s="2" t="s">
        <v>878</v>
      </c>
      <c r="Q2098" s="2" t="s">
        <v>234</v>
      </c>
      <c r="R2098" s="2" t="s">
        <v>235</v>
      </c>
      <c r="S2098" s="2" t="s">
        <v>235</v>
      </c>
      <c r="T2098" s="2" t="s">
        <v>235</v>
      </c>
      <c r="U2098" s="2" t="s">
        <v>807</v>
      </c>
      <c r="V2098" s="2" t="s">
        <v>1693</v>
      </c>
      <c r="W2098" s="2" t="s">
        <v>235</v>
      </c>
      <c r="X2098" s="2" t="s">
        <v>235</v>
      </c>
      <c r="Y2098" s="2" t="s">
        <v>2564</v>
      </c>
      <c r="Z2098" s="4">
        <v>843</v>
      </c>
      <c r="AA2098" s="4">
        <f>=ROUNDDOWN(175.625,0)</f>
      </c>
      <c r="AB2098" s="5">
        <v>4.8</v>
      </c>
      <c r="AC2098" s="2" t="s">
        <v>235</v>
      </c>
      <c r="AD2098" s="4"/>
      <c r="AE2098" s="4"/>
      <c r="AF2098" s="6">
        <v>66</v>
      </c>
      <c r="AG2098" s="6"/>
      <c r="AH2098" s="7">
        <v>1</v>
      </c>
      <c r="AI2098" s="4"/>
      <c r="AJ2098" s="4">
        <f>=ROUNDDOWN({0},0)</f>
      </c>
      <c r="AK2098" s="5"/>
      <c r="AL2098" s="2" t="s">
        <v>235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235</v>
      </c>
      <c r="AW2098" s="8" t="s">
        <v>235</v>
      </c>
      <c r="AX2098" s="4" t="s">
        <v>235</v>
      </c>
      <c r="AY2098" s="8" t="s">
        <v>235</v>
      </c>
      <c r="AZ2098" s="7" t="s">
        <v>235</v>
      </c>
      <c r="BA2098" s="7" t="s">
        <v>235</v>
      </c>
      <c r="BB2098" s="7"/>
      <c r="BC2098" s="4" t="s">
        <v>235</v>
      </c>
      <c r="BD2098" s="8" t="s">
        <v>235</v>
      </c>
      <c r="BE2098" s="4" t="s">
        <v>235</v>
      </c>
      <c r="BF2098" s="8" t="s">
        <v>235</v>
      </c>
      <c r="BG2098" s="7" t="s">
        <v>235</v>
      </c>
      <c r="BH2098" s="7" t="s">
        <v>235</v>
      </c>
      <c r="BI2098" s="7"/>
      <c r="BJ2098" s="4"/>
      <c r="BK2098" s="8"/>
      <c r="BL2098" s="2" t="s">
        <v>235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7547</v>
      </c>
      <c r="BV2098" s="2" t="s">
        <v>235</v>
      </c>
      <c r="BW2098" s="2" t="s">
        <v>235</v>
      </c>
      <c r="BX2098" s="2" t="s">
        <v>244</v>
      </c>
      <c r="BY2098" s="2" t="s">
        <v>245</v>
      </c>
      <c r="BZ2098" s="2" t="s">
        <v>232</v>
      </c>
      <c r="CA2098" s="2" t="s">
        <v>235</v>
      </c>
      <c r="CB2098" s="2" t="s">
        <v>235</v>
      </c>
      <c r="CC2098" s="2" t="s">
        <v>248</v>
      </c>
      <c r="CD2098" s="2" t="s">
        <v>248</v>
      </c>
      <c r="CE2098" s="2" t="s">
        <v>235</v>
      </c>
      <c r="CF2098" s="4"/>
      <c r="CG2098" s="4">
        <v>32</v>
      </c>
      <c r="CH2098" s="4"/>
      <c r="CI2098" s="4">
        <v>811</v>
      </c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>
        <v>844</v>
      </c>
      <c r="GE2098" s="4">
        <v>812</v>
      </c>
      <c r="GF2098" s="4">
        <v>807</v>
      </c>
      <c r="GG2098" s="4">
        <v>802</v>
      </c>
      <c r="GH2098" s="4">
        <v>797</v>
      </c>
      <c r="GI2098" s="4">
        <v>792</v>
      </c>
      <c r="GJ2098" s="4">
        <v>783</v>
      </c>
      <c r="GK2098" s="4">
        <v>776</v>
      </c>
      <c r="GL2098" s="4">
        <v>768</v>
      </c>
      <c r="GM2098" s="4">
        <v>761</v>
      </c>
      <c r="GN2098" s="4">
        <v>756</v>
      </c>
      <c r="GO2098" s="4">
        <v>751</v>
      </c>
      <c r="GP2098" s="4">
        <v>746</v>
      </c>
      <c r="GQ2098" s="4">
        <v>741</v>
      </c>
      <c r="GR2098" s="4">
        <v>736</v>
      </c>
      <c r="GS2098" s="4">
        <v>731</v>
      </c>
      <c r="GT2098" s="4">
        <v>726</v>
      </c>
      <c r="GU2098" s="4">
        <v>721</v>
      </c>
      <c r="GV2098" s="4">
        <v>716</v>
      </c>
      <c r="GW2098" s="4">
        <v>711</v>
      </c>
      <c r="GX2098" s="4">
        <v>706</v>
      </c>
      <c r="GY2098" s="4">
        <v>701</v>
      </c>
      <c r="GZ2098" s="4">
        <v>696</v>
      </c>
      <c r="HA2098" s="4">
        <v>691</v>
      </c>
      <c r="HB2098" s="4">
        <v>686</v>
      </c>
      <c r="HC2098" s="4">
        <v>681</v>
      </c>
      <c r="HD2098" s="19">
        <v>70.3</v>
      </c>
      <c r="HE2098" s="19">
        <v>162.4</v>
      </c>
      <c r="HF2098" s="19">
        <v>134.5</v>
      </c>
      <c r="HG2098" s="19">
        <v>133.7</v>
      </c>
      <c r="HH2098" s="19">
        <v>113.9</v>
      </c>
      <c r="HI2098" s="19">
        <v>99</v>
      </c>
      <c r="HJ2098" s="19">
        <v>111.9</v>
      </c>
      <c r="HK2098" s="19">
        <v>129.3</v>
      </c>
      <c r="HL2098" s="19">
        <v>128</v>
      </c>
      <c r="HM2098" s="19">
        <v>152.2</v>
      </c>
      <c r="HN2098" s="19">
        <v>151.2</v>
      </c>
      <c r="HO2098" s="19">
        <v>150.2</v>
      </c>
      <c r="HP2098" s="19">
        <v>149.2</v>
      </c>
      <c r="HQ2098" s="19">
        <v>148.2</v>
      </c>
      <c r="HR2098" s="19">
        <v>147.2</v>
      </c>
      <c r="HS2098" s="19">
        <v>146.2</v>
      </c>
      <c r="HT2098" s="19">
        <v>145.2</v>
      </c>
      <c r="HU2098" s="19">
        <v>144.2</v>
      </c>
      <c r="HV2098" s="19">
        <v>143.2</v>
      </c>
      <c r="HW2098" s="19">
        <v>142.2</v>
      </c>
      <c r="HX2098" s="19">
        <v>141.2</v>
      </c>
      <c r="HY2098" s="19">
        <v>140.2</v>
      </c>
      <c r="HZ2098" s="19">
        <v>139.2</v>
      </c>
      <c r="IA2098" s="19">
        <v>115.2</v>
      </c>
      <c r="IB2098" s="19">
        <v>98</v>
      </c>
      <c r="IC2098" s="19">
        <v>85.1</v>
      </c>
    </row>
    <row r="2099">
      <c r="A2099" s="2" t="s">
        <v>7575</v>
      </c>
      <c r="B2099" s="2" t="s">
        <v>905</v>
      </c>
      <c r="C2099" s="2" t="s">
        <v>324</v>
      </c>
      <c r="D2099" s="2" t="s">
        <v>981</v>
      </c>
      <c r="E2099" s="2" t="s">
        <v>982</v>
      </c>
      <c r="F2099" s="2" t="s">
        <v>7217</v>
      </c>
      <c r="G2099" s="2" t="s">
        <v>7217</v>
      </c>
      <c r="H2099" s="2" t="s">
        <v>7217</v>
      </c>
      <c r="I2099" s="2" t="s">
        <v>7545</v>
      </c>
      <c r="J2099" s="2" t="s">
        <v>7559</v>
      </c>
      <c r="K2099" s="2" t="s">
        <v>292</v>
      </c>
      <c r="L2099" s="3">
        <v>20.99</v>
      </c>
      <c r="M2099" s="3">
        <v>22.04</v>
      </c>
      <c r="N2099" s="3">
        <v>34.99</v>
      </c>
      <c r="O2099" s="2" t="s">
        <v>232</v>
      </c>
      <c r="P2099" s="2" t="s">
        <v>878</v>
      </c>
      <c r="Q2099" s="2" t="s">
        <v>234</v>
      </c>
      <c r="R2099" s="2" t="s">
        <v>235</v>
      </c>
      <c r="S2099" s="2" t="s">
        <v>235</v>
      </c>
      <c r="T2099" s="2" t="s">
        <v>235</v>
      </c>
      <c r="U2099" s="2" t="s">
        <v>807</v>
      </c>
      <c r="V2099" s="2" t="s">
        <v>1693</v>
      </c>
      <c r="W2099" s="2" t="s">
        <v>235</v>
      </c>
      <c r="X2099" s="2" t="s">
        <v>235</v>
      </c>
      <c r="Y2099" s="2" t="s">
        <v>2564</v>
      </c>
      <c r="Z2099" s="4">
        <v>1029</v>
      </c>
      <c r="AA2099" s="4">
        <f>=ROUNDDOWN(411.6,0)</f>
      </c>
      <c r="AB2099" s="5">
        <v>2.5</v>
      </c>
      <c r="AC2099" s="2" t="s">
        <v>235</v>
      </c>
      <c r="AD2099" s="4"/>
      <c r="AE2099" s="4"/>
      <c r="AF2099" s="6">
        <v>66</v>
      </c>
      <c r="AG2099" s="6"/>
      <c r="AH2099" s="7">
        <v>1</v>
      </c>
      <c r="AI2099" s="4"/>
      <c r="AJ2099" s="4">
        <f>=ROUNDDOWN({0},0)</f>
      </c>
      <c r="AK2099" s="5"/>
      <c r="AL2099" s="2" t="s">
        <v>235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235</v>
      </c>
      <c r="AW2099" s="8" t="s">
        <v>235</v>
      </c>
      <c r="AX2099" s="4" t="s">
        <v>235</v>
      </c>
      <c r="AY2099" s="8" t="s">
        <v>235</v>
      </c>
      <c r="AZ2099" s="7" t="s">
        <v>235</v>
      </c>
      <c r="BA2099" s="7" t="s">
        <v>235</v>
      </c>
      <c r="BB2099" s="7"/>
      <c r="BC2099" s="4" t="s">
        <v>235</v>
      </c>
      <c r="BD2099" s="8" t="s">
        <v>235</v>
      </c>
      <c r="BE2099" s="4" t="s">
        <v>235</v>
      </c>
      <c r="BF2099" s="8" t="s">
        <v>235</v>
      </c>
      <c r="BG2099" s="7" t="s">
        <v>235</v>
      </c>
      <c r="BH2099" s="7" t="s">
        <v>235</v>
      </c>
      <c r="BI2099" s="7"/>
      <c r="BJ2099" s="4"/>
      <c r="BK2099" s="8"/>
      <c r="BL2099" s="2" t="s">
        <v>235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7547</v>
      </c>
      <c r="BV2099" s="2" t="s">
        <v>235</v>
      </c>
      <c r="BW2099" s="2" t="s">
        <v>235</v>
      </c>
      <c r="BX2099" s="2" t="s">
        <v>244</v>
      </c>
      <c r="BY2099" s="2" t="s">
        <v>245</v>
      </c>
      <c r="BZ2099" s="2" t="s">
        <v>232</v>
      </c>
      <c r="CA2099" s="2" t="s">
        <v>235</v>
      </c>
      <c r="CB2099" s="2" t="s">
        <v>235</v>
      </c>
      <c r="CC2099" s="2" t="s">
        <v>248</v>
      </c>
      <c r="CD2099" s="2" t="s">
        <v>248</v>
      </c>
      <c r="CE2099" s="2" t="s">
        <v>235</v>
      </c>
      <c r="CF2099" s="4"/>
      <c r="CG2099" s="4">
        <v>146</v>
      </c>
      <c r="CH2099" s="4"/>
      <c r="CI2099" s="4">
        <v>883</v>
      </c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>
        <v>1029</v>
      </c>
      <c r="GE2099" s="4">
        <v>1014</v>
      </c>
      <c r="GF2099" s="4">
        <v>1011</v>
      </c>
      <c r="GG2099" s="4">
        <v>1008</v>
      </c>
      <c r="GH2099" s="4">
        <v>1005</v>
      </c>
      <c r="GI2099" s="4">
        <v>1002</v>
      </c>
      <c r="GJ2099" s="4">
        <v>997</v>
      </c>
      <c r="GK2099" s="4">
        <v>993</v>
      </c>
      <c r="GL2099" s="4">
        <v>988</v>
      </c>
      <c r="GM2099" s="4">
        <v>984</v>
      </c>
      <c r="GN2099" s="4">
        <v>981</v>
      </c>
      <c r="GO2099" s="4">
        <v>978</v>
      </c>
      <c r="GP2099" s="4">
        <v>975</v>
      </c>
      <c r="GQ2099" s="4">
        <v>972</v>
      </c>
      <c r="GR2099" s="4">
        <v>969</v>
      </c>
      <c r="GS2099" s="4">
        <v>966</v>
      </c>
      <c r="GT2099" s="4">
        <v>963</v>
      </c>
      <c r="GU2099" s="4">
        <v>960</v>
      </c>
      <c r="GV2099" s="4">
        <v>957</v>
      </c>
      <c r="GW2099" s="4">
        <v>954</v>
      </c>
      <c r="GX2099" s="4">
        <v>951</v>
      </c>
      <c r="GY2099" s="4">
        <v>948</v>
      </c>
      <c r="GZ2099" s="4">
        <v>945</v>
      </c>
      <c r="HA2099" s="4">
        <v>942</v>
      </c>
      <c r="HB2099" s="4">
        <v>939</v>
      </c>
      <c r="HC2099" s="4">
        <v>936</v>
      </c>
      <c r="HD2099" s="19">
        <v>171.5</v>
      </c>
      <c r="HE2099" s="19">
        <v>338</v>
      </c>
      <c r="HF2099" s="19">
        <v>252.8</v>
      </c>
      <c r="HG2099" s="19">
        <v>252</v>
      </c>
      <c r="HH2099" s="19">
        <v>251.3</v>
      </c>
      <c r="HI2099" s="19">
        <v>250.5</v>
      </c>
      <c r="HJ2099" s="19">
        <v>249.3</v>
      </c>
      <c r="HK2099" s="19">
        <v>248.3</v>
      </c>
      <c r="HL2099" s="19">
        <v>329.3</v>
      </c>
      <c r="HM2099" s="19">
        <v>328</v>
      </c>
      <c r="HN2099" s="19">
        <v>327</v>
      </c>
      <c r="HO2099" s="19">
        <v>326</v>
      </c>
      <c r="HP2099" s="19">
        <v>325</v>
      </c>
      <c r="HQ2099" s="19">
        <v>324</v>
      </c>
      <c r="HR2099" s="19">
        <v>323</v>
      </c>
      <c r="HS2099" s="19">
        <v>322</v>
      </c>
      <c r="HT2099" s="19">
        <v>321</v>
      </c>
      <c r="HU2099" s="19">
        <v>320</v>
      </c>
      <c r="HV2099" s="19">
        <v>319</v>
      </c>
      <c r="HW2099" s="19">
        <v>318</v>
      </c>
      <c r="HX2099" s="19">
        <v>317</v>
      </c>
      <c r="HY2099" s="19">
        <v>316</v>
      </c>
      <c r="HZ2099" s="19">
        <v>315</v>
      </c>
      <c r="IA2099" s="19">
        <v>235.5</v>
      </c>
      <c r="IB2099" s="19">
        <v>234.8</v>
      </c>
      <c r="IC2099" s="19">
        <v>234</v>
      </c>
    </row>
    <row r="2100">
      <c r="A2100" s="2" t="s">
        <v>7576</v>
      </c>
      <c r="B2100" s="2" t="s">
        <v>905</v>
      </c>
      <c r="C2100" s="2" t="s">
        <v>678</v>
      </c>
      <c r="D2100" s="2" t="s">
        <v>1177</v>
      </c>
      <c r="E2100" s="2" t="s">
        <v>1178</v>
      </c>
      <c r="F2100" s="2" t="s">
        <v>7217</v>
      </c>
      <c r="G2100" s="2" t="s">
        <v>7524</v>
      </c>
      <c r="H2100" s="2" t="s">
        <v>7524</v>
      </c>
      <c r="I2100" s="2" t="s">
        <v>7532</v>
      </c>
      <c r="J2100" s="2" t="s">
        <v>2041</v>
      </c>
      <c r="K2100" s="2" t="s">
        <v>7577</v>
      </c>
      <c r="L2100" s="3">
        <v>41.7</v>
      </c>
      <c r="M2100" s="3">
        <v>43.78</v>
      </c>
      <c r="N2100" s="3">
        <v>94.99</v>
      </c>
      <c r="O2100" s="2" t="s">
        <v>232</v>
      </c>
      <c r="P2100" s="2" t="s">
        <v>878</v>
      </c>
      <c r="Q2100" s="2" t="s">
        <v>234</v>
      </c>
      <c r="R2100" s="2" t="s">
        <v>235</v>
      </c>
      <c r="S2100" s="2" t="s">
        <v>7534</v>
      </c>
      <c r="T2100" s="2" t="s">
        <v>912</v>
      </c>
      <c r="U2100" s="2" t="s">
        <v>807</v>
      </c>
      <c r="V2100" s="2" t="s">
        <v>238</v>
      </c>
      <c r="W2100" s="2" t="s">
        <v>329</v>
      </c>
      <c r="X2100" s="2" t="s">
        <v>1157</v>
      </c>
      <c r="Y2100" s="2" t="s">
        <v>2187</v>
      </c>
      <c r="Z2100" s="4">
        <v>218</v>
      </c>
      <c r="AA2100" s="4">
        <f>=ROUNDDOWN(13.625,0)</f>
      </c>
      <c r="AB2100" s="5">
        <v>16</v>
      </c>
      <c r="AC2100" s="2" t="s">
        <v>235</v>
      </c>
      <c r="AD2100" s="4"/>
      <c r="AE2100" s="4"/>
      <c r="AF2100" s="6">
        <v>66</v>
      </c>
      <c r="AG2100" s="6"/>
      <c r="AH2100" s="7">
        <v>1</v>
      </c>
      <c r="AI2100" s="4"/>
      <c r="AJ2100" s="4">
        <f>=ROUNDDOWN({0},0)</f>
      </c>
      <c r="AK2100" s="5"/>
      <c r="AL2100" s="2" t="s">
        <v>235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/>
      <c r="AW2100" s="8"/>
      <c r="AX2100" s="4"/>
      <c r="AY2100" s="8"/>
      <c r="AZ2100" s="7"/>
      <c r="BA2100" s="7"/>
      <c r="BB2100" s="7"/>
      <c r="BC2100" s="4" t="s">
        <v>235</v>
      </c>
      <c r="BD2100" s="8" t="s">
        <v>235</v>
      </c>
      <c r="BE2100" s="4" t="s">
        <v>235</v>
      </c>
      <c r="BF2100" s="8" t="s">
        <v>235</v>
      </c>
      <c r="BG2100" s="7" t="s">
        <v>235</v>
      </c>
      <c r="BH2100" s="7" t="s">
        <v>235</v>
      </c>
      <c r="BI2100" s="7"/>
      <c r="BJ2100" s="4">
        <v>19</v>
      </c>
      <c r="BK2100" s="8">
        <v>883.19</v>
      </c>
      <c r="BL2100" s="2" t="s">
        <v>1206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7535</v>
      </c>
      <c r="BV2100" s="2" t="s">
        <v>243</v>
      </c>
      <c r="BW2100" s="2" t="s">
        <v>235</v>
      </c>
      <c r="BX2100" s="2" t="s">
        <v>244</v>
      </c>
      <c r="BY2100" s="2" t="s">
        <v>245</v>
      </c>
      <c r="BZ2100" s="2" t="s">
        <v>232</v>
      </c>
      <c r="CA2100" s="2" t="s">
        <v>1186</v>
      </c>
      <c r="CB2100" s="2" t="s">
        <v>2842</v>
      </c>
      <c r="CC2100" s="2" t="s">
        <v>248</v>
      </c>
      <c r="CD2100" s="2" t="s">
        <v>248</v>
      </c>
      <c r="CE2100" s="2" t="s">
        <v>235</v>
      </c>
      <c r="CF2100" s="4">
        <v>218</v>
      </c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>
        <v>219</v>
      </c>
      <c r="GE2100" s="4">
        <v>212</v>
      </c>
      <c r="GF2100" s="4">
        <v>206</v>
      </c>
      <c r="GG2100" s="4">
        <v>200</v>
      </c>
      <c r="GH2100" s="4">
        <v>194</v>
      </c>
      <c r="GI2100" s="4">
        <v>188</v>
      </c>
      <c r="GJ2100" s="4">
        <v>182</v>
      </c>
      <c r="GK2100" s="4">
        <v>163</v>
      </c>
      <c r="GL2100" s="4">
        <v>142</v>
      </c>
      <c r="GM2100" s="4">
        <v>122</v>
      </c>
      <c r="GN2100" s="4">
        <v>112</v>
      </c>
      <c r="GO2100" s="4">
        <v>95</v>
      </c>
      <c r="GP2100" s="4">
        <v>68</v>
      </c>
      <c r="GQ2100" s="4">
        <v>36</v>
      </c>
      <c r="GR2100" s="4"/>
      <c r="GS2100" s="4"/>
      <c r="GT2100" s="4"/>
      <c r="GU2100" s="4"/>
      <c r="GV2100" s="4"/>
      <c r="GW2100" s="4"/>
      <c r="GX2100" s="4">
        <v>507</v>
      </c>
      <c r="GY2100" s="4">
        <v>488</v>
      </c>
      <c r="GZ2100" s="4">
        <v>473</v>
      </c>
      <c r="HA2100" s="4">
        <v>458</v>
      </c>
      <c r="HB2100" s="4">
        <v>443</v>
      </c>
      <c r="HC2100" s="4">
        <v>428</v>
      </c>
      <c r="HD2100" s="19">
        <v>36.5</v>
      </c>
      <c r="HE2100" s="19">
        <v>35.3</v>
      </c>
      <c r="HF2100" s="19">
        <v>34.3</v>
      </c>
      <c r="HG2100" s="19">
        <v>22.2</v>
      </c>
      <c r="HH2100" s="19">
        <v>14.9</v>
      </c>
      <c r="HI2100" s="19">
        <v>11.8</v>
      </c>
      <c r="HJ2100" s="19">
        <v>10.1</v>
      </c>
      <c r="HK2100" s="19">
        <v>9.6</v>
      </c>
      <c r="HL2100" s="19">
        <v>7.9</v>
      </c>
      <c r="HM2100" s="19">
        <v>5.5</v>
      </c>
      <c r="HN2100" s="19">
        <v>2.9</v>
      </c>
      <c r="HO2100" s="19">
        <v>1.7</v>
      </c>
      <c r="HP2100" s="19">
        <v>0.9</v>
      </c>
      <c r="HQ2100" s="19">
        <v>0.5</v>
      </c>
      <c r="HR2100" s="20">
        <v>0</v>
      </c>
      <c r="HS2100" s="20">
        <v>0</v>
      </c>
      <c r="HT2100" s="20">
        <v>0</v>
      </c>
      <c r="HU2100" s="20">
        <v>0</v>
      </c>
      <c r="HV2100" s="20">
        <v>0</v>
      </c>
      <c r="HW2100" s="20">
        <v>0</v>
      </c>
      <c r="HX2100" s="19">
        <v>31.7</v>
      </c>
      <c r="HY2100" s="19">
        <v>32.5</v>
      </c>
      <c r="HZ2100" s="19">
        <v>33.8</v>
      </c>
      <c r="IA2100" s="19">
        <v>38.2</v>
      </c>
      <c r="IB2100" s="19">
        <v>44.3</v>
      </c>
      <c r="IC2100" s="19">
        <v>47.6</v>
      </c>
    </row>
    <row r="2101">
      <c r="A2101" s="2" t="s">
        <v>7578</v>
      </c>
      <c r="B2101" s="2" t="s">
        <v>905</v>
      </c>
      <c r="C2101" s="2" t="s">
        <v>324</v>
      </c>
      <c r="D2101" s="2" t="s">
        <v>361</v>
      </c>
      <c r="E2101" s="2" t="s">
        <v>872</v>
      </c>
      <c r="F2101" s="2" t="s">
        <v>7217</v>
      </c>
      <c r="G2101" s="2" t="s">
        <v>7524</v>
      </c>
      <c r="H2101" s="2" t="s">
        <v>7524</v>
      </c>
      <c r="I2101" s="2" t="s">
        <v>7537</v>
      </c>
      <c r="J2101" s="2" t="s">
        <v>365</v>
      </c>
      <c r="K2101" s="2" t="s">
        <v>5192</v>
      </c>
      <c r="L2101" s="3">
        <v>54.24</v>
      </c>
      <c r="M2101" s="3">
        <v>56.95</v>
      </c>
      <c r="N2101" s="3">
        <v>124.99</v>
      </c>
      <c r="O2101" s="2" t="s">
        <v>232</v>
      </c>
      <c r="P2101" s="2" t="s">
        <v>233</v>
      </c>
      <c r="Q2101" s="2" t="s">
        <v>234</v>
      </c>
      <c r="R2101" s="2" t="s">
        <v>235</v>
      </c>
      <c r="S2101" s="2" t="s">
        <v>7579</v>
      </c>
      <c r="T2101" s="2" t="s">
        <v>912</v>
      </c>
      <c r="U2101" s="2" t="s">
        <v>235</v>
      </c>
      <c r="V2101" s="2" t="s">
        <v>1693</v>
      </c>
      <c r="W2101" s="2" t="s">
        <v>329</v>
      </c>
      <c r="X2101" s="2" t="s">
        <v>4051</v>
      </c>
      <c r="Y2101" s="2" t="s">
        <v>2530</v>
      </c>
      <c r="Z2101" s="4">
        <v>354</v>
      </c>
      <c r="AA2101" s="4">
        <f>=ROUNDDOWN(118,0)</f>
      </c>
      <c r="AB2101" s="5">
        <v>3</v>
      </c>
      <c r="AC2101" s="2" t="s">
        <v>209</v>
      </c>
      <c r="AD2101" s="4">
        <v>150</v>
      </c>
      <c r="AE2101" s="4">
        <v>150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235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/>
      <c r="AW2101" s="8"/>
      <c r="AX2101" s="4"/>
      <c r="AY2101" s="8"/>
      <c r="AZ2101" s="7"/>
      <c r="BA2101" s="7"/>
      <c r="BB2101" s="7"/>
      <c r="BC2101" s="4" t="s">
        <v>235</v>
      </c>
      <c r="BD2101" s="8" t="s">
        <v>235</v>
      </c>
      <c r="BE2101" s="4" t="s">
        <v>235</v>
      </c>
      <c r="BF2101" s="8" t="s">
        <v>235</v>
      </c>
      <c r="BG2101" s="7" t="s">
        <v>235</v>
      </c>
      <c r="BH2101" s="7" t="s">
        <v>235</v>
      </c>
      <c r="BI2101" s="7"/>
      <c r="BJ2101" s="4">
        <v>4</v>
      </c>
      <c r="BK2101" s="8">
        <v>220.2</v>
      </c>
      <c r="BL2101" s="2" t="s">
        <v>7580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7542</v>
      </c>
      <c r="BV2101" s="2" t="s">
        <v>243</v>
      </c>
      <c r="BW2101" s="2" t="s">
        <v>235</v>
      </c>
      <c r="BX2101" s="2" t="s">
        <v>4145</v>
      </c>
      <c r="BY2101" s="2" t="s">
        <v>245</v>
      </c>
      <c r="BZ2101" s="2" t="s">
        <v>232</v>
      </c>
      <c r="CA2101" s="2" t="s">
        <v>2530</v>
      </c>
      <c r="CB2101" s="2" t="s">
        <v>3348</v>
      </c>
      <c r="CC2101" s="2" t="s">
        <v>248</v>
      </c>
      <c r="CD2101" s="2" t="s">
        <v>248</v>
      </c>
      <c r="CE2101" s="2" t="s">
        <v>235</v>
      </c>
      <c r="CF2101" s="4">
        <v>265</v>
      </c>
      <c r="CG2101" s="4"/>
      <c r="CH2101" s="4"/>
      <c r="CI2101" s="4">
        <v>89</v>
      </c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>
        <v>150</v>
      </c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>
        <v>354</v>
      </c>
      <c r="GE2101" s="4">
        <v>348</v>
      </c>
      <c r="GF2101" s="4">
        <v>346</v>
      </c>
      <c r="GG2101" s="4">
        <v>344</v>
      </c>
      <c r="GH2101" s="4">
        <v>342</v>
      </c>
      <c r="GI2101" s="4">
        <v>335</v>
      </c>
      <c r="GJ2101" s="4">
        <v>328</v>
      </c>
      <c r="GK2101" s="4">
        <v>321</v>
      </c>
      <c r="GL2101" s="4">
        <v>314</v>
      </c>
      <c r="GM2101" s="4">
        <v>307</v>
      </c>
      <c r="GN2101" s="4">
        <v>301</v>
      </c>
      <c r="GO2101" s="4">
        <v>291</v>
      </c>
      <c r="GP2101" s="4">
        <v>280</v>
      </c>
      <c r="GQ2101" s="4">
        <v>256</v>
      </c>
      <c r="GR2101" s="4">
        <v>238</v>
      </c>
      <c r="GS2101" s="4">
        <v>216</v>
      </c>
      <c r="GT2101" s="4">
        <v>354</v>
      </c>
      <c r="GU2101" s="4">
        <v>346</v>
      </c>
      <c r="GV2101" s="4">
        <v>337</v>
      </c>
      <c r="GW2101" s="4">
        <v>328</v>
      </c>
      <c r="GX2101" s="4">
        <v>319</v>
      </c>
      <c r="GY2101" s="4">
        <v>310</v>
      </c>
      <c r="GZ2101" s="4">
        <v>304</v>
      </c>
      <c r="HA2101" s="4">
        <v>301</v>
      </c>
      <c r="HB2101" s="4">
        <v>298</v>
      </c>
      <c r="HC2101" s="4">
        <v>295</v>
      </c>
      <c r="HD2101" s="19">
        <v>118</v>
      </c>
      <c r="HE2101" s="19">
        <v>116</v>
      </c>
      <c r="HF2101" s="19">
        <v>86.5</v>
      </c>
      <c r="HG2101" s="19">
        <v>57.3</v>
      </c>
      <c r="HH2101" s="19">
        <v>48.9</v>
      </c>
      <c r="HI2101" s="19">
        <v>47.9</v>
      </c>
      <c r="HJ2101" s="19">
        <v>46.9</v>
      </c>
      <c r="HK2101" s="19">
        <v>40.1</v>
      </c>
      <c r="HL2101" s="19">
        <v>39.3</v>
      </c>
      <c r="HM2101" s="19">
        <v>23.6</v>
      </c>
      <c r="HN2101" s="19">
        <v>18.8</v>
      </c>
      <c r="HO2101" s="19">
        <v>15.3</v>
      </c>
      <c r="HP2101" s="19">
        <v>14.7</v>
      </c>
      <c r="HQ2101" s="19">
        <v>17.1</v>
      </c>
      <c r="HR2101" s="19">
        <v>18.3</v>
      </c>
      <c r="HS2101" s="19">
        <v>21.6</v>
      </c>
      <c r="HT2101" s="19">
        <v>39.3</v>
      </c>
      <c r="HU2101" s="19">
        <v>38.4</v>
      </c>
      <c r="HV2101" s="19">
        <v>42.1</v>
      </c>
      <c r="HW2101" s="19">
        <v>46.9</v>
      </c>
      <c r="HX2101" s="19">
        <v>63.8</v>
      </c>
      <c r="HY2101" s="19">
        <v>77.5</v>
      </c>
      <c r="HZ2101" s="19">
        <v>101.3</v>
      </c>
      <c r="IA2101" s="19">
        <v>100.3</v>
      </c>
      <c r="IB2101" s="19">
        <v>99.3</v>
      </c>
      <c r="IC2101" s="19">
        <v>98.3</v>
      </c>
    </row>
    <row r="2102">
      <c r="A2102" s="2" t="s">
        <v>7581</v>
      </c>
      <c r="B2102" s="2" t="s">
        <v>905</v>
      </c>
      <c r="C2102" s="2" t="s">
        <v>324</v>
      </c>
      <c r="D2102" s="2" t="s">
        <v>981</v>
      </c>
      <c r="E2102" s="2" t="s">
        <v>982</v>
      </c>
      <c r="F2102" s="2" t="s">
        <v>7217</v>
      </c>
      <c r="G2102" s="2" t="s">
        <v>7217</v>
      </c>
      <c r="H2102" s="2" t="s">
        <v>7217</v>
      </c>
      <c r="I2102" s="2" t="s">
        <v>7545</v>
      </c>
      <c r="J2102" s="2" t="s">
        <v>7546</v>
      </c>
      <c r="K2102" s="2" t="s">
        <v>1964</v>
      </c>
      <c r="L2102" s="3">
        <v>17.99</v>
      </c>
      <c r="M2102" s="3">
        <v>18.89</v>
      </c>
      <c r="N2102" s="3">
        <v>29.99</v>
      </c>
      <c r="O2102" s="2" t="s">
        <v>232</v>
      </c>
      <c r="P2102" s="2" t="s">
        <v>878</v>
      </c>
      <c r="Q2102" s="2" t="s">
        <v>234</v>
      </c>
      <c r="R2102" s="2" t="s">
        <v>235</v>
      </c>
      <c r="S2102" s="2" t="s">
        <v>235</v>
      </c>
      <c r="T2102" s="2" t="s">
        <v>235</v>
      </c>
      <c r="U2102" s="2" t="s">
        <v>807</v>
      </c>
      <c r="V2102" s="2" t="s">
        <v>1693</v>
      </c>
      <c r="W2102" s="2" t="s">
        <v>235</v>
      </c>
      <c r="X2102" s="2" t="s">
        <v>235</v>
      </c>
      <c r="Y2102" s="2" t="s">
        <v>2564</v>
      </c>
      <c r="Z2102" s="4">
        <v>51</v>
      </c>
      <c r="AA2102" s="4">
        <f>=ROUNDDOWN(5.42553191489362,0)</f>
      </c>
      <c r="AB2102" s="5">
        <v>9.4</v>
      </c>
      <c r="AC2102" s="2" t="s">
        <v>235</v>
      </c>
      <c r="AD2102" s="4"/>
      <c r="AE2102" s="4"/>
      <c r="AF2102" s="6">
        <v>66</v>
      </c>
      <c r="AG2102" s="6"/>
      <c r="AH2102" s="7">
        <v>1</v>
      </c>
      <c r="AI2102" s="4"/>
      <c r="AJ2102" s="4">
        <f>=ROUNDDOWN({0},0)</f>
      </c>
      <c r="AK2102" s="5"/>
      <c r="AL2102" s="2" t="s">
        <v>235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235</v>
      </c>
      <c r="AW2102" s="8" t="s">
        <v>235</v>
      </c>
      <c r="AX2102" s="4" t="s">
        <v>235</v>
      </c>
      <c r="AY2102" s="8" t="s">
        <v>235</v>
      </c>
      <c r="AZ2102" s="7" t="s">
        <v>235</v>
      </c>
      <c r="BA2102" s="7" t="s">
        <v>235</v>
      </c>
      <c r="BB2102" s="7"/>
      <c r="BC2102" s="4" t="s">
        <v>235</v>
      </c>
      <c r="BD2102" s="8" t="s">
        <v>235</v>
      </c>
      <c r="BE2102" s="4" t="s">
        <v>235</v>
      </c>
      <c r="BF2102" s="8" t="s">
        <v>235</v>
      </c>
      <c r="BG2102" s="7" t="s">
        <v>235</v>
      </c>
      <c r="BH2102" s="7" t="s">
        <v>235</v>
      </c>
      <c r="BI2102" s="7"/>
      <c r="BJ2102" s="4">
        <v>35</v>
      </c>
      <c r="BK2102" s="8">
        <v>654.31</v>
      </c>
      <c r="BL2102" s="2" t="s">
        <v>1616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7547</v>
      </c>
      <c r="BV2102" s="2" t="s">
        <v>235</v>
      </c>
      <c r="BW2102" s="2" t="s">
        <v>235</v>
      </c>
      <c r="BX2102" s="2" t="s">
        <v>244</v>
      </c>
      <c r="BY2102" s="2" t="s">
        <v>245</v>
      </c>
      <c r="BZ2102" s="2" t="s">
        <v>232</v>
      </c>
      <c r="CA2102" s="2" t="s">
        <v>235</v>
      </c>
      <c r="CB2102" s="2" t="s">
        <v>235</v>
      </c>
      <c r="CC2102" s="2" t="s">
        <v>248</v>
      </c>
      <c r="CD2102" s="2" t="s">
        <v>248</v>
      </c>
      <c r="CE2102" s="2" t="s">
        <v>235</v>
      </c>
      <c r="CF2102" s="4"/>
      <c r="CG2102" s="4"/>
      <c r="CH2102" s="4"/>
      <c r="CI2102" s="4">
        <v>51</v>
      </c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>
        <v>57</v>
      </c>
      <c r="GE2102" s="4">
        <v>57</v>
      </c>
      <c r="GF2102" s="4">
        <v>57</v>
      </c>
      <c r="GG2102" s="4">
        <v>57</v>
      </c>
      <c r="GH2102" s="4">
        <v>57</v>
      </c>
      <c r="GI2102" s="4">
        <v>57</v>
      </c>
      <c r="GJ2102" s="4">
        <v>57</v>
      </c>
      <c r="GK2102" s="4">
        <v>57</v>
      </c>
      <c r="GL2102" s="4">
        <v>43</v>
      </c>
      <c r="GM2102" s="4">
        <v>31</v>
      </c>
      <c r="GN2102" s="4">
        <v>22</v>
      </c>
      <c r="GO2102" s="4">
        <v>13</v>
      </c>
      <c r="GP2102" s="4">
        <v>4</v>
      </c>
      <c r="GQ2102" s="4"/>
      <c r="GR2102" s="4"/>
      <c r="GS2102" s="4"/>
      <c r="GT2102" s="4"/>
      <c r="GU2102" s="4"/>
      <c r="GV2102" s="4"/>
      <c r="GW2102" s="4"/>
      <c r="GX2102" s="4">
        <v>349</v>
      </c>
      <c r="GY2102" s="4">
        <v>277</v>
      </c>
      <c r="GZ2102" s="4">
        <v>268</v>
      </c>
      <c r="HA2102" s="4">
        <v>259</v>
      </c>
      <c r="HB2102" s="4">
        <v>250</v>
      </c>
      <c r="HC2102" s="4">
        <v>241</v>
      </c>
      <c r="HD2102" s="9"/>
      <c r="HE2102" s="9"/>
      <c r="HF2102" s="9"/>
      <c r="HG2102" s="9"/>
      <c r="HH2102" s="19">
        <v>14.3</v>
      </c>
      <c r="HI2102" s="19">
        <v>9.5</v>
      </c>
      <c r="HJ2102" s="19">
        <v>6.3</v>
      </c>
      <c r="HK2102" s="19">
        <v>5.2</v>
      </c>
      <c r="HL2102" s="19">
        <v>4.3</v>
      </c>
      <c r="HM2102" s="19">
        <v>3.9</v>
      </c>
      <c r="HN2102" s="19">
        <v>3.7</v>
      </c>
      <c r="HO2102" s="19">
        <v>4.3</v>
      </c>
      <c r="HP2102" s="19">
        <v>4</v>
      </c>
      <c r="HQ2102" s="9"/>
      <c r="HR2102" s="9"/>
      <c r="HS2102" s="9"/>
      <c r="HT2102" s="9"/>
      <c r="HU2102" s="9"/>
      <c r="HV2102" s="9"/>
      <c r="HW2102" s="9"/>
      <c r="HX2102" s="19">
        <v>14</v>
      </c>
      <c r="HY2102" s="19">
        <v>30.8</v>
      </c>
      <c r="HZ2102" s="19">
        <v>29.8</v>
      </c>
      <c r="IA2102" s="19">
        <v>25.9</v>
      </c>
      <c r="IB2102" s="19">
        <v>20.8</v>
      </c>
      <c r="IC2102" s="19">
        <v>18.5</v>
      </c>
    </row>
    <row r="2103">
      <c r="A2103" s="2" t="s">
        <v>7582</v>
      </c>
      <c r="B2103" s="2" t="s">
        <v>905</v>
      </c>
      <c r="C2103" s="2" t="s">
        <v>324</v>
      </c>
      <c r="D2103" s="2" t="s">
        <v>981</v>
      </c>
      <c r="E2103" s="2" t="s">
        <v>982</v>
      </c>
      <c r="F2103" s="2" t="s">
        <v>7217</v>
      </c>
      <c r="G2103" s="2" t="s">
        <v>7217</v>
      </c>
      <c r="H2103" s="2" t="s">
        <v>7217</v>
      </c>
      <c r="I2103" s="2" t="s">
        <v>7545</v>
      </c>
      <c r="J2103" s="2" t="s">
        <v>7549</v>
      </c>
      <c r="K2103" s="2" t="s">
        <v>1964</v>
      </c>
      <c r="L2103" s="3">
        <v>23.99</v>
      </c>
      <c r="M2103" s="3">
        <v>25.19</v>
      </c>
      <c r="N2103" s="3">
        <v>39.99</v>
      </c>
      <c r="O2103" s="2" t="s">
        <v>232</v>
      </c>
      <c r="P2103" s="2" t="s">
        <v>878</v>
      </c>
      <c r="Q2103" s="2" t="s">
        <v>234</v>
      </c>
      <c r="R2103" s="2" t="s">
        <v>235</v>
      </c>
      <c r="S2103" s="2" t="s">
        <v>235</v>
      </c>
      <c r="T2103" s="2" t="s">
        <v>235</v>
      </c>
      <c r="U2103" s="2" t="s">
        <v>807</v>
      </c>
      <c r="V2103" s="2" t="s">
        <v>1693</v>
      </c>
      <c r="W2103" s="2" t="s">
        <v>235</v>
      </c>
      <c r="X2103" s="2" t="s">
        <v>235</v>
      </c>
      <c r="Y2103" s="2" t="s">
        <v>2564</v>
      </c>
      <c r="Z2103" s="4">
        <v>442</v>
      </c>
      <c r="AA2103" s="4">
        <f>=ROUNDDOWN(32.0289855072464,0)</f>
      </c>
      <c r="AB2103" s="5">
        <v>13.8</v>
      </c>
      <c r="AC2103" s="2" t="s">
        <v>235</v>
      </c>
      <c r="AD2103" s="4"/>
      <c r="AE2103" s="4"/>
      <c r="AF2103" s="6">
        <v>66</v>
      </c>
      <c r="AG2103" s="6"/>
      <c r="AH2103" s="7">
        <v>1</v>
      </c>
      <c r="AI2103" s="4"/>
      <c r="AJ2103" s="4">
        <f>=ROUNDDOWN({0},0)</f>
      </c>
      <c r="AK2103" s="5"/>
      <c r="AL2103" s="2" t="s">
        <v>235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235</v>
      </c>
      <c r="AW2103" s="8" t="s">
        <v>235</v>
      </c>
      <c r="AX2103" s="4" t="s">
        <v>235</v>
      </c>
      <c r="AY2103" s="8" t="s">
        <v>235</v>
      </c>
      <c r="AZ2103" s="7" t="s">
        <v>235</v>
      </c>
      <c r="BA2103" s="7" t="s">
        <v>235</v>
      </c>
      <c r="BB2103" s="7"/>
      <c r="BC2103" s="4" t="s">
        <v>235</v>
      </c>
      <c r="BD2103" s="8" t="s">
        <v>235</v>
      </c>
      <c r="BE2103" s="4" t="s">
        <v>235</v>
      </c>
      <c r="BF2103" s="8" t="s">
        <v>235</v>
      </c>
      <c r="BG2103" s="7" t="s">
        <v>235</v>
      </c>
      <c r="BH2103" s="7" t="s">
        <v>235</v>
      </c>
      <c r="BI2103" s="7"/>
      <c r="BJ2103" s="4">
        <v>36</v>
      </c>
      <c r="BK2103" s="8">
        <v>935.14</v>
      </c>
      <c r="BL2103" s="2" t="s">
        <v>5836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7547</v>
      </c>
      <c r="BV2103" s="2" t="s">
        <v>235</v>
      </c>
      <c r="BW2103" s="2" t="s">
        <v>235</v>
      </c>
      <c r="BX2103" s="2" t="s">
        <v>244</v>
      </c>
      <c r="BY2103" s="2" t="s">
        <v>245</v>
      </c>
      <c r="BZ2103" s="2" t="s">
        <v>232</v>
      </c>
      <c r="CA2103" s="2" t="s">
        <v>235</v>
      </c>
      <c r="CB2103" s="2" t="s">
        <v>737</v>
      </c>
      <c r="CC2103" s="2" t="s">
        <v>248</v>
      </c>
      <c r="CD2103" s="2" t="s">
        <v>248</v>
      </c>
      <c r="CE2103" s="2" t="s">
        <v>235</v>
      </c>
      <c r="CF2103" s="4"/>
      <c r="CG2103" s="4"/>
      <c r="CH2103" s="4"/>
      <c r="CI2103" s="4">
        <v>442</v>
      </c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>
        <v>513</v>
      </c>
      <c r="GE2103" s="4">
        <v>456</v>
      </c>
      <c r="GF2103" s="4">
        <v>454</v>
      </c>
      <c r="GG2103" s="4">
        <v>452</v>
      </c>
      <c r="GH2103" s="4">
        <v>450</v>
      </c>
      <c r="GI2103" s="4">
        <v>448</v>
      </c>
      <c r="GJ2103" s="4">
        <v>446</v>
      </c>
      <c r="GK2103" s="4">
        <v>444</v>
      </c>
      <c r="GL2103" s="4">
        <v>442</v>
      </c>
      <c r="GM2103" s="4">
        <v>430</v>
      </c>
      <c r="GN2103" s="4">
        <v>416</v>
      </c>
      <c r="GO2103" s="4">
        <v>402</v>
      </c>
      <c r="GP2103" s="4">
        <v>388</v>
      </c>
      <c r="GQ2103" s="4">
        <v>373</v>
      </c>
      <c r="GR2103" s="4">
        <v>358</v>
      </c>
      <c r="GS2103" s="4">
        <v>343</v>
      </c>
      <c r="GT2103" s="4">
        <v>328</v>
      </c>
      <c r="GU2103" s="4">
        <v>314</v>
      </c>
      <c r="GV2103" s="4">
        <v>300</v>
      </c>
      <c r="GW2103" s="4">
        <v>286</v>
      </c>
      <c r="GX2103" s="4">
        <v>445</v>
      </c>
      <c r="GY2103" s="4">
        <v>431</v>
      </c>
      <c r="GZ2103" s="4">
        <v>417</v>
      </c>
      <c r="HA2103" s="4">
        <v>403</v>
      </c>
      <c r="HB2103" s="4">
        <v>389</v>
      </c>
      <c r="HC2103" s="4">
        <v>375</v>
      </c>
      <c r="HD2103" s="19">
        <v>32.1</v>
      </c>
      <c r="HE2103" s="19">
        <v>228</v>
      </c>
      <c r="HF2103" s="19">
        <v>227</v>
      </c>
      <c r="HG2103" s="19">
        <v>226</v>
      </c>
      <c r="HH2103" s="19">
        <v>225</v>
      </c>
      <c r="HI2103" s="19">
        <v>112</v>
      </c>
      <c r="HJ2103" s="19">
        <v>55.8</v>
      </c>
      <c r="HK2103" s="19">
        <v>44.4</v>
      </c>
      <c r="HL2103" s="19">
        <v>31.6</v>
      </c>
      <c r="HM2103" s="19">
        <v>30.7</v>
      </c>
      <c r="HN2103" s="19">
        <v>29.7</v>
      </c>
      <c r="HO2103" s="19">
        <v>26.8</v>
      </c>
      <c r="HP2103" s="19">
        <v>25.9</v>
      </c>
      <c r="HQ2103" s="19">
        <v>24.9</v>
      </c>
      <c r="HR2103" s="19">
        <v>25.6</v>
      </c>
      <c r="HS2103" s="19">
        <v>24.5</v>
      </c>
      <c r="HT2103" s="19">
        <v>23.4</v>
      </c>
      <c r="HU2103" s="19">
        <v>22.4</v>
      </c>
      <c r="HV2103" s="19">
        <v>21.4</v>
      </c>
      <c r="HW2103" s="19">
        <v>20.4</v>
      </c>
      <c r="HX2103" s="19">
        <v>31.8</v>
      </c>
      <c r="HY2103" s="19">
        <v>30.8</v>
      </c>
      <c r="HZ2103" s="19">
        <v>29.8</v>
      </c>
      <c r="IA2103" s="19">
        <v>25.2</v>
      </c>
      <c r="IB2103" s="19">
        <v>21.6</v>
      </c>
      <c r="IC2103" s="19">
        <v>19.7</v>
      </c>
    </row>
    <row r="2104">
      <c r="A2104" s="2" t="s">
        <v>7583</v>
      </c>
      <c r="B2104" s="2" t="s">
        <v>905</v>
      </c>
      <c r="C2104" s="2" t="s">
        <v>324</v>
      </c>
      <c r="D2104" s="2" t="s">
        <v>981</v>
      </c>
      <c r="E2104" s="2" t="s">
        <v>982</v>
      </c>
      <c r="F2104" s="2" t="s">
        <v>7217</v>
      </c>
      <c r="G2104" s="2" t="s">
        <v>7217</v>
      </c>
      <c r="H2104" s="2" t="s">
        <v>7217</v>
      </c>
      <c r="I2104" s="2" t="s">
        <v>7545</v>
      </c>
      <c r="J2104" s="2" t="s">
        <v>7559</v>
      </c>
      <c r="K2104" s="2" t="s">
        <v>1964</v>
      </c>
      <c r="L2104" s="3">
        <v>20.99</v>
      </c>
      <c r="M2104" s="3">
        <v>22.04</v>
      </c>
      <c r="N2104" s="3">
        <v>34.99</v>
      </c>
      <c r="O2104" s="2" t="s">
        <v>232</v>
      </c>
      <c r="P2104" s="2" t="s">
        <v>878</v>
      </c>
      <c r="Q2104" s="2" t="s">
        <v>234</v>
      </c>
      <c r="R2104" s="2" t="s">
        <v>235</v>
      </c>
      <c r="S2104" s="2" t="s">
        <v>235</v>
      </c>
      <c r="T2104" s="2" t="s">
        <v>235</v>
      </c>
      <c r="U2104" s="2" t="s">
        <v>807</v>
      </c>
      <c r="V2104" s="2" t="s">
        <v>1693</v>
      </c>
      <c r="W2104" s="2" t="s">
        <v>235</v>
      </c>
      <c r="X2104" s="2" t="s">
        <v>235</v>
      </c>
      <c r="Y2104" s="2" t="s">
        <v>2564</v>
      </c>
      <c r="Z2104" s="4">
        <v>805</v>
      </c>
      <c r="AA2104" s="4">
        <f>=ROUNDDOWN(120.149253731343,0)</f>
      </c>
      <c r="AB2104" s="5">
        <v>6.7</v>
      </c>
      <c r="AC2104" s="2" t="s">
        <v>235</v>
      </c>
      <c r="AD2104" s="4"/>
      <c r="AE2104" s="4"/>
      <c r="AF2104" s="6">
        <v>66</v>
      </c>
      <c r="AG2104" s="6"/>
      <c r="AH2104" s="7">
        <v>1</v>
      </c>
      <c r="AI2104" s="4"/>
      <c r="AJ2104" s="4">
        <f>=ROUNDDOWN({0},0)</f>
      </c>
      <c r="AK2104" s="5"/>
      <c r="AL2104" s="2" t="s">
        <v>235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235</v>
      </c>
      <c r="AW2104" s="8" t="s">
        <v>235</v>
      </c>
      <c r="AX2104" s="4" t="s">
        <v>235</v>
      </c>
      <c r="AY2104" s="8" t="s">
        <v>235</v>
      </c>
      <c r="AZ2104" s="7" t="s">
        <v>235</v>
      </c>
      <c r="BA2104" s="7" t="s">
        <v>235</v>
      </c>
      <c r="BB2104" s="7"/>
      <c r="BC2104" s="4" t="s">
        <v>235</v>
      </c>
      <c r="BD2104" s="8" t="s">
        <v>235</v>
      </c>
      <c r="BE2104" s="4" t="s">
        <v>235</v>
      </c>
      <c r="BF2104" s="8" t="s">
        <v>235</v>
      </c>
      <c r="BG2104" s="7" t="s">
        <v>235</v>
      </c>
      <c r="BH2104" s="7" t="s">
        <v>235</v>
      </c>
      <c r="BI2104" s="7"/>
      <c r="BJ2104" s="4">
        <v>22</v>
      </c>
      <c r="BK2104" s="8">
        <v>492.02</v>
      </c>
      <c r="BL2104" s="2" t="s">
        <v>1226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7547</v>
      </c>
      <c r="BV2104" s="2" t="s">
        <v>235</v>
      </c>
      <c r="BW2104" s="2" t="s">
        <v>235</v>
      </c>
      <c r="BX2104" s="2" t="s">
        <v>244</v>
      </c>
      <c r="BY2104" s="2" t="s">
        <v>245</v>
      </c>
      <c r="BZ2104" s="2" t="s">
        <v>232</v>
      </c>
      <c r="CA2104" s="2" t="s">
        <v>235</v>
      </c>
      <c r="CB2104" s="2" t="s">
        <v>737</v>
      </c>
      <c r="CC2104" s="2" t="s">
        <v>248</v>
      </c>
      <c r="CD2104" s="2" t="s">
        <v>248</v>
      </c>
      <c r="CE2104" s="2" t="s">
        <v>235</v>
      </c>
      <c r="CF2104" s="4"/>
      <c r="CG2104" s="4">
        <v>111</v>
      </c>
      <c r="CH2104" s="4"/>
      <c r="CI2104" s="4">
        <v>694</v>
      </c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>
        <v>829</v>
      </c>
      <c r="GE2104" s="4">
        <v>809</v>
      </c>
      <c r="GF2104" s="4">
        <v>807</v>
      </c>
      <c r="GG2104" s="4">
        <v>805</v>
      </c>
      <c r="GH2104" s="4">
        <v>803</v>
      </c>
      <c r="GI2104" s="4">
        <v>801</v>
      </c>
      <c r="GJ2104" s="4">
        <v>799</v>
      </c>
      <c r="GK2104" s="4">
        <v>797</v>
      </c>
      <c r="GL2104" s="4">
        <v>795</v>
      </c>
      <c r="GM2104" s="4">
        <v>788</v>
      </c>
      <c r="GN2104" s="4">
        <v>781</v>
      </c>
      <c r="GO2104" s="4">
        <v>774</v>
      </c>
      <c r="GP2104" s="4">
        <v>767</v>
      </c>
      <c r="GQ2104" s="4">
        <v>759</v>
      </c>
      <c r="GR2104" s="4">
        <v>751</v>
      </c>
      <c r="GS2104" s="4">
        <v>743</v>
      </c>
      <c r="GT2104" s="4">
        <v>735</v>
      </c>
      <c r="GU2104" s="4">
        <v>728</v>
      </c>
      <c r="GV2104" s="4">
        <v>721</v>
      </c>
      <c r="GW2104" s="4">
        <v>714</v>
      </c>
      <c r="GX2104" s="4">
        <v>707</v>
      </c>
      <c r="GY2104" s="4">
        <v>700</v>
      </c>
      <c r="GZ2104" s="4">
        <v>693</v>
      </c>
      <c r="HA2104" s="4">
        <v>686</v>
      </c>
      <c r="HB2104" s="4">
        <v>679</v>
      </c>
      <c r="HC2104" s="4">
        <v>672</v>
      </c>
      <c r="HD2104" s="19">
        <v>138.2</v>
      </c>
      <c r="HE2104" s="19">
        <v>404.5</v>
      </c>
      <c r="HF2104" s="19">
        <v>403.5</v>
      </c>
      <c r="HG2104" s="19">
        <v>402.5</v>
      </c>
      <c r="HH2104" s="19">
        <v>401.5</v>
      </c>
      <c r="HI2104" s="19">
        <v>267</v>
      </c>
      <c r="HJ2104" s="19">
        <v>199.8</v>
      </c>
      <c r="HK2104" s="19">
        <v>132.8</v>
      </c>
      <c r="HL2104" s="19">
        <v>113.6</v>
      </c>
      <c r="HM2104" s="19">
        <v>112.6</v>
      </c>
      <c r="HN2104" s="19">
        <v>97.6</v>
      </c>
      <c r="HO2104" s="19">
        <v>96.8</v>
      </c>
      <c r="HP2104" s="19">
        <v>95.9</v>
      </c>
      <c r="HQ2104" s="19">
        <v>94.9</v>
      </c>
      <c r="HR2104" s="19">
        <v>93.9</v>
      </c>
      <c r="HS2104" s="19">
        <v>106.1</v>
      </c>
      <c r="HT2104" s="19">
        <v>105</v>
      </c>
      <c r="HU2104" s="19">
        <v>104</v>
      </c>
      <c r="HV2104" s="19">
        <v>103</v>
      </c>
      <c r="HW2104" s="19">
        <v>102</v>
      </c>
      <c r="HX2104" s="19">
        <v>101</v>
      </c>
      <c r="HY2104" s="19">
        <v>100</v>
      </c>
      <c r="HZ2104" s="19">
        <v>99</v>
      </c>
      <c r="IA2104" s="19">
        <v>85.8</v>
      </c>
      <c r="IB2104" s="19">
        <v>75.4</v>
      </c>
      <c r="IC2104" s="19">
        <v>67.2</v>
      </c>
    </row>
    <row r="2105">
      <c r="A2105" s="2" t="s">
        <v>7584</v>
      </c>
      <c r="B2105" s="2" t="s">
        <v>905</v>
      </c>
      <c r="C2105" s="2" t="s">
        <v>324</v>
      </c>
      <c r="D2105" s="2" t="s">
        <v>361</v>
      </c>
      <c r="E2105" s="2" t="s">
        <v>872</v>
      </c>
      <c r="F2105" s="2" t="s">
        <v>7217</v>
      </c>
      <c r="G2105" s="2" t="s">
        <v>7524</v>
      </c>
      <c r="H2105" s="2" t="s">
        <v>7524</v>
      </c>
      <c r="I2105" s="2" t="s">
        <v>7537</v>
      </c>
      <c r="J2105" s="2" t="s">
        <v>270</v>
      </c>
      <c r="K2105" s="2" t="s">
        <v>2718</v>
      </c>
      <c r="L2105" s="3">
        <v>62.32</v>
      </c>
      <c r="M2105" s="3">
        <v>65.44</v>
      </c>
      <c r="N2105" s="3">
        <v>139.99</v>
      </c>
      <c r="O2105" s="2" t="s">
        <v>232</v>
      </c>
      <c r="P2105" s="2" t="s">
        <v>233</v>
      </c>
      <c r="Q2105" s="2" t="s">
        <v>234</v>
      </c>
      <c r="R2105" s="2" t="s">
        <v>235</v>
      </c>
      <c r="S2105" s="2" t="s">
        <v>7585</v>
      </c>
      <c r="T2105" s="2" t="s">
        <v>912</v>
      </c>
      <c r="U2105" s="2" t="s">
        <v>264</v>
      </c>
      <c r="V2105" s="2" t="s">
        <v>1693</v>
      </c>
      <c r="W2105" s="2" t="s">
        <v>329</v>
      </c>
      <c r="X2105" s="2" t="s">
        <v>4051</v>
      </c>
      <c r="Y2105" s="2" t="s">
        <v>240</v>
      </c>
      <c r="Z2105" s="4">
        <v>207</v>
      </c>
      <c r="AA2105" s="4">
        <f>=ROUNDDOWN(41.4,0)</f>
      </c>
      <c r="AB2105" s="5">
        <v>5</v>
      </c>
      <c r="AC2105" s="2" t="s">
        <v>7586</v>
      </c>
      <c r="AD2105" s="4">
        <v>400</v>
      </c>
      <c r="AE2105" s="4">
        <v>400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235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 t="s">
        <v>235</v>
      </c>
      <c r="BD2105" s="8" t="s">
        <v>235</v>
      </c>
      <c r="BE2105" s="4" t="s">
        <v>235</v>
      </c>
      <c r="BF2105" s="8" t="s">
        <v>235</v>
      </c>
      <c r="BG2105" s="7" t="s">
        <v>235</v>
      </c>
      <c r="BH2105" s="7" t="s">
        <v>235</v>
      </c>
      <c r="BI2105" s="7"/>
      <c r="BJ2105" s="4">
        <v>17</v>
      </c>
      <c r="BK2105" s="8">
        <v>1099.14</v>
      </c>
      <c r="BL2105" s="2" t="s">
        <v>7587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7542</v>
      </c>
      <c r="BV2105" s="2" t="s">
        <v>243</v>
      </c>
      <c r="BW2105" s="2" t="s">
        <v>235</v>
      </c>
      <c r="BX2105" s="2" t="s">
        <v>4145</v>
      </c>
      <c r="BY2105" s="2" t="s">
        <v>245</v>
      </c>
      <c r="BZ2105" s="2" t="s">
        <v>232</v>
      </c>
      <c r="CA2105" s="2" t="s">
        <v>7563</v>
      </c>
      <c r="CB2105" s="2" t="s">
        <v>2960</v>
      </c>
      <c r="CC2105" s="2" t="s">
        <v>248</v>
      </c>
      <c r="CD2105" s="2" t="s">
        <v>248</v>
      </c>
      <c r="CE2105" s="2" t="s">
        <v>235</v>
      </c>
      <c r="CF2105" s="4">
        <v>207</v>
      </c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>
        <v>400</v>
      </c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>
        <v>215</v>
      </c>
      <c r="GE2105" s="4">
        <v>206</v>
      </c>
      <c r="GF2105" s="4">
        <v>202</v>
      </c>
      <c r="GG2105" s="4">
        <v>196</v>
      </c>
      <c r="GH2105" s="4">
        <v>189</v>
      </c>
      <c r="GI2105" s="4">
        <v>175</v>
      </c>
      <c r="GJ2105" s="4">
        <v>157</v>
      </c>
      <c r="GK2105" s="4">
        <v>141</v>
      </c>
      <c r="GL2105" s="4">
        <v>125</v>
      </c>
      <c r="GM2105" s="4">
        <v>111</v>
      </c>
      <c r="GN2105" s="4">
        <v>99</v>
      </c>
      <c r="GO2105" s="4">
        <v>80</v>
      </c>
      <c r="GP2105" s="4">
        <v>59</v>
      </c>
      <c r="GQ2105" s="4">
        <v>418</v>
      </c>
      <c r="GR2105" s="4">
        <v>384</v>
      </c>
      <c r="GS2105" s="4">
        <v>349</v>
      </c>
      <c r="GT2105" s="4">
        <v>329</v>
      </c>
      <c r="GU2105" s="4">
        <v>316</v>
      </c>
      <c r="GV2105" s="4">
        <v>302</v>
      </c>
      <c r="GW2105" s="4">
        <v>288</v>
      </c>
      <c r="GX2105" s="4">
        <v>274</v>
      </c>
      <c r="GY2105" s="4">
        <v>260</v>
      </c>
      <c r="GZ2105" s="4">
        <v>249</v>
      </c>
      <c r="HA2105" s="4">
        <v>244</v>
      </c>
      <c r="HB2105" s="4">
        <v>239</v>
      </c>
      <c r="HC2105" s="4">
        <v>234</v>
      </c>
      <c r="HD2105" s="19">
        <v>35.8</v>
      </c>
      <c r="HE2105" s="19">
        <v>25.8</v>
      </c>
      <c r="HF2105" s="19">
        <v>18.4</v>
      </c>
      <c r="HG2105" s="19">
        <v>14</v>
      </c>
      <c r="HH2105" s="19">
        <v>11.8</v>
      </c>
      <c r="HI2105" s="19">
        <v>10.9</v>
      </c>
      <c r="HJ2105" s="19">
        <v>11.2</v>
      </c>
      <c r="HK2105" s="19">
        <v>9.4</v>
      </c>
      <c r="HL2105" s="19">
        <v>7.8</v>
      </c>
      <c r="HM2105" s="19">
        <v>4.8</v>
      </c>
      <c r="HN2105" s="19">
        <v>3.4</v>
      </c>
      <c r="HO2105" s="19">
        <v>2.4</v>
      </c>
      <c r="HP2105" s="19">
        <v>1.8</v>
      </c>
      <c r="HQ2105" s="19">
        <v>16.1</v>
      </c>
      <c r="HR2105" s="19">
        <v>19.2</v>
      </c>
      <c r="HS2105" s="19">
        <v>23.3</v>
      </c>
      <c r="HT2105" s="19">
        <v>23.5</v>
      </c>
      <c r="HU2105" s="19">
        <v>22.6</v>
      </c>
      <c r="HV2105" s="19">
        <v>23.2</v>
      </c>
      <c r="HW2105" s="19">
        <v>26.2</v>
      </c>
      <c r="HX2105" s="19">
        <v>30.4</v>
      </c>
      <c r="HY2105" s="19">
        <v>43.3</v>
      </c>
      <c r="HZ2105" s="19">
        <v>49.8</v>
      </c>
      <c r="IA2105" s="19">
        <v>48.8</v>
      </c>
      <c r="IB2105" s="19">
        <v>47.8</v>
      </c>
      <c r="IC2105" s="19">
        <v>46.8</v>
      </c>
    </row>
    <row r="2106">
      <c r="A2106" s="18" t="s">
        <v>7588</v>
      </c>
      <c r="B2106" s="10" t="s">
        <v>235</v>
      </c>
      <c r="C2106" s="10" t="s">
        <v>235</v>
      </c>
      <c r="D2106" s="10" t="s">
        <v>235</v>
      </c>
      <c r="E2106" s="10" t="s">
        <v>235</v>
      </c>
      <c r="F2106" s="10" t="s">
        <v>235</v>
      </c>
      <c r="G2106" s="10" t="s">
        <v>235</v>
      </c>
      <c r="H2106" s="10" t="s">
        <v>235</v>
      </c>
      <c r="I2106" s="10" t="s">
        <v>235</v>
      </c>
      <c r="J2106" s="10" t="s">
        <v>235</v>
      </c>
      <c r="K2106" s="10" t="s">
        <v>235</v>
      </c>
      <c r="L2106" s="11"/>
      <c r="M2106" s="11"/>
      <c r="N2106" s="11"/>
      <c r="O2106" s="10" t="s">
        <v>235</v>
      </c>
      <c r="P2106" s="10" t="s">
        <v>235</v>
      </c>
      <c r="Q2106" s="10" t="s">
        <v>235</v>
      </c>
      <c r="R2106" s="10" t="s">
        <v>235</v>
      </c>
      <c r="S2106" s="10" t="s">
        <v>235</v>
      </c>
      <c r="T2106" s="10" t="s">
        <v>235</v>
      </c>
      <c r="U2106" s="10" t="s">
        <v>235</v>
      </c>
      <c r="V2106" s="10" t="s">
        <v>235</v>
      </c>
      <c r="W2106" s="10" t="s">
        <v>235</v>
      </c>
      <c r="X2106" s="10" t="s">
        <v>235</v>
      </c>
      <c r="Y2106" s="10" t="s">
        <v>235</v>
      </c>
      <c r="Z2106" s="12">
        <v>555589</v>
      </c>
      <c r="AA2106" s="12">
        <f>=ROUNDDOWN({0},0)</f>
      </c>
      <c r="AB2106" s="13">
        <v>14115.5</v>
      </c>
      <c r="AC2106" s="10" t="s">
        <v>235</v>
      </c>
      <c r="AD2106" s="12"/>
      <c r="AE2106" s="12">
        <v>287961</v>
      </c>
      <c r="AF2106" s="14"/>
      <c r="AG2106" s="14"/>
      <c r="AH2106" s="15"/>
      <c r="AI2106" s="12"/>
      <c r="AJ2106" s="12">
        <f>=ROUNDDOWN({0},0)</f>
      </c>
      <c r="AK2106" s="13">
        <v>1.8</v>
      </c>
      <c r="AL2106" s="10" t="s">
        <v>235</v>
      </c>
      <c r="AM2106" s="12"/>
      <c r="AN2106" s="12"/>
      <c r="AO2106" s="15"/>
      <c r="AP2106" s="12"/>
      <c r="AQ2106" s="16"/>
      <c r="AR2106" s="12"/>
      <c r="AS2106" s="16"/>
      <c r="AT2106" s="15"/>
      <c r="AU2106" s="15"/>
      <c r="AV2106" s="12"/>
      <c r="AW2106" s="16"/>
      <c r="AX2106" s="12"/>
      <c r="AY2106" s="16"/>
      <c r="AZ2106" s="15"/>
      <c r="BA2106" s="15"/>
      <c r="BB2106" s="15"/>
      <c r="BC2106" s="12"/>
      <c r="BD2106" s="16"/>
      <c r="BE2106" s="12"/>
      <c r="BF2106" s="16"/>
      <c r="BG2106" s="15"/>
      <c r="BH2106" s="15"/>
      <c r="BI2106" s="15"/>
      <c r="BJ2106" s="12"/>
      <c r="BK2106" s="16"/>
      <c r="BL2106" s="10" t="s">
        <v>235</v>
      </c>
      <c r="BM2106" s="15"/>
      <c r="BN2106" s="15"/>
      <c r="BO2106" s="12"/>
      <c r="BP2106" s="16"/>
      <c r="BQ2106" s="12"/>
      <c r="BR2106" s="16"/>
      <c r="BS2106" s="15"/>
      <c r="BT2106" s="15"/>
      <c r="BU2106" s="10" t="s">
        <v>235</v>
      </c>
      <c r="BV2106" s="10" t="s">
        <v>235</v>
      </c>
      <c r="BW2106" s="10" t="s">
        <v>235</v>
      </c>
      <c r="BX2106" s="10" t="s">
        <v>235</v>
      </c>
      <c r="BY2106" s="10" t="s">
        <v>235</v>
      </c>
      <c r="BZ2106" s="10" t="s">
        <v>235</v>
      </c>
      <c r="CA2106" s="10" t="s">
        <v>235</v>
      </c>
      <c r="CB2106" s="10" t="s">
        <v>235</v>
      </c>
      <c r="CC2106" s="10" t="s">
        <v>235</v>
      </c>
      <c r="CD2106" s="10" t="s">
        <v>235</v>
      </c>
      <c r="CE2106" s="10" t="s">
        <v>235</v>
      </c>
      <c r="CF2106" s="12">
        <v>431757</v>
      </c>
      <c r="CG2106" s="12">
        <v>31585</v>
      </c>
      <c r="CH2106" s="12"/>
      <c r="CI2106" s="12">
        <v>87234</v>
      </c>
      <c r="CJ2106" s="12"/>
      <c r="CK2106" s="12"/>
      <c r="CL2106" s="12"/>
      <c r="CM2106" s="12">
        <v>2504</v>
      </c>
      <c r="CN2106" s="12"/>
      <c r="CO2106" s="12"/>
      <c r="CP2106" s="12"/>
      <c r="CQ2106" s="12">
        <v>2509</v>
      </c>
      <c r="CR2106" s="12"/>
      <c r="CS2106" s="12"/>
      <c r="CT2106" s="12"/>
      <c r="CU2106" s="12"/>
      <c r="CV2106" s="12">
        <v>280</v>
      </c>
      <c r="CW2106" s="12">
        <v>5676</v>
      </c>
      <c r="CX2106" s="12">
        <v>2454</v>
      </c>
      <c r="CY2106" s="12">
        <v>16</v>
      </c>
      <c r="CZ2106" s="12">
        <v>1397</v>
      </c>
      <c r="DA2106" s="12">
        <v>2812</v>
      </c>
      <c r="DB2106" s="12">
        <v>89</v>
      </c>
      <c r="DC2106" s="12">
        <v>3443</v>
      </c>
      <c r="DD2106" s="12">
        <v>16892</v>
      </c>
      <c r="DE2106" s="12">
        <v>750</v>
      </c>
      <c r="DF2106" s="12">
        <v>1820</v>
      </c>
      <c r="DG2106" s="12">
        <v>11855</v>
      </c>
      <c r="DH2106" s="12">
        <v>3797</v>
      </c>
      <c r="DI2106" s="12">
        <v>1900</v>
      </c>
      <c r="DJ2106" s="12">
        <v>2924</v>
      </c>
      <c r="DK2106" s="12">
        <v>4424</v>
      </c>
      <c r="DL2106" s="12">
        <v>7626</v>
      </c>
      <c r="DM2106" s="12">
        <v>7546</v>
      </c>
      <c r="DN2106" s="12">
        <v>1660</v>
      </c>
      <c r="DO2106" s="12">
        <v>1038</v>
      </c>
      <c r="DP2106" s="12">
        <v>39</v>
      </c>
      <c r="DQ2106" s="12">
        <v>380</v>
      </c>
      <c r="DR2106" s="12">
        <v>588</v>
      </c>
      <c r="DS2106" s="12">
        <v>500</v>
      </c>
      <c r="DT2106" s="12">
        <v>3005</v>
      </c>
      <c r="DU2106" s="12">
        <v>260</v>
      </c>
      <c r="DV2106" s="12">
        <v>150</v>
      </c>
      <c r="DW2106" s="12">
        <v>7456</v>
      </c>
      <c r="DX2106" s="12">
        <v>2556</v>
      </c>
      <c r="DY2106" s="12">
        <v>5912</v>
      </c>
      <c r="DZ2106" s="12">
        <v>408</v>
      </c>
      <c r="EA2106" s="12">
        <v>27002</v>
      </c>
      <c r="EB2106" s="12">
        <v>12938</v>
      </c>
      <c r="EC2106" s="12">
        <v>8939</v>
      </c>
      <c r="ED2106" s="12">
        <v>2248</v>
      </c>
      <c r="EE2106" s="12">
        <v>3906</v>
      </c>
      <c r="EF2106" s="12">
        <v>2863</v>
      </c>
      <c r="EG2106" s="12">
        <v>13282</v>
      </c>
      <c r="EH2106" s="12">
        <v>4509</v>
      </c>
      <c r="EI2106" s="12">
        <v>10988</v>
      </c>
      <c r="EJ2106" s="12">
        <v>14316</v>
      </c>
      <c r="EK2106" s="12">
        <v>2363</v>
      </c>
      <c r="EL2106" s="12">
        <v>4011</v>
      </c>
      <c r="EM2106" s="12">
        <v>5890</v>
      </c>
      <c r="EN2106" s="12">
        <v>420</v>
      </c>
      <c r="EO2106" s="12">
        <v>226</v>
      </c>
      <c r="EP2106" s="12">
        <v>4210</v>
      </c>
      <c r="EQ2106" s="12">
        <v>10951</v>
      </c>
      <c r="ER2106" s="12">
        <v>3122</v>
      </c>
      <c r="ES2106" s="12">
        <v>4234</v>
      </c>
      <c r="ET2106" s="12">
        <v>350</v>
      </c>
      <c r="EU2106" s="12">
        <v>4826</v>
      </c>
      <c r="EV2106" s="12">
        <v>200</v>
      </c>
      <c r="EW2106" s="12">
        <v>4238</v>
      </c>
      <c r="EX2106" s="12">
        <v>5257</v>
      </c>
      <c r="EY2106" s="12">
        <v>590</v>
      </c>
      <c r="EZ2106" s="12">
        <v>1277</v>
      </c>
      <c r="FA2106" s="12">
        <v>167</v>
      </c>
      <c r="FB2106" s="12">
        <v>600</v>
      </c>
      <c r="FC2106" s="12">
        <v>400</v>
      </c>
      <c r="FD2106" s="12">
        <v>400</v>
      </c>
      <c r="FE2106" s="12">
        <v>5800</v>
      </c>
      <c r="FF2106" s="12">
        <v>1702</v>
      </c>
      <c r="FG2106" s="12">
        <v>800</v>
      </c>
      <c r="FH2106" s="12">
        <v>728</v>
      </c>
      <c r="FI2106" s="12">
        <v>1402</v>
      </c>
      <c r="FJ2106" s="12">
        <v>1480</v>
      </c>
      <c r="FK2106" s="12">
        <v>1146</v>
      </c>
      <c r="FL2106" s="12">
        <v>440</v>
      </c>
      <c r="FM2106" s="12">
        <v>2539</v>
      </c>
      <c r="FN2106" s="12">
        <v>560</v>
      </c>
      <c r="FO2106" s="12">
        <v>100</v>
      </c>
      <c r="FP2106" s="12">
        <v>1112</v>
      </c>
      <c r="FQ2106" s="12">
        <v>190</v>
      </c>
      <c r="FR2106" s="12">
        <v>1542</v>
      </c>
      <c r="FS2106" s="12">
        <v>360</v>
      </c>
      <c r="FT2106" s="12">
        <v>836</v>
      </c>
      <c r="FU2106" s="12">
        <v>5752</v>
      </c>
      <c r="FV2106" s="12">
        <v>1070</v>
      </c>
      <c r="FW2106" s="12">
        <v>816</v>
      </c>
      <c r="FX2106" s="12">
        <v>276</v>
      </c>
      <c r="FY2106" s="12">
        <v>2122</v>
      </c>
      <c r="FZ2106" s="12">
        <v>952</v>
      </c>
      <c r="GA2106" s="12">
        <v>100</v>
      </c>
      <c r="GB2106" s="12">
        <v>1360</v>
      </c>
      <c r="GC2106" s="12">
        <v>400</v>
      </c>
      <c r="GD2106" s="12">
        <v>560850</v>
      </c>
      <c r="GE2106" s="12">
        <v>568392</v>
      </c>
      <c r="GF2106" s="12">
        <v>569092</v>
      </c>
      <c r="GG2106" s="12">
        <v>564433</v>
      </c>
      <c r="GH2106" s="12">
        <v>575724</v>
      </c>
      <c r="GI2106" s="12">
        <v>558666</v>
      </c>
      <c r="GJ2106" s="12">
        <v>540826</v>
      </c>
      <c r="GK2106" s="12">
        <v>573447</v>
      </c>
      <c r="GL2106" s="12">
        <v>557881</v>
      </c>
      <c r="GM2106" s="12">
        <v>588800</v>
      </c>
      <c r="GN2106" s="12">
        <v>591957</v>
      </c>
      <c r="GO2106" s="12">
        <v>583785</v>
      </c>
      <c r="GP2106" s="12">
        <v>563657</v>
      </c>
      <c r="GQ2106" s="12">
        <v>530406</v>
      </c>
      <c r="GR2106" s="12">
        <v>503060</v>
      </c>
      <c r="GS2106" s="12">
        <v>479217</v>
      </c>
      <c r="GT2106" s="12">
        <v>462224</v>
      </c>
      <c r="GU2106" s="12">
        <v>457015</v>
      </c>
      <c r="GV2106" s="12">
        <v>461861</v>
      </c>
      <c r="GW2106" s="12">
        <v>481083</v>
      </c>
      <c r="GX2106" s="12">
        <v>480037</v>
      </c>
      <c r="GY2106" s="12">
        <v>471933</v>
      </c>
      <c r="GZ2106" s="12">
        <v>462056</v>
      </c>
      <c r="HA2106" s="12">
        <v>456223</v>
      </c>
      <c r="HB2106" s="12">
        <v>454315</v>
      </c>
      <c r="HC2106" s="12">
        <v>458416</v>
      </c>
      <c r="HD2106" s="17"/>
      <c r="HE2106" s="17"/>
      <c r="HF2106" s="17"/>
      <c r="HG2106" s="17"/>
      <c r="HH2106" s="17"/>
      <c r="HI2106" s="17"/>
      <c r="HJ2106" s="17"/>
      <c r="HK2106" s="17"/>
      <c r="HL2106" s="17"/>
      <c r="HM2106" s="17"/>
      <c r="HN2106" s="17"/>
      <c r="HO2106" s="17"/>
      <c r="HP2106" s="17"/>
      <c r="HQ2106" s="17"/>
      <c r="HR2106" s="17"/>
      <c r="HS2106" s="17"/>
      <c r="HT2106" s="17"/>
      <c r="HU2106" s="17"/>
      <c r="HV2106" s="17"/>
      <c r="HW2106" s="17"/>
      <c r="HX2106" s="17"/>
      <c r="HY2106" s="17"/>
      <c r="HZ2106" s="17"/>
      <c r="IA2106" s="17"/>
      <c r="IB2106" s="17"/>
      <c r="IC2106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U4"/>
    <mergeCell ref="CV3:GC4"/>
    <mergeCell ref="GD3:IC3"/>
    <mergeCell ref="BC6:BC7"/>
    <mergeCell ref="BD6:BD7"/>
    <mergeCell ref="BE6:BE7"/>
    <mergeCell ref="BF6:BF7"/>
    <mergeCell ref="BG6:BG7"/>
    <mergeCell ref="BH6:BH7"/>
    <mergeCell ref="BC8:BC43"/>
    <mergeCell ref="BD8:BD43"/>
    <mergeCell ref="BE8:BE43"/>
    <mergeCell ref="BF8:BF43"/>
    <mergeCell ref="BG8:BG43"/>
    <mergeCell ref="BH8:BH43"/>
    <mergeCell ref="BC44:BC67"/>
    <mergeCell ref="BD44:BD67"/>
    <mergeCell ref="BE44:BE67"/>
    <mergeCell ref="BF44:BF67"/>
    <mergeCell ref="BG44:BG67"/>
    <mergeCell ref="BH44:BH67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76"/>
    <mergeCell ref="BD74:BD76"/>
    <mergeCell ref="BE74:BE76"/>
    <mergeCell ref="BF74:BF76"/>
    <mergeCell ref="BG74:BG76"/>
    <mergeCell ref="BH74:BH76"/>
    <mergeCell ref="BC77:BC79"/>
    <mergeCell ref="BD77:BD79"/>
    <mergeCell ref="BE77:BE79"/>
    <mergeCell ref="BF77:BF79"/>
    <mergeCell ref="BG77:BG79"/>
    <mergeCell ref="BH77:BH79"/>
    <mergeCell ref="BC80:BC81"/>
    <mergeCell ref="BD80:BD81"/>
    <mergeCell ref="BE80:BE81"/>
    <mergeCell ref="BF80:BF81"/>
    <mergeCell ref="BG80:BG81"/>
    <mergeCell ref="BH80:BH81"/>
    <mergeCell ref="BC82:BC85"/>
    <mergeCell ref="BD82:BD85"/>
    <mergeCell ref="BE82:BE85"/>
    <mergeCell ref="BF82:BF85"/>
    <mergeCell ref="BG82:BG85"/>
    <mergeCell ref="BH82:BH85"/>
    <mergeCell ref="BC86:BC87"/>
    <mergeCell ref="BD86:BD87"/>
    <mergeCell ref="BE86:BE87"/>
    <mergeCell ref="BF86:BF87"/>
    <mergeCell ref="BG86:BG87"/>
    <mergeCell ref="BH86:BH87"/>
    <mergeCell ref="BC88:BC89"/>
    <mergeCell ref="BD88:BD89"/>
    <mergeCell ref="BE88:BE89"/>
    <mergeCell ref="BF88:BF89"/>
    <mergeCell ref="BG88:BG89"/>
    <mergeCell ref="BH88:BH89"/>
    <mergeCell ref="BC90:BC111"/>
    <mergeCell ref="BD90:BD111"/>
    <mergeCell ref="BE90:BE111"/>
    <mergeCell ref="BF90:BF111"/>
    <mergeCell ref="BG90:BG111"/>
    <mergeCell ref="BH90:BH111"/>
    <mergeCell ref="BC112:BC115"/>
    <mergeCell ref="BD112:BD115"/>
    <mergeCell ref="BE112:BE115"/>
    <mergeCell ref="BF112:BF115"/>
    <mergeCell ref="BG112:BG115"/>
    <mergeCell ref="BH112:BH115"/>
    <mergeCell ref="BC116:BC132"/>
    <mergeCell ref="BD116:BD132"/>
    <mergeCell ref="BE116:BE132"/>
    <mergeCell ref="BF116:BF132"/>
    <mergeCell ref="BG116:BG132"/>
    <mergeCell ref="BH116:BH132"/>
    <mergeCell ref="BC134:BC175"/>
    <mergeCell ref="BD134:BD175"/>
    <mergeCell ref="BE134:BE175"/>
    <mergeCell ref="BF134:BF175"/>
    <mergeCell ref="BG134:BG175"/>
    <mergeCell ref="BH134:BH175"/>
    <mergeCell ref="BC176:BC178"/>
    <mergeCell ref="BD176:BD178"/>
    <mergeCell ref="BE176:BE178"/>
    <mergeCell ref="BF176:BF178"/>
    <mergeCell ref="BG176:BG178"/>
    <mergeCell ref="BH176:BH178"/>
    <mergeCell ref="BC179:BC183"/>
    <mergeCell ref="BD179:BD183"/>
    <mergeCell ref="BE179:BE183"/>
    <mergeCell ref="BF179:BF183"/>
    <mergeCell ref="BG179:BG183"/>
    <mergeCell ref="BH179:BH183"/>
    <mergeCell ref="BC184:BC185"/>
    <mergeCell ref="BD184:BD185"/>
    <mergeCell ref="BE184:BE185"/>
    <mergeCell ref="BF184:BF185"/>
    <mergeCell ref="BG184:BG185"/>
    <mergeCell ref="BH184:BH185"/>
    <mergeCell ref="BC188:BC192"/>
    <mergeCell ref="BD188:BD192"/>
    <mergeCell ref="BE188:BE192"/>
    <mergeCell ref="BF188:BF192"/>
    <mergeCell ref="BG188:BG192"/>
    <mergeCell ref="BH188:BH192"/>
    <mergeCell ref="BC194:BC200"/>
    <mergeCell ref="BD194:BD200"/>
    <mergeCell ref="BE194:BE200"/>
    <mergeCell ref="BF194:BF200"/>
    <mergeCell ref="BG194:BG200"/>
    <mergeCell ref="BH194:BH200"/>
    <mergeCell ref="BC201:BC202"/>
    <mergeCell ref="BD201:BD202"/>
    <mergeCell ref="BE201:BE202"/>
    <mergeCell ref="BF201:BF202"/>
    <mergeCell ref="BG201:BG202"/>
    <mergeCell ref="BH201:BH202"/>
    <mergeCell ref="BC203:BC205"/>
    <mergeCell ref="BD203:BD205"/>
    <mergeCell ref="BE203:BE205"/>
    <mergeCell ref="BF203:BF205"/>
    <mergeCell ref="BG203:BG205"/>
    <mergeCell ref="BH203:BH205"/>
    <mergeCell ref="BC206:BC208"/>
    <mergeCell ref="BD206:BD208"/>
    <mergeCell ref="BE206:BE208"/>
    <mergeCell ref="BF206:BF208"/>
    <mergeCell ref="BG206:BG208"/>
    <mergeCell ref="BH206:BH208"/>
    <mergeCell ref="BC211:BC222"/>
    <mergeCell ref="BD211:BD222"/>
    <mergeCell ref="BE211:BE222"/>
    <mergeCell ref="BF211:BF222"/>
    <mergeCell ref="BG211:BG222"/>
    <mergeCell ref="BH211:BH222"/>
    <mergeCell ref="BC224:BC225"/>
    <mergeCell ref="BD224:BD225"/>
    <mergeCell ref="BE224:BE225"/>
    <mergeCell ref="BF224:BF225"/>
    <mergeCell ref="BG224:BG225"/>
    <mergeCell ref="BH224:BH225"/>
    <mergeCell ref="BC227:BC230"/>
    <mergeCell ref="BD227:BD230"/>
    <mergeCell ref="BE227:BE230"/>
    <mergeCell ref="BF227:BF230"/>
    <mergeCell ref="BG227:BG230"/>
    <mergeCell ref="BH227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7:BC244"/>
    <mergeCell ref="BD237:BD244"/>
    <mergeCell ref="BE237:BE244"/>
    <mergeCell ref="BF237:BF244"/>
    <mergeCell ref="BG237:BG244"/>
    <mergeCell ref="BH237:BH244"/>
    <mergeCell ref="BC245:BC256"/>
    <mergeCell ref="BD245:BD256"/>
    <mergeCell ref="BE245:BE256"/>
    <mergeCell ref="BF245:BF256"/>
    <mergeCell ref="BG245:BG256"/>
    <mergeCell ref="BH245:BH256"/>
    <mergeCell ref="BC257:BC263"/>
    <mergeCell ref="BD257:BD263"/>
    <mergeCell ref="BE257:BE263"/>
    <mergeCell ref="BF257:BF263"/>
    <mergeCell ref="BG257:BG263"/>
    <mergeCell ref="BH257:BH263"/>
    <mergeCell ref="BC264:BC273"/>
    <mergeCell ref="BD264:BD273"/>
    <mergeCell ref="BE264:BE273"/>
    <mergeCell ref="BF264:BF273"/>
    <mergeCell ref="BG264:BG273"/>
    <mergeCell ref="BH264:BH273"/>
    <mergeCell ref="BC274:BC275"/>
    <mergeCell ref="BD274:BD275"/>
    <mergeCell ref="BE274:BE275"/>
    <mergeCell ref="BF274:BF275"/>
    <mergeCell ref="BG274:BG275"/>
    <mergeCell ref="BH274:BH275"/>
    <mergeCell ref="BC276:BC280"/>
    <mergeCell ref="BD276:BD280"/>
    <mergeCell ref="BE276:BE280"/>
    <mergeCell ref="BF276:BF280"/>
    <mergeCell ref="BG276:BG280"/>
    <mergeCell ref="BH276:BH280"/>
    <mergeCell ref="BC281:BC284"/>
    <mergeCell ref="BD281:BD284"/>
    <mergeCell ref="BE281:BE284"/>
    <mergeCell ref="BF281:BF284"/>
    <mergeCell ref="BG281:BG284"/>
    <mergeCell ref="BH281:BH284"/>
    <mergeCell ref="BC285:BC292"/>
    <mergeCell ref="BD285:BD292"/>
    <mergeCell ref="BE285:BE292"/>
    <mergeCell ref="BF285:BF292"/>
    <mergeCell ref="BG285:BG292"/>
    <mergeCell ref="BH285:BH292"/>
    <mergeCell ref="BC294:BC296"/>
    <mergeCell ref="BD294:BD296"/>
    <mergeCell ref="BE294:BE296"/>
    <mergeCell ref="BF294:BF296"/>
    <mergeCell ref="BG294:BG296"/>
    <mergeCell ref="BH294:BH296"/>
    <mergeCell ref="BC297:BC299"/>
    <mergeCell ref="BD297:BD299"/>
    <mergeCell ref="BE297:BE299"/>
    <mergeCell ref="BF297:BF299"/>
    <mergeCell ref="BG297:BG299"/>
    <mergeCell ref="BH297:BH299"/>
    <mergeCell ref="BC300:BC302"/>
    <mergeCell ref="BD300:BD302"/>
    <mergeCell ref="BE300:BE302"/>
    <mergeCell ref="BF300:BF302"/>
    <mergeCell ref="BG300:BG302"/>
    <mergeCell ref="BH300:BH302"/>
    <mergeCell ref="BC305:BC306"/>
    <mergeCell ref="BD305:BD306"/>
    <mergeCell ref="BE305:BE306"/>
    <mergeCell ref="BF305:BF306"/>
    <mergeCell ref="BG305:BG306"/>
    <mergeCell ref="BH305:BH306"/>
    <mergeCell ref="BC307:BC310"/>
    <mergeCell ref="BD307:BD310"/>
    <mergeCell ref="BE307:BE310"/>
    <mergeCell ref="BF307:BF310"/>
    <mergeCell ref="BG307:BG310"/>
    <mergeCell ref="BH307:BH310"/>
    <mergeCell ref="BC311:BC313"/>
    <mergeCell ref="BD311:BD313"/>
    <mergeCell ref="BE311:BE313"/>
    <mergeCell ref="BF311:BF313"/>
    <mergeCell ref="BG311:BG313"/>
    <mergeCell ref="BH311:BH313"/>
    <mergeCell ref="BC315:BC318"/>
    <mergeCell ref="BD315:BD318"/>
    <mergeCell ref="BE315:BE318"/>
    <mergeCell ref="BF315:BF318"/>
    <mergeCell ref="BG315:BG318"/>
    <mergeCell ref="BH315:BH318"/>
    <mergeCell ref="BC319:BC321"/>
    <mergeCell ref="BD319:BD321"/>
    <mergeCell ref="BE319:BE321"/>
    <mergeCell ref="BF319:BF321"/>
    <mergeCell ref="BG319:BG321"/>
    <mergeCell ref="BH319:BH321"/>
    <mergeCell ref="BC322:BC323"/>
    <mergeCell ref="BD322:BD323"/>
    <mergeCell ref="BE322:BE323"/>
    <mergeCell ref="BF322:BF323"/>
    <mergeCell ref="BG322:BG323"/>
    <mergeCell ref="BH322:BH323"/>
    <mergeCell ref="BC326:BC329"/>
    <mergeCell ref="BD326:BD329"/>
    <mergeCell ref="BE326:BE329"/>
    <mergeCell ref="BF326:BF329"/>
    <mergeCell ref="BG326:BG329"/>
    <mergeCell ref="BH326:BH329"/>
    <mergeCell ref="BC331:BC334"/>
    <mergeCell ref="BD331:BD334"/>
    <mergeCell ref="BE331:BE334"/>
    <mergeCell ref="BF331:BF334"/>
    <mergeCell ref="BG331:BG334"/>
    <mergeCell ref="BH331:BH334"/>
    <mergeCell ref="BC336:BC338"/>
    <mergeCell ref="BD336:BD338"/>
    <mergeCell ref="BE336:BE338"/>
    <mergeCell ref="BF336:BF338"/>
    <mergeCell ref="BG336:BG338"/>
    <mergeCell ref="BH336:BH338"/>
    <mergeCell ref="BC339:BC350"/>
    <mergeCell ref="BD339:BD350"/>
    <mergeCell ref="BE339:BE350"/>
    <mergeCell ref="BF339:BF350"/>
    <mergeCell ref="BG339:BG350"/>
    <mergeCell ref="BH339:BH350"/>
    <mergeCell ref="BC351:BC361"/>
    <mergeCell ref="BD351:BD361"/>
    <mergeCell ref="BE351:BE361"/>
    <mergeCell ref="BF351:BF361"/>
    <mergeCell ref="BG351:BG361"/>
    <mergeCell ref="BH351:BH361"/>
    <mergeCell ref="BC363:BC366"/>
    <mergeCell ref="BD363:BD366"/>
    <mergeCell ref="BE363:BE366"/>
    <mergeCell ref="BF363:BF366"/>
    <mergeCell ref="BG363:BG366"/>
    <mergeCell ref="BH363:BH366"/>
    <mergeCell ref="BC368:BC369"/>
    <mergeCell ref="BD368:BD369"/>
    <mergeCell ref="BE368:BE369"/>
    <mergeCell ref="BF368:BF369"/>
    <mergeCell ref="BG368:BG369"/>
    <mergeCell ref="BH368:BH369"/>
    <mergeCell ref="BC373:BC374"/>
    <mergeCell ref="BD373:BD374"/>
    <mergeCell ref="BE373:BE374"/>
    <mergeCell ref="BF373:BF374"/>
    <mergeCell ref="BG373:BG374"/>
    <mergeCell ref="BH373:BH374"/>
    <mergeCell ref="BC376:BC377"/>
    <mergeCell ref="BD376:BD377"/>
    <mergeCell ref="BE376:BE377"/>
    <mergeCell ref="BF376:BF377"/>
    <mergeCell ref="BG376:BG377"/>
    <mergeCell ref="BH376:BH377"/>
    <mergeCell ref="BC378:BC383"/>
    <mergeCell ref="BD378:BD383"/>
    <mergeCell ref="BE378:BE383"/>
    <mergeCell ref="BF378:BF383"/>
    <mergeCell ref="BG378:BG383"/>
    <mergeCell ref="BH378:BH383"/>
    <mergeCell ref="BC389:BC393"/>
    <mergeCell ref="BD389:BD393"/>
    <mergeCell ref="BE389:BE393"/>
    <mergeCell ref="BF389:BF393"/>
    <mergeCell ref="BG389:BG393"/>
    <mergeCell ref="BH389:BH393"/>
    <mergeCell ref="BC396:BC398"/>
    <mergeCell ref="BD396:BD398"/>
    <mergeCell ref="BE396:BE398"/>
    <mergeCell ref="BF396:BF398"/>
    <mergeCell ref="BG396:BG398"/>
    <mergeCell ref="BH396:BH398"/>
    <mergeCell ref="BC399:BC401"/>
    <mergeCell ref="BD399:BD401"/>
    <mergeCell ref="BE399:BE401"/>
    <mergeCell ref="BF399:BF401"/>
    <mergeCell ref="BG399:BG401"/>
    <mergeCell ref="BH399:BH401"/>
    <mergeCell ref="BC402:BC405"/>
    <mergeCell ref="BD402:BD405"/>
    <mergeCell ref="BE402:BE405"/>
    <mergeCell ref="BF402:BF405"/>
    <mergeCell ref="BG402:BG405"/>
    <mergeCell ref="BH402:BH405"/>
    <mergeCell ref="BC406:BC409"/>
    <mergeCell ref="BD406:BD409"/>
    <mergeCell ref="BE406:BE409"/>
    <mergeCell ref="BF406:BF409"/>
    <mergeCell ref="BG406:BG409"/>
    <mergeCell ref="BH406:BH409"/>
    <mergeCell ref="BC410:BC417"/>
    <mergeCell ref="BD410:BD417"/>
    <mergeCell ref="BE410:BE417"/>
    <mergeCell ref="BF410:BF417"/>
    <mergeCell ref="BG410:BG417"/>
    <mergeCell ref="BH410:BH417"/>
    <mergeCell ref="BC418:BC421"/>
    <mergeCell ref="BD418:BD421"/>
    <mergeCell ref="BE418:BE421"/>
    <mergeCell ref="BF418:BF421"/>
    <mergeCell ref="BG418:BG421"/>
    <mergeCell ref="BH418:BH421"/>
    <mergeCell ref="BC424:BC433"/>
    <mergeCell ref="BD424:BD433"/>
    <mergeCell ref="BE424:BE433"/>
    <mergeCell ref="BF424:BF433"/>
    <mergeCell ref="BG424:BG433"/>
    <mergeCell ref="BH424:BH433"/>
    <mergeCell ref="BC435:BC437"/>
    <mergeCell ref="BD435:BD437"/>
    <mergeCell ref="BE435:BE437"/>
    <mergeCell ref="BF435:BF437"/>
    <mergeCell ref="BG435:BG437"/>
    <mergeCell ref="BH435:BH437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4:BC447"/>
    <mergeCell ref="BD444:BD447"/>
    <mergeCell ref="BE444:BE447"/>
    <mergeCell ref="BF444:BF447"/>
    <mergeCell ref="BG444:BG447"/>
    <mergeCell ref="BH444:BH447"/>
    <mergeCell ref="BC450:BC452"/>
    <mergeCell ref="BD450:BD452"/>
    <mergeCell ref="BE450:BE452"/>
    <mergeCell ref="BF450:BF452"/>
    <mergeCell ref="BG450:BG452"/>
    <mergeCell ref="BH450:BH452"/>
    <mergeCell ref="BC453:BC458"/>
    <mergeCell ref="BD453:BD458"/>
    <mergeCell ref="BE453:BE458"/>
    <mergeCell ref="BF453:BF458"/>
    <mergeCell ref="BG453:BG458"/>
    <mergeCell ref="BH453:BH458"/>
    <mergeCell ref="BC461:BC465"/>
    <mergeCell ref="BD461:BD465"/>
    <mergeCell ref="BE461:BE465"/>
    <mergeCell ref="BF461:BF465"/>
    <mergeCell ref="BG461:BG465"/>
    <mergeCell ref="BH461:BH465"/>
    <mergeCell ref="BC466:BC467"/>
    <mergeCell ref="BD466:BD467"/>
    <mergeCell ref="BE466:BE467"/>
    <mergeCell ref="BF466:BF467"/>
    <mergeCell ref="BG466:BG467"/>
    <mergeCell ref="BH466:BH467"/>
    <mergeCell ref="BC468:BC470"/>
    <mergeCell ref="BD468:BD470"/>
    <mergeCell ref="BE468:BE470"/>
    <mergeCell ref="BF468:BF470"/>
    <mergeCell ref="BG468:BG470"/>
    <mergeCell ref="BH468:BH470"/>
    <mergeCell ref="BC471:BC478"/>
    <mergeCell ref="BD471:BD478"/>
    <mergeCell ref="BE471:BE478"/>
    <mergeCell ref="BF471:BF478"/>
    <mergeCell ref="BG471:BG478"/>
    <mergeCell ref="BH471:BH478"/>
    <mergeCell ref="BC480:BC483"/>
    <mergeCell ref="BD480:BD483"/>
    <mergeCell ref="BE480:BE483"/>
    <mergeCell ref="BF480:BF483"/>
    <mergeCell ref="BG480:BG483"/>
    <mergeCell ref="BH480:BH483"/>
    <mergeCell ref="BC492:BC493"/>
    <mergeCell ref="BD492:BD493"/>
    <mergeCell ref="BE492:BE493"/>
    <mergeCell ref="BF492:BF493"/>
    <mergeCell ref="BG492:BG493"/>
    <mergeCell ref="BH492:BH493"/>
    <mergeCell ref="BC495:BC498"/>
    <mergeCell ref="BD495:BD498"/>
    <mergeCell ref="BE495:BE498"/>
    <mergeCell ref="BF495:BF498"/>
    <mergeCell ref="BG495:BG498"/>
    <mergeCell ref="BH495:BH498"/>
    <mergeCell ref="BC499:BC500"/>
    <mergeCell ref="BD499:BD500"/>
    <mergeCell ref="BE499:BE500"/>
    <mergeCell ref="BF499:BF500"/>
    <mergeCell ref="BG499:BG500"/>
    <mergeCell ref="BH499:BH500"/>
    <mergeCell ref="BC502:BC504"/>
    <mergeCell ref="BD502:BD504"/>
    <mergeCell ref="BE502:BE504"/>
    <mergeCell ref="BF502:BF504"/>
    <mergeCell ref="BG502:BG504"/>
    <mergeCell ref="BH502:BH504"/>
    <mergeCell ref="BC505:BC509"/>
    <mergeCell ref="BD505:BD509"/>
    <mergeCell ref="BE505:BE509"/>
    <mergeCell ref="BF505:BF509"/>
    <mergeCell ref="BG505:BG509"/>
    <mergeCell ref="BH505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5:BC519"/>
    <mergeCell ref="BD515:BD519"/>
    <mergeCell ref="BE515:BE519"/>
    <mergeCell ref="BF515:BF519"/>
    <mergeCell ref="BG515:BG519"/>
    <mergeCell ref="BH515:BH519"/>
    <mergeCell ref="BC521:BC529"/>
    <mergeCell ref="BD521:BD529"/>
    <mergeCell ref="BE521:BE529"/>
    <mergeCell ref="BF521:BF529"/>
    <mergeCell ref="BG521:BG529"/>
    <mergeCell ref="BH521:BH529"/>
    <mergeCell ref="BC530:BC538"/>
    <mergeCell ref="BD530:BD538"/>
    <mergeCell ref="BE530:BE538"/>
    <mergeCell ref="BF530:BF538"/>
    <mergeCell ref="BG530:BG538"/>
    <mergeCell ref="BH530:BH538"/>
    <mergeCell ref="BC539:BC540"/>
    <mergeCell ref="BD539:BD540"/>
    <mergeCell ref="BE539:BE540"/>
    <mergeCell ref="BF539:BF540"/>
    <mergeCell ref="BG539:BG540"/>
    <mergeCell ref="BH539:BH540"/>
    <mergeCell ref="BC541:BC566"/>
    <mergeCell ref="BD541:BD566"/>
    <mergeCell ref="BE541:BE566"/>
    <mergeCell ref="BF541:BF566"/>
    <mergeCell ref="BG541:BG566"/>
    <mergeCell ref="BH541:BH566"/>
    <mergeCell ref="BC567:BC573"/>
    <mergeCell ref="BD567:BD573"/>
    <mergeCell ref="BE567:BE573"/>
    <mergeCell ref="BF567:BF573"/>
    <mergeCell ref="BG567:BG573"/>
    <mergeCell ref="BH567:BH573"/>
    <mergeCell ref="BC575:BC587"/>
    <mergeCell ref="BD575:BD587"/>
    <mergeCell ref="BE575:BE587"/>
    <mergeCell ref="BF575:BF587"/>
    <mergeCell ref="BG575:BG587"/>
    <mergeCell ref="BH575:BH587"/>
    <mergeCell ref="BC588:BC591"/>
    <mergeCell ref="BD588:BD591"/>
    <mergeCell ref="BE588:BE591"/>
    <mergeCell ref="BF588:BF591"/>
    <mergeCell ref="BG588:BG591"/>
    <mergeCell ref="BH588:BH591"/>
    <mergeCell ref="BC594:BC618"/>
    <mergeCell ref="BD594:BD618"/>
    <mergeCell ref="BE594:BE618"/>
    <mergeCell ref="BF594:BF618"/>
    <mergeCell ref="BG594:BG618"/>
    <mergeCell ref="BH594:BH618"/>
    <mergeCell ref="BC620:BC623"/>
    <mergeCell ref="BD620:BD623"/>
    <mergeCell ref="BE620:BE623"/>
    <mergeCell ref="BF620:BF623"/>
    <mergeCell ref="BG620:BG623"/>
    <mergeCell ref="BH620:BH623"/>
    <mergeCell ref="BC624:BC699"/>
    <mergeCell ref="BD624:BD699"/>
    <mergeCell ref="BE624:BE699"/>
    <mergeCell ref="BF624:BF699"/>
    <mergeCell ref="BG624:BG699"/>
    <mergeCell ref="BH624:BH699"/>
    <mergeCell ref="BC700:BC852"/>
    <mergeCell ref="BD700:BD852"/>
    <mergeCell ref="BE700:BE852"/>
    <mergeCell ref="BF700:BF852"/>
    <mergeCell ref="BG700:BG852"/>
    <mergeCell ref="BH700:BH852"/>
    <mergeCell ref="BC853:BC875"/>
    <mergeCell ref="BD853:BD875"/>
    <mergeCell ref="BE853:BE875"/>
    <mergeCell ref="BF853:BF875"/>
    <mergeCell ref="BG853:BG875"/>
    <mergeCell ref="BH853:BH875"/>
    <mergeCell ref="BC878:BC880"/>
    <mergeCell ref="BD878:BD880"/>
    <mergeCell ref="BE878:BE880"/>
    <mergeCell ref="BF878:BF880"/>
    <mergeCell ref="BG878:BG880"/>
    <mergeCell ref="BH878:BH880"/>
    <mergeCell ref="BC884:BC885"/>
    <mergeCell ref="BD884:BD885"/>
    <mergeCell ref="BE884:BE885"/>
    <mergeCell ref="BF884:BF885"/>
    <mergeCell ref="BG884:BG885"/>
    <mergeCell ref="BH884:BH885"/>
    <mergeCell ref="BC886:BC889"/>
    <mergeCell ref="BD886:BD889"/>
    <mergeCell ref="BE886:BE889"/>
    <mergeCell ref="BF886:BF889"/>
    <mergeCell ref="BG886:BG889"/>
    <mergeCell ref="BH886:BH889"/>
    <mergeCell ref="BC891:BC914"/>
    <mergeCell ref="BD891:BD914"/>
    <mergeCell ref="BE891:BE914"/>
    <mergeCell ref="BF891:BF914"/>
    <mergeCell ref="BG891:BG914"/>
    <mergeCell ref="BH891:BH914"/>
    <mergeCell ref="BC915:BC917"/>
    <mergeCell ref="BD915:BD917"/>
    <mergeCell ref="BE915:BE917"/>
    <mergeCell ref="BF915:BF917"/>
    <mergeCell ref="BG915:BG917"/>
    <mergeCell ref="BH915:BH917"/>
    <mergeCell ref="BC918:BC928"/>
    <mergeCell ref="BD918:BD928"/>
    <mergeCell ref="BE918:BE928"/>
    <mergeCell ref="BF918:BF928"/>
    <mergeCell ref="BG918:BG928"/>
    <mergeCell ref="BH918:BH928"/>
    <mergeCell ref="BC929:BC945"/>
    <mergeCell ref="BD929:BD945"/>
    <mergeCell ref="BE929:BE945"/>
    <mergeCell ref="BF929:BF945"/>
    <mergeCell ref="BG929:BG945"/>
    <mergeCell ref="BH929:BH945"/>
    <mergeCell ref="BC946:BC947"/>
    <mergeCell ref="BD946:BD947"/>
    <mergeCell ref="BE946:BE947"/>
    <mergeCell ref="BF946:BF947"/>
    <mergeCell ref="BG946:BG947"/>
    <mergeCell ref="BH946:BH947"/>
    <mergeCell ref="BC948:BC950"/>
    <mergeCell ref="BD948:BD950"/>
    <mergeCell ref="BE948:BE950"/>
    <mergeCell ref="BF948:BF950"/>
    <mergeCell ref="BG948:BG950"/>
    <mergeCell ref="BH948:BH950"/>
    <mergeCell ref="BC951:BC954"/>
    <mergeCell ref="BD951:BD954"/>
    <mergeCell ref="BE951:BE954"/>
    <mergeCell ref="BF951:BF954"/>
    <mergeCell ref="BG951:BG954"/>
    <mergeCell ref="BH951:BH954"/>
    <mergeCell ref="BC955:BC956"/>
    <mergeCell ref="BD955:BD956"/>
    <mergeCell ref="BE955:BE956"/>
    <mergeCell ref="BF955:BF956"/>
    <mergeCell ref="BG955:BG956"/>
    <mergeCell ref="BH955:BH956"/>
    <mergeCell ref="BC958:BC963"/>
    <mergeCell ref="BD958:BD963"/>
    <mergeCell ref="BE958:BE963"/>
    <mergeCell ref="BF958:BF963"/>
    <mergeCell ref="BG958:BG963"/>
    <mergeCell ref="BH958:BH963"/>
    <mergeCell ref="BC964:BC967"/>
    <mergeCell ref="BD964:BD967"/>
    <mergeCell ref="BE964:BE967"/>
    <mergeCell ref="BF964:BF967"/>
    <mergeCell ref="BG964:BG967"/>
    <mergeCell ref="BH964:BH967"/>
    <mergeCell ref="BC968:BC971"/>
    <mergeCell ref="BD968:BD971"/>
    <mergeCell ref="BE968:BE971"/>
    <mergeCell ref="BF968:BF971"/>
    <mergeCell ref="BG968:BG971"/>
    <mergeCell ref="BH968:BH971"/>
    <mergeCell ref="BC973:BC974"/>
    <mergeCell ref="BD973:BD974"/>
    <mergeCell ref="BE973:BE974"/>
    <mergeCell ref="BF973:BF974"/>
    <mergeCell ref="BG973:BG974"/>
    <mergeCell ref="BH973:BH974"/>
    <mergeCell ref="BC977:BC982"/>
    <mergeCell ref="BD977:BD982"/>
    <mergeCell ref="BE977:BE982"/>
    <mergeCell ref="BF977:BF982"/>
    <mergeCell ref="BG977:BG982"/>
    <mergeCell ref="BH977:BH982"/>
    <mergeCell ref="BC983:BC991"/>
    <mergeCell ref="BD983:BD991"/>
    <mergeCell ref="BE983:BE991"/>
    <mergeCell ref="BF983:BF991"/>
    <mergeCell ref="BG983:BG991"/>
    <mergeCell ref="BH983:BH991"/>
    <mergeCell ref="BC993:BC995"/>
    <mergeCell ref="BD993:BD995"/>
    <mergeCell ref="BE993:BE995"/>
    <mergeCell ref="BF993:BF995"/>
    <mergeCell ref="BG993:BG995"/>
    <mergeCell ref="BH993:BH995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01:BC1003"/>
    <mergeCell ref="BD1001:BD1003"/>
    <mergeCell ref="BE1001:BE1003"/>
    <mergeCell ref="BF1001:BF1003"/>
    <mergeCell ref="BG1001:BG1003"/>
    <mergeCell ref="BH1001:BH1003"/>
    <mergeCell ref="BC1007:BC1029"/>
    <mergeCell ref="BD1007:BD1029"/>
    <mergeCell ref="BE1007:BE1029"/>
    <mergeCell ref="BF1007:BF1029"/>
    <mergeCell ref="BG1007:BG1029"/>
    <mergeCell ref="BH1007:BH1029"/>
    <mergeCell ref="BC1032:BC1048"/>
    <mergeCell ref="BD1032:BD1048"/>
    <mergeCell ref="BE1032:BE1048"/>
    <mergeCell ref="BF1032:BF1048"/>
    <mergeCell ref="BG1032:BG1048"/>
    <mergeCell ref="BH1032:BH1048"/>
    <mergeCell ref="BC1050:BC1052"/>
    <mergeCell ref="BD1050:BD1052"/>
    <mergeCell ref="BE1050:BE1052"/>
    <mergeCell ref="BF1050:BF1052"/>
    <mergeCell ref="BG1050:BG1052"/>
    <mergeCell ref="BH1050:BH1052"/>
    <mergeCell ref="BC1055:BC1063"/>
    <mergeCell ref="BD1055:BD1063"/>
    <mergeCell ref="BE1055:BE1063"/>
    <mergeCell ref="BF1055:BF1063"/>
    <mergeCell ref="BG1055:BG1063"/>
    <mergeCell ref="BH1055:BH1063"/>
    <mergeCell ref="BC1065:BC1066"/>
    <mergeCell ref="BD1065:BD1066"/>
    <mergeCell ref="BE1065:BE1066"/>
    <mergeCell ref="BF1065:BF1066"/>
    <mergeCell ref="BG1065:BG1066"/>
    <mergeCell ref="BH1065:BH1066"/>
    <mergeCell ref="BC1067:BC1082"/>
    <mergeCell ref="BD1067:BD1082"/>
    <mergeCell ref="BE1067:BE1082"/>
    <mergeCell ref="BF1067:BF1082"/>
    <mergeCell ref="BG1067:BG1082"/>
    <mergeCell ref="BH1067:BH1082"/>
    <mergeCell ref="BC1086:BC1089"/>
    <mergeCell ref="BD1086:BD1089"/>
    <mergeCell ref="BE1086:BE1089"/>
    <mergeCell ref="BF1086:BF1089"/>
    <mergeCell ref="BG1086:BG1089"/>
    <mergeCell ref="BH1086:BH1089"/>
    <mergeCell ref="BC1090:BC1103"/>
    <mergeCell ref="BD1090:BD1103"/>
    <mergeCell ref="BE1090:BE1103"/>
    <mergeCell ref="BF1090:BF1103"/>
    <mergeCell ref="BG1090:BG1103"/>
    <mergeCell ref="BH1090:BH1103"/>
    <mergeCell ref="BC1106:BC1107"/>
    <mergeCell ref="BD1106:BD1107"/>
    <mergeCell ref="BE1106:BE1107"/>
    <mergeCell ref="BF1106:BF1107"/>
    <mergeCell ref="BG1106:BG1107"/>
    <mergeCell ref="BH1106:BH1107"/>
    <mergeCell ref="BC1108:BC1110"/>
    <mergeCell ref="BD1108:BD1110"/>
    <mergeCell ref="BE1108:BE1110"/>
    <mergeCell ref="BF1108:BF1110"/>
    <mergeCell ref="BG1108:BG1110"/>
    <mergeCell ref="BH1108:BH1110"/>
    <mergeCell ref="BC1112:BC1113"/>
    <mergeCell ref="BD1112:BD1113"/>
    <mergeCell ref="BE1112:BE1113"/>
    <mergeCell ref="BF1112:BF1113"/>
    <mergeCell ref="BG1112:BG1113"/>
    <mergeCell ref="BH1112:BH1113"/>
    <mergeCell ref="BC1115:BC1116"/>
    <mergeCell ref="BD1115:BD1116"/>
    <mergeCell ref="BE1115:BE1116"/>
    <mergeCell ref="BF1115:BF1116"/>
    <mergeCell ref="BG1115:BG1116"/>
    <mergeCell ref="BH1115:BH1116"/>
    <mergeCell ref="BC1118:BC1119"/>
    <mergeCell ref="BD1118:BD1119"/>
    <mergeCell ref="BE1118:BE1119"/>
    <mergeCell ref="BF1118:BF1119"/>
    <mergeCell ref="BG1118:BG1119"/>
    <mergeCell ref="BH1118:BH1119"/>
    <mergeCell ref="BC1120:BC1125"/>
    <mergeCell ref="BD1120:BD1125"/>
    <mergeCell ref="BE1120:BE1125"/>
    <mergeCell ref="BF1120:BF1125"/>
    <mergeCell ref="BG1120:BG1125"/>
    <mergeCell ref="BH1120:BH1125"/>
    <mergeCell ref="BC1127:BC1140"/>
    <mergeCell ref="BD1127:BD1140"/>
    <mergeCell ref="BE1127:BE1140"/>
    <mergeCell ref="BF1127:BF1140"/>
    <mergeCell ref="BG1127:BG1140"/>
    <mergeCell ref="BH1127:BH1140"/>
    <mergeCell ref="BC1141:BC1142"/>
    <mergeCell ref="BD1141:BD1142"/>
    <mergeCell ref="BE1141:BE1142"/>
    <mergeCell ref="BF1141:BF1142"/>
    <mergeCell ref="BG1141:BG1142"/>
    <mergeCell ref="BH1141:BH1142"/>
    <mergeCell ref="BC1143:BC1152"/>
    <mergeCell ref="BD1143:BD1152"/>
    <mergeCell ref="BE1143:BE1152"/>
    <mergeCell ref="BF1143:BF1152"/>
    <mergeCell ref="BG1143:BG1152"/>
    <mergeCell ref="BH1143:BH1152"/>
    <mergeCell ref="BC1153:BC1156"/>
    <mergeCell ref="BD1153:BD1156"/>
    <mergeCell ref="BE1153:BE1156"/>
    <mergeCell ref="BF1153:BF1156"/>
    <mergeCell ref="BG1153:BG1156"/>
    <mergeCell ref="BH1153:BH1156"/>
    <mergeCell ref="BC1157:BC1171"/>
    <mergeCell ref="BD1157:BD1171"/>
    <mergeCell ref="BE1157:BE1171"/>
    <mergeCell ref="BF1157:BF1171"/>
    <mergeCell ref="BG1157:BG1171"/>
    <mergeCell ref="BH1157:BH1171"/>
    <mergeCell ref="BC1172:BC1174"/>
    <mergeCell ref="BD1172:BD1174"/>
    <mergeCell ref="BE1172:BE1174"/>
    <mergeCell ref="BF1172:BF1174"/>
    <mergeCell ref="BG1172:BG1174"/>
    <mergeCell ref="BH1172:BH1174"/>
    <mergeCell ref="BC1176:BC1179"/>
    <mergeCell ref="BD1176:BD1179"/>
    <mergeCell ref="BE1176:BE1179"/>
    <mergeCell ref="BF1176:BF1179"/>
    <mergeCell ref="BG1176:BG1179"/>
    <mergeCell ref="BH1176:BH1179"/>
    <mergeCell ref="BC1182:BC1184"/>
    <mergeCell ref="BD1182:BD1184"/>
    <mergeCell ref="BE1182:BE1184"/>
    <mergeCell ref="BF1182:BF1184"/>
    <mergeCell ref="BG1182:BG1184"/>
    <mergeCell ref="BH1182:BH1184"/>
    <mergeCell ref="BC1185:BC1189"/>
    <mergeCell ref="BD1185:BD1189"/>
    <mergeCell ref="BE1185:BE1189"/>
    <mergeCell ref="BF1185:BF1189"/>
    <mergeCell ref="BG1185:BG1189"/>
    <mergeCell ref="BH1185:BH1189"/>
    <mergeCell ref="BC1191:BC1194"/>
    <mergeCell ref="BD1191:BD1194"/>
    <mergeCell ref="BE1191:BE1194"/>
    <mergeCell ref="BF1191:BF1194"/>
    <mergeCell ref="BG1191:BG1194"/>
    <mergeCell ref="BH1191:BH1194"/>
    <mergeCell ref="BC1196:BC1199"/>
    <mergeCell ref="BD1196:BD1199"/>
    <mergeCell ref="BE1196:BE1199"/>
    <mergeCell ref="BF1196:BF1199"/>
    <mergeCell ref="BG1196:BG1199"/>
    <mergeCell ref="BH1196:BH1199"/>
    <mergeCell ref="BC1202:BC1205"/>
    <mergeCell ref="BD1202:BD1205"/>
    <mergeCell ref="BE1202:BE1205"/>
    <mergeCell ref="BF1202:BF1205"/>
    <mergeCell ref="BG1202:BG1205"/>
    <mergeCell ref="BH1202:BH1205"/>
    <mergeCell ref="BC1208:BC1211"/>
    <mergeCell ref="BD1208:BD1211"/>
    <mergeCell ref="BE1208:BE1211"/>
    <mergeCell ref="BF1208:BF1211"/>
    <mergeCell ref="BG1208:BG1211"/>
    <mergeCell ref="BH1208:BH1211"/>
    <mergeCell ref="BC1212:BC1218"/>
    <mergeCell ref="BD1212:BD1218"/>
    <mergeCell ref="BE1212:BE1218"/>
    <mergeCell ref="BF1212:BF1218"/>
    <mergeCell ref="BG1212:BG1218"/>
    <mergeCell ref="BH1212:BH1218"/>
    <mergeCell ref="BC1221:BC1222"/>
    <mergeCell ref="BD1221:BD1222"/>
    <mergeCell ref="BE1221:BE1222"/>
    <mergeCell ref="BF1221:BF1222"/>
    <mergeCell ref="BG1221:BG1222"/>
    <mergeCell ref="BH1221:BH1222"/>
    <mergeCell ref="BC1223:BC1228"/>
    <mergeCell ref="BD1223:BD1228"/>
    <mergeCell ref="BE1223:BE1228"/>
    <mergeCell ref="BF1223:BF1228"/>
    <mergeCell ref="BG1223:BG1228"/>
    <mergeCell ref="BH1223:BH1228"/>
    <mergeCell ref="BC1229:BC1230"/>
    <mergeCell ref="BD1229:BD1230"/>
    <mergeCell ref="BE1229:BE1230"/>
    <mergeCell ref="BF1229:BF1230"/>
    <mergeCell ref="BG1229:BG1230"/>
    <mergeCell ref="BH1229:BH1230"/>
    <mergeCell ref="BC1232:BC1240"/>
    <mergeCell ref="BD1232:BD1240"/>
    <mergeCell ref="BE1232:BE1240"/>
    <mergeCell ref="BF1232:BF1240"/>
    <mergeCell ref="BG1232:BG1240"/>
    <mergeCell ref="BH1232:BH1240"/>
    <mergeCell ref="BC1241:BC1247"/>
    <mergeCell ref="BD1241:BD1247"/>
    <mergeCell ref="BE1241:BE1247"/>
    <mergeCell ref="BF1241:BF1247"/>
    <mergeCell ref="BG1241:BG1247"/>
    <mergeCell ref="BH1241:BH1247"/>
    <mergeCell ref="BC1249:BC1250"/>
    <mergeCell ref="BD1249:BD1250"/>
    <mergeCell ref="BE1249:BE1250"/>
    <mergeCell ref="BF1249:BF1250"/>
    <mergeCell ref="BG1249:BG1250"/>
    <mergeCell ref="BH1249:BH1250"/>
    <mergeCell ref="BC1251:BC1252"/>
    <mergeCell ref="BD1251:BD1252"/>
    <mergeCell ref="BE1251:BE1252"/>
    <mergeCell ref="BF1251:BF1252"/>
    <mergeCell ref="BG1251:BG1252"/>
    <mergeCell ref="BH1251:BH1252"/>
    <mergeCell ref="BC1253:BC1254"/>
    <mergeCell ref="BD1253:BD1254"/>
    <mergeCell ref="BE1253:BE1254"/>
    <mergeCell ref="BF1253:BF1254"/>
    <mergeCell ref="BG1253:BG1254"/>
    <mergeCell ref="BH1253:BH1254"/>
    <mergeCell ref="BC1256:BC1263"/>
    <mergeCell ref="BD1256:BD1263"/>
    <mergeCell ref="BE1256:BE1263"/>
    <mergeCell ref="BF1256:BF1263"/>
    <mergeCell ref="BG1256:BG1263"/>
    <mergeCell ref="BH1256:BH1263"/>
    <mergeCell ref="BC1264:BC1265"/>
    <mergeCell ref="BD1264:BD1265"/>
    <mergeCell ref="BE1264:BE1265"/>
    <mergeCell ref="BF1264:BF1265"/>
    <mergeCell ref="BG1264:BG1265"/>
    <mergeCell ref="BH1264:BH1265"/>
    <mergeCell ref="BC1269:BC1270"/>
    <mergeCell ref="BD1269:BD1270"/>
    <mergeCell ref="BE1269:BE1270"/>
    <mergeCell ref="BF1269:BF1270"/>
    <mergeCell ref="BG1269:BG1270"/>
    <mergeCell ref="BH1269:BH1270"/>
    <mergeCell ref="BC1272:BC1279"/>
    <mergeCell ref="BD1272:BD1279"/>
    <mergeCell ref="BE1272:BE1279"/>
    <mergeCell ref="BF1272:BF1279"/>
    <mergeCell ref="BG1272:BG1279"/>
    <mergeCell ref="BH1272:BH1279"/>
    <mergeCell ref="BC1280:BC1283"/>
    <mergeCell ref="BD1280:BD1283"/>
    <mergeCell ref="BE1280:BE1283"/>
    <mergeCell ref="BF1280:BF1283"/>
    <mergeCell ref="BG1280:BG1283"/>
    <mergeCell ref="BH1280:BH1283"/>
    <mergeCell ref="BC1284:BC1287"/>
    <mergeCell ref="BD1284:BD1287"/>
    <mergeCell ref="BE1284:BE1287"/>
    <mergeCell ref="BF1284:BF1287"/>
    <mergeCell ref="BG1284:BG1287"/>
    <mergeCell ref="BH1284:BH1287"/>
    <mergeCell ref="BC1289:BC1295"/>
    <mergeCell ref="BD1289:BD1295"/>
    <mergeCell ref="BE1289:BE1295"/>
    <mergeCell ref="BF1289:BF1295"/>
    <mergeCell ref="BG1289:BG1295"/>
    <mergeCell ref="BH1289:BH1295"/>
    <mergeCell ref="BC1296:BC1335"/>
    <mergeCell ref="BD1296:BD1335"/>
    <mergeCell ref="BE1296:BE1335"/>
    <mergeCell ref="BF1296:BF1335"/>
    <mergeCell ref="BG1296:BG1335"/>
    <mergeCell ref="BH1296:BH1335"/>
    <mergeCell ref="BC1337:BC1338"/>
    <mergeCell ref="BD1337:BD1338"/>
    <mergeCell ref="BE1337:BE1338"/>
    <mergeCell ref="BF1337:BF1338"/>
    <mergeCell ref="BG1337:BG1338"/>
    <mergeCell ref="BH1337:BH1338"/>
    <mergeCell ref="BC1340:BC1341"/>
    <mergeCell ref="BD1340:BD1341"/>
    <mergeCell ref="BE1340:BE1341"/>
    <mergeCell ref="BF1340:BF1341"/>
    <mergeCell ref="BG1340:BG1341"/>
    <mergeCell ref="BH1340:BH1341"/>
    <mergeCell ref="BC1342:BC1344"/>
    <mergeCell ref="BD1342:BD1344"/>
    <mergeCell ref="BE1342:BE1344"/>
    <mergeCell ref="BF1342:BF1344"/>
    <mergeCell ref="BG1342:BG1344"/>
    <mergeCell ref="BH1342:BH1344"/>
    <mergeCell ref="BC1345:BC1351"/>
    <mergeCell ref="BD1345:BD1351"/>
    <mergeCell ref="BE1345:BE1351"/>
    <mergeCell ref="BF1345:BF1351"/>
    <mergeCell ref="BG1345:BG1351"/>
    <mergeCell ref="BH1345:BH1351"/>
    <mergeCell ref="BC1353:BC1360"/>
    <mergeCell ref="BD1353:BD1360"/>
    <mergeCell ref="BE1353:BE1360"/>
    <mergeCell ref="BF1353:BF1360"/>
    <mergeCell ref="BG1353:BG1360"/>
    <mergeCell ref="BH1353:BH1360"/>
    <mergeCell ref="BC1361:BC1366"/>
    <mergeCell ref="BD1361:BD1366"/>
    <mergeCell ref="BE1361:BE1366"/>
    <mergeCell ref="BF1361:BF1366"/>
    <mergeCell ref="BG1361:BG1366"/>
    <mergeCell ref="BH1361:BH1366"/>
    <mergeCell ref="BC1367:BC1368"/>
    <mergeCell ref="BD1367:BD1368"/>
    <mergeCell ref="BE1367:BE1368"/>
    <mergeCell ref="BF1367:BF1368"/>
    <mergeCell ref="BG1367:BG1368"/>
    <mergeCell ref="BH1367:BH1368"/>
    <mergeCell ref="BC1369:BC1374"/>
    <mergeCell ref="BD1369:BD1374"/>
    <mergeCell ref="BE1369:BE1374"/>
    <mergeCell ref="BF1369:BF1374"/>
    <mergeCell ref="BG1369:BG1374"/>
    <mergeCell ref="BH1369:BH1374"/>
    <mergeCell ref="BC1376:BC1383"/>
    <mergeCell ref="BD1376:BD1383"/>
    <mergeCell ref="BE1376:BE1383"/>
    <mergeCell ref="BF1376:BF1383"/>
    <mergeCell ref="BG1376:BG1383"/>
    <mergeCell ref="BH1376:BH1383"/>
    <mergeCell ref="BC1384:BC1386"/>
    <mergeCell ref="BD1384:BD1386"/>
    <mergeCell ref="BE1384:BE1386"/>
    <mergeCell ref="BF1384:BF1386"/>
    <mergeCell ref="BG1384:BG1386"/>
    <mergeCell ref="BH1384:BH1386"/>
    <mergeCell ref="BC1387:BC1391"/>
    <mergeCell ref="BD1387:BD1391"/>
    <mergeCell ref="BE1387:BE1391"/>
    <mergeCell ref="BF1387:BF1391"/>
    <mergeCell ref="BG1387:BG1391"/>
    <mergeCell ref="BH1387:BH1391"/>
    <mergeCell ref="BC1392:BC1393"/>
    <mergeCell ref="BD1392:BD1393"/>
    <mergeCell ref="BE1392:BE1393"/>
    <mergeCell ref="BF1392:BF1393"/>
    <mergeCell ref="BG1392:BG1393"/>
    <mergeCell ref="BH1392:BH1393"/>
    <mergeCell ref="BC1394:BC1397"/>
    <mergeCell ref="BD1394:BD1397"/>
    <mergeCell ref="BE1394:BE1397"/>
    <mergeCell ref="BF1394:BF1397"/>
    <mergeCell ref="BG1394:BG1397"/>
    <mergeCell ref="BH1394:BH1397"/>
    <mergeCell ref="BC1398:BC1400"/>
    <mergeCell ref="BD1398:BD1400"/>
    <mergeCell ref="BE1398:BE1400"/>
    <mergeCell ref="BF1398:BF1400"/>
    <mergeCell ref="BG1398:BG1400"/>
    <mergeCell ref="BH1398:BH1400"/>
    <mergeCell ref="BC1401:BC1402"/>
    <mergeCell ref="BD1401:BD1402"/>
    <mergeCell ref="BE1401:BE1402"/>
    <mergeCell ref="BF1401:BF1402"/>
    <mergeCell ref="BG1401:BG1402"/>
    <mergeCell ref="BH1401:BH1402"/>
    <mergeCell ref="BC1409:BC1417"/>
    <mergeCell ref="BD1409:BD1417"/>
    <mergeCell ref="BE1409:BE1417"/>
    <mergeCell ref="BF1409:BF1417"/>
    <mergeCell ref="BG1409:BG1417"/>
    <mergeCell ref="BH1409:BH1417"/>
    <mergeCell ref="BC1419:BC1421"/>
    <mergeCell ref="BD1419:BD1421"/>
    <mergeCell ref="BE1419:BE1421"/>
    <mergeCell ref="BF1419:BF1421"/>
    <mergeCell ref="BG1419:BG1421"/>
    <mergeCell ref="BH1419:BH1421"/>
    <mergeCell ref="BC1422:BC1424"/>
    <mergeCell ref="BD1422:BD1424"/>
    <mergeCell ref="BE1422:BE1424"/>
    <mergeCell ref="BF1422:BF1424"/>
    <mergeCell ref="BG1422:BG1424"/>
    <mergeCell ref="BH1422:BH1424"/>
    <mergeCell ref="BC1425:BC1433"/>
    <mergeCell ref="BD1425:BD1433"/>
    <mergeCell ref="BE1425:BE1433"/>
    <mergeCell ref="BF1425:BF1433"/>
    <mergeCell ref="BG1425:BG1433"/>
    <mergeCell ref="BH1425:BH1433"/>
    <mergeCell ref="BC1434:BC1435"/>
    <mergeCell ref="BD1434:BD1435"/>
    <mergeCell ref="BE1434:BE1435"/>
    <mergeCell ref="BF1434:BF1435"/>
    <mergeCell ref="BG1434:BG1435"/>
    <mergeCell ref="BH1434:BH1435"/>
    <mergeCell ref="BC1436:BC1495"/>
    <mergeCell ref="BD1436:BD1495"/>
    <mergeCell ref="BE1436:BE1495"/>
    <mergeCell ref="BF1436:BF1495"/>
    <mergeCell ref="BG1436:BG1495"/>
    <mergeCell ref="BH1436:BH1495"/>
    <mergeCell ref="BC1496:BC1534"/>
    <mergeCell ref="BD1496:BD1534"/>
    <mergeCell ref="BE1496:BE1534"/>
    <mergeCell ref="BF1496:BF1534"/>
    <mergeCell ref="BG1496:BG1534"/>
    <mergeCell ref="BH1496:BH1534"/>
    <mergeCell ref="BC1536:BC1541"/>
    <mergeCell ref="BD1536:BD1541"/>
    <mergeCell ref="BE1536:BE1541"/>
    <mergeCell ref="BF1536:BF1541"/>
    <mergeCell ref="BG1536:BG1541"/>
    <mergeCell ref="BH1536:BH1541"/>
    <mergeCell ref="BC1542:BC1546"/>
    <mergeCell ref="BD1542:BD1546"/>
    <mergeCell ref="BE1542:BE1546"/>
    <mergeCell ref="BF1542:BF1546"/>
    <mergeCell ref="BG1542:BG1546"/>
    <mergeCell ref="BH1542:BH1546"/>
    <mergeCell ref="BC1547:BC1548"/>
    <mergeCell ref="BD1547:BD1548"/>
    <mergeCell ref="BE1547:BE1548"/>
    <mergeCell ref="BF1547:BF1548"/>
    <mergeCell ref="BG1547:BG1548"/>
    <mergeCell ref="BH1547:BH1548"/>
    <mergeCell ref="BC1550:BC1552"/>
    <mergeCell ref="BD1550:BD1552"/>
    <mergeCell ref="BE1550:BE1552"/>
    <mergeCell ref="BF1550:BF1552"/>
    <mergeCell ref="BG1550:BG1552"/>
    <mergeCell ref="BH1550:BH1552"/>
    <mergeCell ref="BC1554:BC1564"/>
    <mergeCell ref="BD1554:BD1564"/>
    <mergeCell ref="BE1554:BE1564"/>
    <mergeCell ref="BF1554:BF1564"/>
    <mergeCell ref="BG1554:BG1564"/>
    <mergeCell ref="BH1554:BH1564"/>
    <mergeCell ref="BC1565:BC1573"/>
    <mergeCell ref="BD1565:BD1573"/>
    <mergeCell ref="BE1565:BE1573"/>
    <mergeCell ref="BF1565:BF1573"/>
    <mergeCell ref="BG1565:BG1573"/>
    <mergeCell ref="BH1565:BH1573"/>
    <mergeCell ref="BC1575:BC1591"/>
    <mergeCell ref="BD1575:BD1591"/>
    <mergeCell ref="BE1575:BE1591"/>
    <mergeCell ref="BF1575:BF1591"/>
    <mergeCell ref="BG1575:BG1591"/>
    <mergeCell ref="BH1575:BH1591"/>
    <mergeCell ref="BC1592:BC1593"/>
    <mergeCell ref="BD1592:BD1593"/>
    <mergeCell ref="BE1592:BE1593"/>
    <mergeCell ref="BF1592:BF1593"/>
    <mergeCell ref="BG1592:BG1593"/>
    <mergeCell ref="BH1592:BH1593"/>
    <mergeCell ref="BC1594:BC1599"/>
    <mergeCell ref="BD1594:BD1599"/>
    <mergeCell ref="BE1594:BE1599"/>
    <mergeCell ref="BF1594:BF1599"/>
    <mergeCell ref="BG1594:BG1599"/>
    <mergeCell ref="BH1594:BH1599"/>
    <mergeCell ref="BC1600:BC1605"/>
    <mergeCell ref="BD1600:BD1605"/>
    <mergeCell ref="BE1600:BE1605"/>
    <mergeCell ref="BF1600:BF1605"/>
    <mergeCell ref="BG1600:BG1605"/>
    <mergeCell ref="BH1600:BH1605"/>
    <mergeCell ref="BC1609:BC1611"/>
    <mergeCell ref="BD1609:BD1611"/>
    <mergeCell ref="BE1609:BE1611"/>
    <mergeCell ref="BF1609:BF1611"/>
    <mergeCell ref="BG1609:BG1611"/>
    <mergeCell ref="BH1609:BH1611"/>
    <mergeCell ref="BC1612:BC1613"/>
    <mergeCell ref="BD1612:BD1613"/>
    <mergeCell ref="BE1612:BE1613"/>
    <mergeCell ref="BF1612:BF1613"/>
    <mergeCell ref="BG1612:BG1613"/>
    <mergeCell ref="BH1612:BH1613"/>
    <mergeCell ref="BC1615:BC1618"/>
    <mergeCell ref="BD1615:BD1618"/>
    <mergeCell ref="BE1615:BE1618"/>
    <mergeCell ref="BF1615:BF1618"/>
    <mergeCell ref="BG1615:BG1618"/>
    <mergeCell ref="BH1615:BH1618"/>
    <mergeCell ref="BC1620:BC1623"/>
    <mergeCell ref="BD1620:BD1623"/>
    <mergeCell ref="BE1620:BE1623"/>
    <mergeCell ref="BF1620:BF1623"/>
    <mergeCell ref="BG1620:BG1623"/>
    <mergeCell ref="BH1620:BH1623"/>
    <mergeCell ref="BC1624:BC1629"/>
    <mergeCell ref="BD1624:BD1629"/>
    <mergeCell ref="BE1624:BE1629"/>
    <mergeCell ref="BF1624:BF1629"/>
    <mergeCell ref="BG1624:BG1629"/>
    <mergeCell ref="BH1624:BH1629"/>
    <mergeCell ref="BC1630:BC1631"/>
    <mergeCell ref="BD1630:BD1631"/>
    <mergeCell ref="BE1630:BE1631"/>
    <mergeCell ref="BF1630:BF1631"/>
    <mergeCell ref="BG1630:BG1631"/>
    <mergeCell ref="BH1630:BH1631"/>
    <mergeCell ref="BC1632:BC1634"/>
    <mergeCell ref="BD1632:BD1634"/>
    <mergeCell ref="BE1632:BE1634"/>
    <mergeCell ref="BF1632:BF1634"/>
    <mergeCell ref="BG1632:BG1634"/>
    <mergeCell ref="BH1632:BH1634"/>
    <mergeCell ref="BC1635:BC1637"/>
    <mergeCell ref="BD1635:BD1637"/>
    <mergeCell ref="BE1635:BE1637"/>
    <mergeCell ref="BF1635:BF1637"/>
    <mergeCell ref="BG1635:BG1637"/>
    <mergeCell ref="BH1635:BH1637"/>
    <mergeCell ref="BC1639:BC1642"/>
    <mergeCell ref="BD1639:BD1642"/>
    <mergeCell ref="BE1639:BE1642"/>
    <mergeCell ref="BF1639:BF1642"/>
    <mergeCell ref="BG1639:BG1642"/>
    <mergeCell ref="BH1639:BH1642"/>
    <mergeCell ref="BC1644:BC1645"/>
    <mergeCell ref="BD1644:BD1645"/>
    <mergeCell ref="BE1644:BE1645"/>
    <mergeCell ref="BF1644:BF1645"/>
    <mergeCell ref="BG1644:BG1645"/>
    <mergeCell ref="BH1644:BH1645"/>
    <mergeCell ref="BC1651:BC1652"/>
    <mergeCell ref="BD1651:BD1652"/>
    <mergeCell ref="BE1651:BE1652"/>
    <mergeCell ref="BF1651:BF1652"/>
    <mergeCell ref="BG1651:BG1652"/>
    <mergeCell ref="BH1651:BH1652"/>
    <mergeCell ref="BC1653:BC1654"/>
    <mergeCell ref="BD1653:BD1654"/>
    <mergeCell ref="BE1653:BE1654"/>
    <mergeCell ref="BF1653:BF1654"/>
    <mergeCell ref="BG1653:BG1654"/>
    <mergeCell ref="BH1653:BH1654"/>
    <mergeCell ref="BC1655:BC1656"/>
    <mergeCell ref="BD1655:BD1656"/>
    <mergeCell ref="BE1655:BE1656"/>
    <mergeCell ref="BF1655:BF1656"/>
    <mergeCell ref="BG1655:BG1656"/>
    <mergeCell ref="BH1655:BH1656"/>
    <mergeCell ref="BC1657:BC1672"/>
    <mergeCell ref="BD1657:BD1672"/>
    <mergeCell ref="BE1657:BE1672"/>
    <mergeCell ref="BF1657:BF1672"/>
    <mergeCell ref="BG1657:BG1672"/>
    <mergeCell ref="BH1657:BH1672"/>
    <mergeCell ref="BC1676:BC1677"/>
    <mergeCell ref="BD1676:BD1677"/>
    <mergeCell ref="BE1676:BE1677"/>
    <mergeCell ref="BF1676:BF1677"/>
    <mergeCell ref="BG1676:BG1677"/>
    <mergeCell ref="BH1676:BH1677"/>
    <mergeCell ref="BC1680:BC1690"/>
    <mergeCell ref="BD1680:BD1690"/>
    <mergeCell ref="BE1680:BE1690"/>
    <mergeCell ref="BF1680:BF1690"/>
    <mergeCell ref="BG1680:BG1690"/>
    <mergeCell ref="BH1680:BH1690"/>
    <mergeCell ref="BC1691:BC1693"/>
    <mergeCell ref="BD1691:BD1693"/>
    <mergeCell ref="BE1691:BE1693"/>
    <mergeCell ref="BF1691:BF1693"/>
    <mergeCell ref="BG1691:BG1693"/>
    <mergeCell ref="BH1691:BH1693"/>
    <mergeCell ref="BC1695:BC1699"/>
    <mergeCell ref="BD1695:BD1699"/>
    <mergeCell ref="BE1695:BE1699"/>
    <mergeCell ref="BF1695:BF1699"/>
    <mergeCell ref="BG1695:BG1699"/>
    <mergeCell ref="BH1695:BH1699"/>
    <mergeCell ref="BC1700:BC1704"/>
    <mergeCell ref="BD1700:BD1704"/>
    <mergeCell ref="BE1700:BE1704"/>
    <mergeCell ref="BF1700:BF1704"/>
    <mergeCell ref="BG1700:BG1704"/>
    <mergeCell ref="BH1700:BH1704"/>
    <mergeCell ref="BC1705:BC1720"/>
    <mergeCell ref="BD1705:BD1720"/>
    <mergeCell ref="BE1705:BE1720"/>
    <mergeCell ref="BF1705:BF1720"/>
    <mergeCell ref="BG1705:BG1720"/>
    <mergeCell ref="BH1705:BH1720"/>
    <mergeCell ref="BC1721:BC1740"/>
    <mergeCell ref="BD1721:BD1740"/>
    <mergeCell ref="BE1721:BE1740"/>
    <mergeCell ref="BF1721:BF1740"/>
    <mergeCell ref="BG1721:BG1740"/>
    <mergeCell ref="BH1721:BH1740"/>
    <mergeCell ref="BC1742:BC1754"/>
    <mergeCell ref="BD1742:BD1754"/>
    <mergeCell ref="BE1742:BE1754"/>
    <mergeCell ref="BF1742:BF1754"/>
    <mergeCell ref="BG1742:BG1754"/>
    <mergeCell ref="BH1742:BH1754"/>
    <mergeCell ref="BC1757:BC1761"/>
    <mergeCell ref="BD1757:BD1761"/>
    <mergeCell ref="BE1757:BE1761"/>
    <mergeCell ref="BF1757:BF1761"/>
    <mergeCell ref="BG1757:BG1761"/>
    <mergeCell ref="BH1757:BH1761"/>
    <mergeCell ref="BC1762:BC1766"/>
    <mergeCell ref="BD1762:BD1766"/>
    <mergeCell ref="BE1762:BE1766"/>
    <mergeCell ref="BF1762:BF1766"/>
    <mergeCell ref="BG1762:BG1766"/>
    <mergeCell ref="BH1762:BH1766"/>
    <mergeCell ref="BC1767:BC1772"/>
    <mergeCell ref="BD1767:BD1772"/>
    <mergeCell ref="BE1767:BE1772"/>
    <mergeCell ref="BF1767:BF1772"/>
    <mergeCell ref="BG1767:BG1772"/>
    <mergeCell ref="BH1767:BH1772"/>
    <mergeCell ref="BC1773:BC1775"/>
    <mergeCell ref="BD1773:BD1775"/>
    <mergeCell ref="BE1773:BE1775"/>
    <mergeCell ref="BF1773:BF1775"/>
    <mergeCell ref="BG1773:BG1775"/>
    <mergeCell ref="BH1773:BH1775"/>
    <mergeCell ref="BC1776:BC1788"/>
    <mergeCell ref="BD1776:BD1788"/>
    <mergeCell ref="BE1776:BE1788"/>
    <mergeCell ref="BF1776:BF1788"/>
    <mergeCell ref="BG1776:BG1788"/>
    <mergeCell ref="BH1776:BH1788"/>
    <mergeCell ref="BC1789:BC1795"/>
    <mergeCell ref="BD1789:BD1795"/>
    <mergeCell ref="BE1789:BE1795"/>
    <mergeCell ref="BF1789:BF1795"/>
    <mergeCell ref="BG1789:BG1795"/>
    <mergeCell ref="BH1789:BH1795"/>
    <mergeCell ref="BC1796:BC1798"/>
    <mergeCell ref="BD1796:BD1798"/>
    <mergeCell ref="BE1796:BE1798"/>
    <mergeCell ref="BF1796:BF1798"/>
    <mergeCell ref="BG1796:BG1798"/>
    <mergeCell ref="BH1796:BH1798"/>
    <mergeCell ref="BC1800:BC1802"/>
    <mergeCell ref="BD1800:BD1802"/>
    <mergeCell ref="BE1800:BE1802"/>
    <mergeCell ref="BF1800:BF1802"/>
    <mergeCell ref="BG1800:BG1802"/>
    <mergeCell ref="BH1800:BH1802"/>
    <mergeCell ref="BC1804:BC1805"/>
    <mergeCell ref="BD1804:BD1805"/>
    <mergeCell ref="BE1804:BE1805"/>
    <mergeCell ref="BF1804:BF1805"/>
    <mergeCell ref="BG1804:BG1805"/>
    <mergeCell ref="BH1804:BH1805"/>
    <mergeCell ref="BC1806:BC1816"/>
    <mergeCell ref="BD1806:BD1816"/>
    <mergeCell ref="BE1806:BE1816"/>
    <mergeCell ref="BF1806:BF1816"/>
    <mergeCell ref="BG1806:BG1816"/>
    <mergeCell ref="BH1806:BH1816"/>
    <mergeCell ref="BC1817:BC1821"/>
    <mergeCell ref="BD1817:BD1821"/>
    <mergeCell ref="BE1817:BE1821"/>
    <mergeCell ref="BF1817:BF1821"/>
    <mergeCell ref="BG1817:BG1821"/>
    <mergeCell ref="BH1817:BH1821"/>
    <mergeCell ref="BC1822:BC1842"/>
    <mergeCell ref="BD1822:BD1842"/>
    <mergeCell ref="BE1822:BE1842"/>
    <mergeCell ref="BF1822:BF1842"/>
    <mergeCell ref="BG1822:BG1842"/>
    <mergeCell ref="BH1822:BH1842"/>
    <mergeCell ref="BC1843:BC1844"/>
    <mergeCell ref="BD1843:BD1844"/>
    <mergeCell ref="BE1843:BE1844"/>
    <mergeCell ref="BF1843:BF1844"/>
    <mergeCell ref="BG1843:BG1844"/>
    <mergeCell ref="BH1843:BH1844"/>
    <mergeCell ref="BC1846:BC1847"/>
    <mergeCell ref="BD1846:BD1847"/>
    <mergeCell ref="BE1846:BE1847"/>
    <mergeCell ref="BF1846:BF1847"/>
    <mergeCell ref="BG1846:BG1847"/>
    <mergeCell ref="BH1846:BH1847"/>
    <mergeCell ref="BC1851:BC1852"/>
    <mergeCell ref="BD1851:BD1852"/>
    <mergeCell ref="BE1851:BE1852"/>
    <mergeCell ref="BF1851:BF1852"/>
    <mergeCell ref="BG1851:BG1852"/>
    <mergeCell ref="BH1851:BH1852"/>
    <mergeCell ref="BC1853:BC1854"/>
    <mergeCell ref="BD1853:BD1854"/>
    <mergeCell ref="BE1853:BE1854"/>
    <mergeCell ref="BF1853:BF1854"/>
    <mergeCell ref="BG1853:BG1854"/>
    <mergeCell ref="BH1853:BH1854"/>
    <mergeCell ref="BC1855:BC1856"/>
    <mergeCell ref="BD1855:BD1856"/>
    <mergeCell ref="BE1855:BE1856"/>
    <mergeCell ref="BF1855:BF1856"/>
    <mergeCell ref="BG1855:BG1856"/>
    <mergeCell ref="BH1855:BH1856"/>
    <mergeCell ref="BC1857:BC1879"/>
    <mergeCell ref="BD1857:BD1879"/>
    <mergeCell ref="BE1857:BE1879"/>
    <mergeCell ref="BF1857:BF1879"/>
    <mergeCell ref="BG1857:BG1879"/>
    <mergeCell ref="BH1857:BH1879"/>
    <mergeCell ref="BC1880:BC1881"/>
    <mergeCell ref="BD1880:BD1881"/>
    <mergeCell ref="BE1880:BE1881"/>
    <mergeCell ref="BF1880:BF1881"/>
    <mergeCell ref="BG1880:BG1881"/>
    <mergeCell ref="BH1880:BH1881"/>
    <mergeCell ref="BC1882:BC1884"/>
    <mergeCell ref="BD1882:BD1884"/>
    <mergeCell ref="BE1882:BE1884"/>
    <mergeCell ref="BF1882:BF1884"/>
    <mergeCell ref="BG1882:BG1884"/>
    <mergeCell ref="BH1882:BH1884"/>
    <mergeCell ref="BC1885:BC1886"/>
    <mergeCell ref="BD1885:BD1886"/>
    <mergeCell ref="BE1885:BE1886"/>
    <mergeCell ref="BF1885:BF1886"/>
    <mergeCell ref="BG1885:BG1886"/>
    <mergeCell ref="BH1885:BH1886"/>
    <mergeCell ref="BC1889:BC1890"/>
    <mergeCell ref="BD1889:BD1890"/>
    <mergeCell ref="BE1889:BE1890"/>
    <mergeCell ref="BF1889:BF1890"/>
    <mergeCell ref="BG1889:BG1890"/>
    <mergeCell ref="BH1889:BH1890"/>
    <mergeCell ref="BC1892:BC1894"/>
    <mergeCell ref="BD1892:BD1894"/>
    <mergeCell ref="BE1892:BE1894"/>
    <mergeCell ref="BF1892:BF1894"/>
    <mergeCell ref="BG1892:BG1894"/>
    <mergeCell ref="BH1892:BH1894"/>
    <mergeCell ref="BC1895:BC1916"/>
    <mergeCell ref="BD1895:BD1916"/>
    <mergeCell ref="BE1895:BE1916"/>
    <mergeCell ref="BF1895:BF1916"/>
    <mergeCell ref="BG1895:BG1916"/>
    <mergeCell ref="BH1895:BH1916"/>
    <mergeCell ref="BC1919:BC1922"/>
    <mergeCell ref="BD1919:BD1922"/>
    <mergeCell ref="BE1919:BE1922"/>
    <mergeCell ref="BF1919:BF1922"/>
    <mergeCell ref="BG1919:BG1922"/>
    <mergeCell ref="BH1919:BH1922"/>
    <mergeCell ref="BC1923:BC1924"/>
    <mergeCell ref="BD1923:BD1924"/>
    <mergeCell ref="BE1923:BE1924"/>
    <mergeCell ref="BF1923:BF1924"/>
    <mergeCell ref="BG1923:BG1924"/>
    <mergeCell ref="BH1923:BH1924"/>
    <mergeCell ref="BC1925:BC1930"/>
    <mergeCell ref="BD1925:BD1930"/>
    <mergeCell ref="BE1925:BE1930"/>
    <mergeCell ref="BF1925:BF1930"/>
    <mergeCell ref="BG1925:BG1930"/>
    <mergeCell ref="BH1925:BH1930"/>
    <mergeCell ref="BC1932:BC1941"/>
    <mergeCell ref="BD1932:BD1941"/>
    <mergeCell ref="BE1932:BE1941"/>
    <mergeCell ref="BF1932:BF1941"/>
    <mergeCell ref="BG1932:BG1941"/>
    <mergeCell ref="BH1932:BH1941"/>
    <mergeCell ref="BC1943:BC1944"/>
    <mergeCell ref="BD1943:BD1944"/>
    <mergeCell ref="BE1943:BE1944"/>
    <mergeCell ref="BF1943:BF1944"/>
    <mergeCell ref="BG1943:BG1944"/>
    <mergeCell ref="BH1943:BH1944"/>
    <mergeCell ref="BC1946:BC1947"/>
    <mergeCell ref="BD1946:BD1947"/>
    <mergeCell ref="BE1946:BE1947"/>
    <mergeCell ref="BF1946:BF1947"/>
    <mergeCell ref="BG1946:BG1947"/>
    <mergeCell ref="BH1946:BH1947"/>
    <mergeCell ref="BC1948:BC1951"/>
    <mergeCell ref="BD1948:BD1951"/>
    <mergeCell ref="BE1948:BE1951"/>
    <mergeCell ref="BF1948:BF1951"/>
    <mergeCell ref="BG1948:BG1951"/>
    <mergeCell ref="BH1948:BH1951"/>
    <mergeCell ref="BC1952:BC1965"/>
    <mergeCell ref="BD1952:BD1965"/>
    <mergeCell ref="BE1952:BE1965"/>
    <mergeCell ref="BF1952:BF1965"/>
    <mergeCell ref="BG1952:BG1965"/>
    <mergeCell ref="BH1952:BH1965"/>
    <mergeCell ref="BC1966:BC1987"/>
    <mergeCell ref="BD1966:BD1987"/>
    <mergeCell ref="BE1966:BE1987"/>
    <mergeCell ref="BF1966:BF1987"/>
    <mergeCell ref="BG1966:BG1987"/>
    <mergeCell ref="BH1966:BH1987"/>
    <mergeCell ref="BC1989:BC1994"/>
    <mergeCell ref="BD1989:BD1994"/>
    <mergeCell ref="BE1989:BE1994"/>
    <mergeCell ref="BF1989:BF1994"/>
    <mergeCell ref="BG1989:BG1994"/>
    <mergeCell ref="BH1989:BH1994"/>
    <mergeCell ref="BC1995:BC2003"/>
    <mergeCell ref="BD1995:BD2003"/>
    <mergeCell ref="BE1995:BE2003"/>
    <mergeCell ref="BF1995:BF2003"/>
    <mergeCell ref="BG1995:BG2003"/>
    <mergeCell ref="BH1995:BH2003"/>
    <mergeCell ref="BC2005:BC2007"/>
    <mergeCell ref="BD2005:BD2007"/>
    <mergeCell ref="BE2005:BE2007"/>
    <mergeCell ref="BF2005:BF2007"/>
    <mergeCell ref="BG2005:BG2007"/>
    <mergeCell ref="BH2005:BH2007"/>
    <mergeCell ref="BC2008:BC2009"/>
    <mergeCell ref="BD2008:BD2009"/>
    <mergeCell ref="BE2008:BE2009"/>
    <mergeCell ref="BF2008:BF2009"/>
    <mergeCell ref="BG2008:BG2009"/>
    <mergeCell ref="BH2008:BH2009"/>
    <mergeCell ref="BC2010:BC2013"/>
    <mergeCell ref="BD2010:BD2013"/>
    <mergeCell ref="BE2010:BE2013"/>
    <mergeCell ref="BF2010:BF2013"/>
    <mergeCell ref="BG2010:BG2013"/>
    <mergeCell ref="BH2010:BH2013"/>
    <mergeCell ref="BC2017:BC2020"/>
    <mergeCell ref="BD2017:BD2020"/>
    <mergeCell ref="BE2017:BE2020"/>
    <mergeCell ref="BF2017:BF2020"/>
    <mergeCell ref="BG2017:BG2020"/>
    <mergeCell ref="BH2017:BH2020"/>
    <mergeCell ref="BC2022:BC2023"/>
    <mergeCell ref="BD2022:BD2023"/>
    <mergeCell ref="BE2022:BE2023"/>
    <mergeCell ref="BF2022:BF2023"/>
    <mergeCell ref="BG2022:BG2023"/>
    <mergeCell ref="BH2022:BH2023"/>
    <mergeCell ref="BC2024:BC2025"/>
    <mergeCell ref="BD2024:BD2025"/>
    <mergeCell ref="BE2024:BE2025"/>
    <mergeCell ref="BF2024:BF2025"/>
    <mergeCell ref="BG2024:BG2025"/>
    <mergeCell ref="BH2024:BH2025"/>
    <mergeCell ref="BC2026:BC2029"/>
    <mergeCell ref="BD2026:BD2029"/>
    <mergeCell ref="BE2026:BE2029"/>
    <mergeCell ref="BF2026:BF2029"/>
    <mergeCell ref="BG2026:BG2029"/>
    <mergeCell ref="BH2026:BH2029"/>
    <mergeCell ref="BC2030:BC2034"/>
    <mergeCell ref="BD2030:BD2034"/>
    <mergeCell ref="BE2030:BE2034"/>
    <mergeCell ref="BF2030:BF2034"/>
    <mergeCell ref="BG2030:BG2034"/>
    <mergeCell ref="BH2030:BH2034"/>
    <mergeCell ref="BC2037:BC2038"/>
    <mergeCell ref="BD2037:BD2038"/>
    <mergeCell ref="BE2037:BE2038"/>
    <mergeCell ref="BF2037:BF2038"/>
    <mergeCell ref="BG2037:BG2038"/>
    <mergeCell ref="BH2037:BH2038"/>
    <mergeCell ref="BC2039:BC2040"/>
    <mergeCell ref="BD2039:BD2040"/>
    <mergeCell ref="BE2039:BE2040"/>
    <mergeCell ref="BF2039:BF2040"/>
    <mergeCell ref="BG2039:BG2040"/>
    <mergeCell ref="BH2039:BH2040"/>
    <mergeCell ref="BC2041:BC2042"/>
    <mergeCell ref="BD2041:BD2042"/>
    <mergeCell ref="BE2041:BE2042"/>
    <mergeCell ref="BF2041:BF2042"/>
    <mergeCell ref="BG2041:BG2042"/>
    <mergeCell ref="BH2041:BH2042"/>
    <mergeCell ref="BC2044:BC2047"/>
    <mergeCell ref="BD2044:BD2047"/>
    <mergeCell ref="BE2044:BE2047"/>
    <mergeCell ref="BF2044:BF2047"/>
    <mergeCell ref="BG2044:BG2047"/>
    <mergeCell ref="BH2044:BH2047"/>
    <mergeCell ref="BC2048:BC2049"/>
    <mergeCell ref="BD2048:BD2049"/>
    <mergeCell ref="BE2048:BE2049"/>
    <mergeCell ref="BF2048:BF2049"/>
    <mergeCell ref="BG2048:BG2049"/>
    <mergeCell ref="BH2048:BH2049"/>
    <mergeCell ref="BC2050:BC2051"/>
    <mergeCell ref="BD2050:BD2051"/>
    <mergeCell ref="BE2050:BE2051"/>
    <mergeCell ref="BF2050:BF2051"/>
    <mergeCell ref="BG2050:BG2051"/>
    <mergeCell ref="BH2050:BH2051"/>
    <mergeCell ref="BC2053:BC2054"/>
    <mergeCell ref="BD2053:BD2054"/>
    <mergeCell ref="BE2053:BE2054"/>
    <mergeCell ref="BF2053:BF2054"/>
    <mergeCell ref="BG2053:BG2054"/>
    <mergeCell ref="BH2053:BH2054"/>
    <mergeCell ref="BC2055:BC2059"/>
    <mergeCell ref="BD2055:BD2059"/>
    <mergeCell ref="BE2055:BE2059"/>
    <mergeCell ref="BF2055:BF2059"/>
    <mergeCell ref="BG2055:BG2059"/>
    <mergeCell ref="BH2055:BH2059"/>
    <mergeCell ref="BC2061:BC2063"/>
    <mergeCell ref="BD2061:BD2063"/>
    <mergeCell ref="BE2061:BE2063"/>
    <mergeCell ref="BF2061:BF2063"/>
    <mergeCell ref="BG2061:BG2063"/>
    <mergeCell ref="BH2061:BH2063"/>
    <mergeCell ref="BC2067:BC2069"/>
    <mergeCell ref="BD2067:BD2069"/>
    <mergeCell ref="BE2067:BE2069"/>
    <mergeCell ref="BF2067:BF2069"/>
    <mergeCell ref="BG2067:BG2069"/>
    <mergeCell ref="BH2067:BH2069"/>
    <mergeCell ref="BC2074:BC2075"/>
    <mergeCell ref="BD2074:BD2075"/>
    <mergeCell ref="BE2074:BE2075"/>
    <mergeCell ref="BF2074:BF2075"/>
    <mergeCell ref="BG2074:BG2075"/>
    <mergeCell ref="BH2074:BH2075"/>
    <mergeCell ref="BC2078:BC2082"/>
    <mergeCell ref="BD2078:BD2082"/>
    <mergeCell ref="BE2078:BE2082"/>
    <mergeCell ref="BF2078:BF2082"/>
    <mergeCell ref="BG2078:BG2082"/>
    <mergeCell ref="BH2078:BH2082"/>
    <mergeCell ref="BC2083:BC2105"/>
    <mergeCell ref="BD2083:BD2105"/>
    <mergeCell ref="BE2083:BE2105"/>
    <mergeCell ref="BF2083:BF2105"/>
    <mergeCell ref="BG2083:BG2105"/>
    <mergeCell ref="BH2083:BH2105"/>
    <mergeCell ref="AV6:AV7"/>
    <mergeCell ref="AW6:AW7"/>
    <mergeCell ref="AX6:AX7"/>
    <mergeCell ref="AY6:AY7"/>
    <mergeCell ref="AZ6:AZ7"/>
    <mergeCell ref="BA6:BA7"/>
    <mergeCell ref="AV8:AV13"/>
    <mergeCell ref="AW8:AW13"/>
    <mergeCell ref="AX8:AX13"/>
    <mergeCell ref="AY8:AY13"/>
    <mergeCell ref="AZ8:AZ13"/>
    <mergeCell ref="BA8:BA13"/>
    <mergeCell ref="AV14:AV17"/>
    <mergeCell ref="AW14:AW17"/>
    <mergeCell ref="AX14:AX17"/>
    <mergeCell ref="AY14:AY17"/>
    <mergeCell ref="AZ14:AZ17"/>
    <mergeCell ref="BA14:BA17"/>
    <mergeCell ref="AV18:AV19"/>
    <mergeCell ref="AW18:AW19"/>
    <mergeCell ref="AX18:AX19"/>
    <mergeCell ref="AY18:AY19"/>
    <mergeCell ref="AZ18:AZ19"/>
    <mergeCell ref="BA18:BA19"/>
    <mergeCell ref="AV20:AV25"/>
    <mergeCell ref="AW20:AW25"/>
    <mergeCell ref="AX20:AX25"/>
    <mergeCell ref="AY20:AY25"/>
    <mergeCell ref="AZ20:AZ25"/>
    <mergeCell ref="BA20:BA25"/>
    <mergeCell ref="AV26:AV31"/>
    <mergeCell ref="AW26:AW31"/>
    <mergeCell ref="AX26:AX31"/>
    <mergeCell ref="AY26:AY31"/>
    <mergeCell ref="AZ26:AZ31"/>
    <mergeCell ref="BA26:BA31"/>
    <mergeCell ref="AV32:AV37"/>
    <mergeCell ref="AW32:AW37"/>
    <mergeCell ref="AX32:AX37"/>
    <mergeCell ref="AY32:AY37"/>
    <mergeCell ref="AZ32:AZ37"/>
    <mergeCell ref="BA32:BA37"/>
    <mergeCell ref="AV38:AV43"/>
    <mergeCell ref="AW38:AW43"/>
    <mergeCell ref="AX38:AX43"/>
    <mergeCell ref="AY38:AY43"/>
    <mergeCell ref="AZ38:AZ43"/>
    <mergeCell ref="BA38:BA43"/>
    <mergeCell ref="AV44:AV47"/>
    <mergeCell ref="AW44:AW47"/>
    <mergeCell ref="AX44:AX47"/>
    <mergeCell ref="AY44:AY47"/>
    <mergeCell ref="AZ44:AZ47"/>
    <mergeCell ref="BA44:BA47"/>
    <mergeCell ref="AV48:AV51"/>
    <mergeCell ref="AW48:AW51"/>
    <mergeCell ref="AX48:AX51"/>
    <mergeCell ref="AY48:AY51"/>
    <mergeCell ref="AZ48:AZ51"/>
    <mergeCell ref="BA48:BA51"/>
    <mergeCell ref="AV52:AV55"/>
    <mergeCell ref="AW52:AW55"/>
    <mergeCell ref="AX52:AX55"/>
    <mergeCell ref="AY52:AY55"/>
    <mergeCell ref="AZ52:AZ55"/>
    <mergeCell ref="BA52:BA55"/>
    <mergeCell ref="AV56:AV59"/>
    <mergeCell ref="AW56:AW59"/>
    <mergeCell ref="AX56:AX59"/>
    <mergeCell ref="AY56:AY59"/>
    <mergeCell ref="AZ56:AZ59"/>
    <mergeCell ref="BA56:BA59"/>
    <mergeCell ref="AV60:AV63"/>
    <mergeCell ref="AW60:AW63"/>
    <mergeCell ref="AX60:AX63"/>
    <mergeCell ref="AY60:AY63"/>
    <mergeCell ref="AZ60:AZ63"/>
    <mergeCell ref="BA60:BA63"/>
    <mergeCell ref="AV64:AV67"/>
    <mergeCell ref="AW64:AW67"/>
    <mergeCell ref="AX64:AX67"/>
    <mergeCell ref="AY64:AY67"/>
    <mergeCell ref="AZ64:AZ67"/>
    <mergeCell ref="BA64:BA67"/>
    <mergeCell ref="AV68:AV69"/>
    <mergeCell ref="AW68:AW69"/>
    <mergeCell ref="AX68:AX69"/>
    <mergeCell ref="AY68:AY69"/>
    <mergeCell ref="AZ68:AZ69"/>
    <mergeCell ref="BA68:BA69"/>
    <mergeCell ref="AV72:AV73"/>
    <mergeCell ref="AW72:AW73"/>
    <mergeCell ref="AX72:AX73"/>
    <mergeCell ref="AY72:AY73"/>
    <mergeCell ref="AZ72:AZ73"/>
    <mergeCell ref="BA72:BA73"/>
    <mergeCell ref="AV77:AV79"/>
    <mergeCell ref="AW77:AW79"/>
    <mergeCell ref="AX77:AX79"/>
    <mergeCell ref="AY77:AY79"/>
    <mergeCell ref="AZ77:AZ79"/>
    <mergeCell ref="BA77:BA79"/>
    <mergeCell ref="AV80:AV81"/>
    <mergeCell ref="AW80:AW81"/>
    <mergeCell ref="AX80:AX81"/>
    <mergeCell ref="AY80:AY81"/>
    <mergeCell ref="AZ80:AZ81"/>
    <mergeCell ref="BA80:BA81"/>
    <mergeCell ref="AV82:AV85"/>
    <mergeCell ref="AW82:AW85"/>
    <mergeCell ref="AX82:AX85"/>
    <mergeCell ref="AY82:AY85"/>
    <mergeCell ref="AZ82:AZ85"/>
    <mergeCell ref="BA82:BA85"/>
    <mergeCell ref="AV91:AV92"/>
    <mergeCell ref="AW91:AW92"/>
    <mergeCell ref="AX91:AX92"/>
    <mergeCell ref="AY91:AY92"/>
    <mergeCell ref="AZ91:AZ92"/>
    <mergeCell ref="BA91:BA92"/>
    <mergeCell ref="AV93:AV97"/>
    <mergeCell ref="AW93:AW97"/>
    <mergeCell ref="AX93:AX97"/>
    <mergeCell ref="AY93:AY97"/>
    <mergeCell ref="AZ93:AZ97"/>
    <mergeCell ref="BA93:BA97"/>
    <mergeCell ref="AV98:AV100"/>
    <mergeCell ref="AW98:AW100"/>
    <mergeCell ref="AX98:AX100"/>
    <mergeCell ref="AY98:AY100"/>
    <mergeCell ref="AZ98:AZ100"/>
    <mergeCell ref="BA98:BA100"/>
    <mergeCell ref="AV101:AV103"/>
    <mergeCell ref="AW101:AW103"/>
    <mergeCell ref="AX101:AX103"/>
    <mergeCell ref="AY101:AY103"/>
    <mergeCell ref="AZ101:AZ103"/>
    <mergeCell ref="BA101:BA103"/>
    <mergeCell ref="AV105:AV107"/>
    <mergeCell ref="AW105:AW107"/>
    <mergeCell ref="AX105:AX107"/>
    <mergeCell ref="AY105:AY107"/>
    <mergeCell ref="AZ105:AZ107"/>
    <mergeCell ref="BA105:BA107"/>
    <mergeCell ref="AV109:AV111"/>
    <mergeCell ref="AW109:AW111"/>
    <mergeCell ref="AX109:AX111"/>
    <mergeCell ref="AY109:AY111"/>
    <mergeCell ref="AZ109:AZ111"/>
    <mergeCell ref="BA109:BA111"/>
    <mergeCell ref="AV112:AV113"/>
    <mergeCell ref="AW112:AW113"/>
    <mergeCell ref="AX112:AX113"/>
    <mergeCell ref="AY112:AY113"/>
    <mergeCell ref="AZ112:AZ113"/>
    <mergeCell ref="BA112:BA113"/>
    <mergeCell ref="AV116:AV118"/>
    <mergeCell ref="AW116:AW118"/>
    <mergeCell ref="AX116:AX118"/>
    <mergeCell ref="AY116:AY118"/>
    <mergeCell ref="AZ116:AZ118"/>
    <mergeCell ref="BA116:BA118"/>
    <mergeCell ref="AV119:AV120"/>
    <mergeCell ref="AW119:AW120"/>
    <mergeCell ref="AX119:AX120"/>
    <mergeCell ref="AY119:AY120"/>
    <mergeCell ref="AZ119:AZ120"/>
    <mergeCell ref="BA119:BA120"/>
    <mergeCell ref="AV121:AV123"/>
    <mergeCell ref="AW121:AW123"/>
    <mergeCell ref="AX121:AX123"/>
    <mergeCell ref="AY121:AY123"/>
    <mergeCell ref="AZ121:AZ123"/>
    <mergeCell ref="BA121:BA123"/>
    <mergeCell ref="AV124:AV126"/>
    <mergeCell ref="AW124:AW126"/>
    <mergeCell ref="AX124:AX126"/>
    <mergeCell ref="AY124:AY126"/>
    <mergeCell ref="AZ124:AZ126"/>
    <mergeCell ref="BA124:BA126"/>
    <mergeCell ref="AV127:AV129"/>
    <mergeCell ref="AW127:AW129"/>
    <mergeCell ref="AX127:AX129"/>
    <mergeCell ref="AY127:AY129"/>
    <mergeCell ref="AZ127:AZ129"/>
    <mergeCell ref="BA127:BA129"/>
    <mergeCell ref="AV130:AV132"/>
    <mergeCell ref="AW130:AW132"/>
    <mergeCell ref="AX130:AX132"/>
    <mergeCell ref="AY130:AY132"/>
    <mergeCell ref="AZ130:AZ132"/>
    <mergeCell ref="BA130:BA132"/>
    <mergeCell ref="AV134:AV139"/>
    <mergeCell ref="AW134:AW139"/>
    <mergeCell ref="AX134:AX139"/>
    <mergeCell ref="AY134:AY139"/>
    <mergeCell ref="AZ134:AZ139"/>
    <mergeCell ref="BA134:BA139"/>
    <mergeCell ref="AV140:AV143"/>
    <mergeCell ref="AW140:AW143"/>
    <mergeCell ref="AX140:AX143"/>
    <mergeCell ref="AY140:AY143"/>
    <mergeCell ref="AZ140:AZ143"/>
    <mergeCell ref="BA140:BA143"/>
    <mergeCell ref="AV144:AV147"/>
    <mergeCell ref="AW144:AW147"/>
    <mergeCell ref="AX144:AX147"/>
    <mergeCell ref="AY144:AY147"/>
    <mergeCell ref="AZ144:AZ147"/>
    <mergeCell ref="BA144:BA147"/>
    <mergeCell ref="AV148:AV151"/>
    <mergeCell ref="AW148:AW151"/>
    <mergeCell ref="AX148:AX151"/>
    <mergeCell ref="AY148:AY151"/>
    <mergeCell ref="AZ148:AZ151"/>
    <mergeCell ref="BA148:BA151"/>
    <mergeCell ref="AV152:AV155"/>
    <mergeCell ref="AW152:AW155"/>
    <mergeCell ref="AX152:AX155"/>
    <mergeCell ref="AY152:AY155"/>
    <mergeCell ref="AZ152:AZ155"/>
    <mergeCell ref="BA152:BA155"/>
    <mergeCell ref="AV156:AV159"/>
    <mergeCell ref="AW156:AW159"/>
    <mergeCell ref="AX156:AX159"/>
    <mergeCell ref="AY156:AY159"/>
    <mergeCell ref="AZ156:AZ159"/>
    <mergeCell ref="BA156:BA159"/>
    <mergeCell ref="AV160:AV163"/>
    <mergeCell ref="AW160:AW163"/>
    <mergeCell ref="AX160:AX163"/>
    <mergeCell ref="AY160:AY163"/>
    <mergeCell ref="AZ160:AZ163"/>
    <mergeCell ref="BA160:BA163"/>
    <mergeCell ref="AV164:AV167"/>
    <mergeCell ref="AW164:AW167"/>
    <mergeCell ref="AX164:AX167"/>
    <mergeCell ref="AY164:AY167"/>
    <mergeCell ref="AZ164:AZ167"/>
    <mergeCell ref="BA164:BA167"/>
    <mergeCell ref="AV168:AV171"/>
    <mergeCell ref="AW168:AW171"/>
    <mergeCell ref="AX168:AX171"/>
    <mergeCell ref="AY168:AY171"/>
    <mergeCell ref="AZ168:AZ171"/>
    <mergeCell ref="BA168:BA171"/>
    <mergeCell ref="AV172:AV175"/>
    <mergeCell ref="AW172:AW175"/>
    <mergeCell ref="AX172:AX175"/>
    <mergeCell ref="AY172:AY175"/>
    <mergeCell ref="AZ172:AZ175"/>
    <mergeCell ref="BA172:BA175"/>
    <mergeCell ref="AV176:AV177"/>
    <mergeCell ref="AW176:AW177"/>
    <mergeCell ref="AX176:AX177"/>
    <mergeCell ref="AY176:AY177"/>
    <mergeCell ref="AZ176:AZ177"/>
    <mergeCell ref="BA176:BA177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90:AV191"/>
    <mergeCell ref="AW190:AW191"/>
    <mergeCell ref="AX190:AX191"/>
    <mergeCell ref="AY190:AY191"/>
    <mergeCell ref="AZ190:AZ191"/>
    <mergeCell ref="BA190:BA191"/>
    <mergeCell ref="AV194:AV196"/>
    <mergeCell ref="AW194:AW196"/>
    <mergeCell ref="AX194:AX196"/>
    <mergeCell ref="AY194:AY196"/>
    <mergeCell ref="AZ194:AZ196"/>
    <mergeCell ref="BA194:BA196"/>
    <mergeCell ref="AV197:AV199"/>
    <mergeCell ref="AW197:AW199"/>
    <mergeCell ref="AX197:AX199"/>
    <mergeCell ref="AY197:AY199"/>
    <mergeCell ref="AZ197:AZ199"/>
    <mergeCell ref="BA197:BA199"/>
    <mergeCell ref="AV201:AV202"/>
    <mergeCell ref="AW201:AW202"/>
    <mergeCell ref="AX201:AX202"/>
    <mergeCell ref="AY201:AY202"/>
    <mergeCell ref="AZ201:AZ202"/>
    <mergeCell ref="BA201:BA202"/>
    <mergeCell ref="AV203:AV205"/>
    <mergeCell ref="AW203:AW205"/>
    <mergeCell ref="AX203:AX205"/>
    <mergeCell ref="AY203:AY205"/>
    <mergeCell ref="AZ203:AZ205"/>
    <mergeCell ref="BA203:BA205"/>
    <mergeCell ref="AV211:AV214"/>
    <mergeCell ref="AW211:AW214"/>
    <mergeCell ref="AX211:AX214"/>
    <mergeCell ref="AY211:AY214"/>
    <mergeCell ref="AZ211:AZ214"/>
    <mergeCell ref="BA211:BA214"/>
    <mergeCell ref="AV215:AV218"/>
    <mergeCell ref="AW215:AW218"/>
    <mergeCell ref="AX215:AX218"/>
    <mergeCell ref="AY215:AY218"/>
    <mergeCell ref="AZ215:AZ218"/>
    <mergeCell ref="BA215:BA218"/>
    <mergeCell ref="AV219:AV222"/>
    <mergeCell ref="AW219:AW222"/>
    <mergeCell ref="AX219:AX222"/>
    <mergeCell ref="AY219:AY222"/>
    <mergeCell ref="AZ219:AZ222"/>
    <mergeCell ref="BA219:BA222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47:AV248"/>
    <mergeCell ref="AW247:AW248"/>
    <mergeCell ref="AX247:AX248"/>
    <mergeCell ref="AY247:AY248"/>
    <mergeCell ref="AZ247:AZ248"/>
    <mergeCell ref="BA247:BA248"/>
    <mergeCell ref="AV249:AV250"/>
    <mergeCell ref="AW249:AW250"/>
    <mergeCell ref="AX249:AX250"/>
    <mergeCell ref="AY249:AY250"/>
    <mergeCell ref="AZ249:AZ250"/>
    <mergeCell ref="BA249:BA250"/>
    <mergeCell ref="AV254:AV255"/>
    <mergeCell ref="AW254:AW255"/>
    <mergeCell ref="AX254:AX255"/>
    <mergeCell ref="AY254:AY255"/>
    <mergeCell ref="AZ254:AZ255"/>
    <mergeCell ref="BA254:BA255"/>
    <mergeCell ref="AV264:AV266"/>
    <mergeCell ref="AW264:AW266"/>
    <mergeCell ref="AX264:AX266"/>
    <mergeCell ref="AY264:AY266"/>
    <mergeCell ref="AZ264:AZ266"/>
    <mergeCell ref="BA264:BA266"/>
    <mergeCell ref="AV268:AV269"/>
    <mergeCell ref="AW268:AW269"/>
    <mergeCell ref="AX268:AX269"/>
    <mergeCell ref="AY268:AY269"/>
    <mergeCell ref="AZ268:AZ269"/>
    <mergeCell ref="BA268:BA269"/>
    <mergeCell ref="AV271:AV273"/>
    <mergeCell ref="AW271:AW273"/>
    <mergeCell ref="AX271:AX273"/>
    <mergeCell ref="AY271:AY273"/>
    <mergeCell ref="AZ271:AZ273"/>
    <mergeCell ref="BA271:BA273"/>
    <mergeCell ref="AV277:AV278"/>
    <mergeCell ref="AW277:AW278"/>
    <mergeCell ref="AX277:AX278"/>
    <mergeCell ref="AY277:AY278"/>
    <mergeCell ref="AZ277:AZ278"/>
    <mergeCell ref="BA277:BA278"/>
    <mergeCell ref="AV282:AV283"/>
    <mergeCell ref="AW282:AW283"/>
    <mergeCell ref="AX282:AX283"/>
    <mergeCell ref="AY282:AY283"/>
    <mergeCell ref="AZ282:AZ283"/>
    <mergeCell ref="BA282:BA283"/>
    <mergeCell ref="AV285:AV288"/>
    <mergeCell ref="AW285:AW288"/>
    <mergeCell ref="AX285:AX288"/>
    <mergeCell ref="AY285:AY288"/>
    <mergeCell ref="AZ285:AZ288"/>
    <mergeCell ref="BA285:BA288"/>
    <mergeCell ref="AV289:AV292"/>
    <mergeCell ref="AW289:AW292"/>
    <mergeCell ref="AX289:AX292"/>
    <mergeCell ref="AY289:AY292"/>
    <mergeCell ref="AZ289:AZ292"/>
    <mergeCell ref="BA289:BA292"/>
    <mergeCell ref="AV294:AV295"/>
    <mergeCell ref="AW294:AW295"/>
    <mergeCell ref="AX294:AX295"/>
    <mergeCell ref="AY294:AY295"/>
    <mergeCell ref="AZ294:AZ295"/>
    <mergeCell ref="BA294:BA295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28:AV329"/>
    <mergeCell ref="AW328:AW329"/>
    <mergeCell ref="AX328:AX329"/>
    <mergeCell ref="AY328:AY329"/>
    <mergeCell ref="AZ328:AZ329"/>
    <mergeCell ref="BA328:BA329"/>
    <mergeCell ref="AV331:AV332"/>
    <mergeCell ref="AW331:AW332"/>
    <mergeCell ref="AX331:AX332"/>
    <mergeCell ref="AY331:AY332"/>
    <mergeCell ref="AZ331:AZ332"/>
    <mergeCell ref="BA331:BA332"/>
    <mergeCell ref="AV339:AV340"/>
    <mergeCell ref="AW339:AW340"/>
    <mergeCell ref="AX339:AX340"/>
    <mergeCell ref="AY339:AY340"/>
    <mergeCell ref="AZ339:AZ340"/>
    <mergeCell ref="BA339:BA340"/>
    <mergeCell ref="AV341:AV343"/>
    <mergeCell ref="AW341:AW343"/>
    <mergeCell ref="AX341:AX343"/>
    <mergeCell ref="AY341:AY343"/>
    <mergeCell ref="AZ341:AZ343"/>
    <mergeCell ref="BA341:BA343"/>
    <mergeCell ref="AV344:AV345"/>
    <mergeCell ref="AW344:AW345"/>
    <mergeCell ref="AX344:AX345"/>
    <mergeCell ref="AY344:AY345"/>
    <mergeCell ref="AZ344:AZ345"/>
    <mergeCell ref="BA344:BA345"/>
    <mergeCell ref="AV346:AV347"/>
    <mergeCell ref="AW346:AW347"/>
    <mergeCell ref="AX346:AX347"/>
    <mergeCell ref="AY346:AY347"/>
    <mergeCell ref="AZ346:AZ347"/>
    <mergeCell ref="BA346:BA347"/>
    <mergeCell ref="AV348:AV350"/>
    <mergeCell ref="AW348:AW350"/>
    <mergeCell ref="AX348:AX350"/>
    <mergeCell ref="AY348:AY350"/>
    <mergeCell ref="AZ348:AZ350"/>
    <mergeCell ref="BA348:BA350"/>
    <mergeCell ref="AV351:AV353"/>
    <mergeCell ref="AW351:AW353"/>
    <mergeCell ref="AX351:AX353"/>
    <mergeCell ref="AY351:AY353"/>
    <mergeCell ref="AZ351:AZ353"/>
    <mergeCell ref="BA351:BA353"/>
    <mergeCell ref="AV354:AV355"/>
    <mergeCell ref="AW354:AW355"/>
    <mergeCell ref="AX354:AX355"/>
    <mergeCell ref="AY354:AY355"/>
    <mergeCell ref="AZ354:AZ355"/>
    <mergeCell ref="BA354:BA355"/>
    <mergeCell ref="AV358:AV359"/>
    <mergeCell ref="AW358:AW359"/>
    <mergeCell ref="AX358:AX359"/>
    <mergeCell ref="AY358:AY359"/>
    <mergeCell ref="AZ358:AZ359"/>
    <mergeCell ref="BA358:BA359"/>
    <mergeCell ref="AV373:AV374"/>
    <mergeCell ref="AW373:AW374"/>
    <mergeCell ref="AX373:AX374"/>
    <mergeCell ref="AY373:AY374"/>
    <mergeCell ref="AZ373:AZ374"/>
    <mergeCell ref="BA373:BA374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92:AV393"/>
    <mergeCell ref="AW392:AW393"/>
    <mergeCell ref="AX392:AX393"/>
    <mergeCell ref="AY392:AY393"/>
    <mergeCell ref="AZ392:AZ393"/>
    <mergeCell ref="BA392:BA393"/>
    <mergeCell ref="AV399:AV400"/>
    <mergeCell ref="AW399:AW400"/>
    <mergeCell ref="AX399:AX400"/>
    <mergeCell ref="AY399:AY400"/>
    <mergeCell ref="AZ399:AZ400"/>
    <mergeCell ref="BA399:BA400"/>
    <mergeCell ref="AV406:AV408"/>
    <mergeCell ref="AW406:AW408"/>
    <mergeCell ref="AX406:AX408"/>
    <mergeCell ref="AY406:AY408"/>
    <mergeCell ref="AZ406:AZ408"/>
    <mergeCell ref="BA406:BA408"/>
    <mergeCell ref="AV410:AV412"/>
    <mergeCell ref="AW410:AW412"/>
    <mergeCell ref="AX410:AX412"/>
    <mergeCell ref="AY410:AY412"/>
    <mergeCell ref="AZ410:AZ412"/>
    <mergeCell ref="BA410:BA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20:AV421"/>
    <mergeCell ref="AW420:AW421"/>
    <mergeCell ref="AX420:AX421"/>
    <mergeCell ref="AY420:AY421"/>
    <mergeCell ref="AZ420:AZ421"/>
    <mergeCell ref="BA420:BA421"/>
    <mergeCell ref="AV424:AV425"/>
    <mergeCell ref="AW424:AW425"/>
    <mergeCell ref="AX424:AX425"/>
    <mergeCell ref="AY424:AY425"/>
    <mergeCell ref="AZ424:AZ425"/>
    <mergeCell ref="BA424:BA425"/>
    <mergeCell ref="AV429:AV431"/>
    <mergeCell ref="AW429:AW431"/>
    <mergeCell ref="AX429:AX431"/>
    <mergeCell ref="AY429:AY431"/>
    <mergeCell ref="AZ429:AZ431"/>
    <mergeCell ref="BA429:BA431"/>
    <mergeCell ref="AV432:AV433"/>
    <mergeCell ref="AW432:AW433"/>
    <mergeCell ref="AX432:AX433"/>
    <mergeCell ref="AY432:AY433"/>
    <mergeCell ref="AZ432:AZ433"/>
    <mergeCell ref="BA432:BA433"/>
    <mergeCell ref="AV435:AV437"/>
    <mergeCell ref="AW435:AW437"/>
    <mergeCell ref="AX435:AX437"/>
    <mergeCell ref="AY435:AY437"/>
    <mergeCell ref="AZ435:AZ437"/>
    <mergeCell ref="BA435:BA437"/>
    <mergeCell ref="AV441:AV442"/>
    <mergeCell ref="AW441:AW442"/>
    <mergeCell ref="AX441:AX442"/>
    <mergeCell ref="AY441:AY442"/>
    <mergeCell ref="AZ441:AZ442"/>
    <mergeCell ref="BA441:BA442"/>
    <mergeCell ref="AV444:AV445"/>
    <mergeCell ref="AW444:AW445"/>
    <mergeCell ref="AX444:AX445"/>
    <mergeCell ref="AY444:AY445"/>
    <mergeCell ref="AZ444:AZ445"/>
    <mergeCell ref="BA444:BA445"/>
    <mergeCell ref="AV446:AV447"/>
    <mergeCell ref="AW446:AW447"/>
    <mergeCell ref="AX446:AX447"/>
    <mergeCell ref="AY446:AY447"/>
    <mergeCell ref="AZ446:AZ447"/>
    <mergeCell ref="BA446:BA447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57:AV458"/>
    <mergeCell ref="AW457:AW458"/>
    <mergeCell ref="AX457:AX458"/>
    <mergeCell ref="AY457:AY458"/>
    <mergeCell ref="AZ457:AZ458"/>
    <mergeCell ref="BA457:BA458"/>
    <mergeCell ref="AV461:AV462"/>
    <mergeCell ref="AW461:AW462"/>
    <mergeCell ref="AX461:AX462"/>
    <mergeCell ref="AY461:AY462"/>
    <mergeCell ref="AZ461:AZ462"/>
    <mergeCell ref="BA461:BA462"/>
    <mergeCell ref="AV463:AV465"/>
    <mergeCell ref="AW463:AW465"/>
    <mergeCell ref="AX463:AX465"/>
    <mergeCell ref="AY463:AY465"/>
    <mergeCell ref="AZ463:AZ465"/>
    <mergeCell ref="BA463:BA465"/>
    <mergeCell ref="AV468:AV469"/>
    <mergeCell ref="AW468:AW469"/>
    <mergeCell ref="AX468:AX469"/>
    <mergeCell ref="AY468:AY469"/>
    <mergeCell ref="AZ468:AZ469"/>
    <mergeCell ref="BA468:BA469"/>
    <mergeCell ref="AV471:AV472"/>
    <mergeCell ref="AW471:AW472"/>
    <mergeCell ref="AX471:AX472"/>
    <mergeCell ref="AY471:AY472"/>
    <mergeCell ref="AZ471:AZ472"/>
    <mergeCell ref="BA471:BA472"/>
    <mergeCell ref="AV473:AV475"/>
    <mergeCell ref="AW473:AW475"/>
    <mergeCell ref="AX473:AX475"/>
    <mergeCell ref="AY473:AY475"/>
    <mergeCell ref="AZ473:AZ475"/>
    <mergeCell ref="BA473:BA475"/>
    <mergeCell ref="AV477:AV478"/>
    <mergeCell ref="AW477:AW478"/>
    <mergeCell ref="AX477:AX478"/>
    <mergeCell ref="AY477:AY478"/>
    <mergeCell ref="AZ477:AZ478"/>
    <mergeCell ref="BA477:BA478"/>
    <mergeCell ref="AV480:AV483"/>
    <mergeCell ref="AW480:AW483"/>
    <mergeCell ref="AX480:AX483"/>
    <mergeCell ref="AY480:AY483"/>
    <mergeCell ref="AZ480:AZ483"/>
    <mergeCell ref="BA480:BA483"/>
    <mergeCell ref="AV492:AV493"/>
    <mergeCell ref="AW492:AW493"/>
    <mergeCell ref="AX492:AX493"/>
    <mergeCell ref="AY492:AY493"/>
    <mergeCell ref="AZ492:AZ493"/>
    <mergeCell ref="BA492:BA493"/>
    <mergeCell ref="AV495:AV498"/>
    <mergeCell ref="AW495:AW498"/>
    <mergeCell ref="AX495:AX498"/>
    <mergeCell ref="AY495:AY498"/>
    <mergeCell ref="AZ495:AZ498"/>
    <mergeCell ref="BA495:BA498"/>
    <mergeCell ref="AV503:AV504"/>
    <mergeCell ref="AW503:AW504"/>
    <mergeCell ref="AX503:AX504"/>
    <mergeCell ref="AY503:AY504"/>
    <mergeCell ref="AZ503:AZ504"/>
    <mergeCell ref="BA503:BA504"/>
    <mergeCell ref="AV506:AV509"/>
    <mergeCell ref="AW506:AW509"/>
    <mergeCell ref="AX506:AX509"/>
    <mergeCell ref="AY506:AY509"/>
    <mergeCell ref="AZ506:AZ509"/>
    <mergeCell ref="BA506:BA509"/>
    <mergeCell ref="AV518:AV519"/>
    <mergeCell ref="AW518:AW519"/>
    <mergeCell ref="AX518:AX519"/>
    <mergeCell ref="AY518:AY519"/>
    <mergeCell ref="AZ518:AZ519"/>
    <mergeCell ref="BA518:BA519"/>
    <mergeCell ref="AV521:AV524"/>
    <mergeCell ref="AW521:AW524"/>
    <mergeCell ref="AX521:AX524"/>
    <mergeCell ref="AY521:AY524"/>
    <mergeCell ref="AZ521:AZ524"/>
    <mergeCell ref="BA521:BA524"/>
    <mergeCell ref="AV525:AV526"/>
    <mergeCell ref="AW525:AW526"/>
    <mergeCell ref="AX525:AX526"/>
    <mergeCell ref="AY525:AY526"/>
    <mergeCell ref="AZ525:AZ526"/>
    <mergeCell ref="BA525:BA526"/>
    <mergeCell ref="AV527:AV529"/>
    <mergeCell ref="AW527:AW529"/>
    <mergeCell ref="AX527:AX529"/>
    <mergeCell ref="AY527:AY529"/>
    <mergeCell ref="AZ527:AZ529"/>
    <mergeCell ref="BA527:BA529"/>
    <mergeCell ref="AV531:AV533"/>
    <mergeCell ref="AW531:AW533"/>
    <mergeCell ref="AX531:AX533"/>
    <mergeCell ref="AY531:AY533"/>
    <mergeCell ref="AZ531:AZ533"/>
    <mergeCell ref="BA531:BA533"/>
    <mergeCell ref="AV534:AV538"/>
    <mergeCell ref="AW534:AW538"/>
    <mergeCell ref="AX534:AX538"/>
    <mergeCell ref="AY534:AY538"/>
    <mergeCell ref="AZ534:AZ538"/>
    <mergeCell ref="BA534:BA538"/>
    <mergeCell ref="AV539:AV540"/>
    <mergeCell ref="AW539:AW540"/>
    <mergeCell ref="AX539:AX540"/>
    <mergeCell ref="AY539:AY540"/>
    <mergeCell ref="AZ539:AZ540"/>
    <mergeCell ref="BA539:BA540"/>
    <mergeCell ref="AV541:AV546"/>
    <mergeCell ref="AW541:AW546"/>
    <mergeCell ref="AX541:AX546"/>
    <mergeCell ref="AY541:AY546"/>
    <mergeCell ref="AZ541:AZ546"/>
    <mergeCell ref="BA541:BA546"/>
    <mergeCell ref="AV547:AV548"/>
    <mergeCell ref="AW547:AW548"/>
    <mergeCell ref="AX547:AX548"/>
    <mergeCell ref="AY547:AY548"/>
    <mergeCell ref="AZ547:AZ548"/>
    <mergeCell ref="BA547:BA548"/>
    <mergeCell ref="AV549:AV552"/>
    <mergeCell ref="AW549:AW552"/>
    <mergeCell ref="AX549:AX552"/>
    <mergeCell ref="AY549:AY552"/>
    <mergeCell ref="AZ549:AZ552"/>
    <mergeCell ref="BA549:BA552"/>
    <mergeCell ref="AV553:AV558"/>
    <mergeCell ref="AW553:AW558"/>
    <mergeCell ref="AX553:AX558"/>
    <mergeCell ref="AY553:AY558"/>
    <mergeCell ref="AZ553:AZ558"/>
    <mergeCell ref="BA553:BA558"/>
    <mergeCell ref="AV559:AV560"/>
    <mergeCell ref="AW559:AW560"/>
    <mergeCell ref="AX559:AX560"/>
    <mergeCell ref="AY559:AY560"/>
    <mergeCell ref="AZ559:AZ560"/>
    <mergeCell ref="BA559:BA560"/>
    <mergeCell ref="AV561:AV566"/>
    <mergeCell ref="AW561:AW566"/>
    <mergeCell ref="AX561:AX566"/>
    <mergeCell ref="AY561:AY566"/>
    <mergeCell ref="AZ561:AZ566"/>
    <mergeCell ref="BA561:BA566"/>
    <mergeCell ref="AV570:AV573"/>
    <mergeCell ref="AW570:AW573"/>
    <mergeCell ref="AX570:AX573"/>
    <mergeCell ref="AY570:AY573"/>
    <mergeCell ref="AZ570:AZ573"/>
    <mergeCell ref="BA570:BA573"/>
    <mergeCell ref="AV575:AV578"/>
    <mergeCell ref="AW575:AW578"/>
    <mergeCell ref="AX575:AX578"/>
    <mergeCell ref="AY575:AY578"/>
    <mergeCell ref="AZ575:AZ578"/>
    <mergeCell ref="BA575:BA578"/>
    <mergeCell ref="AV579:AV582"/>
    <mergeCell ref="AW579:AW582"/>
    <mergeCell ref="AX579:AX582"/>
    <mergeCell ref="AY579:AY582"/>
    <mergeCell ref="AZ579:AZ582"/>
    <mergeCell ref="BA579:BA582"/>
    <mergeCell ref="AV583:AV584"/>
    <mergeCell ref="AW583:AW584"/>
    <mergeCell ref="AX583:AX584"/>
    <mergeCell ref="AY583:AY584"/>
    <mergeCell ref="AZ583:AZ584"/>
    <mergeCell ref="BA583:BA584"/>
    <mergeCell ref="AV585:AV587"/>
    <mergeCell ref="AW585:AW587"/>
    <mergeCell ref="AX585:AX587"/>
    <mergeCell ref="AY585:AY587"/>
    <mergeCell ref="AZ585:AZ587"/>
    <mergeCell ref="BA585:BA587"/>
    <mergeCell ref="AV588:AV589"/>
    <mergeCell ref="AW588:AW589"/>
    <mergeCell ref="AX588:AX589"/>
    <mergeCell ref="AY588:AY589"/>
    <mergeCell ref="AZ588:AZ589"/>
    <mergeCell ref="BA588:BA589"/>
    <mergeCell ref="AV590:AV591"/>
    <mergeCell ref="AW590:AW591"/>
    <mergeCell ref="AX590:AX591"/>
    <mergeCell ref="AY590:AY591"/>
    <mergeCell ref="AZ590:AZ591"/>
    <mergeCell ref="BA590:BA591"/>
    <mergeCell ref="AV594:AV599"/>
    <mergeCell ref="AW594:AW599"/>
    <mergeCell ref="AX594:AX599"/>
    <mergeCell ref="AY594:AY599"/>
    <mergeCell ref="AZ594:AZ599"/>
    <mergeCell ref="BA594:BA599"/>
    <mergeCell ref="AV600:AV604"/>
    <mergeCell ref="AW600:AW604"/>
    <mergeCell ref="AX600:AX604"/>
    <mergeCell ref="AY600:AY604"/>
    <mergeCell ref="AZ600:AZ604"/>
    <mergeCell ref="BA600:BA604"/>
    <mergeCell ref="AV605:AV607"/>
    <mergeCell ref="AW605:AW607"/>
    <mergeCell ref="AX605:AX607"/>
    <mergeCell ref="AY605:AY607"/>
    <mergeCell ref="AZ605:AZ607"/>
    <mergeCell ref="BA605:BA607"/>
    <mergeCell ref="AV608:AV610"/>
    <mergeCell ref="AW608:AW610"/>
    <mergeCell ref="AX608:AX610"/>
    <mergeCell ref="AY608:AY610"/>
    <mergeCell ref="AZ608:AZ610"/>
    <mergeCell ref="BA608:BA610"/>
    <mergeCell ref="AV611:AV613"/>
    <mergeCell ref="AW611:AW613"/>
    <mergeCell ref="AX611:AX613"/>
    <mergeCell ref="AY611:AY613"/>
    <mergeCell ref="AZ611:AZ613"/>
    <mergeCell ref="BA611:BA613"/>
    <mergeCell ref="AV614:AV617"/>
    <mergeCell ref="AW614:AW617"/>
    <mergeCell ref="AX614:AX617"/>
    <mergeCell ref="AY614:AY617"/>
    <mergeCell ref="AZ614:AZ617"/>
    <mergeCell ref="BA614:BA617"/>
    <mergeCell ref="AV620:AV621"/>
    <mergeCell ref="AW620:AW621"/>
    <mergeCell ref="AX620:AX621"/>
    <mergeCell ref="AY620:AY621"/>
    <mergeCell ref="AZ620:AZ621"/>
    <mergeCell ref="BA620:BA621"/>
    <mergeCell ref="AV624:AV628"/>
    <mergeCell ref="AW624:AW628"/>
    <mergeCell ref="AX624:AX628"/>
    <mergeCell ref="AY624:AY628"/>
    <mergeCell ref="AZ624:AZ628"/>
    <mergeCell ref="BA624:BA628"/>
    <mergeCell ref="AV629:AV633"/>
    <mergeCell ref="AW629:AW633"/>
    <mergeCell ref="AX629:AX633"/>
    <mergeCell ref="AY629:AY633"/>
    <mergeCell ref="AZ629:AZ633"/>
    <mergeCell ref="BA629:BA633"/>
    <mergeCell ref="AV635:AV636"/>
    <mergeCell ref="AW635:AW636"/>
    <mergeCell ref="AX635:AX636"/>
    <mergeCell ref="AY635:AY636"/>
    <mergeCell ref="AZ635:AZ636"/>
    <mergeCell ref="BA635:BA636"/>
    <mergeCell ref="AV638:AV641"/>
    <mergeCell ref="AW638:AW641"/>
    <mergeCell ref="AX638:AX641"/>
    <mergeCell ref="AY638:AY641"/>
    <mergeCell ref="AZ638:AZ641"/>
    <mergeCell ref="BA638:BA641"/>
    <mergeCell ref="AV642:AV644"/>
    <mergeCell ref="AW642:AW644"/>
    <mergeCell ref="AX642:AX644"/>
    <mergeCell ref="AY642:AY644"/>
    <mergeCell ref="AZ642:AZ644"/>
    <mergeCell ref="BA642:BA644"/>
    <mergeCell ref="AV646:AV650"/>
    <mergeCell ref="AW646:AW650"/>
    <mergeCell ref="AX646:AX650"/>
    <mergeCell ref="AY646:AY650"/>
    <mergeCell ref="AZ646:AZ650"/>
    <mergeCell ref="BA646:BA650"/>
    <mergeCell ref="AV651:AV653"/>
    <mergeCell ref="AW651:AW653"/>
    <mergeCell ref="AX651:AX653"/>
    <mergeCell ref="AY651:AY653"/>
    <mergeCell ref="AZ651:AZ653"/>
    <mergeCell ref="BA651:BA653"/>
    <mergeCell ref="AV654:AV655"/>
    <mergeCell ref="AW654:AW655"/>
    <mergeCell ref="AX654:AX655"/>
    <mergeCell ref="AY654:AY655"/>
    <mergeCell ref="AZ654:AZ655"/>
    <mergeCell ref="BA654:BA655"/>
    <mergeCell ref="AV656:AV659"/>
    <mergeCell ref="AW656:AW659"/>
    <mergeCell ref="AX656:AX659"/>
    <mergeCell ref="AY656:AY659"/>
    <mergeCell ref="AZ656:AZ659"/>
    <mergeCell ref="BA656:BA659"/>
    <mergeCell ref="AV660:AV664"/>
    <mergeCell ref="AW660:AW664"/>
    <mergeCell ref="AX660:AX664"/>
    <mergeCell ref="AY660:AY664"/>
    <mergeCell ref="AZ660:AZ664"/>
    <mergeCell ref="BA660:BA664"/>
    <mergeCell ref="AV665:AV667"/>
    <mergeCell ref="AW665:AW667"/>
    <mergeCell ref="AX665:AX667"/>
    <mergeCell ref="AY665:AY667"/>
    <mergeCell ref="AZ665:AZ667"/>
    <mergeCell ref="BA665:BA667"/>
    <mergeCell ref="AV669:AV673"/>
    <mergeCell ref="AW669:AW673"/>
    <mergeCell ref="AX669:AX673"/>
    <mergeCell ref="AY669:AY673"/>
    <mergeCell ref="AZ669:AZ673"/>
    <mergeCell ref="BA669:BA673"/>
    <mergeCell ref="AV674:AV678"/>
    <mergeCell ref="AW674:AW678"/>
    <mergeCell ref="AX674:AX678"/>
    <mergeCell ref="AY674:AY678"/>
    <mergeCell ref="AZ674:AZ678"/>
    <mergeCell ref="BA674:BA678"/>
    <mergeCell ref="AV679:AV682"/>
    <mergeCell ref="AW679:AW682"/>
    <mergeCell ref="AX679:AX682"/>
    <mergeCell ref="AY679:AY682"/>
    <mergeCell ref="AZ679:AZ682"/>
    <mergeCell ref="BA679:BA682"/>
    <mergeCell ref="AV684:AV688"/>
    <mergeCell ref="AW684:AW688"/>
    <mergeCell ref="AX684:AX688"/>
    <mergeCell ref="AY684:AY688"/>
    <mergeCell ref="AZ684:AZ688"/>
    <mergeCell ref="BA684:BA688"/>
    <mergeCell ref="AV689:AV691"/>
    <mergeCell ref="AW689:AW691"/>
    <mergeCell ref="AX689:AX691"/>
    <mergeCell ref="AY689:AY691"/>
    <mergeCell ref="AZ689:AZ691"/>
    <mergeCell ref="BA689:BA691"/>
    <mergeCell ref="AV692:AV695"/>
    <mergeCell ref="AW692:AW695"/>
    <mergeCell ref="AX692:AX695"/>
    <mergeCell ref="AY692:AY695"/>
    <mergeCell ref="AZ692:AZ695"/>
    <mergeCell ref="BA692:BA695"/>
    <mergeCell ref="AV696:AV699"/>
    <mergeCell ref="AW696:AW699"/>
    <mergeCell ref="AX696:AX699"/>
    <mergeCell ref="AY696:AY699"/>
    <mergeCell ref="AZ696:AZ699"/>
    <mergeCell ref="BA696:BA699"/>
    <mergeCell ref="AV700:AV703"/>
    <mergeCell ref="AW700:AW703"/>
    <mergeCell ref="AX700:AX703"/>
    <mergeCell ref="AY700:AY703"/>
    <mergeCell ref="AZ700:AZ703"/>
    <mergeCell ref="BA700:BA703"/>
    <mergeCell ref="AV704:AV707"/>
    <mergeCell ref="AW704:AW707"/>
    <mergeCell ref="AX704:AX707"/>
    <mergeCell ref="AY704:AY707"/>
    <mergeCell ref="AZ704:AZ707"/>
    <mergeCell ref="BA704:BA707"/>
    <mergeCell ref="AV708:AV711"/>
    <mergeCell ref="AW708:AW711"/>
    <mergeCell ref="AX708:AX711"/>
    <mergeCell ref="AY708:AY711"/>
    <mergeCell ref="AZ708:AZ711"/>
    <mergeCell ref="BA708:BA711"/>
    <mergeCell ref="AV712:AV716"/>
    <mergeCell ref="AW712:AW716"/>
    <mergeCell ref="AX712:AX716"/>
    <mergeCell ref="AY712:AY716"/>
    <mergeCell ref="AZ712:AZ716"/>
    <mergeCell ref="BA712:BA716"/>
    <mergeCell ref="AV717:AV722"/>
    <mergeCell ref="AW717:AW722"/>
    <mergeCell ref="AX717:AX722"/>
    <mergeCell ref="AY717:AY722"/>
    <mergeCell ref="AZ717:AZ722"/>
    <mergeCell ref="BA717:BA722"/>
    <mergeCell ref="AV723:AV728"/>
    <mergeCell ref="AW723:AW728"/>
    <mergeCell ref="AX723:AX728"/>
    <mergeCell ref="AY723:AY728"/>
    <mergeCell ref="AZ723:AZ728"/>
    <mergeCell ref="BA723:BA728"/>
    <mergeCell ref="AV729:AV730"/>
    <mergeCell ref="AW729:AW730"/>
    <mergeCell ref="AX729:AX730"/>
    <mergeCell ref="AY729:AY730"/>
    <mergeCell ref="AZ729:AZ730"/>
    <mergeCell ref="BA729:BA730"/>
    <mergeCell ref="AV733:AV737"/>
    <mergeCell ref="AW733:AW737"/>
    <mergeCell ref="AX733:AX737"/>
    <mergeCell ref="AY733:AY737"/>
    <mergeCell ref="AZ733:AZ737"/>
    <mergeCell ref="BA733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6"/>
    <mergeCell ref="AW742:AW746"/>
    <mergeCell ref="AX742:AX746"/>
    <mergeCell ref="AY742:AY746"/>
    <mergeCell ref="AZ742:AZ746"/>
    <mergeCell ref="BA742:BA746"/>
    <mergeCell ref="AV747:AV752"/>
    <mergeCell ref="AW747:AW752"/>
    <mergeCell ref="AX747:AX752"/>
    <mergeCell ref="AY747:AY752"/>
    <mergeCell ref="AZ747:AZ752"/>
    <mergeCell ref="BA747:BA752"/>
    <mergeCell ref="AV753:AV757"/>
    <mergeCell ref="AW753:AW757"/>
    <mergeCell ref="AX753:AX757"/>
    <mergeCell ref="AY753:AY757"/>
    <mergeCell ref="AZ753:AZ757"/>
    <mergeCell ref="BA753:BA757"/>
    <mergeCell ref="AV758:AV760"/>
    <mergeCell ref="AW758:AW760"/>
    <mergeCell ref="AX758:AX760"/>
    <mergeCell ref="AY758:AY760"/>
    <mergeCell ref="AZ758:AZ760"/>
    <mergeCell ref="BA758:BA760"/>
    <mergeCell ref="AV761:AV763"/>
    <mergeCell ref="AW761:AW763"/>
    <mergeCell ref="AX761:AX763"/>
    <mergeCell ref="AY761:AY763"/>
    <mergeCell ref="AZ761:AZ763"/>
    <mergeCell ref="BA761:BA763"/>
    <mergeCell ref="AV764:AV768"/>
    <mergeCell ref="AW764:AW768"/>
    <mergeCell ref="AX764:AX768"/>
    <mergeCell ref="AY764:AY768"/>
    <mergeCell ref="AZ764:AZ768"/>
    <mergeCell ref="BA764:BA768"/>
    <mergeCell ref="AV769:AV771"/>
    <mergeCell ref="AW769:AW771"/>
    <mergeCell ref="AX769:AX771"/>
    <mergeCell ref="AY769:AY771"/>
    <mergeCell ref="AZ769:AZ771"/>
    <mergeCell ref="BA769:BA771"/>
    <mergeCell ref="AV772:AV775"/>
    <mergeCell ref="AW772:AW775"/>
    <mergeCell ref="AX772:AX775"/>
    <mergeCell ref="AY772:AY775"/>
    <mergeCell ref="AZ772:AZ775"/>
    <mergeCell ref="BA772:BA775"/>
    <mergeCell ref="AV776:AV780"/>
    <mergeCell ref="AW776:AW780"/>
    <mergeCell ref="AX776:AX780"/>
    <mergeCell ref="AY776:AY780"/>
    <mergeCell ref="AZ776:AZ780"/>
    <mergeCell ref="BA776:BA780"/>
    <mergeCell ref="AV781:AV786"/>
    <mergeCell ref="AW781:AW786"/>
    <mergeCell ref="AX781:AX786"/>
    <mergeCell ref="AY781:AY786"/>
    <mergeCell ref="AZ781:AZ786"/>
    <mergeCell ref="BA781:BA786"/>
    <mergeCell ref="AV787:AV790"/>
    <mergeCell ref="AW787:AW790"/>
    <mergeCell ref="AX787:AX790"/>
    <mergeCell ref="AY787:AY790"/>
    <mergeCell ref="AZ787:AZ790"/>
    <mergeCell ref="BA787:BA790"/>
    <mergeCell ref="AV791:AV793"/>
    <mergeCell ref="AW791:AW793"/>
    <mergeCell ref="AX791:AX793"/>
    <mergeCell ref="AY791:AY793"/>
    <mergeCell ref="AZ791:AZ793"/>
    <mergeCell ref="BA791:BA793"/>
    <mergeCell ref="AV794:AV795"/>
    <mergeCell ref="AW794:AW795"/>
    <mergeCell ref="AX794:AX795"/>
    <mergeCell ref="AY794:AY795"/>
    <mergeCell ref="AZ794:AZ795"/>
    <mergeCell ref="BA794:BA795"/>
    <mergeCell ref="AV796:AV799"/>
    <mergeCell ref="AW796:AW799"/>
    <mergeCell ref="AX796:AX799"/>
    <mergeCell ref="AY796:AY799"/>
    <mergeCell ref="AZ796:AZ799"/>
    <mergeCell ref="BA796:BA799"/>
    <mergeCell ref="AV800:AV803"/>
    <mergeCell ref="AW800:AW803"/>
    <mergeCell ref="AX800:AX803"/>
    <mergeCell ref="AY800:AY803"/>
    <mergeCell ref="AZ800:AZ803"/>
    <mergeCell ref="BA800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11"/>
    <mergeCell ref="AW808:AW811"/>
    <mergeCell ref="AX808:AX811"/>
    <mergeCell ref="AY808:AY811"/>
    <mergeCell ref="AZ808:AZ811"/>
    <mergeCell ref="BA808:BA811"/>
    <mergeCell ref="AV813:AV818"/>
    <mergeCell ref="AW813:AW818"/>
    <mergeCell ref="AX813:AX818"/>
    <mergeCell ref="AY813:AY818"/>
    <mergeCell ref="AZ813:AZ818"/>
    <mergeCell ref="BA813:BA818"/>
    <mergeCell ref="AV819:AV823"/>
    <mergeCell ref="AW819:AW823"/>
    <mergeCell ref="AX819:AX823"/>
    <mergeCell ref="AY819:AY823"/>
    <mergeCell ref="AZ819:AZ823"/>
    <mergeCell ref="BA819:BA823"/>
    <mergeCell ref="AV824:AV829"/>
    <mergeCell ref="AW824:AW829"/>
    <mergeCell ref="AX824:AX829"/>
    <mergeCell ref="AY824:AY829"/>
    <mergeCell ref="AZ824:AZ829"/>
    <mergeCell ref="BA824:BA829"/>
    <mergeCell ref="AV830:AV832"/>
    <mergeCell ref="AW830:AW832"/>
    <mergeCell ref="AX830:AX832"/>
    <mergeCell ref="AY830:AY832"/>
    <mergeCell ref="AZ830:AZ832"/>
    <mergeCell ref="BA830:BA832"/>
    <mergeCell ref="AV834:AV835"/>
    <mergeCell ref="AW834:AW835"/>
    <mergeCell ref="AX834:AX835"/>
    <mergeCell ref="AY834:AY835"/>
    <mergeCell ref="AZ834:AZ835"/>
    <mergeCell ref="BA834:BA835"/>
    <mergeCell ref="AV836:AV840"/>
    <mergeCell ref="AW836:AW840"/>
    <mergeCell ref="AX836:AX840"/>
    <mergeCell ref="AY836:AY840"/>
    <mergeCell ref="AZ836:AZ840"/>
    <mergeCell ref="BA836:BA840"/>
    <mergeCell ref="AV841:AV846"/>
    <mergeCell ref="AW841:AW846"/>
    <mergeCell ref="AX841:AX846"/>
    <mergeCell ref="AY841:AY846"/>
    <mergeCell ref="AZ841:AZ846"/>
    <mergeCell ref="BA841:BA846"/>
    <mergeCell ref="AV847:AV852"/>
    <mergeCell ref="AW847:AW852"/>
    <mergeCell ref="AX847:AX852"/>
    <mergeCell ref="AY847:AY852"/>
    <mergeCell ref="AZ847:AZ852"/>
    <mergeCell ref="BA847:BA852"/>
    <mergeCell ref="AV854:AV855"/>
    <mergeCell ref="AW854:AW855"/>
    <mergeCell ref="AX854:AX855"/>
    <mergeCell ref="AY854:AY855"/>
    <mergeCell ref="AZ854:AZ855"/>
    <mergeCell ref="BA854:BA855"/>
    <mergeCell ref="AV858:AV861"/>
    <mergeCell ref="AW858:AW861"/>
    <mergeCell ref="AX858:AX861"/>
    <mergeCell ref="AY858:AY861"/>
    <mergeCell ref="AZ858:AZ861"/>
    <mergeCell ref="BA858:BA861"/>
    <mergeCell ref="AV862:AV865"/>
    <mergeCell ref="AW862:AW865"/>
    <mergeCell ref="AX862:AX865"/>
    <mergeCell ref="AY862:AY865"/>
    <mergeCell ref="AZ862:AZ865"/>
    <mergeCell ref="BA862:BA865"/>
    <mergeCell ref="AV868:AV869"/>
    <mergeCell ref="AW868:AW869"/>
    <mergeCell ref="AX868:AX869"/>
    <mergeCell ref="AY868:AY869"/>
    <mergeCell ref="AZ868:AZ869"/>
    <mergeCell ref="BA868:BA869"/>
    <mergeCell ref="AV870:AV873"/>
    <mergeCell ref="AW870:AW873"/>
    <mergeCell ref="AX870:AX873"/>
    <mergeCell ref="AY870:AY873"/>
    <mergeCell ref="AZ870:AZ873"/>
    <mergeCell ref="BA870:BA873"/>
    <mergeCell ref="AV874:AV875"/>
    <mergeCell ref="AW874:AW875"/>
    <mergeCell ref="AX874:AX875"/>
    <mergeCell ref="AY874:AY875"/>
    <mergeCell ref="AZ874:AZ875"/>
    <mergeCell ref="BA874:BA875"/>
    <mergeCell ref="AV884:AV885"/>
    <mergeCell ref="AW884:AW885"/>
    <mergeCell ref="AX884:AX885"/>
    <mergeCell ref="AY884:AY885"/>
    <mergeCell ref="AZ884:AZ885"/>
    <mergeCell ref="BA884:BA885"/>
    <mergeCell ref="AV887:AV889"/>
    <mergeCell ref="AW887:AW889"/>
    <mergeCell ref="AX887:AX889"/>
    <mergeCell ref="AY887:AY889"/>
    <mergeCell ref="AZ887:AZ889"/>
    <mergeCell ref="BA887:BA889"/>
    <mergeCell ref="AV891:AV894"/>
    <mergeCell ref="AW891:AW894"/>
    <mergeCell ref="AX891:AX894"/>
    <mergeCell ref="AY891:AY894"/>
    <mergeCell ref="AZ891:AZ894"/>
    <mergeCell ref="BA891:BA894"/>
    <mergeCell ref="AV895:AV898"/>
    <mergeCell ref="AW895:AW898"/>
    <mergeCell ref="AX895:AX898"/>
    <mergeCell ref="AY895:AY898"/>
    <mergeCell ref="AZ895:AZ898"/>
    <mergeCell ref="BA895:BA898"/>
    <mergeCell ref="AV899:AV902"/>
    <mergeCell ref="AW899:AW902"/>
    <mergeCell ref="AX899:AX902"/>
    <mergeCell ref="AY899:AY902"/>
    <mergeCell ref="AZ899:AZ902"/>
    <mergeCell ref="BA899:BA902"/>
    <mergeCell ref="AV903:AV906"/>
    <mergeCell ref="AW903:AW906"/>
    <mergeCell ref="AX903:AX906"/>
    <mergeCell ref="AY903:AY906"/>
    <mergeCell ref="AZ903:AZ906"/>
    <mergeCell ref="BA903:BA906"/>
    <mergeCell ref="AV907:AV910"/>
    <mergeCell ref="AW907:AW910"/>
    <mergeCell ref="AX907:AX910"/>
    <mergeCell ref="AY907:AY910"/>
    <mergeCell ref="AZ907:AZ910"/>
    <mergeCell ref="BA907:BA910"/>
    <mergeCell ref="AV911:AV914"/>
    <mergeCell ref="AW911:AW914"/>
    <mergeCell ref="AX911:AX914"/>
    <mergeCell ref="AY911:AY914"/>
    <mergeCell ref="AZ911:AZ914"/>
    <mergeCell ref="BA911:BA914"/>
    <mergeCell ref="AV918:AV920"/>
    <mergeCell ref="AW918:AW920"/>
    <mergeCell ref="AX918:AX920"/>
    <mergeCell ref="AY918:AY920"/>
    <mergeCell ref="AZ918:AZ920"/>
    <mergeCell ref="BA918:BA920"/>
    <mergeCell ref="AV921:AV923"/>
    <mergeCell ref="AW921:AW923"/>
    <mergeCell ref="AX921:AX923"/>
    <mergeCell ref="AY921:AY923"/>
    <mergeCell ref="AZ921:AZ923"/>
    <mergeCell ref="BA921:BA923"/>
    <mergeCell ref="AV924:AV925"/>
    <mergeCell ref="AW924:AW925"/>
    <mergeCell ref="AX924:AX925"/>
    <mergeCell ref="AY924:AY925"/>
    <mergeCell ref="AZ924:AZ925"/>
    <mergeCell ref="BA924:BA925"/>
    <mergeCell ref="AV926:AV928"/>
    <mergeCell ref="AW926:AW928"/>
    <mergeCell ref="AX926:AX928"/>
    <mergeCell ref="AY926:AY928"/>
    <mergeCell ref="AZ926:AZ928"/>
    <mergeCell ref="BA926:BA928"/>
    <mergeCell ref="AV929:AV932"/>
    <mergeCell ref="AW929:AW932"/>
    <mergeCell ref="AX929:AX932"/>
    <mergeCell ref="AY929:AY932"/>
    <mergeCell ref="AZ929:AZ932"/>
    <mergeCell ref="BA929:BA932"/>
    <mergeCell ref="AV933:AV934"/>
    <mergeCell ref="AW933:AW934"/>
    <mergeCell ref="AX933:AX934"/>
    <mergeCell ref="AY933:AY934"/>
    <mergeCell ref="AZ933:AZ934"/>
    <mergeCell ref="BA933:BA934"/>
    <mergeCell ref="AV935:AV937"/>
    <mergeCell ref="AW935:AW937"/>
    <mergeCell ref="AX935:AX937"/>
    <mergeCell ref="AY935:AY937"/>
    <mergeCell ref="AZ935:AZ937"/>
    <mergeCell ref="BA935:BA937"/>
    <mergeCell ref="AV938:AV941"/>
    <mergeCell ref="AW938:AW941"/>
    <mergeCell ref="AX938:AX941"/>
    <mergeCell ref="AY938:AY941"/>
    <mergeCell ref="AZ938:AZ941"/>
    <mergeCell ref="BA938:BA941"/>
    <mergeCell ref="AV942:AV945"/>
    <mergeCell ref="AW942:AW945"/>
    <mergeCell ref="AX942:AX945"/>
    <mergeCell ref="AY942:AY945"/>
    <mergeCell ref="AZ942:AZ945"/>
    <mergeCell ref="BA942:BA945"/>
    <mergeCell ref="AV946:AV947"/>
    <mergeCell ref="AW946:AW947"/>
    <mergeCell ref="AX946:AX947"/>
    <mergeCell ref="AY946:AY947"/>
    <mergeCell ref="AZ946:AZ947"/>
    <mergeCell ref="BA946:BA947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8:AV960"/>
    <mergeCell ref="AW958:AW960"/>
    <mergeCell ref="AX958:AX960"/>
    <mergeCell ref="AY958:AY960"/>
    <mergeCell ref="AZ958:AZ960"/>
    <mergeCell ref="BA958:BA960"/>
    <mergeCell ref="AV961:AV963"/>
    <mergeCell ref="AW961:AW963"/>
    <mergeCell ref="AX961:AX963"/>
    <mergeCell ref="AY961:AY963"/>
    <mergeCell ref="AZ961:AZ963"/>
    <mergeCell ref="BA961:BA963"/>
    <mergeCell ref="AV966:AV967"/>
    <mergeCell ref="AW966:AW967"/>
    <mergeCell ref="AX966:AX967"/>
    <mergeCell ref="AY966:AY967"/>
    <mergeCell ref="AZ966:AZ967"/>
    <mergeCell ref="BA966:BA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AV977:AV982"/>
    <mergeCell ref="AW977:AW982"/>
    <mergeCell ref="AX977:AX982"/>
    <mergeCell ref="AY977:AY982"/>
    <mergeCell ref="AZ977:AZ982"/>
    <mergeCell ref="BA977:BA982"/>
    <mergeCell ref="AV983:AV984"/>
    <mergeCell ref="AW983:AW984"/>
    <mergeCell ref="AX983:AX984"/>
    <mergeCell ref="AY983:AY984"/>
    <mergeCell ref="AZ983:AZ984"/>
    <mergeCell ref="BA983:BA984"/>
    <mergeCell ref="AV993:AV995"/>
    <mergeCell ref="AW993:AW995"/>
    <mergeCell ref="AX993:AX995"/>
    <mergeCell ref="AY993:AY995"/>
    <mergeCell ref="AZ993:AZ995"/>
    <mergeCell ref="BA993:BA995"/>
    <mergeCell ref="AV999:AV1000"/>
    <mergeCell ref="AW999:AW1000"/>
    <mergeCell ref="AX999:AX1000"/>
    <mergeCell ref="AY999:AY1000"/>
    <mergeCell ref="AZ999:AZ1000"/>
    <mergeCell ref="BA999:BA1000"/>
    <mergeCell ref="AV1001:AV1003"/>
    <mergeCell ref="AW1001:AW1003"/>
    <mergeCell ref="AX1001:AX1003"/>
    <mergeCell ref="AY1001:AY1003"/>
    <mergeCell ref="AZ1001:AZ1003"/>
    <mergeCell ref="BA1001:BA1003"/>
    <mergeCell ref="AV1007:AV1008"/>
    <mergeCell ref="AW1007:AW1008"/>
    <mergeCell ref="AX1007:AX1008"/>
    <mergeCell ref="AY1007:AY1008"/>
    <mergeCell ref="AZ1007:AZ1008"/>
    <mergeCell ref="BA1007:BA1008"/>
    <mergeCell ref="AV1009:AV1011"/>
    <mergeCell ref="AW1009:AW1011"/>
    <mergeCell ref="AX1009:AX1011"/>
    <mergeCell ref="AY1009:AY1011"/>
    <mergeCell ref="AZ1009:AZ1011"/>
    <mergeCell ref="BA1009:BA1011"/>
    <mergeCell ref="AV1013:AV1016"/>
    <mergeCell ref="AW1013:AW1016"/>
    <mergeCell ref="AX1013:AX1016"/>
    <mergeCell ref="AY1013:AY1016"/>
    <mergeCell ref="AZ1013:AZ1016"/>
    <mergeCell ref="BA1013:BA1016"/>
    <mergeCell ref="AV1017:AV1021"/>
    <mergeCell ref="AW1017:AW1021"/>
    <mergeCell ref="AX1017:AX1021"/>
    <mergeCell ref="AY1017:AY1021"/>
    <mergeCell ref="AZ1017:AZ1021"/>
    <mergeCell ref="BA1017:BA1021"/>
    <mergeCell ref="AV1022:AV1025"/>
    <mergeCell ref="AW1022:AW1025"/>
    <mergeCell ref="AX1022:AX1025"/>
    <mergeCell ref="AY1022:AY1025"/>
    <mergeCell ref="AZ1022:AZ1025"/>
    <mergeCell ref="BA1022:BA1025"/>
    <mergeCell ref="AV1027:AV1029"/>
    <mergeCell ref="AW1027:AW1029"/>
    <mergeCell ref="AX1027:AX1029"/>
    <mergeCell ref="AY1027:AY1029"/>
    <mergeCell ref="AZ1027:AZ1029"/>
    <mergeCell ref="BA1027:BA1029"/>
    <mergeCell ref="AV1032:AV1033"/>
    <mergeCell ref="AW1032:AW1033"/>
    <mergeCell ref="AX1032:AX1033"/>
    <mergeCell ref="AY1032:AY1033"/>
    <mergeCell ref="AZ1032:AZ1033"/>
    <mergeCell ref="BA1032:BA1033"/>
    <mergeCell ref="AV1034:AV1036"/>
    <mergeCell ref="AW1034:AW1036"/>
    <mergeCell ref="AX1034:AX1036"/>
    <mergeCell ref="AY1034:AY1036"/>
    <mergeCell ref="AZ1034:AZ1036"/>
    <mergeCell ref="BA1034:BA1036"/>
    <mergeCell ref="AV1037:AV1038"/>
    <mergeCell ref="AW1037:AW1038"/>
    <mergeCell ref="AX1037:AX1038"/>
    <mergeCell ref="AY1037:AY1038"/>
    <mergeCell ref="AZ1037:AZ1038"/>
    <mergeCell ref="BA1037:BA1038"/>
    <mergeCell ref="AV1039:AV1041"/>
    <mergeCell ref="AW1039:AW1041"/>
    <mergeCell ref="AX1039:AX1041"/>
    <mergeCell ref="AY1039:AY1041"/>
    <mergeCell ref="AZ1039:AZ1041"/>
    <mergeCell ref="BA1039:BA1041"/>
    <mergeCell ref="AV1042:AV1045"/>
    <mergeCell ref="AW1042:AW1045"/>
    <mergeCell ref="AX1042:AX1045"/>
    <mergeCell ref="AY1042:AY1045"/>
    <mergeCell ref="AZ1042:AZ1045"/>
    <mergeCell ref="BA1042:BA1045"/>
    <mergeCell ref="AV1046:AV1048"/>
    <mergeCell ref="AW1046:AW1048"/>
    <mergeCell ref="AX1046:AX1048"/>
    <mergeCell ref="AY1046:AY1048"/>
    <mergeCell ref="AZ1046:AZ1048"/>
    <mergeCell ref="BA1046:BA1048"/>
    <mergeCell ref="AV1050:AV1052"/>
    <mergeCell ref="AW1050:AW1052"/>
    <mergeCell ref="AX1050:AX1052"/>
    <mergeCell ref="AY1050:AY1052"/>
    <mergeCell ref="AZ1050:AZ1052"/>
    <mergeCell ref="BA1050:BA1052"/>
    <mergeCell ref="AV1055:AV1056"/>
    <mergeCell ref="AW1055:AW1056"/>
    <mergeCell ref="AX1055:AX1056"/>
    <mergeCell ref="AY1055:AY1056"/>
    <mergeCell ref="AZ1055:AZ1056"/>
    <mergeCell ref="BA1055:BA1056"/>
    <mergeCell ref="AV1057:AV1058"/>
    <mergeCell ref="AW1057:AW1058"/>
    <mergeCell ref="AX1057:AX1058"/>
    <mergeCell ref="AY1057:AY1058"/>
    <mergeCell ref="AZ1057:AZ1058"/>
    <mergeCell ref="BA1057:BA1058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5:AV1066"/>
    <mergeCell ref="AW1065:AW1066"/>
    <mergeCell ref="AX1065:AX1066"/>
    <mergeCell ref="AY1065:AY1066"/>
    <mergeCell ref="AZ1065:AZ1066"/>
    <mergeCell ref="BA1065:BA1066"/>
    <mergeCell ref="AV1067:AV1074"/>
    <mergeCell ref="AW1067:AW1074"/>
    <mergeCell ref="AX1067:AX1074"/>
    <mergeCell ref="AY1067:AY1074"/>
    <mergeCell ref="AZ1067:AZ1074"/>
    <mergeCell ref="BA1067:BA1074"/>
    <mergeCell ref="AV1075:AV1082"/>
    <mergeCell ref="AW1075:AW1082"/>
    <mergeCell ref="AX1075:AX1082"/>
    <mergeCell ref="AY1075:AY1082"/>
    <mergeCell ref="AZ1075:AZ1082"/>
    <mergeCell ref="BA1075:BA1082"/>
    <mergeCell ref="AV1087:AV1089"/>
    <mergeCell ref="AW1087:AW1089"/>
    <mergeCell ref="AX1087:AX1089"/>
    <mergeCell ref="AY1087:AY1089"/>
    <mergeCell ref="AZ1087:AZ1089"/>
    <mergeCell ref="BA1087:BA1089"/>
    <mergeCell ref="AV1090:AV1092"/>
    <mergeCell ref="AW1090:AW1092"/>
    <mergeCell ref="AX1090:AX1092"/>
    <mergeCell ref="AY1090:AY1092"/>
    <mergeCell ref="AZ1090:AZ1092"/>
    <mergeCell ref="BA1090:BA1092"/>
    <mergeCell ref="AV1093:AV1095"/>
    <mergeCell ref="AW1093:AW1095"/>
    <mergeCell ref="AX1093:AX1095"/>
    <mergeCell ref="AY1093:AY1095"/>
    <mergeCell ref="AZ1093:AZ1095"/>
    <mergeCell ref="BA1093:BA1095"/>
    <mergeCell ref="AV1096:AV1098"/>
    <mergeCell ref="AW1096:AW1098"/>
    <mergeCell ref="AX1096:AX1098"/>
    <mergeCell ref="AY1096:AY1098"/>
    <mergeCell ref="AZ1096:AZ1098"/>
    <mergeCell ref="BA1096:BA1098"/>
    <mergeCell ref="AV1099:AV1100"/>
    <mergeCell ref="AW1099:AW1100"/>
    <mergeCell ref="AX1099:AX1100"/>
    <mergeCell ref="AY1099:AY1100"/>
    <mergeCell ref="AZ1099:AZ1100"/>
    <mergeCell ref="BA1099:BA1100"/>
    <mergeCell ref="AV1101:AV1103"/>
    <mergeCell ref="AW1101:AW1103"/>
    <mergeCell ref="AX1101:AX1103"/>
    <mergeCell ref="AY1101:AY1103"/>
    <mergeCell ref="AZ1101:AZ1103"/>
    <mergeCell ref="BA1101:BA1103"/>
    <mergeCell ref="AV1106:AV1107"/>
    <mergeCell ref="AW1106:AW1107"/>
    <mergeCell ref="AX1106:AX1107"/>
    <mergeCell ref="AY1106:AY1107"/>
    <mergeCell ref="AZ1106:AZ1107"/>
    <mergeCell ref="BA1106:BA1107"/>
    <mergeCell ref="AV1109:AV1110"/>
    <mergeCell ref="AW1109:AW1110"/>
    <mergeCell ref="AX1109:AX1110"/>
    <mergeCell ref="AY1109:AY1110"/>
    <mergeCell ref="AZ1109:AZ1110"/>
    <mergeCell ref="BA1109:BA1110"/>
    <mergeCell ref="AV1127:AV1128"/>
    <mergeCell ref="AW1127:AW1128"/>
    <mergeCell ref="AX1127:AX1128"/>
    <mergeCell ref="AY1127:AY1128"/>
    <mergeCell ref="AZ1127:AZ1128"/>
    <mergeCell ref="BA1127:BA1128"/>
    <mergeCell ref="AV1129:AV1130"/>
    <mergeCell ref="AW1129:AW1130"/>
    <mergeCell ref="AX1129:AX1130"/>
    <mergeCell ref="AY1129:AY1130"/>
    <mergeCell ref="AZ1129:AZ1130"/>
    <mergeCell ref="BA1129:BA1130"/>
    <mergeCell ref="AV1131:AV1133"/>
    <mergeCell ref="AW1131:AW1133"/>
    <mergeCell ref="AX1131:AX1133"/>
    <mergeCell ref="AY1131:AY1133"/>
    <mergeCell ref="AZ1131:AZ1133"/>
    <mergeCell ref="BA1131:BA1133"/>
    <mergeCell ref="AV1135:AV1137"/>
    <mergeCell ref="AW1135:AW1137"/>
    <mergeCell ref="AX1135:AX1137"/>
    <mergeCell ref="AY1135:AY1137"/>
    <mergeCell ref="AZ1135:AZ1137"/>
    <mergeCell ref="BA1135:BA1137"/>
    <mergeCell ref="AV1138:AV1139"/>
    <mergeCell ref="AW1138:AW1139"/>
    <mergeCell ref="AX1138:AX1139"/>
    <mergeCell ref="AY1138:AY1139"/>
    <mergeCell ref="AZ1138:AZ1139"/>
    <mergeCell ref="BA1138:BA1139"/>
    <mergeCell ref="AV1148:AV1150"/>
    <mergeCell ref="AW1148:AW1150"/>
    <mergeCell ref="AX1148:AX1150"/>
    <mergeCell ref="AY1148:AY1150"/>
    <mergeCell ref="AZ1148:AZ1150"/>
    <mergeCell ref="BA1148:BA1150"/>
    <mergeCell ref="AV1153:AV1154"/>
    <mergeCell ref="AW1153:AW1154"/>
    <mergeCell ref="AX1153:AX1154"/>
    <mergeCell ref="AY1153:AY1154"/>
    <mergeCell ref="AZ1153:AZ1154"/>
    <mergeCell ref="BA1153:BA1154"/>
    <mergeCell ref="AV1157:AV1161"/>
    <mergeCell ref="AW1157:AW1161"/>
    <mergeCell ref="AX1157:AX1161"/>
    <mergeCell ref="AY1157:AY1161"/>
    <mergeCell ref="AZ1157:AZ1161"/>
    <mergeCell ref="BA1157:BA1161"/>
    <mergeCell ref="AV1162:AV1166"/>
    <mergeCell ref="AW1162:AW1166"/>
    <mergeCell ref="AX1162:AX1166"/>
    <mergeCell ref="AY1162:AY1166"/>
    <mergeCell ref="AZ1162:AZ1166"/>
    <mergeCell ref="BA1162:BA1166"/>
    <mergeCell ref="AV1167:AV1171"/>
    <mergeCell ref="AW1167:AW1171"/>
    <mergeCell ref="AX1167:AX1171"/>
    <mergeCell ref="AY1167:AY1171"/>
    <mergeCell ref="AZ1167:AZ1171"/>
    <mergeCell ref="BA1167:BA1171"/>
    <mergeCell ref="AV1176:AV1179"/>
    <mergeCell ref="AW1176:AW1179"/>
    <mergeCell ref="AX1176:AX1179"/>
    <mergeCell ref="AY1176:AY1179"/>
    <mergeCell ref="AZ1176:AZ1179"/>
    <mergeCell ref="BA1176:BA1179"/>
    <mergeCell ref="AV1183:AV1184"/>
    <mergeCell ref="AW1183:AW1184"/>
    <mergeCell ref="AX1183:AX1184"/>
    <mergeCell ref="AY1183:AY1184"/>
    <mergeCell ref="AZ1183:AZ1184"/>
    <mergeCell ref="BA1183:BA1184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2:AV1193"/>
    <mergeCell ref="AW1192:AW1193"/>
    <mergeCell ref="AX1192:AX1193"/>
    <mergeCell ref="AY1192:AY1193"/>
    <mergeCell ref="AZ1192:AZ1193"/>
    <mergeCell ref="BA1192:BA1193"/>
    <mergeCell ref="AV1196:AV1199"/>
    <mergeCell ref="AW1196:AW1199"/>
    <mergeCell ref="AX1196:AX1199"/>
    <mergeCell ref="AY1196:AY1199"/>
    <mergeCell ref="AZ1196:AZ1199"/>
    <mergeCell ref="BA1196:BA1199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8:AV1209"/>
    <mergeCell ref="AW1208:AW1209"/>
    <mergeCell ref="AX1208:AX1209"/>
    <mergeCell ref="AY1208:AY1209"/>
    <mergeCell ref="AZ1208:AZ1209"/>
    <mergeCell ref="BA1208:BA1209"/>
    <mergeCell ref="AV1210:AV1211"/>
    <mergeCell ref="AW1210:AW1211"/>
    <mergeCell ref="AX1210:AX1211"/>
    <mergeCell ref="AY1210:AY1211"/>
    <mergeCell ref="AZ1210:AZ1211"/>
    <mergeCell ref="BA1210:BA1211"/>
    <mergeCell ref="AV1212:AV1214"/>
    <mergeCell ref="AW1212:AW1214"/>
    <mergeCell ref="AX1212:AX1214"/>
    <mergeCell ref="AY1212:AY1214"/>
    <mergeCell ref="AZ1212:AZ1214"/>
    <mergeCell ref="BA1212:BA1214"/>
    <mergeCell ref="AV1216:AV1218"/>
    <mergeCell ref="AW1216:AW1218"/>
    <mergeCell ref="AX1216:AX1218"/>
    <mergeCell ref="AY1216:AY1218"/>
    <mergeCell ref="AZ1216:AZ1218"/>
    <mergeCell ref="BA1216:BA1218"/>
    <mergeCell ref="AV1223:AV1225"/>
    <mergeCell ref="AW1223:AW1225"/>
    <mergeCell ref="AX1223:AX1225"/>
    <mergeCell ref="AY1223:AY1225"/>
    <mergeCell ref="AZ1223:AZ1225"/>
    <mergeCell ref="BA1223:BA1225"/>
    <mergeCell ref="AV1226:AV1228"/>
    <mergeCell ref="AW1226:AW1228"/>
    <mergeCell ref="AX1226:AX1228"/>
    <mergeCell ref="AY1226:AY1228"/>
    <mergeCell ref="AZ1226:AZ1228"/>
    <mergeCell ref="BA1226:BA1228"/>
    <mergeCell ref="AV1229:AV1230"/>
    <mergeCell ref="AW1229:AW1230"/>
    <mergeCell ref="AX1229:AX1230"/>
    <mergeCell ref="AY1229:AY1230"/>
    <mergeCell ref="AZ1229:AZ1230"/>
    <mergeCell ref="BA1229:BA1230"/>
    <mergeCell ref="AV1232:AV1233"/>
    <mergeCell ref="AW1232:AW1233"/>
    <mergeCell ref="AX1232:AX1233"/>
    <mergeCell ref="AY1232:AY1233"/>
    <mergeCell ref="AZ1232:AZ1233"/>
    <mergeCell ref="BA1232:BA1233"/>
    <mergeCell ref="AV1234:AV1236"/>
    <mergeCell ref="AW1234:AW1236"/>
    <mergeCell ref="AX1234:AX1236"/>
    <mergeCell ref="AY1234:AY1236"/>
    <mergeCell ref="AZ1234:AZ1236"/>
    <mergeCell ref="BA1234:BA1236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3:AV1247"/>
    <mergeCell ref="AW1243:AW1247"/>
    <mergeCell ref="AX1243:AX1247"/>
    <mergeCell ref="AY1243:AY1247"/>
    <mergeCell ref="AZ1243:AZ1247"/>
    <mergeCell ref="BA1243:BA1247"/>
    <mergeCell ref="AV1249:AV1250"/>
    <mergeCell ref="AW1249:AW1250"/>
    <mergeCell ref="AX1249:AX1250"/>
    <mergeCell ref="AY1249:AY1250"/>
    <mergeCell ref="AZ1249:AZ1250"/>
    <mergeCell ref="BA1249:BA1250"/>
    <mergeCell ref="AV1253:AV1254"/>
    <mergeCell ref="AW1253:AW1254"/>
    <mergeCell ref="AX1253:AX1254"/>
    <mergeCell ref="AY1253:AY1254"/>
    <mergeCell ref="AZ1253:AZ1254"/>
    <mergeCell ref="BA1253:BA1254"/>
    <mergeCell ref="AV1256:AV1257"/>
    <mergeCell ref="AW1256:AW1257"/>
    <mergeCell ref="AX1256:AX1257"/>
    <mergeCell ref="AY1256:AY1257"/>
    <mergeCell ref="AZ1256:AZ1257"/>
    <mergeCell ref="BA1256:BA1257"/>
    <mergeCell ref="AV1261:AV1263"/>
    <mergeCell ref="AW1261:AW1263"/>
    <mergeCell ref="AX1261:AX1263"/>
    <mergeCell ref="AY1261:AY1263"/>
    <mergeCell ref="AZ1261:AZ1263"/>
    <mergeCell ref="BA1261:BA1263"/>
    <mergeCell ref="AV1269:AV1270"/>
    <mergeCell ref="AW1269:AW1270"/>
    <mergeCell ref="AX1269:AX1270"/>
    <mergeCell ref="AY1269:AY1270"/>
    <mergeCell ref="AZ1269:AZ1270"/>
    <mergeCell ref="BA1269:BA1270"/>
    <mergeCell ref="AV1274:AV1276"/>
    <mergeCell ref="AW1274:AW1276"/>
    <mergeCell ref="AX1274:AX1276"/>
    <mergeCell ref="AY1274:AY1276"/>
    <mergeCell ref="AZ1274:AZ1276"/>
    <mergeCell ref="BA1274:BA1276"/>
    <mergeCell ref="AV1277:AV1278"/>
    <mergeCell ref="AW1277:AW1278"/>
    <mergeCell ref="AX1277:AX1278"/>
    <mergeCell ref="AY1277:AY1278"/>
    <mergeCell ref="AZ1277:AZ1278"/>
    <mergeCell ref="BA1277:BA1278"/>
    <mergeCell ref="AV1280:AV1281"/>
    <mergeCell ref="AW1280:AW1281"/>
    <mergeCell ref="AX1280:AX1281"/>
    <mergeCell ref="AY1280:AY1281"/>
    <mergeCell ref="AZ1280:AZ1281"/>
    <mergeCell ref="BA1280:BA1281"/>
    <mergeCell ref="AV1282:AV1283"/>
    <mergeCell ref="AW1282:AW1283"/>
    <mergeCell ref="AX1282:AX1283"/>
    <mergeCell ref="AY1282:AY1283"/>
    <mergeCell ref="AZ1282:AZ1283"/>
    <mergeCell ref="BA1282:BA1283"/>
    <mergeCell ref="AV1284:AV1285"/>
    <mergeCell ref="AW1284:AW1285"/>
    <mergeCell ref="AX1284:AX1285"/>
    <mergeCell ref="AY1284:AY1285"/>
    <mergeCell ref="AZ1284:AZ1285"/>
    <mergeCell ref="BA1284:BA1285"/>
    <mergeCell ref="AV1286:AV1287"/>
    <mergeCell ref="AW1286:AW1287"/>
    <mergeCell ref="AX1286:AX1287"/>
    <mergeCell ref="AY1286:AY1287"/>
    <mergeCell ref="AZ1286:AZ1287"/>
    <mergeCell ref="BA1286:BA1287"/>
    <mergeCell ref="AV1289:AV1291"/>
    <mergeCell ref="AW1289:AW1291"/>
    <mergeCell ref="AX1289:AX1291"/>
    <mergeCell ref="AY1289:AY1291"/>
    <mergeCell ref="AZ1289:AZ1291"/>
    <mergeCell ref="BA1289:BA1291"/>
    <mergeCell ref="AV1293:AV1295"/>
    <mergeCell ref="AW1293:AW1295"/>
    <mergeCell ref="AX1293:AX1295"/>
    <mergeCell ref="AY1293:AY1295"/>
    <mergeCell ref="AZ1293:AZ1295"/>
    <mergeCell ref="BA1293:BA1295"/>
    <mergeCell ref="AV1296:AV1305"/>
    <mergeCell ref="AW1296:AW1305"/>
    <mergeCell ref="AX1296:AX1305"/>
    <mergeCell ref="AY1296:AY1305"/>
    <mergeCell ref="AZ1296:AZ1305"/>
    <mergeCell ref="BA1296:BA1305"/>
    <mergeCell ref="AV1306:AV1315"/>
    <mergeCell ref="AW1306:AW1315"/>
    <mergeCell ref="AX1306:AX1315"/>
    <mergeCell ref="AY1306:AY1315"/>
    <mergeCell ref="AZ1306:AZ1315"/>
    <mergeCell ref="BA1306:BA1315"/>
    <mergeCell ref="AV1316:AV1325"/>
    <mergeCell ref="AW1316:AW1325"/>
    <mergeCell ref="AX1316:AX1325"/>
    <mergeCell ref="AY1316:AY1325"/>
    <mergeCell ref="AZ1316:AZ1325"/>
    <mergeCell ref="BA1316:BA1325"/>
    <mergeCell ref="AV1326:AV1335"/>
    <mergeCell ref="AW1326:AW1335"/>
    <mergeCell ref="AX1326:AX1335"/>
    <mergeCell ref="AY1326:AY1335"/>
    <mergeCell ref="AZ1326:AZ1335"/>
    <mergeCell ref="BA1326:BA1335"/>
    <mergeCell ref="AV1340:AV1341"/>
    <mergeCell ref="AW1340:AW1341"/>
    <mergeCell ref="AX1340:AX1341"/>
    <mergeCell ref="AY1340:AY1341"/>
    <mergeCell ref="AZ1340:AZ1341"/>
    <mergeCell ref="BA1340:BA1341"/>
    <mergeCell ref="AV1345:AV1346"/>
    <mergeCell ref="AW1345:AW1346"/>
    <mergeCell ref="AX1345:AX1346"/>
    <mergeCell ref="AY1345:AY1346"/>
    <mergeCell ref="AZ1345:AZ1346"/>
    <mergeCell ref="BA1345:BA1346"/>
    <mergeCell ref="AV1347:AV1348"/>
    <mergeCell ref="AW1347:AW1348"/>
    <mergeCell ref="AX1347:AX1348"/>
    <mergeCell ref="AY1347:AY1348"/>
    <mergeCell ref="AZ1347:AZ1348"/>
    <mergeCell ref="BA1347:BA1348"/>
    <mergeCell ref="AV1349:AV1350"/>
    <mergeCell ref="AW1349:AW1350"/>
    <mergeCell ref="AX1349:AX1350"/>
    <mergeCell ref="AY1349:AY1350"/>
    <mergeCell ref="AZ1349:AZ1350"/>
    <mergeCell ref="BA1349:BA1350"/>
    <mergeCell ref="AV1354:AV1355"/>
    <mergeCell ref="AW1354:AW1355"/>
    <mergeCell ref="AX1354:AX1355"/>
    <mergeCell ref="AY1354:AY1355"/>
    <mergeCell ref="AZ1354:AZ1355"/>
    <mergeCell ref="BA1354:BA1355"/>
    <mergeCell ref="AV1357:AV1360"/>
    <mergeCell ref="AW1357:AW1360"/>
    <mergeCell ref="AX1357:AX1360"/>
    <mergeCell ref="AY1357:AY1360"/>
    <mergeCell ref="AZ1357:AZ1360"/>
    <mergeCell ref="BA1357:BA1360"/>
    <mergeCell ref="AV1361:AV1364"/>
    <mergeCell ref="AW1361:AW1364"/>
    <mergeCell ref="AX1361:AX1364"/>
    <mergeCell ref="AY1361:AY1364"/>
    <mergeCell ref="AZ1361:AZ1364"/>
    <mergeCell ref="BA1361:BA1364"/>
    <mergeCell ref="AV1367:AV1368"/>
    <mergeCell ref="AW1367:AW1368"/>
    <mergeCell ref="AX1367:AX1368"/>
    <mergeCell ref="AY1367:AY1368"/>
    <mergeCell ref="AZ1367:AZ1368"/>
    <mergeCell ref="BA1367:BA1368"/>
    <mergeCell ref="AV1369:AV1371"/>
    <mergeCell ref="AW1369:AW1371"/>
    <mergeCell ref="AX1369:AX1371"/>
    <mergeCell ref="AY1369:AY1371"/>
    <mergeCell ref="AZ1369:AZ1371"/>
    <mergeCell ref="BA1369:BA1371"/>
    <mergeCell ref="AV1372:AV1374"/>
    <mergeCell ref="AW1372:AW1374"/>
    <mergeCell ref="AX1372:AX1374"/>
    <mergeCell ref="AY1372:AY1374"/>
    <mergeCell ref="AZ1372:AZ1374"/>
    <mergeCell ref="BA1372:BA1374"/>
    <mergeCell ref="AV1376:AV1377"/>
    <mergeCell ref="AW1376:AW1377"/>
    <mergeCell ref="AX1376:AX1377"/>
    <mergeCell ref="AY1376:AY1377"/>
    <mergeCell ref="AZ1376:AZ1377"/>
    <mergeCell ref="BA1376:BA1377"/>
    <mergeCell ref="AV1378:AV1381"/>
    <mergeCell ref="AW1378:AW1381"/>
    <mergeCell ref="AX1378:AX1381"/>
    <mergeCell ref="AY1378:AY1381"/>
    <mergeCell ref="AZ1378:AZ1381"/>
    <mergeCell ref="BA1378:BA1381"/>
    <mergeCell ref="AV1382:AV1383"/>
    <mergeCell ref="AW1382:AW1383"/>
    <mergeCell ref="AX1382:AX1383"/>
    <mergeCell ref="AY1382:AY1383"/>
    <mergeCell ref="AZ1382:AZ1383"/>
    <mergeCell ref="BA1382:BA1383"/>
    <mergeCell ref="AV1389:AV1390"/>
    <mergeCell ref="AW1389:AW1390"/>
    <mergeCell ref="AX1389:AX1390"/>
    <mergeCell ref="AY1389:AY1390"/>
    <mergeCell ref="AZ1389:AZ1390"/>
    <mergeCell ref="BA1389:BA1390"/>
    <mergeCell ref="AV1396:AV1397"/>
    <mergeCell ref="AW1396:AW1397"/>
    <mergeCell ref="AX1396:AX1397"/>
    <mergeCell ref="AY1396:AY1397"/>
    <mergeCell ref="AZ1396:AZ1397"/>
    <mergeCell ref="BA1396:BA1397"/>
    <mergeCell ref="AV1398:AV1400"/>
    <mergeCell ref="AW1398:AW1400"/>
    <mergeCell ref="AX1398:AX1400"/>
    <mergeCell ref="AY1398:AY1400"/>
    <mergeCell ref="AZ1398:AZ1400"/>
    <mergeCell ref="BA1398:BA1400"/>
    <mergeCell ref="AV1401:AV1402"/>
    <mergeCell ref="AW1401:AW1402"/>
    <mergeCell ref="AX1401:AX1402"/>
    <mergeCell ref="AY1401:AY1402"/>
    <mergeCell ref="AZ1401:AZ1402"/>
    <mergeCell ref="BA1401:BA1402"/>
    <mergeCell ref="AV1409:AV1413"/>
    <mergeCell ref="AW1409:AW1413"/>
    <mergeCell ref="AX1409:AX1413"/>
    <mergeCell ref="AY1409:AY1413"/>
    <mergeCell ref="AZ1409:AZ1413"/>
    <mergeCell ref="BA1409:BA1413"/>
    <mergeCell ref="AV1414:AV1417"/>
    <mergeCell ref="AW1414:AW1417"/>
    <mergeCell ref="AX1414:AX1417"/>
    <mergeCell ref="AY1414:AY1417"/>
    <mergeCell ref="AZ1414:AZ1417"/>
    <mergeCell ref="BA1414:BA1417"/>
    <mergeCell ref="AV1420:AV1421"/>
    <mergeCell ref="AW1420:AW1421"/>
    <mergeCell ref="AX1420:AX1421"/>
    <mergeCell ref="AY1420:AY1421"/>
    <mergeCell ref="AZ1420:AZ1421"/>
    <mergeCell ref="BA1420:BA1421"/>
    <mergeCell ref="AV1422:AV1423"/>
    <mergeCell ref="AW1422:AW1423"/>
    <mergeCell ref="AX1422:AX1423"/>
    <mergeCell ref="AY1422:AY1423"/>
    <mergeCell ref="AZ1422:AZ1423"/>
    <mergeCell ref="BA1422:BA1423"/>
    <mergeCell ref="AV1425:AV1427"/>
    <mergeCell ref="AW1425:AW1427"/>
    <mergeCell ref="AX1425:AX1427"/>
    <mergeCell ref="AY1425:AY1427"/>
    <mergeCell ref="AZ1425:AZ1427"/>
    <mergeCell ref="BA1425:BA1427"/>
    <mergeCell ref="AV1428:AV1430"/>
    <mergeCell ref="AW1428:AW1430"/>
    <mergeCell ref="AX1428:AX1430"/>
    <mergeCell ref="AY1428:AY1430"/>
    <mergeCell ref="AZ1428:AZ1430"/>
    <mergeCell ref="BA1428:BA1430"/>
    <mergeCell ref="AV1431:AV1433"/>
    <mergeCell ref="AW1431:AW1433"/>
    <mergeCell ref="AX1431:AX1433"/>
    <mergeCell ref="AY1431:AY1433"/>
    <mergeCell ref="AZ1431:AZ1433"/>
    <mergeCell ref="BA1431:BA1433"/>
    <mergeCell ref="AV1434:AV1435"/>
    <mergeCell ref="AW1434:AW1435"/>
    <mergeCell ref="AX1434:AX1435"/>
    <mergeCell ref="AY1434:AY1435"/>
    <mergeCell ref="AZ1434:AZ1435"/>
    <mergeCell ref="BA1434:BA1435"/>
    <mergeCell ref="AV1436:AV1441"/>
    <mergeCell ref="AW1436:AW1441"/>
    <mergeCell ref="AX1436:AX1441"/>
    <mergeCell ref="AY1436:AY1441"/>
    <mergeCell ref="AZ1436:AZ1441"/>
    <mergeCell ref="BA1436:BA1441"/>
    <mergeCell ref="AV1442:AV1444"/>
    <mergeCell ref="AW1442:AW1444"/>
    <mergeCell ref="AX1442:AX1444"/>
    <mergeCell ref="AY1442:AY1444"/>
    <mergeCell ref="AZ1442:AZ1444"/>
    <mergeCell ref="BA1442:BA1444"/>
    <mergeCell ref="AV1445:AV1447"/>
    <mergeCell ref="AW1445:AW1447"/>
    <mergeCell ref="AX1445:AX1447"/>
    <mergeCell ref="AY1445:AY1447"/>
    <mergeCell ref="AZ1445:AZ1447"/>
    <mergeCell ref="BA1445:BA1447"/>
    <mergeCell ref="AV1448:AV1451"/>
    <mergeCell ref="AW1448:AW1451"/>
    <mergeCell ref="AX1448:AX1451"/>
    <mergeCell ref="AY1448:AY1451"/>
    <mergeCell ref="AZ1448:AZ1451"/>
    <mergeCell ref="BA1448:BA1451"/>
    <mergeCell ref="AV1452:AV1455"/>
    <mergeCell ref="AW1452:AW1455"/>
    <mergeCell ref="AX1452:AX1455"/>
    <mergeCell ref="AY1452:AY1455"/>
    <mergeCell ref="AZ1452:AZ1455"/>
    <mergeCell ref="BA1452:BA1455"/>
    <mergeCell ref="AV1456:AV1459"/>
    <mergeCell ref="AW1456:AW1459"/>
    <mergeCell ref="AX1456:AX1459"/>
    <mergeCell ref="AY1456:AY1459"/>
    <mergeCell ref="AZ1456:AZ1459"/>
    <mergeCell ref="BA1456:BA1459"/>
    <mergeCell ref="AV1460:AV1462"/>
    <mergeCell ref="AW1460:AW1462"/>
    <mergeCell ref="AX1460:AX1462"/>
    <mergeCell ref="AY1460:AY1462"/>
    <mergeCell ref="AZ1460:AZ1462"/>
    <mergeCell ref="BA1460:BA1462"/>
    <mergeCell ref="AV1464:AV1466"/>
    <mergeCell ref="AW1464:AW1466"/>
    <mergeCell ref="AX1464:AX1466"/>
    <mergeCell ref="AY1464:AY1466"/>
    <mergeCell ref="AZ1464:AZ1466"/>
    <mergeCell ref="BA1464:BA1466"/>
    <mergeCell ref="AV1467:AV1468"/>
    <mergeCell ref="AW1467:AW1468"/>
    <mergeCell ref="AX1467:AX1468"/>
    <mergeCell ref="AY1467:AY1468"/>
    <mergeCell ref="AZ1467:AZ1468"/>
    <mergeCell ref="BA1467:BA1468"/>
    <mergeCell ref="AV1469:AV1472"/>
    <mergeCell ref="AW1469:AW1472"/>
    <mergeCell ref="AX1469:AX1472"/>
    <mergeCell ref="AY1469:AY1472"/>
    <mergeCell ref="AZ1469:AZ1472"/>
    <mergeCell ref="BA1469:BA1472"/>
    <mergeCell ref="AV1473:AV1476"/>
    <mergeCell ref="AW1473:AW1476"/>
    <mergeCell ref="AX1473:AX1476"/>
    <mergeCell ref="AY1473:AY1476"/>
    <mergeCell ref="AZ1473:AZ1476"/>
    <mergeCell ref="BA1473:BA1476"/>
    <mergeCell ref="AV1477:AV1481"/>
    <mergeCell ref="AW1477:AW1481"/>
    <mergeCell ref="AX1477:AX1481"/>
    <mergeCell ref="AY1477:AY1481"/>
    <mergeCell ref="AZ1477:AZ1481"/>
    <mergeCell ref="BA1477:BA1481"/>
    <mergeCell ref="AV1482:AV1486"/>
    <mergeCell ref="AW1482:AW1486"/>
    <mergeCell ref="AX1482:AX1486"/>
    <mergeCell ref="AY1482:AY1486"/>
    <mergeCell ref="AZ1482:AZ1486"/>
    <mergeCell ref="BA1482:BA1486"/>
    <mergeCell ref="AV1487:AV1489"/>
    <mergeCell ref="AW1487:AW1489"/>
    <mergeCell ref="AX1487:AX1489"/>
    <mergeCell ref="AY1487:AY1489"/>
    <mergeCell ref="AZ1487:AZ1489"/>
    <mergeCell ref="BA1487:BA1489"/>
    <mergeCell ref="AV1490:AV1495"/>
    <mergeCell ref="AW1490:AW1495"/>
    <mergeCell ref="AX1490:AX1495"/>
    <mergeCell ref="AY1490:AY1495"/>
    <mergeCell ref="AZ1490:AZ1495"/>
    <mergeCell ref="BA1490:BA1495"/>
    <mergeCell ref="AV1496:AV1497"/>
    <mergeCell ref="AW1496:AW1497"/>
    <mergeCell ref="AX1496:AX1497"/>
    <mergeCell ref="AY1496:AY1497"/>
    <mergeCell ref="AZ1496:AZ1497"/>
    <mergeCell ref="BA1496:BA1497"/>
    <mergeCell ref="AV1499:AV1505"/>
    <mergeCell ref="AW1499:AW1505"/>
    <mergeCell ref="AX1499:AX1505"/>
    <mergeCell ref="AY1499:AY1505"/>
    <mergeCell ref="AZ1499:AZ1505"/>
    <mergeCell ref="BA1499:BA1505"/>
    <mergeCell ref="AV1506:AV1513"/>
    <mergeCell ref="AW1506:AW1513"/>
    <mergeCell ref="AX1506:AX1513"/>
    <mergeCell ref="AY1506:AY1513"/>
    <mergeCell ref="AZ1506:AZ1513"/>
    <mergeCell ref="BA1506:BA1513"/>
    <mergeCell ref="AV1514:AV1515"/>
    <mergeCell ref="AW1514:AW1515"/>
    <mergeCell ref="AX1514:AX1515"/>
    <mergeCell ref="AY1514:AY1515"/>
    <mergeCell ref="AZ1514:AZ1515"/>
    <mergeCell ref="BA1514:BA1515"/>
    <mergeCell ref="AV1516:AV1523"/>
    <mergeCell ref="AW1516:AW1523"/>
    <mergeCell ref="AX1516:AX1523"/>
    <mergeCell ref="AY1516:AY1523"/>
    <mergeCell ref="AZ1516:AZ1523"/>
    <mergeCell ref="BA1516:BA1523"/>
    <mergeCell ref="AV1524:AV1527"/>
    <mergeCell ref="AW1524:AW1527"/>
    <mergeCell ref="AX1524:AX1527"/>
    <mergeCell ref="AY1524:AY1527"/>
    <mergeCell ref="AZ1524:AZ1527"/>
    <mergeCell ref="BA1524:BA1527"/>
    <mergeCell ref="AV1528:AV1534"/>
    <mergeCell ref="AW1528:AW1534"/>
    <mergeCell ref="AX1528:AX1534"/>
    <mergeCell ref="AY1528:AY1534"/>
    <mergeCell ref="AZ1528:AZ1534"/>
    <mergeCell ref="BA1528:BA1534"/>
    <mergeCell ref="AV1536:AV1541"/>
    <mergeCell ref="AW1536:AW1541"/>
    <mergeCell ref="AX1536:AX1541"/>
    <mergeCell ref="AY1536:AY1541"/>
    <mergeCell ref="AZ1536:AZ1541"/>
    <mergeCell ref="BA1536:BA1541"/>
    <mergeCell ref="AV1543:AV1544"/>
    <mergeCell ref="AW1543:AW1544"/>
    <mergeCell ref="AX1543:AX1544"/>
    <mergeCell ref="AY1543:AY1544"/>
    <mergeCell ref="AZ1543:AZ1544"/>
    <mergeCell ref="BA1543:BA1544"/>
    <mergeCell ref="AV1550:AV1551"/>
    <mergeCell ref="AW1550:AW1551"/>
    <mergeCell ref="AX1550:AX1551"/>
    <mergeCell ref="AY1550:AY1551"/>
    <mergeCell ref="AZ1550:AZ1551"/>
    <mergeCell ref="BA1550:BA1551"/>
    <mergeCell ref="AV1554:AV1556"/>
    <mergeCell ref="AW1554:AW1556"/>
    <mergeCell ref="AX1554:AX1556"/>
    <mergeCell ref="AY1554:AY1556"/>
    <mergeCell ref="AZ1554:AZ1556"/>
    <mergeCell ref="BA1554:BA1556"/>
    <mergeCell ref="AV1557:AV1558"/>
    <mergeCell ref="AW1557:AW1558"/>
    <mergeCell ref="AX1557:AX1558"/>
    <mergeCell ref="AY1557:AY1558"/>
    <mergeCell ref="AZ1557:AZ1558"/>
    <mergeCell ref="BA1557:BA1558"/>
    <mergeCell ref="AV1559:AV1561"/>
    <mergeCell ref="AW1559:AW1561"/>
    <mergeCell ref="AX1559:AX1561"/>
    <mergeCell ref="AY1559:AY1561"/>
    <mergeCell ref="AZ1559:AZ1561"/>
    <mergeCell ref="BA1559:BA1561"/>
    <mergeCell ref="AV1562:AV1564"/>
    <mergeCell ref="AW1562:AW1564"/>
    <mergeCell ref="AX1562:AX1564"/>
    <mergeCell ref="AY1562:AY1564"/>
    <mergeCell ref="AZ1562:AZ1564"/>
    <mergeCell ref="BA1562:BA1564"/>
    <mergeCell ref="AV1565:AV1567"/>
    <mergeCell ref="AW1565:AW1567"/>
    <mergeCell ref="AX1565:AX1567"/>
    <mergeCell ref="AY1565:AY1567"/>
    <mergeCell ref="AZ1565:AZ1567"/>
    <mergeCell ref="BA1565:BA1567"/>
    <mergeCell ref="AV1569:AV1571"/>
    <mergeCell ref="AW1569:AW1571"/>
    <mergeCell ref="AX1569:AX1571"/>
    <mergeCell ref="AY1569:AY1571"/>
    <mergeCell ref="AZ1569:AZ1571"/>
    <mergeCell ref="BA1569:BA1571"/>
    <mergeCell ref="AV1575:AV1583"/>
    <mergeCell ref="AW1575:AW1583"/>
    <mergeCell ref="AX1575:AX1583"/>
    <mergeCell ref="AY1575:AY1583"/>
    <mergeCell ref="AZ1575:AZ1583"/>
    <mergeCell ref="BA1575:BA1583"/>
    <mergeCell ref="AV1584:AV1591"/>
    <mergeCell ref="AW1584:AW1591"/>
    <mergeCell ref="AX1584:AX1591"/>
    <mergeCell ref="AY1584:AY1591"/>
    <mergeCell ref="AZ1584:AZ1591"/>
    <mergeCell ref="BA1584:BA1591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8:AV1599"/>
    <mergeCell ref="AW1598:AW1599"/>
    <mergeCell ref="AX1598:AX1599"/>
    <mergeCell ref="AY1598:AY1599"/>
    <mergeCell ref="AZ1598:AZ1599"/>
    <mergeCell ref="BA1598:BA1599"/>
    <mergeCell ref="AV1600:AV1605"/>
    <mergeCell ref="AW1600:AW1605"/>
    <mergeCell ref="AX1600:AX1605"/>
    <mergeCell ref="AY1600:AY1605"/>
    <mergeCell ref="AZ1600:AZ1605"/>
    <mergeCell ref="BA1600:BA1605"/>
    <mergeCell ref="AV1610:AV1611"/>
    <mergeCell ref="AW1610:AW1611"/>
    <mergeCell ref="AX1610:AX1611"/>
    <mergeCell ref="AY1610:AY1611"/>
    <mergeCell ref="AZ1610:AZ1611"/>
    <mergeCell ref="BA1610:BA1611"/>
    <mergeCell ref="AV1612:AV1613"/>
    <mergeCell ref="AW1612:AW1613"/>
    <mergeCell ref="AX1612:AX1613"/>
    <mergeCell ref="AY1612:AY1613"/>
    <mergeCell ref="AZ1612:AZ1613"/>
    <mergeCell ref="BA1612:BA1613"/>
    <mergeCell ref="AV1620:AV1623"/>
    <mergeCell ref="AW1620:AW1623"/>
    <mergeCell ref="AX1620:AX1623"/>
    <mergeCell ref="AY1620:AY1623"/>
    <mergeCell ref="AZ1620:AZ1623"/>
    <mergeCell ref="BA1620:BA1623"/>
    <mergeCell ref="AV1624:AV1629"/>
    <mergeCell ref="AW1624:AW1629"/>
    <mergeCell ref="AX1624:AX1629"/>
    <mergeCell ref="AY1624:AY1629"/>
    <mergeCell ref="AZ1624:AZ1629"/>
    <mergeCell ref="BA1624:BA1629"/>
    <mergeCell ref="AV1630:AV1631"/>
    <mergeCell ref="AW1630:AW1631"/>
    <mergeCell ref="AX1630:AX1631"/>
    <mergeCell ref="AY1630:AY1631"/>
    <mergeCell ref="AZ1630:AZ1631"/>
    <mergeCell ref="BA1630:BA1631"/>
    <mergeCell ref="AV1632:AV1634"/>
    <mergeCell ref="AW1632:AW1634"/>
    <mergeCell ref="AX1632:AX1634"/>
    <mergeCell ref="AY1632:AY1634"/>
    <mergeCell ref="AZ1632:AZ1634"/>
    <mergeCell ref="BA1632:BA1634"/>
    <mergeCell ref="AV1636:AV1637"/>
    <mergeCell ref="AW1636:AW1637"/>
    <mergeCell ref="AX1636:AX1637"/>
    <mergeCell ref="AY1636:AY1637"/>
    <mergeCell ref="AZ1636:AZ1637"/>
    <mergeCell ref="BA1636:BA1637"/>
    <mergeCell ref="AV1639:AV1641"/>
    <mergeCell ref="AW1639:AW1641"/>
    <mergeCell ref="AX1639:AX1641"/>
    <mergeCell ref="AY1639:AY1641"/>
    <mergeCell ref="AZ1639:AZ1641"/>
    <mergeCell ref="BA1639:BA1641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8:AV1659"/>
    <mergeCell ref="AW1658:AW1659"/>
    <mergeCell ref="AX1658:AX1659"/>
    <mergeCell ref="AY1658:AY1659"/>
    <mergeCell ref="AZ1658:AZ1659"/>
    <mergeCell ref="BA1658:BA1659"/>
    <mergeCell ref="AV1660:AV1661"/>
    <mergeCell ref="AW1660:AW1661"/>
    <mergeCell ref="AX1660:AX1661"/>
    <mergeCell ref="AY1660:AY1661"/>
    <mergeCell ref="AZ1660:AZ1661"/>
    <mergeCell ref="BA1660:BA1661"/>
    <mergeCell ref="AV1663:AV1665"/>
    <mergeCell ref="AW1663:AW1665"/>
    <mergeCell ref="AX1663:AX1665"/>
    <mergeCell ref="AY1663:AY1665"/>
    <mergeCell ref="AZ1663:AZ1665"/>
    <mergeCell ref="BA1663:BA1665"/>
    <mergeCell ref="AV1666:AV1667"/>
    <mergeCell ref="AW1666:AW1667"/>
    <mergeCell ref="AX1666:AX1667"/>
    <mergeCell ref="AY1666:AY1667"/>
    <mergeCell ref="AZ1666:AZ1667"/>
    <mergeCell ref="BA1666:BA1667"/>
    <mergeCell ref="AV1670:AV1672"/>
    <mergeCell ref="AW1670:AW1672"/>
    <mergeCell ref="AX1670:AX1672"/>
    <mergeCell ref="AY1670:AY1672"/>
    <mergeCell ref="AZ1670:AZ1672"/>
    <mergeCell ref="BA1670:BA1672"/>
    <mergeCell ref="AV1680:AV1682"/>
    <mergeCell ref="AW1680:AW1682"/>
    <mergeCell ref="AX1680:AX1682"/>
    <mergeCell ref="AY1680:AY1682"/>
    <mergeCell ref="AZ1680:AZ1682"/>
    <mergeCell ref="BA1680:BA1682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702:AV1704"/>
    <mergeCell ref="AW1702:AW1704"/>
    <mergeCell ref="AX1702:AX1704"/>
    <mergeCell ref="AY1702:AY1704"/>
    <mergeCell ref="AZ1702:AZ1704"/>
    <mergeCell ref="BA1702:BA1704"/>
    <mergeCell ref="AV1705:AV1707"/>
    <mergeCell ref="AW1705:AW1707"/>
    <mergeCell ref="AX1705:AX1707"/>
    <mergeCell ref="AY1705:AY1707"/>
    <mergeCell ref="AZ1705:AZ1707"/>
    <mergeCell ref="BA1705:BA1707"/>
    <mergeCell ref="AV1709:AV1710"/>
    <mergeCell ref="AW1709:AW1710"/>
    <mergeCell ref="AX1709:AX1710"/>
    <mergeCell ref="AY1709:AY1710"/>
    <mergeCell ref="AZ1709:AZ1710"/>
    <mergeCell ref="BA1709:BA1710"/>
    <mergeCell ref="AV1711:AV1714"/>
    <mergeCell ref="AW1711:AW1714"/>
    <mergeCell ref="AX1711:AX1714"/>
    <mergeCell ref="AY1711:AY1714"/>
    <mergeCell ref="AZ1711:AZ1714"/>
    <mergeCell ref="BA1711:BA1714"/>
    <mergeCell ref="AV1715:AV1718"/>
    <mergeCell ref="AW1715:AW1718"/>
    <mergeCell ref="AX1715:AX1718"/>
    <mergeCell ref="AY1715:AY1718"/>
    <mergeCell ref="AZ1715:AZ1718"/>
    <mergeCell ref="BA1715:BA1718"/>
    <mergeCell ref="AV1719:AV1720"/>
    <mergeCell ref="AW1719:AW1720"/>
    <mergeCell ref="AX1719:AX1720"/>
    <mergeCell ref="AY1719:AY1720"/>
    <mergeCell ref="AZ1719:AZ1720"/>
    <mergeCell ref="BA1719:BA1720"/>
    <mergeCell ref="AV1721:AV1722"/>
    <mergeCell ref="AW1721:AW1722"/>
    <mergeCell ref="AX1721:AX1722"/>
    <mergeCell ref="AY1721:AY1722"/>
    <mergeCell ref="AZ1721:AZ1722"/>
    <mergeCell ref="BA1721:BA1722"/>
    <mergeCell ref="AV1724:AV1727"/>
    <mergeCell ref="AW1724:AW1727"/>
    <mergeCell ref="AX1724:AX1727"/>
    <mergeCell ref="AY1724:AY1727"/>
    <mergeCell ref="AZ1724:AZ1727"/>
    <mergeCell ref="BA1724:BA1727"/>
    <mergeCell ref="AV1731:AV1732"/>
    <mergeCell ref="AW1731:AW1732"/>
    <mergeCell ref="AX1731:AX1732"/>
    <mergeCell ref="AY1731:AY1732"/>
    <mergeCell ref="AZ1731:AZ1732"/>
    <mergeCell ref="BA1731:BA1732"/>
    <mergeCell ref="AV1733:AV1736"/>
    <mergeCell ref="AW1733:AW1736"/>
    <mergeCell ref="AX1733:AX1736"/>
    <mergeCell ref="AY1733:AY1736"/>
    <mergeCell ref="AZ1733:AZ1736"/>
    <mergeCell ref="BA1733:BA1736"/>
    <mergeCell ref="AV1738:AV1740"/>
    <mergeCell ref="AW1738:AW1740"/>
    <mergeCell ref="AX1738:AX1740"/>
    <mergeCell ref="AY1738:AY1740"/>
    <mergeCell ref="AZ1738:AZ1740"/>
    <mergeCell ref="BA1738:BA1740"/>
    <mergeCell ref="AV1742:AV1743"/>
    <mergeCell ref="AW1742:AW1743"/>
    <mergeCell ref="AX1742:AX1743"/>
    <mergeCell ref="AY1742:AY1743"/>
    <mergeCell ref="AZ1742:AZ1743"/>
    <mergeCell ref="BA1742:BA1743"/>
    <mergeCell ref="AV1744:AV1745"/>
    <mergeCell ref="AW1744:AW1745"/>
    <mergeCell ref="AX1744:AX1745"/>
    <mergeCell ref="AY1744:AY1745"/>
    <mergeCell ref="AZ1744:AZ1745"/>
    <mergeCell ref="BA1744:BA1745"/>
    <mergeCell ref="AV1746:AV1748"/>
    <mergeCell ref="AW1746:AW1748"/>
    <mergeCell ref="AX1746:AX1748"/>
    <mergeCell ref="AY1746:AY1748"/>
    <mergeCell ref="AZ1746:AZ1748"/>
    <mergeCell ref="BA1746:BA1748"/>
    <mergeCell ref="AV1749:AV1750"/>
    <mergeCell ref="AW1749:AW1750"/>
    <mergeCell ref="AX1749:AX1750"/>
    <mergeCell ref="AY1749:AY1750"/>
    <mergeCell ref="AZ1749:AZ1750"/>
    <mergeCell ref="BA1749:BA1750"/>
    <mergeCell ref="AV1752:AV1754"/>
    <mergeCell ref="AW1752:AW1754"/>
    <mergeCell ref="AX1752:AX1754"/>
    <mergeCell ref="AY1752:AY1754"/>
    <mergeCell ref="AZ1752:AZ1754"/>
    <mergeCell ref="BA1752:BA1754"/>
    <mergeCell ref="AV1762:AV1763"/>
    <mergeCell ref="AW1762:AW1763"/>
    <mergeCell ref="AX1762:AX1763"/>
    <mergeCell ref="AY1762:AY1763"/>
    <mergeCell ref="AZ1762:AZ1763"/>
    <mergeCell ref="BA1762:BA1763"/>
    <mergeCell ref="AV1765:AV1766"/>
    <mergeCell ref="AW1765:AW1766"/>
    <mergeCell ref="AX1765:AX1766"/>
    <mergeCell ref="AY1765:AY1766"/>
    <mergeCell ref="AZ1765:AZ1766"/>
    <mergeCell ref="BA1765:BA1766"/>
    <mergeCell ref="AV1768:AV1770"/>
    <mergeCell ref="AW1768:AW1770"/>
    <mergeCell ref="AX1768:AX1770"/>
    <mergeCell ref="AY1768:AY1770"/>
    <mergeCell ref="AZ1768:AZ1770"/>
    <mergeCell ref="BA1768:BA1770"/>
    <mergeCell ref="AV1771:AV1772"/>
    <mergeCell ref="AW1771:AW1772"/>
    <mergeCell ref="AX1771:AX1772"/>
    <mergeCell ref="AY1771:AY1772"/>
    <mergeCell ref="AZ1771:AZ1772"/>
    <mergeCell ref="BA1771:BA1772"/>
    <mergeCell ref="AV1776:AV1778"/>
    <mergeCell ref="AW1776:AW1778"/>
    <mergeCell ref="AX1776:AX1778"/>
    <mergeCell ref="AY1776:AY1778"/>
    <mergeCell ref="AZ1776:AZ1778"/>
    <mergeCell ref="BA1776:BA1778"/>
    <mergeCell ref="AV1779:AV1784"/>
    <mergeCell ref="AW1779:AW1784"/>
    <mergeCell ref="AX1779:AX1784"/>
    <mergeCell ref="AY1779:AY1784"/>
    <mergeCell ref="AZ1779:AZ1784"/>
    <mergeCell ref="BA1779:BA1784"/>
    <mergeCell ref="AV1786:AV1788"/>
    <mergeCell ref="AW1786:AW1788"/>
    <mergeCell ref="AX1786:AX1788"/>
    <mergeCell ref="AY1786:AY1788"/>
    <mergeCell ref="AZ1786:AZ1788"/>
    <mergeCell ref="BA1786:BA1788"/>
    <mergeCell ref="AV1791:AV1793"/>
    <mergeCell ref="AW1791:AW1793"/>
    <mergeCell ref="AX1791:AX1793"/>
    <mergeCell ref="AY1791:AY1793"/>
    <mergeCell ref="AZ1791:AZ1793"/>
    <mergeCell ref="BA1791:BA1793"/>
    <mergeCell ref="AV1794:AV1795"/>
    <mergeCell ref="AW1794:AW1795"/>
    <mergeCell ref="AX1794:AX1795"/>
    <mergeCell ref="AY1794:AY1795"/>
    <mergeCell ref="AZ1794:AZ1795"/>
    <mergeCell ref="BA1794:BA1795"/>
    <mergeCell ref="AV1796:AV1797"/>
    <mergeCell ref="AW1796:AW1797"/>
    <mergeCell ref="AX1796:AX1797"/>
    <mergeCell ref="AY1796:AY1797"/>
    <mergeCell ref="AZ1796:AZ1797"/>
    <mergeCell ref="BA1796:BA1797"/>
    <mergeCell ref="AV1800:AV1801"/>
    <mergeCell ref="AW1800:AW1801"/>
    <mergeCell ref="AX1800:AX1801"/>
    <mergeCell ref="AY1800:AY1801"/>
    <mergeCell ref="AZ1800:AZ1801"/>
    <mergeCell ref="BA1800:BA1801"/>
    <mergeCell ref="AV1804:AV1805"/>
    <mergeCell ref="AW1804:AW1805"/>
    <mergeCell ref="AX1804:AX1805"/>
    <mergeCell ref="AY1804:AY1805"/>
    <mergeCell ref="AZ1804:AZ1805"/>
    <mergeCell ref="BA1804:BA1805"/>
    <mergeCell ref="AV1806:AV1807"/>
    <mergeCell ref="AW1806:AW1807"/>
    <mergeCell ref="AX1806:AX1807"/>
    <mergeCell ref="AY1806:AY1807"/>
    <mergeCell ref="AZ1806:AZ1807"/>
    <mergeCell ref="BA1806:BA1807"/>
    <mergeCell ref="AV1808:AV1810"/>
    <mergeCell ref="AW1808:AW1810"/>
    <mergeCell ref="AX1808:AX1810"/>
    <mergeCell ref="AY1808:AY1810"/>
    <mergeCell ref="AZ1808:AZ1810"/>
    <mergeCell ref="BA1808:BA1810"/>
    <mergeCell ref="AV1811:AV1813"/>
    <mergeCell ref="AW1811:AW1813"/>
    <mergeCell ref="AX1811:AX1813"/>
    <mergeCell ref="AY1811:AY1813"/>
    <mergeCell ref="AZ1811:AZ1813"/>
    <mergeCell ref="BA1811:BA1813"/>
    <mergeCell ref="AV1814:AV1816"/>
    <mergeCell ref="AW1814:AW1816"/>
    <mergeCell ref="AX1814:AX1816"/>
    <mergeCell ref="AY1814:AY1816"/>
    <mergeCell ref="AZ1814:AZ1816"/>
    <mergeCell ref="BA1814:BA1816"/>
    <mergeCell ref="AV1817:AV1819"/>
    <mergeCell ref="AW1817:AW1819"/>
    <mergeCell ref="AX1817:AX1819"/>
    <mergeCell ref="AY1817:AY1819"/>
    <mergeCell ref="AZ1817:AZ1819"/>
    <mergeCell ref="BA1817:BA1819"/>
    <mergeCell ref="AV1820:AV1821"/>
    <mergeCell ref="AW1820:AW1821"/>
    <mergeCell ref="AX1820:AX1821"/>
    <mergeCell ref="AY1820:AY1821"/>
    <mergeCell ref="AZ1820:AZ1821"/>
    <mergeCell ref="BA1820:BA1821"/>
    <mergeCell ref="AV1822:AV1826"/>
    <mergeCell ref="AW1822:AW1826"/>
    <mergeCell ref="AX1822:AX1826"/>
    <mergeCell ref="AY1822:AY1826"/>
    <mergeCell ref="AZ1822:AZ1826"/>
    <mergeCell ref="BA1822:BA1826"/>
    <mergeCell ref="AV1827:AV1831"/>
    <mergeCell ref="AW1827:AW1831"/>
    <mergeCell ref="AX1827:AX1831"/>
    <mergeCell ref="AY1827:AY1831"/>
    <mergeCell ref="AZ1827:AZ1831"/>
    <mergeCell ref="BA1827:BA1831"/>
    <mergeCell ref="AV1832:AV1835"/>
    <mergeCell ref="AW1832:AW1835"/>
    <mergeCell ref="AX1832:AX1835"/>
    <mergeCell ref="AY1832:AY1835"/>
    <mergeCell ref="AZ1832:AZ1835"/>
    <mergeCell ref="BA1832:BA1835"/>
    <mergeCell ref="AV1836:AV1839"/>
    <mergeCell ref="AW1836:AW1839"/>
    <mergeCell ref="AX1836:AX1839"/>
    <mergeCell ref="AY1836:AY1839"/>
    <mergeCell ref="AZ1836:AZ1839"/>
    <mergeCell ref="BA1836:BA1839"/>
    <mergeCell ref="AV1843:AV1844"/>
    <mergeCell ref="AW1843:AW1844"/>
    <mergeCell ref="AX1843:AX1844"/>
    <mergeCell ref="AY1843:AY1844"/>
    <mergeCell ref="AZ1843:AZ1844"/>
    <mergeCell ref="BA1843:BA1844"/>
    <mergeCell ref="AV1855:AV1856"/>
    <mergeCell ref="AW1855:AW1856"/>
    <mergeCell ref="AX1855:AX1856"/>
    <mergeCell ref="AY1855:AY1856"/>
    <mergeCell ref="AZ1855:AZ1856"/>
    <mergeCell ref="BA1855:BA1856"/>
    <mergeCell ref="AV1857:AV1866"/>
    <mergeCell ref="AW1857:AW1866"/>
    <mergeCell ref="AX1857:AX1866"/>
    <mergeCell ref="AY1857:AY1866"/>
    <mergeCell ref="AZ1857:AZ1866"/>
    <mergeCell ref="BA1857:BA1866"/>
    <mergeCell ref="AV1868:AV1877"/>
    <mergeCell ref="AW1868:AW1877"/>
    <mergeCell ref="AX1868:AX1877"/>
    <mergeCell ref="AY1868:AY1877"/>
    <mergeCell ref="AZ1868:AZ1877"/>
    <mergeCell ref="BA1868:BA1877"/>
    <mergeCell ref="AV1878:AV1879"/>
    <mergeCell ref="AW1878:AW1879"/>
    <mergeCell ref="AX1878:AX1879"/>
    <mergeCell ref="AY1878:AY1879"/>
    <mergeCell ref="AZ1878:AZ1879"/>
    <mergeCell ref="BA1878:BA1879"/>
    <mergeCell ref="AV1889:AV1890"/>
    <mergeCell ref="AW1889:AW1890"/>
    <mergeCell ref="AX1889:AX1890"/>
    <mergeCell ref="AY1889:AY1890"/>
    <mergeCell ref="AZ1889:AZ1890"/>
    <mergeCell ref="BA1889:BA1890"/>
    <mergeCell ref="AV1896:AV1900"/>
    <mergeCell ref="AW1896:AW1900"/>
    <mergeCell ref="AX1896:AX1900"/>
    <mergeCell ref="AY1896:AY1900"/>
    <mergeCell ref="AZ1896:AZ1900"/>
    <mergeCell ref="BA1896:BA1900"/>
    <mergeCell ref="AV1901:AV1902"/>
    <mergeCell ref="AW1901:AW1902"/>
    <mergeCell ref="AX1901:AX1902"/>
    <mergeCell ref="AY1901:AY1902"/>
    <mergeCell ref="AZ1901:AZ1902"/>
    <mergeCell ref="BA1901:BA1902"/>
    <mergeCell ref="AV1906:AV1909"/>
    <mergeCell ref="AW1906:AW1909"/>
    <mergeCell ref="AX1906:AX1909"/>
    <mergeCell ref="AY1906:AY1909"/>
    <mergeCell ref="AZ1906:AZ1909"/>
    <mergeCell ref="BA1906:BA1909"/>
    <mergeCell ref="AV1910:AV1911"/>
    <mergeCell ref="AW1910:AW1911"/>
    <mergeCell ref="AX1910:AX1911"/>
    <mergeCell ref="AY1910:AY1911"/>
    <mergeCell ref="AZ1910:AZ1911"/>
    <mergeCell ref="BA1910:BA1911"/>
    <mergeCell ref="AV1912:AV1915"/>
    <mergeCell ref="AW1912:AW1915"/>
    <mergeCell ref="AX1912:AX1915"/>
    <mergeCell ref="AY1912:AY1915"/>
    <mergeCell ref="AZ1912:AZ1915"/>
    <mergeCell ref="BA1912:BA1915"/>
    <mergeCell ref="AV1921:AV1922"/>
    <mergeCell ref="AW1921:AW1922"/>
    <mergeCell ref="AX1921:AX1922"/>
    <mergeCell ref="AY1921:AY1922"/>
    <mergeCell ref="AZ1921:AZ1922"/>
    <mergeCell ref="BA1921:BA1922"/>
    <mergeCell ref="AV1926:AV1927"/>
    <mergeCell ref="AW1926:AW1927"/>
    <mergeCell ref="AX1926:AX1927"/>
    <mergeCell ref="AY1926:AY1927"/>
    <mergeCell ref="AZ1926:AZ1927"/>
    <mergeCell ref="BA1926:BA1927"/>
    <mergeCell ref="AV1929:AV1930"/>
    <mergeCell ref="AW1929:AW1930"/>
    <mergeCell ref="AX1929:AX1930"/>
    <mergeCell ref="AY1929:AY1930"/>
    <mergeCell ref="AZ1929:AZ1930"/>
    <mergeCell ref="BA1929:BA1930"/>
    <mergeCell ref="AV1933:AV1935"/>
    <mergeCell ref="AW1933:AW1935"/>
    <mergeCell ref="AX1933:AX1935"/>
    <mergeCell ref="AY1933:AY1935"/>
    <mergeCell ref="AZ1933:AZ1935"/>
    <mergeCell ref="BA1933:BA1935"/>
    <mergeCell ref="AV1936:AV1938"/>
    <mergeCell ref="AW1936:AW1938"/>
    <mergeCell ref="AX1936:AX1938"/>
    <mergeCell ref="AY1936:AY1938"/>
    <mergeCell ref="AZ1936:AZ1938"/>
    <mergeCell ref="BA1936:BA1938"/>
    <mergeCell ref="AV1939:AV1941"/>
    <mergeCell ref="AW1939:AW1941"/>
    <mergeCell ref="AX1939:AX1941"/>
    <mergeCell ref="AY1939:AY1941"/>
    <mergeCell ref="AZ1939:AZ1941"/>
    <mergeCell ref="BA1939:BA1941"/>
    <mergeCell ref="AV1943:AV1944"/>
    <mergeCell ref="AW1943:AW1944"/>
    <mergeCell ref="AX1943:AX1944"/>
    <mergeCell ref="AY1943:AY1944"/>
    <mergeCell ref="AZ1943:AZ1944"/>
    <mergeCell ref="BA1943:BA1944"/>
    <mergeCell ref="AV1952:AV1955"/>
    <mergeCell ref="AW1952:AW1955"/>
    <mergeCell ref="AX1952:AX1955"/>
    <mergeCell ref="AY1952:AY1955"/>
    <mergeCell ref="AZ1952:AZ1955"/>
    <mergeCell ref="BA1952:BA1955"/>
    <mergeCell ref="AV1956:AV1958"/>
    <mergeCell ref="AW1956:AW1958"/>
    <mergeCell ref="AX1956:AX1958"/>
    <mergeCell ref="AY1956:AY1958"/>
    <mergeCell ref="AZ1956:AZ1958"/>
    <mergeCell ref="BA1956:BA1958"/>
    <mergeCell ref="AV1959:AV1961"/>
    <mergeCell ref="AW1959:AW1961"/>
    <mergeCell ref="AX1959:AX1961"/>
    <mergeCell ref="AY1959:AY1961"/>
    <mergeCell ref="AZ1959:AZ1961"/>
    <mergeCell ref="BA1959:BA1961"/>
    <mergeCell ref="AV1962:AV1963"/>
    <mergeCell ref="AW1962:AW1963"/>
    <mergeCell ref="AX1962:AX1963"/>
    <mergeCell ref="AY1962:AY1963"/>
    <mergeCell ref="AZ1962:AZ1963"/>
    <mergeCell ref="BA1962:BA1963"/>
    <mergeCell ref="AV1964:AV1965"/>
    <mergeCell ref="AW1964:AW1965"/>
    <mergeCell ref="AX1964:AX1965"/>
    <mergeCell ref="AY1964:AY1965"/>
    <mergeCell ref="AZ1964:AZ1965"/>
    <mergeCell ref="BA1964:BA1965"/>
    <mergeCell ref="AV1966:AV1968"/>
    <mergeCell ref="AW1966:AW1968"/>
    <mergeCell ref="AX1966:AX1968"/>
    <mergeCell ref="AY1966:AY1968"/>
    <mergeCell ref="AZ1966:AZ1968"/>
    <mergeCell ref="BA1966:BA1968"/>
    <mergeCell ref="AV1969:AV1972"/>
    <mergeCell ref="AW1969:AW1972"/>
    <mergeCell ref="AX1969:AX1972"/>
    <mergeCell ref="AY1969:AY1972"/>
    <mergeCell ref="AZ1969:AZ1972"/>
    <mergeCell ref="BA1969:BA1972"/>
    <mergeCell ref="AV1973:AV1975"/>
    <mergeCell ref="AW1973:AW1975"/>
    <mergeCell ref="AX1973:AX1975"/>
    <mergeCell ref="AY1973:AY1975"/>
    <mergeCell ref="AZ1973:AZ1975"/>
    <mergeCell ref="BA1973:BA1975"/>
    <mergeCell ref="AV1976:AV1977"/>
    <mergeCell ref="AW1976:AW1977"/>
    <mergeCell ref="AX1976:AX1977"/>
    <mergeCell ref="AY1976:AY1977"/>
    <mergeCell ref="AZ1976:AZ1977"/>
    <mergeCell ref="BA1976:BA1977"/>
    <mergeCell ref="AV1978:AV1980"/>
    <mergeCell ref="AW1978:AW1980"/>
    <mergeCell ref="AX1978:AX1980"/>
    <mergeCell ref="AY1978:AY1980"/>
    <mergeCell ref="AZ1978:AZ1980"/>
    <mergeCell ref="BA1978:BA1980"/>
    <mergeCell ref="AV1981:AV1982"/>
    <mergeCell ref="AW1981:AW1982"/>
    <mergeCell ref="AX1981:AX1982"/>
    <mergeCell ref="AY1981:AY1982"/>
    <mergeCell ref="AZ1981:AZ1982"/>
    <mergeCell ref="BA1981:BA1982"/>
    <mergeCell ref="AV1983:AV1984"/>
    <mergeCell ref="AW1983:AW1984"/>
    <mergeCell ref="AX1983:AX1984"/>
    <mergeCell ref="AY1983:AY1984"/>
    <mergeCell ref="AZ1983:AZ1984"/>
    <mergeCell ref="BA1983:BA1984"/>
    <mergeCell ref="AV1985:AV1987"/>
    <mergeCell ref="AW1985:AW1987"/>
    <mergeCell ref="AX1985:AX1987"/>
    <mergeCell ref="AY1985:AY1987"/>
    <mergeCell ref="AZ1985:AZ1987"/>
    <mergeCell ref="BA1985:BA1987"/>
    <mergeCell ref="AV1989:AV1991"/>
    <mergeCell ref="AW1989:AW1991"/>
    <mergeCell ref="AX1989:AX1991"/>
    <mergeCell ref="AY1989:AY1991"/>
    <mergeCell ref="AZ1989:AZ1991"/>
    <mergeCell ref="BA1989:BA1991"/>
    <mergeCell ref="AV1992:AV1993"/>
    <mergeCell ref="AW1992:AW1993"/>
    <mergeCell ref="AX1992:AX1993"/>
    <mergeCell ref="AY1992:AY1993"/>
    <mergeCell ref="AZ1992:AZ1993"/>
    <mergeCell ref="BA1992:BA1993"/>
    <mergeCell ref="AV1997:AV2000"/>
    <mergeCell ref="AW1997:AW2000"/>
    <mergeCell ref="AX1997:AX2000"/>
    <mergeCell ref="AY1997:AY2000"/>
    <mergeCell ref="AZ1997:AZ2000"/>
    <mergeCell ref="BA1997:BA2000"/>
    <mergeCell ref="AV2008:AV2009"/>
    <mergeCell ref="AW2008:AW2009"/>
    <mergeCell ref="AX2008:AX2009"/>
    <mergeCell ref="AY2008:AY2009"/>
    <mergeCell ref="AZ2008:AZ2009"/>
    <mergeCell ref="BA2008:BA2009"/>
    <mergeCell ref="AV2017:AV2018"/>
    <mergeCell ref="AW2017:AW2018"/>
    <mergeCell ref="AX2017:AX2018"/>
    <mergeCell ref="AY2017:AY2018"/>
    <mergeCell ref="AZ2017:AZ2018"/>
    <mergeCell ref="BA2017:BA2018"/>
    <mergeCell ref="AV2019:AV2020"/>
    <mergeCell ref="AW2019:AW2020"/>
    <mergeCell ref="AX2019:AX2020"/>
    <mergeCell ref="AY2019:AY2020"/>
    <mergeCell ref="AZ2019:AZ2020"/>
    <mergeCell ref="BA2019:BA2020"/>
    <mergeCell ref="AV2024:AV2025"/>
    <mergeCell ref="AW2024:AW2025"/>
    <mergeCell ref="AX2024:AX2025"/>
    <mergeCell ref="AY2024:AY2025"/>
    <mergeCell ref="AZ2024:AZ2025"/>
    <mergeCell ref="BA2024:BA2025"/>
    <mergeCell ref="AV2030:AV2032"/>
    <mergeCell ref="AW2030:AW2032"/>
    <mergeCell ref="AX2030:AX2032"/>
    <mergeCell ref="AY2030:AY2032"/>
    <mergeCell ref="AZ2030:AZ2032"/>
    <mergeCell ref="BA2030:BA2032"/>
    <mergeCell ref="AV2033:AV2034"/>
    <mergeCell ref="AW2033:AW2034"/>
    <mergeCell ref="AX2033:AX2034"/>
    <mergeCell ref="AY2033:AY2034"/>
    <mergeCell ref="AZ2033:AZ2034"/>
    <mergeCell ref="BA2033:BA2034"/>
    <mergeCell ref="AV2039:AV2040"/>
    <mergeCell ref="AW2039:AW2040"/>
    <mergeCell ref="AX2039:AX2040"/>
    <mergeCell ref="AY2039:AY2040"/>
    <mergeCell ref="AZ2039:AZ2040"/>
    <mergeCell ref="BA2039:BA2040"/>
    <mergeCell ref="AV2048:AV2049"/>
    <mergeCell ref="AW2048:AW2049"/>
    <mergeCell ref="AX2048:AX2049"/>
    <mergeCell ref="AY2048:AY2049"/>
    <mergeCell ref="AZ2048:AZ2049"/>
    <mergeCell ref="BA2048:BA2049"/>
    <mergeCell ref="AV2050:AV2051"/>
    <mergeCell ref="AW2050:AW2051"/>
    <mergeCell ref="AX2050:AX2051"/>
    <mergeCell ref="AY2050:AY2051"/>
    <mergeCell ref="AZ2050:AZ2051"/>
    <mergeCell ref="BA2050:BA2051"/>
    <mergeCell ref="AV2053:AV2054"/>
    <mergeCell ref="AW2053:AW2054"/>
    <mergeCell ref="AX2053:AX2054"/>
    <mergeCell ref="AY2053:AY2054"/>
    <mergeCell ref="AZ2053:AZ2054"/>
    <mergeCell ref="BA2053:BA2054"/>
    <mergeCell ref="AV2056:AV2057"/>
    <mergeCell ref="AW2056:AW2057"/>
    <mergeCell ref="AX2056:AX2057"/>
    <mergeCell ref="AY2056:AY2057"/>
    <mergeCell ref="AZ2056:AZ2057"/>
    <mergeCell ref="BA2056:BA2057"/>
    <mergeCell ref="AV2058:AV2059"/>
    <mergeCell ref="AW2058:AW2059"/>
    <mergeCell ref="AX2058:AX2059"/>
    <mergeCell ref="AY2058:AY2059"/>
    <mergeCell ref="AZ2058:AZ2059"/>
    <mergeCell ref="BA2058:BA2059"/>
    <mergeCell ref="AV2067:AV2069"/>
    <mergeCell ref="AW2067:AW2069"/>
    <mergeCell ref="AX2067:AX2069"/>
    <mergeCell ref="AY2067:AY2069"/>
    <mergeCell ref="AZ2067:AZ2069"/>
    <mergeCell ref="BA2067:BA2069"/>
    <mergeCell ref="AV2074:AV2075"/>
    <mergeCell ref="AW2074:AW2075"/>
    <mergeCell ref="AX2074:AX2075"/>
    <mergeCell ref="AY2074:AY2075"/>
    <mergeCell ref="AZ2074:AZ2075"/>
    <mergeCell ref="BA2074:BA2075"/>
    <mergeCell ref="AV2081:AV2082"/>
    <mergeCell ref="AW2081:AW2082"/>
    <mergeCell ref="AX2081:AX2082"/>
    <mergeCell ref="AY2081:AY2082"/>
    <mergeCell ref="AZ2081:AZ2082"/>
    <mergeCell ref="BA2081:BA2082"/>
    <mergeCell ref="AV2085:AV2090"/>
    <mergeCell ref="AW2085:AW2090"/>
    <mergeCell ref="AX2085:AX2090"/>
    <mergeCell ref="AY2085:AY2090"/>
    <mergeCell ref="AZ2085:AZ2090"/>
    <mergeCell ref="BA2085:BA2090"/>
    <mergeCell ref="AV2091:AV2094"/>
    <mergeCell ref="AW2091:AW2094"/>
    <mergeCell ref="AX2091:AX2094"/>
    <mergeCell ref="AY2091:AY2094"/>
    <mergeCell ref="AZ2091:AZ2094"/>
    <mergeCell ref="BA2091:BA2094"/>
    <mergeCell ref="AV2096:AV2099"/>
    <mergeCell ref="AW2096:AW2099"/>
    <mergeCell ref="AX2096:AX2099"/>
    <mergeCell ref="AY2096:AY2099"/>
    <mergeCell ref="AZ2096:AZ2099"/>
    <mergeCell ref="BA2096:BA2099"/>
    <mergeCell ref="AV2102:AV2104"/>
    <mergeCell ref="AW2102:AW2104"/>
    <mergeCell ref="AX2102:AX2104"/>
    <mergeCell ref="AY2102:AY2104"/>
    <mergeCell ref="AZ2102:AZ2104"/>
    <mergeCell ref="BA2102:BA2104"/>
    <mergeCell ref="BB134:BB135"/>
    <mergeCell ref="BB138:BB139"/>
    <mergeCell ref="BB203:BB204"/>
    <mergeCell ref="BB265:BB266"/>
    <mergeCell ref="BB272:BB273"/>
    <mergeCell ref="BB285:BB286"/>
    <mergeCell ref="BB287:BB288"/>
    <mergeCell ref="BB289:BB290"/>
    <mergeCell ref="BB291:BB292"/>
    <mergeCell ref="BB436:BB437"/>
    <mergeCell ref="BB461:BB462"/>
    <mergeCell ref="BB463:BB464"/>
    <mergeCell ref="BB480:BB481"/>
    <mergeCell ref="BB507:BB508"/>
    <mergeCell ref="BB571:BB572"/>
    <mergeCell ref="BB891:BB892"/>
    <mergeCell ref="BB893:BB894"/>
    <mergeCell ref="BB895:BB896"/>
    <mergeCell ref="BB897:BB898"/>
    <mergeCell ref="BB899:BB900"/>
    <mergeCell ref="BB901:BB902"/>
    <mergeCell ref="BB903:BB904"/>
    <mergeCell ref="BB905:BB906"/>
    <mergeCell ref="BB907:BB908"/>
    <mergeCell ref="BB909:BB910"/>
    <mergeCell ref="BB911:BB912"/>
    <mergeCell ref="BB913:BB914"/>
    <mergeCell ref="BB1002:BB1003"/>
    <mergeCell ref="BB1010:BB1011"/>
    <mergeCell ref="BB1014:BB1015"/>
    <mergeCell ref="BB1018:BB1019"/>
    <mergeCell ref="BB1020:BB1021"/>
    <mergeCell ref="BB1022:BB1023"/>
    <mergeCell ref="BB1027:BB1028"/>
    <mergeCell ref="BB1065:BB1066"/>
    <mergeCell ref="BB1109:BB1110"/>
    <mergeCell ref="BB1196:BB1197"/>
    <mergeCell ref="BB1198:BB1199"/>
    <mergeCell ref="BB1210:BB1211"/>
    <mergeCell ref="BB1296:BB1297"/>
    <mergeCell ref="BB1298:BB1299"/>
    <mergeCell ref="BB1300:BB1301"/>
    <mergeCell ref="BB1302:BB1303"/>
    <mergeCell ref="BB1304:BB1305"/>
    <mergeCell ref="BB1306:BB1307"/>
    <mergeCell ref="BB1308:BB1309"/>
    <mergeCell ref="BB1310:BB1311"/>
    <mergeCell ref="BB1312:BB1313"/>
    <mergeCell ref="BB1314:BB1315"/>
    <mergeCell ref="BB1316:BB1317"/>
    <mergeCell ref="BB1318:BB1319"/>
    <mergeCell ref="BB1320:BB1321"/>
    <mergeCell ref="BB1322:BB1323"/>
    <mergeCell ref="BB1324:BB1325"/>
    <mergeCell ref="BB1326:BB1327"/>
    <mergeCell ref="BB1328:BB1329"/>
    <mergeCell ref="BB1330:BB1331"/>
    <mergeCell ref="BB1332:BB1333"/>
    <mergeCell ref="BB1334:BB1335"/>
    <mergeCell ref="BB1370:BB1371"/>
    <mergeCell ref="BB1372:BB1373"/>
    <mergeCell ref="BB1376:BB1377"/>
    <mergeCell ref="BB1379:BB1380"/>
    <mergeCell ref="BB1398:BB1399"/>
    <mergeCell ref="BB1410:BB1411"/>
    <mergeCell ref="BB1412:BB1413"/>
    <mergeCell ref="BB1414:BB1415"/>
    <mergeCell ref="BB1416:BB1417"/>
    <mergeCell ref="BB1499:BB1500"/>
    <mergeCell ref="BB1501:BB1502"/>
    <mergeCell ref="BB1503:BB1504"/>
    <mergeCell ref="BB1506:BB1507"/>
    <mergeCell ref="BB1508:BB1509"/>
    <mergeCell ref="BB1510:BB1511"/>
    <mergeCell ref="BB1512:BB1513"/>
    <mergeCell ref="BB1516:BB1517"/>
    <mergeCell ref="BB1518:BB1519"/>
    <mergeCell ref="BB1520:BB1521"/>
    <mergeCell ref="BB1529:BB1530"/>
    <mergeCell ref="BB1531:BB1532"/>
    <mergeCell ref="BB1533:BB1534"/>
    <mergeCell ref="BB1577:BB1578"/>
    <mergeCell ref="BB1582:BB1583"/>
    <mergeCell ref="BB1587:BB1588"/>
    <mergeCell ref="BB1590:BB1591"/>
    <mergeCell ref="BB1610:BB1611"/>
    <mergeCell ref="BB1655:BB1656"/>
    <mergeCell ref="BB1724:BB1725"/>
    <mergeCell ref="BB1857:BB1858"/>
    <mergeCell ref="BB1859:BB1860"/>
    <mergeCell ref="BB1861:BB1862"/>
    <mergeCell ref="BB1863:BB1864"/>
    <mergeCell ref="BB1865:BB1866"/>
    <mergeCell ref="BB1868:BB1869"/>
    <mergeCell ref="BB1870:BB1871"/>
    <mergeCell ref="BB1872:BB1873"/>
    <mergeCell ref="BB1874:BB1875"/>
    <mergeCell ref="BB1876:BB1877"/>
    <mergeCell ref="BB1878:BB1879"/>
    <mergeCell ref="BB1898:BB1899"/>
    <mergeCell ref="BB2024:BB202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5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7589</v>
      </c>
      <c r="C2" s="0" t="s">
        <v>7590</v>
      </c>
      <c r="D2" s="0" t="s">
        <v>7591</v>
      </c>
      <c r="E2" s="0" t="s">
        <v>86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7592</v>
      </c>
      <c r="J4" s="1" t="s">
        <v>7593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7594</v>
      </c>
      <c r="P4" s="1" t="s">
        <v>7595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7596</v>
      </c>
      <c r="F5" s="1" t="s">
        <v>7597</v>
      </c>
      <c r="G5" s="1" t="s">
        <v>7596</v>
      </c>
      <c r="H5" s="1" t="s">
        <v>7597</v>
      </c>
      <c r="I5" s="1" t="s">
        <v>7592</v>
      </c>
      <c r="J5" s="1" t="s">
        <v>7593</v>
      </c>
      <c r="K5" s="1" t="s">
        <v>7598</v>
      </c>
      <c r="L5" s="1" t="s">
        <v>7599</v>
      </c>
      <c r="M5" s="1" t="s">
        <v>7598</v>
      </c>
      <c r="N5" s="1" t="s">
        <v>7599</v>
      </c>
      <c r="O5" s="1" t="s">
        <v>7594</v>
      </c>
      <c r="P5" s="1" t="s">
        <v>7595</v>
      </c>
    </row>
    <row r="6">
      <c r="A6" s="2" t="s">
        <v>871</v>
      </c>
      <c r="B6" s="2" t="s">
        <v>943</v>
      </c>
      <c r="C6" s="2" t="s">
        <v>361</v>
      </c>
      <c r="D6" s="2" t="s">
        <v>872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871</v>
      </c>
      <c r="B7" s="2" t="s">
        <v>1381</v>
      </c>
      <c r="C7" s="2" t="s">
        <v>361</v>
      </c>
      <c r="D7" s="2" t="s">
        <v>924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871</v>
      </c>
      <c r="B8" s="2" t="s">
        <v>2142</v>
      </c>
      <c r="C8" s="2" t="s">
        <v>1452</v>
      </c>
      <c r="D8" s="2" t="s">
        <v>1453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871</v>
      </c>
      <c r="B9" s="2" t="s">
        <v>1561</v>
      </c>
      <c r="C9" s="2" t="s">
        <v>2033</v>
      </c>
      <c r="D9" s="2" t="s">
        <v>2434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871</v>
      </c>
      <c r="B10" s="2" t="s">
        <v>1561</v>
      </c>
      <c r="C10" s="2" t="s">
        <v>361</v>
      </c>
      <c r="D10" s="2" t="s">
        <v>872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871</v>
      </c>
      <c r="B11" s="2" t="s">
        <v>1561</v>
      </c>
      <c r="C11" s="2" t="s">
        <v>1539</v>
      </c>
      <c r="D11" s="2" t="s">
        <v>1839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871</v>
      </c>
      <c r="B12" s="2" t="s">
        <v>4134</v>
      </c>
      <c r="C12" s="2" t="s">
        <v>2033</v>
      </c>
      <c r="D12" s="2" t="s">
        <v>2434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871</v>
      </c>
      <c r="B13" s="2" t="s">
        <v>4134</v>
      </c>
      <c r="C13" s="2" t="s">
        <v>1452</v>
      </c>
      <c r="D13" s="2" t="s">
        <v>1453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871</v>
      </c>
      <c r="B14" s="2" t="s">
        <v>801</v>
      </c>
      <c r="C14" s="2" t="s">
        <v>1452</v>
      </c>
      <c r="D14" s="2" t="s">
        <v>1453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871</v>
      </c>
      <c r="B15" s="2" t="s">
        <v>893</v>
      </c>
      <c r="C15" s="2" t="s">
        <v>361</v>
      </c>
      <c r="D15" s="2" t="s">
        <v>924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871</v>
      </c>
      <c r="B16" s="2" t="s">
        <v>893</v>
      </c>
      <c r="C16" s="2" t="s">
        <v>906</v>
      </c>
      <c r="D16" s="2" t="s">
        <v>907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871</v>
      </c>
      <c r="B17" s="2" t="s">
        <v>893</v>
      </c>
      <c r="C17" s="2" t="s">
        <v>1539</v>
      </c>
      <c r="D17" s="2" t="s">
        <v>1540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871</v>
      </c>
      <c r="B18" s="2" t="s">
        <v>853</v>
      </c>
      <c r="C18" s="2" t="s">
        <v>361</v>
      </c>
      <c r="D18" s="2" t="s">
        <v>1024</v>
      </c>
      <c r="E18" s="4" t="s">
        <v>235</v>
      </c>
      <c r="F18" s="8" t="s">
        <v>235</v>
      </c>
      <c r="G18" s="4" t="s">
        <v>235</v>
      </c>
      <c r="H18" s="8" t="s">
        <v>235</v>
      </c>
      <c r="I18" s="7" t="s">
        <v>235</v>
      </c>
      <c r="J18" s="7" t="s">
        <v>235</v>
      </c>
      <c r="K18" s="4"/>
      <c r="L18" s="8"/>
      <c r="M18" s="4"/>
      <c r="N18" s="8"/>
      <c r="O18" s="7"/>
      <c r="P18" s="7"/>
    </row>
    <row r="19">
      <c r="A19" s="2" t="s">
        <v>871</v>
      </c>
      <c r="B19" s="2" t="s">
        <v>853</v>
      </c>
      <c r="C19" s="2" t="s">
        <v>361</v>
      </c>
      <c r="D19" s="2" t="s">
        <v>872</v>
      </c>
      <c r="E19" s="4" t="s">
        <v>235</v>
      </c>
      <c r="F19" s="8" t="s">
        <v>235</v>
      </c>
      <c r="G19" s="4" t="s">
        <v>235</v>
      </c>
      <c r="H19" s="8" t="s">
        <v>235</v>
      </c>
      <c r="I19" s="7" t="s">
        <v>235</v>
      </c>
      <c r="J19" s="7" t="s">
        <v>235</v>
      </c>
      <c r="K19" s="4"/>
      <c r="L19" s="8"/>
      <c r="M19" s="4"/>
      <c r="N19" s="8"/>
      <c r="O19" s="7"/>
      <c r="P19" s="7"/>
    </row>
    <row r="20">
      <c r="A20" s="2" t="s">
        <v>871</v>
      </c>
      <c r="B20" s="2" t="s">
        <v>853</v>
      </c>
      <c r="C20" s="2" t="s">
        <v>361</v>
      </c>
      <c r="D20" s="2" t="s">
        <v>924</v>
      </c>
      <c r="E20" s="4" t="s">
        <v>235</v>
      </c>
      <c r="F20" s="8" t="s">
        <v>235</v>
      </c>
      <c r="G20" s="4" t="s">
        <v>235</v>
      </c>
      <c r="H20" s="8" t="s">
        <v>235</v>
      </c>
      <c r="I20" s="7" t="s">
        <v>235</v>
      </c>
      <c r="J20" s="7" t="s">
        <v>235</v>
      </c>
      <c r="K20" s="4"/>
      <c r="L20" s="8"/>
      <c r="M20" s="4"/>
      <c r="N20" s="8"/>
      <c r="O20" s="7"/>
      <c r="P20" s="7"/>
    </row>
    <row r="21">
      <c r="A21" s="2" t="s">
        <v>871</v>
      </c>
      <c r="B21" s="2" t="s">
        <v>853</v>
      </c>
      <c r="C21" s="2" t="s">
        <v>1452</v>
      </c>
      <c r="D21" s="2" t="s">
        <v>1453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871</v>
      </c>
      <c r="B22" s="2" t="s">
        <v>853</v>
      </c>
      <c r="C22" s="2" t="s">
        <v>906</v>
      </c>
      <c r="D22" s="2" t="s">
        <v>907</v>
      </c>
      <c r="E22" s="4" t="s">
        <v>235</v>
      </c>
      <c r="F22" s="8" t="s">
        <v>235</v>
      </c>
      <c r="G22" s="4" t="s">
        <v>235</v>
      </c>
      <c r="H22" s="8" t="s">
        <v>235</v>
      </c>
      <c r="I22" s="7" t="s">
        <v>235</v>
      </c>
      <c r="J22" s="7" t="s">
        <v>235</v>
      </c>
      <c r="K22" s="4"/>
      <c r="L22" s="8"/>
      <c r="M22" s="4"/>
      <c r="N22" s="8"/>
      <c r="O22" s="7"/>
      <c r="P22" s="7"/>
    </row>
    <row r="23">
      <c r="A23" s="2" t="s">
        <v>871</v>
      </c>
      <c r="B23" s="2" t="s">
        <v>853</v>
      </c>
      <c r="C23" s="2" t="s">
        <v>906</v>
      </c>
      <c r="D23" s="2" t="s">
        <v>1301</v>
      </c>
      <c r="E23" s="4" t="s">
        <v>235</v>
      </c>
      <c r="F23" s="8" t="s">
        <v>235</v>
      </c>
      <c r="G23" s="4" t="s">
        <v>235</v>
      </c>
      <c r="H23" s="8" t="s">
        <v>235</v>
      </c>
      <c r="I23" s="7" t="s">
        <v>235</v>
      </c>
      <c r="J23" s="7" t="s">
        <v>235</v>
      </c>
      <c r="K23" s="4"/>
      <c r="L23" s="8"/>
      <c r="M23" s="4"/>
      <c r="N23" s="8"/>
      <c r="O23" s="7"/>
      <c r="P23" s="7"/>
    </row>
    <row r="24">
      <c r="A24" s="2" t="s">
        <v>871</v>
      </c>
      <c r="B24" s="2" t="s">
        <v>853</v>
      </c>
      <c r="C24" s="2" t="s">
        <v>1140</v>
      </c>
      <c r="D24" s="2" t="s">
        <v>1141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871</v>
      </c>
      <c r="B25" s="2" t="s">
        <v>2443</v>
      </c>
      <c r="C25" s="2" t="s">
        <v>906</v>
      </c>
      <c r="D25" s="2" t="s">
        <v>1301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871</v>
      </c>
      <c r="B26" s="2" t="s">
        <v>324</v>
      </c>
      <c r="C26" s="2" t="s">
        <v>361</v>
      </c>
      <c r="D26" s="2" t="s">
        <v>872</v>
      </c>
      <c r="E26" s="4" t="s">
        <v>235</v>
      </c>
      <c r="F26" s="8" t="s">
        <v>235</v>
      </c>
      <c r="G26" s="4" t="s">
        <v>235</v>
      </c>
      <c r="H26" s="8" t="s">
        <v>235</v>
      </c>
      <c r="I26" s="7" t="s">
        <v>235</v>
      </c>
      <c r="J26" s="7" t="s">
        <v>235</v>
      </c>
      <c r="K26" s="4"/>
      <c r="L26" s="8"/>
      <c r="M26" s="4"/>
      <c r="N26" s="8"/>
      <c r="O26" s="7"/>
      <c r="P26" s="7"/>
    </row>
    <row r="27">
      <c r="A27" s="2" t="s">
        <v>871</v>
      </c>
      <c r="B27" s="2" t="s">
        <v>324</v>
      </c>
      <c r="C27" s="2" t="s">
        <v>361</v>
      </c>
      <c r="D27" s="2" t="s">
        <v>924</v>
      </c>
      <c r="E27" s="4" t="s">
        <v>235</v>
      </c>
      <c r="F27" s="8" t="s">
        <v>235</v>
      </c>
      <c r="G27" s="4" t="s">
        <v>235</v>
      </c>
      <c r="H27" s="8" t="s">
        <v>235</v>
      </c>
      <c r="I27" s="7" t="s">
        <v>235</v>
      </c>
      <c r="J27" s="7" t="s">
        <v>235</v>
      </c>
      <c r="K27" s="4"/>
      <c r="L27" s="8"/>
      <c r="M27" s="4"/>
      <c r="N27" s="8"/>
      <c r="O27" s="7"/>
      <c r="P27" s="7"/>
    </row>
    <row r="28">
      <c r="A28" s="2" t="s">
        <v>871</v>
      </c>
      <c r="B28" s="2" t="s">
        <v>324</v>
      </c>
      <c r="C28" s="2" t="s">
        <v>1452</v>
      </c>
      <c r="D28" s="2" t="s">
        <v>1760</v>
      </c>
      <c r="E28" s="4" t="s">
        <v>235</v>
      </c>
      <c r="F28" s="8" t="s">
        <v>235</v>
      </c>
      <c r="G28" s="4" t="s">
        <v>235</v>
      </c>
      <c r="H28" s="8" t="s">
        <v>235</v>
      </c>
      <c r="I28" s="7" t="s">
        <v>235</v>
      </c>
      <c r="J28" s="7" t="s">
        <v>235</v>
      </c>
      <c r="K28" s="4"/>
      <c r="L28" s="8"/>
      <c r="M28" s="4"/>
      <c r="N28" s="8"/>
      <c r="O28" s="7"/>
      <c r="P28" s="7"/>
    </row>
    <row r="29">
      <c r="A29" s="2" t="s">
        <v>871</v>
      </c>
      <c r="B29" s="2" t="s">
        <v>324</v>
      </c>
      <c r="C29" s="2" t="s">
        <v>1452</v>
      </c>
      <c r="D29" s="2" t="s">
        <v>2263</v>
      </c>
      <c r="E29" s="4" t="s">
        <v>235</v>
      </c>
      <c r="F29" s="8" t="s">
        <v>235</v>
      </c>
      <c r="G29" s="4" t="s">
        <v>235</v>
      </c>
      <c r="H29" s="8" t="s">
        <v>235</v>
      </c>
      <c r="I29" s="7" t="s">
        <v>235</v>
      </c>
      <c r="J29" s="7" t="s">
        <v>235</v>
      </c>
      <c r="K29" s="4"/>
      <c r="L29" s="8"/>
      <c r="M29" s="4"/>
      <c r="N29" s="8"/>
      <c r="O29" s="7"/>
      <c r="P29" s="7"/>
    </row>
    <row r="30">
      <c r="A30" s="2" t="s">
        <v>871</v>
      </c>
      <c r="B30" s="2" t="s">
        <v>324</v>
      </c>
      <c r="C30" s="2" t="s">
        <v>1452</v>
      </c>
      <c r="D30" s="2" t="s">
        <v>1453</v>
      </c>
      <c r="E30" s="4" t="s">
        <v>235</v>
      </c>
      <c r="F30" s="8" t="s">
        <v>235</v>
      </c>
      <c r="G30" s="4" t="s">
        <v>235</v>
      </c>
      <c r="H30" s="8" t="s">
        <v>235</v>
      </c>
      <c r="I30" s="7" t="s">
        <v>235</v>
      </c>
      <c r="J30" s="7" t="s">
        <v>235</v>
      </c>
      <c r="K30" s="4"/>
      <c r="L30" s="8"/>
      <c r="M30" s="4"/>
      <c r="N30" s="8"/>
      <c r="O30" s="7"/>
      <c r="P30" s="7"/>
    </row>
    <row r="31">
      <c r="A31" s="2" t="s">
        <v>871</v>
      </c>
      <c r="B31" s="2" t="s">
        <v>324</v>
      </c>
      <c r="C31" s="2" t="s">
        <v>1452</v>
      </c>
      <c r="D31" s="2" t="s">
        <v>1895</v>
      </c>
      <c r="E31" s="4" t="s">
        <v>235</v>
      </c>
      <c r="F31" s="8" t="s">
        <v>235</v>
      </c>
      <c r="G31" s="4" t="s">
        <v>235</v>
      </c>
      <c r="H31" s="8" t="s">
        <v>235</v>
      </c>
      <c r="I31" s="7" t="s">
        <v>235</v>
      </c>
      <c r="J31" s="7" t="s">
        <v>235</v>
      </c>
      <c r="K31" s="4"/>
      <c r="L31" s="8"/>
      <c r="M31" s="4"/>
      <c r="N31" s="8"/>
      <c r="O31" s="7"/>
      <c r="P31" s="7"/>
    </row>
    <row r="32">
      <c r="A32" s="2" t="s">
        <v>871</v>
      </c>
      <c r="B32" s="2" t="s">
        <v>324</v>
      </c>
      <c r="C32" s="2" t="s">
        <v>906</v>
      </c>
      <c r="D32" s="2" t="s">
        <v>907</v>
      </c>
      <c r="E32" s="4" t="s">
        <v>235</v>
      </c>
      <c r="F32" s="8" t="s">
        <v>235</v>
      </c>
      <c r="G32" s="4" t="s">
        <v>235</v>
      </c>
      <c r="H32" s="8" t="s">
        <v>235</v>
      </c>
      <c r="I32" s="7" t="s">
        <v>235</v>
      </c>
      <c r="J32" s="7" t="s">
        <v>235</v>
      </c>
      <c r="K32" s="4"/>
      <c r="L32" s="8"/>
      <c r="M32" s="4"/>
      <c r="N32" s="8"/>
      <c r="O32" s="7"/>
      <c r="P32" s="7"/>
    </row>
    <row r="33">
      <c r="A33" s="2" t="s">
        <v>871</v>
      </c>
      <c r="B33" s="2" t="s">
        <v>324</v>
      </c>
      <c r="C33" s="2" t="s">
        <v>906</v>
      </c>
      <c r="D33" s="2" t="s">
        <v>1301</v>
      </c>
      <c r="E33" s="4" t="s">
        <v>235</v>
      </c>
      <c r="F33" s="8" t="s">
        <v>235</v>
      </c>
      <c r="G33" s="4" t="s">
        <v>235</v>
      </c>
      <c r="H33" s="8" t="s">
        <v>235</v>
      </c>
      <c r="I33" s="7" t="s">
        <v>235</v>
      </c>
      <c r="J33" s="7" t="s">
        <v>235</v>
      </c>
      <c r="K33" s="4"/>
      <c r="L33" s="8"/>
      <c r="M33" s="4"/>
      <c r="N33" s="8"/>
      <c r="O33" s="7"/>
      <c r="P33" s="7"/>
    </row>
    <row r="34">
      <c r="A34" s="2" t="s">
        <v>871</v>
      </c>
      <c r="B34" s="2" t="s">
        <v>324</v>
      </c>
      <c r="C34" s="2" t="s">
        <v>990</v>
      </c>
      <c r="D34" s="2" t="s">
        <v>991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871</v>
      </c>
      <c r="B35" s="2" t="s">
        <v>324</v>
      </c>
      <c r="C35" s="2" t="s">
        <v>3920</v>
      </c>
      <c r="D35" s="2" t="s">
        <v>3921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871</v>
      </c>
      <c r="B36" s="2" t="s">
        <v>324</v>
      </c>
      <c r="C36" s="2" t="s">
        <v>854</v>
      </c>
      <c r="D36" s="2" t="s">
        <v>855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871</v>
      </c>
      <c r="B37" s="2" t="s">
        <v>403</v>
      </c>
      <c r="C37" s="2" t="s">
        <v>361</v>
      </c>
      <c r="D37" s="2" t="s">
        <v>1024</v>
      </c>
      <c r="E37" s="4" t="s">
        <v>235</v>
      </c>
      <c r="F37" s="8" t="s">
        <v>235</v>
      </c>
      <c r="G37" s="4" t="s">
        <v>235</v>
      </c>
      <c r="H37" s="8" t="s">
        <v>235</v>
      </c>
      <c r="I37" s="7" t="s">
        <v>235</v>
      </c>
      <c r="J37" s="7" t="s">
        <v>235</v>
      </c>
      <c r="K37" s="4"/>
      <c r="L37" s="8"/>
      <c r="M37" s="4"/>
      <c r="N37" s="8"/>
      <c r="O37" s="7"/>
      <c r="P37" s="7"/>
    </row>
    <row r="38">
      <c r="A38" s="2" t="s">
        <v>871</v>
      </c>
      <c r="B38" s="2" t="s">
        <v>403</v>
      </c>
      <c r="C38" s="2" t="s">
        <v>361</v>
      </c>
      <c r="D38" s="2" t="s">
        <v>872</v>
      </c>
      <c r="E38" s="4" t="s">
        <v>235</v>
      </c>
      <c r="F38" s="8" t="s">
        <v>235</v>
      </c>
      <c r="G38" s="4" t="s">
        <v>235</v>
      </c>
      <c r="H38" s="8" t="s">
        <v>235</v>
      </c>
      <c r="I38" s="7" t="s">
        <v>235</v>
      </c>
      <c r="J38" s="7" t="s">
        <v>235</v>
      </c>
      <c r="K38" s="4"/>
      <c r="L38" s="8"/>
      <c r="M38" s="4"/>
      <c r="N38" s="8"/>
      <c r="O38" s="7"/>
      <c r="P38" s="7"/>
    </row>
    <row r="39">
      <c r="A39" s="2" t="s">
        <v>871</v>
      </c>
      <c r="B39" s="2" t="s">
        <v>403</v>
      </c>
      <c r="C39" s="2" t="s">
        <v>1452</v>
      </c>
      <c r="D39" s="2" t="s">
        <v>1024</v>
      </c>
      <c r="E39" s="4" t="s">
        <v>235</v>
      </c>
      <c r="F39" s="8" t="s">
        <v>235</v>
      </c>
      <c r="G39" s="4" t="s">
        <v>235</v>
      </c>
      <c r="H39" s="8" t="s">
        <v>235</v>
      </c>
      <c r="I39" s="7" t="s">
        <v>235</v>
      </c>
      <c r="J39" s="7" t="s">
        <v>235</v>
      </c>
      <c r="K39" s="4"/>
      <c r="L39" s="8"/>
      <c r="M39" s="4"/>
      <c r="N39" s="8"/>
      <c r="O39" s="7"/>
      <c r="P39" s="7"/>
    </row>
    <row r="40">
      <c r="A40" s="2" t="s">
        <v>871</v>
      </c>
      <c r="B40" s="2" t="s">
        <v>403</v>
      </c>
      <c r="C40" s="2" t="s">
        <v>1452</v>
      </c>
      <c r="D40" s="2" t="s">
        <v>1453</v>
      </c>
      <c r="E40" s="4" t="s">
        <v>235</v>
      </c>
      <c r="F40" s="8" t="s">
        <v>235</v>
      </c>
      <c r="G40" s="4" t="s">
        <v>235</v>
      </c>
      <c r="H40" s="8" t="s">
        <v>235</v>
      </c>
      <c r="I40" s="7" t="s">
        <v>235</v>
      </c>
      <c r="J40" s="7" t="s">
        <v>235</v>
      </c>
      <c r="K40" s="4"/>
      <c r="L40" s="8"/>
      <c r="M40" s="4"/>
      <c r="N40" s="8"/>
      <c r="O40" s="7"/>
      <c r="P40" s="7"/>
    </row>
    <row r="41">
      <c r="A41" s="2" t="s">
        <v>871</v>
      </c>
      <c r="B41" s="2" t="s">
        <v>403</v>
      </c>
      <c r="C41" s="2" t="s">
        <v>1140</v>
      </c>
      <c r="D41" s="2" t="s">
        <v>1141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871</v>
      </c>
      <c r="B42" s="2" t="s">
        <v>6750</v>
      </c>
      <c r="C42" s="2" t="s">
        <v>361</v>
      </c>
      <c r="D42" s="2" t="s">
        <v>872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871</v>
      </c>
      <c r="B43" s="2" t="s">
        <v>360</v>
      </c>
      <c r="C43" s="2" t="s">
        <v>361</v>
      </c>
      <c r="D43" s="2" t="s">
        <v>872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871</v>
      </c>
      <c r="B44" s="2" t="s">
        <v>2735</v>
      </c>
      <c r="C44" s="2" t="s">
        <v>361</v>
      </c>
      <c r="D44" s="2" t="s">
        <v>924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871</v>
      </c>
      <c r="B45" s="2" t="s">
        <v>2384</v>
      </c>
      <c r="C45" s="2" t="s">
        <v>2033</v>
      </c>
      <c r="D45" s="2" t="s">
        <v>2434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871</v>
      </c>
      <c r="B46" s="2" t="s">
        <v>2384</v>
      </c>
      <c r="C46" s="2" t="s">
        <v>361</v>
      </c>
      <c r="D46" s="2" t="s">
        <v>872</v>
      </c>
      <c r="E46" s="4" t="s">
        <v>235</v>
      </c>
      <c r="F46" s="8" t="s">
        <v>235</v>
      </c>
      <c r="G46" s="4" t="s">
        <v>235</v>
      </c>
      <c r="H46" s="8" t="s">
        <v>235</v>
      </c>
      <c r="I46" s="7" t="s">
        <v>235</v>
      </c>
      <c r="J46" s="7" t="s">
        <v>235</v>
      </c>
      <c r="K46" s="4"/>
      <c r="L46" s="8"/>
      <c r="M46" s="4"/>
      <c r="N46" s="8"/>
      <c r="O46" s="7"/>
      <c r="P46" s="7"/>
    </row>
    <row r="47">
      <c r="A47" s="2" t="s">
        <v>871</v>
      </c>
      <c r="B47" s="2" t="s">
        <v>2384</v>
      </c>
      <c r="C47" s="2" t="s">
        <v>361</v>
      </c>
      <c r="D47" s="2" t="s">
        <v>924</v>
      </c>
      <c r="E47" s="4" t="s">
        <v>235</v>
      </c>
      <c r="F47" s="8" t="s">
        <v>235</v>
      </c>
      <c r="G47" s="4" t="s">
        <v>235</v>
      </c>
      <c r="H47" s="8" t="s">
        <v>235</v>
      </c>
      <c r="I47" s="7" t="s">
        <v>235</v>
      </c>
      <c r="J47" s="7" t="s">
        <v>235</v>
      </c>
      <c r="K47" s="4"/>
      <c r="L47" s="8"/>
      <c r="M47" s="4"/>
      <c r="N47" s="8"/>
      <c r="O47" s="7"/>
      <c r="P47" s="7"/>
    </row>
    <row r="48">
      <c r="A48" s="2" t="s">
        <v>871</v>
      </c>
      <c r="B48" s="2" t="s">
        <v>2384</v>
      </c>
      <c r="C48" s="2" t="s">
        <v>906</v>
      </c>
      <c r="D48" s="2" t="s">
        <v>907</v>
      </c>
      <c r="E48" s="4" t="s">
        <v>235</v>
      </c>
      <c r="F48" s="8" t="s">
        <v>235</v>
      </c>
      <c r="G48" s="4" t="s">
        <v>235</v>
      </c>
      <c r="H48" s="8" t="s">
        <v>235</v>
      </c>
      <c r="I48" s="7" t="s">
        <v>235</v>
      </c>
      <c r="J48" s="7" t="s">
        <v>235</v>
      </c>
      <c r="K48" s="4"/>
      <c r="L48" s="8"/>
      <c r="M48" s="4"/>
      <c r="N48" s="8"/>
      <c r="O48" s="7"/>
      <c r="P48" s="7"/>
    </row>
    <row r="49">
      <c r="A49" s="2" t="s">
        <v>871</v>
      </c>
      <c r="B49" s="2" t="s">
        <v>2384</v>
      </c>
      <c r="C49" s="2" t="s">
        <v>906</v>
      </c>
      <c r="D49" s="2" t="s">
        <v>1301</v>
      </c>
      <c r="E49" s="4" t="s">
        <v>235</v>
      </c>
      <c r="F49" s="8" t="s">
        <v>235</v>
      </c>
      <c r="G49" s="4" t="s">
        <v>235</v>
      </c>
      <c r="H49" s="8" t="s">
        <v>235</v>
      </c>
      <c r="I49" s="7" t="s">
        <v>235</v>
      </c>
      <c r="J49" s="7" t="s">
        <v>235</v>
      </c>
      <c r="K49" s="4"/>
      <c r="L49" s="8"/>
      <c r="M49" s="4"/>
      <c r="N49" s="8"/>
      <c r="O49" s="7"/>
      <c r="P49" s="7"/>
    </row>
    <row r="50">
      <c r="A50" s="2" t="s">
        <v>871</v>
      </c>
      <c r="B50" s="2" t="s">
        <v>2384</v>
      </c>
      <c r="C50" s="2" t="s">
        <v>1539</v>
      </c>
      <c r="D50" s="2" t="s">
        <v>1540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871</v>
      </c>
      <c r="B51" s="2" t="s">
        <v>606</v>
      </c>
      <c r="C51" s="2" t="s">
        <v>361</v>
      </c>
      <c r="D51" s="2" t="s">
        <v>872</v>
      </c>
      <c r="E51" s="4" t="s">
        <v>235</v>
      </c>
      <c r="F51" s="8" t="s">
        <v>235</v>
      </c>
      <c r="G51" s="4" t="s">
        <v>235</v>
      </c>
      <c r="H51" s="8" t="s">
        <v>235</v>
      </c>
      <c r="I51" s="7" t="s">
        <v>235</v>
      </c>
      <c r="J51" s="7" t="s">
        <v>235</v>
      </c>
      <c r="K51" s="4"/>
      <c r="L51" s="8"/>
      <c r="M51" s="4"/>
      <c r="N51" s="8"/>
      <c r="O51" s="7"/>
      <c r="P51" s="7"/>
    </row>
    <row r="52">
      <c r="A52" s="2" t="s">
        <v>871</v>
      </c>
      <c r="B52" s="2" t="s">
        <v>606</v>
      </c>
      <c r="C52" s="2" t="s">
        <v>361</v>
      </c>
      <c r="D52" s="2" t="s">
        <v>924</v>
      </c>
      <c r="E52" s="4" t="s">
        <v>235</v>
      </c>
      <c r="F52" s="8" t="s">
        <v>235</v>
      </c>
      <c r="G52" s="4" t="s">
        <v>235</v>
      </c>
      <c r="H52" s="8" t="s">
        <v>235</v>
      </c>
      <c r="I52" s="7" t="s">
        <v>235</v>
      </c>
      <c r="J52" s="7" t="s">
        <v>235</v>
      </c>
      <c r="K52" s="4"/>
      <c r="L52" s="8"/>
      <c r="M52" s="4"/>
      <c r="N52" s="8"/>
      <c r="O52" s="7"/>
      <c r="P52" s="7"/>
    </row>
    <row r="53">
      <c r="A53" s="2" t="s">
        <v>871</v>
      </c>
      <c r="B53" s="2" t="s">
        <v>606</v>
      </c>
      <c r="C53" s="2" t="s">
        <v>906</v>
      </c>
      <c r="D53" s="2" t="s">
        <v>907</v>
      </c>
      <c r="E53" s="4" t="s">
        <v>235</v>
      </c>
      <c r="F53" s="8" t="s">
        <v>235</v>
      </c>
      <c r="G53" s="4" t="s">
        <v>235</v>
      </c>
      <c r="H53" s="8" t="s">
        <v>235</v>
      </c>
      <c r="I53" s="7" t="s">
        <v>235</v>
      </c>
      <c r="J53" s="7" t="s">
        <v>235</v>
      </c>
      <c r="K53" s="4"/>
      <c r="L53" s="8"/>
      <c r="M53" s="4"/>
      <c r="N53" s="8"/>
      <c r="O53" s="7"/>
      <c r="P53" s="7"/>
    </row>
    <row r="54">
      <c r="A54" s="2" t="s">
        <v>871</v>
      </c>
      <c r="B54" s="2" t="s">
        <v>606</v>
      </c>
      <c r="C54" s="2" t="s">
        <v>906</v>
      </c>
      <c r="D54" s="2" t="s">
        <v>1301</v>
      </c>
      <c r="E54" s="4" t="s">
        <v>235</v>
      </c>
      <c r="F54" s="8" t="s">
        <v>235</v>
      </c>
      <c r="G54" s="4" t="s">
        <v>235</v>
      </c>
      <c r="H54" s="8" t="s">
        <v>235</v>
      </c>
      <c r="I54" s="7" t="s">
        <v>235</v>
      </c>
      <c r="J54" s="7" t="s">
        <v>235</v>
      </c>
      <c r="K54" s="4"/>
      <c r="L54" s="8"/>
      <c r="M54" s="4"/>
      <c r="N54" s="8"/>
      <c r="O54" s="7"/>
      <c r="P54" s="7"/>
    </row>
    <row r="55">
      <c r="A55" s="2" t="s">
        <v>871</v>
      </c>
      <c r="B55" s="2" t="s">
        <v>606</v>
      </c>
      <c r="C55" s="2" t="s">
        <v>4227</v>
      </c>
      <c r="D55" s="2" t="s">
        <v>1895</v>
      </c>
      <c r="E55" s="4" t="s">
        <v>235</v>
      </c>
      <c r="F55" s="8" t="s">
        <v>235</v>
      </c>
      <c r="G55" s="4" t="s">
        <v>235</v>
      </c>
      <c r="H55" s="8" t="s">
        <v>235</v>
      </c>
      <c r="I55" s="7" t="s">
        <v>235</v>
      </c>
      <c r="J55" s="7" t="s">
        <v>235</v>
      </c>
      <c r="K55" s="4"/>
      <c r="L55" s="8"/>
      <c r="M55" s="4"/>
      <c r="N55" s="8"/>
      <c r="O55" s="7"/>
      <c r="P55" s="7"/>
    </row>
    <row r="56">
      <c r="A56" s="2" t="s">
        <v>871</v>
      </c>
      <c r="B56" s="2" t="s">
        <v>606</v>
      </c>
      <c r="C56" s="2" t="s">
        <v>4227</v>
      </c>
      <c r="D56" s="2" t="s">
        <v>4228</v>
      </c>
      <c r="E56" s="4" t="s">
        <v>235</v>
      </c>
      <c r="F56" s="8" t="s">
        <v>235</v>
      </c>
      <c r="G56" s="4" t="s">
        <v>235</v>
      </c>
      <c r="H56" s="8" t="s">
        <v>235</v>
      </c>
      <c r="I56" s="7" t="s">
        <v>235</v>
      </c>
      <c r="J56" s="7" t="s">
        <v>235</v>
      </c>
      <c r="K56" s="4"/>
      <c r="L56" s="8"/>
      <c r="M56" s="4"/>
      <c r="N56" s="8"/>
      <c r="O56" s="7"/>
      <c r="P56" s="7"/>
    </row>
    <row r="57">
      <c r="A57" s="2" t="s">
        <v>871</v>
      </c>
      <c r="B57" s="2" t="s">
        <v>923</v>
      </c>
      <c r="C57" s="2" t="s">
        <v>361</v>
      </c>
      <c r="D57" s="2" t="s">
        <v>924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871</v>
      </c>
      <c r="B58" s="2" t="s">
        <v>923</v>
      </c>
      <c r="C58" s="2" t="s">
        <v>1452</v>
      </c>
      <c r="D58" s="2" t="s">
        <v>1453</v>
      </c>
      <c r="E58" s="4" t="s">
        <v>235</v>
      </c>
      <c r="F58" s="8" t="s">
        <v>235</v>
      </c>
      <c r="G58" s="4" t="s">
        <v>235</v>
      </c>
      <c r="H58" s="8" t="s">
        <v>235</v>
      </c>
      <c r="I58" s="7" t="s">
        <v>235</v>
      </c>
      <c r="J58" s="7" t="s">
        <v>235</v>
      </c>
      <c r="K58" s="4"/>
      <c r="L58" s="8"/>
      <c r="M58" s="4"/>
      <c r="N58" s="8"/>
      <c r="O58" s="7"/>
      <c r="P58" s="7"/>
    </row>
    <row r="59">
      <c r="A59" s="2" t="s">
        <v>871</v>
      </c>
      <c r="B59" s="2" t="s">
        <v>923</v>
      </c>
      <c r="C59" s="2" t="s">
        <v>1452</v>
      </c>
      <c r="D59" s="2" t="s">
        <v>1895</v>
      </c>
      <c r="E59" s="4" t="s">
        <v>235</v>
      </c>
      <c r="F59" s="8" t="s">
        <v>235</v>
      </c>
      <c r="G59" s="4" t="s">
        <v>235</v>
      </c>
      <c r="H59" s="8" t="s">
        <v>235</v>
      </c>
      <c r="I59" s="7" t="s">
        <v>235</v>
      </c>
      <c r="J59" s="7" t="s">
        <v>235</v>
      </c>
      <c r="K59" s="4"/>
      <c r="L59" s="8"/>
      <c r="M59" s="4"/>
      <c r="N59" s="8"/>
      <c r="O59" s="7"/>
      <c r="P59" s="7"/>
    </row>
    <row r="60">
      <c r="A60" s="2" t="s">
        <v>871</v>
      </c>
      <c r="B60" s="2" t="s">
        <v>923</v>
      </c>
      <c r="C60" s="2" t="s">
        <v>906</v>
      </c>
      <c r="D60" s="2" t="s">
        <v>907</v>
      </c>
      <c r="E60" s="4" t="s">
        <v>235</v>
      </c>
      <c r="F60" s="8" t="s">
        <v>235</v>
      </c>
      <c r="G60" s="4" t="s">
        <v>235</v>
      </c>
      <c r="H60" s="8" t="s">
        <v>235</v>
      </c>
      <c r="I60" s="7" t="s">
        <v>235</v>
      </c>
      <c r="J60" s="7" t="s">
        <v>235</v>
      </c>
      <c r="K60" s="4"/>
      <c r="L60" s="8"/>
      <c r="M60" s="4"/>
      <c r="N60" s="8"/>
      <c r="O60" s="7"/>
      <c r="P60" s="7"/>
    </row>
    <row r="61">
      <c r="A61" s="2" t="s">
        <v>871</v>
      </c>
      <c r="B61" s="2" t="s">
        <v>923</v>
      </c>
      <c r="C61" s="2" t="s">
        <v>906</v>
      </c>
      <c r="D61" s="2" t="s">
        <v>1301</v>
      </c>
      <c r="E61" s="4" t="s">
        <v>235</v>
      </c>
      <c r="F61" s="8" t="s">
        <v>235</v>
      </c>
      <c r="G61" s="4" t="s">
        <v>235</v>
      </c>
      <c r="H61" s="8" t="s">
        <v>235</v>
      </c>
      <c r="I61" s="7" t="s">
        <v>235</v>
      </c>
      <c r="J61" s="7" t="s">
        <v>235</v>
      </c>
      <c r="K61" s="4"/>
      <c r="L61" s="8"/>
      <c r="M61" s="4"/>
      <c r="N61" s="8"/>
      <c r="O61" s="7"/>
      <c r="P61" s="7"/>
    </row>
    <row r="62">
      <c r="A62" s="2" t="s">
        <v>871</v>
      </c>
      <c r="B62" s="2" t="s">
        <v>2152</v>
      </c>
      <c r="C62" s="2" t="s">
        <v>361</v>
      </c>
      <c r="D62" s="2" t="s">
        <v>872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871</v>
      </c>
      <c r="B63" s="2" t="s">
        <v>980</v>
      </c>
      <c r="C63" s="2" t="s">
        <v>361</v>
      </c>
      <c r="D63" s="2" t="s">
        <v>872</v>
      </c>
      <c r="E63" s="4" t="s">
        <v>235</v>
      </c>
      <c r="F63" s="8" t="s">
        <v>235</v>
      </c>
      <c r="G63" s="4" t="s">
        <v>235</v>
      </c>
      <c r="H63" s="8" t="s">
        <v>235</v>
      </c>
      <c r="I63" s="7" t="s">
        <v>235</v>
      </c>
      <c r="J63" s="7" t="s">
        <v>235</v>
      </c>
      <c r="K63" s="4"/>
      <c r="L63" s="8"/>
      <c r="M63" s="4"/>
      <c r="N63" s="8"/>
      <c r="O63" s="7"/>
      <c r="P63" s="7"/>
    </row>
    <row r="64">
      <c r="A64" s="2" t="s">
        <v>871</v>
      </c>
      <c r="B64" s="2" t="s">
        <v>980</v>
      </c>
      <c r="C64" s="2" t="s">
        <v>361</v>
      </c>
      <c r="D64" s="2" t="s">
        <v>924</v>
      </c>
      <c r="E64" s="4" t="s">
        <v>235</v>
      </c>
      <c r="F64" s="8" t="s">
        <v>235</v>
      </c>
      <c r="G64" s="4" t="s">
        <v>235</v>
      </c>
      <c r="H64" s="8" t="s">
        <v>235</v>
      </c>
      <c r="I64" s="7" t="s">
        <v>235</v>
      </c>
      <c r="J64" s="7" t="s">
        <v>235</v>
      </c>
      <c r="K64" s="4"/>
      <c r="L64" s="8"/>
      <c r="M64" s="4"/>
      <c r="N64" s="8"/>
      <c r="O64" s="7"/>
      <c r="P64" s="7"/>
    </row>
    <row r="65">
      <c r="A65" s="2" t="s">
        <v>871</v>
      </c>
      <c r="B65" s="2" t="s">
        <v>980</v>
      </c>
      <c r="C65" s="2" t="s">
        <v>1452</v>
      </c>
      <c r="D65" s="2" t="s">
        <v>1453</v>
      </c>
      <c r="E65" s="4" t="s">
        <v>235</v>
      </c>
      <c r="F65" s="8" t="s">
        <v>235</v>
      </c>
      <c r="G65" s="4" t="s">
        <v>235</v>
      </c>
      <c r="H65" s="8" t="s">
        <v>235</v>
      </c>
      <c r="I65" s="7" t="s">
        <v>235</v>
      </c>
      <c r="J65" s="7" t="s">
        <v>235</v>
      </c>
      <c r="K65" s="4"/>
      <c r="L65" s="8"/>
      <c r="M65" s="4"/>
      <c r="N65" s="8"/>
      <c r="O65" s="7"/>
      <c r="P65" s="7"/>
    </row>
    <row r="66">
      <c r="A66" s="2" t="s">
        <v>871</v>
      </c>
      <c r="B66" s="2" t="s">
        <v>980</v>
      </c>
      <c r="C66" s="2" t="s">
        <v>1452</v>
      </c>
      <c r="D66" s="2" t="s">
        <v>4228</v>
      </c>
      <c r="E66" s="4" t="s">
        <v>235</v>
      </c>
      <c r="F66" s="8" t="s">
        <v>235</v>
      </c>
      <c r="G66" s="4" t="s">
        <v>235</v>
      </c>
      <c r="H66" s="8" t="s">
        <v>235</v>
      </c>
      <c r="I66" s="7" t="s">
        <v>235</v>
      </c>
      <c r="J66" s="7" t="s">
        <v>235</v>
      </c>
      <c r="K66" s="4"/>
      <c r="L66" s="8"/>
      <c r="M66" s="4"/>
      <c r="N66" s="8"/>
      <c r="O66" s="7"/>
      <c r="P66" s="7"/>
    </row>
    <row r="67">
      <c r="A67" s="2" t="s">
        <v>871</v>
      </c>
      <c r="B67" s="2" t="s">
        <v>980</v>
      </c>
      <c r="C67" s="2" t="s">
        <v>906</v>
      </c>
      <c r="D67" s="2" t="s">
        <v>907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871</v>
      </c>
      <c r="B68" s="2" t="s">
        <v>980</v>
      </c>
      <c r="C68" s="2" t="s">
        <v>990</v>
      </c>
      <c r="D68" s="2" t="s">
        <v>1329</v>
      </c>
      <c r="E68" s="4" t="s">
        <v>235</v>
      </c>
      <c r="F68" s="8" t="s">
        <v>235</v>
      </c>
      <c r="G68" s="4" t="s">
        <v>235</v>
      </c>
      <c r="H68" s="8" t="s">
        <v>235</v>
      </c>
      <c r="I68" s="7" t="s">
        <v>235</v>
      </c>
      <c r="J68" s="7" t="s">
        <v>235</v>
      </c>
      <c r="K68" s="4"/>
      <c r="L68" s="8"/>
      <c r="M68" s="4"/>
      <c r="N68" s="8"/>
      <c r="O68" s="7"/>
      <c r="P68" s="7"/>
    </row>
    <row r="69">
      <c r="A69" s="2" t="s">
        <v>871</v>
      </c>
      <c r="B69" s="2" t="s">
        <v>980</v>
      </c>
      <c r="C69" s="2" t="s">
        <v>990</v>
      </c>
      <c r="D69" s="2" t="s">
        <v>991</v>
      </c>
      <c r="E69" s="4" t="s">
        <v>235</v>
      </c>
      <c r="F69" s="8" t="s">
        <v>235</v>
      </c>
      <c r="G69" s="4" t="s">
        <v>235</v>
      </c>
      <c r="H69" s="8" t="s">
        <v>235</v>
      </c>
      <c r="I69" s="7" t="s">
        <v>235</v>
      </c>
      <c r="J69" s="7" t="s">
        <v>235</v>
      </c>
      <c r="K69" s="4"/>
      <c r="L69" s="8"/>
      <c r="M69" s="4"/>
      <c r="N69" s="8"/>
      <c r="O69" s="7"/>
      <c r="P69" s="7"/>
    </row>
    <row r="70">
      <c r="A70" s="2" t="s">
        <v>817</v>
      </c>
      <c r="B70" s="2" t="s">
        <v>893</v>
      </c>
      <c r="C70" s="2" t="s">
        <v>5003</v>
      </c>
      <c r="D70" s="2" t="s">
        <v>5004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817</v>
      </c>
      <c r="B71" s="2" t="s">
        <v>893</v>
      </c>
      <c r="C71" s="2" t="s">
        <v>818</v>
      </c>
      <c r="D71" s="2" t="s">
        <v>1689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817</v>
      </c>
      <c r="B72" s="2" t="s">
        <v>893</v>
      </c>
      <c r="C72" s="2" t="s">
        <v>1519</v>
      </c>
      <c r="D72" s="2" t="s">
        <v>1520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817</v>
      </c>
      <c r="B73" s="2" t="s">
        <v>324</v>
      </c>
      <c r="C73" s="2" t="s">
        <v>5003</v>
      </c>
      <c r="D73" s="2" t="s">
        <v>5004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817</v>
      </c>
      <c r="B74" s="2" t="s">
        <v>324</v>
      </c>
      <c r="C74" s="2" t="s">
        <v>818</v>
      </c>
      <c r="D74" s="2" t="s">
        <v>1689</v>
      </c>
      <c r="E74" s="4" t="s">
        <v>235</v>
      </c>
      <c r="F74" s="8" t="s">
        <v>235</v>
      </c>
      <c r="G74" s="4" t="s">
        <v>235</v>
      </c>
      <c r="H74" s="8" t="s">
        <v>235</v>
      </c>
      <c r="I74" s="7" t="s">
        <v>235</v>
      </c>
      <c r="J74" s="7" t="s">
        <v>235</v>
      </c>
      <c r="K74" s="4"/>
      <c r="L74" s="8"/>
      <c r="M74" s="4"/>
      <c r="N74" s="8"/>
      <c r="O74" s="7"/>
      <c r="P74" s="7"/>
    </row>
    <row r="75">
      <c r="A75" s="2" t="s">
        <v>817</v>
      </c>
      <c r="B75" s="2" t="s">
        <v>324</v>
      </c>
      <c r="C75" s="2" t="s">
        <v>818</v>
      </c>
      <c r="D75" s="2" t="s">
        <v>819</v>
      </c>
      <c r="E75" s="4" t="s">
        <v>235</v>
      </c>
      <c r="F75" s="8" t="s">
        <v>235</v>
      </c>
      <c r="G75" s="4" t="s">
        <v>235</v>
      </c>
      <c r="H75" s="8" t="s">
        <v>235</v>
      </c>
      <c r="I75" s="7" t="s">
        <v>235</v>
      </c>
      <c r="J75" s="7" t="s">
        <v>235</v>
      </c>
      <c r="K75" s="4"/>
      <c r="L75" s="8"/>
      <c r="M75" s="4"/>
      <c r="N75" s="8"/>
      <c r="O75" s="7"/>
      <c r="P75" s="7"/>
    </row>
    <row r="76">
      <c r="A76" s="2" t="s">
        <v>817</v>
      </c>
      <c r="B76" s="2" t="s">
        <v>324</v>
      </c>
      <c r="C76" s="2" t="s">
        <v>1519</v>
      </c>
      <c r="D76" s="2" t="s">
        <v>1520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817</v>
      </c>
      <c r="B77" s="2" t="s">
        <v>1085</v>
      </c>
      <c r="C77" s="2" t="s">
        <v>818</v>
      </c>
      <c r="D77" s="2" t="s">
        <v>4346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817</v>
      </c>
      <c r="B78" s="2" t="s">
        <v>1085</v>
      </c>
      <c r="C78" s="2" t="s">
        <v>1519</v>
      </c>
      <c r="D78" s="2" t="s">
        <v>1520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817</v>
      </c>
      <c r="B79" s="2" t="s">
        <v>923</v>
      </c>
      <c r="C79" s="2" t="s">
        <v>818</v>
      </c>
      <c r="D79" s="2" t="s">
        <v>819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224</v>
      </c>
      <c r="B80" s="2" t="s">
        <v>832</v>
      </c>
      <c r="C80" s="2" t="s">
        <v>361</v>
      </c>
      <c r="D80" s="2" t="s">
        <v>362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224</v>
      </c>
      <c r="B81" s="2" t="s">
        <v>832</v>
      </c>
      <c r="C81" s="2" t="s">
        <v>226</v>
      </c>
      <c r="D81" s="2" t="s">
        <v>3684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224</v>
      </c>
      <c r="B82" s="2" t="s">
        <v>853</v>
      </c>
      <c r="C82" s="2" t="s">
        <v>361</v>
      </c>
      <c r="D82" s="2" t="s">
        <v>924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224</v>
      </c>
      <c r="B83" s="2" t="s">
        <v>853</v>
      </c>
      <c r="C83" s="2" t="s">
        <v>226</v>
      </c>
      <c r="D83" s="2" t="s">
        <v>3684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224</v>
      </c>
      <c r="B84" s="2" t="s">
        <v>324</v>
      </c>
      <c r="C84" s="2" t="s">
        <v>981</v>
      </c>
      <c r="D84" s="2" t="s">
        <v>2509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224</v>
      </c>
      <c r="B85" s="2" t="s">
        <v>324</v>
      </c>
      <c r="C85" s="2" t="s">
        <v>361</v>
      </c>
      <c r="D85" s="2" t="s">
        <v>362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224</v>
      </c>
      <c r="B86" s="2" t="s">
        <v>360</v>
      </c>
      <c r="C86" s="2" t="s">
        <v>361</v>
      </c>
      <c r="D86" s="2" t="s">
        <v>362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224</v>
      </c>
      <c r="B87" s="2" t="s">
        <v>1176</v>
      </c>
      <c r="C87" s="2" t="s">
        <v>981</v>
      </c>
      <c r="D87" s="2" t="s">
        <v>2509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224</v>
      </c>
      <c r="B88" s="2" t="s">
        <v>1176</v>
      </c>
      <c r="C88" s="2" t="s">
        <v>361</v>
      </c>
      <c r="D88" s="2" t="s">
        <v>362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224</v>
      </c>
      <c r="B89" s="2" t="s">
        <v>1176</v>
      </c>
      <c r="C89" s="2" t="s">
        <v>990</v>
      </c>
      <c r="D89" s="2" t="s">
        <v>1329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224</v>
      </c>
      <c r="B90" s="2" t="s">
        <v>225</v>
      </c>
      <c r="C90" s="2" t="s">
        <v>981</v>
      </c>
      <c r="D90" s="2" t="s">
        <v>2509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224</v>
      </c>
      <c r="B91" s="2" t="s">
        <v>225</v>
      </c>
      <c r="C91" s="2" t="s">
        <v>361</v>
      </c>
      <c r="D91" s="2" t="s">
        <v>362</v>
      </c>
      <c r="E91" s="4" t="s">
        <v>235</v>
      </c>
      <c r="F91" s="8" t="s">
        <v>235</v>
      </c>
      <c r="G91" s="4" t="s">
        <v>235</v>
      </c>
      <c r="H91" s="8" t="s">
        <v>235</v>
      </c>
      <c r="I91" s="7" t="s">
        <v>235</v>
      </c>
      <c r="J91" s="7" t="s">
        <v>235</v>
      </c>
      <c r="K91" s="4"/>
      <c r="L91" s="8"/>
      <c r="M91" s="4"/>
      <c r="N91" s="8"/>
      <c r="O91" s="7"/>
      <c r="P91" s="7"/>
    </row>
    <row r="92">
      <c r="A92" s="2" t="s">
        <v>224</v>
      </c>
      <c r="B92" s="2" t="s">
        <v>225</v>
      </c>
      <c r="C92" s="2" t="s">
        <v>361</v>
      </c>
      <c r="D92" s="2" t="s">
        <v>1735</v>
      </c>
      <c r="E92" s="4" t="s">
        <v>235</v>
      </c>
      <c r="F92" s="8" t="s">
        <v>235</v>
      </c>
      <c r="G92" s="4" t="s">
        <v>235</v>
      </c>
      <c r="H92" s="8" t="s">
        <v>235</v>
      </c>
      <c r="I92" s="7" t="s">
        <v>235</v>
      </c>
      <c r="J92" s="7" t="s">
        <v>235</v>
      </c>
      <c r="K92" s="4"/>
      <c r="L92" s="8"/>
      <c r="M92" s="4"/>
      <c r="N92" s="8"/>
      <c r="O92" s="7"/>
      <c r="P92" s="7"/>
    </row>
    <row r="93">
      <c r="A93" s="2" t="s">
        <v>224</v>
      </c>
      <c r="B93" s="2" t="s">
        <v>225</v>
      </c>
      <c r="C93" s="2" t="s">
        <v>226</v>
      </c>
      <c r="D93" s="2" t="s">
        <v>227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224</v>
      </c>
      <c r="B94" s="2" t="s">
        <v>225</v>
      </c>
      <c r="C94" s="2" t="s">
        <v>1539</v>
      </c>
      <c r="D94" s="2" t="s">
        <v>6597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224</v>
      </c>
      <c r="B95" s="2" t="s">
        <v>1036</v>
      </c>
      <c r="C95" s="2" t="s">
        <v>361</v>
      </c>
      <c r="D95" s="2" t="s">
        <v>1037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224</v>
      </c>
      <c r="B96" s="2" t="s">
        <v>1036</v>
      </c>
      <c r="C96" s="2" t="s">
        <v>990</v>
      </c>
      <c r="D96" s="2" t="s">
        <v>2509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224</v>
      </c>
      <c r="B97" s="2" t="s">
        <v>923</v>
      </c>
      <c r="C97" s="2" t="s">
        <v>361</v>
      </c>
      <c r="D97" s="2" t="s">
        <v>362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1139</v>
      </c>
      <c r="B98" s="2" t="s">
        <v>678</v>
      </c>
      <c r="C98" s="2" t="s">
        <v>1152</v>
      </c>
      <c r="D98" s="2" t="s">
        <v>1153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1139</v>
      </c>
      <c r="B99" s="2" t="s">
        <v>832</v>
      </c>
      <c r="C99" s="2" t="s">
        <v>2796</v>
      </c>
      <c r="D99" s="2" t="s">
        <v>2797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1139</v>
      </c>
      <c r="B100" s="2" t="s">
        <v>2142</v>
      </c>
      <c r="C100" s="2" t="s">
        <v>1140</v>
      </c>
      <c r="D100" s="2" t="s">
        <v>1141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1139</v>
      </c>
      <c r="B101" s="2" t="s">
        <v>893</v>
      </c>
      <c r="C101" s="2" t="s">
        <v>1152</v>
      </c>
      <c r="D101" s="2" t="s">
        <v>1153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1139</v>
      </c>
      <c r="B102" s="2" t="s">
        <v>853</v>
      </c>
      <c r="C102" s="2" t="s">
        <v>5956</v>
      </c>
      <c r="D102" s="2" t="s">
        <v>608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1139</v>
      </c>
      <c r="B103" s="2" t="s">
        <v>853</v>
      </c>
      <c r="C103" s="2" t="s">
        <v>1140</v>
      </c>
      <c r="D103" s="2" t="s">
        <v>1141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1139</v>
      </c>
      <c r="B104" s="2" t="s">
        <v>6026</v>
      </c>
      <c r="C104" s="2" t="s">
        <v>1140</v>
      </c>
      <c r="D104" s="2" t="s">
        <v>1141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1139</v>
      </c>
      <c r="B105" s="2" t="s">
        <v>324</v>
      </c>
      <c r="C105" s="2" t="s">
        <v>1152</v>
      </c>
      <c r="D105" s="2" t="s">
        <v>1153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1139</v>
      </c>
      <c r="B106" s="2" t="s">
        <v>324</v>
      </c>
      <c r="C106" s="2" t="s">
        <v>607</v>
      </c>
      <c r="D106" s="2" t="s">
        <v>608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1139</v>
      </c>
      <c r="B107" s="2" t="s">
        <v>324</v>
      </c>
      <c r="C107" s="2" t="s">
        <v>5956</v>
      </c>
      <c r="D107" s="2" t="s">
        <v>6688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1139</v>
      </c>
      <c r="B108" s="2" t="s">
        <v>324</v>
      </c>
      <c r="C108" s="2" t="s">
        <v>1140</v>
      </c>
      <c r="D108" s="2" t="s">
        <v>1141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1139</v>
      </c>
      <c r="B109" s="2" t="s">
        <v>360</v>
      </c>
      <c r="C109" s="2" t="s">
        <v>1152</v>
      </c>
      <c r="D109" s="2" t="s">
        <v>1153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905</v>
      </c>
      <c r="B110" s="2" t="s">
        <v>678</v>
      </c>
      <c r="C110" s="2" t="s">
        <v>2650</v>
      </c>
      <c r="D110" s="2" t="s">
        <v>2651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905</v>
      </c>
      <c r="B111" s="2" t="s">
        <v>678</v>
      </c>
      <c r="C111" s="2" t="s">
        <v>1177</v>
      </c>
      <c r="D111" s="2" t="s">
        <v>2747</v>
      </c>
      <c r="E111" s="4" t="s">
        <v>235</v>
      </c>
      <c r="F111" s="8" t="s">
        <v>235</v>
      </c>
      <c r="G111" s="4" t="s">
        <v>235</v>
      </c>
      <c r="H111" s="8" t="s">
        <v>235</v>
      </c>
      <c r="I111" s="7" t="s">
        <v>235</v>
      </c>
      <c r="J111" s="7" t="s">
        <v>235</v>
      </c>
      <c r="K111" s="4"/>
      <c r="L111" s="8"/>
      <c r="M111" s="4"/>
      <c r="N111" s="8"/>
      <c r="O111" s="7"/>
      <c r="P111" s="7"/>
    </row>
    <row r="112">
      <c r="A112" s="2" t="s">
        <v>905</v>
      </c>
      <c r="B112" s="2" t="s">
        <v>678</v>
      </c>
      <c r="C112" s="2" t="s">
        <v>1177</v>
      </c>
      <c r="D112" s="2" t="s">
        <v>1178</v>
      </c>
      <c r="E112" s="4" t="s">
        <v>235</v>
      </c>
      <c r="F112" s="8" t="s">
        <v>235</v>
      </c>
      <c r="G112" s="4" t="s">
        <v>235</v>
      </c>
      <c r="H112" s="8" t="s">
        <v>235</v>
      </c>
      <c r="I112" s="7" t="s">
        <v>235</v>
      </c>
      <c r="J112" s="7" t="s">
        <v>235</v>
      </c>
      <c r="K112" s="4"/>
      <c r="L112" s="8"/>
      <c r="M112" s="4"/>
      <c r="N112" s="8"/>
      <c r="O112" s="7"/>
      <c r="P112" s="7"/>
    </row>
    <row r="113">
      <c r="A113" s="2" t="s">
        <v>905</v>
      </c>
      <c r="B113" s="2" t="s">
        <v>832</v>
      </c>
      <c r="C113" s="2" t="s">
        <v>981</v>
      </c>
      <c r="D113" s="2" t="s">
        <v>982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905</v>
      </c>
      <c r="B114" s="2" t="s">
        <v>832</v>
      </c>
      <c r="C114" s="2" t="s">
        <v>1539</v>
      </c>
      <c r="D114" s="2" t="s">
        <v>1839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905</v>
      </c>
      <c r="B115" s="2" t="s">
        <v>893</v>
      </c>
      <c r="C115" s="2" t="s">
        <v>274</v>
      </c>
      <c r="D115" s="2" t="s">
        <v>275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905</v>
      </c>
      <c r="B116" s="2" t="s">
        <v>853</v>
      </c>
      <c r="C116" s="2" t="s">
        <v>981</v>
      </c>
      <c r="D116" s="2" t="s">
        <v>982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905</v>
      </c>
      <c r="B117" s="2" t="s">
        <v>853</v>
      </c>
      <c r="C117" s="2" t="s">
        <v>361</v>
      </c>
      <c r="D117" s="2" t="s">
        <v>924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905</v>
      </c>
      <c r="B118" s="2" t="s">
        <v>853</v>
      </c>
      <c r="C118" s="2" t="s">
        <v>906</v>
      </c>
      <c r="D118" s="2" t="s">
        <v>907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905</v>
      </c>
      <c r="B119" s="2" t="s">
        <v>324</v>
      </c>
      <c r="C119" s="2" t="s">
        <v>981</v>
      </c>
      <c r="D119" s="2" t="s">
        <v>982</v>
      </c>
      <c r="E119" s="4" t="s">
        <v>235</v>
      </c>
      <c r="F119" s="8" t="s">
        <v>235</v>
      </c>
      <c r="G119" s="4" t="s">
        <v>235</v>
      </c>
      <c r="H119" s="8" t="s">
        <v>235</v>
      </c>
      <c r="I119" s="7" t="s">
        <v>235</v>
      </c>
      <c r="J119" s="7" t="s">
        <v>235</v>
      </c>
      <c r="K119" s="4"/>
      <c r="L119" s="8"/>
      <c r="M119" s="4"/>
      <c r="N119" s="8"/>
      <c r="O119" s="7"/>
      <c r="P119" s="7"/>
    </row>
    <row r="120">
      <c r="A120" s="2" t="s">
        <v>905</v>
      </c>
      <c r="B120" s="2" t="s">
        <v>324</v>
      </c>
      <c r="C120" s="2" t="s">
        <v>981</v>
      </c>
      <c r="D120" s="2" t="s">
        <v>330</v>
      </c>
      <c r="E120" s="4" t="s">
        <v>235</v>
      </c>
      <c r="F120" s="8" t="s">
        <v>235</v>
      </c>
      <c r="G120" s="4" t="s">
        <v>235</v>
      </c>
      <c r="H120" s="8" t="s">
        <v>235</v>
      </c>
      <c r="I120" s="7" t="s">
        <v>235</v>
      </c>
      <c r="J120" s="7" t="s">
        <v>235</v>
      </c>
      <c r="K120" s="4"/>
      <c r="L120" s="8"/>
      <c r="M120" s="4"/>
      <c r="N120" s="8"/>
      <c r="O120" s="7"/>
      <c r="P120" s="7"/>
    </row>
    <row r="121">
      <c r="A121" s="2" t="s">
        <v>905</v>
      </c>
      <c r="B121" s="2" t="s">
        <v>324</v>
      </c>
      <c r="C121" s="2" t="s">
        <v>361</v>
      </c>
      <c r="D121" s="2" t="s">
        <v>872</v>
      </c>
      <c r="E121" s="4" t="s">
        <v>235</v>
      </c>
      <c r="F121" s="8" t="s">
        <v>235</v>
      </c>
      <c r="G121" s="4" t="s">
        <v>235</v>
      </c>
      <c r="H121" s="8" t="s">
        <v>235</v>
      </c>
      <c r="I121" s="7" t="s">
        <v>235</v>
      </c>
      <c r="J121" s="7" t="s">
        <v>235</v>
      </c>
      <c r="K121" s="4"/>
      <c r="L121" s="8"/>
      <c r="M121" s="4"/>
      <c r="N121" s="8"/>
      <c r="O121" s="7"/>
      <c r="P121" s="7"/>
    </row>
    <row r="122">
      <c r="A122" s="2" t="s">
        <v>905</v>
      </c>
      <c r="B122" s="2" t="s">
        <v>324</v>
      </c>
      <c r="C122" s="2" t="s">
        <v>361</v>
      </c>
      <c r="D122" s="2" t="s">
        <v>924</v>
      </c>
      <c r="E122" s="4" t="s">
        <v>235</v>
      </c>
      <c r="F122" s="8" t="s">
        <v>235</v>
      </c>
      <c r="G122" s="4" t="s">
        <v>235</v>
      </c>
      <c r="H122" s="8" t="s">
        <v>235</v>
      </c>
      <c r="I122" s="7" t="s">
        <v>235</v>
      </c>
      <c r="J122" s="7" t="s">
        <v>235</v>
      </c>
      <c r="K122" s="4"/>
      <c r="L122" s="8"/>
      <c r="M122" s="4"/>
      <c r="N122" s="8"/>
      <c r="O122" s="7"/>
      <c r="P122" s="7"/>
    </row>
    <row r="123">
      <c r="A123" s="2" t="s">
        <v>905</v>
      </c>
      <c r="B123" s="2" t="s">
        <v>324</v>
      </c>
      <c r="C123" s="2" t="s">
        <v>906</v>
      </c>
      <c r="D123" s="2" t="s">
        <v>907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905</v>
      </c>
      <c r="B124" s="2" t="s">
        <v>324</v>
      </c>
      <c r="C124" s="2" t="s">
        <v>1539</v>
      </c>
      <c r="D124" s="2" t="s">
        <v>1540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905</v>
      </c>
      <c r="B125" s="2" t="s">
        <v>324</v>
      </c>
      <c r="C125" s="2" t="s">
        <v>990</v>
      </c>
      <c r="D125" s="2" t="s">
        <v>1329</v>
      </c>
      <c r="E125" s="4" t="s">
        <v>235</v>
      </c>
      <c r="F125" s="8" t="s">
        <v>235</v>
      </c>
      <c r="G125" s="4" t="s">
        <v>235</v>
      </c>
      <c r="H125" s="8" t="s">
        <v>235</v>
      </c>
      <c r="I125" s="7" t="s">
        <v>235</v>
      </c>
      <c r="J125" s="7" t="s">
        <v>235</v>
      </c>
      <c r="K125" s="4"/>
      <c r="L125" s="8"/>
      <c r="M125" s="4"/>
      <c r="N125" s="8"/>
      <c r="O125" s="7"/>
      <c r="P125" s="7"/>
    </row>
    <row r="126">
      <c r="A126" s="2" t="s">
        <v>905</v>
      </c>
      <c r="B126" s="2" t="s">
        <v>324</v>
      </c>
      <c r="C126" s="2" t="s">
        <v>990</v>
      </c>
      <c r="D126" s="2" t="s">
        <v>991</v>
      </c>
      <c r="E126" s="4" t="s">
        <v>235</v>
      </c>
      <c r="F126" s="8" t="s">
        <v>235</v>
      </c>
      <c r="G126" s="4" t="s">
        <v>235</v>
      </c>
      <c r="H126" s="8" t="s">
        <v>235</v>
      </c>
      <c r="I126" s="7" t="s">
        <v>235</v>
      </c>
      <c r="J126" s="7" t="s">
        <v>235</v>
      </c>
      <c r="K126" s="4"/>
      <c r="L126" s="8"/>
      <c r="M126" s="4"/>
      <c r="N126" s="8"/>
      <c r="O126" s="7"/>
      <c r="P126" s="7"/>
    </row>
    <row r="127">
      <c r="A127" s="2" t="s">
        <v>905</v>
      </c>
      <c r="B127" s="2" t="s">
        <v>403</v>
      </c>
      <c r="C127" s="2" t="s">
        <v>361</v>
      </c>
      <c r="D127" s="2" t="s">
        <v>872</v>
      </c>
      <c r="E127" s="4" t="s">
        <v>235</v>
      </c>
      <c r="F127" s="8" t="s">
        <v>235</v>
      </c>
      <c r="G127" s="4" t="s">
        <v>235</v>
      </c>
      <c r="H127" s="8" t="s">
        <v>235</v>
      </c>
      <c r="I127" s="7" t="s">
        <v>235</v>
      </c>
      <c r="J127" s="7" t="s">
        <v>235</v>
      </c>
      <c r="K127" s="4"/>
      <c r="L127" s="8"/>
      <c r="M127" s="4"/>
      <c r="N127" s="8"/>
      <c r="O127" s="7"/>
      <c r="P127" s="7"/>
    </row>
    <row r="128">
      <c r="A128" s="2" t="s">
        <v>905</v>
      </c>
      <c r="B128" s="2" t="s">
        <v>403</v>
      </c>
      <c r="C128" s="2" t="s">
        <v>361</v>
      </c>
      <c r="D128" s="2" t="s">
        <v>924</v>
      </c>
      <c r="E128" s="4" t="s">
        <v>235</v>
      </c>
      <c r="F128" s="8" t="s">
        <v>235</v>
      </c>
      <c r="G128" s="4" t="s">
        <v>235</v>
      </c>
      <c r="H128" s="8" t="s">
        <v>235</v>
      </c>
      <c r="I128" s="7" t="s">
        <v>235</v>
      </c>
      <c r="J128" s="7" t="s">
        <v>235</v>
      </c>
      <c r="K128" s="4"/>
      <c r="L128" s="8"/>
      <c r="M128" s="4"/>
      <c r="N128" s="8"/>
      <c r="O128" s="7"/>
      <c r="P128" s="7"/>
    </row>
    <row r="129">
      <c r="A129" s="2" t="s">
        <v>905</v>
      </c>
      <c r="B129" s="2" t="s">
        <v>2746</v>
      </c>
      <c r="C129" s="2" t="s">
        <v>2650</v>
      </c>
      <c r="D129" s="2" t="s">
        <v>2651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905</v>
      </c>
      <c r="B130" s="2" t="s">
        <v>2746</v>
      </c>
      <c r="C130" s="2" t="s">
        <v>1177</v>
      </c>
      <c r="D130" s="2" t="s">
        <v>2747</v>
      </c>
      <c r="E130" s="4" t="s">
        <v>235</v>
      </c>
      <c r="F130" s="8" t="s">
        <v>235</v>
      </c>
      <c r="G130" s="4" t="s">
        <v>235</v>
      </c>
      <c r="H130" s="8" t="s">
        <v>235</v>
      </c>
      <c r="I130" s="7" t="s">
        <v>235</v>
      </c>
      <c r="J130" s="7" t="s">
        <v>235</v>
      </c>
      <c r="K130" s="4"/>
      <c r="L130" s="8"/>
      <c r="M130" s="4"/>
      <c r="N130" s="8"/>
      <c r="O130" s="7"/>
      <c r="P130" s="7"/>
    </row>
    <row r="131">
      <c r="A131" s="2" t="s">
        <v>905</v>
      </c>
      <c r="B131" s="2" t="s">
        <v>2746</v>
      </c>
      <c r="C131" s="2" t="s">
        <v>1177</v>
      </c>
      <c r="D131" s="2" t="s">
        <v>1178</v>
      </c>
      <c r="E131" s="4" t="s">
        <v>235</v>
      </c>
      <c r="F131" s="8" t="s">
        <v>235</v>
      </c>
      <c r="G131" s="4" t="s">
        <v>235</v>
      </c>
      <c r="H131" s="8" t="s">
        <v>235</v>
      </c>
      <c r="I131" s="7" t="s">
        <v>235</v>
      </c>
      <c r="J131" s="7" t="s">
        <v>235</v>
      </c>
      <c r="K131" s="4"/>
      <c r="L131" s="8"/>
      <c r="M131" s="4"/>
      <c r="N131" s="8"/>
      <c r="O131" s="7"/>
      <c r="P131" s="7"/>
    </row>
    <row r="132">
      <c r="A132" s="2" t="s">
        <v>905</v>
      </c>
      <c r="B132" s="2" t="s">
        <v>1176</v>
      </c>
      <c r="C132" s="2" t="s">
        <v>2650</v>
      </c>
      <c r="D132" s="2" t="s">
        <v>2651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905</v>
      </c>
      <c r="B133" s="2" t="s">
        <v>1176</v>
      </c>
      <c r="C133" s="2" t="s">
        <v>1177</v>
      </c>
      <c r="D133" s="2" t="s">
        <v>1178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905</v>
      </c>
      <c r="B134" s="2" t="s">
        <v>606</v>
      </c>
      <c r="C134" s="2" t="s">
        <v>361</v>
      </c>
      <c r="D134" s="2" t="s">
        <v>924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905</v>
      </c>
      <c r="B135" s="2" t="s">
        <v>1036</v>
      </c>
      <c r="C135" s="2" t="s">
        <v>981</v>
      </c>
      <c r="D135" s="2" t="s">
        <v>982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905</v>
      </c>
      <c r="B136" s="2" t="s">
        <v>1036</v>
      </c>
      <c r="C136" s="2" t="s">
        <v>361</v>
      </c>
      <c r="D136" s="2" t="s">
        <v>924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905</v>
      </c>
      <c r="B137" s="2" t="s">
        <v>1036</v>
      </c>
      <c r="C137" s="2" t="s">
        <v>1177</v>
      </c>
      <c r="D137" s="2" t="s">
        <v>2747</v>
      </c>
      <c r="E137" s="4" t="s">
        <v>235</v>
      </c>
      <c r="F137" s="8" t="s">
        <v>235</v>
      </c>
      <c r="G137" s="4" t="s">
        <v>235</v>
      </c>
      <c r="H137" s="8" t="s">
        <v>235</v>
      </c>
      <c r="I137" s="7" t="s">
        <v>235</v>
      </c>
      <c r="J137" s="7" t="s">
        <v>235</v>
      </c>
      <c r="K137" s="4"/>
      <c r="L137" s="8"/>
      <c r="M137" s="4"/>
      <c r="N137" s="8"/>
      <c r="O137" s="7"/>
      <c r="P137" s="7"/>
    </row>
    <row r="138">
      <c r="A138" s="2" t="s">
        <v>905</v>
      </c>
      <c r="B138" s="2" t="s">
        <v>1036</v>
      </c>
      <c r="C138" s="2" t="s">
        <v>1177</v>
      </c>
      <c r="D138" s="2" t="s">
        <v>1178</v>
      </c>
      <c r="E138" s="4" t="s">
        <v>235</v>
      </c>
      <c r="F138" s="8" t="s">
        <v>235</v>
      </c>
      <c r="G138" s="4" t="s">
        <v>235</v>
      </c>
      <c r="H138" s="8" t="s">
        <v>235</v>
      </c>
      <c r="I138" s="7" t="s">
        <v>235</v>
      </c>
      <c r="J138" s="7" t="s">
        <v>235</v>
      </c>
      <c r="K138" s="4"/>
      <c r="L138" s="8"/>
      <c r="M138" s="4"/>
      <c r="N138" s="8"/>
      <c r="O138" s="7"/>
      <c r="P138" s="7"/>
    </row>
    <row r="139">
      <c r="A139" s="2" t="s">
        <v>905</v>
      </c>
      <c r="B139" s="2" t="s">
        <v>980</v>
      </c>
      <c r="C139" s="2" t="s">
        <v>981</v>
      </c>
      <c r="D139" s="2" t="s">
        <v>982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905</v>
      </c>
      <c r="B140" s="2" t="s">
        <v>980</v>
      </c>
      <c r="C140" s="2" t="s">
        <v>361</v>
      </c>
      <c r="D140" s="2" t="s">
        <v>872</v>
      </c>
      <c r="E140" s="4" t="s">
        <v>235</v>
      </c>
      <c r="F140" s="8" t="s">
        <v>235</v>
      </c>
      <c r="G140" s="4" t="s">
        <v>235</v>
      </c>
      <c r="H140" s="8" t="s">
        <v>235</v>
      </c>
      <c r="I140" s="7" t="s">
        <v>235</v>
      </c>
      <c r="J140" s="7" t="s">
        <v>235</v>
      </c>
      <c r="K140" s="4"/>
      <c r="L140" s="8"/>
      <c r="M140" s="4"/>
      <c r="N140" s="8"/>
      <c r="O140" s="7"/>
      <c r="P140" s="7"/>
    </row>
    <row r="141">
      <c r="A141" s="2" t="s">
        <v>905</v>
      </c>
      <c r="B141" s="2" t="s">
        <v>980</v>
      </c>
      <c r="C141" s="2" t="s">
        <v>361</v>
      </c>
      <c r="D141" s="2" t="s">
        <v>924</v>
      </c>
      <c r="E141" s="4" t="s">
        <v>235</v>
      </c>
      <c r="F141" s="8" t="s">
        <v>235</v>
      </c>
      <c r="G141" s="4" t="s">
        <v>235</v>
      </c>
      <c r="H141" s="8" t="s">
        <v>235</v>
      </c>
      <c r="I141" s="7" t="s">
        <v>235</v>
      </c>
      <c r="J141" s="7" t="s">
        <v>235</v>
      </c>
      <c r="K141" s="4"/>
      <c r="L141" s="8"/>
      <c r="M141" s="4"/>
      <c r="N141" s="8"/>
      <c r="O141" s="7"/>
      <c r="P141" s="7"/>
    </row>
    <row r="142">
      <c r="A142" s="2" t="s">
        <v>905</v>
      </c>
      <c r="B142" s="2" t="s">
        <v>980</v>
      </c>
      <c r="C142" s="2" t="s">
        <v>1177</v>
      </c>
      <c r="D142" s="2" t="s">
        <v>6472</v>
      </c>
      <c r="E142" s="4" t="s">
        <v>235</v>
      </c>
      <c r="F142" s="8" t="s">
        <v>235</v>
      </c>
      <c r="G142" s="4" t="s">
        <v>235</v>
      </c>
      <c r="H142" s="8" t="s">
        <v>235</v>
      </c>
      <c r="I142" s="7" t="s">
        <v>235</v>
      </c>
      <c r="J142" s="7" t="s">
        <v>235</v>
      </c>
      <c r="K142" s="4"/>
      <c r="L142" s="8"/>
      <c r="M142" s="4"/>
      <c r="N142" s="8"/>
      <c r="O142" s="7"/>
      <c r="P142" s="7"/>
    </row>
    <row r="143">
      <c r="A143" s="2" t="s">
        <v>905</v>
      </c>
      <c r="B143" s="2" t="s">
        <v>980</v>
      </c>
      <c r="C143" s="2" t="s">
        <v>1177</v>
      </c>
      <c r="D143" s="2" t="s">
        <v>2747</v>
      </c>
      <c r="E143" s="4" t="s">
        <v>235</v>
      </c>
      <c r="F143" s="8" t="s">
        <v>235</v>
      </c>
      <c r="G143" s="4" t="s">
        <v>235</v>
      </c>
      <c r="H143" s="8" t="s">
        <v>235</v>
      </c>
      <c r="I143" s="7" t="s">
        <v>235</v>
      </c>
      <c r="J143" s="7" t="s">
        <v>235</v>
      </c>
      <c r="K143" s="4"/>
      <c r="L143" s="8"/>
      <c r="M143" s="4"/>
      <c r="N143" s="8"/>
      <c r="O143" s="7"/>
      <c r="P143" s="7"/>
    </row>
    <row r="144">
      <c r="A144" s="2" t="s">
        <v>905</v>
      </c>
      <c r="B144" s="2" t="s">
        <v>980</v>
      </c>
      <c r="C144" s="2" t="s">
        <v>1177</v>
      </c>
      <c r="D144" s="2" t="s">
        <v>1178</v>
      </c>
      <c r="E144" s="4" t="s">
        <v>235</v>
      </c>
      <c r="F144" s="8" t="s">
        <v>235</v>
      </c>
      <c r="G144" s="4" t="s">
        <v>235</v>
      </c>
      <c r="H144" s="8" t="s">
        <v>235</v>
      </c>
      <c r="I144" s="7" t="s">
        <v>235</v>
      </c>
      <c r="J144" s="7" t="s">
        <v>235</v>
      </c>
      <c r="K144" s="4"/>
      <c r="L144" s="8"/>
      <c r="M144" s="4"/>
      <c r="N144" s="8"/>
      <c r="O144" s="7"/>
      <c r="P144" s="7"/>
    </row>
    <row r="145">
      <c r="A145" s="2" t="s">
        <v>905</v>
      </c>
      <c r="B145" s="2" t="s">
        <v>980</v>
      </c>
      <c r="C145" s="2" t="s">
        <v>990</v>
      </c>
      <c r="D145" s="2" t="s">
        <v>1329</v>
      </c>
      <c r="E145" s="4" t="s">
        <v>235</v>
      </c>
      <c r="F145" s="8" t="s">
        <v>235</v>
      </c>
      <c r="G145" s="4" t="s">
        <v>235</v>
      </c>
      <c r="H145" s="8" t="s">
        <v>235</v>
      </c>
      <c r="I145" s="7" t="s">
        <v>235</v>
      </c>
      <c r="J145" s="7" t="s">
        <v>235</v>
      </c>
      <c r="K145" s="4"/>
      <c r="L145" s="8"/>
      <c r="M145" s="4"/>
      <c r="N145" s="8"/>
      <c r="O145" s="7"/>
      <c r="P145" s="7"/>
    </row>
    <row r="146">
      <c r="A146" s="2" t="s">
        <v>905</v>
      </c>
      <c r="B146" s="2" t="s">
        <v>980</v>
      </c>
      <c r="C146" s="2" t="s">
        <v>990</v>
      </c>
      <c r="D146" s="2" t="s">
        <v>991</v>
      </c>
      <c r="E146" s="4" t="s">
        <v>235</v>
      </c>
      <c r="F146" s="8" t="s">
        <v>235</v>
      </c>
      <c r="G146" s="4" t="s">
        <v>235</v>
      </c>
      <c r="H146" s="8" t="s">
        <v>235</v>
      </c>
      <c r="I146" s="7" t="s">
        <v>235</v>
      </c>
      <c r="J146" s="7" t="s">
        <v>235</v>
      </c>
      <c r="K146" s="4"/>
      <c r="L146" s="8"/>
      <c r="M146" s="4"/>
      <c r="N146" s="8"/>
      <c r="O146" s="7"/>
      <c r="P146" s="7"/>
    </row>
    <row r="147">
      <c r="A147" s="2" t="s">
        <v>1529</v>
      </c>
      <c r="B147" s="2" t="s">
        <v>1381</v>
      </c>
      <c r="C147" s="2" t="s">
        <v>1086</v>
      </c>
      <c r="D147" s="2" t="s">
        <v>4253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1529</v>
      </c>
      <c r="B148" s="2" t="s">
        <v>1381</v>
      </c>
      <c r="C148" s="2" t="s">
        <v>4778</v>
      </c>
      <c r="D148" s="2" t="s">
        <v>4779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1529</v>
      </c>
      <c r="B149" s="2" t="s">
        <v>1381</v>
      </c>
      <c r="C149" s="2" t="s">
        <v>4379</v>
      </c>
      <c r="D149" s="2" t="s">
        <v>4380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1529</v>
      </c>
      <c r="B150" s="2" t="s">
        <v>1381</v>
      </c>
      <c r="C150" s="2" t="s">
        <v>4193</v>
      </c>
      <c r="D150" s="2" t="s">
        <v>4198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1529</v>
      </c>
      <c r="B151" s="2" t="s">
        <v>1381</v>
      </c>
      <c r="C151" s="2" t="s">
        <v>4374</v>
      </c>
      <c r="D151" s="2" t="s">
        <v>4375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1529</v>
      </c>
      <c r="B152" s="2" t="s">
        <v>1381</v>
      </c>
      <c r="C152" s="2" t="s">
        <v>4257</v>
      </c>
      <c r="D152" s="2" t="s">
        <v>4258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1529</v>
      </c>
      <c r="B153" s="2" t="s">
        <v>1381</v>
      </c>
      <c r="C153" s="2" t="s">
        <v>1417</v>
      </c>
      <c r="D153" s="2" t="s">
        <v>1530</v>
      </c>
      <c r="E153" s="4" t="s">
        <v>235</v>
      </c>
      <c r="F153" s="8" t="s">
        <v>235</v>
      </c>
      <c r="G153" s="4" t="s">
        <v>235</v>
      </c>
      <c r="H153" s="8" t="s">
        <v>235</v>
      </c>
      <c r="I153" s="7" t="s">
        <v>235</v>
      </c>
      <c r="J153" s="7" t="s">
        <v>235</v>
      </c>
      <c r="K153" s="4"/>
      <c r="L153" s="8"/>
      <c r="M153" s="4"/>
      <c r="N153" s="8"/>
      <c r="O153" s="7"/>
      <c r="P153" s="7"/>
    </row>
    <row r="154">
      <c r="A154" s="2" t="s">
        <v>1529</v>
      </c>
      <c r="B154" s="2" t="s">
        <v>1381</v>
      </c>
      <c r="C154" s="2" t="s">
        <v>1417</v>
      </c>
      <c r="D154" s="2" t="s">
        <v>1418</v>
      </c>
      <c r="E154" s="4" t="s">
        <v>235</v>
      </c>
      <c r="F154" s="8" t="s">
        <v>235</v>
      </c>
      <c r="G154" s="4" t="s">
        <v>235</v>
      </c>
      <c r="H154" s="8" t="s">
        <v>235</v>
      </c>
      <c r="I154" s="7" t="s">
        <v>235</v>
      </c>
      <c r="J154" s="7" t="s">
        <v>235</v>
      </c>
      <c r="K154" s="4"/>
      <c r="L154" s="8"/>
      <c r="M154" s="4"/>
      <c r="N154" s="8"/>
      <c r="O154" s="7"/>
      <c r="P154" s="7"/>
    </row>
    <row r="155">
      <c r="A155" s="2" t="s">
        <v>1529</v>
      </c>
      <c r="B155" s="2" t="s">
        <v>1381</v>
      </c>
      <c r="C155" s="2" t="s">
        <v>1539</v>
      </c>
      <c r="D155" s="2" t="s">
        <v>1540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1529</v>
      </c>
      <c r="B156" s="2" t="s">
        <v>1381</v>
      </c>
      <c r="C156" s="2" t="s">
        <v>4819</v>
      </c>
      <c r="D156" s="2" t="s">
        <v>4380</v>
      </c>
      <c r="E156" s="4" t="s">
        <v>235</v>
      </c>
      <c r="F156" s="8" t="s">
        <v>235</v>
      </c>
      <c r="G156" s="4" t="s">
        <v>235</v>
      </c>
      <c r="H156" s="8" t="s">
        <v>235</v>
      </c>
      <c r="I156" s="7" t="s">
        <v>235</v>
      </c>
      <c r="J156" s="7" t="s">
        <v>235</v>
      </c>
      <c r="K156" s="4"/>
      <c r="L156" s="8"/>
      <c r="M156" s="4"/>
      <c r="N156" s="8"/>
      <c r="O156" s="7"/>
      <c r="P156" s="7"/>
    </row>
    <row r="157">
      <c r="A157" s="2" t="s">
        <v>1529</v>
      </c>
      <c r="B157" s="2" t="s">
        <v>1381</v>
      </c>
      <c r="C157" s="2" t="s">
        <v>4819</v>
      </c>
      <c r="D157" s="2" t="s">
        <v>6148</v>
      </c>
      <c r="E157" s="4" t="s">
        <v>235</v>
      </c>
      <c r="F157" s="8" t="s">
        <v>235</v>
      </c>
      <c r="G157" s="4" t="s">
        <v>235</v>
      </c>
      <c r="H157" s="8" t="s">
        <v>235</v>
      </c>
      <c r="I157" s="7" t="s">
        <v>235</v>
      </c>
      <c r="J157" s="7" t="s">
        <v>235</v>
      </c>
      <c r="K157" s="4"/>
      <c r="L157" s="8"/>
      <c r="M157" s="4"/>
      <c r="N157" s="8"/>
      <c r="O157" s="7"/>
      <c r="P157" s="7"/>
    </row>
    <row r="158">
      <c r="A158" s="2" t="s">
        <v>1529</v>
      </c>
      <c r="B158" s="2" t="s">
        <v>1381</v>
      </c>
      <c r="C158" s="2" t="s">
        <v>6281</v>
      </c>
      <c r="D158" s="2" t="s">
        <v>5885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1071</v>
      </c>
      <c r="B159" s="2" t="s">
        <v>943</v>
      </c>
      <c r="C159" s="2" t="s">
        <v>1086</v>
      </c>
      <c r="D159" s="2" t="s">
        <v>1868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1071</v>
      </c>
      <c r="B160" s="2" t="s">
        <v>943</v>
      </c>
      <c r="C160" s="2" t="s">
        <v>1482</v>
      </c>
      <c r="D160" s="2" t="s">
        <v>1483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1071</v>
      </c>
      <c r="B161" s="2" t="s">
        <v>943</v>
      </c>
      <c r="C161" s="2" t="s">
        <v>4986</v>
      </c>
      <c r="D161" s="2" t="s">
        <v>4987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1071</v>
      </c>
      <c r="B162" s="2" t="s">
        <v>893</v>
      </c>
      <c r="C162" s="2" t="s">
        <v>1086</v>
      </c>
      <c r="D162" s="2" t="s">
        <v>1868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1071</v>
      </c>
      <c r="B163" s="2" t="s">
        <v>893</v>
      </c>
      <c r="C163" s="2" t="s">
        <v>1482</v>
      </c>
      <c r="D163" s="2" t="s">
        <v>1483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1071</v>
      </c>
      <c r="B164" s="2" t="s">
        <v>893</v>
      </c>
      <c r="C164" s="2" t="s">
        <v>1072</v>
      </c>
      <c r="D164" s="2" t="s">
        <v>1727</v>
      </c>
      <c r="E164" s="4" t="s">
        <v>235</v>
      </c>
      <c r="F164" s="8" t="s">
        <v>235</v>
      </c>
      <c r="G164" s="4" t="s">
        <v>235</v>
      </c>
      <c r="H164" s="8" t="s">
        <v>235</v>
      </c>
      <c r="I164" s="7" t="s">
        <v>235</v>
      </c>
      <c r="J164" s="7" t="s">
        <v>235</v>
      </c>
      <c r="K164" s="4"/>
      <c r="L164" s="8"/>
      <c r="M164" s="4"/>
      <c r="N164" s="8"/>
      <c r="O164" s="7"/>
      <c r="P164" s="7"/>
    </row>
    <row r="165">
      <c r="A165" s="2" t="s">
        <v>1071</v>
      </c>
      <c r="B165" s="2" t="s">
        <v>893</v>
      </c>
      <c r="C165" s="2" t="s">
        <v>1072</v>
      </c>
      <c r="D165" s="2" t="s">
        <v>330</v>
      </c>
      <c r="E165" s="4" t="s">
        <v>235</v>
      </c>
      <c r="F165" s="8" t="s">
        <v>235</v>
      </c>
      <c r="G165" s="4" t="s">
        <v>235</v>
      </c>
      <c r="H165" s="8" t="s">
        <v>235</v>
      </c>
      <c r="I165" s="7" t="s">
        <v>235</v>
      </c>
      <c r="J165" s="7" t="s">
        <v>235</v>
      </c>
      <c r="K165" s="4"/>
      <c r="L165" s="8"/>
      <c r="M165" s="4"/>
      <c r="N165" s="8"/>
      <c r="O165" s="7"/>
      <c r="P165" s="7"/>
    </row>
    <row r="166">
      <c r="A166" s="2" t="s">
        <v>1071</v>
      </c>
      <c r="B166" s="2" t="s">
        <v>893</v>
      </c>
      <c r="C166" s="2" t="s">
        <v>4374</v>
      </c>
      <c r="D166" s="2" t="s">
        <v>330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1071</v>
      </c>
      <c r="B167" s="2" t="s">
        <v>893</v>
      </c>
      <c r="C167" s="2" t="s">
        <v>1417</v>
      </c>
      <c r="D167" s="2" t="s">
        <v>1530</v>
      </c>
      <c r="E167" s="4" t="s">
        <v>235</v>
      </c>
      <c r="F167" s="8" t="s">
        <v>235</v>
      </c>
      <c r="G167" s="4" t="s">
        <v>235</v>
      </c>
      <c r="H167" s="8" t="s">
        <v>235</v>
      </c>
      <c r="I167" s="7" t="s">
        <v>235</v>
      </c>
      <c r="J167" s="7" t="s">
        <v>235</v>
      </c>
      <c r="K167" s="4"/>
      <c r="L167" s="8"/>
      <c r="M167" s="4"/>
      <c r="N167" s="8"/>
      <c r="O167" s="7"/>
      <c r="P167" s="7"/>
    </row>
    <row r="168">
      <c r="A168" s="2" t="s">
        <v>1071</v>
      </c>
      <c r="B168" s="2" t="s">
        <v>893</v>
      </c>
      <c r="C168" s="2" t="s">
        <v>1417</v>
      </c>
      <c r="D168" s="2" t="s">
        <v>1418</v>
      </c>
      <c r="E168" s="4" t="s">
        <v>235</v>
      </c>
      <c r="F168" s="8" t="s">
        <v>235</v>
      </c>
      <c r="G168" s="4" t="s">
        <v>235</v>
      </c>
      <c r="H168" s="8" t="s">
        <v>235</v>
      </c>
      <c r="I168" s="7" t="s">
        <v>235</v>
      </c>
      <c r="J168" s="7" t="s">
        <v>235</v>
      </c>
      <c r="K168" s="4"/>
      <c r="L168" s="8"/>
      <c r="M168" s="4"/>
      <c r="N168" s="8"/>
      <c r="O168" s="7"/>
      <c r="P168" s="7"/>
    </row>
    <row r="169">
      <c r="A169" s="2" t="s">
        <v>1071</v>
      </c>
      <c r="B169" s="2" t="s">
        <v>893</v>
      </c>
      <c r="C169" s="2" t="s">
        <v>4819</v>
      </c>
      <c r="D169" s="2" t="s">
        <v>4820</v>
      </c>
      <c r="E169" s="4" t="s">
        <v>235</v>
      </c>
      <c r="F169" s="8" t="s">
        <v>235</v>
      </c>
      <c r="G169" s="4" t="s">
        <v>235</v>
      </c>
      <c r="H169" s="8" t="s">
        <v>235</v>
      </c>
      <c r="I169" s="7" t="s">
        <v>235</v>
      </c>
      <c r="J169" s="7" t="s">
        <v>235</v>
      </c>
      <c r="K169" s="4"/>
      <c r="L169" s="8"/>
      <c r="M169" s="4"/>
      <c r="N169" s="8"/>
      <c r="O169" s="7"/>
      <c r="P169" s="7"/>
    </row>
    <row r="170">
      <c r="A170" s="2" t="s">
        <v>1071</v>
      </c>
      <c r="B170" s="2" t="s">
        <v>893</v>
      </c>
      <c r="C170" s="2" t="s">
        <v>4819</v>
      </c>
      <c r="D170" s="2" t="s">
        <v>5797</v>
      </c>
      <c r="E170" s="4" t="s">
        <v>235</v>
      </c>
      <c r="F170" s="8" t="s">
        <v>235</v>
      </c>
      <c r="G170" s="4" t="s">
        <v>235</v>
      </c>
      <c r="H170" s="8" t="s">
        <v>235</v>
      </c>
      <c r="I170" s="7" t="s">
        <v>235</v>
      </c>
      <c r="J170" s="7" t="s">
        <v>235</v>
      </c>
      <c r="K170" s="4"/>
      <c r="L170" s="8"/>
      <c r="M170" s="4"/>
      <c r="N170" s="8"/>
      <c r="O170" s="7"/>
      <c r="P170" s="7"/>
    </row>
    <row r="171">
      <c r="A171" s="2" t="s">
        <v>1071</v>
      </c>
      <c r="B171" s="2" t="s">
        <v>893</v>
      </c>
      <c r="C171" s="2" t="s">
        <v>5862</v>
      </c>
      <c r="D171" s="2" t="s">
        <v>5863</v>
      </c>
      <c r="E171" s="4" t="s">
        <v>235</v>
      </c>
      <c r="F171" s="8" t="s">
        <v>235</v>
      </c>
      <c r="G171" s="4" t="s">
        <v>235</v>
      </c>
      <c r="H171" s="8" t="s">
        <v>235</v>
      </c>
      <c r="I171" s="7" t="s">
        <v>235</v>
      </c>
      <c r="J171" s="7" t="s">
        <v>235</v>
      </c>
      <c r="K171" s="4"/>
      <c r="L171" s="8"/>
      <c r="M171" s="4"/>
      <c r="N171" s="8"/>
      <c r="O171" s="7"/>
      <c r="P171" s="7"/>
    </row>
    <row r="172">
      <c r="A172" s="2" t="s">
        <v>1071</v>
      </c>
      <c r="B172" s="2" t="s">
        <v>893</v>
      </c>
      <c r="C172" s="2" t="s">
        <v>5862</v>
      </c>
      <c r="D172" s="2" t="s">
        <v>5874</v>
      </c>
      <c r="E172" s="4" t="s">
        <v>235</v>
      </c>
      <c r="F172" s="8" t="s">
        <v>235</v>
      </c>
      <c r="G172" s="4" t="s">
        <v>235</v>
      </c>
      <c r="H172" s="8" t="s">
        <v>235</v>
      </c>
      <c r="I172" s="7" t="s">
        <v>235</v>
      </c>
      <c r="J172" s="7" t="s">
        <v>235</v>
      </c>
      <c r="K172" s="4"/>
      <c r="L172" s="8"/>
      <c r="M172" s="4"/>
      <c r="N172" s="8"/>
      <c r="O172" s="7"/>
      <c r="P172" s="7"/>
    </row>
    <row r="173">
      <c r="A173" s="2" t="s">
        <v>1071</v>
      </c>
      <c r="B173" s="2" t="s">
        <v>324</v>
      </c>
      <c r="C173" s="2" t="s">
        <v>5022</v>
      </c>
      <c r="D173" s="2" t="s">
        <v>5023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1071</v>
      </c>
      <c r="B174" s="2" t="s">
        <v>324</v>
      </c>
      <c r="C174" s="2" t="s">
        <v>1086</v>
      </c>
      <c r="D174" s="2" t="s">
        <v>1868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1071</v>
      </c>
      <c r="B175" s="2" t="s">
        <v>324</v>
      </c>
      <c r="C175" s="2" t="s">
        <v>1482</v>
      </c>
      <c r="D175" s="2" t="s">
        <v>2524</v>
      </c>
      <c r="E175" s="4" t="s">
        <v>235</v>
      </c>
      <c r="F175" s="8" t="s">
        <v>235</v>
      </c>
      <c r="G175" s="4" t="s">
        <v>235</v>
      </c>
      <c r="H175" s="8" t="s">
        <v>235</v>
      </c>
      <c r="I175" s="7" t="s">
        <v>235</v>
      </c>
      <c r="J175" s="7" t="s">
        <v>235</v>
      </c>
      <c r="K175" s="4"/>
      <c r="L175" s="8"/>
      <c r="M175" s="4"/>
      <c r="N175" s="8"/>
      <c r="O175" s="7"/>
      <c r="P175" s="7"/>
    </row>
    <row r="176">
      <c r="A176" s="2" t="s">
        <v>1071</v>
      </c>
      <c r="B176" s="2" t="s">
        <v>324</v>
      </c>
      <c r="C176" s="2" t="s">
        <v>1482</v>
      </c>
      <c r="D176" s="2" t="s">
        <v>1483</v>
      </c>
      <c r="E176" s="4" t="s">
        <v>235</v>
      </c>
      <c r="F176" s="8" t="s">
        <v>235</v>
      </c>
      <c r="G176" s="4" t="s">
        <v>235</v>
      </c>
      <c r="H176" s="8" t="s">
        <v>235</v>
      </c>
      <c r="I176" s="7" t="s">
        <v>235</v>
      </c>
      <c r="J176" s="7" t="s">
        <v>235</v>
      </c>
      <c r="K176" s="4"/>
      <c r="L176" s="8"/>
      <c r="M176" s="4"/>
      <c r="N176" s="8"/>
      <c r="O176" s="7"/>
      <c r="P176" s="7"/>
    </row>
    <row r="177">
      <c r="A177" s="2" t="s">
        <v>1071</v>
      </c>
      <c r="B177" s="2" t="s">
        <v>324</v>
      </c>
      <c r="C177" s="2" t="s">
        <v>1482</v>
      </c>
      <c r="D177" s="2" t="s">
        <v>4428</v>
      </c>
      <c r="E177" s="4" t="s">
        <v>235</v>
      </c>
      <c r="F177" s="8" t="s">
        <v>235</v>
      </c>
      <c r="G177" s="4" t="s">
        <v>235</v>
      </c>
      <c r="H177" s="8" t="s">
        <v>235</v>
      </c>
      <c r="I177" s="7" t="s">
        <v>235</v>
      </c>
      <c r="J177" s="7" t="s">
        <v>235</v>
      </c>
      <c r="K177" s="4"/>
      <c r="L177" s="8"/>
      <c r="M177" s="4"/>
      <c r="N177" s="8"/>
      <c r="O177" s="7"/>
      <c r="P177" s="7"/>
    </row>
    <row r="178">
      <c r="A178" s="2" t="s">
        <v>1071</v>
      </c>
      <c r="B178" s="2" t="s">
        <v>324</v>
      </c>
      <c r="C178" s="2" t="s">
        <v>3590</v>
      </c>
      <c r="D178" s="2" t="s">
        <v>3591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1071</v>
      </c>
      <c r="B179" s="2" t="s">
        <v>324</v>
      </c>
      <c r="C179" s="2" t="s">
        <v>4193</v>
      </c>
      <c r="D179" s="2" t="s">
        <v>4194</v>
      </c>
      <c r="E179" s="4" t="s">
        <v>235</v>
      </c>
      <c r="F179" s="8" t="s">
        <v>235</v>
      </c>
      <c r="G179" s="4" t="s">
        <v>235</v>
      </c>
      <c r="H179" s="8" t="s">
        <v>235</v>
      </c>
      <c r="I179" s="7" t="s">
        <v>235</v>
      </c>
      <c r="J179" s="7" t="s">
        <v>235</v>
      </c>
      <c r="K179" s="4"/>
      <c r="L179" s="8"/>
      <c r="M179" s="4"/>
      <c r="N179" s="8"/>
      <c r="O179" s="7"/>
      <c r="P179" s="7"/>
    </row>
    <row r="180">
      <c r="A180" s="2" t="s">
        <v>1071</v>
      </c>
      <c r="B180" s="2" t="s">
        <v>324</v>
      </c>
      <c r="C180" s="2" t="s">
        <v>4193</v>
      </c>
      <c r="D180" s="2" t="s">
        <v>330</v>
      </c>
      <c r="E180" s="4" t="s">
        <v>235</v>
      </c>
      <c r="F180" s="8" t="s">
        <v>235</v>
      </c>
      <c r="G180" s="4" t="s">
        <v>235</v>
      </c>
      <c r="H180" s="8" t="s">
        <v>235</v>
      </c>
      <c r="I180" s="7" t="s">
        <v>235</v>
      </c>
      <c r="J180" s="7" t="s">
        <v>235</v>
      </c>
      <c r="K180" s="4"/>
      <c r="L180" s="8"/>
      <c r="M180" s="4"/>
      <c r="N180" s="8"/>
      <c r="O180" s="7"/>
      <c r="P180" s="7"/>
    </row>
    <row r="181">
      <c r="A181" s="2" t="s">
        <v>1071</v>
      </c>
      <c r="B181" s="2" t="s">
        <v>324</v>
      </c>
      <c r="C181" s="2" t="s">
        <v>1818</v>
      </c>
      <c r="D181" s="2" t="s">
        <v>1819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1071</v>
      </c>
      <c r="B182" s="2" t="s">
        <v>324</v>
      </c>
      <c r="C182" s="2" t="s">
        <v>1102</v>
      </c>
      <c r="D182" s="2" t="s">
        <v>1103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1071</v>
      </c>
      <c r="B183" s="2" t="s">
        <v>324</v>
      </c>
      <c r="C183" s="2" t="s">
        <v>1417</v>
      </c>
      <c r="D183" s="2" t="s">
        <v>1440</v>
      </c>
      <c r="E183" s="4" t="s">
        <v>235</v>
      </c>
      <c r="F183" s="8" t="s">
        <v>235</v>
      </c>
      <c r="G183" s="4" t="s">
        <v>235</v>
      </c>
      <c r="H183" s="8" t="s">
        <v>235</v>
      </c>
      <c r="I183" s="7" t="s">
        <v>235</v>
      </c>
      <c r="J183" s="7" t="s">
        <v>235</v>
      </c>
      <c r="K183" s="4"/>
      <c r="L183" s="8"/>
      <c r="M183" s="4"/>
      <c r="N183" s="8"/>
      <c r="O183" s="7"/>
      <c r="P183" s="7"/>
    </row>
    <row r="184">
      <c r="A184" s="2" t="s">
        <v>1071</v>
      </c>
      <c r="B184" s="2" t="s">
        <v>324</v>
      </c>
      <c r="C184" s="2" t="s">
        <v>1417</v>
      </c>
      <c r="D184" s="2" t="s">
        <v>1530</v>
      </c>
      <c r="E184" s="4" t="s">
        <v>235</v>
      </c>
      <c r="F184" s="8" t="s">
        <v>235</v>
      </c>
      <c r="G184" s="4" t="s">
        <v>235</v>
      </c>
      <c r="H184" s="8" t="s">
        <v>235</v>
      </c>
      <c r="I184" s="7" t="s">
        <v>235</v>
      </c>
      <c r="J184" s="7" t="s">
        <v>235</v>
      </c>
      <c r="K184" s="4"/>
      <c r="L184" s="8"/>
      <c r="M184" s="4"/>
      <c r="N184" s="8"/>
      <c r="O184" s="7"/>
      <c r="P184" s="7"/>
    </row>
    <row r="185">
      <c r="A185" s="2" t="s">
        <v>1071</v>
      </c>
      <c r="B185" s="2" t="s">
        <v>324</v>
      </c>
      <c r="C185" s="2" t="s">
        <v>1417</v>
      </c>
      <c r="D185" s="2" t="s">
        <v>1418</v>
      </c>
      <c r="E185" s="4" t="s">
        <v>235</v>
      </c>
      <c r="F185" s="8" t="s">
        <v>235</v>
      </c>
      <c r="G185" s="4" t="s">
        <v>235</v>
      </c>
      <c r="H185" s="8" t="s">
        <v>235</v>
      </c>
      <c r="I185" s="7" t="s">
        <v>235</v>
      </c>
      <c r="J185" s="7" t="s">
        <v>235</v>
      </c>
      <c r="K185" s="4"/>
      <c r="L185" s="8"/>
      <c r="M185" s="4"/>
      <c r="N185" s="8"/>
      <c r="O185" s="7"/>
      <c r="P185" s="7"/>
    </row>
    <row r="186">
      <c r="A186" s="2" t="s">
        <v>1071</v>
      </c>
      <c r="B186" s="2" t="s">
        <v>324</v>
      </c>
      <c r="C186" s="2" t="s">
        <v>1417</v>
      </c>
      <c r="D186" s="2" t="s">
        <v>1507</v>
      </c>
      <c r="E186" s="4" t="s">
        <v>235</v>
      </c>
      <c r="F186" s="8" t="s">
        <v>235</v>
      </c>
      <c r="G186" s="4" t="s">
        <v>235</v>
      </c>
      <c r="H186" s="8" t="s">
        <v>235</v>
      </c>
      <c r="I186" s="7" t="s">
        <v>235</v>
      </c>
      <c r="J186" s="7" t="s">
        <v>235</v>
      </c>
      <c r="K186" s="4"/>
      <c r="L186" s="8"/>
      <c r="M186" s="4"/>
      <c r="N186" s="8"/>
      <c r="O186" s="7"/>
      <c r="P186" s="7"/>
    </row>
    <row r="187">
      <c r="A187" s="2" t="s">
        <v>1071</v>
      </c>
      <c r="B187" s="2" t="s">
        <v>324</v>
      </c>
      <c r="C187" s="2" t="s">
        <v>4819</v>
      </c>
      <c r="D187" s="2" t="s">
        <v>4820</v>
      </c>
      <c r="E187" s="4" t="s">
        <v>235</v>
      </c>
      <c r="F187" s="8" t="s">
        <v>235</v>
      </c>
      <c r="G187" s="4" t="s">
        <v>235</v>
      </c>
      <c r="H187" s="8" t="s">
        <v>235</v>
      </c>
      <c r="I187" s="7" t="s">
        <v>235</v>
      </c>
      <c r="J187" s="7" t="s">
        <v>235</v>
      </c>
      <c r="K187" s="4"/>
      <c r="L187" s="8"/>
      <c r="M187" s="4"/>
      <c r="N187" s="8"/>
      <c r="O187" s="7"/>
      <c r="P187" s="7"/>
    </row>
    <row r="188">
      <c r="A188" s="2" t="s">
        <v>1071</v>
      </c>
      <c r="B188" s="2" t="s">
        <v>324</v>
      </c>
      <c r="C188" s="2" t="s">
        <v>4819</v>
      </c>
      <c r="D188" s="2" t="s">
        <v>330</v>
      </c>
      <c r="E188" s="4" t="s">
        <v>235</v>
      </c>
      <c r="F188" s="8" t="s">
        <v>235</v>
      </c>
      <c r="G188" s="4" t="s">
        <v>235</v>
      </c>
      <c r="H188" s="8" t="s">
        <v>235</v>
      </c>
      <c r="I188" s="7" t="s">
        <v>235</v>
      </c>
      <c r="J188" s="7" t="s">
        <v>235</v>
      </c>
      <c r="K188" s="4"/>
      <c r="L188" s="8"/>
      <c r="M188" s="4"/>
      <c r="N188" s="8"/>
      <c r="O188" s="7"/>
      <c r="P188" s="7"/>
    </row>
    <row r="189">
      <c r="A189" s="2" t="s">
        <v>1071</v>
      </c>
      <c r="B189" s="2" t="s">
        <v>360</v>
      </c>
      <c r="C189" s="2" t="s">
        <v>1072</v>
      </c>
      <c r="D189" s="2" t="s">
        <v>1727</v>
      </c>
      <c r="E189" s="4" t="s">
        <v>235</v>
      </c>
      <c r="F189" s="8" t="s">
        <v>235</v>
      </c>
      <c r="G189" s="4" t="s">
        <v>235</v>
      </c>
      <c r="H189" s="8" t="s">
        <v>235</v>
      </c>
      <c r="I189" s="7" t="s">
        <v>235</v>
      </c>
      <c r="J189" s="7" t="s">
        <v>235</v>
      </c>
      <c r="K189" s="4"/>
      <c r="L189" s="8"/>
      <c r="M189" s="4"/>
      <c r="N189" s="8"/>
      <c r="O189" s="7"/>
      <c r="P189" s="7"/>
    </row>
    <row r="190">
      <c r="A190" s="2" t="s">
        <v>1071</v>
      </c>
      <c r="B190" s="2" t="s">
        <v>360</v>
      </c>
      <c r="C190" s="2" t="s">
        <v>1072</v>
      </c>
      <c r="D190" s="2" t="s">
        <v>330</v>
      </c>
      <c r="E190" s="4" t="s">
        <v>235</v>
      </c>
      <c r="F190" s="8" t="s">
        <v>235</v>
      </c>
      <c r="G190" s="4" t="s">
        <v>235</v>
      </c>
      <c r="H190" s="8" t="s">
        <v>235</v>
      </c>
      <c r="I190" s="7" t="s">
        <v>235</v>
      </c>
      <c r="J190" s="7" t="s">
        <v>235</v>
      </c>
      <c r="K190" s="4"/>
      <c r="L190" s="8"/>
      <c r="M190" s="4"/>
      <c r="N190" s="8"/>
      <c r="O190" s="7"/>
      <c r="P190" s="7"/>
    </row>
    <row r="191">
      <c r="A191" s="2" t="s">
        <v>1071</v>
      </c>
      <c r="B191" s="2" t="s">
        <v>360</v>
      </c>
      <c r="C191" s="2" t="s">
        <v>7361</v>
      </c>
      <c r="D191" s="2" t="s">
        <v>7362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1071</v>
      </c>
      <c r="B192" s="2" t="s">
        <v>1085</v>
      </c>
      <c r="C192" s="2" t="s">
        <v>5022</v>
      </c>
      <c r="D192" s="2" t="s">
        <v>5023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1071</v>
      </c>
      <c r="B193" s="2" t="s">
        <v>1085</v>
      </c>
      <c r="C193" s="2" t="s">
        <v>1086</v>
      </c>
      <c r="D193" s="2" t="s">
        <v>1868</v>
      </c>
      <c r="E193" s="4" t="s">
        <v>235</v>
      </c>
      <c r="F193" s="8" t="s">
        <v>235</v>
      </c>
      <c r="G193" s="4" t="s">
        <v>235</v>
      </c>
      <c r="H193" s="8" t="s">
        <v>235</v>
      </c>
      <c r="I193" s="7" t="s">
        <v>235</v>
      </c>
      <c r="J193" s="7" t="s">
        <v>235</v>
      </c>
      <c r="K193" s="4"/>
      <c r="L193" s="8"/>
      <c r="M193" s="4"/>
      <c r="N193" s="8"/>
      <c r="O193" s="7"/>
      <c r="P193" s="7"/>
    </row>
    <row r="194">
      <c r="A194" s="2" t="s">
        <v>1071</v>
      </c>
      <c r="B194" s="2" t="s">
        <v>1085</v>
      </c>
      <c r="C194" s="2" t="s">
        <v>1086</v>
      </c>
      <c r="D194" s="2" t="s">
        <v>330</v>
      </c>
      <c r="E194" s="4" t="s">
        <v>235</v>
      </c>
      <c r="F194" s="8" t="s">
        <v>235</v>
      </c>
      <c r="G194" s="4" t="s">
        <v>235</v>
      </c>
      <c r="H194" s="8" t="s">
        <v>235</v>
      </c>
      <c r="I194" s="7" t="s">
        <v>235</v>
      </c>
      <c r="J194" s="7" t="s">
        <v>235</v>
      </c>
      <c r="K194" s="4"/>
      <c r="L194" s="8"/>
      <c r="M194" s="4"/>
      <c r="N194" s="8"/>
      <c r="O194" s="7"/>
      <c r="P194" s="7"/>
    </row>
    <row r="195">
      <c r="A195" s="2" t="s">
        <v>1071</v>
      </c>
      <c r="B195" s="2" t="s">
        <v>1085</v>
      </c>
      <c r="C195" s="2" t="s">
        <v>1072</v>
      </c>
      <c r="D195" s="2" t="s">
        <v>1727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1071</v>
      </c>
      <c r="B196" s="2" t="s">
        <v>1085</v>
      </c>
      <c r="C196" s="2" t="s">
        <v>1818</v>
      </c>
      <c r="D196" s="2" t="s">
        <v>1819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1071</v>
      </c>
      <c r="B197" s="2" t="s">
        <v>1085</v>
      </c>
      <c r="C197" s="2" t="s">
        <v>1417</v>
      </c>
      <c r="D197" s="2" t="s">
        <v>330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1071</v>
      </c>
      <c r="B198" s="2" t="s">
        <v>1085</v>
      </c>
      <c r="C198" s="2" t="s">
        <v>4819</v>
      </c>
      <c r="D198" s="2" t="s">
        <v>6148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255</v>
      </c>
      <c r="B199" s="2" t="s">
        <v>256</v>
      </c>
      <c r="C199" s="2" t="s">
        <v>361</v>
      </c>
      <c r="D199" s="2" t="s">
        <v>872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255</v>
      </c>
      <c r="B200" s="2" t="s">
        <v>256</v>
      </c>
      <c r="C200" s="2" t="s">
        <v>906</v>
      </c>
      <c r="D200" s="2" t="s">
        <v>1301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255</v>
      </c>
      <c r="B201" s="2" t="s">
        <v>256</v>
      </c>
      <c r="C201" s="2" t="s">
        <v>274</v>
      </c>
      <c r="D201" s="2" t="s">
        <v>275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255</v>
      </c>
      <c r="B202" s="2" t="s">
        <v>256</v>
      </c>
      <c r="C202" s="2" t="s">
        <v>4227</v>
      </c>
      <c r="D202" s="2" t="s">
        <v>4228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255</v>
      </c>
      <c r="B203" s="2" t="s">
        <v>256</v>
      </c>
      <c r="C203" s="2" t="s">
        <v>257</v>
      </c>
      <c r="D203" s="2" t="s">
        <v>258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255</v>
      </c>
      <c r="B204" s="2" t="s">
        <v>256</v>
      </c>
      <c r="C204" s="2" t="s">
        <v>990</v>
      </c>
      <c r="D204" s="2" t="s">
        <v>991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255</v>
      </c>
      <c r="B205" s="2" t="s">
        <v>2023</v>
      </c>
      <c r="C205" s="2" t="s">
        <v>2033</v>
      </c>
      <c r="D205" s="2" t="s">
        <v>2034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255</v>
      </c>
      <c r="B206" s="2" t="s">
        <v>2023</v>
      </c>
      <c r="C206" s="2" t="s">
        <v>361</v>
      </c>
      <c r="D206" s="2" t="s">
        <v>872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255</v>
      </c>
      <c r="B207" s="2" t="s">
        <v>2023</v>
      </c>
      <c r="C207" s="2" t="s">
        <v>1452</v>
      </c>
      <c r="D207" s="2" t="s">
        <v>1453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255</v>
      </c>
      <c r="B208" s="2" t="s">
        <v>2023</v>
      </c>
      <c r="C208" s="2" t="s">
        <v>906</v>
      </c>
      <c r="D208" s="2" t="s">
        <v>907</v>
      </c>
      <c r="E208" s="4" t="s">
        <v>235</v>
      </c>
      <c r="F208" s="8" t="s">
        <v>235</v>
      </c>
      <c r="G208" s="4" t="s">
        <v>235</v>
      </c>
      <c r="H208" s="8" t="s">
        <v>235</v>
      </c>
      <c r="I208" s="7" t="s">
        <v>235</v>
      </c>
      <c r="J208" s="7" t="s">
        <v>235</v>
      </c>
      <c r="K208" s="4"/>
      <c r="L208" s="8"/>
      <c r="M208" s="4"/>
      <c r="N208" s="8"/>
      <c r="O208" s="7"/>
      <c r="P208" s="7"/>
    </row>
    <row r="209">
      <c r="A209" s="2" t="s">
        <v>255</v>
      </c>
      <c r="B209" s="2" t="s">
        <v>2023</v>
      </c>
      <c r="C209" s="2" t="s">
        <v>906</v>
      </c>
      <c r="D209" s="2" t="s">
        <v>1301</v>
      </c>
      <c r="E209" s="4" t="s">
        <v>235</v>
      </c>
      <c r="F209" s="8" t="s">
        <v>235</v>
      </c>
      <c r="G209" s="4" t="s">
        <v>235</v>
      </c>
      <c r="H209" s="8" t="s">
        <v>235</v>
      </c>
      <c r="I209" s="7" t="s">
        <v>235</v>
      </c>
      <c r="J209" s="7" t="s">
        <v>235</v>
      </c>
      <c r="K209" s="4"/>
      <c r="L209" s="8"/>
      <c r="M209" s="4"/>
      <c r="N209" s="8"/>
      <c r="O209" s="7"/>
      <c r="P209" s="7"/>
    </row>
    <row r="210">
      <c r="A210" s="2" t="s">
        <v>255</v>
      </c>
      <c r="B210" s="2" t="s">
        <v>2023</v>
      </c>
      <c r="C210" s="2" t="s">
        <v>1539</v>
      </c>
      <c r="D210" s="2" t="s">
        <v>1540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255</v>
      </c>
      <c r="B211" s="2" t="s">
        <v>330</v>
      </c>
      <c r="C211" s="2" t="s">
        <v>361</v>
      </c>
      <c r="D211" s="2" t="s">
        <v>872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255</v>
      </c>
      <c r="B212" s="2" t="s">
        <v>330</v>
      </c>
      <c r="C212" s="2" t="s">
        <v>906</v>
      </c>
      <c r="D212" s="2" t="s">
        <v>1301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800</v>
      </c>
      <c r="B213" s="2" t="s">
        <v>943</v>
      </c>
      <c r="C213" s="2" t="s">
        <v>802</v>
      </c>
      <c r="D213" s="2" t="s">
        <v>803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800</v>
      </c>
      <c r="B214" s="2" t="s">
        <v>943</v>
      </c>
      <c r="C214" s="2" t="s">
        <v>960</v>
      </c>
      <c r="D214" s="2" t="s">
        <v>961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800</v>
      </c>
      <c r="B215" s="2" t="s">
        <v>801</v>
      </c>
      <c r="C215" s="2" t="s">
        <v>802</v>
      </c>
      <c r="D215" s="2" t="s">
        <v>803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800</v>
      </c>
      <c r="B216" s="2" t="s">
        <v>801</v>
      </c>
      <c r="C216" s="2" t="s">
        <v>960</v>
      </c>
      <c r="D216" s="2" t="s">
        <v>961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800</v>
      </c>
      <c r="B217" s="2" t="s">
        <v>893</v>
      </c>
      <c r="C217" s="2" t="s">
        <v>802</v>
      </c>
      <c r="D217" s="2" t="s">
        <v>803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800</v>
      </c>
      <c r="B218" s="2" t="s">
        <v>893</v>
      </c>
      <c r="C218" s="2" t="s">
        <v>1491</v>
      </c>
      <c r="D218" s="2" t="s">
        <v>1492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800</v>
      </c>
      <c r="B219" s="2" t="s">
        <v>893</v>
      </c>
      <c r="C219" s="2" t="s">
        <v>894</v>
      </c>
      <c r="D219" s="2" t="s">
        <v>895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800</v>
      </c>
      <c r="B220" s="2" t="s">
        <v>893</v>
      </c>
      <c r="C220" s="2" t="s">
        <v>960</v>
      </c>
      <c r="D220" s="2" t="s">
        <v>961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800</v>
      </c>
      <c r="B221" s="2" t="s">
        <v>1085</v>
      </c>
      <c r="C221" s="2" t="s">
        <v>802</v>
      </c>
      <c r="D221" s="2" t="s">
        <v>803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800</v>
      </c>
      <c r="B222" s="2" t="s">
        <v>1085</v>
      </c>
      <c r="C222" s="2" t="s">
        <v>1491</v>
      </c>
      <c r="D222" s="2" t="s">
        <v>1492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323</v>
      </c>
      <c r="B223" s="2" t="s">
        <v>678</v>
      </c>
      <c r="C223" s="2" t="s">
        <v>257</v>
      </c>
      <c r="D223" s="2" t="s">
        <v>258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323</v>
      </c>
      <c r="B224" s="2" t="s">
        <v>482</v>
      </c>
      <c r="C224" s="2" t="s">
        <v>257</v>
      </c>
      <c r="D224" s="2" t="s">
        <v>258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323</v>
      </c>
      <c r="B225" s="2" t="s">
        <v>832</v>
      </c>
      <c r="C225" s="2" t="s">
        <v>257</v>
      </c>
      <c r="D225" s="2" t="s">
        <v>258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323</v>
      </c>
      <c r="B226" s="2" t="s">
        <v>853</v>
      </c>
      <c r="C226" s="2" t="s">
        <v>257</v>
      </c>
      <c r="D226" s="2" t="s">
        <v>258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323</v>
      </c>
      <c r="B227" s="2" t="s">
        <v>324</v>
      </c>
      <c r="C227" s="2" t="s">
        <v>274</v>
      </c>
      <c r="D227" s="2" t="s">
        <v>275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323</v>
      </c>
      <c r="B228" s="2" t="s">
        <v>324</v>
      </c>
      <c r="C228" s="2" t="s">
        <v>257</v>
      </c>
      <c r="D228" s="2" t="s">
        <v>258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323</v>
      </c>
      <c r="B229" s="2" t="s">
        <v>403</v>
      </c>
      <c r="C229" s="2" t="s">
        <v>274</v>
      </c>
      <c r="D229" s="2" t="s">
        <v>275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323</v>
      </c>
      <c r="B230" s="2" t="s">
        <v>403</v>
      </c>
      <c r="C230" s="2" t="s">
        <v>257</v>
      </c>
      <c r="D230" s="2" t="s">
        <v>258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323</v>
      </c>
      <c r="B231" s="2" t="s">
        <v>583</v>
      </c>
      <c r="C231" s="2" t="s">
        <v>257</v>
      </c>
      <c r="D231" s="2" t="s">
        <v>258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323</v>
      </c>
      <c r="B232" s="2" t="s">
        <v>225</v>
      </c>
      <c r="C232" s="2" t="s">
        <v>257</v>
      </c>
      <c r="D232" s="2" t="s">
        <v>258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323</v>
      </c>
      <c r="B233" s="2" t="s">
        <v>606</v>
      </c>
      <c r="C233" s="2" t="s">
        <v>257</v>
      </c>
      <c r="D233" s="2" t="s">
        <v>258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323</v>
      </c>
      <c r="B234" s="2" t="s">
        <v>1036</v>
      </c>
      <c r="C234" s="2" t="s">
        <v>257</v>
      </c>
      <c r="D234" s="2" t="s">
        <v>258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323</v>
      </c>
      <c r="B235" s="2" t="s">
        <v>923</v>
      </c>
      <c r="C235" s="2" t="s">
        <v>257</v>
      </c>
      <c r="D235" s="2" t="s">
        <v>258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323</v>
      </c>
      <c r="B236" s="2" t="s">
        <v>980</v>
      </c>
      <c r="C236" s="2" t="s">
        <v>257</v>
      </c>
      <c r="D236" s="2" t="s">
        <v>258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605</v>
      </c>
      <c r="B237" s="2" t="s">
        <v>943</v>
      </c>
      <c r="C237" s="2" t="s">
        <v>607</v>
      </c>
      <c r="D237" s="2" t="s">
        <v>608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605</v>
      </c>
      <c r="B238" s="2" t="s">
        <v>678</v>
      </c>
      <c r="C238" s="2" t="s">
        <v>607</v>
      </c>
      <c r="D238" s="2" t="s">
        <v>608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605</v>
      </c>
      <c r="B239" s="2" t="s">
        <v>482</v>
      </c>
      <c r="C239" s="2" t="s">
        <v>607</v>
      </c>
      <c r="D239" s="2" t="s">
        <v>608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605</v>
      </c>
      <c r="B240" s="2" t="s">
        <v>832</v>
      </c>
      <c r="C240" s="2" t="s">
        <v>607</v>
      </c>
      <c r="D240" s="2" t="s">
        <v>608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605</v>
      </c>
      <c r="B241" s="2" t="s">
        <v>893</v>
      </c>
      <c r="C241" s="2" t="s">
        <v>607</v>
      </c>
      <c r="D241" s="2" t="s">
        <v>608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605</v>
      </c>
      <c r="B242" s="2" t="s">
        <v>324</v>
      </c>
      <c r="C242" s="2" t="s">
        <v>607</v>
      </c>
      <c r="D242" s="2" t="s">
        <v>608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605</v>
      </c>
      <c r="B243" s="2" t="s">
        <v>360</v>
      </c>
      <c r="C243" s="2" t="s">
        <v>607</v>
      </c>
      <c r="D243" s="2" t="s">
        <v>608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605</v>
      </c>
      <c r="B244" s="2" t="s">
        <v>606</v>
      </c>
      <c r="C244" s="2" t="s">
        <v>607</v>
      </c>
      <c r="D244" s="2" t="s">
        <v>608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852</v>
      </c>
      <c r="B245" s="2" t="s">
        <v>943</v>
      </c>
      <c r="C245" s="2" t="s">
        <v>854</v>
      </c>
      <c r="D245" s="2" t="s">
        <v>1005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852</v>
      </c>
      <c r="B246" s="2" t="s">
        <v>1561</v>
      </c>
      <c r="C246" s="2" t="s">
        <v>854</v>
      </c>
      <c r="D246" s="2" t="s">
        <v>855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852</v>
      </c>
      <c r="B247" s="2" t="s">
        <v>4134</v>
      </c>
      <c r="C247" s="2" t="s">
        <v>854</v>
      </c>
      <c r="D247" s="2" t="s">
        <v>855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852</v>
      </c>
      <c r="B248" s="2" t="s">
        <v>893</v>
      </c>
      <c r="C248" s="2" t="s">
        <v>854</v>
      </c>
      <c r="D248" s="2" t="s">
        <v>855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852</v>
      </c>
      <c r="B249" s="2" t="s">
        <v>853</v>
      </c>
      <c r="C249" s="2" t="s">
        <v>854</v>
      </c>
      <c r="D249" s="2" t="s">
        <v>1005</v>
      </c>
      <c r="E249" s="4" t="s">
        <v>235</v>
      </c>
      <c r="F249" s="8" t="s">
        <v>235</v>
      </c>
      <c r="G249" s="4" t="s">
        <v>235</v>
      </c>
      <c r="H249" s="8" t="s">
        <v>235</v>
      </c>
      <c r="I249" s="7" t="s">
        <v>235</v>
      </c>
      <c r="J249" s="7" t="s">
        <v>235</v>
      </c>
      <c r="K249" s="4"/>
      <c r="L249" s="8"/>
      <c r="M249" s="4"/>
      <c r="N249" s="8"/>
      <c r="O249" s="7"/>
      <c r="P249" s="7"/>
    </row>
    <row r="250">
      <c r="A250" s="2" t="s">
        <v>852</v>
      </c>
      <c r="B250" s="2" t="s">
        <v>853</v>
      </c>
      <c r="C250" s="2" t="s">
        <v>854</v>
      </c>
      <c r="D250" s="2" t="s">
        <v>855</v>
      </c>
      <c r="E250" s="4" t="s">
        <v>235</v>
      </c>
      <c r="F250" s="8" t="s">
        <v>235</v>
      </c>
      <c r="G250" s="4" t="s">
        <v>235</v>
      </c>
      <c r="H250" s="8" t="s">
        <v>235</v>
      </c>
      <c r="I250" s="7" t="s">
        <v>235</v>
      </c>
      <c r="J250" s="7" t="s">
        <v>235</v>
      </c>
      <c r="K250" s="4"/>
      <c r="L250" s="8"/>
      <c r="M250" s="4"/>
      <c r="N250" s="8"/>
      <c r="O250" s="7"/>
      <c r="P250" s="7"/>
    </row>
    <row r="251">
      <c r="A251" s="2" t="s">
        <v>852</v>
      </c>
      <c r="B251" s="2" t="s">
        <v>324</v>
      </c>
      <c r="C251" s="2" t="s">
        <v>3920</v>
      </c>
      <c r="D251" s="2" t="s">
        <v>3921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852</v>
      </c>
      <c r="B252" s="2" t="s">
        <v>324</v>
      </c>
      <c r="C252" s="2" t="s">
        <v>854</v>
      </c>
      <c r="D252" s="2" t="s">
        <v>1005</v>
      </c>
      <c r="E252" s="4" t="s">
        <v>235</v>
      </c>
      <c r="F252" s="8" t="s">
        <v>235</v>
      </c>
      <c r="G252" s="4" t="s">
        <v>235</v>
      </c>
      <c r="H252" s="8" t="s">
        <v>235</v>
      </c>
      <c r="I252" s="7" t="s">
        <v>235</v>
      </c>
      <c r="J252" s="7" t="s">
        <v>235</v>
      </c>
      <c r="K252" s="4"/>
      <c r="L252" s="8"/>
      <c r="M252" s="4"/>
      <c r="N252" s="8"/>
      <c r="O252" s="7"/>
      <c r="P252" s="7"/>
    </row>
    <row r="253">
      <c r="A253" s="2" t="s">
        <v>852</v>
      </c>
      <c r="B253" s="2" t="s">
        <v>324</v>
      </c>
      <c r="C253" s="2" t="s">
        <v>854</v>
      </c>
      <c r="D253" s="2" t="s">
        <v>2622</v>
      </c>
      <c r="E253" s="4" t="s">
        <v>235</v>
      </c>
      <c r="F253" s="8" t="s">
        <v>235</v>
      </c>
      <c r="G253" s="4" t="s">
        <v>235</v>
      </c>
      <c r="H253" s="8" t="s">
        <v>235</v>
      </c>
      <c r="I253" s="7" t="s">
        <v>235</v>
      </c>
      <c r="J253" s="7" t="s">
        <v>235</v>
      </c>
      <c r="K253" s="4"/>
      <c r="L253" s="8"/>
      <c r="M253" s="4"/>
      <c r="N253" s="8"/>
      <c r="O253" s="7"/>
      <c r="P253" s="7"/>
    </row>
    <row r="254">
      <c r="A254" s="2" t="s">
        <v>852</v>
      </c>
      <c r="B254" s="2" t="s">
        <v>324</v>
      </c>
      <c r="C254" s="2" t="s">
        <v>854</v>
      </c>
      <c r="D254" s="2" t="s">
        <v>1549</v>
      </c>
      <c r="E254" s="4" t="s">
        <v>235</v>
      </c>
      <c r="F254" s="8" t="s">
        <v>235</v>
      </c>
      <c r="G254" s="4" t="s">
        <v>235</v>
      </c>
      <c r="H254" s="8" t="s">
        <v>235</v>
      </c>
      <c r="I254" s="7" t="s">
        <v>235</v>
      </c>
      <c r="J254" s="7" t="s">
        <v>235</v>
      </c>
      <c r="K254" s="4"/>
      <c r="L254" s="8"/>
      <c r="M254" s="4"/>
      <c r="N254" s="8"/>
      <c r="O254" s="7"/>
      <c r="P254" s="7"/>
    </row>
    <row r="255">
      <c r="A255" s="2" t="s">
        <v>852</v>
      </c>
      <c r="B255" s="2" t="s">
        <v>324</v>
      </c>
      <c r="C255" s="2" t="s">
        <v>854</v>
      </c>
      <c r="D255" s="2" t="s">
        <v>4453</v>
      </c>
      <c r="E255" s="4" t="s">
        <v>235</v>
      </c>
      <c r="F255" s="8" t="s">
        <v>235</v>
      </c>
      <c r="G255" s="4" t="s">
        <v>235</v>
      </c>
      <c r="H255" s="8" t="s">
        <v>235</v>
      </c>
      <c r="I255" s="7" t="s">
        <v>235</v>
      </c>
      <c r="J255" s="7" t="s">
        <v>235</v>
      </c>
      <c r="K255" s="4"/>
      <c r="L255" s="8"/>
      <c r="M255" s="4"/>
      <c r="N255" s="8"/>
      <c r="O255" s="7"/>
      <c r="P255" s="7"/>
    </row>
    <row r="256">
      <c r="A256" s="2" t="s">
        <v>852</v>
      </c>
      <c r="B256" s="2" t="s">
        <v>324</v>
      </c>
      <c r="C256" s="2" t="s">
        <v>854</v>
      </c>
      <c r="D256" s="2" t="s">
        <v>855</v>
      </c>
      <c r="E256" s="4" t="s">
        <v>235</v>
      </c>
      <c r="F256" s="8" t="s">
        <v>235</v>
      </c>
      <c r="G256" s="4" t="s">
        <v>235</v>
      </c>
      <c r="H256" s="8" t="s">
        <v>235</v>
      </c>
      <c r="I256" s="7" t="s">
        <v>235</v>
      </c>
      <c r="J256" s="7" t="s">
        <v>235</v>
      </c>
      <c r="K256" s="4"/>
      <c r="L256" s="8"/>
      <c r="M256" s="4"/>
      <c r="N256" s="8"/>
      <c r="O256" s="7"/>
      <c r="P256" s="7"/>
    </row>
    <row r="257">
      <c r="A257" s="2" t="s">
        <v>852</v>
      </c>
      <c r="B257" s="2" t="s">
        <v>324</v>
      </c>
      <c r="C257" s="2" t="s">
        <v>854</v>
      </c>
      <c r="D257" s="2" t="s">
        <v>4682</v>
      </c>
      <c r="E257" s="4" t="s">
        <v>235</v>
      </c>
      <c r="F257" s="8" t="s">
        <v>235</v>
      </c>
      <c r="G257" s="4" t="s">
        <v>235</v>
      </c>
      <c r="H257" s="8" t="s">
        <v>235</v>
      </c>
      <c r="I257" s="7" t="s">
        <v>235</v>
      </c>
      <c r="J257" s="7" t="s">
        <v>235</v>
      </c>
      <c r="K257" s="4"/>
      <c r="L257" s="8"/>
      <c r="M257" s="4"/>
      <c r="N257" s="8"/>
      <c r="O257" s="7"/>
      <c r="P257" s="7"/>
    </row>
    <row r="258">
      <c r="A258" s="2" t="s">
        <v>852</v>
      </c>
      <c r="B258" s="2" t="s">
        <v>1126</v>
      </c>
      <c r="C258" s="2" t="s">
        <v>854</v>
      </c>
      <c r="D258" s="2" t="s">
        <v>1005</v>
      </c>
      <c r="E258" s="4" t="s">
        <v>235</v>
      </c>
      <c r="F258" s="8" t="s">
        <v>235</v>
      </c>
      <c r="G258" s="4" t="s">
        <v>235</v>
      </c>
      <c r="H258" s="8" t="s">
        <v>235</v>
      </c>
      <c r="I258" s="7" t="s">
        <v>235</v>
      </c>
      <c r="J258" s="7" t="s">
        <v>235</v>
      </c>
      <c r="K258" s="4"/>
      <c r="L258" s="8"/>
      <c r="M258" s="4"/>
      <c r="N258" s="8"/>
      <c r="O258" s="7"/>
      <c r="P258" s="7"/>
    </row>
    <row r="259">
      <c r="A259" s="2" t="s">
        <v>852</v>
      </c>
      <c r="B259" s="2" t="s">
        <v>1126</v>
      </c>
      <c r="C259" s="2" t="s">
        <v>854</v>
      </c>
      <c r="D259" s="2" t="s">
        <v>855</v>
      </c>
      <c r="E259" s="4" t="s">
        <v>235</v>
      </c>
      <c r="F259" s="8" t="s">
        <v>235</v>
      </c>
      <c r="G259" s="4" t="s">
        <v>235</v>
      </c>
      <c r="H259" s="8" t="s">
        <v>235</v>
      </c>
      <c r="I259" s="7" t="s">
        <v>235</v>
      </c>
      <c r="J259" s="7" t="s">
        <v>235</v>
      </c>
      <c r="K259" s="4"/>
      <c r="L259" s="8"/>
      <c r="M259" s="4"/>
      <c r="N259" s="8"/>
      <c r="O259" s="7"/>
      <c r="P25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6:E27"/>
    <mergeCell ref="F26:F27"/>
    <mergeCell ref="G26:G27"/>
    <mergeCell ref="H26:H27"/>
    <mergeCell ref="I26:I27"/>
    <mergeCell ref="J26:J27"/>
    <mergeCell ref="E28:E31"/>
    <mergeCell ref="F28:F31"/>
    <mergeCell ref="G28:G31"/>
    <mergeCell ref="H28:H31"/>
    <mergeCell ref="I28:I31"/>
    <mergeCell ref="J28:J31"/>
    <mergeCell ref="E32:E33"/>
    <mergeCell ref="F32:F33"/>
    <mergeCell ref="G32:G33"/>
    <mergeCell ref="H32:H33"/>
    <mergeCell ref="I32:I33"/>
    <mergeCell ref="J32:J33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1:E52"/>
    <mergeCell ref="F51:F52"/>
    <mergeCell ref="G51:G52"/>
    <mergeCell ref="H51:H52"/>
    <mergeCell ref="I51:I52"/>
    <mergeCell ref="J51:J52"/>
    <mergeCell ref="E53:E54"/>
    <mergeCell ref="F53:F54"/>
    <mergeCell ref="G53:G54"/>
    <mergeCell ref="H53:H54"/>
    <mergeCell ref="I53:I54"/>
    <mergeCell ref="J53:J54"/>
    <mergeCell ref="E55:E56"/>
    <mergeCell ref="F55:F56"/>
    <mergeCell ref="G55:G56"/>
    <mergeCell ref="H55:H56"/>
    <mergeCell ref="I55:I56"/>
    <mergeCell ref="J55:J56"/>
    <mergeCell ref="E58:E59"/>
    <mergeCell ref="F58:F59"/>
    <mergeCell ref="G58:G59"/>
    <mergeCell ref="H58:H59"/>
    <mergeCell ref="I58:I59"/>
    <mergeCell ref="J58:J59"/>
    <mergeCell ref="E60:E61"/>
    <mergeCell ref="F60:F61"/>
    <mergeCell ref="G60:G61"/>
    <mergeCell ref="H60:H61"/>
    <mergeCell ref="I60:I61"/>
    <mergeCell ref="J60:J61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8:E69"/>
    <mergeCell ref="F68:F69"/>
    <mergeCell ref="G68:G69"/>
    <mergeCell ref="H68:H69"/>
    <mergeCell ref="I68:I69"/>
    <mergeCell ref="J68:J69"/>
    <mergeCell ref="E74:E75"/>
    <mergeCell ref="F74:F75"/>
    <mergeCell ref="G74:G75"/>
    <mergeCell ref="H74:H75"/>
    <mergeCell ref="I74:I75"/>
    <mergeCell ref="J74:J75"/>
    <mergeCell ref="E91:E92"/>
    <mergeCell ref="F91:F92"/>
    <mergeCell ref="G91:G92"/>
    <mergeCell ref="H91:H92"/>
    <mergeCell ref="I91:I92"/>
    <mergeCell ref="J91:J92"/>
    <mergeCell ref="E111:E112"/>
    <mergeCell ref="F111:F112"/>
    <mergeCell ref="G111:G112"/>
    <mergeCell ref="H111:H112"/>
    <mergeCell ref="I111:I112"/>
    <mergeCell ref="J111:J112"/>
    <mergeCell ref="E119:E120"/>
    <mergeCell ref="F119:F120"/>
    <mergeCell ref="G119:G120"/>
    <mergeCell ref="H119:H120"/>
    <mergeCell ref="I119:I120"/>
    <mergeCell ref="J119:J120"/>
    <mergeCell ref="E121:E122"/>
    <mergeCell ref="F121:F122"/>
    <mergeCell ref="G121:G122"/>
    <mergeCell ref="H121:H122"/>
    <mergeCell ref="I121:I122"/>
    <mergeCell ref="J121:J122"/>
    <mergeCell ref="E125:E126"/>
    <mergeCell ref="F125:F126"/>
    <mergeCell ref="G125:G126"/>
    <mergeCell ref="H125:H126"/>
    <mergeCell ref="I125:I126"/>
    <mergeCell ref="J125:J126"/>
    <mergeCell ref="E127:E128"/>
    <mergeCell ref="F127:F128"/>
    <mergeCell ref="G127:G128"/>
    <mergeCell ref="H127:H128"/>
    <mergeCell ref="I127:I128"/>
    <mergeCell ref="J127:J128"/>
    <mergeCell ref="E130:E131"/>
    <mergeCell ref="F130:F131"/>
    <mergeCell ref="G130:G131"/>
    <mergeCell ref="H130:H131"/>
    <mergeCell ref="I130:I131"/>
    <mergeCell ref="J130:J131"/>
    <mergeCell ref="E137:E138"/>
    <mergeCell ref="F137:F138"/>
    <mergeCell ref="G137:G138"/>
    <mergeCell ref="H137:H138"/>
    <mergeCell ref="I137:I138"/>
    <mergeCell ref="J137:J138"/>
    <mergeCell ref="E140:E141"/>
    <mergeCell ref="F140:F141"/>
    <mergeCell ref="G140:G141"/>
    <mergeCell ref="H140:H141"/>
    <mergeCell ref="I140:I141"/>
    <mergeCell ref="J140:J141"/>
    <mergeCell ref="E142:E144"/>
    <mergeCell ref="F142:F144"/>
    <mergeCell ref="G142:G144"/>
    <mergeCell ref="H142:H144"/>
    <mergeCell ref="I142:I144"/>
    <mergeCell ref="J142:J144"/>
    <mergeCell ref="E145:E146"/>
    <mergeCell ref="F145:F146"/>
    <mergeCell ref="G145:G146"/>
    <mergeCell ref="H145:H146"/>
    <mergeCell ref="I145:I146"/>
    <mergeCell ref="J145:J146"/>
    <mergeCell ref="E153:E154"/>
    <mergeCell ref="F153:F154"/>
    <mergeCell ref="G153:G154"/>
    <mergeCell ref="H153:H154"/>
    <mergeCell ref="I153:I154"/>
    <mergeCell ref="J153:J154"/>
    <mergeCell ref="E156:E157"/>
    <mergeCell ref="F156:F157"/>
    <mergeCell ref="G156:G157"/>
    <mergeCell ref="H156:H157"/>
    <mergeCell ref="I156:I157"/>
    <mergeCell ref="J156:J157"/>
    <mergeCell ref="E164:E165"/>
    <mergeCell ref="F164:F165"/>
    <mergeCell ref="G164:G165"/>
    <mergeCell ref="H164:H165"/>
    <mergeCell ref="I164:I165"/>
    <mergeCell ref="J164:J165"/>
    <mergeCell ref="E167:E168"/>
    <mergeCell ref="F167:F168"/>
    <mergeCell ref="G167:G168"/>
    <mergeCell ref="H167:H168"/>
    <mergeCell ref="I167:I168"/>
    <mergeCell ref="J167:J168"/>
    <mergeCell ref="E169:E170"/>
    <mergeCell ref="F169:F170"/>
    <mergeCell ref="G169:G170"/>
    <mergeCell ref="H169:H170"/>
    <mergeCell ref="I169:I170"/>
    <mergeCell ref="J169:J170"/>
    <mergeCell ref="E171:E172"/>
    <mergeCell ref="F171:F172"/>
    <mergeCell ref="G171:G172"/>
    <mergeCell ref="H171:H172"/>
    <mergeCell ref="I171:I172"/>
    <mergeCell ref="J171:J172"/>
    <mergeCell ref="E175:E177"/>
    <mergeCell ref="F175:F177"/>
    <mergeCell ref="G175:G177"/>
    <mergeCell ref="H175:H177"/>
    <mergeCell ref="I175:I177"/>
    <mergeCell ref="J175:J177"/>
    <mergeCell ref="E179:E180"/>
    <mergeCell ref="F179:F180"/>
    <mergeCell ref="G179:G180"/>
    <mergeCell ref="H179:H180"/>
    <mergeCell ref="I179:I180"/>
    <mergeCell ref="J179:J180"/>
    <mergeCell ref="E183:E186"/>
    <mergeCell ref="F183:F186"/>
    <mergeCell ref="G183:G186"/>
    <mergeCell ref="H183:H186"/>
    <mergeCell ref="I183:I186"/>
    <mergeCell ref="J183:J186"/>
    <mergeCell ref="E187:E188"/>
    <mergeCell ref="F187:F188"/>
    <mergeCell ref="G187:G188"/>
    <mergeCell ref="H187:H188"/>
    <mergeCell ref="I187:I188"/>
    <mergeCell ref="J187:J188"/>
    <mergeCell ref="E189:E190"/>
    <mergeCell ref="F189:F190"/>
    <mergeCell ref="G189:G190"/>
    <mergeCell ref="H189:H190"/>
    <mergeCell ref="I189:I190"/>
    <mergeCell ref="J189:J190"/>
    <mergeCell ref="E193:E194"/>
    <mergeCell ref="F193:F194"/>
    <mergeCell ref="G193:G194"/>
    <mergeCell ref="H193:H194"/>
    <mergeCell ref="I193:I194"/>
    <mergeCell ref="J193:J194"/>
    <mergeCell ref="E208:E209"/>
    <mergeCell ref="F208:F209"/>
    <mergeCell ref="G208:G209"/>
    <mergeCell ref="H208:H209"/>
    <mergeCell ref="I208:I209"/>
    <mergeCell ref="J208:J209"/>
    <mergeCell ref="E249:E250"/>
    <mergeCell ref="F249:F250"/>
    <mergeCell ref="G249:G250"/>
    <mergeCell ref="H249:H250"/>
    <mergeCell ref="I249:I250"/>
    <mergeCell ref="J249:J250"/>
    <mergeCell ref="E252:E257"/>
    <mergeCell ref="F252:F257"/>
    <mergeCell ref="G252:G257"/>
    <mergeCell ref="H252:H257"/>
    <mergeCell ref="I252:I257"/>
    <mergeCell ref="J252:J257"/>
    <mergeCell ref="E258:E259"/>
    <mergeCell ref="F258:F259"/>
    <mergeCell ref="G258:G259"/>
    <mergeCell ref="H258:H259"/>
    <mergeCell ref="I258:I259"/>
    <mergeCell ref="J258:J2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7589</v>
      </c>
      <c r="C2" s="0" t="s">
        <v>7590</v>
      </c>
      <c r="D2" s="0" t="s">
        <v>7591</v>
      </c>
      <c r="E2" s="0" t="s">
        <v>86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7592</v>
      </c>
      <c r="I4" s="1" t="s">
        <v>7593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7594</v>
      </c>
      <c r="O4" s="1" t="s">
        <v>7595</v>
      </c>
    </row>
    <row r="5">
      <c r="A5" s="1" t="s">
        <v>86</v>
      </c>
      <c r="B5" s="1" t="s">
        <v>88</v>
      </c>
      <c r="C5" s="1" t="s">
        <v>89</v>
      </c>
      <c r="D5" s="1" t="s">
        <v>7596</v>
      </c>
      <c r="E5" s="1" t="s">
        <v>7597</v>
      </c>
      <c r="F5" s="1" t="s">
        <v>7596</v>
      </c>
      <c r="G5" s="1" t="s">
        <v>7597</v>
      </c>
      <c r="H5" s="1" t="s">
        <v>7592</v>
      </c>
      <c r="I5" s="1" t="s">
        <v>7593</v>
      </c>
      <c r="J5" s="1" t="s">
        <v>7598</v>
      </c>
      <c r="K5" s="1" t="s">
        <v>7599</v>
      </c>
      <c r="L5" s="1" t="s">
        <v>7598</v>
      </c>
      <c r="M5" s="1" t="s">
        <v>7599</v>
      </c>
      <c r="N5" s="1" t="s">
        <v>7594</v>
      </c>
      <c r="O5" s="1" t="s">
        <v>7595</v>
      </c>
    </row>
    <row r="6">
      <c r="A6" s="2" t="s">
        <v>871</v>
      </c>
      <c r="B6" s="2" t="s">
        <v>2033</v>
      </c>
      <c r="C6" s="2" t="s">
        <v>2434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871</v>
      </c>
      <c r="B7" s="2" t="s">
        <v>361</v>
      </c>
      <c r="C7" s="2" t="s">
        <v>1024</v>
      </c>
      <c r="D7" s="4" t="s">
        <v>235</v>
      </c>
      <c r="E7" s="8" t="s">
        <v>235</v>
      </c>
      <c r="F7" s="4" t="s">
        <v>235</v>
      </c>
      <c r="G7" s="8" t="s">
        <v>235</v>
      </c>
      <c r="H7" s="7" t="s">
        <v>235</v>
      </c>
      <c r="I7" s="7" t="s">
        <v>235</v>
      </c>
      <c r="J7" s="4"/>
      <c r="K7" s="8"/>
      <c r="L7" s="4"/>
      <c r="M7" s="8"/>
      <c r="N7" s="7"/>
      <c r="O7" s="7"/>
    </row>
    <row r="8">
      <c r="A8" s="2" t="s">
        <v>871</v>
      </c>
      <c r="B8" s="2" t="s">
        <v>361</v>
      </c>
      <c r="C8" s="2" t="s">
        <v>872</v>
      </c>
      <c r="D8" s="4" t="s">
        <v>235</v>
      </c>
      <c r="E8" s="8" t="s">
        <v>235</v>
      </c>
      <c r="F8" s="4" t="s">
        <v>235</v>
      </c>
      <c r="G8" s="8" t="s">
        <v>235</v>
      </c>
      <c r="H8" s="7" t="s">
        <v>235</v>
      </c>
      <c r="I8" s="7" t="s">
        <v>235</v>
      </c>
      <c r="J8" s="4"/>
      <c r="K8" s="8"/>
      <c r="L8" s="4"/>
      <c r="M8" s="8"/>
      <c r="N8" s="7"/>
      <c r="O8" s="7"/>
    </row>
    <row r="9">
      <c r="A9" s="2" t="s">
        <v>871</v>
      </c>
      <c r="B9" s="2" t="s">
        <v>361</v>
      </c>
      <c r="C9" s="2" t="s">
        <v>924</v>
      </c>
      <c r="D9" s="4" t="s">
        <v>235</v>
      </c>
      <c r="E9" s="8" t="s">
        <v>235</v>
      </c>
      <c r="F9" s="4" t="s">
        <v>235</v>
      </c>
      <c r="G9" s="8" t="s">
        <v>235</v>
      </c>
      <c r="H9" s="7" t="s">
        <v>235</v>
      </c>
      <c r="I9" s="7" t="s">
        <v>235</v>
      </c>
      <c r="J9" s="4"/>
      <c r="K9" s="8"/>
      <c r="L9" s="4"/>
      <c r="M9" s="8"/>
      <c r="N9" s="7"/>
      <c r="O9" s="7"/>
    </row>
    <row r="10">
      <c r="A10" s="2" t="s">
        <v>871</v>
      </c>
      <c r="B10" s="2" t="s">
        <v>1452</v>
      </c>
      <c r="C10" s="2" t="s">
        <v>1760</v>
      </c>
      <c r="D10" s="4" t="s">
        <v>235</v>
      </c>
      <c r="E10" s="8" t="s">
        <v>235</v>
      </c>
      <c r="F10" s="4" t="s">
        <v>235</v>
      </c>
      <c r="G10" s="8" t="s">
        <v>235</v>
      </c>
      <c r="H10" s="7" t="s">
        <v>235</v>
      </c>
      <c r="I10" s="7" t="s">
        <v>235</v>
      </c>
      <c r="J10" s="4"/>
      <c r="K10" s="8"/>
      <c r="L10" s="4"/>
      <c r="M10" s="8"/>
      <c r="N10" s="7"/>
      <c r="O10" s="7"/>
    </row>
    <row r="11">
      <c r="A11" s="2" t="s">
        <v>871</v>
      </c>
      <c r="B11" s="2" t="s">
        <v>1452</v>
      </c>
      <c r="C11" s="2" t="s">
        <v>1024</v>
      </c>
      <c r="D11" s="4" t="s">
        <v>235</v>
      </c>
      <c r="E11" s="8" t="s">
        <v>235</v>
      </c>
      <c r="F11" s="4" t="s">
        <v>235</v>
      </c>
      <c r="G11" s="8" t="s">
        <v>235</v>
      </c>
      <c r="H11" s="7" t="s">
        <v>235</v>
      </c>
      <c r="I11" s="7" t="s">
        <v>235</v>
      </c>
      <c r="J11" s="4"/>
      <c r="K11" s="8"/>
      <c r="L11" s="4"/>
      <c r="M11" s="8"/>
      <c r="N11" s="7"/>
      <c r="O11" s="7"/>
    </row>
    <row r="12">
      <c r="A12" s="2" t="s">
        <v>871</v>
      </c>
      <c r="B12" s="2" t="s">
        <v>1452</v>
      </c>
      <c r="C12" s="2" t="s">
        <v>2263</v>
      </c>
      <c r="D12" s="4" t="s">
        <v>235</v>
      </c>
      <c r="E12" s="8" t="s">
        <v>235</v>
      </c>
      <c r="F12" s="4" t="s">
        <v>235</v>
      </c>
      <c r="G12" s="8" t="s">
        <v>235</v>
      </c>
      <c r="H12" s="7" t="s">
        <v>235</v>
      </c>
      <c r="I12" s="7" t="s">
        <v>235</v>
      </c>
      <c r="J12" s="4"/>
      <c r="K12" s="8"/>
      <c r="L12" s="4"/>
      <c r="M12" s="8"/>
      <c r="N12" s="7"/>
      <c r="O12" s="7"/>
    </row>
    <row r="13">
      <c r="A13" s="2" t="s">
        <v>871</v>
      </c>
      <c r="B13" s="2" t="s">
        <v>1452</v>
      </c>
      <c r="C13" s="2" t="s">
        <v>1453</v>
      </c>
      <c r="D13" s="4" t="s">
        <v>235</v>
      </c>
      <c r="E13" s="8" t="s">
        <v>235</v>
      </c>
      <c r="F13" s="4" t="s">
        <v>235</v>
      </c>
      <c r="G13" s="8" t="s">
        <v>235</v>
      </c>
      <c r="H13" s="7" t="s">
        <v>235</v>
      </c>
      <c r="I13" s="7" t="s">
        <v>235</v>
      </c>
      <c r="J13" s="4"/>
      <c r="K13" s="8"/>
      <c r="L13" s="4"/>
      <c r="M13" s="8"/>
      <c r="N13" s="7"/>
      <c r="O13" s="7"/>
    </row>
    <row r="14">
      <c r="A14" s="2" t="s">
        <v>871</v>
      </c>
      <c r="B14" s="2" t="s">
        <v>1452</v>
      </c>
      <c r="C14" s="2" t="s">
        <v>1895</v>
      </c>
      <c r="D14" s="4" t="s">
        <v>235</v>
      </c>
      <c r="E14" s="8" t="s">
        <v>235</v>
      </c>
      <c r="F14" s="4" t="s">
        <v>235</v>
      </c>
      <c r="G14" s="8" t="s">
        <v>235</v>
      </c>
      <c r="H14" s="7" t="s">
        <v>235</v>
      </c>
      <c r="I14" s="7" t="s">
        <v>235</v>
      </c>
      <c r="J14" s="4"/>
      <c r="K14" s="8"/>
      <c r="L14" s="4"/>
      <c r="M14" s="8"/>
      <c r="N14" s="7"/>
      <c r="O14" s="7"/>
    </row>
    <row r="15">
      <c r="A15" s="2" t="s">
        <v>871</v>
      </c>
      <c r="B15" s="2" t="s">
        <v>1452</v>
      </c>
      <c r="C15" s="2" t="s">
        <v>4228</v>
      </c>
      <c r="D15" s="4" t="s">
        <v>235</v>
      </c>
      <c r="E15" s="8" t="s">
        <v>235</v>
      </c>
      <c r="F15" s="4" t="s">
        <v>235</v>
      </c>
      <c r="G15" s="8" t="s">
        <v>235</v>
      </c>
      <c r="H15" s="7" t="s">
        <v>235</v>
      </c>
      <c r="I15" s="7" t="s">
        <v>235</v>
      </c>
      <c r="J15" s="4"/>
      <c r="K15" s="8"/>
      <c r="L15" s="4"/>
      <c r="M15" s="8"/>
      <c r="N15" s="7"/>
      <c r="O15" s="7"/>
    </row>
    <row r="16">
      <c r="A16" s="2" t="s">
        <v>871</v>
      </c>
      <c r="B16" s="2" t="s">
        <v>906</v>
      </c>
      <c r="C16" s="2" t="s">
        <v>907</v>
      </c>
      <c r="D16" s="4" t="s">
        <v>235</v>
      </c>
      <c r="E16" s="8" t="s">
        <v>235</v>
      </c>
      <c r="F16" s="4" t="s">
        <v>235</v>
      </c>
      <c r="G16" s="8" t="s">
        <v>235</v>
      </c>
      <c r="H16" s="7" t="s">
        <v>235</v>
      </c>
      <c r="I16" s="7" t="s">
        <v>235</v>
      </c>
      <c r="J16" s="4"/>
      <c r="K16" s="8"/>
      <c r="L16" s="4"/>
      <c r="M16" s="8"/>
      <c r="N16" s="7"/>
      <c r="O16" s="7"/>
    </row>
    <row r="17">
      <c r="A17" s="2" t="s">
        <v>871</v>
      </c>
      <c r="B17" s="2" t="s">
        <v>906</v>
      </c>
      <c r="C17" s="2" t="s">
        <v>1301</v>
      </c>
      <c r="D17" s="4" t="s">
        <v>235</v>
      </c>
      <c r="E17" s="8" t="s">
        <v>235</v>
      </c>
      <c r="F17" s="4" t="s">
        <v>235</v>
      </c>
      <c r="G17" s="8" t="s">
        <v>235</v>
      </c>
      <c r="H17" s="7" t="s">
        <v>235</v>
      </c>
      <c r="I17" s="7" t="s">
        <v>235</v>
      </c>
      <c r="J17" s="4"/>
      <c r="K17" s="8"/>
      <c r="L17" s="4"/>
      <c r="M17" s="8"/>
      <c r="N17" s="7"/>
      <c r="O17" s="7"/>
    </row>
    <row r="18">
      <c r="A18" s="2" t="s">
        <v>871</v>
      </c>
      <c r="B18" s="2" t="s">
        <v>1539</v>
      </c>
      <c r="C18" s="2" t="s">
        <v>1839</v>
      </c>
      <c r="D18" s="4" t="s">
        <v>235</v>
      </c>
      <c r="E18" s="8" t="s">
        <v>235</v>
      </c>
      <c r="F18" s="4" t="s">
        <v>235</v>
      </c>
      <c r="G18" s="8" t="s">
        <v>235</v>
      </c>
      <c r="H18" s="7" t="s">
        <v>235</v>
      </c>
      <c r="I18" s="7" t="s">
        <v>235</v>
      </c>
      <c r="J18" s="4"/>
      <c r="K18" s="8"/>
      <c r="L18" s="4"/>
      <c r="M18" s="8"/>
      <c r="N18" s="7"/>
      <c r="O18" s="7"/>
    </row>
    <row r="19">
      <c r="A19" s="2" t="s">
        <v>871</v>
      </c>
      <c r="B19" s="2" t="s">
        <v>1539</v>
      </c>
      <c r="C19" s="2" t="s">
        <v>1540</v>
      </c>
      <c r="D19" s="4" t="s">
        <v>235</v>
      </c>
      <c r="E19" s="8" t="s">
        <v>235</v>
      </c>
      <c r="F19" s="4" t="s">
        <v>235</v>
      </c>
      <c r="G19" s="8" t="s">
        <v>235</v>
      </c>
      <c r="H19" s="7" t="s">
        <v>235</v>
      </c>
      <c r="I19" s="7" t="s">
        <v>235</v>
      </c>
      <c r="J19" s="4"/>
      <c r="K19" s="8"/>
      <c r="L19" s="4"/>
      <c r="M19" s="8"/>
      <c r="N19" s="7"/>
      <c r="O19" s="7"/>
    </row>
    <row r="20">
      <c r="A20" s="2" t="s">
        <v>871</v>
      </c>
      <c r="B20" s="2" t="s">
        <v>4227</v>
      </c>
      <c r="C20" s="2" t="s">
        <v>1895</v>
      </c>
      <c r="D20" s="4" t="s">
        <v>235</v>
      </c>
      <c r="E20" s="8" t="s">
        <v>235</v>
      </c>
      <c r="F20" s="4" t="s">
        <v>235</v>
      </c>
      <c r="G20" s="8" t="s">
        <v>235</v>
      </c>
      <c r="H20" s="7" t="s">
        <v>235</v>
      </c>
      <c r="I20" s="7" t="s">
        <v>235</v>
      </c>
      <c r="J20" s="4"/>
      <c r="K20" s="8"/>
      <c r="L20" s="4"/>
      <c r="M20" s="8"/>
      <c r="N20" s="7"/>
      <c r="O20" s="7"/>
    </row>
    <row r="21">
      <c r="A21" s="2" t="s">
        <v>871</v>
      </c>
      <c r="B21" s="2" t="s">
        <v>4227</v>
      </c>
      <c r="C21" s="2" t="s">
        <v>4228</v>
      </c>
      <c r="D21" s="4" t="s">
        <v>235</v>
      </c>
      <c r="E21" s="8" t="s">
        <v>235</v>
      </c>
      <c r="F21" s="4" t="s">
        <v>235</v>
      </c>
      <c r="G21" s="8" t="s">
        <v>235</v>
      </c>
      <c r="H21" s="7" t="s">
        <v>235</v>
      </c>
      <c r="I21" s="7" t="s">
        <v>235</v>
      </c>
      <c r="J21" s="4"/>
      <c r="K21" s="8"/>
      <c r="L21" s="4"/>
      <c r="M21" s="8"/>
      <c r="N21" s="7"/>
      <c r="O21" s="7"/>
    </row>
    <row r="22">
      <c r="A22" s="2" t="s">
        <v>871</v>
      </c>
      <c r="B22" s="2" t="s">
        <v>1140</v>
      </c>
      <c r="C22" s="2" t="s">
        <v>1141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871</v>
      </c>
      <c r="B23" s="2" t="s">
        <v>990</v>
      </c>
      <c r="C23" s="2" t="s">
        <v>1329</v>
      </c>
      <c r="D23" s="4" t="s">
        <v>235</v>
      </c>
      <c r="E23" s="8" t="s">
        <v>235</v>
      </c>
      <c r="F23" s="4" t="s">
        <v>235</v>
      </c>
      <c r="G23" s="8" t="s">
        <v>235</v>
      </c>
      <c r="H23" s="7" t="s">
        <v>235</v>
      </c>
      <c r="I23" s="7" t="s">
        <v>235</v>
      </c>
      <c r="J23" s="4"/>
      <c r="K23" s="8"/>
      <c r="L23" s="4"/>
      <c r="M23" s="8"/>
      <c r="N23" s="7"/>
      <c r="O23" s="7"/>
    </row>
    <row r="24">
      <c r="A24" s="2" t="s">
        <v>871</v>
      </c>
      <c r="B24" s="2" t="s">
        <v>990</v>
      </c>
      <c r="C24" s="2" t="s">
        <v>991</v>
      </c>
      <c r="D24" s="4" t="s">
        <v>235</v>
      </c>
      <c r="E24" s="8" t="s">
        <v>235</v>
      </c>
      <c r="F24" s="4" t="s">
        <v>235</v>
      </c>
      <c r="G24" s="8" t="s">
        <v>235</v>
      </c>
      <c r="H24" s="7" t="s">
        <v>235</v>
      </c>
      <c r="I24" s="7" t="s">
        <v>235</v>
      </c>
      <c r="J24" s="4"/>
      <c r="K24" s="8"/>
      <c r="L24" s="4"/>
      <c r="M24" s="8"/>
      <c r="N24" s="7"/>
      <c r="O24" s="7"/>
    </row>
    <row r="25">
      <c r="A25" s="2" t="s">
        <v>871</v>
      </c>
      <c r="B25" s="2" t="s">
        <v>3920</v>
      </c>
      <c r="C25" s="2" t="s">
        <v>3921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871</v>
      </c>
      <c r="B26" s="2" t="s">
        <v>854</v>
      </c>
      <c r="C26" s="2" t="s">
        <v>855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817</v>
      </c>
      <c r="B27" s="2" t="s">
        <v>5003</v>
      </c>
      <c r="C27" s="2" t="s">
        <v>5004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817</v>
      </c>
      <c r="B28" s="2" t="s">
        <v>818</v>
      </c>
      <c r="C28" s="2" t="s">
        <v>1689</v>
      </c>
      <c r="D28" s="4" t="s">
        <v>235</v>
      </c>
      <c r="E28" s="8" t="s">
        <v>235</v>
      </c>
      <c r="F28" s="4" t="s">
        <v>235</v>
      </c>
      <c r="G28" s="8" t="s">
        <v>235</v>
      </c>
      <c r="H28" s="7" t="s">
        <v>235</v>
      </c>
      <c r="I28" s="7" t="s">
        <v>235</v>
      </c>
      <c r="J28" s="4"/>
      <c r="K28" s="8"/>
      <c r="L28" s="4"/>
      <c r="M28" s="8"/>
      <c r="N28" s="7"/>
      <c r="O28" s="7"/>
    </row>
    <row r="29">
      <c r="A29" s="2" t="s">
        <v>817</v>
      </c>
      <c r="B29" s="2" t="s">
        <v>818</v>
      </c>
      <c r="C29" s="2" t="s">
        <v>819</v>
      </c>
      <c r="D29" s="4" t="s">
        <v>235</v>
      </c>
      <c r="E29" s="8" t="s">
        <v>235</v>
      </c>
      <c r="F29" s="4" t="s">
        <v>235</v>
      </c>
      <c r="G29" s="8" t="s">
        <v>235</v>
      </c>
      <c r="H29" s="7" t="s">
        <v>235</v>
      </c>
      <c r="I29" s="7" t="s">
        <v>235</v>
      </c>
      <c r="J29" s="4"/>
      <c r="K29" s="8"/>
      <c r="L29" s="4"/>
      <c r="M29" s="8"/>
      <c r="N29" s="7"/>
      <c r="O29" s="7"/>
    </row>
    <row r="30">
      <c r="A30" s="2" t="s">
        <v>817</v>
      </c>
      <c r="B30" s="2" t="s">
        <v>818</v>
      </c>
      <c r="C30" s="2" t="s">
        <v>4346</v>
      </c>
      <c r="D30" s="4" t="s">
        <v>235</v>
      </c>
      <c r="E30" s="8" t="s">
        <v>235</v>
      </c>
      <c r="F30" s="4" t="s">
        <v>235</v>
      </c>
      <c r="G30" s="8" t="s">
        <v>235</v>
      </c>
      <c r="H30" s="7" t="s">
        <v>235</v>
      </c>
      <c r="I30" s="7" t="s">
        <v>235</v>
      </c>
      <c r="J30" s="4"/>
      <c r="K30" s="8"/>
      <c r="L30" s="4"/>
      <c r="M30" s="8"/>
      <c r="N30" s="7"/>
      <c r="O30" s="7"/>
    </row>
    <row r="31">
      <c r="A31" s="2" t="s">
        <v>817</v>
      </c>
      <c r="B31" s="2" t="s">
        <v>1519</v>
      </c>
      <c r="C31" s="2" t="s">
        <v>1520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224</v>
      </c>
      <c r="B32" s="2" t="s">
        <v>981</v>
      </c>
      <c r="C32" s="2" t="s">
        <v>2509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224</v>
      </c>
      <c r="B33" s="2" t="s">
        <v>361</v>
      </c>
      <c r="C33" s="2" t="s">
        <v>924</v>
      </c>
      <c r="D33" s="4" t="s">
        <v>235</v>
      </c>
      <c r="E33" s="8" t="s">
        <v>235</v>
      </c>
      <c r="F33" s="4" t="s">
        <v>235</v>
      </c>
      <c r="G33" s="8" t="s">
        <v>235</v>
      </c>
      <c r="H33" s="7" t="s">
        <v>235</v>
      </c>
      <c r="I33" s="7" t="s">
        <v>235</v>
      </c>
      <c r="J33" s="4"/>
      <c r="K33" s="8"/>
      <c r="L33" s="4"/>
      <c r="M33" s="8"/>
      <c r="N33" s="7"/>
      <c r="O33" s="7"/>
    </row>
    <row r="34">
      <c r="A34" s="2" t="s">
        <v>224</v>
      </c>
      <c r="B34" s="2" t="s">
        <v>361</v>
      </c>
      <c r="C34" s="2" t="s">
        <v>362</v>
      </c>
      <c r="D34" s="4" t="s">
        <v>235</v>
      </c>
      <c r="E34" s="8" t="s">
        <v>235</v>
      </c>
      <c r="F34" s="4" t="s">
        <v>235</v>
      </c>
      <c r="G34" s="8" t="s">
        <v>235</v>
      </c>
      <c r="H34" s="7" t="s">
        <v>235</v>
      </c>
      <c r="I34" s="7" t="s">
        <v>235</v>
      </c>
      <c r="J34" s="4"/>
      <c r="K34" s="8"/>
      <c r="L34" s="4"/>
      <c r="M34" s="8"/>
      <c r="N34" s="7"/>
      <c r="O34" s="7"/>
    </row>
    <row r="35">
      <c r="A35" s="2" t="s">
        <v>224</v>
      </c>
      <c r="B35" s="2" t="s">
        <v>361</v>
      </c>
      <c r="C35" s="2" t="s">
        <v>1037</v>
      </c>
      <c r="D35" s="4" t="s">
        <v>235</v>
      </c>
      <c r="E35" s="8" t="s">
        <v>235</v>
      </c>
      <c r="F35" s="4" t="s">
        <v>235</v>
      </c>
      <c r="G35" s="8" t="s">
        <v>235</v>
      </c>
      <c r="H35" s="7" t="s">
        <v>235</v>
      </c>
      <c r="I35" s="7" t="s">
        <v>235</v>
      </c>
      <c r="J35" s="4"/>
      <c r="K35" s="8"/>
      <c r="L35" s="4"/>
      <c r="M35" s="8"/>
      <c r="N35" s="7"/>
      <c r="O35" s="7"/>
    </row>
    <row r="36">
      <c r="A36" s="2" t="s">
        <v>224</v>
      </c>
      <c r="B36" s="2" t="s">
        <v>361</v>
      </c>
      <c r="C36" s="2" t="s">
        <v>1735</v>
      </c>
      <c r="D36" s="4" t="s">
        <v>235</v>
      </c>
      <c r="E36" s="8" t="s">
        <v>235</v>
      </c>
      <c r="F36" s="4" t="s">
        <v>235</v>
      </c>
      <c r="G36" s="8" t="s">
        <v>235</v>
      </c>
      <c r="H36" s="7" t="s">
        <v>235</v>
      </c>
      <c r="I36" s="7" t="s">
        <v>235</v>
      </c>
      <c r="J36" s="4"/>
      <c r="K36" s="8"/>
      <c r="L36" s="4"/>
      <c r="M36" s="8"/>
      <c r="N36" s="7"/>
      <c r="O36" s="7"/>
    </row>
    <row r="37">
      <c r="A37" s="2" t="s">
        <v>224</v>
      </c>
      <c r="B37" s="2" t="s">
        <v>226</v>
      </c>
      <c r="C37" s="2" t="s">
        <v>3684</v>
      </c>
      <c r="D37" s="4" t="s">
        <v>235</v>
      </c>
      <c r="E37" s="8" t="s">
        <v>235</v>
      </c>
      <c r="F37" s="4" t="s">
        <v>235</v>
      </c>
      <c r="G37" s="8" t="s">
        <v>235</v>
      </c>
      <c r="H37" s="7" t="s">
        <v>235</v>
      </c>
      <c r="I37" s="7" t="s">
        <v>235</v>
      </c>
      <c r="J37" s="4"/>
      <c r="K37" s="8"/>
      <c r="L37" s="4"/>
      <c r="M37" s="8"/>
      <c r="N37" s="7"/>
      <c r="O37" s="7"/>
    </row>
    <row r="38">
      <c r="A38" s="2" t="s">
        <v>224</v>
      </c>
      <c r="B38" s="2" t="s">
        <v>226</v>
      </c>
      <c r="C38" s="2" t="s">
        <v>227</v>
      </c>
      <c r="D38" s="4" t="s">
        <v>235</v>
      </c>
      <c r="E38" s="8" t="s">
        <v>235</v>
      </c>
      <c r="F38" s="4" t="s">
        <v>235</v>
      </c>
      <c r="G38" s="8" t="s">
        <v>235</v>
      </c>
      <c r="H38" s="7" t="s">
        <v>235</v>
      </c>
      <c r="I38" s="7" t="s">
        <v>235</v>
      </c>
      <c r="J38" s="4"/>
      <c r="K38" s="8"/>
      <c r="L38" s="4"/>
      <c r="M38" s="8"/>
      <c r="N38" s="7"/>
      <c r="O38" s="7"/>
    </row>
    <row r="39">
      <c r="A39" s="2" t="s">
        <v>224</v>
      </c>
      <c r="B39" s="2" t="s">
        <v>1539</v>
      </c>
      <c r="C39" s="2" t="s">
        <v>6597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224</v>
      </c>
      <c r="B40" s="2" t="s">
        <v>990</v>
      </c>
      <c r="C40" s="2" t="s">
        <v>2509</v>
      </c>
      <c r="D40" s="4" t="s">
        <v>235</v>
      </c>
      <c r="E40" s="8" t="s">
        <v>235</v>
      </c>
      <c r="F40" s="4" t="s">
        <v>235</v>
      </c>
      <c r="G40" s="8" t="s">
        <v>235</v>
      </c>
      <c r="H40" s="7" t="s">
        <v>235</v>
      </c>
      <c r="I40" s="7" t="s">
        <v>235</v>
      </c>
      <c r="J40" s="4"/>
      <c r="K40" s="8"/>
      <c r="L40" s="4"/>
      <c r="M40" s="8"/>
      <c r="N40" s="7"/>
      <c r="O40" s="7"/>
    </row>
    <row r="41">
      <c r="A41" s="2" t="s">
        <v>224</v>
      </c>
      <c r="B41" s="2" t="s">
        <v>990</v>
      </c>
      <c r="C41" s="2" t="s">
        <v>1329</v>
      </c>
      <c r="D41" s="4" t="s">
        <v>235</v>
      </c>
      <c r="E41" s="8" t="s">
        <v>235</v>
      </c>
      <c r="F41" s="4" t="s">
        <v>235</v>
      </c>
      <c r="G41" s="8" t="s">
        <v>235</v>
      </c>
      <c r="H41" s="7" t="s">
        <v>235</v>
      </c>
      <c r="I41" s="7" t="s">
        <v>235</v>
      </c>
      <c r="J41" s="4"/>
      <c r="K41" s="8"/>
      <c r="L41" s="4"/>
      <c r="M41" s="8"/>
      <c r="N41" s="7"/>
      <c r="O41" s="7"/>
    </row>
    <row r="42">
      <c r="A42" s="2" t="s">
        <v>1139</v>
      </c>
      <c r="B42" s="2" t="s">
        <v>2796</v>
      </c>
      <c r="C42" s="2" t="s">
        <v>2797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1139</v>
      </c>
      <c r="B43" s="2" t="s">
        <v>1152</v>
      </c>
      <c r="C43" s="2" t="s">
        <v>1153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1139</v>
      </c>
      <c r="B44" s="2" t="s">
        <v>607</v>
      </c>
      <c r="C44" s="2" t="s">
        <v>608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1139</v>
      </c>
      <c r="B45" s="2" t="s">
        <v>5956</v>
      </c>
      <c r="C45" s="2" t="s">
        <v>608</v>
      </c>
      <c r="D45" s="4" t="s">
        <v>235</v>
      </c>
      <c r="E45" s="8" t="s">
        <v>235</v>
      </c>
      <c r="F45" s="4" t="s">
        <v>235</v>
      </c>
      <c r="G45" s="8" t="s">
        <v>235</v>
      </c>
      <c r="H45" s="7" t="s">
        <v>235</v>
      </c>
      <c r="I45" s="7" t="s">
        <v>235</v>
      </c>
      <c r="J45" s="4"/>
      <c r="K45" s="8"/>
      <c r="L45" s="4"/>
      <c r="M45" s="8"/>
      <c r="N45" s="7"/>
      <c r="O45" s="7"/>
    </row>
    <row r="46">
      <c r="A46" s="2" t="s">
        <v>1139</v>
      </c>
      <c r="B46" s="2" t="s">
        <v>5956</v>
      </c>
      <c r="C46" s="2" t="s">
        <v>6688</v>
      </c>
      <c r="D46" s="4" t="s">
        <v>235</v>
      </c>
      <c r="E46" s="8" t="s">
        <v>235</v>
      </c>
      <c r="F46" s="4" t="s">
        <v>235</v>
      </c>
      <c r="G46" s="8" t="s">
        <v>235</v>
      </c>
      <c r="H46" s="7" t="s">
        <v>235</v>
      </c>
      <c r="I46" s="7" t="s">
        <v>235</v>
      </c>
      <c r="J46" s="4"/>
      <c r="K46" s="8"/>
      <c r="L46" s="4"/>
      <c r="M46" s="8"/>
      <c r="N46" s="7"/>
      <c r="O46" s="7"/>
    </row>
    <row r="47">
      <c r="A47" s="2" t="s">
        <v>1139</v>
      </c>
      <c r="B47" s="2" t="s">
        <v>1140</v>
      </c>
      <c r="C47" s="2" t="s">
        <v>1141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905</v>
      </c>
      <c r="B48" s="2" t="s">
        <v>981</v>
      </c>
      <c r="C48" s="2" t="s">
        <v>982</v>
      </c>
      <c r="D48" s="4" t="s">
        <v>235</v>
      </c>
      <c r="E48" s="8" t="s">
        <v>235</v>
      </c>
      <c r="F48" s="4" t="s">
        <v>235</v>
      </c>
      <c r="G48" s="8" t="s">
        <v>235</v>
      </c>
      <c r="H48" s="7" t="s">
        <v>235</v>
      </c>
      <c r="I48" s="7" t="s">
        <v>235</v>
      </c>
      <c r="J48" s="4"/>
      <c r="K48" s="8"/>
      <c r="L48" s="4"/>
      <c r="M48" s="8"/>
      <c r="N48" s="7"/>
      <c r="O48" s="7"/>
    </row>
    <row r="49">
      <c r="A49" s="2" t="s">
        <v>905</v>
      </c>
      <c r="B49" s="2" t="s">
        <v>981</v>
      </c>
      <c r="C49" s="2" t="s">
        <v>330</v>
      </c>
      <c r="D49" s="4" t="s">
        <v>235</v>
      </c>
      <c r="E49" s="8" t="s">
        <v>235</v>
      </c>
      <c r="F49" s="4" t="s">
        <v>235</v>
      </c>
      <c r="G49" s="8" t="s">
        <v>235</v>
      </c>
      <c r="H49" s="7" t="s">
        <v>235</v>
      </c>
      <c r="I49" s="7" t="s">
        <v>235</v>
      </c>
      <c r="J49" s="4"/>
      <c r="K49" s="8"/>
      <c r="L49" s="4"/>
      <c r="M49" s="8"/>
      <c r="N49" s="7"/>
      <c r="O49" s="7"/>
    </row>
    <row r="50">
      <c r="A50" s="2" t="s">
        <v>905</v>
      </c>
      <c r="B50" s="2" t="s">
        <v>361</v>
      </c>
      <c r="C50" s="2" t="s">
        <v>872</v>
      </c>
      <c r="D50" s="4" t="s">
        <v>235</v>
      </c>
      <c r="E50" s="8" t="s">
        <v>235</v>
      </c>
      <c r="F50" s="4" t="s">
        <v>235</v>
      </c>
      <c r="G50" s="8" t="s">
        <v>235</v>
      </c>
      <c r="H50" s="7" t="s">
        <v>235</v>
      </c>
      <c r="I50" s="7" t="s">
        <v>235</v>
      </c>
      <c r="J50" s="4"/>
      <c r="K50" s="8"/>
      <c r="L50" s="4"/>
      <c r="M50" s="8"/>
      <c r="N50" s="7"/>
      <c r="O50" s="7"/>
    </row>
    <row r="51">
      <c r="A51" s="2" t="s">
        <v>905</v>
      </c>
      <c r="B51" s="2" t="s">
        <v>361</v>
      </c>
      <c r="C51" s="2" t="s">
        <v>924</v>
      </c>
      <c r="D51" s="4" t="s">
        <v>235</v>
      </c>
      <c r="E51" s="8" t="s">
        <v>235</v>
      </c>
      <c r="F51" s="4" t="s">
        <v>235</v>
      </c>
      <c r="G51" s="8" t="s">
        <v>235</v>
      </c>
      <c r="H51" s="7" t="s">
        <v>235</v>
      </c>
      <c r="I51" s="7" t="s">
        <v>235</v>
      </c>
      <c r="J51" s="4"/>
      <c r="K51" s="8"/>
      <c r="L51" s="4"/>
      <c r="M51" s="8"/>
      <c r="N51" s="7"/>
      <c r="O51" s="7"/>
    </row>
    <row r="52">
      <c r="A52" s="2" t="s">
        <v>905</v>
      </c>
      <c r="B52" s="2" t="s">
        <v>906</v>
      </c>
      <c r="C52" s="2" t="s">
        <v>907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905</v>
      </c>
      <c r="B53" s="2" t="s">
        <v>2650</v>
      </c>
      <c r="C53" s="2" t="s">
        <v>2651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905</v>
      </c>
      <c r="B54" s="2" t="s">
        <v>1177</v>
      </c>
      <c r="C54" s="2" t="s">
        <v>6472</v>
      </c>
      <c r="D54" s="4" t="s">
        <v>235</v>
      </c>
      <c r="E54" s="8" t="s">
        <v>235</v>
      </c>
      <c r="F54" s="4" t="s">
        <v>235</v>
      </c>
      <c r="G54" s="8" t="s">
        <v>235</v>
      </c>
      <c r="H54" s="7" t="s">
        <v>235</v>
      </c>
      <c r="I54" s="7" t="s">
        <v>235</v>
      </c>
      <c r="J54" s="4"/>
      <c r="K54" s="8"/>
      <c r="L54" s="4"/>
      <c r="M54" s="8"/>
      <c r="N54" s="7"/>
      <c r="O54" s="7"/>
    </row>
    <row r="55">
      <c r="A55" s="2" t="s">
        <v>905</v>
      </c>
      <c r="B55" s="2" t="s">
        <v>1177</v>
      </c>
      <c r="C55" s="2" t="s">
        <v>2747</v>
      </c>
      <c r="D55" s="4" t="s">
        <v>235</v>
      </c>
      <c r="E55" s="8" t="s">
        <v>235</v>
      </c>
      <c r="F55" s="4" t="s">
        <v>235</v>
      </c>
      <c r="G55" s="8" t="s">
        <v>235</v>
      </c>
      <c r="H55" s="7" t="s">
        <v>235</v>
      </c>
      <c r="I55" s="7" t="s">
        <v>235</v>
      </c>
      <c r="J55" s="4"/>
      <c r="K55" s="8"/>
      <c r="L55" s="4"/>
      <c r="M55" s="8"/>
      <c r="N55" s="7"/>
      <c r="O55" s="7"/>
    </row>
    <row r="56">
      <c r="A56" s="2" t="s">
        <v>905</v>
      </c>
      <c r="B56" s="2" t="s">
        <v>1177</v>
      </c>
      <c r="C56" s="2" t="s">
        <v>1178</v>
      </c>
      <c r="D56" s="4" t="s">
        <v>235</v>
      </c>
      <c r="E56" s="8" t="s">
        <v>235</v>
      </c>
      <c r="F56" s="4" t="s">
        <v>235</v>
      </c>
      <c r="G56" s="8" t="s">
        <v>235</v>
      </c>
      <c r="H56" s="7" t="s">
        <v>235</v>
      </c>
      <c r="I56" s="7" t="s">
        <v>235</v>
      </c>
      <c r="J56" s="4"/>
      <c r="K56" s="8"/>
      <c r="L56" s="4"/>
      <c r="M56" s="8"/>
      <c r="N56" s="7"/>
      <c r="O56" s="7"/>
    </row>
    <row r="57">
      <c r="A57" s="2" t="s">
        <v>905</v>
      </c>
      <c r="B57" s="2" t="s">
        <v>1539</v>
      </c>
      <c r="C57" s="2" t="s">
        <v>1839</v>
      </c>
      <c r="D57" s="4" t="s">
        <v>235</v>
      </c>
      <c r="E57" s="8" t="s">
        <v>235</v>
      </c>
      <c r="F57" s="4" t="s">
        <v>235</v>
      </c>
      <c r="G57" s="8" t="s">
        <v>235</v>
      </c>
      <c r="H57" s="7" t="s">
        <v>235</v>
      </c>
      <c r="I57" s="7" t="s">
        <v>235</v>
      </c>
      <c r="J57" s="4"/>
      <c r="K57" s="8"/>
      <c r="L57" s="4"/>
      <c r="M57" s="8"/>
      <c r="N57" s="7"/>
      <c r="O57" s="7"/>
    </row>
    <row r="58">
      <c r="A58" s="2" t="s">
        <v>905</v>
      </c>
      <c r="B58" s="2" t="s">
        <v>1539</v>
      </c>
      <c r="C58" s="2" t="s">
        <v>1540</v>
      </c>
      <c r="D58" s="4" t="s">
        <v>235</v>
      </c>
      <c r="E58" s="8" t="s">
        <v>235</v>
      </c>
      <c r="F58" s="4" t="s">
        <v>235</v>
      </c>
      <c r="G58" s="8" t="s">
        <v>235</v>
      </c>
      <c r="H58" s="7" t="s">
        <v>235</v>
      </c>
      <c r="I58" s="7" t="s">
        <v>235</v>
      </c>
      <c r="J58" s="4"/>
      <c r="K58" s="8"/>
      <c r="L58" s="4"/>
      <c r="M58" s="8"/>
      <c r="N58" s="7"/>
      <c r="O58" s="7"/>
    </row>
    <row r="59">
      <c r="A59" s="2" t="s">
        <v>905</v>
      </c>
      <c r="B59" s="2" t="s">
        <v>274</v>
      </c>
      <c r="C59" s="2" t="s">
        <v>275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905</v>
      </c>
      <c r="B60" s="2" t="s">
        <v>990</v>
      </c>
      <c r="C60" s="2" t="s">
        <v>1329</v>
      </c>
      <c r="D60" s="4" t="s">
        <v>235</v>
      </c>
      <c r="E60" s="8" t="s">
        <v>235</v>
      </c>
      <c r="F60" s="4" t="s">
        <v>235</v>
      </c>
      <c r="G60" s="8" t="s">
        <v>235</v>
      </c>
      <c r="H60" s="7" t="s">
        <v>235</v>
      </c>
      <c r="I60" s="7" t="s">
        <v>235</v>
      </c>
      <c r="J60" s="4"/>
      <c r="K60" s="8"/>
      <c r="L60" s="4"/>
      <c r="M60" s="8"/>
      <c r="N60" s="7"/>
      <c r="O60" s="7"/>
    </row>
    <row r="61">
      <c r="A61" s="2" t="s">
        <v>905</v>
      </c>
      <c r="B61" s="2" t="s">
        <v>990</v>
      </c>
      <c r="C61" s="2" t="s">
        <v>991</v>
      </c>
      <c r="D61" s="4" t="s">
        <v>235</v>
      </c>
      <c r="E61" s="8" t="s">
        <v>235</v>
      </c>
      <c r="F61" s="4" t="s">
        <v>235</v>
      </c>
      <c r="G61" s="8" t="s">
        <v>235</v>
      </c>
      <c r="H61" s="7" t="s">
        <v>235</v>
      </c>
      <c r="I61" s="7" t="s">
        <v>235</v>
      </c>
      <c r="J61" s="4"/>
      <c r="K61" s="8"/>
      <c r="L61" s="4"/>
      <c r="M61" s="8"/>
      <c r="N61" s="7"/>
      <c r="O61" s="7"/>
    </row>
    <row r="62">
      <c r="A62" s="2" t="s">
        <v>1529</v>
      </c>
      <c r="B62" s="2" t="s">
        <v>1086</v>
      </c>
      <c r="C62" s="2" t="s">
        <v>4253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1529</v>
      </c>
      <c r="B63" s="2" t="s">
        <v>4778</v>
      </c>
      <c r="C63" s="2" t="s">
        <v>4779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1529</v>
      </c>
      <c r="B64" s="2" t="s">
        <v>4379</v>
      </c>
      <c r="C64" s="2" t="s">
        <v>4380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1529</v>
      </c>
      <c r="B65" s="2" t="s">
        <v>4193</v>
      </c>
      <c r="C65" s="2" t="s">
        <v>4198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1529</v>
      </c>
      <c r="B66" s="2" t="s">
        <v>4374</v>
      </c>
      <c r="C66" s="2" t="s">
        <v>4375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1529</v>
      </c>
      <c r="B67" s="2" t="s">
        <v>4257</v>
      </c>
      <c r="C67" s="2" t="s">
        <v>4258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1529</v>
      </c>
      <c r="B68" s="2" t="s">
        <v>1417</v>
      </c>
      <c r="C68" s="2" t="s">
        <v>1530</v>
      </c>
      <c r="D68" s="4" t="s">
        <v>235</v>
      </c>
      <c r="E68" s="8" t="s">
        <v>235</v>
      </c>
      <c r="F68" s="4" t="s">
        <v>235</v>
      </c>
      <c r="G68" s="8" t="s">
        <v>235</v>
      </c>
      <c r="H68" s="7" t="s">
        <v>235</v>
      </c>
      <c r="I68" s="7" t="s">
        <v>235</v>
      </c>
      <c r="J68" s="4"/>
      <c r="K68" s="8"/>
      <c r="L68" s="4"/>
      <c r="M68" s="8"/>
      <c r="N68" s="7"/>
      <c r="O68" s="7"/>
    </row>
    <row r="69">
      <c r="A69" s="2" t="s">
        <v>1529</v>
      </c>
      <c r="B69" s="2" t="s">
        <v>1417</v>
      </c>
      <c r="C69" s="2" t="s">
        <v>1418</v>
      </c>
      <c r="D69" s="4" t="s">
        <v>235</v>
      </c>
      <c r="E69" s="8" t="s">
        <v>235</v>
      </c>
      <c r="F69" s="4" t="s">
        <v>235</v>
      </c>
      <c r="G69" s="8" t="s">
        <v>235</v>
      </c>
      <c r="H69" s="7" t="s">
        <v>235</v>
      </c>
      <c r="I69" s="7" t="s">
        <v>235</v>
      </c>
      <c r="J69" s="4"/>
      <c r="K69" s="8"/>
      <c r="L69" s="4"/>
      <c r="M69" s="8"/>
      <c r="N69" s="7"/>
      <c r="O69" s="7"/>
    </row>
    <row r="70">
      <c r="A70" s="2" t="s">
        <v>1529</v>
      </c>
      <c r="B70" s="2" t="s">
        <v>1539</v>
      </c>
      <c r="C70" s="2" t="s">
        <v>1540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1529</v>
      </c>
      <c r="B71" s="2" t="s">
        <v>4819</v>
      </c>
      <c r="C71" s="2" t="s">
        <v>4380</v>
      </c>
      <c r="D71" s="4" t="s">
        <v>235</v>
      </c>
      <c r="E71" s="8" t="s">
        <v>235</v>
      </c>
      <c r="F71" s="4" t="s">
        <v>235</v>
      </c>
      <c r="G71" s="8" t="s">
        <v>235</v>
      </c>
      <c r="H71" s="7" t="s">
        <v>235</v>
      </c>
      <c r="I71" s="7" t="s">
        <v>235</v>
      </c>
      <c r="J71" s="4"/>
      <c r="K71" s="8"/>
      <c r="L71" s="4"/>
      <c r="M71" s="8"/>
      <c r="N71" s="7"/>
      <c r="O71" s="7"/>
    </row>
    <row r="72">
      <c r="A72" s="2" t="s">
        <v>1529</v>
      </c>
      <c r="B72" s="2" t="s">
        <v>4819</v>
      </c>
      <c r="C72" s="2" t="s">
        <v>6148</v>
      </c>
      <c r="D72" s="4" t="s">
        <v>235</v>
      </c>
      <c r="E72" s="8" t="s">
        <v>235</v>
      </c>
      <c r="F72" s="4" t="s">
        <v>235</v>
      </c>
      <c r="G72" s="8" t="s">
        <v>235</v>
      </c>
      <c r="H72" s="7" t="s">
        <v>235</v>
      </c>
      <c r="I72" s="7" t="s">
        <v>235</v>
      </c>
      <c r="J72" s="4"/>
      <c r="K72" s="8"/>
      <c r="L72" s="4"/>
      <c r="M72" s="8"/>
      <c r="N72" s="7"/>
      <c r="O72" s="7"/>
    </row>
    <row r="73">
      <c r="A73" s="2" t="s">
        <v>1529</v>
      </c>
      <c r="B73" s="2" t="s">
        <v>6281</v>
      </c>
      <c r="C73" s="2" t="s">
        <v>5885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1071</v>
      </c>
      <c r="B74" s="2" t="s">
        <v>5022</v>
      </c>
      <c r="C74" s="2" t="s">
        <v>5023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1071</v>
      </c>
      <c r="B75" s="2" t="s">
        <v>1086</v>
      </c>
      <c r="C75" s="2" t="s">
        <v>1868</v>
      </c>
      <c r="D75" s="4" t="s">
        <v>235</v>
      </c>
      <c r="E75" s="8" t="s">
        <v>235</v>
      </c>
      <c r="F75" s="4" t="s">
        <v>235</v>
      </c>
      <c r="G75" s="8" t="s">
        <v>235</v>
      </c>
      <c r="H75" s="7" t="s">
        <v>235</v>
      </c>
      <c r="I75" s="7" t="s">
        <v>235</v>
      </c>
      <c r="J75" s="4"/>
      <c r="K75" s="8"/>
      <c r="L75" s="4"/>
      <c r="M75" s="8"/>
      <c r="N75" s="7"/>
      <c r="O75" s="7"/>
    </row>
    <row r="76">
      <c r="A76" s="2" t="s">
        <v>1071</v>
      </c>
      <c r="B76" s="2" t="s">
        <v>1086</v>
      </c>
      <c r="C76" s="2" t="s">
        <v>330</v>
      </c>
      <c r="D76" s="4" t="s">
        <v>235</v>
      </c>
      <c r="E76" s="8" t="s">
        <v>235</v>
      </c>
      <c r="F76" s="4" t="s">
        <v>235</v>
      </c>
      <c r="G76" s="8" t="s">
        <v>235</v>
      </c>
      <c r="H76" s="7" t="s">
        <v>235</v>
      </c>
      <c r="I76" s="7" t="s">
        <v>235</v>
      </c>
      <c r="J76" s="4"/>
      <c r="K76" s="8"/>
      <c r="L76" s="4"/>
      <c r="M76" s="8"/>
      <c r="N76" s="7"/>
      <c r="O76" s="7"/>
    </row>
    <row r="77">
      <c r="A77" s="2" t="s">
        <v>1071</v>
      </c>
      <c r="B77" s="2" t="s">
        <v>1482</v>
      </c>
      <c r="C77" s="2" t="s">
        <v>2524</v>
      </c>
      <c r="D77" s="4" t="s">
        <v>235</v>
      </c>
      <c r="E77" s="8" t="s">
        <v>235</v>
      </c>
      <c r="F77" s="4" t="s">
        <v>235</v>
      </c>
      <c r="G77" s="8" t="s">
        <v>235</v>
      </c>
      <c r="H77" s="7" t="s">
        <v>235</v>
      </c>
      <c r="I77" s="7" t="s">
        <v>235</v>
      </c>
      <c r="J77" s="4"/>
      <c r="K77" s="8"/>
      <c r="L77" s="4"/>
      <c r="M77" s="8"/>
      <c r="N77" s="7"/>
      <c r="O77" s="7"/>
    </row>
    <row r="78">
      <c r="A78" s="2" t="s">
        <v>1071</v>
      </c>
      <c r="B78" s="2" t="s">
        <v>1482</v>
      </c>
      <c r="C78" s="2" t="s">
        <v>1483</v>
      </c>
      <c r="D78" s="4" t="s">
        <v>235</v>
      </c>
      <c r="E78" s="8" t="s">
        <v>235</v>
      </c>
      <c r="F78" s="4" t="s">
        <v>235</v>
      </c>
      <c r="G78" s="8" t="s">
        <v>235</v>
      </c>
      <c r="H78" s="7" t="s">
        <v>235</v>
      </c>
      <c r="I78" s="7" t="s">
        <v>235</v>
      </c>
      <c r="J78" s="4"/>
      <c r="K78" s="8"/>
      <c r="L78" s="4"/>
      <c r="M78" s="8"/>
      <c r="N78" s="7"/>
      <c r="O78" s="7"/>
    </row>
    <row r="79">
      <c r="A79" s="2" t="s">
        <v>1071</v>
      </c>
      <c r="B79" s="2" t="s">
        <v>1482</v>
      </c>
      <c r="C79" s="2" t="s">
        <v>4428</v>
      </c>
      <c r="D79" s="4" t="s">
        <v>235</v>
      </c>
      <c r="E79" s="8" t="s">
        <v>235</v>
      </c>
      <c r="F79" s="4" t="s">
        <v>235</v>
      </c>
      <c r="G79" s="8" t="s">
        <v>235</v>
      </c>
      <c r="H79" s="7" t="s">
        <v>235</v>
      </c>
      <c r="I79" s="7" t="s">
        <v>235</v>
      </c>
      <c r="J79" s="4"/>
      <c r="K79" s="8"/>
      <c r="L79" s="4"/>
      <c r="M79" s="8"/>
      <c r="N79" s="7"/>
      <c r="O79" s="7"/>
    </row>
    <row r="80">
      <c r="A80" s="2" t="s">
        <v>1071</v>
      </c>
      <c r="B80" s="2" t="s">
        <v>1072</v>
      </c>
      <c r="C80" s="2" t="s">
        <v>1727</v>
      </c>
      <c r="D80" s="4" t="s">
        <v>235</v>
      </c>
      <c r="E80" s="8" t="s">
        <v>235</v>
      </c>
      <c r="F80" s="4" t="s">
        <v>235</v>
      </c>
      <c r="G80" s="8" t="s">
        <v>235</v>
      </c>
      <c r="H80" s="7" t="s">
        <v>235</v>
      </c>
      <c r="I80" s="7" t="s">
        <v>235</v>
      </c>
      <c r="J80" s="4"/>
      <c r="K80" s="8"/>
      <c r="L80" s="4"/>
      <c r="M80" s="8"/>
      <c r="N80" s="7"/>
      <c r="O80" s="7"/>
    </row>
    <row r="81">
      <c r="A81" s="2" t="s">
        <v>1071</v>
      </c>
      <c r="B81" s="2" t="s">
        <v>1072</v>
      </c>
      <c r="C81" s="2" t="s">
        <v>330</v>
      </c>
      <c r="D81" s="4" t="s">
        <v>235</v>
      </c>
      <c r="E81" s="8" t="s">
        <v>235</v>
      </c>
      <c r="F81" s="4" t="s">
        <v>235</v>
      </c>
      <c r="G81" s="8" t="s">
        <v>235</v>
      </c>
      <c r="H81" s="7" t="s">
        <v>235</v>
      </c>
      <c r="I81" s="7" t="s">
        <v>235</v>
      </c>
      <c r="J81" s="4"/>
      <c r="K81" s="8"/>
      <c r="L81" s="4"/>
      <c r="M81" s="8"/>
      <c r="N81" s="7"/>
      <c r="O81" s="7"/>
    </row>
    <row r="82">
      <c r="A82" s="2" t="s">
        <v>1071</v>
      </c>
      <c r="B82" s="2" t="s">
        <v>3590</v>
      </c>
      <c r="C82" s="2" t="s">
        <v>3591</v>
      </c>
      <c r="D82" s="4"/>
      <c r="E82" s="8"/>
      <c r="F82" s="4"/>
      <c r="G82" s="8"/>
      <c r="H82" s="7"/>
      <c r="I82" s="7"/>
      <c r="J82" s="4"/>
      <c r="K82" s="8"/>
      <c r="L82" s="4"/>
      <c r="M82" s="8"/>
      <c r="N82" s="7"/>
      <c r="O82" s="7"/>
    </row>
    <row r="83">
      <c r="A83" s="2" t="s">
        <v>1071</v>
      </c>
      <c r="B83" s="2" t="s">
        <v>4193</v>
      </c>
      <c r="C83" s="2" t="s">
        <v>4194</v>
      </c>
      <c r="D83" s="4" t="s">
        <v>235</v>
      </c>
      <c r="E83" s="8" t="s">
        <v>235</v>
      </c>
      <c r="F83" s="4" t="s">
        <v>235</v>
      </c>
      <c r="G83" s="8" t="s">
        <v>235</v>
      </c>
      <c r="H83" s="7" t="s">
        <v>235</v>
      </c>
      <c r="I83" s="7" t="s">
        <v>235</v>
      </c>
      <c r="J83" s="4"/>
      <c r="K83" s="8"/>
      <c r="L83" s="4"/>
      <c r="M83" s="8"/>
      <c r="N83" s="7"/>
      <c r="O83" s="7"/>
    </row>
    <row r="84">
      <c r="A84" s="2" t="s">
        <v>1071</v>
      </c>
      <c r="B84" s="2" t="s">
        <v>4193</v>
      </c>
      <c r="C84" s="2" t="s">
        <v>330</v>
      </c>
      <c r="D84" s="4" t="s">
        <v>235</v>
      </c>
      <c r="E84" s="8" t="s">
        <v>235</v>
      </c>
      <c r="F84" s="4" t="s">
        <v>235</v>
      </c>
      <c r="G84" s="8" t="s">
        <v>235</v>
      </c>
      <c r="H84" s="7" t="s">
        <v>235</v>
      </c>
      <c r="I84" s="7" t="s">
        <v>235</v>
      </c>
      <c r="J84" s="4"/>
      <c r="K84" s="8"/>
      <c r="L84" s="4"/>
      <c r="M84" s="8"/>
      <c r="N84" s="7"/>
      <c r="O84" s="7"/>
    </row>
    <row r="85">
      <c r="A85" s="2" t="s">
        <v>1071</v>
      </c>
      <c r="B85" s="2" t="s">
        <v>4986</v>
      </c>
      <c r="C85" s="2" t="s">
        <v>4987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1071</v>
      </c>
      <c r="B86" s="2" t="s">
        <v>1818</v>
      </c>
      <c r="C86" s="2" t="s">
        <v>1819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1071</v>
      </c>
      <c r="B87" s="2" t="s">
        <v>4374</v>
      </c>
      <c r="C87" s="2" t="s">
        <v>330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1071</v>
      </c>
      <c r="B88" s="2" t="s">
        <v>1102</v>
      </c>
      <c r="C88" s="2" t="s">
        <v>1103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1071</v>
      </c>
      <c r="B89" s="2" t="s">
        <v>1417</v>
      </c>
      <c r="C89" s="2" t="s">
        <v>1440</v>
      </c>
      <c r="D89" s="4" t="s">
        <v>235</v>
      </c>
      <c r="E89" s="8" t="s">
        <v>235</v>
      </c>
      <c r="F89" s="4" t="s">
        <v>235</v>
      </c>
      <c r="G89" s="8" t="s">
        <v>235</v>
      </c>
      <c r="H89" s="7" t="s">
        <v>235</v>
      </c>
      <c r="I89" s="7" t="s">
        <v>235</v>
      </c>
      <c r="J89" s="4"/>
      <c r="K89" s="8"/>
      <c r="L89" s="4"/>
      <c r="M89" s="8"/>
      <c r="N89" s="7"/>
      <c r="O89" s="7"/>
    </row>
    <row r="90">
      <c r="A90" s="2" t="s">
        <v>1071</v>
      </c>
      <c r="B90" s="2" t="s">
        <v>1417</v>
      </c>
      <c r="C90" s="2" t="s">
        <v>330</v>
      </c>
      <c r="D90" s="4" t="s">
        <v>235</v>
      </c>
      <c r="E90" s="8" t="s">
        <v>235</v>
      </c>
      <c r="F90" s="4" t="s">
        <v>235</v>
      </c>
      <c r="G90" s="8" t="s">
        <v>235</v>
      </c>
      <c r="H90" s="7" t="s">
        <v>235</v>
      </c>
      <c r="I90" s="7" t="s">
        <v>235</v>
      </c>
      <c r="J90" s="4"/>
      <c r="K90" s="8"/>
      <c r="L90" s="4"/>
      <c r="M90" s="8"/>
      <c r="N90" s="7"/>
      <c r="O90" s="7"/>
    </row>
    <row r="91">
      <c r="A91" s="2" t="s">
        <v>1071</v>
      </c>
      <c r="B91" s="2" t="s">
        <v>1417</v>
      </c>
      <c r="C91" s="2" t="s">
        <v>1530</v>
      </c>
      <c r="D91" s="4" t="s">
        <v>235</v>
      </c>
      <c r="E91" s="8" t="s">
        <v>235</v>
      </c>
      <c r="F91" s="4" t="s">
        <v>235</v>
      </c>
      <c r="G91" s="8" t="s">
        <v>235</v>
      </c>
      <c r="H91" s="7" t="s">
        <v>235</v>
      </c>
      <c r="I91" s="7" t="s">
        <v>235</v>
      </c>
      <c r="J91" s="4"/>
      <c r="K91" s="8"/>
      <c r="L91" s="4"/>
      <c r="M91" s="8"/>
      <c r="N91" s="7"/>
      <c r="O91" s="7"/>
    </row>
    <row r="92">
      <c r="A92" s="2" t="s">
        <v>1071</v>
      </c>
      <c r="B92" s="2" t="s">
        <v>1417</v>
      </c>
      <c r="C92" s="2" t="s">
        <v>1418</v>
      </c>
      <c r="D92" s="4" t="s">
        <v>235</v>
      </c>
      <c r="E92" s="8" t="s">
        <v>235</v>
      </c>
      <c r="F92" s="4" t="s">
        <v>235</v>
      </c>
      <c r="G92" s="8" t="s">
        <v>235</v>
      </c>
      <c r="H92" s="7" t="s">
        <v>235</v>
      </c>
      <c r="I92" s="7" t="s">
        <v>235</v>
      </c>
      <c r="J92" s="4"/>
      <c r="K92" s="8"/>
      <c r="L92" s="4"/>
      <c r="M92" s="8"/>
      <c r="N92" s="7"/>
      <c r="O92" s="7"/>
    </row>
    <row r="93">
      <c r="A93" s="2" t="s">
        <v>1071</v>
      </c>
      <c r="B93" s="2" t="s">
        <v>1417</v>
      </c>
      <c r="C93" s="2" t="s">
        <v>1507</v>
      </c>
      <c r="D93" s="4" t="s">
        <v>235</v>
      </c>
      <c r="E93" s="8" t="s">
        <v>235</v>
      </c>
      <c r="F93" s="4" t="s">
        <v>235</v>
      </c>
      <c r="G93" s="8" t="s">
        <v>235</v>
      </c>
      <c r="H93" s="7" t="s">
        <v>235</v>
      </c>
      <c r="I93" s="7" t="s">
        <v>235</v>
      </c>
      <c r="J93" s="4"/>
      <c r="K93" s="8"/>
      <c r="L93" s="4"/>
      <c r="M93" s="8"/>
      <c r="N93" s="7"/>
      <c r="O93" s="7"/>
    </row>
    <row r="94">
      <c r="A94" s="2" t="s">
        <v>1071</v>
      </c>
      <c r="B94" s="2" t="s">
        <v>7361</v>
      </c>
      <c r="C94" s="2" t="s">
        <v>7362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1071</v>
      </c>
      <c r="B95" s="2" t="s">
        <v>4819</v>
      </c>
      <c r="C95" s="2" t="s">
        <v>4820</v>
      </c>
      <c r="D95" s="4" t="s">
        <v>235</v>
      </c>
      <c r="E95" s="8" t="s">
        <v>235</v>
      </c>
      <c r="F95" s="4" t="s">
        <v>235</v>
      </c>
      <c r="G95" s="8" t="s">
        <v>235</v>
      </c>
      <c r="H95" s="7" t="s">
        <v>235</v>
      </c>
      <c r="I95" s="7" t="s">
        <v>235</v>
      </c>
      <c r="J95" s="4"/>
      <c r="K95" s="8"/>
      <c r="L95" s="4"/>
      <c r="M95" s="8"/>
      <c r="N95" s="7"/>
      <c r="O95" s="7"/>
    </row>
    <row r="96">
      <c r="A96" s="2" t="s">
        <v>1071</v>
      </c>
      <c r="B96" s="2" t="s">
        <v>4819</v>
      </c>
      <c r="C96" s="2" t="s">
        <v>330</v>
      </c>
      <c r="D96" s="4" t="s">
        <v>235</v>
      </c>
      <c r="E96" s="8" t="s">
        <v>235</v>
      </c>
      <c r="F96" s="4" t="s">
        <v>235</v>
      </c>
      <c r="G96" s="8" t="s">
        <v>235</v>
      </c>
      <c r="H96" s="7" t="s">
        <v>235</v>
      </c>
      <c r="I96" s="7" t="s">
        <v>235</v>
      </c>
      <c r="J96" s="4"/>
      <c r="K96" s="8"/>
      <c r="L96" s="4"/>
      <c r="M96" s="8"/>
      <c r="N96" s="7"/>
      <c r="O96" s="7"/>
    </row>
    <row r="97">
      <c r="A97" s="2" t="s">
        <v>1071</v>
      </c>
      <c r="B97" s="2" t="s">
        <v>4819</v>
      </c>
      <c r="C97" s="2" t="s">
        <v>6148</v>
      </c>
      <c r="D97" s="4" t="s">
        <v>235</v>
      </c>
      <c r="E97" s="8" t="s">
        <v>235</v>
      </c>
      <c r="F97" s="4" t="s">
        <v>235</v>
      </c>
      <c r="G97" s="8" t="s">
        <v>235</v>
      </c>
      <c r="H97" s="7" t="s">
        <v>235</v>
      </c>
      <c r="I97" s="7" t="s">
        <v>235</v>
      </c>
      <c r="J97" s="4"/>
      <c r="K97" s="8"/>
      <c r="L97" s="4"/>
      <c r="M97" s="8"/>
      <c r="N97" s="7"/>
      <c r="O97" s="7"/>
    </row>
    <row r="98">
      <c r="A98" s="2" t="s">
        <v>1071</v>
      </c>
      <c r="B98" s="2" t="s">
        <v>4819</v>
      </c>
      <c r="C98" s="2" t="s">
        <v>5797</v>
      </c>
      <c r="D98" s="4" t="s">
        <v>235</v>
      </c>
      <c r="E98" s="8" t="s">
        <v>235</v>
      </c>
      <c r="F98" s="4" t="s">
        <v>235</v>
      </c>
      <c r="G98" s="8" t="s">
        <v>235</v>
      </c>
      <c r="H98" s="7" t="s">
        <v>235</v>
      </c>
      <c r="I98" s="7" t="s">
        <v>235</v>
      </c>
      <c r="J98" s="4"/>
      <c r="K98" s="8"/>
      <c r="L98" s="4"/>
      <c r="M98" s="8"/>
      <c r="N98" s="7"/>
      <c r="O98" s="7"/>
    </row>
    <row r="99">
      <c r="A99" s="2" t="s">
        <v>1071</v>
      </c>
      <c r="B99" s="2" t="s">
        <v>5862</v>
      </c>
      <c r="C99" s="2" t="s">
        <v>5863</v>
      </c>
      <c r="D99" s="4" t="s">
        <v>235</v>
      </c>
      <c r="E99" s="8" t="s">
        <v>235</v>
      </c>
      <c r="F99" s="4" t="s">
        <v>235</v>
      </c>
      <c r="G99" s="8" t="s">
        <v>235</v>
      </c>
      <c r="H99" s="7" t="s">
        <v>235</v>
      </c>
      <c r="I99" s="7" t="s">
        <v>235</v>
      </c>
      <c r="J99" s="4"/>
      <c r="K99" s="8"/>
      <c r="L99" s="4"/>
      <c r="M99" s="8"/>
      <c r="N99" s="7"/>
      <c r="O99" s="7"/>
    </row>
    <row r="100">
      <c r="A100" s="2" t="s">
        <v>1071</v>
      </c>
      <c r="B100" s="2" t="s">
        <v>5862</v>
      </c>
      <c r="C100" s="2" t="s">
        <v>5874</v>
      </c>
      <c r="D100" s="4" t="s">
        <v>235</v>
      </c>
      <c r="E100" s="8" t="s">
        <v>235</v>
      </c>
      <c r="F100" s="4" t="s">
        <v>235</v>
      </c>
      <c r="G100" s="8" t="s">
        <v>235</v>
      </c>
      <c r="H100" s="7" t="s">
        <v>235</v>
      </c>
      <c r="I100" s="7" t="s">
        <v>235</v>
      </c>
      <c r="J100" s="4"/>
      <c r="K100" s="8"/>
      <c r="L100" s="4"/>
      <c r="M100" s="8"/>
      <c r="N100" s="7"/>
      <c r="O100" s="7"/>
    </row>
    <row r="101">
      <c r="A101" s="2" t="s">
        <v>255</v>
      </c>
      <c r="B101" s="2" t="s">
        <v>2033</v>
      </c>
      <c r="C101" s="2" t="s">
        <v>2034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255</v>
      </c>
      <c r="B102" s="2" t="s">
        <v>361</v>
      </c>
      <c r="C102" s="2" t="s">
        <v>872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255</v>
      </c>
      <c r="B103" s="2" t="s">
        <v>1452</v>
      </c>
      <c r="C103" s="2" t="s">
        <v>1453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255</v>
      </c>
      <c r="B104" s="2" t="s">
        <v>906</v>
      </c>
      <c r="C104" s="2" t="s">
        <v>907</v>
      </c>
      <c r="D104" s="4" t="s">
        <v>235</v>
      </c>
      <c r="E104" s="8" t="s">
        <v>235</v>
      </c>
      <c r="F104" s="4" t="s">
        <v>235</v>
      </c>
      <c r="G104" s="8" t="s">
        <v>235</v>
      </c>
      <c r="H104" s="7" t="s">
        <v>235</v>
      </c>
      <c r="I104" s="7" t="s">
        <v>235</v>
      </c>
      <c r="J104" s="4"/>
      <c r="K104" s="8"/>
      <c r="L104" s="4"/>
      <c r="M104" s="8"/>
      <c r="N104" s="7"/>
      <c r="O104" s="7"/>
    </row>
    <row r="105">
      <c r="A105" s="2" t="s">
        <v>255</v>
      </c>
      <c r="B105" s="2" t="s">
        <v>906</v>
      </c>
      <c r="C105" s="2" t="s">
        <v>1301</v>
      </c>
      <c r="D105" s="4" t="s">
        <v>235</v>
      </c>
      <c r="E105" s="8" t="s">
        <v>235</v>
      </c>
      <c r="F105" s="4" t="s">
        <v>235</v>
      </c>
      <c r="G105" s="8" t="s">
        <v>235</v>
      </c>
      <c r="H105" s="7" t="s">
        <v>235</v>
      </c>
      <c r="I105" s="7" t="s">
        <v>235</v>
      </c>
      <c r="J105" s="4"/>
      <c r="K105" s="8"/>
      <c r="L105" s="4"/>
      <c r="M105" s="8"/>
      <c r="N105" s="7"/>
      <c r="O105" s="7"/>
    </row>
    <row r="106">
      <c r="A106" s="2" t="s">
        <v>255</v>
      </c>
      <c r="B106" s="2" t="s">
        <v>1539</v>
      </c>
      <c r="C106" s="2" t="s">
        <v>1540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255</v>
      </c>
      <c r="B107" s="2" t="s">
        <v>274</v>
      </c>
      <c r="C107" s="2" t="s">
        <v>275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255</v>
      </c>
      <c r="B108" s="2" t="s">
        <v>4227</v>
      </c>
      <c r="C108" s="2" t="s">
        <v>4228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255</v>
      </c>
      <c r="B109" s="2" t="s">
        <v>257</v>
      </c>
      <c r="C109" s="2" t="s">
        <v>258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255</v>
      </c>
      <c r="B110" s="2" t="s">
        <v>990</v>
      </c>
      <c r="C110" s="2" t="s">
        <v>991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800</v>
      </c>
      <c r="B111" s="2" t="s">
        <v>802</v>
      </c>
      <c r="C111" s="2" t="s">
        <v>803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800</v>
      </c>
      <c r="B112" s="2" t="s">
        <v>1491</v>
      </c>
      <c r="C112" s="2" t="s">
        <v>1492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800</v>
      </c>
      <c r="B113" s="2" t="s">
        <v>894</v>
      </c>
      <c r="C113" s="2" t="s">
        <v>895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800</v>
      </c>
      <c r="B114" s="2" t="s">
        <v>960</v>
      </c>
      <c r="C114" s="2" t="s">
        <v>961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323</v>
      </c>
      <c r="B115" s="2" t="s">
        <v>274</v>
      </c>
      <c r="C115" s="2" t="s">
        <v>275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323</v>
      </c>
      <c r="B116" s="2" t="s">
        <v>257</v>
      </c>
      <c r="C116" s="2" t="s">
        <v>258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605</v>
      </c>
      <c r="B117" s="2" t="s">
        <v>607</v>
      </c>
      <c r="C117" s="2" t="s">
        <v>608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852</v>
      </c>
      <c r="B118" s="2" t="s">
        <v>3920</v>
      </c>
      <c r="C118" s="2" t="s">
        <v>3921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852</v>
      </c>
      <c r="B119" s="2" t="s">
        <v>854</v>
      </c>
      <c r="C119" s="2" t="s">
        <v>1005</v>
      </c>
      <c r="D119" s="4" t="s">
        <v>235</v>
      </c>
      <c r="E119" s="8" t="s">
        <v>235</v>
      </c>
      <c r="F119" s="4" t="s">
        <v>235</v>
      </c>
      <c r="G119" s="8" t="s">
        <v>235</v>
      </c>
      <c r="H119" s="7" t="s">
        <v>235</v>
      </c>
      <c r="I119" s="7" t="s">
        <v>235</v>
      </c>
      <c r="J119" s="4"/>
      <c r="K119" s="8"/>
      <c r="L119" s="4"/>
      <c r="M119" s="8"/>
      <c r="N119" s="7"/>
      <c r="O119" s="7"/>
    </row>
    <row r="120">
      <c r="A120" s="2" t="s">
        <v>852</v>
      </c>
      <c r="B120" s="2" t="s">
        <v>854</v>
      </c>
      <c r="C120" s="2" t="s">
        <v>2622</v>
      </c>
      <c r="D120" s="4" t="s">
        <v>235</v>
      </c>
      <c r="E120" s="8" t="s">
        <v>235</v>
      </c>
      <c r="F120" s="4" t="s">
        <v>235</v>
      </c>
      <c r="G120" s="8" t="s">
        <v>235</v>
      </c>
      <c r="H120" s="7" t="s">
        <v>235</v>
      </c>
      <c r="I120" s="7" t="s">
        <v>235</v>
      </c>
      <c r="J120" s="4"/>
      <c r="K120" s="8"/>
      <c r="L120" s="4"/>
      <c r="M120" s="8"/>
      <c r="N120" s="7"/>
      <c r="O120" s="7"/>
    </row>
    <row r="121">
      <c r="A121" s="2" t="s">
        <v>852</v>
      </c>
      <c r="B121" s="2" t="s">
        <v>854</v>
      </c>
      <c r="C121" s="2" t="s">
        <v>1549</v>
      </c>
      <c r="D121" s="4" t="s">
        <v>235</v>
      </c>
      <c r="E121" s="8" t="s">
        <v>235</v>
      </c>
      <c r="F121" s="4" t="s">
        <v>235</v>
      </c>
      <c r="G121" s="8" t="s">
        <v>235</v>
      </c>
      <c r="H121" s="7" t="s">
        <v>235</v>
      </c>
      <c r="I121" s="7" t="s">
        <v>235</v>
      </c>
      <c r="J121" s="4"/>
      <c r="K121" s="8"/>
      <c r="L121" s="4"/>
      <c r="M121" s="8"/>
      <c r="N121" s="7"/>
      <c r="O121" s="7"/>
    </row>
    <row r="122">
      <c r="A122" s="2" t="s">
        <v>852</v>
      </c>
      <c r="B122" s="2" t="s">
        <v>854</v>
      </c>
      <c r="C122" s="2" t="s">
        <v>4453</v>
      </c>
      <c r="D122" s="4" t="s">
        <v>235</v>
      </c>
      <c r="E122" s="8" t="s">
        <v>235</v>
      </c>
      <c r="F122" s="4" t="s">
        <v>235</v>
      </c>
      <c r="G122" s="8" t="s">
        <v>235</v>
      </c>
      <c r="H122" s="7" t="s">
        <v>235</v>
      </c>
      <c r="I122" s="7" t="s">
        <v>235</v>
      </c>
      <c r="J122" s="4"/>
      <c r="K122" s="8"/>
      <c r="L122" s="4"/>
      <c r="M122" s="8"/>
      <c r="N122" s="7"/>
      <c r="O122" s="7"/>
    </row>
    <row r="123">
      <c r="A123" s="2" t="s">
        <v>852</v>
      </c>
      <c r="B123" s="2" t="s">
        <v>854</v>
      </c>
      <c r="C123" s="2" t="s">
        <v>855</v>
      </c>
      <c r="D123" s="4" t="s">
        <v>235</v>
      </c>
      <c r="E123" s="8" t="s">
        <v>235</v>
      </c>
      <c r="F123" s="4" t="s">
        <v>235</v>
      </c>
      <c r="G123" s="8" t="s">
        <v>235</v>
      </c>
      <c r="H123" s="7" t="s">
        <v>235</v>
      </c>
      <c r="I123" s="7" t="s">
        <v>235</v>
      </c>
      <c r="J123" s="4"/>
      <c r="K123" s="8"/>
      <c r="L123" s="4"/>
      <c r="M123" s="8"/>
      <c r="N123" s="7"/>
      <c r="O123" s="7"/>
    </row>
    <row r="124">
      <c r="A124" s="2" t="s">
        <v>852</v>
      </c>
      <c r="B124" s="2" t="s">
        <v>854</v>
      </c>
      <c r="C124" s="2" t="s">
        <v>4682</v>
      </c>
      <c r="D124" s="4" t="s">
        <v>235</v>
      </c>
      <c r="E124" s="8" t="s">
        <v>235</v>
      </c>
      <c r="F124" s="4" t="s">
        <v>235</v>
      </c>
      <c r="G124" s="8" t="s">
        <v>235</v>
      </c>
      <c r="H124" s="7" t="s">
        <v>235</v>
      </c>
      <c r="I124" s="7" t="s">
        <v>235</v>
      </c>
      <c r="J124" s="4"/>
      <c r="K124" s="8"/>
      <c r="L124" s="4"/>
      <c r="M124" s="8"/>
      <c r="N124" s="7"/>
      <c r="O1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0:D15"/>
    <mergeCell ref="E10:E15"/>
    <mergeCell ref="F10:F15"/>
    <mergeCell ref="G10:G15"/>
    <mergeCell ref="H10:H15"/>
    <mergeCell ref="I10:I15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  <mergeCell ref="D23:D24"/>
    <mergeCell ref="E23:E24"/>
    <mergeCell ref="F23:F24"/>
    <mergeCell ref="G23:G24"/>
    <mergeCell ref="H23:H24"/>
    <mergeCell ref="I23:I24"/>
    <mergeCell ref="D28:D30"/>
    <mergeCell ref="E28:E30"/>
    <mergeCell ref="F28:F30"/>
    <mergeCell ref="G28:G30"/>
    <mergeCell ref="H28:H30"/>
    <mergeCell ref="I28:I30"/>
    <mergeCell ref="D33:D36"/>
    <mergeCell ref="E33:E36"/>
    <mergeCell ref="F33:F36"/>
    <mergeCell ref="G33:G36"/>
    <mergeCell ref="H33:H36"/>
    <mergeCell ref="I33:I36"/>
    <mergeCell ref="D37:D38"/>
    <mergeCell ref="E37:E38"/>
    <mergeCell ref="F37:F38"/>
    <mergeCell ref="G37:G38"/>
    <mergeCell ref="H37:H38"/>
    <mergeCell ref="I37:I38"/>
    <mergeCell ref="D40:D41"/>
    <mergeCell ref="E40:E41"/>
    <mergeCell ref="F40:F41"/>
    <mergeCell ref="G40:G41"/>
    <mergeCell ref="H40:H41"/>
    <mergeCell ref="I40:I41"/>
    <mergeCell ref="D45:D46"/>
    <mergeCell ref="E45:E46"/>
    <mergeCell ref="F45:F46"/>
    <mergeCell ref="G45:G46"/>
    <mergeCell ref="H45:H46"/>
    <mergeCell ref="I45:I46"/>
    <mergeCell ref="D48:D49"/>
    <mergeCell ref="E48:E49"/>
    <mergeCell ref="F48:F49"/>
    <mergeCell ref="G48:G49"/>
    <mergeCell ref="H48:H49"/>
    <mergeCell ref="I48:I49"/>
    <mergeCell ref="D50:D51"/>
    <mergeCell ref="E50:E51"/>
    <mergeCell ref="F50:F51"/>
    <mergeCell ref="G50:G51"/>
    <mergeCell ref="H50:H51"/>
    <mergeCell ref="I50:I51"/>
    <mergeCell ref="D54:D56"/>
    <mergeCell ref="E54:E56"/>
    <mergeCell ref="F54:F56"/>
    <mergeCell ref="G54:G56"/>
    <mergeCell ref="H54:H56"/>
    <mergeCell ref="I54:I56"/>
    <mergeCell ref="D57:D58"/>
    <mergeCell ref="E57:E58"/>
    <mergeCell ref="F57:F58"/>
    <mergeCell ref="G57:G58"/>
    <mergeCell ref="H57:H58"/>
    <mergeCell ref="I57:I58"/>
    <mergeCell ref="D60:D61"/>
    <mergeCell ref="E60:E61"/>
    <mergeCell ref="F60:F61"/>
    <mergeCell ref="G60:G61"/>
    <mergeCell ref="H60:H61"/>
    <mergeCell ref="I60:I61"/>
    <mergeCell ref="D68:D69"/>
    <mergeCell ref="E68:E69"/>
    <mergeCell ref="F68:F69"/>
    <mergeCell ref="G68:G69"/>
    <mergeCell ref="H68:H69"/>
    <mergeCell ref="I68:I69"/>
    <mergeCell ref="D71:D72"/>
    <mergeCell ref="E71:E72"/>
    <mergeCell ref="F71:F72"/>
    <mergeCell ref="G71:G72"/>
    <mergeCell ref="H71:H72"/>
    <mergeCell ref="I71:I72"/>
    <mergeCell ref="D75:D76"/>
    <mergeCell ref="E75:E76"/>
    <mergeCell ref="F75:F76"/>
    <mergeCell ref="G75:G76"/>
    <mergeCell ref="H75:H76"/>
    <mergeCell ref="I75:I76"/>
    <mergeCell ref="D77:D79"/>
    <mergeCell ref="E77:E79"/>
    <mergeCell ref="F77:F79"/>
    <mergeCell ref="G77:G79"/>
    <mergeCell ref="H77:H79"/>
    <mergeCell ref="I77:I79"/>
    <mergeCell ref="D80:D81"/>
    <mergeCell ref="E80:E81"/>
    <mergeCell ref="F80:F81"/>
    <mergeCell ref="G80:G81"/>
    <mergeCell ref="H80:H81"/>
    <mergeCell ref="I80:I81"/>
    <mergeCell ref="D83:D84"/>
    <mergeCell ref="E83:E84"/>
    <mergeCell ref="F83:F84"/>
    <mergeCell ref="G83:G84"/>
    <mergeCell ref="H83:H84"/>
    <mergeCell ref="I83:I84"/>
    <mergeCell ref="D89:D93"/>
    <mergeCell ref="E89:E93"/>
    <mergeCell ref="F89:F93"/>
    <mergeCell ref="G89:G93"/>
    <mergeCell ref="H89:H93"/>
    <mergeCell ref="I89:I93"/>
    <mergeCell ref="D95:D98"/>
    <mergeCell ref="E95:E98"/>
    <mergeCell ref="F95:F98"/>
    <mergeCell ref="G95:G98"/>
    <mergeCell ref="H95:H98"/>
    <mergeCell ref="I95:I98"/>
    <mergeCell ref="D99:D100"/>
    <mergeCell ref="E99:E100"/>
    <mergeCell ref="F99:F100"/>
    <mergeCell ref="G99:G100"/>
    <mergeCell ref="H99:H100"/>
    <mergeCell ref="I99:I100"/>
    <mergeCell ref="D104:D105"/>
    <mergeCell ref="E104:E105"/>
    <mergeCell ref="F104:F105"/>
    <mergeCell ref="G104:G105"/>
    <mergeCell ref="H104:H105"/>
    <mergeCell ref="I104:I105"/>
    <mergeCell ref="D119:D124"/>
    <mergeCell ref="E119:E124"/>
    <mergeCell ref="F119:F124"/>
    <mergeCell ref="G119:G124"/>
    <mergeCell ref="H119:H124"/>
    <mergeCell ref="I119:I124"/>
  </mergeCells>
  <headerFooter/>
</worksheet>
</file>